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O:\Обмен\2. Финансовый блок\КПК 1 для банка\БП и ФЭМ от 20.01.2025\"/>
    </mc:Choice>
  </mc:AlternateContent>
  <xr:revisionPtr revIDLastSave="0" documentId="13_ncr:1_{C88294CF-5911-4350-9468-3377F07D1172}" xr6:coauthVersionLast="47" xr6:coauthVersionMax="47" xr10:uidLastSave="{00000000-0000-0000-0000-000000000000}"/>
  <bookViews>
    <workbookView xWindow="-120" yWindow="-120" windowWidth="29040" windowHeight="15840" tabRatio="688" firstSheet="2" activeTab="3" xr2:uid="{00000000-000D-0000-FFFF-FFFF00000000}"/>
  </bookViews>
  <sheets>
    <sheet name="1" sheetId="72" r:id="rId1"/>
    <sheet name="Титул" sheetId="1" r:id="rId2"/>
    <sheet name="Описание" sheetId="2" r:id="rId3"/>
    <sheet name="Контр_панель" sheetId="15" r:id="rId4"/>
    <sheet name="Анализ рынка" sheetId="68" r:id="rId5"/>
    <sheet name="Загрузка" sheetId="73" r:id="rId6"/>
    <sheet name="численность гостей" sheetId="75" r:id="rId7"/>
    <sheet name="ADR квартал" sheetId="74" r:id="rId8"/>
    <sheet name="Понижающий коэффициент" sheetId="76" r:id="rId9"/>
    <sheet name="Штатное расписание" sheetId="71" r:id="rId10"/>
    <sheet name="Предпосылки" sheetId="3" r:id="rId11"/>
    <sheet name="Расчеты" sheetId="4" r:id="rId12"/>
    <sheet name="Отчетность" sheetId="11" r:id="rId13"/>
    <sheet name="Отчетность годовая" sheetId="67" r:id="rId14"/>
    <sheet name="Проверки" sheetId="9" r:id="rId15"/>
    <sheet name="Свод" sheetId="13" r:id="rId16"/>
    <sheet name="Чувствительность" sheetId="63" r:id="rId17"/>
    <sheet name="Бюдж эффективность" sheetId="64" r:id="rId18"/>
    <sheet name="Финансирование" sheetId="66" r:id="rId19"/>
    <sheet name="Инвестор" sheetId="62" r:id="rId20"/>
  </sheets>
  <functionGroups builtInGroupCount="19"/>
  <externalReferences>
    <externalReference r:id="rId21"/>
    <externalReference r:id="rId22"/>
  </externalReferences>
  <definedNames>
    <definedName name="Accounts_Payable_EoP" localSheetId="5">[1]Расчеты!$L$1012:$CO$1012</definedName>
    <definedName name="Accounts_Payable_EoP">Расчеты!$L$946:$CO$946</definedName>
    <definedName name="Accounts_Receivable_EoP" localSheetId="5">[1]Расчеты!$L$996:$CO$996</definedName>
    <definedName name="Accounts_Receivable_EoP">Расчеты!$L$930:$CO$930</definedName>
    <definedName name="Accuracy" localSheetId="5">[1]Предпосылки!$E$31</definedName>
    <definedName name="Accuracy">Предпосылки!$E$31</definedName>
    <definedName name="All_Outputs1">Чувствительность!$D$15:$J$21</definedName>
    <definedName name="All_Outputs2">Чувствительность!$D$25:$J$31</definedName>
    <definedName name="All_Outputs3">Чувствительность!$D$35:$J$41</definedName>
    <definedName name="All_Outputs4">Чувствительность!$D$45:$J$51</definedName>
    <definedName name="Bank_Fees" localSheetId="5">[1]Расчеты!$L$1215:$CO$1215</definedName>
    <definedName name="Bank_Fees">Расчеты!$L$1149:$CO$1149</definedName>
    <definedName name="Beginning_of_period" localSheetId="5">[1]Предпосылки!$L$7:$CO$7</definedName>
    <definedName name="Beginning_of_period">Предпосылки!$L$7:$CO$7</definedName>
    <definedName name="CAPEX" localSheetId="5">[1]Расчеты!$L$260:$CO$260</definedName>
    <definedName name="CAPEX">Расчеты!$L$260:$CO$260</definedName>
    <definedName name="CAPEX_Accumulated_Forecast">Расчеты!$L$84:$CO$84</definedName>
    <definedName name="CAPEX_Accumulated_From_Date" localSheetId="5">[1]Расчеты!$L$85:$CO$85</definedName>
    <definedName name="CAPEX_Accumulated_From_Date">Расчеты!$L$85:$CO$85</definedName>
    <definedName name="CAPEX_E_For_VAT" localSheetId="5">[1]Расчеты!$L$335:$CO$335</definedName>
    <definedName name="CAPEX_E_For_VAT">Расчеты!$L$335:$CO$335</definedName>
    <definedName name="CAPEX_For_VAT" localSheetId="5">[1]Расчеты!$L$334:$CO$334</definedName>
    <definedName name="CAPEX_For_VAT">Расчеты!$L$334:$CO$334</definedName>
    <definedName name="Capex_sens" localSheetId="5">[1]Чувствительность!$F$7</definedName>
    <definedName name="Capex_sens">Чувствительность!$F$7</definedName>
    <definedName name="Cash_BoP" localSheetId="5">[1]Отчетность!$L$95:$CO$95</definedName>
    <definedName name="Cash_BoP">Отчетность!$L$95:$CO$95</definedName>
    <definedName name="Cash_EoP" localSheetId="5">[1]Отчетность!$L$97:$CO$97</definedName>
    <definedName name="Cash_EoP">Отчетность!$L$97:$CO$97</definedName>
    <definedName name="CBR_Rate_Forecast" localSheetId="5">[1]Расчеты!$L$88:$CO$88</definedName>
    <definedName name="CBR_Rate_Forecast">Расчеты!$L$88:$CO$88</definedName>
    <definedName name="CFADS" localSheetId="5">[1]Расчеты!$L$1302:$CO$1302</definedName>
    <definedName name="CFADS">Расчеты!$L$1236:$CO$1236</definedName>
    <definedName name="Check_Balance_1" localSheetId="5">[1]Отчетность!$I$39</definedName>
    <definedName name="Check_Balance_1">Отчетность!$I$39</definedName>
    <definedName name="Check_Balance_2" localSheetId="5">[1]Отчетность!$I$40</definedName>
    <definedName name="Check_Balance_2">Отчетность!$I$40</definedName>
    <definedName name="CIP_EoP" localSheetId="5">[1]Расчеты!$L$332:$CO$332</definedName>
    <definedName name="CIP_EoP">Расчеты!$L$332:$CO$332</definedName>
    <definedName name="COGS" localSheetId="5">[1]Расчеты!$L$959:$CO$959</definedName>
    <definedName name="COGS">Расчеты!$L$893:$CO$893</definedName>
    <definedName name="COGS_Capitalised" localSheetId="5">[1]Расчеты!$L$962:$CO$962</definedName>
    <definedName name="COGS_Capitalised">Расчеты!$L$896:$CO$896</definedName>
    <definedName name="COGS_for_VAT" localSheetId="5">[1]Расчеты!$L$961:$CO$961</definedName>
    <definedName name="COGS_for_VAT">Расчеты!$L$895:$CO$895</definedName>
    <definedName name="COGS_PL" localSheetId="5">[1]Расчеты!$L$963:$CO$963</definedName>
    <definedName name="COGS_PL">Расчеты!$L$897:$CO$897</definedName>
    <definedName name="Count_Operations_Periods" localSheetId="5">[1]Расчеты!$L$67:$CO$67</definedName>
    <definedName name="Count_Operations_Periods">Расчеты!$L$67:$CO$67</definedName>
    <definedName name="CPI_Accumulated_Forecast">Расчеты!$L$77:$CO$77</definedName>
    <definedName name="CPI_Accumulated_From_Date" localSheetId="5">[1]Расчеты!$L$79:$CO$79</definedName>
    <definedName name="CPI_Accumulated_From_Date">Расчеты!$L$79:$CO$79</definedName>
    <definedName name="Date_Construction_End" localSheetId="5">[1]Предпосылки!$E$23</definedName>
    <definedName name="Date_Construction_End">Предпосылки!$E$23</definedName>
    <definedName name="Date_Construction_Start" localSheetId="5">[1]Предпосылки!$E$22</definedName>
    <definedName name="Date_Construction_Start">Предпосылки!$E$22</definedName>
    <definedName name="Date_Forecast_Start" localSheetId="5">[1]Предпосылки!$E$19</definedName>
    <definedName name="Date_Forecast_Start">Предпосылки!$E$19</definedName>
    <definedName name="Date_Model_Start" localSheetId="5">[1]Предпосылки!$E$18</definedName>
    <definedName name="Date_Model_Start">Предпосылки!$E$18</definedName>
    <definedName name="Date_Operations_End" localSheetId="5">[1]Предпосылки!$E$25</definedName>
    <definedName name="Date_Operations_End">Предпосылки!$E$25</definedName>
    <definedName name="Date_Operations_Start" localSheetId="5">[1]Предпосылки!$E$24</definedName>
    <definedName name="Date_Operations_Start">Предпосылки!$E$24</definedName>
    <definedName name="Days_In_Period" localSheetId="5">[1]Расчеты!$L$17:$CO$17</definedName>
    <definedName name="Days_In_Period">Расчеты!$L$17:$CO$17</definedName>
    <definedName name="Days_in_year" localSheetId="5">[1]Расчеты!$L$18:$CO$18</definedName>
    <definedName name="Days_in_year">Расчеты!$L$18:$CO$18</definedName>
    <definedName name="Debt_BoP" localSheetId="5">[1]Расчеты!$L$1201:$CO$1201</definedName>
    <definedName name="Debt_BoP">Расчеты!$L$1135:$CO$1135</definedName>
    <definedName name="Debt_Drawdown" localSheetId="5">[1]Расчеты!$L$1202:$CO$1202</definedName>
    <definedName name="Debt_Drawdown">Расчеты!$L$1136:$CO$1136</definedName>
    <definedName name="Debt_EoP" localSheetId="5">[1]Расчеты!$L$1204:$CO$1204</definedName>
    <definedName name="Debt_EoP">Расчеты!$L$1138:$CO$1138</definedName>
    <definedName name="Debt_Interest_Accrued" localSheetId="5">[1]Расчеты!$L$1207:$CO$1207</definedName>
    <definedName name="Debt_Interest_Accrued">Расчеты!$L$1141:$CO$1141</definedName>
    <definedName name="Debt_Interest_Capitalised" localSheetId="5">[1]Расчеты!$L$1208:$CO$1208</definedName>
    <definedName name="Debt_Interest_Capitalised">Расчеты!$L$1142:$CO$1142</definedName>
    <definedName name="Debt_Interest_Paid" localSheetId="5">[1]Расчеты!$L$1210:$CO$1210</definedName>
    <definedName name="Debt_Interest_Paid">Расчеты!$L$1144:$CO$1144</definedName>
    <definedName name="Debt_Interest_PL" localSheetId="5">[1]Расчеты!$L$1209:$CO$1209</definedName>
    <definedName name="Debt_Interest_PL">Расчеты!$L$1143:$CO$1143</definedName>
    <definedName name="Debt_rate_sens" localSheetId="5">[1]Чувствительность!$F$9</definedName>
    <definedName name="Debt_rate_sens">Чувствительность!$F$9</definedName>
    <definedName name="Debt_Repaiment" localSheetId="5">[1]Расчеты!$L$1203:$CO$1203</definedName>
    <definedName name="Debt_Repaiment">Расчеты!$L$1137:$CO$1137</definedName>
    <definedName name="Deferred_Income_Expense">Расчеты!$L$992:$CO$992</definedName>
    <definedName name="Depreciation_PL" localSheetId="5">[1]Расчеты!$L$490:$CO$490</definedName>
    <definedName name="Depreciation_PL">Расчеты!$L$490:$CO$490</definedName>
    <definedName name="Depreciation_Premium_Tax" localSheetId="5">[1]Расчеты!$L$495:$CO$495</definedName>
    <definedName name="Depreciation_Premium_Tax">Расчеты!$L$495:$CO$495</definedName>
    <definedName name="Depreciation_Tax" localSheetId="5">[1]Расчеты!$L$494:$CO$494</definedName>
    <definedName name="Depreciation_Tax">Расчеты!$L$494:$CO$494</definedName>
    <definedName name="Divid_Tax_Rate" localSheetId="5">[1]Предпосылки!$E$632</definedName>
    <definedName name="Divid_Tax_Rate">Предпосылки!$E$600</definedName>
    <definedName name="Dividends" localSheetId="5">[1]Расчеты!$L$1275:$CO$1275</definedName>
    <definedName name="Dividends">Расчеты!$L$1209:$CO$1209</definedName>
    <definedName name="EBIT" localSheetId="5">[1]Отчетность!$L$62:$CO$62</definedName>
    <definedName name="EBIT">Отчетность!$L$62:$CO$62</definedName>
    <definedName name="EBITDA" localSheetId="5">[1]Отчетность!$L$61:$CO$61</definedName>
    <definedName name="EBITDA">Отчетность!$L$61:$CO$61</definedName>
    <definedName name="End_of_period" localSheetId="5">[1]Предпосылки!$L$8:$CO$8</definedName>
    <definedName name="End_of_period">Предпосылки!$L$8:$CO$8</definedName>
    <definedName name="Equity_Drawdown" localSheetId="5">[1]Расчеты!$L$1230:$CO$1230</definedName>
    <definedName name="Equity_Drawdown">Расчеты!$L$1164:$CO$1164</definedName>
    <definedName name="Equity_EoP" localSheetId="5">[1]Расчеты!$L$1234:$CO$1234</definedName>
    <definedName name="Equity_EoP">Расчеты!$L$1168:$CO$1168</definedName>
    <definedName name="Equity_S_Drawdown_1" localSheetId="5">[1]Расчеты!$L$1231:$CO$1231</definedName>
    <definedName name="Equity_S_Drawdown_1">Расчеты!$L$1165:$CO$1165</definedName>
    <definedName name="Equity_S_Drawdown_2" localSheetId="5">[1]Расчеты!$L$1232:$CO$1232</definedName>
    <definedName name="Equity_S_Drawdown_2">Расчеты!$L$1166:$CO$1166</definedName>
    <definedName name="FA_BoP">Расчеты!$L$488:$CO$488</definedName>
    <definedName name="FA_EoP" localSheetId="5">[1]Расчеты!$L$491:$CO$491</definedName>
    <definedName name="FA_EoP">Расчеты!$L$491:$CO$491</definedName>
    <definedName name="FCF" localSheetId="5">[1]Отчетность!$L$91:$CO$91</definedName>
    <definedName name="FCF">Отчетность!$L$91:$CO$91</definedName>
    <definedName name="FCFE" localSheetId="5">[1]Расчеты!$L$1292:$CO$1292</definedName>
    <definedName name="FCFE">Расчеты!$L$1226:$CO$1226</definedName>
    <definedName name="Flag_Construction" localSheetId="5">[1]Расчеты!$L$29:$CO$29</definedName>
    <definedName name="Flag_Construction">Расчеты!$L$29:$CO$29</definedName>
    <definedName name="Flag_Financial_Model" localSheetId="5">[1]Расчеты!$L$57:$CO$57</definedName>
    <definedName name="Flag_Financial_Model">Расчеты!$L$57:$CO$57</definedName>
    <definedName name="Flag_First_Construction">Расчеты!$L$60:$CO$60</definedName>
    <definedName name="Flag_First_Operations" localSheetId="5">[1]Расчеты!$L$62:$CO$62</definedName>
    <definedName name="Flag_First_Operations">Расчеты!$L$62:$CO$62</definedName>
    <definedName name="Flag_Forecast" localSheetId="5">[1]Расчеты!$L$54:$CO$54</definedName>
    <definedName name="Flag_Forecast">Расчеты!$L$54:$CO$54</definedName>
    <definedName name="Flag_Historical" localSheetId="5">[1]Расчеты!$L$28:$CO$28</definedName>
    <definedName name="Flag_Historical">Расчеты!$L$28:$CO$28</definedName>
    <definedName name="Flag_Invest" localSheetId="5">[1]Расчеты!$L$58:$CO$58</definedName>
    <definedName name="Flag_Invest">Расчеты!$L$58:$CO$58</definedName>
    <definedName name="Flag_Last_Construction" localSheetId="5">[1]Расчеты!$L$61:$CO$61</definedName>
    <definedName name="Flag_Last_Construction">Расчеты!$L$61:$CO$61</definedName>
    <definedName name="Flag_Last_Operations" localSheetId="5">[1]Расчеты!$L$63:$CO$63</definedName>
    <definedName name="Flag_Last_Operations">Расчеты!$L$63:$CO$63</definedName>
    <definedName name="Flag_Operations" localSheetId="5">[1]Расчеты!$L$30:$CO$30</definedName>
    <definedName name="Flag_Operations">Расчеты!$L$30:$CO$30</definedName>
    <definedName name="Funding_Requirement_Check" localSheetId="5">[1]Расчеты!$E$1124</definedName>
    <definedName name="Funding_Requirement_Check">Расчеты!$E$1058</definedName>
    <definedName name="Funding_Requirement_Check_Arr" localSheetId="5">[1]Расчеты!$L$1124:$CO$1124</definedName>
    <definedName name="Funding_Requirement_Check_Arr">Расчеты!$L$1058:$CO$1058</definedName>
    <definedName name="Funding_Requirement_Copy">Расчеты!$L$1055:$CO$1055</definedName>
    <definedName name="Funding_Requirement_Paste">Расчеты!$L$1056:$CO$1056</definedName>
    <definedName name="Hundreed">Предпосылки!$E$35</definedName>
    <definedName name="ICF" localSheetId="5">[1]Отчетность!$L$82:$CO$82</definedName>
    <definedName name="ICF">Отчетность!$L$82:$CO$82</definedName>
    <definedName name="Inventories_EoP" localSheetId="5">[1]Расчеты!$L$1004:$CO$1004</definedName>
    <definedName name="Inventories_EoP">Расчеты!$L$938:$CO$938</definedName>
    <definedName name="Investor_TRRF" localSheetId="5">[1]Инвестор!$L$23:$CO$23</definedName>
    <definedName name="Investor_TRRF">Инвестор!$L$23:$CO$23</definedName>
    <definedName name="IRR" localSheetId="5">[1]Расчеты!$E$1388</definedName>
    <definedName name="IRR">Расчеты!$E$1322</definedName>
    <definedName name="IRR_Equity" localSheetId="5">[1]Расчеты!$E$1426</definedName>
    <definedName name="IRR_Equity">Расчеты!$E$1360</definedName>
    <definedName name="Key_rate" localSheetId="5">[1]Расчеты!$L$88:$CO$88</definedName>
    <definedName name="Key_rate">Расчеты!$L$88:$CO$88</definedName>
    <definedName name="Land_Tax" localSheetId="5">[1]Расчеты!$L$1100:$CO$1100</definedName>
    <definedName name="Land_Tax">Расчеты!$L$1034:$CO$1034</definedName>
    <definedName name="Land_Tax_Rate" localSheetId="5">[1]Предпосылки!$E$657</definedName>
    <definedName name="Land_Tax_Rate">Предпосылки!$E$625</definedName>
    <definedName name="Million">Предпосылки!$E$33</definedName>
    <definedName name="Monetary_Unit" localSheetId="5">[1]Предпосылки!$E$16</definedName>
    <definedName name="Monetary_Unit">Предпосылки!$E$16</definedName>
    <definedName name="Months_in_Period" localSheetId="5">[1]Предпосылки!$E$30</definedName>
    <definedName name="Months_in_Period">Предпосылки!$E$30</definedName>
    <definedName name="Months_in_Year" localSheetId="5">[1]Предпосылки!$E$28</definedName>
    <definedName name="Months_in_Year">Предпосылки!$E$28</definedName>
    <definedName name="MonthsCumulated" localSheetId="5">[1]Расчеты!$L$20:$CO$20</definedName>
    <definedName name="MonthsCumulated">Расчеты!$L$20:$CO$20</definedName>
    <definedName name="Name_Model" localSheetId="5">[1]Предпосылки!$E$13</definedName>
    <definedName name="Name_Model">Предпосылки!$E$13</definedName>
    <definedName name="Net_Profit" localSheetId="5">[1]Отчетность!$L$57:$CO$57</definedName>
    <definedName name="Net_Profit">Отчетность!$L$57:$CO$57</definedName>
    <definedName name="NPV" localSheetId="5">[1]Расчеты!$E$1387</definedName>
    <definedName name="NPV">Расчеты!$E$1321</definedName>
    <definedName name="NPV_Equity" localSheetId="5">[1]Расчеты!$E$1425</definedName>
    <definedName name="NPV_Equity">Расчеты!$E$1359</definedName>
    <definedName name="OCF" localSheetId="5">[1]Отчетность!$L$78:$CO$78</definedName>
    <definedName name="OCF">Отчетность!$L$78:$CO$78</definedName>
    <definedName name="Opex_sens" localSheetId="5">[1]Чувствительность!$F$8</definedName>
    <definedName name="Opex_sens">Чувствительность!$F$8</definedName>
    <definedName name="Overall_Check" localSheetId="5">[1]Проверки!$C$19</definedName>
    <definedName name="Overall_Check">Проверки!$C$19</definedName>
    <definedName name="PBP" localSheetId="5">[1]Расчеты!$E$1395</definedName>
    <definedName name="PBP">Расчеты!$E$1329</definedName>
    <definedName name="PBP_Equity" localSheetId="5">[1]Расчеты!$E$1433</definedName>
    <definedName name="PBP_Equity">Расчеты!$E$1367</definedName>
    <definedName name="PBT" localSheetId="5">[1]Отчетность!$L$55:$CO$55</definedName>
    <definedName name="PBT">Отчетность!$L$55:$CO$55</definedName>
    <definedName name="Period_length" localSheetId="5">[1]Расчеты!$L$24:$CO$24</definedName>
    <definedName name="Period_length">Расчеты!$L$24:$CO$24</definedName>
    <definedName name="Periods_in_Year" localSheetId="5">[1]Предпосылки!$E$29</definedName>
    <definedName name="Periods_in_Year">Предпосылки!$E$29</definedName>
    <definedName name="Profits_Tax" localSheetId="5">[1]Расчеты!$L$1073:$CO$1073</definedName>
    <definedName name="Profits_Tax">Расчеты!$L$1007:$CO$1007</definedName>
    <definedName name="Profits_Tax_Rate" localSheetId="5">[1]Предпосылки!$E$631</definedName>
    <definedName name="Profits_Tax_Rate">Предпосылки!$E$599</definedName>
    <definedName name="Property_Tax" localSheetId="5">[1]Расчеты!$L$1094:$CO$1094</definedName>
    <definedName name="Property_Tax">Расчеты!$L$1028:$CO$1028</definedName>
    <definedName name="Property_Tax_Rate" localSheetId="5">[1]Предпосылки!$E$652</definedName>
    <definedName name="Property_Tax_Rate">Предпосылки!$E$620</definedName>
    <definedName name="Quarter">Расчеты!$L$16:$CO$16</definedName>
    <definedName name="Required_Rate_of_Return" localSheetId="5">[1]Расчеты!$E$1361</definedName>
    <definedName name="Required_Rate_of_Return">Расчеты!$E$1295</definedName>
    <definedName name="Revenue" localSheetId="5">[1]Расчеты!$L$748:$CO$748</definedName>
    <definedName name="Revenue">Расчеты!$L$682:$CO$682</definedName>
    <definedName name="Revenue_for_VAT" localSheetId="5">[1]Расчеты!$L$750:$CO$750</definedName>
    <definedName name="Revenue_for_VAT">Расчеты!$L$684:$CO$684</definedName>
    <definedName name="Revenue_for_VAT_Zero" localSheetId="5">[1]Расчеты!$L$751:$CO$751</definedName>
    <definedName name="Revenue_for_VAT_Zero">Расчеты!$L$685:$CO$685</definedName>
    <definedName name="Revenue_sens" localSheetId="5">[1]Чувствительность!$F$6</definedName>
    <definedName name="Revenue_sens">Чувствительность!$F$6</definedName>
    <definedName name="SC_Analysis_Current_Outputs">Контр_панель!$G$65:$G$107</definedName>
    <definedName name="SC_Analysis_Output_Table">Контр_панель!$I$65:$M$107</definedName>
    <definedName name="SC_Analysis_Output_Table2">Контр_панель!$D$115:$J$120</definedName>
    <definedName name="SC_Analysis_Scenarios_Quantity" localSheetId="5">MAX([1]Контр_панель!$I$26:$M$26)</definedName>
    <definedName name="SC_Analysis_Scenarios_Quantity">MAX(Контр_панель!$I$26:$M$26)</definedName>
    <definedName name="SC_Global" localSheetId="5">[1]Контр_панель!$G$26</definedName>
    <definedName name="SC_Global">Контр_панель!$G$26</definedName>
    <definedName name="Scenario_Macro_CAPEX">Предпосылки!$E$59</definedName>
    <definedName name="Scenario_Macro_CPI">Предпосылки!$E$58</definedName>
    <definedName name="SGA" localSheetId="5">[1]Расчеты!$L$977:$CO$977</definedName>
    <definedName name="SGA">Расчеты!$L$911:$CO$911</definedName>
    <definedName name="SGA_Capitalised" localSheetId="5">[1]Расчеты!$L$980:$CO$980</definedName>
    <definedName name="SGA_Capitalised">Расчеты!$L$914:$CO$914</definedName>
    <definedName name="SGA_for_VAT" localSheetId="5">[1]Расчеты!$L$983:$CO$983</definedName>
    <definedName name="SGA_for_VAT">Расчеты!$L$917:$CO$917</definedName>
    <definedName name="SGA_PL" localSheetId="5">[1]Расчеты!$L$981:$CO$981</definedName>
    <definedName name="SGA_PL">Расчеты!$L$915:$CO$915</definedName>
    <definedName name="Subord_Drawdown" localSheetId="5">[1]Расчеты!$L$1246:$CO$1246</definedName>
    <definedName name="Subord_Drawdown">Расчеты!$L$1180:$CO$1180</definedName>
    <definedName name="Subord_EoP" localSheetId="5">[1]Расчеты!$L$1244:$CO$1244</definedName>
    <definedName name="Subord_EoP">Расчеты!$L$1178:$CO$1178</definedName>
    <definedName name="Subord_Interest_Accrued" localSheetId="5">[1]Расчеты!$L$1251:$CO$1251</definedName>
    <definedName name="Subord_Interest_Accrued">Расчеты!$L$1185:$CO$1185</definedName>
    <definedName name="Subord_Interest_Accrued_Operations">Расчеты!$L$1187:$CO$1187</definedName>
    <definedName name="Subord_Interest_Calc">Расчеты!$L$1184:$CO$1184</definedName>
    <definedName name="Subord_Interest_Check" localSheetId="5">[1]Расчеты!$E$1257</definedName>
    <definedName name="Subord_Interest_Check">Расчеты!$E$1191</definedName>
    <definedName name="Subord_Interest_Check_Arr" localSheetId="5">[1]Расчеты!$L$1257:$CO$1257</definedName>
    <definedName name="Subord_Interest_Check_Arr">Расчеты!$L$1191:$CO$1191</definedName>
    <definedName name="Subord_Interest_Paid" localSheetId="5">[1]Расчеты!$L$1255:$CO$1255</definedName>
    <definedName name="Subord_Interest_Paid">Расчеты!$L$1189:$CO$1189</definedName>
    <definedName name="Subord_Repayment" localSheetId="5">[1]Расчеты!$L$1243:$CO$1243</definedName>
    <definedName name="Subord_Repayment">Расчеты!$L$1177:$CO$1177</definedName>
    <definedName name="Thousand" localSheetId="5">[1]Предпосылки!$E$34</definedName>
    <definedName name="Thousand">Предпосылки!$E$34</definedName>
    <definedName name="VAT_Cash_Flow" localSheetId="5">[1]Расчеты!$L$1053:$CO$1053</definedName>
    <definedName name="VAT_Cash_Flow">Расчеты!$L$987:$CO$987</definedName>
    <definedName name="VAT_EoP" localSheetId="5">[1]Расчеты!$L$1051:$CO$1051</definedName>
    <definedName name="VAT_EoP">Расчеты!$L$985:$CO$985</definedName>
    <definedName name="VAT_from_Investor" localSheetId="5">[1]Расчеты!$L$1052:$CO$1052</definedName>
    <definedName name="VAT_from_Investor">Расчеты!$L$986:$CO$986</definedName>
    <definedName name="VAT_Paid" localSheetId="5">[1]Расчеты!$L$1036:$CO$1036</definedName>
    <definedName name="VAT_Paid">Расчеты!$L$970:$CO$970</definedName>
    <definedName name="VAT_Paid_e" localSheetId="5">[1]Расчеты!$L$1037:$CO$1037</definedName>
    <definedName name="VAT_Paid_e">Расчеты!$L$971:$CO$971</definedName>
    <definedName name="VAT_Payable" localSheetId="5">[1]Расчеты!$L$1038:$CO$1038</definedName>
    <definedName name="VAT_Payable">Расчеты!$L$972:$CO$972</definedName>
    <definedName name="VAT_Periods_Payable" localSheetId="5">[1]Предпосылки!$E$639</definedName>
    <definedName name="VAT_Periods_Payable">Предпосылки!$E$607</definedName>
    <definedName name="VAT_Periods_Receivable" localSheetId="5">[1]Предпосылки!$E$638</definedName>
    <definedName name="VAT_Periods_Receivable">Предпосылки!$E$606</definedName>
    <definedName name="VAT_Rate" localSheetId="5">[1]Предпосылки!$E$641</definedName>
    <definedName name="VAT_Rate">Предпосылки!$E$609</definedName>
    <definedName name="VAT_Rate_Periods" localSheetId="5">[1]Предпосылки!$L$641:$CO$641</definedName>
    <definedName name="VAT_Rate_Periods">Предпосылки!$L$609:$CO$609</definedName>
    <definedName name="VAT_Rate_Zero" localSheetId="5">[1]Предпосылки!$E$642</definedName>
    <definedName name="VAT_Rate_Zero">Предпосылки!$E$610</definedName>
    <definedName name="VAT_Rate_Zero_Periods" localSheetId="5">[1]Предпосылки!$L$642:$CO$642</definedName>
    <definedName name="VAT_Rate_Zero_Periods">Предпосылки!$L$610:$CO$610</definedName>
    <definedName name="VAT_Receivable" localSheetId="5">[1]Расчеты!#REF!</definedName>
    <definedName name="VAT_Receivable">Расчеты!#REF!</definedName>
    <definedName name="VAT_refund" localSheetId="5">[1]Расчеты!#REF!</definedName>
    <definedName name="VAT_refund">Расчеты!#REF!</definedName>
    <definedName name="VAT_refund_e" localSheetId="5">[1]Расчеты!#REF!</definedName>
    <definedName name="VAT_refund_e">Расчеты!#REF!</definedName>
    <definedName name="Version_Model" localSheetId="5">[1]Предпосылки!$E$14</definedName>
    <definedName name="Version_Model">Предпосылки!$E$14</definedName>
    <definedName name="Very_Small_Number" localSheetId="5">[1]Предпосылки!$E$36</definedName>
    <definedName name="Very_Small_Number">Предпосылки!$E$36</definedName>
    <definedName name="WACC" localSheetId="5">[1]Расчеты!$E$1367</definedName>
    <definedName name="WACC">Расчеты!$E$1301</definedName>
    <definedName name="WC_Cash_Flow" localSheetId="5">[1]Расчеты!$L$1017:$CO$1017</definedName>
    <definedName name="WC_Cash_Flow">Расчеты!$L$951:$CO$951</definedName>
    <definedName name="xFactorValue1">Чувствительность!$D$14:$J$14</definedName>
    <definedName name="xFactorValue2">Чувствительность!$D$24:$J$24</definedName>
    <definedName name="xFactorValue3">Чувствительность!$D$34:$J$34</definedName>
    <definedName name="xFactorValue4">Чувствительность!$D$44:$J$44</definedName>
    <definedName name="Year" localSheetId="5">[1]Расчеты!$L$15:$CO$15</definedName>
    <definedName name="Year">Расчеты!$L$15:$CO$15</definedName>
    <definedName name="Year_Unic" localSheetId="0">'1'!$L$6:$CO$6</definedName>
    <definedName name="Year_Unic" localSheetId="5">'[1]Отчетность годовая'!$L$6:$CO$6</definedName>
    <definedName name="Year_Unic">'Отчетность годовая'!$L$6:$CO$6</definedName>
    <definedName name="Years_Cumulated_Beginning">Расчеты!$L$21:$CO$21</definedName>
    <definedName name="yFactorValue1">Чувствительность!$C$15:$C$21</definedName>
    <definedName name="yFactorValue2">Чувствительность!$C$25:$C$31</definedName>
    <definedName name="yFactorValue3">Чувствительность!$C$35:$C$41</definedName>
    <definedName name="yFactorValue4">Чувствительность!$C$45:$C$51</definedName>
    <definedName name="_xlnm.Print_Titles" localSheetId="12">Отчетность!$A:$J,Отчетность!$1:$9</definedName>
    <definedName name="_xlnm.Print_Area" localSheetId="0">'1'!$A$1:$CO$21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3" i="15" l="1"/>
  <c r="E567" i="4"/>
  <c r="E565" i="4"/>
  <c r="E564" i="4"/>
  <c r="E563" i="4"/>
  <c r="E560" i="4"/>
  <c r="E559" i="4"/>
  <c r="CN615" i="4" s="1"/>
  <c r="E558" i="4"/>
  <c r="CO615" i="4"/>
  <c r="CI615" i="4"/>
  <c r="CH615" i="4"/>
  <c r="CG615" i="4"/>
  <c r="CA615" i="4"/>
  <c r="BZ615" i="4"/>
  <c r="BY615" i="4"/>
  <c r="BS615" i="4"/>
  <c r="BR615" i="4"/>
  <c r="BQ615" i="4"/>
  <c r="BM615" i="4"/>
  <c r="BL615" i="4"/>
  <c r="BK615" i="4"/>
  <c r="BJ615" i="4"/>
  <c r="BI615" i="4"/>
  <c r="BE615" i="4"/>
  <c r="BD615" i="4"/>
  <c r="BC615" i="4"/>
  <c r="BB615" i="4"/>
  <c r="BA615" i="4"/>
  <c r="AW615" i="4"/>
  <c r="AV615" i="4"/>
  <c r="AU615" i="4"/>
  <c r="AT615" i="4"/>
  <c r="AS615" i="4"/>
  <c r="AR615" i="4"/>
  <c r="AQ615" i="4"/>
  <c r="AP615" i="4"/>
  <c r="AO615" i="4"/>
  <c r="AN615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L615" i="4"/>
  <c r="F13" i="74"/>
  <c r="E13" i="74"/>
  <c r="D13" i="74"/>
  <c r="F12" i="74"/>
  <c r="E12" i="74"/>
  <c r="D12" i="74"/>
  <c r="F11" i="74"/>
  <c r="G22" i="74" s="1"/>
  <c r="E11" i="74"/>
  <c r="F22" i="74" s="1"/>
  <c r="D11" i="74"/>
  <c r="C13" i="74"/>
  <c r="D24" i="74" s="1"/>
  <c r="H24" i="74" s="1"/>
  <c r="C12" i="74"/>
  <c r="D23" i="74" s="1"/>
  <c r="H23" i="74" s="1"/>
  <c r="O36" i="74"/>
  <c r="O35" i="74"/>
  <c r="N36" i="74"/>
  <c r="N35" i="74"/>
  <c r="H22" i="74"/>
  <c r="G24" i="74"/>
  <c r="F24" i="74"/>
  <c r="E24" i="74"/>
  <c r="G23" i="74"/>
  <c r="F23" i="74"/>
  <c r="E23" i="74"/>
  <c r="E22" i="74"/>
  <c r="D22" i="74"/>
  <c r="E574" i="4"/>
  <c r="C27" i="74"/>
  <c r="B13" i="74"/>
  <c r="B24" i="74" s="1"/>
  <c r="B12" i="74"/>
  <c r="B23" i="74" s="1"/>
  <c r="B11" i="74"/>
  <c r="B22" i="74" s="1"/>
  <c r="Y6" i="74"/>
  <c r="X6" i="74"/>
  <c r="W6" i="74"/>
  <c r="V6" i="74"/>
  <c r="U6" i="74"/>
  <c r="G13" i="74" s="1"/>
  <c r="T6" i="74"/>
  <c r="S6" i="74"/>
  <c r="R6" i="74"/>
  <c r="Q6" i="74"/>
  <c r="P6" i="74"/>
  <c r="O6" i="74"/>
  <c r="N6" i="74"/>
  <c r="M6" i="74"/>
  <c r="L6" i="74"/>
  <c r="K6" i="74"/>
  <c r="E6" i="74"/>
  <c r="D6" i="74"/>
  <c r="C6" i="74"/>
  <c r="B6" i="74"/>
  <c r="A6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E5" i="74"/>
  <c r="D5" i="74"/>
  <c r="C5" i="74"/>
  <c r="B5" i="74"/>
  <c r="A5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4" i="74"/>
  <c r="A4" i="74"/>
  <c r="B120" i="71"/>
  <c r="B116" i="71"/>
  <c r="B113" i="71"/>
  <c r="B107" i="71"/>
  <c r="B91" i="71"/>
  <c r="B61" i="71"/>
  <c r="B54" i="71"/>
  <c r="B43" i="71"/>
  <c r="A18" i="71"/>
  <c r="A19" i="71" s="1"/>
  <c r="A20" i="71" s="1"/>
  <c r="A21" i="71" s="1"/>
  <c r="A22" i="71" s="1"/>
  <c r="A8" i="71"/>
  <c r="A5" i="71"/>
  <c r="L22" i="75"/>
  <c r="N21" i="75"/>
  <c r="E106" i="3"/>
  <c r="E104" i="3"/>
  <c r="H15" i="73"/>
  <c r="E385" i="3" s="1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C10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C7" i="76"/>
  <c r="B7" i="76"/>
  <c r="N23" i="74"/>
  <c r="N22" i="74"/>
  <c r="BT615" i="4" l="1"/>
  <c r="CB615" i="4"/>
  <c r="CJ615" i="4"/>
  <c r="BU615" i="4"/>
  <c r="CC615" i="4"/>
  <c r="CK615" i="4"/>
  <c r="AX615" i="4"/>
  <c r="BF615" i="4"/>
  <c r="BN615" i="4"/>
  <c r="BV615" i="4"/>
  <c r="CD615" i="4"/>
  <c r="CL615" i="4"/>
  <c r="AY615" i="4"/>
  <c r="BG615" i="4"/>
  <c r="BO615" i="4"/>
  <c r="BW615" i="4"/>
  <c r="CE615" i="4"/>
  <c r="CM615" i="4"/>
  <c r="AZ615" i="4"/>
  <c r="BH615" i="4"/>
  <c r="BP615" i="4"/>
  <c r="BX615" i="4"/>
  <c r="CF615" i="4"/>
  <c r="K24" i="74"/>
  <c r="I23" i="74"/>
  <c r="J24" i="74"/>
  <c r="J23" i="74"/>
  <c r="I24" i="74"/>
  <c r="K23" i="74"/>
  <c r="B10" i="76"/>
  <c r="E141" i="71"/>
  <c r="N406" i="3"/>
  <c r="L406" i="3"/>
  <c r="F18" i="74"/>
  <c r="E18" i="74"/>
  <c r="D18" i="74"/>
  <c r="C18" i="74"/>
  <c r="J22" i="74"/>
  <c r="C11" i="74"/>
  <c r="E11" i="75"/>
  <c r="O566" i="4"/>
  <c r="N566" i="4"/>
  <c r="M566" i="4"/>
  <c r="L566" i="4"/>
  <c r="G11" i="74" l="1"/>
  <c r="H11" i="74"/>
  <c r="I22" i="74"/>
  <c r="J11" i="74"/>
  <c r="I11" i="74"/>
  <c r="I13" i="74"/>
  <c r="G12" i="74"/>
  <c r="H12" i="74"/>
  <c r="O406" i="3"/>
  <c r="CQ613" i="4" s="1"/>
  <c r="I12" i="74"/>
  <c r="H13" i="74"/>
  <c r="M406" i="3"/>
  <c r="J13" i="74"/>
  <c r="J12" i="74"/>
  <c r="K22" i="74" l="1"/>
  <c r="K27" i="74" s="1"/>
  <c r="O547" i="4" s="1"/>
  <c r="J27" i="74"/>
  <c r="N547" i="4" s="1"/>
  <c r="I27" i="74"/>
  <c r="M547" i="4" s="1"/>
  <c r="H27" i="74"/>
  <c r="L547" i="4" s="1"/>
  <c r="G29" i="74" l="1"/>
  <c r="E547" i="4" s="1"/>
  <c r="E578" i="4" s="1"/>
  <c r="G10" i="75"/>
  <c r="F10" i="75"/>
  <c r="E10" i="75"/>
  <c r="D10" i="75"/>
  <c r="N17" i="75"/>
  <c r="N18" i="75"/>
  <c r="N19" i="75"/>
  <c r="N22" i="75" s="1"/>
  <c r="N23" i="75" s="1"/>
  <c r="E523" i="4"/>
  <c r="E522" i="4"/>
  <c r="E524" i="4"/>
  <c r="O15" i="73"/>
  <c r="N15" i="73"/>
  <c r="M15" i="73"/>
  <c r="D121" i="71"/>
  <c r="K14" i="73"/>
  <c r="K13" i="73"/>
  <c r="K12" i="73"/>
  <c r="K3" i="73"/>
  <c r="K4" i="73"/>
  <c r="K5" i="73"/>
  <c r="K6" i="73"/>
  <c r="K15" i="73" s="1"/>
  <c r="L5" i="73" s="1"/>
  <c r="L389" i="3" s="1"/>
  <c r="K7" i="73"/>
  <c r="K8" i="73"/>
  <c r="K9" i="73"/>
  <c r="K10" i="73"/>
  <c r="K11" i="73"/>
  <c r="D15" i="73"/>
  <c r="C15" i="73"/>
  <c r="B15" i="73"/>
  <c r="J14" i="73"/>
  <c r="I14" i="73"/>
  <c r="J11" i="73"/>
  <c r="I11" i="73"/>
  <c r="J8" i="73"/>
  <c r="I8" i="73"/>
  <c r="J5" i="73"/>
  <c r="I5" i="73"/>
  <c r="P15" i="73"/>
  <c r="N16" i="73"/>
  <c r="M16" i="73"/>
  <c r="O16" i="73"/>
  <c r="E735" i="4"/>
  <c r="E731" i="4"/>
  <c r="F1062" i="4"/>
  <c r="E570" i="4"/>
  <c r="E569" i="4"/>
  <c r="E568" i="4"/>
  <c r="E804" i="4"/>
  <c r="E803" i="4"/>
  <c r="E816" i="4" s="1"/>
  <c r="E100" i="3"/>
  <c r="E98" i="3" s="1"/>
  <c r="G18" i="72"/>
  <c r="G16" i="72"/>
  <c r="G15" i="72"/>
  <c r="G14" i="72"/>
  <c r="G20" i="72"/>
  <c r="G19" i="72"/>
  <c r="G13" i="72"/>
  <c r="L7" i="72"/>
  <c r="L6" i="72" s="1"/>
  <c r="B2" i="72"/>
  <c r="J120" i="15"/>
  <c r="E577" i="3"/>
  <c r="E1182" i="4" s="1"/>
  <c r="H206" i="71"/>
  <c r="G987" i="4"/>
  <c r="EA986" i="4"/>
  <c r="DZ986" i="4"/>
  <c r="DY986" i="4"/>
  <c r="DX986" i="4"/>
  <c r="DW986" i="4"/>
  <c r="DV986" i="4"/>
  <c r="DU986" i="4"/>
  <c r="DT986" i="4"/>
  <c r="DS986" i="4"/>
  <c r="DR986" i="4"/>
  <c r="DQ986" i="4"/>
  <c r="DP986" i="4"/>
  <c r="DO986" i="4"/>
  <c r="DN986" i="4"/>
  <c r="DM986" i="4"/>
  <c r="DL986" i="4"/>
  <c r="DK986" i="4"/>
  <c r="DJ986" i="4"/>
  <c r="DI986" i="4"/>
  <c r="DH986" i="4"/>
  <c r="DG986" i="4"/>
  <c r="DF986" i="4"/>
  <c r="DE986" i="4"/>
  <c r="DD986" i="4"/>
  <c r="DC986" i="4"/>
  <c r="DB986" i="4"/>
  <c r="DA986" i="4"/>
  <c r="CZ986" i="4"/>
  <c r="CY986" i="4"/>
  <c r="CX986" i="4"/>
  <c r="CW986" i="4"/>
  <c r="CV986" i="4"/>
  <c r="CU986" i="4"/>
  <c r="CT986" i="4"/>
  <c r="CS986" i="4"/>
  <c r="CR986" i="4"/>
  <c r="CQ986" i="4"/>
  <c r="G986" i="4"/>
  <c r="EA985" i="4"/>
  <c r="DZ985" i="4"/>
  <c r="DY985" i="4"/>
  <c r="DX985" i="4"/>
  <c r="DW985" i="4"/>
  <c r="DV985" i="4"/>
  <c r="DU985" i="4"/>
  <c r="DT985" i="4"/>
  <c r="DS985" i="4"/>
  <c r="DR985" i="4"/>
  <c r="DQ985" i="4"/>
  <c r="DP985" i="4"/>
  <c r="DO985" i="4"/>
  <c r="DP987" i="4" s="1"/>
  <c r="DN985" i="4"/>
  <c r="DM985" i="4"/>
  <c r="DL985" i="4"/>
  <c r="DK985" i="4"/>
  <c r="DJ985" i="4"/>
  <c r="DI985" i="4"/>
  <c r="DH985" i="4"/>
  <c r="DG985" i="4"/>
  <c r="DF985" i="4"/>
  <c r="DE985" i="4"/>
  <c r="DD985" i="4"/>
  <c r="DD987" i="4" s="1"/>
  <c r="DC985" i="4"/>
  <c r="DB985" i="4"/>
  <c r="DA985" i="4"/>
  <c r="CZ985" i="4"/>
  <c r="CY985" i="4"/>
  <c r="CX985" i="4"/>
  <c r="CW985" i="4"/>
  <c r="CV985" i="4"/>
  <c r="CU985" i="4"/>
  <c r="CT985" i="4"/>
  <c r="CS985" i="4"/>
  <c r="CR985" i="4"/>
  <c r="CQ985" i="4"/>
  <c r="CP985" i="4"/>
  <c r="G985" i="4"/>
  <c r="E617" i="3"/>
  <c r="E976" i="4" s="1"/>
  <c r="E616" i="3"/>
  <c r="E975" i="4"/>
  <c r="G983" i="4"/>
  <c r="G982" i="4"/>
  <c r="G981" i="4"/>
  <c r="EA980" i="4"/>
  <c r="DZ980" i="4"/>
  <c r="DY980" i="4"/>
  <c r="DX980" i="4"/>
  <c r="DW980" i="4"/>
  <c r="DV980" i="4"/>
  <c r="DU980" i="4"/>
  <c r="DT980" i="4"/>
  <c r="DS980" i="4"/>
  <c r="DR980" i="4"/>
  <c r="DQ980" i="4"/>
  <c r="DP980" i="4"/>
  <c r="DO980" i="4"/>
  <c r="DN980" i="4"/>
  <c r="DM980" i="4"/>
  <c r="DL980" i="4"/>
  <c r="DK980" i="4"/>
  <c r="DJ980" i="4"/>
  <c r="DI980" i="4"/>
  <c r="DH980" i="4"/>
  <c r="DG980" i="4"/>
  <c r="DF980" i="4"/>
  <c r="DE980" i="4"/>
  <c r="DD980" i="4"/>
  <c r="DC980" i="4"/>
  <c r="DB980" i="4"/>
  <c r="DA980" i="4"/>
  <c r="CZ980" i="4"/>
  <c r="CY980" i="4"/>
  <c r="CX980" i="4"/>
  <c r="CW980" i="4"/>
  <c r="CV980" i="4"/>
  <c r="CU980" i="4"/>
  <c r="CT980" i="4"/>
  <c r="CS980" i="4"/>
  <c r="CR980" i="4"/>
  <c r="CQ980" i="4"/>
  <c r="CP980" i="4"/>
  <c r="G980" i="4"/>
  <c r="L979" i="4"/>
  <c r="G979" i="4"/>
  <c r="E539" i="4"/>
  <c r="E538" i="4"/>
  <c r="E537" i="4"/>
  <c r="E536" i="4"/>
  <c r="DN987" i="4"/>
  <c r="E111" i="3"/>
  <c r="E530" i="4" s="1"/>
  <c r="E552" i="4" s="1"/>
  <c r="E43" i="68"/>
  <c r="D43" i="68"/>
  <c r="C43" i="68"/>
  <c r="B43" i="68"/>
  <c r="B25" i="68"/>
  <c r="E535" i="4"/>
  <c r="E534" i="4"/>
  <c r="X50" i="3"/>
  <c r="Y50" i="3"/>
  <c r="Z50" i="3" s="1"/>
  <c r="AA50" i="3" s="1"/>
  <c r="AB50" i="3" s="1"/>
  <c r="AC50" i="3" s="1"/>
  <c r="AD50" i="3" s="1"/>
  <c r="AE50" i="3" s="1"/>
  <c r="AF50" i="3" s="1"/>
  <c r="AG50" i="3" s="1"/>
  <c r="AH50" i="3" s="1"/>
  <c r="AI50" i="3" s="1"/>
  <c r="AJ50" i="3" s="1"/>
  <c r="AK50" i="3" s="1"/>
  <c r="AL50" i="3" s="1"/>
  <c r="AM50" i="3" s="1"/>
  <c r="AN50" i="3" s="1"/>
  <c r="AO50" i="3" s="1"/>
  <c r="AP50" i="3" s="1"/>
  <c r="AQ50" i="3" s="1"/>
  <c r="AR50" i="3" s="1"/>
  <c r="AC49" i="3"/>
  <c r="AD49" i="3"/>
  <c r="AE49" i="3" s="1"/>
  <c r="AF49" i="3" s="1"/>
  <c r="AG49" i="3" s="1"/>
  <c r="AH49" i="3" s="1"/>
  <c r="AI49" i="3" s="1"/>
  <c r="AJ49" i="3" s="1"/>
  <c r="AK49" i="3" s="1"/>
  <c r="AL49" i="3" s="1"/>
  <c r="AM49" i="3" s="1"/>
  <c r="AN49" i="3" s="1"/>
  <c r="AO49" i="3" s="1"/>
  <c r="AP49" i="3" s="1"/>
  <c r="AQ49" i="3" s="1"/>
  <c r="AR49" i="3" s="1"/>
  <c r="AC48" i="3"/>
  <c r="AD48" i="3" s="1"/>
  <c r="AE48" i="3" s="1"/>
  <c r="AF48" i="3" s="1"/>
  <c r="AG48" i="3" s="1"/>
  <c r="AH48" i="3" s="1"/>
  <c r="AI48" i="3" s="1"/>
  <c r="AJ48" i="3" s="1"/>
  <c r="AK48" i="3" s="1"/>
  <c r="AL48" i="3" s="1"/>
  <c r="AM48" i="3" s="1"/>
  <c r="AN48" i="3" s="1"/>
  <c r="AO48" i="3" s="1"/>
  <c r="AP48" i="3" s="1"/>
  <c r="AQ48" i="3" s="1"/>
  <c r="AR48" i="3" s="1"/>
  <c r="AA45" i="3"/>
  <c r="AB45" i="3"/>
  <c r="AC45" i="3" s="1"/>
  <c r="AD45" i="3" s="1"/>
  <c r="AE45" i="3" s="1"/>
  <c r="AF45" i="3" s="1"/>
  <c r="AG45" i="3" s="1"/>
  <c r="AH45" i="3" s="1"/>
  <c r="AI45" i="3" s="1"/>
  <c r="AJ45" i="3" s="1"/>
  <c r="AK45" i="3" s="1"/>
  <c r="AL45" i="3" s="1"/>
  <c r="AM45" i="3" s="1"/>
  <c r="AN45" i="3" s="1"/>
  <c r="AO45" i="3" s="1"/>
  <c r="AP45" i="3" s="1"/>
  <c r="AQ45" i="3" s="1"/>
  <c r="AR45" i="3" s="1"/>
  <c r="E560" i="3"/>
  <c r="E1097" i="4" s="1"/>
  <c r="E1032" i="4"/>
  <c r="C601" i="3"/>
  <c r="G959" i="4"/>
  <c r="G335" i="4"/>
  <c r="E424" i="4"/>
  <c r="L424" i="4" s="1"/>
  <c r="E446" i="4"/>
  <c r="L446" i="4" s="1"/>
  <c r="E22" i="3"/>
  <c r="G896" i="4"/>
  <c r="G188" i="4"/>
  <c r="H301" i="3"/>
  <c r="G360" i="3"/>
  <c r="G531" i="3"/>
  <c r="G1052" i="4"/>
  <c r="CP917" i="4"/>
  <c r="CO917" i="4"/>
  <c r="CN917" i="4"/>
  <c r="CM917" i="4"/>
  <c r="CL917" i="4"/>
  <c r="CK917" i="4"/>
  <c r="CJ917" i="4"/>
  <c r="CI917" i="4"/>
  <c r="CH917" i="4"/>
  <c r="CG917" i="4"/>
  <c r="CF917" i="4"/>
  <c r="CE917" i="4"/>
  <c r="CD917" i="4"/>
  <c r="CC917" i="4"/>
  <c r="CB917" i="4"/>
  <c r="CA917" i="4"/>
  <c r="BZ917" i="4"/>
  <c r="BY917" i="4"/>
  <c r="BX917" i="4"/>
  <c r="BW917" i="4"/>
  <c r="BV917" i="4"/>
  <c r="BU917" i="4"/>
  <c r="BT917" i="4"/>
  <c r="BS917" i="4"/>
  <c r="BR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P917" i="4"/>
  <c r="AO917" i="4"/>
  <c r="AN917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O917" i="4"/>
  <c r="N917" i="4"/>
  <c r="M917" i="4"/>
  <c r="L917" i="4"/>
  <c r="G909" i="4"/>
  <c r="E678" i="4"/>
  <c r="L7" i="67"/>
  <c r="L6" i="67" s="1"/>
  <c r="G101" i="67"/>
  <c r="G100" i="67"/>
  <c r="G99" i="67"/>
  <c r="G97" i="67"/>
  <c r="G96" i="67"/>
  <c r="G95" i="67"/>
  <c r="G93" i="67"/>
  <c r="G91" i="67"/>
  <c r="G90" i="67"/>
  <c r="G89" i="67"/>
  <c r="G88" i="67"/>
  <c r="G87" i="67"/>
  <c r="G86" i="67"/>
  <c r="G85" i="67"/>
  <c r="G82" i="67"/>
  <c r="G81" i="67"/>
  <c r="G78" i="67"/>
  <c r="G77" i="67"/>
  <c r="G76" i="67"/>
  <c r="G75" i="67"/>
  <c r="G74" i="67"/>
  <c r="G73" i="67"/>
  <c r="G72" i="67"/>
  <c r="G71" i="67"/>
  <c r="G70" i="67"/>
  <c r="G69" i="67"/>
  <c r="G62" i="67"/>
  <c r="G61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0" i="67"/>
  <c r="G39" i="67"/>
  <c r="G35" i="67"/>
  <c r="G34" i="67"/>
  <c r="G33" i="67"/>
  <c r="G31" i="67"/>
  <c r="G30" i="67"/>
  <c r="G28" i="67"/>
  <c r="G27" i="67"/>
  <c r="G26" i="67"/>
  <c r="G25" i="67"/>
  <c r="G21" i="67"/>
  <c r="G20" i="67"/>
  <c r="G19" i="67"/>
  <c r="G18" i="67"/>
  <c r="G17" i="67"/>
  <c r="G15" i="67"/>
  <c r="G14" i="67"/>
  <c r="G13" i="67"/>
  <c r="B2" i="67"/>
  <c r="G685" i="4"/>
  <c r="E1065" i="4"/>
  <c r="E85" i="4"/>
  <c r="E347" i="3" s="1"/>
  <c r="E79" i="4"/>
  <c r="C79" i="4" s="1"/>
  <c r="E359" i="3"/>
  <c r="E232" i="3"/>
  <c r="E208" i="3"/>
  <c r="C85" i="4"/>
  <c r="E87" i="64"/>
  <c r="G1355" i="4"/>
  <c r="E271" i="3"/>
  <c r="E1033" i="4"/>
  <c r="G818" i="4"/>
  <c r="E805" i="4"/>
  <c r="E818" i="4" s="1"/>
  <c r="G791" i="4"/>
  <c r="G792" i="4"/>
  <c r="G793" i="4"/>
  <c r="G794" i="4"/>
  <c r="G795" i="4"/>
  <c r="E730" i="4"/>
  <c r="E762" i="4" s="1"/>
  <c r="I13" i="62"/>
  <c r="E572" i="3"/>
  <c r="E573" i="3" s="1"/>
  <c r="E1155" i="4" s="1"/>
  <c r="E1154" i="4" s="1"/>
  <c r="M388" i="3"/>
  <c r="N388" i="3" s="1"/>
  <c r="O388" i="3" s="1"/>
  <c r="C44" i="15"/>
  <c r="C34" i="4" s="1"/>
  <c r="C144" i="4" s="1"/>
  <c r="C172" i="4" s="1"/>
  <c r="C43" i="15"/>
  <c r="C33" i="4" s="1"/>
  <c r="C42" i="15"/>
  <c r="C32" i="15"/>
  <c r="C31" i="15"/>
  <c r="C30" i="15"/>
  <c r="C333" i="3"/>
  <c r="C436" i="3"/>
  <c r="C303" i="3"/>
  <c r="C487" i="3" s="1"/>
  <c r="C415" i="3"/>
  <c r="C244" i="3"/>
  <c r="C509" i="3"/>
  <c r="G48" i="66"/>
  <c r="C171" i="15"/>
  <c r="C170" i="15"/>
  <c r="C169" i="15"/>
  <c r="C168" i="15"/>
  <c r="C167" i="15"/>
  <c r="C165" i="15"/>
  <c r="C164" i="15"/>
  <c r="C163" i="15"/>
  <c r="C162" i="15"/>
  <c r="C161" i="15"/>
  <c r="C159" i="15"/>
  <c r="C158" i="15"/>
  <c r="C157" i="15"/>
  <c r="H156" i="15"/>
  <c r="I156" i="15" s="1"/>
  <c r="J156" i="15" s="1"/>
  <c r="K156" i="15"/>
  <c r="L156" i="15" s="1"/>
  <c r="M156" i="15" s="1"/>
  <c r="C150" i="15"/>
  <c r="C149" i="15"/>
  <c r="C148" i="15"/>
  <c r="C147" i="15"/>
  <c r="C146" i="15"/>
  <c r="C144" i="15"/>
  <c r="C143" i="15"/>
  <c r="C142" i="15"/>
  <c r="C140" i="15"/>
  <c r="C139" i="15"/>
  <c r="C138" i="15"/>
  <c r="C137" i="15"/>
  <c r="H136" i="15"/>
  <c r="I136" i="15" s="1"/>
  <c r="G34" i="66"/>
  <c r="G33" i="66"/>
  <c r="CO47" i="64"/>
  <c r="CN47" i="64"/>
  <c r="G44" i="66"/>
  <c r="G42" i="66"/>
  <c r="G22" i="66"/>
  <c r="G43" i="66"/>
  <c r="G41" i="66"/>
  <c r="G40" i="66"/>
  <c r="G39" i="66"/>
  <c r="G38" i="66"/>
  <c r="G37" i="66"/>
  <c r="G36" i="66"/>
  <c r="G35" i="66"/>
  <c r="G32" i="66"/>
  <c r="G18" i="66"/>
  <c r="G17" i="66"/>
  <c r="G16" i="66"/>
  <c r="G15" i="66"/>
  <c r="G14" i="66"/>
  <c r="G13" i="66"/>
  <c r="G24" i="66"/>
  <c r="G23" i="66"/>
  <c r="G21" i="66"/>
  <c r="G20" i="66"/>
  <c r="G19" i="66"/>
  <c r="B2" i="66"/>
  <c r="E26" i="62"/>
  <c r="E27" i="62"/>
  <c r="E1117" i="4"/>
  <c r="E1343" i="4"/>
  <c r="J136" i="15"/>
  <c r="K136" i="15" s="1"/>
  <c r="L136" i="15" s="1"/>
  <c r="M136" i="15" s="1"/>
  <c r="E1019" i="4"/>
  <c r="E1064" i="4"/>
  <c r="C719" i="4"/>
  <c r="C158" i="3"/>
  <c r="C116" i="4"/>
  <c r="C702" i="4" s="1"/>
  <c r="C697" i="4"/>
  <c r="C37" i="4"/>
  <c r="C35" i="4"/>
  <c r="C451" i="3"/>
  <c r="C708" i="4" s="1"/>
  <c r="C718" i="4" s="1"/>
  <c r="C449" i="3"/>
  <c r="C706" i="4" s="1"/>
  <c r="C716" i="4" s="1"/>
  <c r="C335" i="3"/>
  <c r="C246" i="3"/>
  <c r="C220" i="3"/>
  <c r="C91" i="15"/>
  <c r="C90" i="15"/>
  <c r="C89" i="15"/>
  <c r="E36" i="3"/>
  <c r="C67" i="15"/>
  <c r="C79" i="15"/>
  <c r="C87" i="15"/>
  <c r="C65" i="15"/>
  <c r="C77" i="15"/>
  <c r="C85" i="15"/>
  <c r="C56" i="15"/>
  <c r="C54" i="15"/>
  <c r="C50" i="15"/>
  <c r="C48" i="15"/>
  <c r="C40" i="15"/>
  <c r="C38" i="15"/>
  <c r="C445" i="3"/>
  <c r="C44" i="4"/>
  <c r="C311" i="4"/>
  <c r="C312" i="4"/>
  <c r="C516" i="4"/>
  <c r="C700" i="4"/>
  <c r="C41" i="4"/>
  <c r="C51" i="4"/>
  <c r="CO609" i="3"/>
  <c r="CN609" i="3"/>
  <c r="CN963" i="4" s="1"/>
  <c r="CM609" i="3"/>
  <c r="CM963" i="4" s="1"/>
  <c r="CL609" i="3"/>
  <c r="CL963" i="4" s="1"/>
  <c r="CK609" i="3"/>
  <c r="CK963" i="4" s="1"/>
  <c r="CJ609" i="3"/>
  <c r="CJ963" i="4" s="1"/>
  <c r="CI609" i="3"/>
  <c r="CI963" i="4" s="1"/>
  <c r="CH609" i="3"/>
  <c r="CH963" i="4" s="1"/>
  <c r="CG609" i="3"/>
  <c r="CF609" i="3"/>
  <c r="CE609" i="3"/>
  <c r="CE963" i="4" s="1"/>
  <c r="CD609" i="3"/>
  <c r="CD963" i="4" s="1"/>
  <c r="CC609" i="3"/>
  <c r="CB609" i="3"/>
  <c r="CB963" i="4" s="1"/>
  <c r="CA609" i="3"/>
  <c r="CA963" i="4" s="1"/>
  <c r="BZ609" i="3"/>
  <c r="BY609" i="3"/>
  <c r="BY963" i="4" s="1"/>
  <c r="BX609" i="3"/>
  <c r="BX963" i="4" s="1"/>
  <c r="BW609" i="3"/>
  <c r="BW963" i="4" s="1"/>
  <c r="BV609" i="3"/>
  <c r="BV958" i="4" s="1"/>
  <c r="BU609" i="3"/>
  <c r="BU963" i="4" s="1"/>
  <c r="BT609" i="3"/>
  <c r="BT963" i="4" s="1"/>
  <c r="BS609" i="3"/>
  <c r="BS958" i="4" s="1"/>
  <c r="BR609" i="3"/>
  <c r="BR958" i="4" s="1"/>
  <c r="BQ609" i="3"/>
  <c r="BQ958" i="4" s="1"/>
  <c r="BP609" i="3"/>
  <c r="BP963" i="4" s="1"/>
  <c r="BO609" i="3"/>
  <c r="BO963" i="4" s="1"/>
  <c r="BN609" i="3"/>
  <c r="BN963" i="4" s="1"/>
  <c r="BM609" i="3"/>
  <c r="BL609" i="3"/>
  <c r="BL963" i="4" s="1"/>
  <c r="BK609" i="3"/>
  <c r="BK963" i="4" s="1"/>
  <c r="BJ609" i="3"/>
  <c r="BI609" i="3"/>
  <c r="BI963" i="4" s="1"/>
  <c r="BH609" i="3"/>
  <c r="BH963" i="4" s="1"/>
  <c r="BG609" i="3"/>
  <c r="BF609" i="3"/>
  <c r="BF958" i="4" s="1"/>
  <c r="BE609" i="3"/>
  <c r="BE963" i="4" s="1"/>
  <c r="BD609" i="3"/>
  <c r="BD963" i="4" s="1"/>
  <c r="BC609" i="3"/>
  <c r="BC963" i="4" s="1"/>
  <c r="BB609" i="3"/>
  <c r="BA609" i="3"/>
  <c r="AZ609" i="3"/>
  <c r="AY609" i="3"/>
  <c r="AY963" i="4" s="1"/>
  <c r="AX609" i="3"/>
  <c r="AX963" i="4" s="1"/>
  <c r="AW609" i="3"/>
  <c r="AV609" i="3"/>
  <c r="AV963" i="4" s="1"/>
  <c r="AU609" i="3"/>
  <c r="AU963" i="4" s="1"/>
  <c r="AT609" i="3"/>
  <c r="AT963" i="4" s="1"/>
  <c r="AS609" i="3"/>
  <c r="AS958" i="4" s="1"/>
  <c r="AR609" i="3"/>
  <c r="AR963" i="4" s="1"/>
  <c r="AQ609" i="3"/>
  <c r="AQ963" i="4" s="1"/>
  <c r="AP609" i="3"/>
  <c r="AP958" i="4" s="1"/>
  <c r="AO609" i="3"/>
  <c r="AO963" i="4" s="1"/>
  <c r="AN609" i="3"/>
  <c r="AM609" i="3"/>
  <c r="AM963" i="4" s="1"/>
  <c r="AL609" i="3"/>
  <c r="AK609" i="3"/>
  <c r="AJ609" i="3"/>
  <c r="AJ963" i="4" s="1"/>
  <c r="AI609" i="3"/>
  <c r="AH609" i="3"/>
  <c r="AH958" i="4" s="1"/>
  <c r="AG609" i="3"/>
  <c r="AF609" i="3"/>
  <c r="AF963" i="4" s="1"/>
  <c r="AE609" i="3"/>
  <c r="AE958" i="4" s="1"/>
  <c r="AD609" i="3"/>
  <c r="AD963" i="4" s="1"/>
  <c r="AC609" i="3"/>
  <c r="AC958" i="4" s="1"/>
  <c r="AB609" i="3"/>
  <c r="AB963" i="4" s="1"/>
  <c r="AA609" i="3"/>
  <c r="AA963" i="4" s="1"/>
  <c r="Z609" i="3"/>
  <c r="Z963" i="4" s="1"/>
  <c r="Y609" i="3"/>
  <c r="Y963" i="4" s="1"/>
  <c r="X609" i="3"/>
  <c r="X963" i="4" s="1"/>
  <c r="W609" i="3"/>
  <c r="W958" i="4" s="1"/>
  <c r="V609" i="3"/>
  <c r="U609" i="3"/>
  <c r="T609" i="3"/>
  <c r="S609" i="3"/>
  <c r="S963" i="4" s="1"/>
  <c r="R609" i="3"/>
  <c r="R963" i="4" s="1"/>
  <c r="Q609" i="3"/>
  <c r="Q958" i="4" s="1"/>
  <c r="P609" i="3"/>
  <c r="P963" i="4" s="1"/>
  <c r="O609" i="3"/>
  <c r="O958" i="4" s="1"/>
  <c r="N609" i="3"/>
  <c r="M609" i="3"/>
  <c r="L609" i="3"/>
  <c r="L963" i="4" s="1"/>
  <c r="L404" i="4"/>
  <c r="L394" i="4"/>
  <c r="L384" i="4"/>
  <c r="L374" i="4"/>
  <c r="L364" i="4"/>
  <c r="L354" i="4"/>
  <c r="L433" i="4"/>
  <c r="L422" i="4"/>
  <c r="L413" i="4"/>
  <c r="G329" i="4"/>
  <c r="G328" i="4"/>
  <c r="G327" i="4"/>
  <c r="G326" i="4"/>
  <c r="G325" i="4"/>
  <c r="G324" i="4"/>
  <c r="G323" i="4"/>
  <c r="E1165" i="4"/>
  <c r="G274" i="4"/>
  <c r="E274" i="4"/>
  <c r="G153" i="3"/>
  <c r="CO998" i="4"/>
  <c r="CN998" i="4"/>
  <c r="CM998" i="4"/>
  <c r="CL998" i="4"/>
  <c r="CK998" i="4"/>
  <c r="CJ998" i="4"/>
  <c r="CI998" i="4"/>
  <c r="CH998" i="4"/>
  <c r="CG998" i="4"/>
  <c r="CF998" i="4"/>
  <c r="CE998" i="4"/>
  <c r="CD998" i="4"/>
  <c r="CC998" i="4"/>
  <c r="CB998" i="4"/>
  <c r="CA998" i="4"/>
  <c r="BZ998" i="4"/>
  <c r="BY998" i="4"/>
  <c r="BX998" i="4"/>
  <c r="BW998" i="4"/>
  <c r="BV998" i="4"/>
  <c r="BU998" i="4"/>
  <c r="BT998" i="4"/>
  <c r="BS998" i="4"/>
  <c r="BR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AN998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CO963" i="4"/>
  <c r="CG963" i="4"/>
  <c r="CF963" i="4"/>
  <c r="CC963" i="4"/>
  <c r="BZ963" i="4"/>
  <c r="BR963" i="4"/>
  <c r="BQ963" i="4"/>
  <c r="BM963" i="4"/>
  <c r="BJ963" i="4"/>
  <c r="BB963" i="4"/>
  <c r="BA963" i="4"/>
  <c r="AZ963" i="4"/>
  <c r="AW963" i="4"/>
  <c r="AL963" i="4"/>
  <c r="AK963" i="4"/>
  <c r="AG963" i="4"/>
  <c r="V963" i="4"/>
  <c r="U963" i="4"/>
  <c r="T963" i="4"/>
  <c r="CO958" i="4"/>
  <c r="CG958" i="4"/>
  <c r="BZ958" i="4"/>
  <c r="BY958" i="4"/>
  <c r="BJ958" i="4"/>
  <c r="BI958" i="4"/>
  <c r="BC958" i="4"/>
  <c r="BB958" i="4"/>
  <c r="BA958" i="4"/>
  <c r="AL958" i="4"/>
  <c r="AK958" i="4"/>
  <c r="AD958" i="4"/>
  <c r="V958" i="4"/>
  <c r="U958" i="4"/>
  <c r="CO286" i="4"/>
  <c r="CN286" i="4"/>
  <c r="CM286" i="4"/>
  <c r="CL286" i="4"/>
  <c r="CK286" i="4"/>
  <c r="CJ286" i="4"/>
  <c r="CI286" i="4"/>
  <c r="CH286" i="4"/>
  <c r="CG286" i="4"/>
  <c r="CF286" i="4"/>
  <c r="CE286" i="4"/>
  <c r="CD286" i="4"/>
  <c r="CC286" i="4"/>
  <c r="CB286" i="4"/>
  <c r="CA286" i="4"/>
  <c r="BZ286" i="4"/>
  <c r="BY286" i="4"/>
  <c r="BX286" i="4"/>
  <c r="BW286" i="4"/>
  <c r="BV286" i="4"/>
  <c r="BU286" i="4"/>
  <c r="BT286" i="4"/>
  <c r="BS286" i="4"/>
  <c r="BR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L1173" i="4"/>
  <c r="L1163" i="4"/>
  <c r="L1135" i="4"/>
  <c r="L1415" i="4" s="1"/>
  <c r="L1085" i="4"/>
  <c r="L1011" i="4"/>
  <c r="R998" i="4"/>
  <c r="Q998" i="4"/>
  <c r="P998" i="4"/>
  <c r="O998" i="4"/>
  <c r="N998" i="4"/>
  <c r="M998" i="4"/>
  <c r="L998" i="4"/>
  <c r="L968" i="4"/>
  <c r="Q963" i="4"/>
  <c r="O963" i="4"/>
  <c r="N963" i="4"/>
  <c r="M963" i="4"/>
  <c r="N958" i="4"/>
  <c r="M958" i="4"/>
  <c r="L943" i="4"/>
  <c r="L935" i="4"/>
  <c r="L927" i="4"/>
  <c r="L477" i="4"/>
  <c r="L466" i="4"/>
  <c r="L455" i="4"/>
  <c r="L444" i="4"/>
  <c r="R286" i="4"/>
  <c r="Q286" i="4"/>
  <c r="P286" i="4"/>
  <c r="O286" i="4"/>
  <c r="N286" i="4"/>
  <c r="M286" i="4"/>
  <c r="L286" i="4"/>
  <c r="L84" i="4"/>
  <c r="L78" i="4"/>
  <c r="L77" i="4"/>
  <c r="L21" i="4"/>
  <c r="S286" i="4"/>
  <c r="G1165" i="4"/>
  <c r="G1166" i="4"/>
  <c r="G1168" i="4"/>
  <c r="E1166" i="4"/>
  <c r="G415" i="4"/>
  <c r="G414" i="4"/>
  <c r="G413" i="4"/>
  <c r="G286" i="4"/>
  <c r="G287" i="4"/>
  <c r="G288" i="4"/>
  <c r="E275" i="4"/>
  <c r="E273" i="4"/>
  <c r="G275" i="4"/>
  <c r="G273" i="4"/>
  <c r="G154" i="3"/>
  <c r="G152" i="3"/>
  <c r="S998" i="4"/>
  <c r="G825" i="4"/>
  <c r="E965" i="4"/>
  <c r="E964" i="4"/>
  <c r="I59" i="62"/>
  <c r="G33" i="62"/>
  <c r="G32" i="62"/>
  <c r="E922" i="4"/>
  <c r="E923" i="4" s="1"/>
  <c r="G908" i="4"/>
  <c r="G1034" i="4"/>
  <c r="G1032" i="4"/>
  <c r="G624" i="3"/>
  <c r="G4" i="15"/>
  <c r="G343" i="4"/>
  <c r="G342" i="4"/>
  <c r="G341" i="4"/>
  <c r="E479" i="4"/>
  <c r="E468" i="4"/>
  <c r="E457" i="4"/>
  <c r="E475" i="4"/>
  <c r="E464" i="4"/>
  <c r="E453" i="4"/>
  <c r="AS454" i="4" s="1"/>
  <c r="G472" i="4"/>
  <c r="G471" i="4"/>
  <c r="G470" i="4"/>
  <c r="G469" i="4"/>
  <c r="G468" i="4"/>
  <c r="G467" i="4"/>
  <c r="G466" i="4"/>
  <c r="G461" i="4"/>
  <c r="G460" i="4"/>
  <c r="G459" i="4"/>
  <c r="G458" i="4"/>
  <c r="G457" i="4"/>
  <c r="G456" i="4"/>
  <c r="G455" i="4"/>
  <c r="E402" i="4"/>
  <c r="E392" i="4"/>
  <c r="BT393" i="4" s="1"/>
  <c r="E382" i="4"/>
  <c r="G399" i="4"/>
  <c r="G398" i="4"/>
  <c r="G397" i="4"/>
  <c r="G396" i="4"/>
  <c r="G395" i="4"/>
  <c r="G394" i="4"/>
  <c r="G389" i="4"/>
  <c r="G388" i="4"/>
  <c r="G387" i="4"/>
  <c r="G386" i="4"/>
  <c r="G385" i="4"/>
  <c r="G384" i="4"/>
  <c r="G1420" i="4"/>
  <c r="G1419" i="4"/>
  <c r="G1416" i="4"/>
  <c r="G1415" i="4"/>
  <c r="E1312" i="4"/>
  <c r="E1349" i="4"/>
  <c r="AY47" i="64"/>
  <c r="G890" i="4"/>
  <c r="G891" i="4"/>
  <c r="I272" i="4"/>
  <c r="C26" i="64"/>
  <c r="E26" i="64"/>
  <c r="M29" i="64" s="1"/>
  <c r="BH29" i="64"/>
  <c r="CK29" i="64"/>
  <c r="CC29" i="64"/>
  <c r="BM29" i="64"/>
  <c r="AG29" i="64"/>
  <c r="Y29" i="64"/>
  <c r="Q29" i="64"/>
  <c r="AE29" i="64"/>
  <c r="CB29" i="64"/>
  <c r="BT29" i="64"/>
  <c r="BL29" i="64"/>
  <c r="AV29" i="64"/>
  <c r="P29" i="64"/>
  <c r="CI29" i="64"/>
  <c r="BC29" i="64"/>
  <c r="U29" i="64"/>
  <c r="BZ29" i="64"/>
  <c r="BR29" i="64"/>
  <c r="BJ29" i="64"/>
  <c r="AT29" i="64"/>
  <c r="N29" i="64"/>
  <c r="CG29" i="64"/>
  <c r="BY29" i="64"/>
  <c r="BI29" i="64"/>
  <c r="AC29" i="64"/>
  <c r="BX29" i="64"/>
  <c r="AB29" i="64"/>
  <c r="G866" i="4"/>
  <c r="G865" i="4"/>
  <c r="G864" i="4"/>
  <c r="G863" i="4"/>
  <c r="E842" i="4"/>
  <c r="E866" i="4" s="1"/>
  <c r="E841" i="4"/>
  <c r="E865" i="4" s="1"/>
  <c r="E840" i="4"/>
  <c r="E864" i="4" s="1"/>
  <c r="E839" i="4"/>
  <c r="E863" i="4" s="1"/>
  <c r="E742" i="4"/>
  <c r="E741" i="4"/>
  <c r="E740" i="4"/>
  <c r="E766" i="4" s="1"/>
  <c r="E739" i="4"/>
  <c r="E756" i="4" s="1"/>
  <c r="G776" i="4"/>
  <c r="G775" i="4"/>
  <c r="G774" i="4"/>
  <c r="G773" i="4"/>
  <c r="G768" i="4"/>
  <c r="G767" i="4"/>
  <c r="G766" i="4"/>
  <c r="G765" i="4"/>
  <c r="G756" i="4"/>
  <c r="G757" i="4"/>
  <c r="G758" i="4"/>
  <c r="G759" i="4"/>
  <c r="E763" i="4"/>
  <c r="E774" i="4"/>
  <c r="E757" i="4"/>
  <c r="G121" i="64"/>
  <c r="G120" i="64"/>
  <c r="G119" i="64"/>
  <c r="G118" i="64"/>
  <c r="G116" i="64"/>
  <c r="G115" i="64"/>
  <c r="G114" i="64"/>
  <c r="G113" i="64"/>
  <c r="G112" i="64"/>
  <c r="G111" i="64"/>
  <c r="G106" i="64"/>
  <c r="G105" i="64"/>
  <c r="G82" i="64"/>
  <c r="G81" i="64"/>
  <c r="G80" i="64"/>
  <c r="G79" i="64"/>
  <c r="G78" i="64"/>
  <c r="G77" i="64"/>
  <c r="G74" i="64"/>
  <c r="G73" i="64"/>
  <c r="G72" i="64"/>
  <c r="G71" i="64"/>
  <c r="G70" i="64"/>
  <c r="G69" i="64"/>
  <c r="G66" i="64"/>
  <c r="G65" i="64"/>
  <c r="G64" i="64"/>
  <c r="G63" i="64"/>
  <c r="G62" i="64"/>
  <c r="G61" i="64"/>
  <c r="G55" i="64"/>
  <c r="G53" i="64"/>
  <c r="G52" i="64"/>
  <c r="G51" i="64"/>
  <c r="G49" i="64"/>
  <c r="CM47" i="64"/>
  <c r="CL47" i="64"/>
  <c r="CK47" i="64"/>
  <c r="CJ47" i="64"/>
  <c r="CI47" i="64"/>
  <c r="CH47" i="64"/>
  <c r="CG47" i="64"/>
  <c r="CF47" i="64"/>
  <c r="CE47" i="64"/>
  <c r="CD47" i="64"/>
  <c r="CC47" i="64"/>
  <c r="CB47" i="64"/>
  <c r="CA47" i="64"/>
  <c r="BZ47" i="64"/>
  <c r="BY47" i="64"/>
  <c r="BX47" i="64"/>
  <c r="BW47" i="64"/>
  <c r="BV47" i="64"/>
  <c r="BU47" i="64"/>
  <c r="BT47" i="64"/>
  <c r="BS47" i="64"/>
  <c r="BR47" i="64"/>
  <c r="BQ47" i="64"/>
  <c r="BP47" i="64"/>
  <c r="BO47" i="64"/>
  <c r="BN47" i="64"/>
  <c r="BM47" i="64"/>
  <c r="BL47" i="64"/>
  <c r="BK47" i="64"/>
  <c r="BJ47" i="64"/>
  <c r="BI47" i="64"/>
  <c r="BH47" i="64"/>
  <c r="BG47" i="64"/>
  <c r="BF47" i="64"/>
  <c r="BE47" i="64"/>
  <c r="BD47" i="64"/>
  <c r="BC47" i="64"/>
  <c r="BB47" i="64"/>
  <c r="BA47" i="64"/>
  <c r="AZ47" i="64"/>
  <c r="AX47" i="64"/>
  <c r="AW47" i="64"/>
  <c r="AV47" i="64"/>
  <c r="AU47" i="64"/>
  <c r="AT47" i="64"/>
  <c r="AS47" i="64"/>
  <c r="AR47" i="64"/>
  <c r="AQ47" i="64"/>
  <c r="AP47" i="64"/>
  <c r="AO47" i="64"/>
  <c r="AN47" i="64"/>
  <c r="AM47" i="64"/>
  <c r="AL47" i="64"/>
  <c r="AK47" i="64"/>
  <c r="AJ47" i="64"/>
  <c r="AI47" i="64"/>
  <c r="AH47" i="64"/>
  <c r="AG47" i="64"/>
  <c r="AF47" i="64"/>
  <c r="AE47" i="64"/>
  <c r="AD47" i="64"/>
  <c r="AC47" i="64"/>
  <c r="AB47" i="64"/>
  <c r="AA47" i="64"/>
  <c r="Z47" i="64"/>
  <c r="Y47" i="64"/>
  <c r="X47" i="64"/>
  <c r="W47" i="64"/>
  <c r="V47" i="64"/>
  <c r="U47" i="64"/>
  <c r="T47" i="64"/>
  <c r="S47" i="64"/>
  <c r="R47" i="64"/>
  <c r="Q47" i="64"/>
  <c r="P47" i="64"/>
  <c r="O47" i="64"/>
  <c r="N47" i="64"/>
  <c r="M47" i="64"/>
  <c r="L47" i="64"/>
  <c r="G47" i="64"/>
  <c r="I46" i="64"/>
  <c r="G46" i="64"/>
  <c r="I45" i="64"/>
  <c r="G45" i="64"/>
  <c r="G42" i="64"/>
  <c r="I41" i="64"/>
  <c r="G41" i="64"/>
  <c r="G40" i="64"/>
  <c r="G37" i="64"/>
  <c r="G36" i="64"/>
  <c r="G35" i="64"/>
  <c r="G21" i="64"/>
  <c r="G19" i="64"/>
  <c r="G18" i="64"/>
  <c r="G17" i="64"/>
  <c r="G15" i="64"/>
  <c r="G14" i="64"/>
  <c r="G13" i="64"/>
  <c r="B2" i="64"/>
  <c r="B2" i="63"/>
  <c r="I47" i="64"/>
  <c r="I15" i="64"/>
  <c r="C104" i="15"/>
  <c r="C98" i="15"/>
  <c r="G74" i="62"/>
  <c r="G73" i="62"/>
  <c r="G72" i="62"/>
  <c r="G70" i="62"/>
  <c r="G68" i="62"/>
  <c r="G67" i="62"/>
  <c r="G66" i="62"/>
  <c r="G65" i="62"/>
  <c r="G64" i="62"/>
  <c r="G63" i="62"/>
  <c r="G62" i="62"/>
  <c r="G48" i="62"/>
  <c r="G46" i="62"/>
  <c r="G45" i="62"/>
  <c r="G43" i="62"/>
  <c r="G42" i="62"/>
  <c r="G27" i="62"/>
  <c r="G26" i="62"/>
  <c r="G25" i="62"/>
  <c r="G24" i="62"/>
  <c r="G23" i="62"/>
  <c r="B2" i="62"/>
  <c r="E164" i="3"/>
  <c r="E901" i="4"/>
  <c r="E904" i="4" s="1"/>
  <c r="G58" i="15"/>
  <c r="E697" i="4"/>
  <c r="I697" i="4" s="1"/>
  <c r="G50" i="15"/>
  <c r="E516" i="4"/>
  <c r="G56" i="15"/>
  <c r="E700" i="4"/>
  <c r="G55" i="15"/>
  <c r="E699" i="4" s="1"/>
  <c r="G54" i="15"/>
  <c r="E698" i="4"/>
  <c r="G718" i="4"/>
  <c r="G717" i="4"/>
  <c r="G716" i="4"/>
  <c r="G889" i="4"/>
  <c r="G824" i="4"/>
  <c r="G823" i="4"/>
  <c r="G879" i="4"/>
  <c r="G878" i="4"/>
  <c r="G877" i="4"/>
  <c r="G876" i="4"/>
  <c r="G875" i="4"/>
  <c r="G874" i="4"/>
  <c r="G871" i="4"/>
  <c r="G870" i="4"/>
  <c r="G869" i="4"/>
  <c r="G862" i="4"/>
  <c r="G861" i="4"/>
  <c r="G860" i="4"/>
  <c r="G859" i="4"/>
  <c r="E854" i="4"/>
  <c r="E853" i="4"/>
  <c r="E852" i="4"/>
  <c r="E851" i="4"/>
  <c r="E850" i="4"/>
  <c r="E847" i="4"/>
  <c r="E846" i="4"/>
  <c r="E845" i="4"/>
  <c r="E836" i="4"/>
  <c r="E835" i="4"/>
  <c r="E834" i="4"/>
  <c r="E833" i="4"/>
  <c r="G719" i="4"/>
  <c r="G714" i="4"/>
  <c r="G713" i="4"/>
  <c r="G712" i="4"/>
  <c r="E708" i="4"/>
  <c r="E707" i="4"/>
  <c r="E706" i="4"/>
  <c r="G679" i="4"/>
  <c r="E679" i="4"/>
  <c r="G826" i="4"/>
  <c r="G49" i="15"/>
  <c r="E515" i="4" s="1"/>
  <c r="G48" i="15"/>
  <c r="E514" i="4" s="1"/>
  <c r="G680" i="4"/>
  <c r="G677" i="4"/>
  <c r="G676" i="4"/>
  <c r="M423" i="3"/>
  <c r="N423" i="3" s="1"/>
  <c r="O423" i="3" s="1"/>
  <c r="P423" i="3" s="1"/>
  <c r="Q423" i="3" s="1"/>
  <c r="R423" i="3" s="1"/>
  <c r="S423" i="3" s="1"/>
  <c r="T423" i="3" s="1"/>
  <c r="U423" i="3" s="1"/>
  <c r="M419" i="3"/>
  <c r="N419" i="3"/>
  <c r="O419" i="3" s="1"/>
  <c r="P419" i="3" s="1"/>
  <c r="Q419" i="3" s="1"/>
  <c r="R419" i="3" s="1"/>
  <c r="S419" i="3" s="1"/>
  <c r="T419" i="3" s="1"/>
  <c r="U419" i="3" s="1"/>
  <c r="G44" i="15"/>
  <c r="E109" i="4" s="1"/>
  <c r="I109" i="4" s="1"/>
  <c r="G43" i="15"/>
  <c r="E108" i="4"/>
  <c r="I108" i="4" s="1"/>
  <c r="G42" i="15"/>
  <c r="E107" i="4"/>
  <c r="I107" i="4" s="1"/>
  <c r="G40" i="15"/>
  <c r="E114" i="4" s="1"/>
  <c r="I114" i="4" s="1"/>
  <c r="G39" i="15"/>
  <c r="E113" i="4" s="1"/>
  <c r="I113" i="4" s="1"/>
  <c r="G38" i="15"/>
  <c r="E112" i="4"/>
  <c r="I112" i="4" s="1"/>
  <c r="G34" i="15"/>
  <c r="E104" i="4"/>
  <c r="G32" i="15"/>
  <c r="E97" i="4" s="1"/>
  <c r="E694" i="4" s="1"/>
  <c r="I694" i="4" s="1"/>
  <c r="G31" i="15"/>
  <c r="E96" i="4" s="1"/>
  <c r="G30" i="15"/>
  <c r="E95" i="4"/>
  <c r="G322" i="4"/>
  <c r="G285" i="4"/>
  <c r="G284" i="4"/>
  <c r="G283" i="4"/>
  <c r="G282" i="4"/>
  <c r="G281" i="4"/>
  <c r="G102" i="4"/>
  <c r="G101" i="4"/>
  <c r="G100" i="4"/>
  <c r="G271" i="4"/>
  <c r="G258" i="4"/>
  <c r="G257" i="4"/>
  <c r="G256" i="4"/>
  <c r="G255" i="4"/>
  <c r="G254" i="4"/>
  <c r="E244" i="4"/>
  <c r="G250" i="4"/>
  <c r="G249" i="4"/>
  <c r="G248" i="4"/>
  <c r="G247" i="4"/>
  <c r="G246" i="4"/>
  <c r="G243" i="4"/>
  <c r="G242" i="4"/>
  <c r="G241" i="4"/>
  <c r="H357" i="3"/>
  <c r="H356" i="3"/>
  <c r="H355" i="3"/>
  <c r="G352" i="3"/>
  <c r="G351" i="3"/>
  <c r="G350" i="3"/>
  <c r="G349" i="3"/>
  <c r="G348" i="3"/>
  <c r="G340" i="3"/>
  <c r="G270" i="4"/>
  <c r="G267" i="4"/>
  <c r="G266" i="4"/>
  <c r="G265" i="4"/>
  <c r="G235" i="4"/>
  <c r="G234" i="4"/>
  <c r="G233" i="4"/>
  <c r="G232" i="4"/>
  <c r="G231" i="4"/>
  <c r="G177" i="4"/>
  <c r="G176" i="4"/>
  <c r="G175" i="4"/>
  <c r="G174" i="4"/>
  <c r="G173" i="4"/>
  <c r="G170" i="4"/>
  <c r="G169" i="4"/>
  <c r="G168" i="4"/>
  <c r="G167" i="4"/>
  <c r="G166" i="4"/>
  <c r="G163" i="4"/>
  <c r="G162" i="4"/>
  <c r="G161" i="4"/>
  <c r="G160" i="4"/>
  <c r="G159" i="4"/>
  <c r="E148" i="4"/>
  <c r="G154" i="4"/>
  <c r="G153" i="4"/>
  <c r="G152" i="4"/>
  <c r="G151" i="4"/>
  <c r="G150" i="4"/>
  <c r="G147" i="4"/>
  <c r="G146" i="4"/>
  <c r="G145" i="4"/>
  <c r="G226" i="4"/>
  <c r="G225" i="4"/>
  <c r="G224" i="4"/>
  <c r="G223" i="4"/>
  <c r="E221" i="4"/>
  <c r="G141" i="4"/>
  <c r="G140" i="4"/>
  <c r="G139" i="4"/>
  <c r="G138" i="4"/>
  <c r="G129" i="4"/>
  <c r="G128" i="4"/>
  <c r="G127" i="4"/>
  <c r="G126" i="4"/>
  <c r="G227" i="4"/>
  <c r="G220" i="4"/>
  <c r="G219" i="4"/>
  <c r="G218" i="4"/>
  <c r="E313" i="3"/>
  <c r="E311" i="3"/>
  <c r="E309" i="3"/>
  <c r="H331" i="3"/>
  <c r="H330" i="3"/>
  <c r="H329" i="3"/>
  <c r="G326" i="3"/>
  <c r="G325" i="3"/>
  <c r="G324" i="3"/>
  <c r="G323" i="3"/>
  <c r="G322" i="3"/>
  <c r="G314" i="3"/>
  <c r="E350" i="3"/>
  <c r="E351" i="3" s="1"/>
  <c r="E348" i="3"/>
  <c r="E349" i="3"/>
  <c r="E352" i="3"/>
  <c r="E102" i="4" s="1"/>
  <c r="E136" i="4"/>
  <c r="G142" i="4"/>
  <c r="G135" i="4"/>
  <c r="G134" i="4"/>
  <c r="G133" i="4"/>
  <c r="G130" i="4"/>
  <c r="E124" i="4"/>
  <c r="G123" i="4"/>
  <c r="G122" i="4"/>
  <c r="G121" i="4"/>
  <c r="H242" i="3"/>
  <c r="H241" i="3"/>
  <c r="H240" i="3"/>
  <c r="G226" i="3"/>
  <c r="H218" i="3"/>
  <c r="H217" i="3"/>
  <c r="H216" i="3"/>
  <c r="G201" i="3"/>
  <c r="H186" i="3"/>
  <c r="H185" i="3"/>
  <c r="H184" i="3"/>
  <c r="G178" i="3"/>
  <c r="G169" i="3"/>
  <c r="G234" i="3"/>
  <c r="G210" i="3"/>
  <c r="H300" i="3"/>
  <c r="H299" i="3"/>
  <c r="H298" i="3"/>
  <c r="H297" i="3"/>
  <c r="H296" i="3"/>
  <c r="G237" i="3"/>
  <c r="G236" i="3"/>
  <c r="G235" i="3"/>
  <c r="G233" i="3"/>
  <c r="E224" i="3"/>
  <c r="E226" i="3" s="1"/>
  <c r="E233" i="3" s="1"/>
  <c r="E200" i="3"/>
  <c r="E198" i="3"/>
  <c r="E196" i="3"/>
  <c r="E194" i="3"/>
  <c r="E192" i="3"/>
  <c r="G213" i="3"/>
  <c r="G212" i="3"/>
  <c r="G211" i="3"/>
  <c r="G209" i="3"/>
  <c r="G179" i="3"/>
  <c r="G181" i="3"/>
  <c r="G180" i="3"/>
  <c r="G177" i="3"/>
  <c r="E235" i="3"/>
  <c r="E236" i="3" s="1"/>
  <c r="E237" i="3" s="1"/>
  <c r="E168" i="3"/>
  <c r="E166" i="3"/>
  <c r="G285" i="3"/>
  <c r="G286" i="3"/>
  <c r="G287" i="3"/>
  <c r="G288" i="3"/>
  <c r="G289" i="3"/>
  <c r="G290" i="3"/>
  <c r="G291" i="3"/>
  <c r="G292" i="3"/>
  <c r="G293" i="3"/>
  <c r="F3" i="15"/>
  <c r="H15" i="1"/>
  <c r="H14" i="1"/>
  <c r="G1043" i="4"/>
  <c r="G1044" i="4"/>
  <c r="G1045" i="4"/>
  <c r="G1046" i="4"/>
  <c r="G1047" i="4"/>
  <c r="G1048" i="4"/>
  <c r="G19" i="13"/>
  <c r="G18" i="13"/>
  <c r="G17" i="13"/>
  <c r="G15" i="13"/>
  <c r="G14" i="13"/>
  <c r="G13" i="13"/>
  <c r="G12" i="13"/>
  <c r="E561" i="3"/>
  <c r="E1098" i="4"/>
  <c r="CI1098" i="4" s="1"/>
  <c r="E559" i="3"/>
  <c r="E1096" i="4" s="1"/>
  <c r="E537" i="3"/>
  <c r="E1063" i="4" s="1"/>
  <c r="J116" i="15"/>
  <c r="G51" i="11"/>
  <c r="G50" i="11"/>
  <c r="G49" i="11"/>
  <c r="G819" i="4"/>
  <c r="G906" i="4"/>
  <c r="G48" i="11"/>
  <c r="G811" i="4"/>
  <c r="G810" i="4"/>
  <c r="G809" i="4"/>
  <c r="G816" i="4"/>
  <c r="G817" i="4"/>
  <c r="G814" i="4"/>
  <c r="G815" i="4"/>
  <c r="G813" i="4"/>
  <c r="G903" i="4"/>
  <c r="G796" i="4"/>
  <c r="G789" i="4"/>
  <c r="G772" i="4"/>
  <c r="G771" i="4"/>
  <c r="G764" i="4"/>
  <c r="G763" i="4"/>
  <c r="G762" i="4"/>
  <c r="G777" i="4"/>
  <c r="G755" i="4"/>
  <c r="G754" i="4"/>
  <c r="G751" i="4"/>
  <c r="G750" i="4"/>
  <c r="G749" i="4"/>
  <c r="E817" i="4"/>
  <c r="E801" i="4"/>
  <c r="E814" i="4" s="1"/>
  <c r="E802" i="4"/>
  <c r="E815" i="4" s="1"/>
  <c r="E800" i="4"/>
  <c r="E813" i="4" s="1"/>
  <c r="E785" i="4"/>
  <c r="E795" i="4" s="1"/>
  <c r="E784" i="4"/>
  <c r="E794" i="4" s="1"/>
  <c r="E793" i="4"/>
  <c r="E782" i="4"/>
  <c r="E792" i="4" s="1"/>
  <c r="E781" i="4"/>
  <c r="E791" i="4" s="1"/>
  <c r="E771" i="4"/>
  <c r="E726" i="4"/>
  <c r="E754" i="4" s="1"/>
  <c r="G629" i="4"/>
  <c r="G623" i="4"/>
  <c r="G619" i="4"/>
  <c r="E562" i="4"/>
  <c r="E557" i="4"/>
  <c r="G608" i="4"/>
  <c r="E533" i="4"/>
  <c r="E532" i="4"/>
  <c r="E531" i="4"/>
  <c r="E553" i="4"/>
  <c r="G212" i="4"/>
  <c r="G211" i="4"/>
  <c r="G210" i="4"/>
  <c r="G209" i="4"/>
  <c r="G208" i="4"/>
  <c r="G207" i="4"/>
  <c r="G206" i="4"/>
  <c r="G205" i="4"/>
  <c r="G204" i="4"/>
  <c r="G200" i="4"/>
  <c r="E190" i="4"/>
  <c r="E189" i="4"/>
  <c r="G199" i="4"/>
  <c r="G198" i="4"/>
  <c r="G197" i="4"/>
  <c r="G196" i="4"/>
  <c r="G195" i="4"/>
  <c r="G194" i="4"/>
  <c r="G193" i="4"/>
  <c r="G192" i="4"/>
  <c r="G187" i="4"/>
  <c r="G186" i="4"/>
  <c r="G185" i="4"/>
  <c r="G184" i="4"/>
  <c r="G183" i="4"/>
  <c r="G277" i="3"/>
  <c r="G272" i="3"/>
  <c r="E269" i="3"/>
  <c r="E267" i="3"/>
  <c r="H267" i="3" s="1"/>
  <c r="G261" i="3"/>
  <c r="G256" i="3"/>
  <c r="G252" i="3"/>
  <c r="G251" i="3"/>
  <c r="G250" i="3"/>
  <c r="G249" i="3"/>
  <c r="E265" i="3"/>
  <c r="E276" i="3"/>
  <c r="E277" i="3" s="1"/>
  <c r="E289" i="3" s="1"/>
  <c r="E29" i="3"/>
  <c r="CL383" i="4"/>
  <c r="BH383" i="4"/>
  <c r="AB383" i="4"/>
  <c r="AM383" i="4"/>
  <c r="BB383" i="4"/>
  <c r="AE393" i="4"/>
  <c r="AC393" i="4"/>
  <c r="V393" i="4"/>
  <c r="AJ393" i="4"/>
  <c r="CA403" i="4"/>
  <c r="AU383" i="4"/>
  <c r="Y393" i="4"/>
  <c r="N383" i="4"/>
  <c r="BD383" i="4"/>
  <c r="X383" i="4"/>
  <c r="O383" i="4"/>
  <c r="BG393" i="4"/>
  <c r="AA393" i="4"/>
  <c r="BN393" i="4"/>
  <c r="BH393" i="4"/>
  <c r="Z393" i="4"/>
  <c r="BR403" i="4"/>
  <c r="BR393" i="4"/>
  <c r="AS383" i="4"/>
  <c r="CN383" i="4"/>
  <c r="AZ383" i="4"/>
  <c r="W383" i="4"/>
  <c r="CI393" i="4"/>
  <c r="W393" i="4"/>
  <c r="O393" i="4"/>
  <c r="CF393" i="4"/>
  <c r="CK393" i="4"/>
  <c r="BH403" i="4"/>
  <c r="BO393" i="4"/>
  <c r="AO383" i="4"/>
  <c r="CI383" i="4"/>
  <c r="AV383" i="4"/>
  <c r="P383" i="4"/>
  <c r="CE393" i="4"/>
  <c r="AY393" i="4"/>
  <c r="S393" i="4"/>
  <c r="CN393" i="4"/>
  <c r="AZ393" i="4"/>
  <c r="AL383" i="4"/>
  <c r="BQ393" i="4"/>
  <c r="CC383" i="4"/>
  <c r="AR383" i="4"/>
  <c r="BW383" i="4"/>
  <c r="BG383" i="4"/>
  <c r="AU393" i="4"/>
  <c r="AX393" i="4"/>
  <c r="AR393" i="4"/>
  <c r="N393" i="4"/>
  <c r="BC403" i="4"/>
  <c r="U393" i="4"/>
  <c r="S403" i="4"/>
  <c r="BR383" i="4"/>
  <c r="AN383" i="4"/>
  <c r="BL383" i="4"/>
  <c r="BK383" i="4"/>
  <c r="S383" i="4"/>
  <c r="CJ393" i="4"/>
  <c r="AS393" i="4"/>
  <c r="CC393" i="4"/>
  <c r="AP393" i="4"/>
  <c r="BN383" i="4"/>
  <c r="BI383" i="4"/>
  <c r="AC383" i="4"/>
  <c r="AJ383" i="4"/>
  <c r="M383" i="4"/>
  <c r="Z383" i="4"/>
  <c r="BS393" i="4"/>
  <c r="CD393" i="4"/>
  <c r="CL393" i="4"/>
  <c r="CB393" i="4"/>
  <c r="CH403" i="4"/>
  <c r="BM383" i="4"/>
  <c r="CF383" i="4"/>
  <c r="Q383" i="4"/>
  <c r="R393" i="4"/>
  <c r="AH465" i="4"/>
  <c r="CC476" i="4"/>
  <c r="AW454" i="4"/>
  <c r="BD454" i="4"/>
  <c r="BK454" i="4"/>
  <c r="CE454" i="4"/>
  <c r="CH454" i="4"/>
  <c r="L454" i="4"/>
  <c r="BH454" i="4"/>
  <c r="BP465" i="4"/>
  <c r="AK476" i="4"/>
  <c r="AF476" i="4"/>
  <c r="AO454" i="4"/>
  <c r="AV454" i="4"/>
  <c r="BC454" i="4"/>
  <c r="CF454" i="4"/>
  <c r="N454" i="4"/>
  <c r="CJ454" i="4"/>
  <c r="AL454" i="4"/>
  <c r="BM465" i="4"/>
  <c r="AU476" i="4"/>
  <c r="AG454" i="4"/>
  <c r="AU454" i="4"/>
  <c r="AY454" i="4"/>
  <c r="BP454" i="4"/>
  <c r="AZ454" i="4"/>
  <c r="P454" i="4"/>
  <c r="CG465" i="4"/>
  <c r="X454" i="4"/>
  <c r="CA454" i="4"/>
  <c r="BZ465" i="4"/>
  <c r="R465" i="4"/>
  <c r="CG476" i="4"/>
  <c r="CD476" i="4"/>
  <c r="CK454" i="4"/>
  <c r="Y454" i="4"/>
  <c r="AM454" i="4"/>
  <c r="BA454" i="4"/>
  <c r="AI454" i="4"/>
  <c r="AD454" i="4"/>
  <c r="BG454" i="4"/>
  <c r="V454" i="4"/>
  <c r="AP454" i="4"/>
  <c r="CC454" i="4"/>
  <c r="AE454" i="4"/>
  <c r="AQ454" i="4"/>
  <c r="BT454" i="4"/>
  <c r="BB454" i="4"/>
  <c r="BC465" i="4"/>
  <c r="BL465" i="4"/>
  <c r="CF476" i="4"/>
  <c r="Q476" i="4"/>
  <c r="BU454" i="4"/>
  <c r="CB454" i="4"/>
  <c r="CI454" i="4"/>
  <c r="W454" i="4"/>
  <c r="AK454" i="4"/>
  <c r="BN454" i="4"/>
  <c r="BX454" i="4"/>
  <c r="AA454" i="4"/>
  <c r="T454" i="4"/>
  <c r="R454" i="4"/>
  <c r="BQ465" i="4"/>
  <c r="AG476" i="4"/>
  <c r="BM454" i="4"/>
  <c r="CO454" i="4"/>
  <c r="BV454" i="4"/>
  <c r="Q454" i="4"/>
  <c r="BI465" i="4"/>
  <c r="AD476" i="4"/>
  <c r="BE454" i="4"/>
  <c r="BL454" i="4"/>
  <c r="BS454" i="4"/>
  <c r="CG454" i="4"/>
  <c r="U454" i="4"/>
  <c r="AH454" i="4"/>
  <c r="AR454" i="4"/>
  <c r="AJ454" i="4"/>
  <c r="CL454" i="4"/>
  <c r="M454" i="4"/>
  <c r="AX454" i="4"/>
  <c r="S454" i="4"/>
  <c r="M40" i="3"/>
  <c r="N40" i="3" s="1"/>
  <c r="O40" i="3" s="1"/>
  <c r="P40" i="3" s="1"/>
  <c r="Q40" i="3" s="1"/>
  <c r="R40" i="3" s="1"/>
  <c r="S40" i="3" s="1"/>
  <c r="E546" i="3"/>
  <c r="E545" i="3"/>
  <c r="E548" i="3" s="1"/>
  <c r="E540" i="3"/>
  <c r="E542" i="3" s="1"/>
  <c r="E539" i="3"/>
  <c r="C18" i="15"/>
  <c r="C12" i="15"/>
  <c r="G1062" i="4"/>
  <c r="G1061" i="4"/>
  <c r="E442" i="4"/>
  <c r="AH443" i="4" s="1"/>
  <c r="G450" i="4"/>
  <c r="G449" i="4"/>
  <c r="G448" i="4"/>
  <c r="G447" i="4"/>
  <c r="G446" i="4"/>
  <c r="G445" i="4"/>
  <c r="G444" i="4"/>
  <c r="E372" i="4"/>
  <c r="BH373" i="4" s="1"/>
  <c r="G379" i="4"/>
  <c r="G378" i="4"/>
  <c r="G377" i="4"/>
  <c r="G376" i="4"/>
  <c r="G375" i="4"/>
  <c r="G374" i="4"/>
  <c r="G272" i="4"/>
  <c r="CN373" i="4"/>
  <c r="CA443" i="4"/>
  <c r="G628" i="4"/>
  <c r="G627" i="4"/>
  <c r="G630" i="4"/>
  <c r="G1385" i="4"/>
  <c r="G1386" i="4"/>
  <c r="G1387" i="4"/>
  <c r="G1394" i="4"/>
  <c r="G1395" i="4"/>
  <c r="G1396" i="4"/>
  <c r="G1397" i="4"/>
  <c r="G1398" i="4"/>
  <c r="G1403" i="4"/>
  <c r="G1404" i="4"/>
  <c r="G1428" i="4"/>
  <c r="G1429" i="4"/>
  <c r="G1438" i="4"/>
  <c r="G1439" i="4"/>
  <c r="G1448" i="4"/>
  <c r="G1449" i="4"/>
  <c r="G1450" i="4"/>
  <c r="G1271" i="4"/>
  <c r="G1272" i="4"/>
  <c r="G1273" i="4"/>
  <c r="G1274" i="4"/>
  <c r="E1282" i="4"/>
  <c r="E1283" i="4"/>
  <c r="E1284" i="4"/>
  <c r="E1287" i="4"/>
  <c r="E1293" i="4"/>
  <c r="E1294" i="4"/>
  <c r="G1308" i="4"/>
  <c r="G1309" i="4"/>
  <c r="G1310" i="4"/>
  <c r="G1311" i="4"/>
  <c r="G1316" i="4"/>
  <c r="G1318" i="4"/>
  <c r="G1321" i="4"/>
  <c r="G1325" i="4"/>
  <c r="G1334" i="4"/>
  <c r="G1335" i="4"/>
  <c r="G1344" i="4"/>
  <c r="G1345" i="4"/>
  <c r="G1346" i="4"/>
  <c r="G1347" i="4"/>
  <c r="G1348" i="4"/>
  <c r="G1353" i="4"/>
  <c r="G1359" i="4"/>
  <c r="G1363" i="4"/>
  <c r="G1372" i="4"/>
  <c r="G1373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7" i="4"/>
  <c r="G1258" i="4"/>
  <c r="G1259" i="4"/>
  <c r="G1260" i="4"/>
  <c r="G1261" i="4"/>
  <c r="G1262" i="4"/>
  <c r="G1263" i="4"/>
  <c r="G1264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6" i="4"/>
  <c r="G1041" i="4"/>
  <c r="G1042" i="4"/>
  <c r="G1049" i="4"/>
  <c r="G1050" i="4"/>
  <c r="G1051" i="4"/>
  <c r="G1053" i="4"/>
  <c r="G1055" i="4"/>
  <c r="G1056" i="4"/>
  <c r="G1066" i="4"/>
  <c r="G1067" i="4"/>
  <c r="G1068" i="4"/>
  <c r="G1075" i="4"/>
  <c r="G1085" i="4"/>
  <c r="G1086" i="4"/>
  <c r="G1087" i="4"/>
  <c r="G1088" i="4"/>
  <c r="G1091" i="4"/>
  <c r="G1092" i="4"/>
  <c r="G1093" i="4"/>
  <c r="G1101" i="4"/>
  <c r="G1102" i="4"/>
  <c r="G1103" i="4"/>
  <c r="G1104" i="4"/>
  <c r="G1111" i="4"/>
  <c r="G1112" i="4"/>
  <c r="G1113" i="4"/>
  <c r="G1116" i="4"/>
  <c r="G1117" i="4"/>
  <c r="E1118" i="4"/>
  <c r="G1119" i="4"/>
  <c r="G1120" i="4"/>
  <c r="G1121" i="4"/>
  <c r="G1124" i="4"/>
  <c r="G1125" i="4"/>
  <c r="E1126" i="4"/>
  <c r="E1127" i="4"/>
  <c r="G1129" i="4"/>
  <c r="G1130" i="4"/>
  <c r="G1135" i="4"/>
  <c r="G1136" i="4"/>
  <c r="G1137" i="4"/>
  <c r="G1138" i="4"/>
  <c r="G1141" i="4"/>
  <c r="G1142" i="4"/>
  <c r="G1143" i="4"/>
  <c r="G1144" i="4"/>
  <c r="G1147" i="4"/>
  <c r="G1148" i="4"/>
  <c r="G1149" i="4"/>
  <c r="G1157" i="4"/>
  <c r="G1158" i="4"/>
  <c r="G1159" i="4"/>
  <c r="G1163" i="4"/>
  <c r="G1164" i="4"/>
  <c r="G1173" i="4"/>
  <c r="G1174" i="4"/>
  <c r="G1175" i="4"/>
  <c r="G1176" i="4"/>
  <c r="G1177" i="4"/>
  <c r="G1178" i="4"/>
  <c r="G1180" i="4"/>
  <c r="G1184" i="4"/>
  <c r="G1185" i="4"/>
  <c r="G1186" i="4"/>
  <c r="G1187" i="4"/>
  <c r="G1188" i="4"/>
  <c r="G1189" i="4"/>
  <c r="G1194" i="4"/>
  <c r="G1195" i="4"/>
  <c r="G1197" i="4"/>
  <c r="G1198" i="4"/>
  <c r="G1199" i="4"/>
  <c r="G1204" i="4"/>
  <c r="G1205" i="4"/>
  <c r="G1206" i="4"/>
  <c r="G1207" i="4"/>
  <c r="G1208" i="4"/>
  <c r="G1209" i="4"/>
  <c r="G956" i="4"/>
  <c r="G957" i="4"/>
  <c r="G958" i="4"/>
  <c r="G960" i="4"/>
  <c r="G961" i="4"/>
  <c r="G968" i="4"/>
  <c r="G969" i="4"/>
  <c r="G970" i="4"/>
  <c r="G971" i="4"/>
  <c r="G972" i="4"/>
  <c r="G992" i="4"/>
  <c r="G993" i="4"/>
  <c r="G994" i="4"/>
  <c r="G995" i="4"/>
  <c r="G996" i="4"/>
  <c r="G997" i="4"/>
  <c r="G998" i="4"/>
  <c r="G999" i="4"/>
  <c r="G1000" i="4"/>
  <c r="E1002" i="4"/>
  <c r="G1004" i="4"/>
  <c r="G1005" i="4"/>
  <c r="G1006" i="4"/>
  <c r="G1007" i="4"/>
  <c r="G1011" i="4"/>
  <c r="G1012" i="4"/>
  <c r="G1013" i="4"/>
  <c r="G1014" i="4"/>
  <c r="G1016" i="4"/>
  <c r="E1018" i="4"/>
  <c r="G1023" i="4"/>
  <c r="G1024" i="4"/>
  <c r="G1026" i="4"/>
  <c r="E1027" i="4"/>
  <c r="G1027" i="4"/>
  <c r="G1028" i="4"/>
  <c r="E926" i="4"/>
  <c r="G927" i="4"/>
  <c r="G928" i="4"/>
  <c r="G929" i="4"/>
  <c r="G930" i="4"/>
  <c r="G931" i="4"/>
  <c r="E934" i="4"/>
  <c r="G935" i="4"/>
  <c r="G936" i="4"/>
  <c r="G937" i="4"/>
  <c r="G938" i="4"/>
  <c r="G939" i="4"/>
  <c r="E942" i="4"/>
  <c r="G943" i="4"/>
  <c r="G944" i="4"/>
  <c r="G945" i="4"/>
  <c r="G946" i="4"/>
  <c r="G947" i="4"/>
  <c r="G950" i="4"/>
  <c r="G951" i="4"/>
  <c r="G911" i="4"/>
  <c r="G914" i="4"/>
  <c r="G915" i="4"/>
  <c r="G917" i="4"/>
  <c r="G907" i="4"/>
  <c r="G893" i="4"/>
  <c r="G895" i="4"/>
  <c r="G897" i="4"/>
  <c r="G682" i="4"/>
  <c r="G684" i="4"/>
  <c r="G268" i="4"/>
  <c r="G269" i="4"/>
  <c r="G276" i="4"/>
  <c r="G279" i="4"/>
  <c r="G280" i="4"/>
  <c r="G289" i="4"/>
  <c r="G260" i="4"/>
  <c r="G294" i="4"/>
  <c r="G295" i="4"/>
  <c r="G296" i="4"/>
  <c r="G297" i="4"/>
  <c r="G298" i="4"/>
  <c r="G299" i="4"/>
  <c r="G302" i="4"/>
  <c r="G303" i="4"/>
  <c r="G304" i="4"/>
  <c r="G305" i="4"/>
  <c r="G306" i="4"/>
  <c r="G307" i="4"/>
  <c r="G320" i="4"/>
  <c r="G321" i="4"/>
  <c r="G330" i="4"/>
  <c r="G331" i="4"/>
  <c r="G332" i="4"/>
  <c r="G334" i="4"/>
  <c r="E352" i="4"/>
  <c r="G354" i="4"/>
  <c r="G355" i="4"/>
  <c r="G356" i="4"/>
  <c r="G357" i="4"/>
  <c r="G358" i="4"/>
  <c r="G359" i="4"/>
  <c r="E362" i="4"/>
  <c r="AD363" i="4" s="1"/>
  <c r="G364" i="4"/>
  <c r="G365" i="4"/>
  <c r="G366" i="4"/>
  <c r="G367" i="4"/>
  <c r="G368" i="4"/>
  <c r="G369" i="4"/>
  <c r="G404" i="4"/>
  <c r="G405" i="4"/>
  <c r="G406" i="4"/>
  <c r="G407" i="4"/>
  <c r="G408" i="4"/>
  <c r="G409" i="4"/>
  <c r="E420" i="4"/>
  <c r="G422" i="4"/>
  <c r="G423" i="4"/>
  <c r="G424" i="4"/>
  <c r="G425" i="4"/>
  <c r="G426" i="4"/>
  <c r="G427" i="4"/>
  <c r="G428" i="4"/>
  <c r="E431" i="4"/>
  <c r="G433" i="4"/>
  <c r="G434" i="4"/>
  <c r="E435" i="4"/>
  <c r="L435" i="4" s="1"/>
  <c r="G435" i="4"/>
  <c r="G436" i="4"/>
  <c r="G437" i="4"/>
  <c r="G438" i="4"/>
  <c r="G439" i="4"/>
  <c r="G477" i="4"/>
  <c r="G478" i="4"/>
  <c r="G479" i="4"/>
  <c r="G480" i="4"/>
  <c r="G481" i="4"/>
  <c r="G482" i="4"/>
  <c r="G483" i="4"/>
  <c r="G488" i="4"/>
  <c r="G489" i="4"/>
  <c r="G490" i="4"/>
  <c r="G491" i="4"/>
  <c r="G494" i="4"/>
  <c r="G495" i="4"/>
  <c r="G499" i="4"/>
  <c r="G500" i="4"/>
  <c r="G501" i="4"/>
  <c r="G502" i="4"/>
  <c r="CL353" i="4"/>
  <c r="CH353" i="4"/>
  <c r="CD353" i="4"/>
  <c r="BZ353" i="4"/>
  <c r="BV353" i="4"/>
  <c r="BR353" i="4"/>
  <c r="BN353" i="4"/>
  <c r="BJ353" i="4"/>
  <c r="BF353" i="4"/>
  <c r="BB353" i="4"/>
  <c r="AX353" i="4"/>
  <c r="AT353" i="4"/>
  <c r="AP353" i="4"/>
  <c r="AL353" i="4"/>
  <c r="AH353" i="4"/>
  <c r="AD353" i="4"/>
  <c r="Z353" i="4"/>
  <c r="V353" i="4"/>
  <c r="O353" i="4"/>
  <c r="CO353" i="4"/>
  <c r="CK353" i="4"/>
  <c r="CG353" i="4"/>
  <c r="CJ353" i="4"/>
  <c r="CC353" i="4"/>
  <c r="BX353" i="4"/>
  <c r="BS353" i="4"/>
  <c r="BM353" i="4"/>
  <c r="BH353" i="4"/>
  <c r="BC353" i="4"/>
  <c r="AW353" i="4"/>
  <c r="AR353" i="4"/>
  <c r="AM353" i="4"/>
  <c r="AG353" i="4"/>
  <c r="AB353" i="4"/>
  <c r="W353" i="4"/>
  <c r="P353" i="4"/>
  <c r="CI353" i="4"/>
  <c r="BW353" i="4"/>
  <c r="BQ353" i="4"/>
  <c r="BG353" i="4"/>
  <c r="BA353" i="4"/>
  <c r="AQ353" i="4"/>
  <c r="AK353" i="4"/>
  <c r="AF353" i="4"/>
  <c r="AA353" i="4"/>
  <c r="U353" i="4"/>
  <c r="CF353" i="4"/>
  <c r="BU353" i="4"/>
  <c r="BK353" i="4"/>
  <c r="AZ353" i="4"/>
  <c r="AJ353" i="4"/>
  <c r="Y353" i="4"/>
  <c r="T353" i="4"/>
  <c r="CB353" i="4"/>
  <c r="BL353" i="4"/>
  <c r="AV353" i="4"/>
  <c r="N353" i="4"/>
  <c r="CN353" i="4"/>
  <c r="CA353" i="4"/>
  <c r="BP353" i="4"/>
  <c r="BE353" i="4"/>
  <c r="AU353" i="4"/>
  <c r="AO353" i="4"/>
  <c r="AE353" i="4"/>
  <c r="M353" i="4"/>
  <c r="BY353" i="4"/>
  <c r="BD353" i="4"/>
  <c r="AI353" i="4"/>
  <c r="BT353" i="4"/>
  <c r="AY353" i="4"/>
  <c r="AC353" i="4"/>
  <c r="Q353" i="4"/>
  <c r="CM353" i="4"/>
  <c r="AS353" i="4"/>
  <c r="X353" i="4"/>
  <c r="L353" i="4"/>
  <c r="BI353" i="4"/>
  <c r="S353" i="4"/>
  <c r="BO353" i="4"/>
  <c r="CE353" i="4"/>
  <c r="AN353" i="4"/>
  <c r="BW363" i="4"/>
  <c r="AE363" i="4"/>
  <c r="CD363" i="4"/>
  <c r="AX363" i="4"/>
  <c r="CO363" i="4"/>
  <c r="BA363" i="4"/>
  <c r="AZ363" i="4"/>
  <c r="BE363" i="4"/>
  <c r="BL363" i="4"/>
  <c r="BT363" i="4"/>
  <c r="BE421" i="4"/>
  <c r="R353" i="4"/>
  <c r="CM1002" i="4"/>
  <c r="CE1002" i="4"/>
  <c r="BW1002" i="4"/>
  <c r="BO1002" i="4"/>
  <c r="CL1002" i="4"/>
  <c r="CD1002" i="4"/>
  <c r="BV1002" i="4"/>
  <c r="CK1002" i="4"/>
  <c r="CC1002" i="4"/>
  <c r="BU1002" i="4"/>
  <c r="CJ1002" i="4"/>
  <c r="BY1002" i="4"/>
  <c r="CI1002" i="4"/>
  <c r="BX1002" i="4"/>
  <c r="CH1002" i="4"/>
  <c r="BT1002" i="4"/>
  <c r="CG1002" i="4"/>
  <c r="BS1002" i="4"/>
  <c r="CF1002" i="4"/>
  <c r="BR1002" i="4"/>
  <c r="CB1002" i="4"/>
  <c r="BQ1002" i="4"/>
  <c r="CO1002" i="4"/>
  <c r="CN1002" i="4"/>
  <c r="CA1002" i="4"/>
  <c r="BZ1002" i="4"/>
  <c r="BP1002" i="4"/>
  <c r="E552" i="3"/>
  <c r="E558" i="3" s="1"/>
  <c r="G101" i="11"/>
  <c r="G100" i="11"/>
  <c r="G99" i="11"/>
  <c r="G97" i="11"/>
  <c r="G96" i="11"/>
  <c r="G95" i="11"/>
  <c r="G93" i="11"/>
  <c r="G91" i="11"/>
  <c r="G90" i="11"/>
  <c r="G89" i="11"/>
  <c r="G88" i="11"/>
  <c r="G87" i="11"/>
  <c r="G86" i="11"/>
  <c r="G85" i="11"/>
  <c r="G82" i="11"/>
  <c r="G81" i="11"/>
  <c r="G78" i="11"/>
  <c r="G77" i="11"/>
  <c r="G76" i="11"/>
  <c r="G75" i="11"/>
  <c r="G74" i="11"/>
  <c r="G73" i="11"/>
  <c r="G72" i="11"/>
  <c r="G71" i="11"/>
  <c r="G70" i="11"/>
  <c r="G69" i="11"/>
  <c r="G62" i="11"/>
  <c r="G61" i="11"/>
  <c r="G59" i="11"/>
  <c r="G58" i="11"/>
  <c r="G57" i="11"/>
  <c r="G56" i="11"/>
  <c r="G55" i="11"/>
  <c r="G54" i="11"/>
  <c r="G53" i="11"/>
  <c r="G52" i="11"/>
  <c r="G47" i="11"/>
  <c r="G46" i="11"/>
  <c r="G45" i="11"/>
  <c r="G44" i="11"/>
  <c r="G40" i="11"/>
  <c r="G39" i="11"/>
  <c r="G35" i="11"/>
  <c r="G34" i="11"/>
  <c r="G33" i="11"/>
  <c r="G31" i="11"/>
  <c r="G30" i="11"/>
  <c r="G28" i="11"/>
  <c r="G27" i="11"/>
  <c r="G26" i="11"/>
  <c r="G25" i="11"/>
  <c r="G21" i="11"/>
  <c r="G20" i="11"/>
  <c r="G19" i="11"/>
  <c r="G18" i="11"/>
  <c r="G17" i="11"/>
  <c r="G15" i="11"/>
  <c r="G14" i="11"/>
  <c r="G13" i="11"/>
  <c r="G32" i="2"/>
  <c r="E1099" i="4"/>
  <c r="C1099" i="4" s="1"/>
  <c r="B2" i="2"/>
  <c r="L7" i="3"/>
  <c r="L7" i="64" s="1"/>
  <c r="L6" i="64" s="1"/>
  <c r="L28" i="64" s="1"/>
  <c r="B2" i="11"/>
  <c r="B2" i="13"/>
  <c r="B2" i="9"/>
  <c r="B2" i="4"/>
  <c r="B2" i="3"/>
  <c r="B6" i="9"/>
  <c r="L1315" i="4"/>
  <c r="L1446" i="4" s="1"/>
  <c r="L1447" i="4" s="1"/>
  <c r="L7" i="4"/>
  <c r="L6" i="4"/>
  <c r="L15" i="4"/>
  <c r="I909" i="4"/>
  <c r="CQ979" i="4"/>
  <c r="CS981" i="4" s="1"/>
  <c r="I1056" i="4"/>
  <c r="CP606" i="4"/>
  <c r="CQ606" i="4"/>
  <c r="C128" i="71" l="1"/>
  <c r="E121" i="71"/>
  <c r="C122" i="71"/>
  <c r="C123" i="71" s="1"/>
  <c r="C124" i="71" s="1"/>
  <c r="C127" i="71"/>
  <c r="D123" i="71"/>
  <c r="E391" i="3"/>
  <c r="E543" i="4" s="1"/>
  <c r="E554" i="4" s="1"/>
  <c r="E90" i="3"/>
  <c r="E92" i="3" s="1"/>
  <c r="E93" i="3" s="1"/>
  <c r="E260" i="3"/>
  <c r="E261" i="3" s="1"/>
  <c r="E272" i="3"/>
  <c r="E288" i="3" s="1"/>
  <c r="L11" i="73"/>
  <c r="N389" i="3" s="1"/>
  <c r="L8" i="73"/>
  <c r="M389" i="3" s="1"/>
  <c r="L14" i="73"/>
  <c r="O389" i="3" s="1"/>
  <c r="DO987" i="4"/>
  <c r="L7" i="11"/>
  <c r="L6" i="11" s="1"/>
  <c r="CA958" i="4"/>
  <c r="AM958" i="4"/>
  <c r="W963" i="4"/>
  <c r="E557" i="3"/>
  <c r="L6" i="3"/>
  <c r="CH958" i="4"/>
  <c r="L7" i="62"/>
  <c r="L6" i="62" s="1"/>
  <c r="Z958" i="4"/>
  <c r="AT958" i="4"/>
  <c r="CI958" i="4"/>
  <c r="AC963" i="4"/>
  <c r="AS963" i="4"/>
  <c r="CS987" i="4"/>
  <c r="DA987" i="4"/>
  <c r="DI987" i="4"/>
  <c r="DY987" i="4"/>
  <c r="BK958" i="4"/>
  <c r="BS963" i="4"/>
  <c r="R958" i="4"/>
  <c r="AU958" i="4"/>
  <c r="CL958" i="4"/>
  <c r="AE963" i="4"/>
  <c r="R29" i="64"/>
  <c r="AH29" i="64"/>
  <c r="AX29" i="64"/>
  <c r="T29" i="64"/>
  <c r="AZ29" i="64"/>
  <c r="AA29" i="64"/>
  <c r="AQ29" i="64"/>
  <c r="AP29" i="64"/>
  <c r="AY29" i="64"/>
  <c r="BG29" i="64"/>
  <c r="CD29" i="64"/>
  <c r="CM29" i="64"/>
  <c r="CN29" i="64"/>
  <c r="L1083" i="4"/>
  <c r="L6" i="13"/>
  <c r="L86" i="64"/>
  <c r="L87" i="64" s="1"/>
  <c r="L8" i="3"/>
  <c r="M7" i="3" s="1"/>
  <c r="L7" i="66"/>
  <c r="L6" i="66" s="1"/>
  <c r="L31" i="62"/>
  <c r="M31" i="62" s="1"/>
  <c r="N31" i="62" s="1"/>
  <c r="O31" i="62" s="1"/>
  <c r="P31" i="62" s="1"/>
  <c r="Q31" i="62" s="1"/>
  <c r="R31" i="62" s="1"/>
  <c r="S31" i="62" s="1"/>
  <c r="T31" i="62" s="1"/>
  <c r="U31" i="62" s="1"/>
  <c r="V31" i="62" s="1"/>
  <c r="W31" i="62" s="1"/>
  <c r="X31" i="62" s="1"/>
  <c r="Y31" i="62" s="1"/>
  <c r="Z31" i="62" s="1"/>
  <c r="AA31" i="62" s="1"/>
  <c r="AB31" i="62" s="1"/>
  <c r="AC31" i="62" s="1"/>
  <c r="AD31" i="62" s="1"/>
  <c r="AE31" i="62" s="1"/>
  <c r="AF31" i="62" s="1"/>
  <c r="AG31" i="62" s="1"/>
  <c r="AH31" i="62" s="1"/>
  <c r="AI31" i="62" s="1"/>
  <c r="AJ31" i="62" s="1"/>
  <c r="AK31" i="62" s="1"/>
  <c r="AL31" i="62" s="1"/>
  <c r="AM31" i="62" s="1"/>
  <c r="AN31" i="62" s="1"/>
  <c r="AO31" i="62" s="1"/>
  <c r="AP31" i="62" s="1"/>
  <c r="AQ31" i="62" s="1"/>
  <c r="AR31" i="62" s="1"/>
  <c r="AS31" i="62" s="1"/>
  <c r="AT31" i="62" s="1"/>
  <c r="AU31" i="62" s="1"/>
  <c r="AV31" i="62" s="1"/>
  <c r="AW31" i="62" s="1"/>
  <c r="AX31" i="62" s="1"/>
  <c r="AY31" i="62" s="1"/>
  <c r="AZ31" i="62" s="1"/>
  <c r="BA31" i="62" s="1"/>
  <c r="BB31" i="62" s="1"/>
  <c r="BC31" i="62" s="1"/>
  <c r="BD31" i="62" s="1"/>
  <c r="BE31" i="62" s="1"/>
  <c r="BF31" i="62" s="1"/>
  <c r="BG31" i="62" s="1"/>
  <c r="BH31" i="62" s="1"/>
  <c r="BI31" i="62" s="1"/>
  <c r="BJ31" i="62" s="1"/>
  <c r="BK31" i="62" s="1"/>
  <c r="BL31" i="62" s="1"/>
  <c r="BM31" i="62" s="1"/>
  <c r="BN31" i="62" s="1"/>
  <c r="BO31" i="62" s="1"/>
  <c r="BP31" i="62" s="1"/>
  <c r="BQ31" i="62" s="1"/>
  <c r="BR31" i="62" s="1"/>
  <c r="BS31" i="62" s="1"/>
  <c r="BT31" i="62" s="1"/>
  <c r="BU31" i="62" s="1"/>
  <c r="BV31" i="62" s="1"/>
  <c r="BW31" i="62" s="1"/>
  <c r="BX31" i="62" s="1"/>
  <c r="BY31" i="62" s="1"/>
  <c r="BZ31" i="62" s="1"/>
  <c r="CA31" i="62" s="1"/>
  <c r="CB31" i="62" s="1"/>
  <c r="CC31" i="62" s="1"/>
  <c r="CD31" i="62" s="1"/>
  <c r="CE31" i="62" s="1"/>
  <c r="CF31" i="62" s="1"/>
  <c r="CG31" i="62" s="1"/>
  <c r="CH31" i="62" s="1"/>
  <c r="CI31" i="62" s="1"/>
  <c r="CJ31" i="62" s="1"/>
  <c r="CK31" i="62" s="1"/>
  <c r="CL31" i="62" s="1"/>
  <c r="CM31" i="62" s="1"/>
  <c r="CN31" i="62" s="1"/>
  <c r="CO31" i="62" s="1"/>
  <c r="T40" i="3"/>
  <c r="U40" i="3" s="1"/>
  <c r="V40" i="3" s="1"/>
  <c r="W40" i="3" s="1"/>
  <c r="X40" i="3" s="1"/>
  <c r="Y40" i="3" s="1"/>
  <c r="Z40" i="3" s="1"/>
  <c r="AA40" i="3" s="1"/>
  <c r="L59" i="3"/>
  <c r="L58" i="3"/>
  <c r="E287" i="3"/>
  <c r="E185" i="4" s="1"/>
  <c r="E256" i="3"/>
  <c r="E286" i="3" s="1"/>
  <c r="E184" i="4" s="1"/>
  <c r="E250" i="3"/>
  <c r="E252" i="3" s="1"/>
  <c r="E285" i="3" s="1"/>
  <c r="C49" i="15"/>
  <c r="C305" i="3"/>
  <c r="C66" i="15"/>
  <c r="C78" i="15" s="1"/>
  <c r="C86" i="15" s="1"/>
  <c r="AJ363" i="4"/>
  <c r="AQ363" i="4"/>
  <c r="AG373" i="4"/>
  <c r="O454" i="4"/>
  <c r="AF454" i="4"/>
  <c r="CN454" i="4"/>
  <c r="AN454" i="4"/>
  <c r="BO454" i="4"/>
  <c r="AF393" i="4"/>
  <c r="CO393" i="4"/>
  <c r="AT393" i="4"/>
  <c r="BC393" i="4"/>
  <c r="BE393" i="4"/>
  <c r="CB958" i="4"/>
  <c r="AP963" i="4"/>
  <c r="BV963" i="4"/>
  <c r="C267" i="4"/>
  <c r="C891" i="4"/>
  <c r="C114" i="4"/>
  <c r="C271" i="4"/>
  <c r="C97" i="4"/>
  <c r="C511" i="4" s="1"/>
  <c r="C680" i="4"/>
  <c r="AC363" i="4"/>
  <c r="BK363" i="4"/>
  <c r="BR373" i="4"/>
  <c r="E169" i="3"/>
  <c r="CE29" i="64"/>
  <c r="S29" i="64"/>
  <c r="BV29" i="64"/>
  <c r="BK29" i="64"/>
  <c r="BE29" i="64"/>
  <c r="BP29" i="64"/>
  <c r="AN29" i="64"/>
  <c r="CF29" i="64"/>
  <c r="AL29" i="64"/>
  <c r="BA29" i="64"/>
  <c r="BW29" i="64"/>
  <c r="BS29" i="64"/>
  <c r="BN29" i="64"/>
  <c r="AU29" i="64"/>
  <c r="AW29" i="64"/>
  <c r="AJ29" i="64"/>
  <c r="AF29" i="64"/>
  <c r="AR29" i="64"/>
  <c r="AD29" i="64"/>
  <c r="AS29" i="64"/>
  <c r="BO29" i="64"/>
  <c r="W29" i="64"/>
  <c r="BF29" i="64"/>
  <c r="O29" i="64"/>
  <c r="AO29" i="64"/>
  <c r="CJ29" i="64"/>
  <c r="X29" i="64"/>
  <c r="CH29" i="64"/>
  <c r="V29" i="64"/>
  <c r="AK29" i="64"/>
  <c r="CO29" i="64"/>
  <c r="AI29" i="64"/>
  <c r="CL29" i="64"/>
  <c r="Z29" i="64"/>
  <c r="BU29" i="64"/>
  <c r="CA29" i="64"/>
  <c r="BD29" i="64"/>
  <c r="AM29" i="64"/>
  <c r="BB29" i="64"/>
  <c r="BQ29" i="64"/>
  <c r="L29" i="64"/>
  <c r="L30" i="64" s="1"/>
  <c r="L53" i="64" s="1"/>
  <c r="CO383" i="4"/>
  <c r="AP383" i="4"/>
  <c r="CH383" i="4"/>
  <c r="AD383" i="4"/>
  <c r="CM383" i="4"/>
  <c r="BQ383" i="4"/>
  <c r="BV383" i="4"/>
  <c r="AI383" i="4"/>
  <c r="BO383" i="4"/>
  <c r="L383" i="4"/>
  <c r="BC383" i="4"/>
  <c r="BJ383" i="4"/>
  <c r="R383" i="4"/>
  <c r="BA383" i="4"/>
  <c r="AX383" i="4"/>
  <c r="CJ383" i="4"/>
  <c r="BP383" i="4"/>
  <c r="CD383" i="4"/>
  <c r="CB383" i="4"/>
  <c r="BZ383" i="4"/>
  <c r="AY383" i="4"/>
  <c r="BT383" i="4"/>
  <c r="CK383" i="4"/>
  <c r="AG383" i="4"/>
  <c r="AT383" i="4"/>
  <c r="BE383" i="4"/>
  <c r="U383" i="4"/>
  <c r="AW383" i="4"/>
  <c r="CE383" i="4"/>
  <c r="AH383" i="4"/>
  <c r="BY383" i="4"/>
  <c r="BF383" i="4"/>
  <c r="AK383" i="4"/>
  <c r="BX383" i="4"/>
  <c r="AA383" i="4"/>
  <c r="Y383" i="4"/>
  <c r="V383" i="4"/>
  <c r="AE383" i="4"/>
  <c r="CA383" i="4"/>
  <c r="T383" i="4"/>
  <c r="AF383" i="4"/>
  <c r="CG383" i="4"/>
  <c r="BU383" i="4"/>
  <c r="AQ383" i="4"/>
  <c r="BS383" i="4"/>
  <c r="BN958" i="4"/>
  <c r="CD958" i="4"/>
  <c r="C55" i="15"/>
  <c r="C381" i="3"/>
  <c r="C453" i="3"/>
  <c r="C32" i="4"/>
  <c r="C160" i="3"/>
  <c r="CL373" i="4"/>
  <c r="E314" i="3"/>
  <c r="M393" i="4"/>
  <c r="CG393" i="4"/>
  <c r="BF393" i="4"/>
  <c r="BB393" i="4"/>
  <c r="AB393" i="4"/>
  <c r="AW393" i="4"/>
  <c r="BA393" i="4"/>
  <c r="Q393" i="4"/>
  <c r="AN393" i="4"/>
  <c r="AV393" i="4"/>
  <c r="BU393" i="4"/>
  <c r="BV393" i="4"/>
  <c r="BL393" i="4"/>
  <c r="T393" i="4"/>
  <c r="BW393" i="4"/>
  <c r="L393" i="4"/>
  <c r="BX393" i="4"/>
  <c r="BK393" i="4"/>
  <c r="AK393" i="4"/>
  <c r="CM393" i="4"/>
  <c r="P393" i="4"/>
  <c r="BJ393" i="4"/>
  <c r="AO393" i="4"/>
  <c r="CA393" i="4"/>
  <c r="AD393" i="4"/>
  <c r="AQ393" i="4"/>
  <c r="BZ393" i="4"/>
  <c r="AG393" i="4"/>
  <c r="BM393" i="4"/>
  <c r="BY393" i="4"/>
  <c r="X393" i="4"/>
  <c r="BI393" i="4"/>
  <c r="BD393" i="4"/>
  <c r="AI393" i="4"/>
  <c r="CH393" i="4"/>
  <c r="AL393" i="4"/>
  <c r="AM393" i="4"/>
  <c r="BP393" i="4"/>
  <c r="AH393" i="4"/>
  <c r="BZ454" i="4"/>
  <c r="BJ454" i="4"/>
  <c r="AC454" i="4"/>
  <c r="AT454" i="4"/>
  <c r="AB454" i="4"/>
  <c r="CM454" i="4"/>
  <c r="BW454" i="4"/>
  <c r="BR454" i="4"/>
  <c r="Z454" i="4"/>
  <c r="BY454" i="4"/>
  <c r="BF454" i="4"/>
  <c r="BQ454" i="4"/>
  <c r="CD454" i="4"/>
  <c r="BI454" i="4"/>
  <c r="AX958" i="4"/>
  <c r="AH963" i="4"/>
  <c r="C713" i="4"/>
  <c r="C47" i="4"/>
  <c r="C266" i="4"/>
  <c r="C321" i="4" s="1"/>
  <c r="C40" i="4"/>
  <c r="C132" i="4"/>
  <c r="C165" i="4" s="1"/>
  <c r="C108" i="4"/>
  <c r="AN963" i="4"/>
  <c r="AN958" i="4"/>
  <c r="C450" i="3"/>
  <c r="C707" i="4" s="1"/>
  <c r="C717" i="4" s="1"/>
  <c r="C109" i="4"/>
  <c r="C714" i="4"/>
  <c r="C48" i="4"/>
  <c r="AN363" i="4"/>
  <c r="BF963" i="4"/>
  <c r="C39" i="15"/>
  <c r="U443" i="4"/>
  <c r="E201" i="3"/>
  <c r="E211" i="3"/>
  <c r="L95" i="67"/>
  <c r="L56" i="3"/>
  <c r="L60" i="3"/>
  <c r="CG443" i="4"/>
  <c r="AI963" i="4"/>
  <c r="AI958" i="4"/>
  <c r="BG958" i="4"/>
  <c r="BG963" i="4"/>
  <c r="C188" i="3"/>
  <c r="C36" i="4"/>
  <c r="E176" i="3"/>
  <c r="P958" i="4"/>
  <c r="X958" i="4"/>
  <c r="AF958" i="4"/>
  <c r="AV958" i="4"/>
  <c r="BD958" i="4"/>
  <c r="BL958" i="4"/>
  <c r="BT958" i="4"/>
  <c r="CJ958" i="4"/>
  <c r="Y958" i="4"/>
  <c r="AG958" i="4"/>
  <c r="AO958" i="4"/>
  <c r="AW958" i="4"/>
  <c r="BE958" i="4"/>
  <c r="BM958" i="4"/>
  <c r="BU958" i="4"/>
  <c r="CC958" i="4"/>
  <c r="CK958" i="4"/>
  <c r="S958" i="4"/>
  <c r="AA958" i="4"/>
  <c r="AQ958" i="4"/>
  <c r="AY958" i="4"/>
  <c r="BO958" i="4"/>
  <c r="BW958" i="4"/>
  <c r="CE958" i="4"/>
  <c r="CM958" i="4"/>
  <c r="AM403" i="4"/>
  <c r="BR465" i="4"/>
  <c r="E284" i="3"/>
  <c r="L958" i="4"/>
  <c r="T958" i="4"/>
  <c r="AB958" i="4"/>
  <c r="AJ958" i="4"/>
  <c r="AR958" i="4"/>
  <c r="AZ958" i="4"/>
  <c r="BH958" i="4"/>
  <c r="BP958" i="4"/>
  <c r="BX958" i="4"/>
  <c r="CF958" i="4"/>
  <c r="CN958" i="4"/>
  <c r="E321" i="3"/>
  <c r="BZ1098" i="4"/>
  <c r="X1098" i="4"/>
  <c r="AD1098" i="4"/>
  <c r="BE1098" i="4"/>
  <c r="AT1098" i="4"/>
  <c r="CJ1098" i="4"/>
  <c r="P1098" i="4"/>
  <c r="AO1098" i="4"/>
  <c r="AF1098" i="4"/>
  <c r="N1098" i="4"/>
  <c r="AN1098" i="4"/>
  <c r="BR1098" i="4"/>
  <c r="BG1098" i="4"/>
  <c r="AV1098" i="4"/>
  <c r="CE1098" i="4"/>
  <c r="V1098" i="4"/>
  <c r="BD1098" i="4"/>
  <c r="BP1098" i="4"/>
  <c r="CB1098" i="4"/>
  <c r="AG1098" i="4"/>
  <c r="AY1098" i="4"/>
  <c r="AA1098" i="4"/>
  <c r="AI1098" i="4"/>
  <c r="AW1098" i="4"/>
  <c r="BB1098" i="4"/>
  <c r="AZ1098" i="4"/>
  <c r="BJ1098" i="4"/>
  <c r="BM1098" i="4"/>
  <c r="R1098" i="4"/>
  <c r="CM1098" i="4"/>
  <c r="CH1098" i="4"/>
  <c r="BU1098" i="4"/>
  <c r="Z1098" i="4"/>
  <c r="U1098" i="4"/>
  <c r="BL1098" i="4"/>
  <c r="Q1098" i="4"/>
  <c r="CC1098" i="4"/>
  <c r="AH1098" i="4"/>
  <c r="BQ1098" i="4"/>
  <c r="BT1098" i="4"/>
  <c r="Y1098" i="4"/>
  <c r="CK1098" i="4"/>
  <c r="AX1098" i="4"/>
  <c r="CG1098" i="4"/>
  <c r="CL1098" i="4"/>
  <c r="AR1098" i="4"/>
  <c r="BW1098" i="4"/>
  <c r="BI1098" i="4"/>
  <c r="AP1098" i="4"/>
  <c r="BO1098" i="4"/>
  <c r="BH1098" i="4"/>
  <c r="M1098" i="4"/>
  <c r="BY1098" i="4"/>
  <c r="BF1098" i="4"/>
  <c r="L1098" i="4"/>
  <c r="BX1098" i="4"/>
  <c r="AC1098" i="4"/>
  <c r="CO1098" i="4"/>
  <c r="BN1098" i="4"/>
  <c r="T1098" i="4"/>
  <c r="CF1098" i="4"/>
  <c r="AK1098" i="4"/>
  <c r="W1098" i="4"/>
  <c r="BV1098" i="4"/>
  <c r="AB1098" i="4"/>
  <c r="CN1098" i="4"/>
  <c r="AS1098" i="4"/>
  <c r="AM1098" i="4"/>
  <c r="CD1098" i="4"/>
  <c r="AJ1098" i="4"/>
  <c r="AQ1098" i="4"/>
  <c r="BA1098" i="4"/>
  <c r="BC1098" i="4"/>
  <c r="AE1098" i="4"/>
  <c r="AU1098" i="4"/>
  <c r="S1098" i="4"/>
  <c r="BK1098" i="4"/>
  <c r="AL1098" i="4"/>
  <c r="BS1098" i="4"/>
  <c r="O1098" i="4"/>
  <c r="CA1098" i="4"/>
  <c r="I958" i="4"/>
  <c r="AU432" i="4"/>
  <c r="BO432" i="4"/>
  <c r="BB432" i="4"/>
  <c r="BT432" i="4"/>
  <c r="CN432" i="4"/>
  <c r="O432" i="4"/>
  <c r="BD421" i="4"/>
  <c r="CE421" i="4"/>
  <c r="AA421" i="4"/>
  <c r="Z421" i="4"/>
  <c r="M421" i="4"/>
  <c r="I96" i="4"/>
  <c r="E510" i="4"/>
  <c r="I510" i="4" s="1"/>
  <c r="I515" i="4" s="1"/>
  <c r="I917" i="4"/>
  <c r="CA476" i="4"/>
  <c r="AQ476" i="4"/>
  <c r="AZ476" i="4"/>
  <c r="M476" i="4"/>
  <c r="BF476" i="4"/>
  <c r="CN476" i="4"/>
  <c r="U476" i="4"/>
  <c r="BR476" i="4"/>
  <c r="T476" i="4"/>
  <c r="AT476" i="4"/>
  <c r="BD476" i="4"/>
  <c r="S476" i="4"/>
  <c r="CL476" i="4"/>
  <c r="BZ476" i="4"/>
  <c r="BO476" i="4"/>
  <c r="CI476" i="4"/>
  <c r="AL476" i="4"/>
  <c r="AJ476" i="4"/>
  <c r="AI476" i="4"/>
  <c r="BT476" i="4"/>
  <c r="BB476" i="4"/>
  <c r="AN476" i="4"/>
  <c r="R476" i="4"/>
  <c r="BU476" i="4"/>
  <c r="CO476" i="4"/>
  <c r="AV476" i="4"/>
  <c r="AY476" i="4"/>
  <c r="AO476" i="4"/>
  <c r="W476" i="4"/>
  <c r="BA476" i="4"/>
  <c r="BN476" i="4"/>
  <c r="AX476" i="4"/>
  <c r="BK476" i="4"/>
  <c r="AB476" i="4"/>
  <c r="AC476" i="4"/>
  <c r="V476" i="4"/>
  <c r="BE476" i="4"/>
  <c r="BJ476" i="4"/>
  <c r="BI476" i="4"/>
  <c r="AH476" i="4"/>
  <c r="BP476" i="4"/>
  <c r="O476" i="4"/>
  <c r="AS476" i="4"/>
  <c r="BL476" i="4"/>
  <c r="BV476" i="4"/>
  <c r="Z476" i="4"/>
  <c r="AR476" i="4"/>
  <c r="L476" i="4"/>
  <c r="AE476" i="4"/>
  <c r="BY476" i="4"/>
  <c r="CJ476" i="4"/>
  <c r="BX476" i="4"/>
  <c r="P476" i="4"/>
  <c r="CE476" i="4"/>
  <c r="BH476" i="4"/>
  <c r="N476" i="4"/>
  <c r="X476" i="4"/>
  <c r="BG476" i="4"/>
  <c r="AP476" i="4"/>
  <c r="AW476" i="4"/>
  <c r="AM476" i="4"/>
  <c r="CM476" i="4"/>
  <c r="CK476" i="4"/>
  <c r="BW476" i="4"/>
  <c r="CH476" i="4"/>
  <c r="BM476" i="4"/>
  <c r="BS476" i="4"/>
  <c r="BC476" i="4"/>
  <c r="BQ476" i="4"/>
  <c r="CB476" i="4"/>
  <c r="AA476" i="4"/>
  <c r="Y476" i="4"/>
  <c r="C316" i="4"/>
  <c r="C237" i="4"/>
  <c r="C102" i="4"/>
  <c r="E767" i="4"/>
  <c r="E758" i="4"/>
  <c r="E775" i="4"/>
  <c r="I700" i="4"/>
  <c r="CW987" i="4"/>
  <c r="DE987" i="4"/>
  <c r="DL987" i="4"/>
  <c r="DT987" i="4"/>
  <c r="E526" i="4"/>
  <c r="E580" i="4"/>
  <c r="E581" i="4" s="1"/>
  <c r="E590" i="4" s="1"/>
  <c r="I97" i="4"/>
  <c r="CQ987" i="4"/>
  <c r="CY987" i="4"/>
  <c r="DG987" i="4"/>
  <c r="DW987" i="4"/>
  <c r="DH987" i="4"/>
  <c r="DX987" i="4"/>
  <c r="CR987" i="4"/>
  <c r="CZ987" i="4"/>
  <c r="C285" i="4"/>
  <c r="C327" i="4"/>
  <c r="C712" i="4"/>
  <c r="C107" i="4"/>
  <c r="C120" i="4"/>
  <c r="C158" i="4" s="1"/>
  <c r="C265" i="4"/>
  <c r="C39" i="4"/>
  <c r="E776" i="4"/>
  <c r="E759" i="4"/>
  <c r="E768" i="4"/>
  <c r="W421" i="4"/>
  <c r="BK421" i="4"/>
  <c r="BY421" i="4"/>
  <c r="Y432" i="4"/>
  <c r="BV432" i="4"/>
  <c r="O421" i="4"/>
  <c r="CF421" i="4"/>
  <c r="CK421" i="4"/>
  <c r="BE432" i="4"/>
  <c r="CH432" i="4"/>
  <c r="BS363" i="4"/>
  <c r="AM363" i="4"/>
  <c r="CL363" i="4"/>
  <c r="BF363" i="4"/>
  <c r="Z363" i="4"/>
  <c r="AS363" i="4"/>
  <c r="BH363" i="4"/>
  <c r="Y363" i="4"/>
  <c r="AG363" i="4"/>
  <c r="X363" i="4"/>
  <c r="BO363" i="4"/>
  <c r="AI363" i="4"/>
  <c r="CH363" i="4"/>
  <c r="BB363" i="4"/>
  <c r="V363" i="4"/>
  <c r="AK363" i="4"/>
  <c r="AR363" i="4"/>
  <c r="CN363" i="4"/>
  <c r="Q363" i="4"/>
  <c r="CB363" i="4"/>
  <c r="CM363" i="4"/>
  <c r="BG363" i="4"/>
  <c r="AA363" i="4"/>
  <c r="BZ363" i="4"/>
  <c r="AT363" i="4"/>
  <c r="CG363" i="4"/>
  <c r="U363" i="4"/>
  <c r="AB363" i="4"/>
  <c r="T363" i="4"/>
  <c r="AF363" i="4"/>
  <c r="O363" i="4"/>
  <c r="CI363" i="4"/>
  <c r="BC363" i="4"/>
  <c r="W363" i="4"/>
  <c r="BV363" i="4"/>
  <c r="AP363" i="4"/>
  <c r="BY363" i="4"/>
  <c r="N363" i="4"/>
  <c r="CC363" i="4"/>
  <c r="M363" i="4"/>
  <c r="CJ363" i="4"/>
  <c r="CE363" i="4"/>
  <c r="AY363" i="4"/>
  <c r="S363" i="4"/>
  <c r="BR363" i="4"/>
  <c r="AL363" i="4"/>
  <c r="BQ363" i="4"/>
  <c r="CF363" i="4"/>
  <c r="BM363" i="4"/>
  <c r="CK363" i="4"/>
  <c r="BD363" i="4"/>
  <c r="R363" i="4"/>
  <c r="CA363" i="4"/>
  <c r="AU363" i="4"/>
  <c r="P363" i="4"/>
  <c r="BN363" i="4"/>
  <c r="AH363" i="4"/>
  <c r="BI363" i="4"/>
  <c r="BX363" i="4"/>
  <c r="AW363" i="4"/>
  <c r="BU363" i="4"/>
  <c r="AV363" i="4"/>
  <c r="CH421" i="4"/>
  <c r="AN421" i="4"/>
  <c r="AW432" i="4"/>
  <c r="AK432" i="4"/>
  <c r="AI432" i="4"/>
  <c r="I95" i="4"/>
  <c r="E509" i="4"/>
  <c r="I509" i="4" s="1"/>
  <c r="E692" i="4"/>
  <c r="I692" i="4" s="1"/>
  <c r="I698" i="4" s="1"/>
  <c r="AE421" i="4"/>
  <c r="T432" i="4"/>
  <c r="BI432" i="4"/>
  <c r="AO363" i="4"/>
  <c r="BJ363" i="4"/>
  <c r="E765" i="4"/>
  <c r="E773" i="4"/>
  <c r="BW432" i="4"/>
  <c r="AQ432" i="4"/>
  <c r="CD432" i="4"/>
  <c r="AX432" i="4"/>
  <c r="CJ432" i="4"/>
  <c r="BA432" i="4"/>
  <c r="AV432" i="4"/>
  <c r="BU432" i="4"/>
  <c r="BL432" i="4"/>
  <c r="N432" i="4"/>
  <c r="BS432" i="4"/>
  <c r="AM432" i="4"/>
  <c r="BZ432" i="4"/>
  <c r="AT432" i="4"/>
  <c r="CB432" i="4"/>
  <c r="AS432" i="4"/>
  <c r="AJ432" i="4"/>
  <c r="BD432" i="4"/>
  <c r="AG432" i="4"/>
  <c r="AZ432" i="4"/>
  <c r="BK432" i="4"/>
  <c r="AE432" i="4"/>
  <c r="BR432" i="4"/>
  <c r="AL432" i="4"/>
  <c r="CO432" i="4"/>
  <c r="AC432" i="4"/>
  <c r="BX432" i="4"/>
  <c r="AB432" i="4"/>
  <c r="CK432" i="4"/>
  <c r="R432" i="4"/>
  <c r="S432" i="4"/>
  <c r="CM432" i="4"/>
  <c r="BG432" i="4"/>
  <c r="AA432" i="4"/>
  <c r="BN432" i="4"/>
  <c r="AH432" i="4"/>
  <c r="CG432" i="4"/>
  <c r="U432" i="4"/>
  <c r="BH432" i="4"/>
  <c r="BM432" i="4"/>
  <c r="X432" i="4"/>
  <c r="M432" i="4"/>
  <c r="CI432" i="4"/>
  <c r="BC432" i="4"/>
  <c r="W432" i="4"/>
  <c r="BJ432" i="4"/>
  <c r="AD432" i="4"/>
  <c r="BY432" i="4"/>
  <c r="CF432" i="4"/>
  <c r="AR432" i="4"/>
  <c r="AN432" i="4"/>
  <c r="Q432" i="4"/>
  <c r="CE432" i="4"/>
  <c r="AY432" i="4"/>
  <c r="CL432" i="4"/>
  <c r="BF432" i="4"/>
  <c r="Z432" i="4"/>
  <c r="BQ432" i="4"/>
  <c r="BP432" i="4"/>
  <c r="AF432" i="4"/>
  <c r="P432" i="4"/>
  <c r="CC432" i="4"/>
  <c r="CG421" i="4"/>
  <c r="BA421" i="4"/>
  <c r="U421" i="4"/>
  <c r="AY421" i="4"/>
  <c r="BX421" i="4"/>
  <c r="T421" i="4"/>
  <c r="AM421" i="4"/>
  <c r="P421" i="4"/>
  <c r="CB421" i="4"/>
  <c r="BN421" i="4"/>
  <c r="CC421" i="4"/>
  <c r="AW421" i="4"/>
  <c r="CJ421" i="4"/>
  <c r="AT421" i="4"/>
  <c r="BR421" i="4"/>
  <c r="CL421" i="4"/>
  <c r="AF421" i="4"/>
  <c r="L421" i="4"/>
  <c r="AZ421" i="4"/>
  <c r="CN421" i="4"/>
  <c r="BU421" i="4"/>
  <c r="AO421" i="4"/>
  <c r="BZ421" i="4"/>
  <c r="AI421" i="4"/>
  <c r="BC421" i="4"/>
  <c r="BW421" i="4"/>
  <c r="CI421" i="4"/>
  <c r="BS421" i="4"/>
  <c r="N421" i="4"/>
  <c r="AJ421" i="4"/>
  <c r="BQ421" i="4"/>
  <c r="AK421" i="4"/>
  <c r="BT421" i="4"/>
  <c r="AD421" i="4"/>
  <c r="AV421" i="4"/>
  <c r="BP421" i="4"/>
  <c r="BV421" i="4"/>
  <c r="BF421" i="4"/>
  <c r="CA421" i="4"/>
  <c r="AL421" i="4"/>
  <c r="S421" i="4"/>
  <c r="BM421" i="4"/>
  <c r="AG421" i="4"/>
  <c r="BO421" i="4"/>
  <c r="X421" i="4"/>
  <c r="AP421" i="4"/>
  <c r="BH421" i="4"/>
  <c r="BG421" i="4"/>
  <c r="AQ421" i="4"/>
  <c r="AX421" i="4"/>
  <c r="R421" i="4"/>
  <c r="CO421" i="4"/>
  <c r="BI421" i="4"/>
  <c r="AC421" i="4"/>
  <c r="BJ421" i="4"/>
  <c r="CM421" i="4"/>
  <c r="AH421" i="4"/>
  <c r="BB421" i="4"/>
  <c r="AR421" i="4"/>
  <c r="AB421" i="4"/>
  <c r="V421" i="4"/>
  <c r="Q421" i="4"/>
  <c r="AU421" i="4"/>
  <c r="Y421" i="4"/>
  <c r="L432" i="4"/>
  <c r="V432" i="4"/>
  <c r="CA432" i="4"/>
  <c r="BP363" i="4"/>
  <c r="L363" i="4"/>
  <c r="BL421" i="4"/>
  <c r="CD421" i="4"/>
  <c r="AS421" i="4"/>
  <c r="AO432" i="4"/>
  <c r="AP432" i="4"/>
  <c r="C694" i="4"/>
  <c r="C881" i="4" s="1"/>
  <c r="C671" i="4"/>
  <c r="E511" i="4"/>
  <c r="I511" i="4" s="1"/>
  <c r="I516" i="4" s="1"/>
  <c r="C280" i="4"/>
  <c r="AU443" i="4"/>
  <c r="Z373" i="4"/>
  <c r="DR987" i="4"/>
  <c r="DQ987" i="4"/>
  <c r="Q443" i="4"/>
  <c r="AJ443" i="4"/>
  <c r="AU373" i="4"/>
  <c r="BP403" i="4"/>
  <c r="BQ403" i="4"/>
  <c r="AA403" i="4"/>
  <c r="CD403" i="4"/>
  <c r="AB403" i="4"/>
  <c r="BO403" i="4"/>
  <c r="CG403" i="4"/>
  <c r="L403" i="4"/>
  <c r="CM403" i="4"/>
  <c r="AQ403" i="4"/>
  <c r="R403" i="4"/>
  <c r="AJ403" i="4"/>
  <c r="AT403" i="4"/>
  <c r="U403" i="4"/>
  <c r="AP403" i="4"/>
  <c r="BN403" i="4"/>
  <c r="BU403" i="4"/>
  <c r="BB403" i="4"/>
  <c r="AW403" i="4"/>
  <c r="BA403" i="4"/>
  <c r="BY403" i="4"/>
  <c r="BF403" i="4"/>
  <c r="W403" i="4"/>
  <c r="CJ403" i="4"/>
  <c r="Z403" i="4"/>
  <c r="BV403" i="4"/>
  <c r="BK403" i="4"/>
  <c r="AD403" i="4"/>
  <c r="AH403" i="4"/>
  <c r="BL403" i="4"/>
  <c r="AK403" i="4"/>
  <c r="BM403" i="4"/>
  <c r="BD403" i="4"/>
  <c r="BE403" i="4"/>
  <c r="BJ403" i="4"/>
  <c r="AO403" i="4"/>
  <c r="BX403" i="4"/>
  <c r="O403" i="4"/>
  <c r="BW403" i="4"/>
  <c r="AF403" i="4"/>
  <c r="AI403" i="4"/>
  <c r="V403" i="4"/>
  <c r="AN403" i="4"/>
  <c r="X403" i="4"/>
  <c r="CF403" i="4"/>
  <c r="CE403" i="4"/>
  <c r="CB403" i="4"/>
  <c r="AY403" i="4"/>
  <c r="AR403" i="4"/>
  <c r="M403" i="4"/>
  <c r="BT403" i="4"/>
  <c r="AG403" i="4"/>
  <c r="AL403" i="4"/>
  <c r="BS403" i="4"/>
  <c r="Q403" i="4"/>
  <c r="Y403" i="4"/>
  <c r="BI403" i="4"/>
  <c r="AZ403" i="4"/>
  <c r="CK403" i="4"/>
  <c r="AV403" i="4"/>
  <c r="BZ403" i="4"/>
  <c r="CI403" i="4"/>
  <c r="CL403" i="4"/>
  <c r="AE403" i="4"/>
  <c r="AC403" i="4"/>
  <c r="CN403" i="4"/>
  <c r="AU403" i="4"/>
  <c r="P403" i="4"/>
  <c r="T403" i="4"/>
  <c r="CO403" i="4"/>
  <c r="CC403" i="4"/>
  <c r="AS403" i="4"/>
  <c r="AP465" i="4"/>
  <c r="AI465" i="4"/>
  <c r="CC465" i="4"/>
  <c r="U465" i="4"/>
  <c r="CA465" i="4"/>
  <c r="AF465" i="4"/>
  <c r="T465" i="4"/>
  <c r="CO465" i="4"/>
  <c r="BJ465" i="4"/>
  <c r="O465" i="4"/>
  <c r="CE465" i="4"/>
  <c r="BW465" i="4"/>
  <c r="AE465" i="4"/>
  <c r="BH465" i="4"/>
  <c r="AG465" i="4"/>
  <c r="CI465" i="4"/>
  <c r="BX465" i="4"/>
  <c r="AB465" i="4"/>
  <c r="CH465" i="4"/>
  <c r="AV465" i="4"/>
  <c r="AC465" i="4"/>
  <c r="BY465" i="4"/>
  <c r="CK465" i="4"/>
  <c r="BU465" i="4"/>
  <c r="AL465" i="4"/>
  <c r="M465" i="4"/>
  <c r="Q465" i="4"/>
  <c r="W465" i="4"/>
  <c r="BF465" i="4"/>
  <c r="V465" i="4"/>
  <c r="AQ465" i="4"/>
  <c r="CM465" i="4"/>
  <c r="AN465" i="4"/>
  <c r="X465" i="4"/>
  <c r="BA465" i="4"/>
  <c r="AD465" i="4"/>
  <c r="L465" i="4"/>
  <c r="AK465" i="4"/>
  <c r="CJ465" i="4"/>
  <c r="AA465" i="4"/>
  <c r="BN465" i="4"/>
  <c r="AX465" i="4"/>
  <c r="BO465" i="4"/>
  <c r="AS465" i="4"/>
  <c r="AY465" i="4"/>
  <c r="AJ465" i="4"/>
  <c r="BD465" i="4"/>
  <c r="AR465" i="4"/>
  <c r="CB465" i="4"/>
  <c r="S465" i="4"/>
  <c r="BE465" i="4"/>
  <c r="BG465" i="4"/>
  <c r="Y465" i="4"/>
  <c r="AW465" i="4"/>
  <c r="BK465" i="4"/>
  <c r="CD465" i="4"/>
  <c r="AU465" i="4"/>
  <c r="Z465" i="4"/>
  <c r="AM465" i="4"/>
  <c r="CN465" i="4"/>
  <c r="CF465" i="4"/>
  <c r="AO465" i="4"/>
  <c r="AZ465" i="4"/>
  <c r="BS465" i="4"/>
  <c r="BV465" i="4"/>
  <c r="BT465" i="4"/>
  <c r="CL465" i="4"/>
  <c r="BB465" i="4"/>
  <c r="N465" i="4"/>
  <c r="AT465" i="4"/>
  <c r="P465" i="4"/>
  <c r="I998" i="4"/>
  <c r="P443" i="4"/>
  <c r="BP443" i="4"/>
  <c r="CA373" i="4"/>
  <c r="C95" i="4"/>
  <c r="C49" i="4"/>
  <c r="C42" i="4"/>
  <c r="C514" i="4"/>
  <c r="C698" i="4"/>
  <c r="C112" i="4"/>
  <c r="C630" i="4"/>
  <c r="C269" i="4"/>
  <c r="C826" i="4"/>
  <c r="C268" i="4"/>
  <c r="BM443" i="4"/>
  <c r="BI373" i="4"/>
  <c r="AB373" i="4"/>
  <c r="AX403" i="4"/>
  <c r="BG403" i="4"/>
  <c r="N403" i="4"/>
  <c r="E183" i="4"/>
  <c r="E187" i="4"/>
  <c r="E186" i="4"/>
  <c r="U373" i="4"/>
  <c r="L18" i="4"/>
  <c r="CJ373" i="4"/>
  <c r="BD373" i="4"/>
  <c r="X373" i="4"/>
  <c r="BW373" i="4"/>
  <c r="AQ373" i="4"/>
  <c r="CD373" i="4"/>
  <c r="L373" i="4"/>
  <c r="BB373" i="4"/>
  <c r="P373" i="4"/>
  <c r="AS373" i="4"/>
  <c r="R373" i="4"/>
  <c r="CF373" i="4"/>
  <c r="AZ373" i="4"/>
  <c r="T373" i="4"/>
  <c r="BS373" i="4"/>
  <c r="AM373" i="4"/>
  <c r="BV373" i="4"/>
  <c r="CK373" i="4"/>
  <c r="AL373" i="4"/>
  <c r="BZ373" i="4"/>
  <c r="BQ373" i="4"/>
  <c r="CB373" i="4"/>
  <c r="AV373" i="4"/>
  <c r="Q373" i="4"/>
  <c r="BO373" i="4"/>
  <c r="AI373" i="4"/>
  <c r="BN373" i="4"/>
  <c r="BU373" i="4"/>
  <c r="V373" i="4"/>
  <c r="BJ373" i="4"/>
  <c r="AK373" i="4"/>
  <c r="BX373" i="4"/>
  <c r="AR373" i="4"/>
  <c r="M373" i="4"/>
  <c r="BK373" i="4"/>
  <c r="AE373" i="4"/>
  <c r="BF373" i="4"/>
  <c r="BM373" i="4"/>
  <c r="O373" i="4"/>
  <c r="AT373" i="4"/>
  <c r="CO373" i="4"/>
  <c r="BT373" i="4"/>
  <c r="AN373" i="4"/>
  <c r="CM373" i="4"/>
  <c r="BG373" i="4"/>
  <c r="AA373" i="4"/>
  <c r="AX373" i="4"/>
  <c r="AO373" i="4"/>
  <c r="CC373" i="4"/>
  <c r="AD373" i="4"/>
  <c r="AC373" i="4"/>
  <c r="BP373" i="4"/>
  <c r="AJ373" i="4"/>
  <c r="CI373" i="4"/>
  <c r="BC373" i="4"/>
  <c r="W373" i="4"/>
  <c r="AP373" i="4"/>
  <c r="Y373" i="4"/>
  <c r="BE373" i="4"/>
  <c r="CG373" i="4"/>
  <c r="BY373" i="4"/>
  <c r="BL373" i="4"/>
  <c r="AF373" i="4"/>
  <c r="CE373" i="4"/>
  <c r="AY373" i="4"/>
  <c r="S373" i="4"/>
  <c r="AH373" i="4"/>
  <c r="CH373" i="4"/>
  <c r="AW373" i="4"/>
  <c r="BA373" i="4"/>
  <c r="N373" i="4"/>
  <c r="BL443" i="4"/>
  <c r="AF443" i="4"/>
  <c r="BW443" i="4"/>
  <c r="AQ443" i="4"/>
  <c r="BY443" i="4"/>
  <c r="CL443" i="4"/>
  <c r="Z443" i="4"/>
  <c r="AT443" i="4"/>
  <c r="L443" i="4"/>
  <c r="M443" i="4"/>
  <c r="CN443" i="4"/>
  <c r="BH443" i="4"/>
  <c r="AB443" i="4"/>
  <c r="BS443" i="4"/>
  <c r="AM443" i="4"/>
  <c r="BQ443" i="4"/>
  <c r="CD443" i="4"/>
  <c r="CK443" i="4"/>
  <c r="V443" i="4"/>
  <c r="BR443" i="4"/>
  <c r="N443" i="4"/>
  <c r="CJ443" i="4"/>
  <c r="BD443" i="4"/>
  <c r="X443" i="4"/>
  <c r="BO443" i="4"/>
  <c r="AI443" i="4"/>
  <c r="BI443" i="4"/>
  <c r="BV443" i="4"/>
  <c r="BU443" i="4"/>
  <c r="CC443" i="4"/>
  <c r="AD443" i="4"/>
  <c r="S443" i="4"/>
  <c r="CF443" i="4"/>
  <c r="AZ443" i="4"/>
  <c r="T443" i="4"/>
  <c r="BK443" i="4"/>
  <c r="AE443" i="4"/>
  <c r="BA443" i="4"/>
  <c r="BN443" i="4"/>
  <c r="BE443" i="4"/>
  <c r="BJ443" i="4"/>
  <c r="O443" i="4"/>
  <c r="CB443" i="4"/>
  <c r="AV443" i="4"/>
  <c r="CM443" i="4"/>
  <c r="BG443" i="4"/>
  <c r="AA443" i="4"/>
  <c r="AS443" i="4"/>
  <c r="BF443" i="4"/>
  <c r="AO443" i="4"/>
  <c r="AL443" i="4"/>
  <c r="BB443" i="4"/>
  <c r="BX443" i="4"/>
  <c r="AR443" i="4"/>
  <c r="CI443" i="4"/>
  <c r="BC443" i="4"/>
  <c r="W443" i="4"/>
  <c r="AK443" i="4"/>
  <c r="AX443" i="4"/>
  <c r="Y443" i="4"/>
  <c r="BZ443" i="4"/>
  <c r="R443" i="4"/>
  <c r="BT443" i="4"/>
  <c r="AN443" i="4"/>
  <c r="CE443" i="4"/>
  <c r="AY443" i="4"/>
  <c r="CO443" i="4"/>
  <c r="AC443" i="4"/>
  <c r="AP443" i="4"/>
  <c r="CH443" i="4"/>
  <c r="AG443" i="4"/>
  <c r="AW443" i="4"/>
  <c r="C1347" i="4"/>
  <c r="C15" i="13" s="1"/>
  <c r="C1346" i="4"/>
  <c r="C14" i="13" s="1"/>
  <c r="C1345" i="4"/>
  <c r="C12" i="13" s="1"/>
  <c r="C1344" i="4"/>
  <c r="C13" i="13" s="1"/>
  <c r="CU987" i="4"/>
  <c r="DC987" i="4"/>
  <c r="DK987" i="4"/>
  <c r="DS987" i="4"/>
  <c r="DZ987" i="4"/>
  <c r="L1352" i="4"/>
  <c r="CX987" i="4"/>
  <c r="DF987" i="4"/>
  <c r="DV987" i="4"/>
  <c r="L1061" i="4"/>
  <c r="E23" i="3"/>
  <c r="E24" i="3" s="1"/>
  <c r="E693" i="4"/>
  <c r="I693" i="4" s="1"/>
  <c r="I699" i="4" s="1"/>
  <c r="C46" i="4"/>
  <c r="DJ987" i="4"/>
  <c r="EA987" i="4"/>
  <c r="CV987" i="4"/>
  <c r="I514" i="4"/>
  <c r="DB987" i="4"/>
  <c r="DM987" i="4"/>
  <c r="CT987" i="4"/>
  <c r="DU987" i="4"/>
  <c r="C310" i="4"/>
  <c r="H389" i="3" l="1"/>
  <c r="E25" i="3"/>
  <c r="M30" i="4" s="1"/>
  <c r="M529" i="4" s="1"/>
  <c r="I14" i="62"/>
  <c r="I16" i="62" s="1"/>
  <c r="M7" i="66"/>
  <c r="M6" i="66" s="1"/>
  <c r="M6" i="3"/>
  <c r="M7" i="11"/>
  <c r="M6" i="11" s="1"/>
  <c r="M86" i="64"/>
  <c r="M87" i="64" s="1"/>
  <c r="M7" i="62"/>
  <c r="M6" i="62" s="1"/>
  <c r="M7" i="64"/>
  <c r="M6" i="64" s="1"/>
  <c r="M28" i="64" s="1"/>
  <c r="M30" i="64" s="1"/>
  <c r="M53" i="64" s="1"/>
  <c r="M8" i="3"/>
  <c r="M7" i="4"/>
  <c r="M314" i="4"/>
  <c r="N7" i="3"/>
  <c r="C636" i="4"/>
  <c r="C43" i="4"/>
  <c r="C113" i="4"/>
  <c r="C879" i="4"/>
  <c r="C515" i="4"/>
  <c r="C50" i="4"/>
  <c r="C699" i="4"/>
  <c r="C270" i="4"/>
  <c r="C96" i="4"/>
  <c r="L329" i="3"/>
  <c r="L356" i="3"/>
  <c r="L241" i="3"/>
  <c r="L1332" i="4"/>
  <c r="M1332" i="4" s="1"/>
  <c r="L8" i="64"/>
  <c r="L296" i="3"/>
  <c r="L299" i="3"/>
  <c r="L218" i="3"/>
  <c r="L300" i="3"/>
  <c r="L314" i="4"/>
  <c r="L1106" i="4"/>
  <c r="L355" i="3"/>
  <c r="L216" i="3"/>
  <c r="L8" i="66"/>
  <c r="L8" i="62"/>
  <c r="L217" i="3"/>
  <c r="L331" i="3"/>
  <c r="L184" i="3"/>
  <c r="L330" i="3"/>
  <c r="L297" i="3"/>
  <c r="L242" i="3"/>
  <c r="L28" i="4"/>
  <c r="L8" i="11"/>
  <c r="L301" i="3"/>
  <c r="L357" i="3"/>
  <c r="L185" i="3"/>
  <c r="L8" i="4"/>
  <c r="L186" i="3"/>
  <c r="L1370" i="4"/>
  <c r="M1370" i="4" s="1"/>
  <c r="L16" i="4"/>
  <c r="L298" i="3"/>
  <c r="L240" i="3"/>
  <c r="E291" i="3"/>
  <c r="E292" i="3" s="1"/>
  <c r="E290" i="3"/>
  <c r="E188" i="4" s="1"/>
  <c r="E178" i="3"/>
  <c r="E179" i="3"/>
  <c r="E180" i="3" s="1"/>
  <c r="E177" i="3"/>
  <c r="E181" i="3" s="1"/>
  <c r="M6" i="13"/>
  <c r="L7" i="13"/>
  <c r="L8" i="13"/>
  <c r="E212" i="3"/>
  <c r="E210" i="3"/>
  <c r="E209" i="3"/>
  <c r="E213" i="3" s="1"/>
  <c r="E323" i="3"/>
  <c r="E322" i="3"/>
  <c r="E324" i="3"/>
  <c r="C281" i="4"/>
  <c r="C322" i="4"/>
  <c r="D126" i="71"/>
  <c r="D128" i="71"/>
  <c r="D127" i="71"/>
  <c r="E584" i="4"/>
  <c r="E585" i="4"/>
  <c r="E583" i="4"/>
  <c r="E586" i="4"/>
  <c r="E219" i="4"/>
  <c r="E241" i="4"/>
  <c r="E243" i="4"/>
  <c r="E242" i="4"/>
  <c r="F126" i="71"/>
  <c r="C320" i="4"/>
  <c r="C279" i="4"/>
  <c r="C282" i="4"/>
  <c r="C323" i="4"/>
  <c r="C100" i="4"/>
  <c r="C179" i="4"/>
  <c r="C509" i="4"/>
  <c r="C313" i="4"/>
  <c r="C283" i="4"/>
  <c r="C325" i="4"/>
  <c r="L29" i="4"/>
  <c r="G187" i="3"/>
  <c r="G219" i="3"/>
  <c r="E554" i="3"/>
  <c r="E556" i="3" s="1"/>
  <c r="M29" i="4"/>
  <c r="L1062" i="4"/>
  <c r="M1061" i="4"/>
  <c r="G126" i="71" l="1"/>
  <c r="E459" i="3" s="1"/>
  <c r="E727" i="4" s="1"/>
  <c r="E755" i="4" s="1"/>
  <c r="L30" i="4"/>
  <c r="L63" i="4" s="1"/>
  <c r="L243" i="4"/>
  <c r="L220" i="4"/>
  <c r="L187" i="4"/>
  <c r="L196" i="4" s="1"/>
  <c r="L218" i="4"/>
  <c r="M6" i="4"/>
  <c r="M15" i="4"/>
  <c r="L62" i="4"/>
  <c r="L530" i="4"/>
  <c r="L68" i="4"/>
  <c r="L747" i="4"/>
  <c r="L67" i="4"/>
  <c r="L70" i="4"/>
  <c r="L54" i="11"/>
  <c r="L543" i="4"/>
  <c r="L529" i="4"/>
  <c r="L145" i="4"/>
  <c r="L188" i="4"/>
  <c r="L197" i="4" s="1"/>
  <c r="L134" i="4"/>
  <c r="L135" i="4"/>
  <c r="M296" i="3"/>
  <c r="M183" i="4" s="1"/>
  <c r="M242" i="3"/>
  <c r="M147" i="4" s="1"/>
  <c r="M355" i="3"/>
  <c r="M241" i="4" s="1"/>
  <c r="M8" i="64"/>
  <c r="M16" i="4"/>
  <c r="M218" i="3"/>
  <c r="M135" i="4" s="1"/>
  <c r="M357" i="3"/>
  <c r="M243" i="4" s="1"/>
  <c r="M330" i="3"/>
  <c r="M219" i="4" s="1"/>
  <c r="M224" i="4" s="1"/>
  <c r="M240" i="3"/>
  <c r="M145" i="4" s="1"/>
  <c r="M217" i="3"/>
  <c r="M134" i="4" s="1"/>
  <c r="M8" i="62"/>
  <c r="M54" i="62" s="1"/>
  <c r="M331" i="3"/>
  <c r="M220" i="4" s="1"/>
  <c r="M216" i="3"/>
  <c r="M133" i="4" s="1"/>
  <c r="M184" i="3"/>
  <c r="M121" i="4" s="1"/>
  <c r="M8" i="66"/>
  <c r="M298" i="3"/>
  <c r="M185" i="4" s="1"/>
  <c r="M194" i="4" s="1"/>
  <c r="M198" i="4" s="1"/>
  <c r="M1106" i="4"/>
  <c r="M241" i="3"/>
  <c r="M146" i="4" s="1"/>
  <c r="M297" i="3"/>
  <c r="M184" i="4" s="1"/>
  <c r="M193" i="4" s="1"/>
  <c r="M1083" i="4"/>
  <c r="M8" i="11"/>
  <c r="M301" i="3"/>
  <c r="M188" i="4" s="1"/>
  <c r="M197" i="4" s="1"/>
  <c r="M356" i="3"/>
  <c r="M242" i="4" s="1"/>
  <c r="M299" i="3"/>
  <c r="M186" i="4" s="1"/>
  <c r="M195" i="4" s="1"/>
  <c r="M329" i="3"/>
  <c r="M218" i="4" s="1"/>
  <c r="M300" i="3"/>
  <c r="M187" i="4" s="1"/>
  <c r="M196" i="4" s="1"/>
  <c r="M186" i="3"/>
  <c r="M123" i="4" s="1"/>
  <c r="M185" i="3"/>
  <c r="M122" i="4" s="1"/>
  <c r="M8" i="4"/>
  <c r="M28" i="4"/>
  <c r="L53" i="4" s="1"/>
  <c r="L185" i="4"/>
  <c r="L194" i="4" s="1"/>
  <c r="L186" i="4"/>
  <c r="L195" i="4" s="1"/>
  <c r="M530" i="4"/>
  <c r="M747" i="4"/>
  <c r="M54" i="11"/>
  <c r="M543" i="4"/>
  <c r="M62" i="4"/>
  <c r="L183" i="4"/>
  <c r="L147" i="4"/>
  <c r="L133" i="4"/>
  <c r="L54" i="62"/>
  <c r="E325" i="3"/>
  <c r="E326" i="3" s="1"/>
  <c r="E101" i="4" s="1"/>
  <c r="E220" i="4"/>
  <c r="M7" i="13"/>
  <c r="N6" i="13"/>
  <c r="M8" i="13"/>
  <c r="L123" i="4"/>
  <c r="L184" i="4"/>
  <c r="L193" i="4" s="1"/>
  <c r="L241" i="4"/>
  <c r="N1332" i="4"/>
  <c r="L8" i="72"/>
  <c r="M7" i="72" s="1"/>
  <c r="L8" i="67"/>
  <c r="M7" i="67" s="1"/>
  <c r="M1315" i="4"/>
  <c r="L17" i="4"/>
  <c r="L24" i="4" s="1"/>
  <c r="L19" i="4"/>
  <c r="L20" i="4" s="1"/>
  <c r="L219" i="4"/>
  <c r="L224" i="4" s="1"/>
  <c r="L146" i="4"/>
  <c r="C214" i="4"/>
  <c r="C510" i="4"/>
  <c r="C315" i="4"/>
  <c r="C101" i="4"/>
  <c r="E218" i="4"/>
  <c r="N7" i="62"/>
  <c r="N6" i="62" s="1"/>
  <c r="N8" i="3"/>
  <c r="N1370" i="4" s="1"/>
  <c r="N86" i="64"/>
  <c r="N87" i="64" s="1"/>
  <c r="N7" i="11"/>
  <c r="N6" i="11" s="1"/>
  <c r="N7" i="4"/>
  <c r="N7" i="64"/>
  <c r="N6" i="64" s="1"/>
  <c r="N28" i="64" s="1"/>
  <c r="N30" i="64" s="1"/>
  <c r="N53" i="64" s="1"/>
  <c r="N6" i="3"/>
  <c r="N7" i="66"/>
  <c r="N6" i="66" s="1"/>
  <c r="L122" i="4"/>
  <c r="L121" i="4"/>
  <c r="L32" i="4" s="1"/>
  <c r="L273" i="4"/>
  <c r="L1166" i="4"/>
  <c r="L275" i="4"/>
  <c r="L1165" i="4"/>
  <c r="L274" i="4"/>
  <c r="L242" i="4"/>
  <c r="L247" i="4" s="1"/>
  <c r="C326" i="4"/>
  <c r="C284" i="4"/>
  <c r="E293" i="3"/>
  <c r="E100" i="4" s="1"/>
  <c r="M273" i="4"/>
  <c r="M1166" i="4"/>
  <c r="M1165" i="4"/>
  <c r="M15" i="66" s="1"/>
  <c r="M275" i="4"/>
  <c r="M274" i="4"/>
  <c r="M335" i="4" s="1"/>
  <c r="M959" i="4" s="1"/>
  <c r="M247" i="4"/>
  <c r="E587" i="4"/>
  <c r="E591" i="4" s="1"/>
  <c r="F127" i="71" s="1"/>
  <c r="G127" i="71" s="1"/>
  <c r="E464" i="3" s="1"/>
  <c r="E732" i="4" s="1"/>
  <c r="E764" i="4" s="1"/>
  <c r="L248" i="4"/>
  <c r="M248" i="4"/>
  <c r="M249" i="4" s="1"/>
  <c r="M246" i="4"/>
  <c r="L246" i="4"/>
  <c r="C518" i="4"/>
  <c r="C692" i="4"/>
  <c r="C721" i="4" s="1"/>
  <c r="M1062" i="4"/>
  <c r="N1061" i="4"/>
  <c r="O1061" i="4" s="1"/>
  <c r="M1074" i="4"/>
  <c r="M1186" i="4"/>
  <c r="M57" i="4"/>
  <c r="M9" i="3" s="1"/>
  <c r="M1052" i="4"/>
  <c r="M295" i="4"/>
  <c r="M58" i="4"/>
  <c r="M60" i="4"/>
  <c r="L60" i="4"/>
  <c r="L61" i="4"/>
  <c r="L295" i="4"/>
  <c r="L1074" i="4"/>
  <c r="L1186" i="4"/>
  <c r="L58" i="4"/>
  <c r="L1052" i="4"/>
  <c r="L57" i="4"/>
  <c r="L9" i="66" s="1"/>
  <c r="L66" i="4"/>
  <c r="L1081" i="4"/>
  <c r="M1081" i="4"/>
  <c r="L1107" i="4"/>
  <c r="L1079" i="4"/>
  <c r="M1079" i="4"/>
  <c r="M1107" i="4"/>
  <c r="I101" i="4" l="1"/>
  <c r="N1079" i="4"/>
  <c r="N1081" i="4"/>
  <c r="O7" i="3"/>
  <c r="M70" i="4"/>
  <c r="N1107" i="4"/>
  <c r="N314" i="4"/>
  <c r="N274" i="4" s="1"/>
  <c r="M37" i="4"/>
  <c r="N15" i="4"/>
  <c r="N6" i="4"/>
  <c r="M21" i="4"/>
  <c r="L22" i="4"/>
  <c r="O6" i="13"/>
  <c r="N7" i="13"/>
  <c r="N8" i="13"/>
  <c r="L198" i="4"/>
  <c r="M36" i="4"/>
  <c r="M34" i="4"/>
  <c r="M35" i="4"/>
  <c r="M192" i="4"/>
  <c r="L34" i="4"/>
  <c r="L335" i="4"/>
  <c r="L39" i="4"/>
  <c r="N273" i="4"/>
  <c r="N275" i="4"/>
  <c r="N288" i="4" s="1"/>
  <c r="N1166" i="4"/>
  <c r="C632" i="4"/>
  <c r="C693" i="4"/>
  <c r="C828" i="4" s="1"/>
  <c r="L35" i="4"/>
  <c r="L192" i="4"/>
  <c r="L1312" i="4"/>
  <c r="L37" i="4"/>
  <c r="M225" i="4"/>
  <c r="L225" i="4"/>
  <c r="L540" i="4"/>
  <c r="M34" i="66"/>
  <c r="M32" i="4"/>
  <c r="L528" i="4"/>
  <c r="M528" i="4" s="1"/>
  <c r="I100" i="4"/>
  <c r="I102" i="4"/>
  <c r="M288" i="4"/>
  <c r="L288" i="4"/>
  <c r="L329" i="4" s="1"/>
  <c r="L414" i="4" s="1"/>
  <c r="L415" i="4" s="1"/>
  <c r="M413" i="4" s="1"/>
  <c r="N184" i="3"/>
  <c r="N217" i="3"/>
  <c r="N134" i="4" s="1"/>
  <c r="N242" i="3"/>
  <c r="N301" i="3"/>
  <c r="N188" i="4" s="1"/>
  <c r="N197" i="4" s="1"/>
  <c r="N298" i="3"/>
  <c r="N185" i="4" s="1"/>
  <c r="N194" i="4" s="1"/>
  <c r="N357" i="3"/>
  <c r="N243" i="4" s="1"/>
  <c r="N248" i="4" s="1"/>
  <c r="N249" i="4" s="1"/>
  <c r="N8" i="66"/>
  <c r="N8" i="64"/>
  <c r="N16" i="4"/>
  <c r="N240" i="3"/>
  <c r="N145" i="4" s="1"/>
  <c r="N241" i="3"/>
  <c r="N8" i="62"/>
  <c r="N54" i="62" s="1"/>
  <c r="N186" i="3"/>
  <c r="N123" i="4" s="1"/>
  <c r="N218" i="3"/>
  <c r="N1083" i="4"/>
  <c r="N329" i="3"/>
  <c r="N299" i="3"/>
  <c r="N186" i="4" s="1"/>
  <c r="N195" i="4" s="1"/>
  <c r="N355" i="3"/>
  <c r="N297" i="3"/>
  <c r="N184" i="4" s="1"/>
  <c r="N193" i="4" s="1"/>
  <c r="N300" i="3"/>
  <c r="N187" i="4" s="1"/>
  <c r="N196" i="4" s="1"/>
  <c r="N330" i="3"/>
  <c r="N216" i="3"/>
  <c r="N1106" i="4"/>
  <c r="N356" i="3"/>
  <c r="N8" i="4"/>
  <c r="N28" i="4"/>
  <c r="N331" i="3"/>
  <c r="N220" i="4" s="1"/>
  <c r="N225" i="4" s="1"/>
  <c r="N226" i="4" s="1"/>
  <c r="N8" i="11"/>
  <c r="N296" i="3"/>
  <c r="N185" i="3"/>
  <c r="N29" i="4"/>
  <c r="N30" i="4"/>
  <c r="M17" i="4"/>
  <c r="M19" i="4"/>
  <c r="M20" i="4" s="1"/>
  <c r="M33" i="4"/>
  <c r="L33" i="4"/>
  <c r="M18" i="4"/>
  <c r="N1315" i="4"/>
  <c r="M1446" i="4"/>
  <c r="M1447" i="4" s="1"/>
  <c r="M1352" i="4"/>
  <c r="M68" i="4"/>
  <c r="L610" i="3"/>
  <c r="M67" i="4"/>
  <c r="L965" i="4"/>
  <c r="L15" i="66"/>
  <c r="M223" i="4"/>
  <c r="L223" i="4"/>
  <c r="M8" i="67"/>
  <c r="N7" i="67" s="1"/>
  <c r="M6" i="67"/>
  <c r="E360" i="3"/>
  <c r="L287" i="4"/>
  <c r="L324" i="4" s="1"/>
  <c r="L34" i="66"/>
  <c r="M287" i="4"/>
  <c r="O7" i="4"/>
  <c r="O7" i="62"/>
  <c r="O6" i="62" s="1"/>
  <c r="O6" i="3"/>
  <c r="O7" i="64"/>
  <c r="O6" i="64" s="1"/>
  <c r="O28" i="64" s="1"/>
  <c r="O30" i="64" s="1"/>
  <c r="O53" i="64" s="1"/>
  <c r="O7" i="66"/>
  <c r="O6" i="66" s="1"/>
  <c r="O7" i="11"/>
  <c r="O6" i="11" s="1"/>
  <c r="O86" i="64"/>
  <c r="O87" i="64" s="1"/>
  <c r="O8" i="3"/>
  <c r="O314" i="4" s="1"/>
  <c r="M6" i="72"/>
  <c r="M8" i="72"/>
  <c r="N7" i="72" s="1"/>
  <c r="L36" i="4"/>
  <c r="F586" i="4"/>
  <c r="F584" i="4"/>
  <c r="L249" i="4"/>
  <c r="L250" i="4" s="1"/>
  <c r="M250" i="4"/>
  <c r="F585" i="4"/>
  <c r="F583" i="4"/>
  <c r="E592" i="4"/>
  <c r="F128" i="71" s="1"/>
  <c r="G128" i="71" s="1"/>
  <c r="E468" i="3" s="1"/>
  <c r="E736" i="4" s="1"/>
  <c r="E772" i="4" s="1"/>
  <c r="L9" i="11"/>
  <c r="L1082" i="4"/>
  <c r="L9" i="64"/>
  <c r="L9" i="3"/>
  <c r="M9" i="64"/>
  <c r="L9" i="4"/>
  <c r="M9" i="62"/>
  <c r="M9" i="4"/>
  <c r="O1062" i="4"/>
  <c r="M1080" i="4"/>
  <c r="M1066" i="4"/>
  <c r="M1075" i="4" s="1"/>
  <c r="M1063" i="4"/>
  <c r="L303" i="4"/>
  <c r="M303" i="4"/>
  <c r="L1080" i="4"/>
  <c r="L1130" i="4"/>
  <c r="L1066" i="4"/>
  <c r="L1075" i="4" s="1"/>
  <c r="L1063" i="4"/>
  <c r="M66" i="4"/>
  <c r="N66" i="4" s="1"/>
  <c r="L318" i="4"/>
  <c r="M9" i="66"/>
  <c r="L1213" i="4"/>
  <c r="L1051" i="4" s="1"/>
  <c r="L981" i="4"/>
  <c r="L54" i="4"/>
  <c r="L60" i="62"/>
  <c r="L9" i="62"/>
  <c r="N1080" i="4"/>
  <c r="N1063" i="4"/>
  <c r="M54" i="4"/>
  <c r="M60" i="62"/>
  <c r="M981" i="4"/>
  <c r="N1062" i="4"/>
  <c r="P1061" i="4"/>
  <c r="N1082" i="4"/>
  <c r="M1082" i="4"/>
  <c r="M9" i="11"/>
  <c r="N335" i="4" l="1"/>
  <c r="N959" i="4" s="1"/>
  <c r="N287" i="4"/>
  <c r="P7" i="3"/>
  <c r="P7" i="4" s="1"/>
  <c r="M324" i="4"/>
  <c r="N1165" i="4"/>
  <c r="O7" i="72"/>
  <c r="N6" i="67"/>
  <c r="N8" i="67"/>
  <c r="O7" i="67" s="1"/>
  <c r="P7" i="66"/>
  <c r="P6" i="66" s="1"/>
  <c r="P314" i="4"/>
  <c r="P8" i="3"/>
  <c r="P86" i="64"/>
  <c r="P87" i="64" s="1"/>
  <c r="P6" i="3"/>
  <c r="P7" i="11"/>
  <c r="P6" i="11" s="1"/>
  <c r="P7" i="62"/>
  <c r="P6" i="62" s="1"/>
  <c r="P7" i="64"/>
  <c r="P6" i="64" s="1"/>
  <c r="P28" i="64" s="1"/>
  <c r="P30" i="64" s="1"/>
  <c r="P53" i="64" s="1"/>
  <c r="M610" i="3"/>
  <c r="N68" i="4"/>
  <c r="N67" i="4"/>
  <c r="M965" i="4"/>
  <c r="N146" i="4"/>
  <c r="N34" i="4" s="1"/>
  <c r="N147" i="4"/>
  <c r="M226" i="4"/>
  <c r="M227" i="4" s="1"/>
  <c r="L46" i="4"/>
  <c r="L964" i="4"/>
  <c r="L605" i="4"/>
  <c r="M53" i="4"/>
  <c r="N1052" i="4"/>
  <c r="N58" i="4"/>
  <c r="N241" i="4"/>
  <c r="N15" i="66"/>
  <c r="N6" i="72"/>
  <c r="N8" i="72"/>
  <c r="O1315" i="4"/>
  <c r="N1446" i="4"/>
  <c r="N1447" i="4" s="1"/>
  <c r="N1352" i="4"/>
  <c r="N54" i="11"/>
  <c r="N747" i="4"/>
  <c r="N530" i="4"/>
  <c r="N543" i="4"/>
  <c r="N62" i="4"/>
  <c r="N70" i="4"/>
  <c r="M63" i="4"/>
  <c r="N17" i="4"/>
  <c r="N19" i="4"/>
  <c r="N20" i="4" s="1"/>
  <c r="N121" i="4"/>
  <c r="L226" i="4"/>
  <c r="L986" i="4"/>
  <c r="I986" i="4" s="1"/>
  <c r="L959" i="4"/>
  <c r="N18" i="4"/>
  <c r="O16" i="4"/>
  <c r="O355" i="3"/>
  <c r="O241" i="4" s="1"/>
  <c r="O184" i="3"/>
  <c r="O121" i="4" s="1"/>
  <c r="O218" i="3"/>
  <c r="O135" i="4" s="1"/>
  <c r="O8" i="62"/>
  <c r="O54" i="62" s="1"/>
  <c r="O240" i="3"/>
  <c r="O1083" i="4"/>
  <c r="O298" i="3"/>
  <c r="O242" i="3"/>
  <c r="O147" i="4" s="1"/>
  <c r="O331" i="3"/>
  <c r="O220" i="4" s="1"/>
  <c r="O225" i="4" s="1"/>
  <c r="O226" i="4" s="1"/>
  <c r="O1106" i="4"/>
  <c r="O217" i="3"/>
  <c r="O8" i="4"/>
  <c r="O297" i="3"/>
  <c r="O184" i="4" s="1"/>
  <c r="O193" i="4" s="1"/>
  <c r="O300" i="3"/>
  <c r="O187" i="4" s="1"/>
  <c r="O196" i="4" s="1"/>
  <c r="O330" i="3"/>
  <c r="O219" i="4" s="1"/>
  <c r="O224" i="4" s="1"/>
  <c r="O8" i="11"/>
  <c r="O186" i="3"/>
  <c r="O241" i="3"/>
  <c r="O146" i="4" s="1"/>
  <c r="O356" i="3"/>
  <c r="O242" i="4" s="1"/>
  <c r="O247" i="4" s="1"/>
  <c r="O8" i="66"/>
  <c r="O301" i="3"/>
  <c r="O299" i="3"/>
  <c r="O28" i="4"/>
  <c r="O216" i="3"/>
  <c r="O133" i="4" s="1"/>
  <c r="O185" i="3"/>
  <c r="O122" i="4" s="1"/>
  <c r="O8" i="64"/>
  <c r="O329" i="3"/>
  <c r="O218" i="4" s="1"/>
  <c r="O357" i="3"/>
  <c r="O296" i="3"/>
  <c r="O183" i="4" s="1"/>
  <c r="O529" i="4"/>
  <c r="O29" i="4"/>
  <c r="O30" i="4"/>
  <c r="O1081" i="4"/>
  <c r="O1079" i="4"/>
  <c r="O1066" i="4" s="1"/>
  <c r="O1075" i="4" s="1"/>
  <c r="O1107" i="4"/>
  <c r="O6" i="4"/>
  <c r="O15" i="4"/>
  <c r="M61" i="4"/>
  <c r="N1074" i="4"/>
  <c r="N1186" i="4"/>
  <c r="N60" i="4"/>
  <c r="N57" i="4"/>
  <c r="N9" i="4" s="1"/>
  <c r="N295" i="4"/>
  <c r="N242" i="4"/>
  <c r="N247" i="4" s="1"/>
  <c r="N218" i="4"/>
  <c r="M329" i="4"/>
  <c r="M414" i="4" s="1"/>
  <c r="M415" i="4" s="1"/>
  <c r="N413" i="4" s="1"/>
  <c r="L542" i="4"/>
  <c r="O1165" i="4"/>
  <c r="O273" i="4"/>
  <c r="O1166" i="4"/>
  <c r="O275" i="4"/>
  <c r="O274" i="4"/>
  <c r="O335" i="4" s="1"/>
  <c r="O959" i="4" s="1"/>
  <c r="M60" i="3"/>
  <c r="M59" i="3"/>
  <c r="M56" i="3"/>
  <c r="M58" i="3"/>
  <c r="L40" i="4"/>
  <c r="M40" i="4"/>
  <c r="N529" i="4"/>
  <c r="I104" i="4"/>
  <c r="L199" i="4"/>
  <c r="N34" i="66"/>
  <c r="L41" i="4"/>
  <c r="L43" i="4"/>
  <c r="M43" i="4"/>
  <c r="N122" i="4"/>
  <c r="N133" i="4"/>
  <c r="N135" i="4"/>
  <c r="L42" i="4"/>
  <c r="M42" i="4"/>
  <c r="M199" i="4"/>
  <c r="P6" i="13"/>
  <c r="O7" i="13"/>
  <c r="O8" i="13"/>
  <c r="O1370" i="4"/>
  <c r="P1370" i="4" s="1"/>
  <c r="N21" i="4"/>
  <c r="M22" i="4"/>
  <c r="N183" i="4"/>
  <c r="N219" i="4"/>
  <c r="N224" i="4" s="1"/>
  <c r="N198" i="4"/>
  <c r="L44" i="4"/>
  <c r="M44" i="4"/>
  <c r="O1332" i="4"/>
  <c r="P1332" i="4" s="1"/>
  <c r="O66" i="4"/>
  <c r="M540" i="4"/>
  <c r="M542" i="4" s="1"/>
  <c r="M24" i="4"/>
  <c r="M39" i="4"/>
  <c r="M41" i="4"/>
  <c r="E593" i="4"/>
  <c r="Q1061" i="4"/>
  <c r="R1061" i="4" s="1"/>
  <c r="L55" i="4"/>
  <c r="L970" i="4"/>
  <c r="M55" i="4"/>
  <c r="L95" i="11"/>
  <c r="L488" i="4"/>
  <c r="L53" i="62"/>
  <c r="L65" i="4"/>
  <c r="L499" i="4"/>
  <c r="L1023" i="4" s="1"/>
  <c r="L56" i="4"/>
  <c r="M53" i="62"/>
  <c r="P1062" i="4"/>
  <c r="N1066" i="4"/>
  <c r="L328" i="4"/>
  <c r="L1148" i="4"/>
  <c r="O60" i="4" l="1"/>
  <c r="N324" i="4"/>
  <c r="O8" i="67"/>
  <c r="O6" i="67"/>
  <c r="N41" i="4"/>
  <c r="N48" i="4" s="1"/>
  <c r="M51" i="4"/>
  <c r="L51" i="4"/>
  <c r="N35" i="4"/>
  <c r="N192" i="4"/>
  <c r="M49" i="4"/>
  <c r="L49" i="4"/>
  <c r="N61" i="4"/>
  <c r="N318" i="4" s="1"/>
  <c r="O1082" i="4"/>
  <c r="O123" i="4"/>
  <c r="O246" i="4"/>
  <c r="N329" i="4"/>
  <c r="N414" i="4" s="1"/>
  <c r="O68" i="4"/>
  <c r="N610" i="3"/>
  <c r="N965" i="4"/>
  <c r="O67" i="4"/>
  <c r="N22" i="4"/>
  <c r="O21" i="4"/>
  <c r="L607" i="4"/>
  <c r="L544" i="4"/>
  <c r="L612" i="4" s="1"/>
  <c r="O54" i="11"/>
  <c r="O747" i="4"/>
  <c r="O62" i="4"/>
  <c r="O543" i="4"/>
  <c r="O530" i="4"/>
  <c r="M50" i="4"/>
  <c r="M636" i="4" s="1"/>
  <c r="L50" i="4"/>
  <c r="M47" i="4"/>
  <c r="L47" i="4"/>
  <c r="Q6" i="13"/>
  <c r="P8" i="13"/>
  <c r="P7" i="13"/>
  <c r="L48" i="4"/>
  <c r="M48" i="4"/>
  <c r="O288" i="4"/>
  <c r="O329" i="4" s="1"/>
  <c r="O414" i="4" s="1"/>
  <c r="M318" i="4"/>
  <c r="O295" i="4"/>
  <c r="O303" i="4" s="1"/>
  <c r="O1186" i="4"/>
  <c r="O1074" i="4"/>
  <c r="O57" i="4"/>
  <c r="O9" i="66" s="1"/>
  <c r="N53" i="4"/>
  <c r="O1052" i="4"/>
  <c r="O58" i="4"/>
  <c r="O185" i="4"/>
  <c r="O194" i="4" s="1"/>
  <c r="N32" i="4"/>
  <c r="N63" i="4"/>
  <c r="N1312" i="4" s="1"/>
  <c r="P1315" i="4"/>
  <c r="O1446" i="4"/>
  <c r="O1447" i="4" s="1"/>
  <c r="O1352" i="4"/>
  <c r="N37" i="4"/>
  <c r="N246" i="4"/>
  <c r="M964" i="4"/>
  <c r="M605" i="4"/>
  <c r="P218" i="3"/>
  <c r="P135" i="4" s="1"/>
  <c r="P355" i="3"/>
  <c r="P241" i="4" s="1"/>
  <c r="P28" i="4"/>
  <c r="P16" i="4"/>
  <c r="P186" i="3"/>
  <c r="P123" i="4" s="1"/>
  <c r="P298" i="3"/>
  <c r="P185" i="4" s="1"/>
  <c r="P194" i="4" s="1"/>
  <c r="P198" i="4" s="1"/>
  <c r="P184" i="3"/>
  <c r="P121" i="4" s="1"/>
  <c r="P217" i="3"/>
  <c r="P134" i="4" s="1"/>
  <c r="P8" i="4"/>
  <c r="P241" i="3"/>
  <c r="P146" i="4" s="1"/>
  <c r="P8" i="66"/>
  <c r="P8" i="11"/>
  <c r="P242" i="3"/>
  <c r="P147" i="4" s="1"/>
  <c r="P331" i="3"/>
  <c r="P8" i="62"/>
  <c r="P356" i="3"/>
  <c r="P242" i="4" s="1"/>
  <c r="P247" i="4" s="1"/>
  <c r="P216" i="3"/>
  <c r="P330" i="3"/>
  <c r="P296" i="3"/>
  <c r="P357" i="3"/>
  <c r="P243" i="4" s="1"/>
  <c r="P248" i="4" s="1"/>
  <c r="P249" i="4" s="1"/>
  <c r="P240" i="3"/>
  <c r="P145" i="4" s="1"/>
  <c r="P300" i="3"/>
  <c r="P187" i="4" s="1"/>
  <c r="P196" i="4" s="1"/>
  <c r="P299" i="3"/>
  <c r="P186" i="4" s="1"/>
  <c r="P195" i="4" s="1"/>
  <c r="P185" i="3"/>
  <c r="P1106" i="4"/>
  <c r="P297" i="3"/>
  <c r="P1083" i="4"/>
  <c r="P301" i="3"/>
  <c r="P188" i="4" s="1"/>
  <c r="P197" i="4" s="1"/>
  <c r="P329" i="3"/>
  <c r="P218" i="4" s="1"/>
  <c r="P8" i="64"/>
  <c r="P29" i="4"/>
  <c r="P30" i="4"/>
  <c r="P1107" i="4"/>
  <c r="P1079" i="4"/>
  <c r="P1081" i="4"/>
  <c r="P1082" i="4" s="1"/>
  <c r="O36" i="4"/>
  <c r="O223" i="4"/>
  <c r="N415" i="4"/>
  <c r="O413" i="4" s="1"/>
  <c r="O186" i="4"/>
  <c r="O195" i="4" s="1"/>
  <c r="N528" i="4"/>
  <c r="P273" i="4"/>
  <c r="P1166" i="4"/>
  <c r="P274" i="4"/>
  <c r="P1165" i="4"/>
  <c r="P275" i="4"/>
  <c r="M544" i="4"/>
  <c r="M612" i="4" s="1"/>
  <c r="M607" i="4"/>
  <c r="M200" i="4"/>
  <c r="N33" i="4"/>
  <c r="L200" i="4"/>
  <c r="O34" i="66"/>
  <c r="O287" i="4"/>
  <c r="O324" i="4" s="1"/>
  <c r="N303" i="4"/>
  <c r="O18" i="4"/>
  <c r="O35" i="4"/>
  <c r="O192" i="4"/>
  <c r="O188" i="4"/>
  <c r="O197" i="4" s="1"/>
  <c r="O145" i="4"/>
  <c r="O34" i="4" s="1"/>
  <c r="O41" i="4" s="1"/>
  <c r="M1312" i="4"/>
  <c r="O70" i="4"/>
  <c r="N60" i="3"/>
  <c r="N58" i="3"/>
  <c r="N59" i="3"/>
  <c r="N56" i="3"/>
  <c r="O134" i="4"/>
  <c r="O33" i="4" s="1"/>
  <c r="O15" i="66"/>
  <c r="N9" i="3"/>
  <c r="N54" i="4"/>
  <c r="N9" i="62"/>
  <c r="N9" i="11"/>
  <c r="N9" i="64"/>
  <c r="N60" i="62"/>
  <c r="N9" i="66"/>
  <c r="O243" i="4"/>
  <c r="O248" i="4" s="1"/>
  <c r="O17" i="4"/>
  <c r="O19" i="4"/>
  <c r="O20" i="4" s="1"/>
  <c r="N24" i="4"/>
  <c r="N540" i="4"/>
  <c r="P15" i="4"/>
  <c r="P6" i="4"/>
  <c r="Q7" i="3"/>
  <c r="N36" i="4"/>
  <c r="N223" i="4"/>
  <c r="N227" i="4" s="1"/>
  <c r="L227" i="4"/>
  <c r="E123" i="4"/>
  <c r="E122" i="4"/>
  <c r="E121" i="4"/>
  <c r="E147" i="4"/>
  <c r="E135" i="4"/>
  <c r="E145" i="4"/>
  <c r="E146" i="4"/>
  <c r="E133" i="4"/>
  <c r="E134" i="4"/>
  <c r="O1080" i="4"/>
  <c r="O1063" i="4"/>
  <c r="O32" i="4"/>
  <c r="M46" i="4"/>
  <c r="O6" i="72"/>
  <c r="O8" i="72"/>
  <c r="P7" i="72" s="1"/>
  <c r="Q1062" i="4"/>
  <c r="R1062" i="4"/>
  <c r="S1061" i="4"/>
  <c r="T1061" i="4" s="1"/>
  <c r="M328" i="4"/>
  <c r="N328" i="4" s="1"/>
  <c r="N1075" i="4"/>
  <c r="M65" i="4"/>
  <c r="N65" i="4" s="1"/>
  <c r="O9" i="62" l="1"/>
  <c r="O37" i="4"/>
  <c r="O9" i="64"/>
  <c r="P60" i="4"/>
  <c r="O24" i="4"/>
  <c r="O9" i="4"/>
  <c r="P15" i="66"/>
  <c r="P6" i="72"/>
  <c r="P8" i="72"/>
  <c r="Q7" i="72"/>
  <c r="O22" i="4"/>
  <c r="P21" i="4"/>
  <c r="O48" i="4"/>
  <c r="O53" i="4"/>
  <c r="P58" i="4"/>
  <c r="P1052" i="4"/>
  <c r="O44" i="4"/>
  <c r="M126" i="4"/>
  <c r="L126" i="4"/>
  <c r="O126" i="4"/>
  <c r="N126" i="4"/>
  <c r="P126" i="4"/>
  <c r="P287" i="4"/>
  <c r="P335" i="4"/>
  <c r="O415" i="4"/>
  <c r="P413" i="4" s="1"/>
  <c r="P184" i="4"/>
  <c r="P193" i="4" s="1"/>
  <c r="P219" i="4"/>
  <c r="P224" i="4" s="1"/>
  <c r="P34" i="4"/>
  <c r="P41" i="4" s="1"/>
  <c r="P37" i="4"/>
  <c r="P44" i="4" s="1"/>
  <c r="P246" i="4"/>
  <c r="N44" i="4"/>
  <c r="O528" i="4"/>
  <c r="O56" i="3"/>
  <c r="O60" i="3"/>
  <c r="O59" i="3"/>
  <c r="O58" i="3"/>
  <c r="N152" i="4"/>
  <c r="P152" i="4"/>
  <c r="O152" i="4"/>
  <c r="M152" i="4"/>
  <c r="L152" i="4"/>
  <c r="P747" i="4"/>
  <c r="P530" i="4"/>
  <c r="P540" i="4" s="1"/>
  <c r="P54" i="11"/>
  <c r="P62" i="4"/>
  <c r="P543" i="4"/>
  <c r="P70" i="4"/>
  <c r="P133" i="4"/>
  <c r="P33" i="4" s="1"/>
  <c r="P19" i="4"/>
  <c r="P20" i="4" s="1"/>
  <c r="P17" i="4"/>
  <c r="P1080" i="4"/>
  <c r="P1063" i="4"/>
  <c r="O39" i="4"/>
  <c r="N39" i="4"/>
  <c r="L139" i="4"/>
  <c r="N139" i="4"/>
  <c r="O139" i="4"/>
  <c r="M139" i="4"/>
  <c r="P139" i="4"/>
  <c r="O128" i="4"/>
  <c r="L128" i="4"/>
  <c r="N128" i="4"/>
  <c r="P128" i="4"/>
  <c r="M128" i="4"/>
  <c r="Q7" i="62"/>
  <c r="Q6" i="62" s="1"/>
  <c r="Q7" i="4"/>
  <c r="Q7" i="11"/>
  <c r="Q6" i="11" s="1"/>
  <c r="Q8" i="3"/>
  <c r="Q7" i="66"/>
  <c r="Q6" i="66" s="1"/>
  <c r="Q7" i="64"/>
  <c r="Q6" i="64" s="1"/>
  <c r="Q28" i="64" s="1"/>
  <c r="Q30" i="64" s="1"/>
  <c r="Q53" i="64" s="1"/>
  <c r="Q86" i="64"/>
  <c r="Q87" i="64" s="1"/>
  <c r="Q6" i="3"/>
  <c r="P295" i="4"/>
  <c r="P57" i="4"/>
  <c r="P9" i="4" s="1"/>
  <c r="P1186" i="4"/>
  <c r="P1074" i="4"/>
  <c r="P122" i="4"/>
  <c r="P32" i="4" s="1"/>
  <c r="O198" i="4"/>
  <c r="O199" i="4" s="1"/>
  <c r="N199" i="4"/>
  <c r="N138" i="4"/>
  <c r="L138" i="4"/>
  <c r="P138" i="4"/>
  <c r="M138" i="4"/>
  <c r="O138" i="4"/>
  <c r="P324" i="4"/>
  <c r="M617" i="4"/>
  <c r="P529" i="4"/>
  <c r="P54" i="62"/>
  <c r="P1352" i="4"/>
  <c r="Q1315" i="4"/>
  <c r="P1446" i="4"/>
  <c r="P1447" i="4" s="1"/>
  <c r="O227" i="4"/>
  <c r="O9" i="3"/>
  <c r="Q8" i="13"/>
  <c r="Q7" i="13"/>
  <c r="R6" i="13"/>
  <c r="P66" i="4"/>
  <c r="O42" i="4"/>
  <c r="N42" i="4"/>
  <c r="L151" i="4"/>
  <c r="M151" i="4"/>
  <c r="O151" i="4"/>
  <c r="P151" i="4"/>
  <c r="N151" i="4"/>
  <c r="N542" i="4"/>
  <c r="P220" i="4"/>
  <c r="P225" i="4" s="1"/>
  <c r="P68" i="4"/>
  <c r="O610" i="3"/>
  <c r="P67" i="4"/>
  <c r="O965" i="4"/>
  <c r="P183" i="4"/>
  <c r="N250" i="4"/>
  <c r="M127" i="4"/>
  <c r="L127" i="4"/>
  <c r="O127" i="4"/>
  <c r="P127" i="4"/>
  <c r="N127" i="4"/>
  <c r="N150" i="4"/>
  <c r="P150" i="4"/>
  <c r="M150" i="4"/>
  <c r="L150" i="4"/>
  <c r="O150" i="4"/>
  <c r="O249" i="4"/>
  <c r="O250" i="4" s="1"/>
  <c r="M56" i="4"/>
  <c r="N53" i="62"/>
  <c r="N55" i="4"/>
  <c r="P223" i="4"/>
  <c r="O61" i="4"/>
  <c r="P1066" i="4"/>
  <c r="P1075" i="4" s="1"/>
  <c r="O63" i="4"/>
  <c r="L617" i="4"/>
  <c r="P7" i="67"/>
  <c r="O40" i="4"/>
  <c r="N40" i="4"/>
  <c r="N140" i="4"/>
  <c r="P140" i="4"/>
  <c r="M140" i="4"/>
  <c r="L140" i="4"/>
  <c r="O140" i="4"/>
  <c r="N43" i="4"/>
  <c r="O43" i="4"/>
  <c r="P18" i="4"/>
  <c r="P34" i="66"/>
  <c r="O9" i="11"/>
  <c r="O54" i="4"/>
  <c r="O55" i="4" s="1"/>
  <c r="O60" i="62"/>
  <c r="P288" i="4"/>
  <c r="P329" i="4" s="1"/>
  <c r="P414" i="4" s="1"/>
  <c r="L636" i="4"/>
  <c r="M654" i="4"/>
  <c r="M655" i="4"/>
  <c r="O540" i="4"/>
  <c r="N964" i="4"/>
  <c r="N605" i="4"/>
  <c r="S1062" i="4"/>
  <c r="U1061" i="4"/>
  <c r="U1062" i="4" s="1"/>
  <c r="T1062" i="4"/>
  <c r="P36" i="4" l="1"/>
  <c r="P43" i="4" s="1"/>
  <c r="O65" i="4"/>
  <c r="O542" i="4"/>
  <c r="O607" i="4" s="1"/>
  <c r="P39" i="4"/>
  <c r="Q21" i="4"/>
  <c r="P22" i="4"/>
  <c r="P9" i="62"/>
  <c r="P54" i="4"/>
  <c r="P65" i="4" s="1"/>
  <c r="P60" i="62"/>
  <c r="Q15" i="4"/>
  <c r="Q6" i="4"/>
  <c r="P129" i="4"/>
  <c r="Q6" i="72"/>
  <c r="Q8" i="72"/>
  <c r="R7" i="72" s="1"/>
  <c r="O53" i="62"/>
  <c r="P55" i="4"/>
  <c r="N56" i="4"/>
  <c r="P965" i="4"/>
  <c r="P610" i="3"/>
  <c r="P9" i="3"/>
  <c r="R7" i="3"/>
  <c r="L129" i="4"/>
  <c r="N200" i="4"/>
  <c r="P9" i="64"/>
  <c r="P303" i="4"/>
  <c r="Q314" i="4"/>
  <c r="N129" i="4"/>
  <c r="N130" i="4" s="1"/>
  <c r="P24" i="4"/>
  <c r="M141" i="4"/>
  <c r="N49" i="4"/>
  <c r="O49" i="4"/>
  <c r="N153" i="4"/>
  <c r="N154" i="4" s="1"/>
  <c r="N607" i="4"/>
  <c r="N544" i="4"/>
  <c r="N612" i="4" s="1"/>
  <c r="P50" i="4"/>
  <c r="P636" i="4" s="1"/>
  <c r="O50" i="4"/>
  <c r="O636" i="4" s="1"/>
  <c r="N50" i="4"/>
  <c r="O318" i="4"/>
  <c r="P226" i="4"/>
  <c r="P227" i="4" s="1"/>
  <c r="P9" i="11"/>
  <c r="O129" i="4"/>
  <c r="O51" i="4"/>
  <c r="N51" i="4"/>
  <c r="P51" i="4"/>
  <c r="L141" i="4"/>
  <c r="L142" i="4" s="1"/>
  <c r="O1312" i="4"/>
  <c r="N141" i="4"/>
  <c r="N142" i="4" s="1"/>
  <c r="O153" i="4"/>
  <c r="R8" i="13"/>
  <c r="R7" i="13"/>
  <c r="S6" i="13"/>
  <c r="P9" i="66"/>
  <c r="P528" i="4"/>
  <c r="P542" i="4" s="1"/>
  <c r="P250" i="4"/>
  <c r="P415" i="4"/>
  <c r="Q413" i="4" s="1"/>
  <c r="N47" i="4"/>
  <c r="O47" i="4"/>
  <c r="M153" i="4"/>
  <c r="M154" i="4" s="1"/>
  <c r="O964" i="4"/>
  <c r="O605" i="4"/>
  <c r="L654" i="4"/>
  <c r="M637" i="4"/>
  <c r="L637" i="4"/>
  <c r="L655" i="4"/>
  <c r="O141" i="4"/>
  <c r="P141" i="4"/>
  <c r="P6" i="67"/>
  <c r="P8" i="67"/>
  <c r="Q7" i="67" s="1"/>
  <c r="Q1352" i="4"/>
  <c r="Q1446" i="4"/>
  <c r="Q1447" i="4" s="1"/>
  <c r="R1315" i="4"/>
  <c r="P130" i="4"/>
  <c r="P48" i="4"/>
  <c r="P35" i="4"/>
  <c r="P192" i="4"/>
  <c r="Q184" i="3"/>
  <c r="Q329" i="3"/>
  <c r="Q186" i="3"/>
  <c r="Q357" i="3"/>
  <c r="Q330" i="3"/>
  <c r="Q8" i="4"/>
  <c r="Q301" i="3"/>
  <c r="Q28" i="4"/>
  <c r="Q355" i="3"/>
  <c r="Q299" i="3"/>
  <c r="Q242" i="3"/>
  <c r="Q241" i="3"/>
  <c r="Q8" i="66"/>
  <c r="Q8" i="62"/>
  <c r="Q297" i="3"/>
  <c r="Q217" i="3"/>
  <c r="Q216" i="3"/>
  <c r="Q218" i="3"/>
  <c r="Q1083" i="4"/>
  <c r="Q8" i="64"/>
  <c r="Q240" i="3"/>
  <c r="Q185" i="3"/>
  <c r="Q300" i="3"/>
  <c r="Q8" i="11"/>
  <c r="Q296" i="3"/>
  <c r="Q298" i="3"/>
  <c r="Q356" i="3"/>
  <c r="Q331" i="3"/>
  <c r="Q16" i="4"/>
  <c r="Q1106" i="4"/>
  <c r="Q29" i="4"/>
  <c r="Q30" i="4"/>
  <c r="Q68" i="4" s="1"/>
  <c r="Q1081" i="4"/>
  <c r="Q1079" i="4"/>
  <c r="Q1107" i="4"/>
  <c r="Q1332" i="4"/>
  <c r="Q1370" i="4"/>
  <c r="P40" i="4"/>
  <c r="L153" i="4"/>
  <c r="L154" i="4" s="1"/>
  <c r="P153" i="4"/>
  <c r="O200" i="4"/>
  <c r="M142" i="4"/>
  <c r="M129" i="4"/>
  <c r="P46" i="4"/>
  <c r="N46" i="4"/>
  <c r="O46" i="4"/>
  <c r="P959" i="4"/>
  <c r="V1061" i="4"/>
  <c r="W1061" i="4" s="1"/>
  <c r="Q529" i="4" l="1"/>
  <c r="O544" i="4"/>
  <c r="O612" i="4" s="1"/>
  <c r="P53" i="4"/>
  <c r="Q58" i="4"/>
  <c r="Q1052" i="4"/>
  <c r="R6" i="72"/>
  <c r="R8" i="72"/>
  <c r="N617" i="4"/>
  <c r="Q18" i="4"/>
  <c r="Q1186" i="4"/>
  <c r="Q295" i="4"/>
  <c r="Q57" i="4"/>
  <c r="Q9" i="62" s="1"/>
  <c r="Q1074" i="4"/>
  <c r="Q60" i="4"/>
  <c r="P61" i="4"/>
  <c r="Q187" i="4"/>
  <c r="Q196" i="4" s="1"/>
  <c r="Q184" i="4"/>
  <c r="Q193" i="4" s="1"/>
  <c r="Q188" i="4"/>
  <c r="Q197" i="4" s="1"/>
  <c r="L644" i="4"/>
  <c r="L660" i="4" s="1"/>
  <c r="L645" i="4"/>
  <c r="L640" i="4"/>
  <c r="L641" i="4"/>
  <c r="S7" i="13"/>
  <c r="T6" i="13"/>
  <c r="S8" i="13"/>
  <c r="N636" i="4"/>
  <c r="R7" i="4"/>
  <c r="R7" i="11"/>
  <c r="R6" i="11" s="1"/>
  <c r="R8" i="3"/>
  <c r="R1332" i="4" s="1"/>
  <c r="R6" i="3"/>
  <c r="R7" i="66"/>
  <c r="R6" i="66" s="1"/>
  <c r="R7" i="62"/>
  <c r="R6" i="62" s="1"/>
  <c r="R7" i="64"/>
  <c r="R6" i="64" s="1"/>
  <c r="R28" i="64" s="1"/>
  <c r="R30" i="64" s="1"/>
  <c r="R53" i="64" s="1"/>
  <c r="R86" i="64"/>
  <c r="R87" i="64" s="1"/>
  <c r="R314" i="4"/>
  <c r="L130" i="4"/>
  <c r="O654" i="4"/>
  <c r="O655" i="4"/>
  <c r="Q1166" i="4"/>
  <c r="Q275" i="4"/>
  <c r="Q273" i="4"/>
  <c r="Q1165" i="4"/>
  <c r="Q274" i="4"/>
  <c r="O130" i="4"/>
  <c r="P42" i="4"/>
  <c r="Q122" i="4"/>
  <c r="Q127" i="4" s="1"/>
  <c r="P154" i="4"/>
  <c r="Q145" i="4"/>
  <c r="Q219" i="4"/>
  <c r="Q224" i="4" s="1"/>
  <c r="P60" i="3"/>
  <c r="P56" i="3"/>
  <c r="P58" i="3"/>
  <c r="P59" i="3"/>
  <c r="P605" i="4"/>
  <c r="P964" i="4"/>
  <c r="R1352" i="4"/>
  <c r="S1315" i="4"/>
  <c r="R1446" i="4"/>
  <c r="R1447" i="4" s="1"/>
  <c r="O154" i="4"/>
  <c r="Q17" i="4"/>
  <c r="Q19" i="4"/>
  <c r="Q20" i="4" s="1"/>
  <c r="P544" i="4"/>
  <c r="P612" i="4" s="1"/>
  <c r="P607" i="4"/>
  <c r="Q220" i="4"/>
  <c r="Q225" i="4" s="1"/>
  <c r="Q146" i="4"/>
  <c r="Q151" i="4" s="1"/>
  <c r="Q243" i="4"/>
  <c r="Q248" i="4" s="1"/>
  <c r="M641" i="4"/>
  <c r="M644" i="4"/>
  <c r="M660" i="4" s="1"/>
  <c r="M645" i="4"/>
  <c r="M640" i="4"/>
  <c r="Q67" i="4"/>
  <c r="O56" i="4"/>
  <c r="P53" i="62"/>
  <c r="R1370" i="4"/>
  <c r="Q134" i="4"/>
  <c r="Q139" i="4" s="1"/>
  <c r="Q54" i="62"/>
  <c r="Q1063" i="4"/>
  <c r="Q1080" i="4"/>
  <c r="Q1066" i="4"/>
  <c r="Q1075" i="4" s="1"/>
  <c r="Q242" i="4"/>
  <c r="Q247" i="4" s="1"/>
  <c r="Q147" i="4"/>
  <c r="Q152" i="4" s="1"/>
  <c r="Q123" i="4"/>
  <c r="Q128" i="4" s="1"/>
  <c r="Q6" i="67"/>
  <c r="Q8" i="67"/>
  <c r="R7" i="67" s="1"/>
  <c r="O328" i="4"/>
  <c r="P655" i="4"/>
  <c r="P654" i="4"/>
  <c r="Q1082" i="4"/>
  <c r="Q185" i="4"/>
  <c r="Q194" i="4" s="1"/>
  <c r="Q135" i="4"/>
  <c r="Q140" i="4" s="1"/>
  <c r="Q186" i="4"/>
  <c r="Q195" i="4" s="1"/>
  <c r="Q218" i="4"/>
  <c r="Q66" i="4"/>
  <c r="P142" i="4"/>
  <c r="M130" i="4"/>
  <c r="Q530" i="4"/>
  <c r="Q54" i="11"/>
  <c r="Q747" i="4"/>
  <c r="Q543" i="4"/>
  <c r="Q62" i="4"/>
  <c r="Q70" i="4"/>
  <c r="P63" i="4"/>
  <c r="Q183" i="4"/>
  <c r="Q133" i="4"/>
  <c r="Q241" i="4"/>
  <c r="Q121" i="4"/>
  <c r="P199" i="4"/>
  <c r="P200" i="4" s="1"/>
  <c r="L659" i="4"/>
  <c r="P47" i="4"/>
  <c r="O142" i="4"/>
  <c r="X1061" i="4"/>
  <c r="X1062" i="4" s="1"/>
  <c r="W1062" i="4"/>
  <c r="V1062" i="4"/>
  <c r="O617" i="4" l="1"/>
  <c r="Q9" i="64"/>
  <c r="Q9" i="66"/>
  <c r="Q9" i="4"/>
  <c r="Q33" i="4"/>
  <c r="Q138" i="4"/>
  <c r="M659" i="4"/>
  <c r="Q540" i="4"/>
  <c r="Q288" i="4"/>
  <c r="Q329" i="4" s="1"/>
  <c r="Q414" i="4" s="1"/>
  <c r="Q415" i="4" s="1"/>
  <c r="R413" i="4" s="1"/>
  <c r="Q9" i="3"/>
  <c r="P1312" i="4"/>
  <c r="R355" i="3"/>
  <c r="R241" i="4" s="1"/>
  <c r="R297" i="3"/>
  <c r="R184" i="4" s="1"/>
  <c r="R193" i="4" s="1"/>
  <c r="R299" i="3"/>
  <c r="R329" i="3"/>
  <c r="R241" i="3"/>
  <c r="R8" i="66"/>
  <c r="R8" i="11"/>
  <c r="R301" i="3"/>
  <c r="R240" i="3"/>
  <c r="R186" i="3"/>
  <c r="R123" i="4" s="1"/>
  <c r="R128" i="4" s="1"/>
  <c r="R300" i="3"/>
  <c r="R187" i="4" s="1"/>
  <c r="R196" i="4" s="1"/>
  <c r="R218" i="3"/>
  <c r="R184" i="3"/>
  <c r="R296" i="3"/>
  <c r="R242" i="3"/>
  <c r="R217" i="3"/>
  <c r="R330" i="3"/>
  <c r="R1083" i="4"/>
  <c r="R28" i="4"/>
  <c r="R298" i="3"/>
  <c r="R8" i="4"/>
  <c r="R185" i="3"/>
  <c r="R8" i="62"/>
  <c r="R8" i="64"/>
  <c r="R356" i="3"/>
  <c r="R331" i="3"/>
  <c r="R220" i="4" s="1"/>
  <c r="R225" i="4" s="1"/>
  <c r="R216" i="3"/>
  <c r="R16" i="4"/>
  <c r="R357" i="3"/>
  <c r="R1106" i="4"/>
  <c r="R30" i="4"/>
  <c r="R529" i="4" s="1"/>
  <c r="R29" i="4"/>
  <c r="R1079" i="4"/>
  <c r="R1107" i="4"/>
  <c r="R1081" i="4"/>
  <c r="P318" i="4"/>
  <c r="S7" i="72"/>
  <c r="Q141" i="4"/>
  <c r="Q226" i="4"/>
  <c r="R1166" i="4"/>
  <c r="R1165" i="4"/>
  <c r="R15" i="66" s="1"/>
  <c r="R275" i="4"/>
  <c r="R273" i="4"/>
  <c r="R274" i="4"/>
  <c r="R335" i="4" s="1"/>
  <c r="R959" i="4" s="1"/>
  <c r="N654" i="4"/>
  <c r="N655" i="4"/>
  <c r="N637" i="4"/>
  <c r="O637" i="4"/>
  <c r="P637" i="4"/>
  <c r="L661" i="4"/>
  <c r="L662" i="4" s="1"/>
  <c r="Q528" i="4"/>
  <c r="Q59" i="3"/>
  <c r="Q56" i="3"/>
  <c r="Q58" i="3"/>
  <c r="Q60" i="3"/>
  <c r="P617" i="4"/>
  <c r="Q34" i="4"/>
  <c r="Q150" i="4"/>
  <c r="S7" i="3"/>
  <c r="R6" i="4"/>
  <c r="R15" i="4"/>
  <c r="Q54" i="4"/>
  <c r="Q60" i="62"/>
  <c r="Q35" i="4"/>
  <c r="Q192" i="4"/>
  <c r="R6" i="67"/>
  <c r="R8" i="67"/>
  <c r="S7" i="67"/>
  <c r="Q32" i="4"/>
  <c r="Q126" i="4"/>
  <c r="R66" i="4"/>
  <c r="Q198" i="4"/>
  <c r="S1446" i="4"/>
  <c r="S1447" i="4" s="1"/>
  <c r="T1315" i="4"/>
  <c r="S1352" i="4"/>
  <c r="Q335" i="4"/>
  <c r="Q37" i="4"/>
  <c r="Q246" i="4"/>
  <c r="Q36" i="4"/>
  <c r="Q223" i="4"/>
  <c r="Q249" i="4"/>
  <c r="P49" i="4"/>
  <c r="Q15" i="66"/>
  <c r="T7" i="13"/>
  <c r="T8" i="13"/>
  <c r="U6" i="13"/>
  <c r="Q9" i="11"/>
  <c r="Q303" i="4"/>
  <c r="Q24" i="4"/>
  <c r="Q129" i="4"/>
  <c r="Q610" i="3"/>
  <c r="R68" i="4"/>
  <c r="Q965" i="4"/>
  <c r="R67" i="4"/>
  <c r="R21" i="4"/>
  <c r="Q22" i="4"/>
  <c r="Q34" i="66"/>
  <c r="Q287" i="4"/>
  <c r="Q324" i="4" s="1"/>
  <c r="R287" i="4"/>
  <c r="R324" i="4" s="1"/>
  <c r="Y1061" i="4"/>
  <c r="R243" i="4" l="1"/>
  <c r="R248" i="4" s="1"/>
  <c r="R19" i="4"/>
  <c r="R20" i="4" s="1"/>
  <c r="R17" i="4"/>
  <c r="R121" i="4"/>
  <c r="R146" i="4"/>
  <c r="R151" i="4" s="1"/>
  <c r="R965" i="4"/>
  <c r="R610" i="3"/>
  <c r="Q43" i="4"/>
  <c r="Q959" i="4"/>
  <c r="R59" i="3"/>
  <c r="R60" i="3"/>
  <c r="R58" i="3"/>
  <c r="R56" i="3"/>
  <c r="P56" i="4"/>
  <c r="Q65" i="4"/>
  <c r="Q55" i="4"/>
  <c r="Q53" i="62"/>
  <c r="R1082" i="4"/>
  <c r="R185" i="4"/>
  <c r="R194" i="4" s="1"/>
  <c r="R135" i="4"/>
  <c r="R140" i="4" s="1"/>
  <c r="R218" i="4"/>
  <c r="S6" i="67"/>
  <c r="S8" i="67"/>
  <c r="T7" i="67" s="1"/>
  <c r="Q199" i="4"/>
  <c r="Q153" i="4"/>
  <c r="P641" i="4"/>
  <c r="P640" i="4"/>
  <c r="P644" i="4"/>
  <c r="P645" i="4"/>
  <c r="R133" i="4"/>
  <c r="Q53" i="4"/>
  <c r="R1052" i="4"/>
  <c r="R58" i="4"/>
  <c r="R186" i="4"/>
  <c r="R195" i="4" s="1"/>
  <c r="M661" i="4"/>
  <c r="M662" i="4"/>
  <c r="Q250" i="4"/>
  <c r="U1315" i="4"/>
  <c r="T1446" i="4"/>
  <c r="T1447" i="4" s="1"/>
  <c r="T1352" i="4"/>
  <c r="Q42" i="4"/>
  <c r="R18" i="4"/>
  <c r="Q41" i="4"/>
  <c r="S8" i="72"/>
  <c r="T7" i="72" s="1"/>
  <c r="S6" i="72"/>
  <c r="R1063" i="4"/>
  <c r="R1080" i="4"/>
  <c r="R1066" i="4"/>
  <c r="R1075" i="4" s="1"/>
  <c r="R226" i="4"/>
  <c r="R129" i="4"/>
  <c r="Q605" i="4"/>
  <c r="Q964" i="4"/>
  <c r="Q44" i="4"/>
  <c r="N644" i="4"/>
  <c r="N660" i="4" s="1"/>
  <c r="N641" i="4"/>
  <c r="N645" i="4"/>
  <c r="N640" i="4"/>
  <c r="N659" i="4" s="1"/>
  <c r="R34" i="66"/>
  <c r="R295" i="4"/>
  <c r="R1186" i="4"/>
  <c r="R1074" i="4"/>
  <c r="R57" i="4"/>
  <c r="R9" i="4" s="1"/>
  <c r="R60" i="4"/>
  <c r="Q61" i="4"/>
  <c r="R242" i="4"/>
  <c r="R247" i="4" s="1"/>
  <c r="R219" i="4"/>
  <c r="R224" i="4" s="1"/>
  <c r="R145" i="4"/>
  <c r="R246" i="4"/>
  <c r="S7" i="66"/>
  <c r="S6" i="66" s="1"/>
  <c r="S7" i="62"/>
  <c r="S6" i="62" s="1"/>
  <c r="S7" i="4"/>
  <c r="S6" i="3"/>
  <c r="S7" i="11"/>
  <c r="S6" i="11" s="1"/>
  <c r="S8" i="3"/>
  <c r="T7" i="3" s="1"/>
  <c r="S86" i="64"/>
  <c r="S87" i="64" s="1"/>
  <c r="S7" i="64"/>
  <c r="S6" i="64" s="1"/>
  <c r="S28" i="64" s="1"/>
  <c r="S30" i="64" s="1"/>
  <c r="S53" i="64" s="1"/>
  <c r="O645" i="4"/>
  <c r="O644" i="4"/>
  <c r="O641" i="4"/>
  <c r="O640" i="4"/>
  <c r="O659" i="4" s="1"/>
  <c r="R134" i="4"/>
  <c r="R139" i="4" s="1"/>
  <c r="R188" i="4"/>
  <c r="R197" i="4" s="1"/>
  <c r="R288" i="4"/>
  <c r="R329" i="4" s="1"/>
  <c r="R414" i="4" s="1"/>
  <c r="U8" i="13"/>
  <c r="V6" i="13"/>
  <c r="U7" i="13"/>
  <c r="Q130" i="4"/>
  <c r="R54" i="11"/>
  <c r="R747" i="4"/>
  <c r="R530" i="4"/>
  <c r="R540" i="4" s="1"/>
  <c r="R543" i="4"/>
  <c r="R62" i="4"/>
  <c r="Q63" i="4"/>
  <c r="R70" i="4"/>
  <c r="R54" i="62"/>
  <c r="R147" i="4"/>
  <c r="R152" i="4" s="1"/>
  <c r="R415" i="4"/>
  <c r="S413" i="4" s="1"/>
  <c r="Q142" i="4"/>
  <c r="Q39" i="4"/>
  <c r="P328" i="4"/>
  <c r="R122" i="4"/>
  <c r="R127" i="4" s="1"/>
  <c r="R183" i="4"/>
  <c r="Q227" i="4"/>
  <c r="Q542" i="4"/>
  <c r="Q40" i="4"/>
  <c r="Y1062" i="4"/>
  <c r="Z1061" i="4"/>
  <c r="R9" i="11" l="1"/>
  <c r="R9" i="3"/>
  <c r="R9" i="66"/>
  <c r="R9" i="62"/>
  <c r="N661" i="4"/>
  <c r="N662" i="4" s="1"/>
  <c r="T8" i="67"/>
  <c r="U7" i="67" s="1"/>
  <c r="T6" i="67"/>
  <c r="T7" i="62"/>
  <c r="T6" i="62" s="1"/>
  <c r="T6" i="3"/>
  <c r="T7" i="66"/>
  <c r="T6" i="66" s="1"/>
  <c r="T7" i="4"/>
  <c r="T8" i="3"/>
  <c r="U7" i="3" s="1"/>
  <c r="T7" i="11"/>
  <c r="T6" i="11" s="1"/>
  <c r="T7" i="64"/>
  <c r="T6" i="64" s="1"/>
  <c r="T28" i="64" s="1"/>
  <c r="T30" i="64" s="1"/>
  <c r="T53" i="64" s="1"/>
  <c r="T314" i="4"/>
  <c r="T86" i="64"/>
  <c r="T87" i="64" s="1"/>
  <c r="R35" i="4"/>
  <c r="R192" i="4"/>
  <c r="R37" i="4"/>
  <c r="R9" i="64"/>
  <c r="R54" i="4"/>
  <c r="R60" i="62"/>
  <c r="P659" i="4"/>
  <c r="Q50" i="4"/>
  <c r="S21" i="4"/>
  <c r="R22" i="4"/>
  <c r="Q47" i="4"/>
  <c r="Q46" i="4"/>
  <c r="R528" i="4"/>
  <c r="R542" i="4" s="1"/>
  <c r="O660" i="4"/>
  <c r="S301" i="3"/>
  <c r="S188" i="4" s="1"/>
  <c r="S197" i="4" s="1"/>
  <c r="S216" i="3"/>
  <c r="S133" i="4" s="1"/>
  <c r="S300" i="3"/>
  <c r="S187" i="4" s="1"/>
  <c r="S196" i="4" s="1"/>
  <c r="S185" i="3"/>
  <c r="S122" i="4" s="1"/>
  <c r="S127" i="4" s="1"/>
  <c r="S218" i="3"/>
  <c r="S135" i="4" s="1"/>
  <c r="S140" i="4" s="1"/>
  <c r="S186" i="3"/>
  <c r="S123" i="4" s="1"/>
  <c r="S128" i="4" s="1"/>
  <c r="S16" i="4"/>
  <c r="S28" i="4"/>
  <c r="S298" i="3"/>
  <c r="S185" i="4" s="1"/>
  <c r="S194" i="4" s="1"/>
  <c r="S356" i="3"/>
  <c r="S242" i="4" s="1"/>
  <c r="S247" i="4" s="1"/>
  <c r="S184" i="3"/>
  <c r="S121" i="4" s="1"/>
  <c r="S242" i="3"/>
  <c r="S147" i="4" s="1"/>
  <c r="S152" i="4" s="1"/>
  <c r="S357" i="3"/>
  <c r="S243" i="4" s="1"/>
  <c r="S248" i="4" s="1"/>
  <c r="S8" i="62"/>
  <c r="S8" i="66"/>
  <c r="S8" i="4"/>
  <c r="S297" i="3"/>
  <c r="S184" i="4" s="1"/>
  <c r="S193" i="4" s="1"/>
  <c r="S299" i="3"/>
  <c r="S186" i="4" s="1"/>
  <c r="S195" i="4" s="1"/>
  <c r="S240" i="3"/>
  <c r="S145" i="4" s="1"/>
  <c r="S217" i="3"/>
  <c r="S134" i="4" s="1"/>
  <c r="S139" i="4" s="1"/>
  <c r="S331" i="3"/>
  <c r="S220" i="4" s="1"/>
  <c r="S225" i="4" s="1"/>
  <c r="S8" i="11"/>
  <c r="S1106" i="4"/>
  <c r="S8" i="64"/>
  <c r="S355" i="3"/>
  <c r="S241" i="4" s="1"/>
  <c r="S296" i="3"/>
  <c r="S183" i="4" s="1"/>
  <c r="S241" i="3"/>
  <c r="S146" i="4" s="1"/>
  <c r="S151" i="4" s="1"/>
  <c r="S329" i="3"/>
  <c r="S218" i="4" s="1"/>
  <c r="S330" i="3"/>
  <c r="S219" i="4" s="1"/>
  <c r="S224" i="4" s="1"/>
  <c r="S1083" i="4"/>
  <c r="S30" i="4"/>
  <c r="S29" i="4"/>
  <c r="S529" i="4"/>
  <c r="S1107" i="4"/>
  <c r="S1079" i="4"/>
  <c r="S1081" i="4"/>
  <c r="S1332" i="4"/>
  <c r="T1332" i="4" s="1"/>
  <c r="S1370" i="4"/>
  <c r="T1370" i="4" s="1"/>
  <c r="Q318" i="4"/>
  <c r="R141" i="4"/>
  <c r="R34" i="4"/>
  <c r="R150" i="4"/>
  <c r="S58" i="3"/>
  <c r="S59" i="3"/>
  <c r="S60" i="3"/>
  <c r="S56" i="3"/>
  <c r="R249" i="4"/>
  <c r="R250" i="4" s="1"/>
  <c r="R198" i="4"/>
  <c r="R65" i="4"/>
  <c r="S6" i="4"/>
  <c r="S15" i="4"/>
  <c r="R303" i="4"/>
  <c r="Q51" i="4"/>
  <c r="T8" i="72"/>
  <c r="U7" i="72" s="1"/>
  <c r="T6" i="72"/>
  <c r="U1352" i="4"/>
  <c r="U1446" i="4"/>
  <c r="U1447" i="4" s="1"/>
  <c r="V1315" i="4"/>
  <c r="Q154" i="4"/>
  <c r="Q544" i="4"/>
  <c r="Q612" i="4" s="1"/>
  <c r="Q607" i="4"/>
  <c r="R33" i="4"/>
  <c r="R138" i="4"/>
  <c r="Q1312" i="4"/>
  <c r="S314" i="4"/>
  <c r="Q49" i="4"/>
  <c r="R32" i="4"/>
  <c r="R39" i="4" s="1"/>
  <c r="R126" i="4"/>
  <c r="V7" i="13"/>
  <c r="V8" i="13"/>
  <c r="W6" i="13"/>
  <c r="O661" i="4"/>
  <c r="O662" i="4" s="1"/>
  <c r="Q48" i="4"/>
  <c r="P660" i="4"/>
  <c r="Q200" i="4"/>
  <c r="R36" i="4"/>
  <c r="R223" i="4"/>
  <c r="R964" i="4"/>
  <c r="R605" i="4"/>
  <c r="R24" i="4"/>
  <c r="Z1062" i="4"/>
  <c r="AA1061" i="4"/>
  <c r="AA1062" i="4" s="1"/>
  <c r="U8" i="72" l="1"/>
  <c r="V7" i="72" s="1"/>
  <c r="U6" i="72"/>
  <c r="W8" i="13"/>
  <c r="X6" i="13"/>
  <c r="W7" i="13"/>
  <c r="S1082" i="4"/>
  <c r="S36" i="4"/>
  <c r="S223" i="4"/>
  <c r="T296" i="3"/>
  <c r="T183" i="4" s="1"/>
  <c r="T242" i="3"/>
  <c r="T147" i="4" s="1"/>
  <c r="T152" i="4" s="1"/>
  <c r="T330" i="3"/>
  <c r="T219" i="4" s="1"/>
  <c r="T224" i="4" s="1"/>
  <c r="T8" i="11"/>
  <c r="T298" i="3"/>
  <c r="T185" i="4" s="1"/>
  <c r="T194" i="4" s="1"/>
  <c r="T216" i="3"/>
  <c r="T133" i="4" s="1"/>
  <c r="T8" i="64"/>
  <c r="T217" i="3"/>
  <c r="T134" i="4" s="1"/>
  <c r="T139" i="4" s="1"/>
  <c r="T185" i="3"/>
  <c r="T122" i="4" s="1"/>
  <c r="T127" i="4" s="1"/>
  <c r="T218" i="3"/>
  <c r="T135" i="4" s="1"/>
  <c r="T140" i="4" s="1"/>
  <c r="T1106" i="4"/>
  <c r="T329" i="3"/>
  <c r="T218" i="4" s="1"/>
  <c r="T241" i="3"/>
  <c r="T146" i="4" s="1"/>
  <c r="T151" i="4" s="1"/>
  <c r="T331" i="3"/>
  <c r="T220" i="4" s="1"/>
  <c r="T225" i="4" s="1"/>
  <c r="T16" i="4"/>
  <c r="T301" i="3"/>
  <c r="T188" i="4" s="1"/>
  <c r="T197" i="4" s="1"/>
  <c r="T355" i="3"/>
  <c r="T241" i="4" s="1"/>
  <c r="T356" i="3"/>
  <c r="T242" i="4" s="1"/>
  <c r="T247" i="4" s="1"/>
  <c r="T8" i="4"/>
  <c r="T299" i="3"/>
  <c r="T186" i="4" s="1"/>
  <c r="T195" i="4" s="1"/>
  <c r="T186" i="3"/>
  <c r="T123" i="4" s="1"/>
  <c r="T128" i="4" s="1"/>
  <c r="T357" i="3"/>
  <c r="T243" i="4" s="1"/>
  <c r="T248" i="4" s="1"/>
  <c r="T8" i="66"/>
  <c r="T28" i="4"/>
  <c r="T184" i="3"/>
  <c r="T121" i="4" s="1"/>
  <c r="T297" i="3"/>
  <c r="T184" i="4" s="1"/>
  <c r="T193" i="4" s="1"/>
  <c r="T8" i="62"/>
  <c r="T240" i="3"/>
  <c r="T145" i="4" s="1"/>
  <c r="T1083" i="4"/>
  <c r="T300" i="3"/>
  <c r="T187" i="4" s="1"/>
  <c r="T196" i="4" s="1"/>
  <c r="T29" i="4"/>
  <c r="S61" i="4" s="1"/>
  <c r="S318" i="4" s="1"/>
  <c r="T30" i="4"/>
  <c r="T529" i="4" s="1"/>
  <c r="T1079" i="4"/>
  <c r="T1081" i="4"/>
  <c r="T1082" i="4" s="1"/>
  <c r="T1107" i="4"/>
  <c r="T58" i="3"/>
  <c r="T59" i="3"/>
  <c r="T60" i="3"/>
  <c r="T56" i="3"/>
  <c r="R142" i="4"/>
  <c r="Q617" i="4"/>
  <c r="R544" i="4"/>
  <c r="R612" i="4" s="1"/>
  <c r="R607" i="4"/>
  <c r="Q328" i="4"/>
  <c r="S1080" i="4"/>
  <c r="S1063" i="4"/>
  <c r="S1066" i="4"/>
  <c r="S1075" i="4" s="1"/>
  <c r="S34" i="4"/>
  <c r="S41" i="4" s="1"/>
  <c r="S150" i="4"/>
  <c r="S32" i="4"/>
  <c r="S126" i="4"/>
  <c r="T15" i="4"/>
  <c r="T6" i="4"/>
  <c r="R40" i="4"/>
  <c r="S35" i="4"/>
  <c r="S192" i="4"/>
  <c r="S33" i="4"/>
  <c r="S138" i="4"/>
  <c r="Q56" i="4"/>
  <c r="R55" i="4"/>
  <c r="R53" i="62"/>
  <c r="S37" i="4"/>
  <c r="S44" i="4" s="1"/>
  <c r="S246" i="4"/>
  <c r="S198" i="4"/>
  <c r="R130" i="4"/>
  <c r="R46" i="4"/>
  <c r="R227" i="4"/>
  <c r="T60" i="4"/>
  <c r="S1186" i="4"/>
  <c r="S57" i="4"/>
  <c r="S9" i="62" s="1"/>
  <c r="S295" i="4"/>
  <c r="S1074" i="4"/>
  <c r="S9" i="64"/>
  <c r="R61" i="4"/>
  <c r="S60" i="4"/>
  <c r="S66" i="4"/>
  <c r="S17" i="4"/>
  <c r="S19" i="4"/>
  <c r="S20" i="4" s="1"/>
  <c r="R53" i="4"/>
  <c r="S58" i="4"/>
  <c r="S1052" i="4"/>
  <c r="R44" i="4"/>
  <c r="T1166" i="4"/>
  <c r="T273" i="4"/>
  <c r="T275" i="4"/>
  <c r="T1165" i="4"/>
  <c r="T274" i="4"/>
  <c r="T335" i="4" s="1"/>
  <c r="T959" i="4" s="1"/>
  <c r="S43" i="4"/>
  <c r="R43" i="4"/>
  <c r="S18" i="4"/>
  <c r="R153" i="4"/>
  <c r="S63" i="4"/>
  <c r="S1312" i="4" s="1"/>
  <c r="S54" i="11"/>
  <c r="S747" i="4"/>
  <c r="S530" i="4"/>
  <c r="S543" i="4"/>
  <c r="S62" i="4"/>
  <c r="S528" i="4" s="1"/>
  <c r="T70" i="4"/>
  <c r="S67" i="4"/>
  <c r="R63" i="4"/>
  <c r="R1312" i="4" s="1"/>
  <c r="S68" i="4"/>
  <c r="S70" i="4"/>
  <c r="R199" i="4"/>
  <c r="R41" i="4"/>
  <c r="S54" i="62"/>
  <c r="S129" i="4"/>
  <c r="P661" i="4"/>
  <c r="P662" i="4" s="1"/>
  <c r="R42" i="4"/>
  <c r="U86" i="64"/>
  <c r="U87" i="64" s="1"/>
  <c r="U7" i="64"/>
  <c r="U6" i="64" s="1"/>
  <c r="U28" i="64" s="1"/>
  <c r="U30" i="64" s="1"/>
  <c r="U53" i="64" s="1"/>
  <c r="U7" i="62"/>
  <c r="U6" i="62" s="1"/>
  <c r="U6" i="3"/>
  <c r="U7" i="4"/>
  <c r="U8" i="3"/>
  <c r="U7" i="66"/>
  <c r="U6" i="66" s="1"/>
  <c r="U7" i="11"/>
  <c r="U6" i="11" s="1"/>
  <c r="S273" i="4"/>
  <c r="S1165" i="4"/>
  <c r="S15" i="66" s="1"/>
  <c r="S1166" i="4"/>
  <c r="S274" i="4"/>
  <c r="S275" i="4"/>
  <c r="W1315" i="4"/>
  <c r="V1352" i="4"/>
  <c r="V1446" i="4"/>
  <c r="V1447" i="4" s="1"/>
  <c r="S226" i="4"/>
  <c r="S249" i="4"/>
  <c r="S141" i="4"/>
  <c r="Q636" i="4"/>
  <c r="U6" i="67"/>
  <c r="U8" i="67"/>
  <c r="V7" i="67" s="1"/>
  <c r="AB1061" i="4"/>
  <c r="AB1062" i="4" s="1"/>
  <c r="S227" i="4" l="1"/>
  <c r="S9" i="3"/>
  <c r="S540" i="4"/>
  <c r="S542" i="4" s="1"/>
  <c r="S9" i="66"/>
  <c r="V8" i="67"/>
  <c r="W7" i="67" s="1"/>
  <c r="V6" i="67"/>
  <c r="V6" i="72"/>
  <c r="V8" i="72"/>
  <c r="W7" i="72" s="1"/>
  <c r="U1370" i="4"/>
  <c r="S24" i="4"/>
  <c r="T249" i="4"/>
  <c r="T226" i="4"/>
  <c r="T33" i="4"/>
  <c r="T138" i="4"/>
  <c r="X7" i="13"/>
  <c r="X8" i="13"/>
  <c r="Y6" i="13"/>
  <c r="Q655" i="4"/>
  <c r="Q654" i="4"/>
  <c r="Q637" i="4"/>
  <c r="S288" i="4"/>
  <c r="S329" i="4" s="1"/>
  <c r="S414" i="4" s="1"/>
  <c r="S415" i="4" s="1"/>
  <c r="T413" i="4" s="1"/>
  <c r="S51" i="4"/>
  <c r="R51" i="4"/>
  <c r="S130" i="4"/>
  <c r="T129" i="4"/>
  <c r="T198" i="4"/>
  <c r="S335" i="4"/>
  <c r="V7" i="3"/>
  <c r="T15" i="66"/>
  <c r="S303" i="4"/>
  <c r="S142" i="4"/>
  <c r="S39" i="4"/>
  <c r="S46" i="4" s="1"/>
  <c r="T34" i="4"/>
  <c r="T41" i="4" s="1"/>
  <c r="T150" i="4"/>
  <c r="T36" i="4"/>
  <c r="T43" i="4" s="1"/>
  <c r="T50" i="4" s="1"/>
  <c r="T636" i="4" s="1"/>
  <c r="T223" i="4"/>
  <c r="U314" i="4"/>
  <c r="T48" i="4"/>
  <c r="S48" i="4"/>
  <c r="R48" i="4"/>
  <c r="T68" i="4"/>
  <c r="S965" i="4"/>
  <c r="S610" i="3"/>
  <c r="T67" i="4"/>
  <c r="T34" i="66"/>
  <c r="T288" i="4"/>
  <c r="T329" i="4" s="1"/>
  <c r="T414" i="4" s="1"/>
  <c r="R318" i="4"/>
  <c r="S9" i="4"/>
  <c r="S54" i="4"/>
  <c r="S60" i="62"/>
  <c r="T40" i="4"/>
  <c r="R47" i="4"/>
  <c r="S153" i="4"/>
  <c r="T54" i="62"/>
  <c r="T19" i="4"/>
  <c r="T17" i="4"/>
  <c r="S9" i="11"/>
  <c r="S40" i="4"/>
  <c r="T47" i="4" s="1"/>
  <c r="T1080" i="4"/>
  <c r="T1063" i="4"/>
  <c r="T1066" i="4"/>
  <c r="T1075" i="4" s="1"/>
  <c r="T141" i="4"/>
  <c r="S34" i="66"/>
  <c r="T287" i="4"/>
  <c r="S287" i="4"/>
  <c r="S324" i="4" s="1"/>
  <c r="S50" i="4"/>
  <c r="S636" i="4" s="1"/>
  <c r="R50" i="4"/>
  <c r="S22" i="4"/>
  <c r="T21" i="4"/>
  <c r="T20" i="4"/>
  <c r="S250" i="4"/>
  <c r="T747" i="4"/>
  <c r="T530" i="4"/>
  <c r="T54" i="11"/>
  <c r="T543" i="4"/>
  <c r="T62" i="4"/>
  <c r="T528" i="4" s="1"/>
  <c r="T32" i="4"/>
  <c r="T126" i="4"/>
  <c r="T37" i="4"/>
  <c r="T246" i="4"/>
  <c r="T35" i="4"/>
  <c r="T192" i="4"/>
  <c r="U56" i="3"/>
  <c r="U58" i="3"/>
  <c r="U59" i="3"/>
  <c r="U60" i="3"/>
  <c r="U8" i="64"/>
  <c r="U356" i="3"/>
  <c r="U242" i="4" s="1"/>
  <c r="U247" i="4" s="1"/>
  <c r="U297" i="3"/>
  <c r="U184" i="4" s="1"/>
  <c r="U193" i="4" s="1"/>
  <c r="U216" i="3"/>
  <c r="U133" i="4" s="1"/>
  <c r="U241" i="3"/>
  <c r="U146" i="4" s="1"/>
  <c r="U151" i="4" s="1"/>
  <c r="U218" i="3"/>
  <c r="U135" i="4" s="1"/>
  <c r="U140" i="4" s="1"/>
  <c r="U16" i="4"/>
  <c r="U1106" i="4"/>
  <c r="U8" i="4"/>
  <c r="U301" i="3"/>
  <c r="U188" i="4" s="1"/>
  <c r="U197" i="4" s="1"/>
  <c r="U298" i="3"/>
  <c r="U185" i="4" s="1"/>
  <c r="U194" i="4" s="1"/>
  <c r="U184" i="3"/>
  <c r="U121" i="4" s="1"/>
  <c r="U299" i="3"/>
  <c r="U186" i="4" s="1"/>
  <c r="U195" i="4" s="1"/>
  <c r="U357" i="3"/>
  <c r="U243" i="4" s="1"/>
  <c r="U248" i="4" s="1"/>
  <c r="U8" i="66"/>
  <c r="U28" i="4"/>
  <c r="U8" i="62"/>
  <c r="U355" i="3"/>
  <c r="U241" i="4" s="1"/>
  <c r="U240" i="3"/>
  <c r="U145" i="4" s="1"/>
  <c r="U300" i="3"/>
  <c r="U187" i="4" s="1"/>
  <c r="U196" i="4" s="1"/>
  <c r="U296" i="3"/>
  <c r="U183" i="4" s="1"/>
  <c r="U330" i="3"/>
  <c r="U219" i="4" s="1"/>
  <c r="U224" i="4" s="1"/>
  <c r="U8" i="11"/>
  <c r="U185" i="3"/>
  <c r="U122" i="4" s="1"/>
  <c r="U127" i="4" s="1"/>
  <c r="U1083" i="4"/>
  <c r="U331" i="3"/>
  <c r="U220" i="4" s="1"/>
  <c r="U225" i="4" s="1"/>
  <c r="U186" i="3"/>
  <c r="U123" i="4" s="1"/>
  <c r="U128" i="4" s="1"/>
  <c r="U329" i="3"/>
  <c r="U218" i="4" s="1"/>
  <c r="U217" i="3"/>
  <c r="U134" i="4" s="1"/>
  <c r="U139" i="4" s="1"/>
  <c r="U242" i="3"/>
  <c r="U147" i="4" s="1"/>
  <c r="U152" i="4" s="1"/>
  <c r="U529" i="4"/>
  <c r="U29" i="4"/>
  <c r="U30" i="4"/>
  <c r="T63" i="4" s="1"/>
  <c r="T1312" i="4" s="1"/>
  <c r="U1079" i="4"/>
  <c r="U1107" i="4"/>
  <c r="U1081" i="4"/>
  <c r="U1082" i="4" s="1"/>
  <c r="R200" i="4"/>
  <c r="T44" i="4"/>
  <c r="S199" i="4"/>
  <c r="R617" i="4"/>
  <c r="T1074" i="4"/>
  <c r="T1186" i="4"/>
  <c r="T57" i="4"/>
  <c r="T9" i="62" s="1"/>
  <c r="T295" i="4"/>
  <c r="T303" i="4" s="1"/>
  <c r="T9" i="64"/>
  <c r="S53" i="4"/>
  <c r="T58" i="4"/>
  <c r="T1052" i="4"/>
  <c r="W1446" i="4"/>
  <c r="W1447" i="4" s="1"/>
  <c r="W1352" i="4"/>
  <c r="X1315" i="4"/>
  <c r="U6" i="4"/>
  <c r="U15" i="4"/>
  <c r="R49" i="4"/>
  <c r="T60" i="62"/>
  <c r="R154" i="4"/>
  <c r="T66" i="4"/>
  <c r="U1332" i="4"/>
  <c r="S42" i="4"/>
  <c r="S49" i="4" s="1"/>
  <c r="T42" i="4"/>
  <c r="T18" i="4"/>
  <c r="T24" i="4" s="1"/>
  <c r="AC1061" i="4"/>
  <c r="AC1062" i="4" s="1"/>
  <c r="T227" i="4" l="1"/>
  <c r="S544" i="4"/>
  <c r="S612" i="4" s="1"/>
  <c r="S607" i="4"/>
  <c r="S47" i="4"/>
  <c r="U70" i="4"/>
  <c r="U66" i="4"/>
  <c r="T61" i="4"/>
  <c r="T318" i="4" s="1"/>
  <c r="U60" i="4"/>
  <c r="T9" i="66"/>
  <c r="T49" i="4"/>
  <c r="W6" i="72"/>
  <c r="W8" i="72"/>
  <c r="X7" i="72" s="1"/>
  <c r="X1446" i="4"/>
  <c r="X1447" i="4" s="1"/>
  <c r="X1352" i="4"/>
  <c r="Y1315" i="4"/>
  <c r="U747" i="4"/>
  <c r="U530" i="4"/>
  <c r="U54" i="11"/>
  <c r="U543" i="4"/>
  <c r="U62" i="4"/>
  <c r="U528" i="4" s="1"/>
  <c r="U54" i="62"/>
  <c r="U19" i="4"/>
  <c r="U17" i="4"/>
  <c r="S154" i="4"/>
  <c r="R328" i="4"/>
  <c r="S328" i="4" s="1"/>
  <c r="T328" i="4" s="1"/>
  <c r="T9" i="4"/>
  <c r="T54" i="4"/>
  <c r="U1074" i="4"/>
  <c r="U295" i="4"/>
  <c r="U303" i="4" s="1"/>
  <c r="U1186" i="4"/>
  <c r="U57" i="4"/>
  <c r="U9" i="3" s="1"/>
  <c r="U9" i="11"/>
  <c r="T53" i="4"/>
  <c r="U1052" i="4"/>
  <c r="U58" i="4"/>
  <c r="T199" i="4"/>
  <c r="U21" i="4"/>
  <c r="U20" i="4"/>
  <c r="T22" i="4"/>
  <c r="V86" i="64"/>
  <c r="V87" i="64" s="1"/>
  <c r="V7" i="64"/>
  <c r="V6" i="64" s="1"/>
  <c r="V28" i="64" s="1"/>
  <c r="V30" i="64" s="1"/>
  <c r="V53" i="64" s="1"/>
  <c r="V7" i="62"/>
  <c r="V6" i="62" s="1"/>
  <c r="V8" i="3"/>
  <c r="V314" i="4" s="1"/>
  <c r="V7" i="66"/>
  <c r="V6" i="66" s="1"/>
  <c r="V7" i="4"/>
  <c r="V6" i="3"/>
  <c r="V7" i="11"/>
  <c r="V6" i="11" s="1"/>
  <c r="S200" i="4"/>
  <c r="Q644" i="4"/>
  <c r="Q660" i="4" s="1"/>
  <c r="Q645" i="4"/>
  <c r="Q640" i="4"/>
  <c r="Q641" i="4"/>
  <c r="Z6" i="13"/>
  <c r="Y7" i="13"/>
  <c r="Y8" i="13"/>
  <c r="T9" i="11"/>
  <c r="U249" i="4"/>
  <c r="U141" i="4"/>
  <c r="R636" i="4"/>
  <c r="T324" i="4"/>
  <c r="T540" i="4"/>
  <c r="T542" i="4" s="1"/>
  <c r="T153" i="4"/>
  <c r="S959" i="4"/>
  <c r="T415" i="4"/>
  <c r="U413" i="4" s="1"/>
  <c r="T9" i="3"/>
  <c r="U35" i="4"/>
  <c r="U192" i="4"/>
  <c r="T655" i="4"/>
  <c r="T654" i="4"/>
  <c r="R56" i="4"/>
  <c r="T55" i="4"/>
  <c r="S55" i="4"/>
  <c r="S53" i="62"/>
  <c r="S65" i="4"/>
  <c r="U36" i="4"/>
  <c r="U43" i="4" s="1"/>
  <c r="U223" i="4"/>
  <c r="U32" i="4"/>
  <c r="U39" i="4" s="1"/>
  <c r="U126" i="4"/>
  <c r="U33" i="4"/>
  <c r="U40" i="4" s="1"/>
  <c r="U138" i="4"/>
  <c r="T250" i="4"/>
  <c r="S655" i="4"/>
  <c r="S654" i="4"/>
  <c r="T610" i="3"/>
  <c r="T965" i="4"/>
  <c r="U67" i="4"/>
  <c r="U68" i="4"/>
  <c r="T51" i="4"/>
  <c r="T142" i="4"/>
  <c r="W6" i="67"/>
  <c r="W8" i="67"/>
  <c r="X7" i="67" s="1"/>
  <c r="U18" i="4"/>
  <c r="U24" i="4" s="1"/>
  <c r="U129" i="4"/>
  <c r="U34" i="4"/>
  <c r="U150" i="4"/>
  <c r="U198" i="4"/>
  <c r="S605" i="4"/>
  <c r="S964" i="4"/>
  <c r="U274" i="4"/>
  <c r="U335" i="4" s="1"/>
  <c r="U959" i="4" s="1"/>
  <c r="U275" i="4"/>
  <c r="U288" i="4" s="1"/>
  <c r="U329" i="4" s="1"/>
  <c r="U414" i="4" s="1"/>
  <c r="U415" i="4" s="1"/>
  <c r="V413" i="4" s="1"/>
  <c r="U273" i="4"/>
  <c r="U1166" i="4"/>
  <c r="U1165" i="4"/>
  <c r="T39" i="4"/>
  <c r="T46" i="4" s="1"/>
  <c r="V60" i="3"/>
  <c r="V56" i="3"/>
  <c r="V58" i="3"/>
  <c r="V59" i="3"/>
  <c r="U1080" i="4"/>
  <c r="U1063" i="4"/>
  <c r="U1066" i="4"/>
  <c r="U1075" i="4" s="1"/>
  <c r="U226" i="4"/>
  <c r="U37" i="4"/>
  <c r="U44" i="4" s="1"/>
  <c r="U51" i="4" s="1"/>
  <c r="U246" i="4"/>
  <c r="T130" i="4"/>
  <c r="AD1061" i="4"/>
  <c r="AD1062" i="4" s="1"/>
  <c r="S617" i="4" l="1"/>
  <c r="Q659" i="4"/>
  <c r="V1332" i="4"/>
  <c r="U9" i="4"/>
  <c r="V1370" i="4"/>
  <c r="W7" i="3"/>
  <c r="U227" i="4"/>
  <c r="X6" i="72"/>
  <c r="X8" i="72"/>
  <c r="Y7" i="72" s="1"/>
  <c r="X8" i="67"/>
  <c r="X6" i="67"/>
  <c r="Y7" i="67"/>
  <c r="Q661" i="4"/>
  <c r="Q662" i="4" s="1"/>
  <c r="U153" i="4"/>
  <c r="U199" i="4"/>
  <c r="T607" i="4"/>
  <c r="T544" i="4"/>
  <c r="T612" i="4" s="1"/>
  <c r="V184" i="3"/>
  <c r="V121" i="4" s="1"/>
  <c r="V217" i="3"/>
  <c r="V134" i="4" s="1"/>
  <c r="V139" i="4" s="1"/>
  <c r="V300" i="3"/>
  <c r="V187" i="4" s="1"/>
  <c r="V196" i="4" s="1"/>
  <c r="V296" i="3"/>
  <c r="V183" i="4" s="1"/>
  <c r="V240" i="3"/>
  <c r="V145" i="4" s="1"/>
  <c r="V186" i="3"/>
  <c r="V123" i="4" s="1"/>
  <c r="V128" i="4" s="1"/>
  <c r="V16" i="4"/>
  <c r="V301" i="3"/>
  <c r="V188" i="4" s="1"/>
  <c r="V197" i="4" s="1"/>
  <c r="V329" i="3"/>
  <c r="V218" i="4" s="1"/>
  <c r="V242" i="3"/>
  <c r="V147" i="4" s="1"/>
  <c r="V152" i="4" s="1"/>
  <c r="V330" i="3"/>
  <c r="V219" i="4" s="1"/>
  <c r="V224" i="4" s="1"/>
  <c r="V218" i="3"/>
  <c r="V135" i="4" s="1"/>
  <c r="V140" i="4" s="1"/>
  <c r="V357" i="3"/>
  <c r="V243" i="4" s="1"/>
  <c r="V248" i="4" s="1"/>
  <c r="V241" i="3"/>
  <c r="V146" i="4" s="1"/>
  <c r="V151" i="4" s="1"/>
  <c r="V298" i="3"/>
  <c r="V185" i="4" s="1"/>
  <c r="V194" i="4" s="1"/>
  <c r="V356" i="3"/>
  <c r="V242" i="4" s="1"/>
  <c r="V247" i="4" s="1"/>
  <c r="V299" i="3"/>
  <c r="V186" i="4" s="1"/>
  <c r="V195" i="4" s="1"/>
  <c r="V331" i="3"/>
  <c r="V220" i="4" s="1"/>
  <c r="V225" i="4" s="1"/>
  <c r="V185" i="3"/>
  <c r="V122" i="4" s="1"/>
  <c r="V127" i="4" s="1"/>
  <c r="V355" i="3"/>
  <c r="V241" i="4" s="1"/>
  <c r="V216" i="3"/>
  <c r="V133" i="4" s="1"/>
  <c r="V1083" i="4"/>
  <c r="V1106" i="4"/>
  <c r="V297" i="3"/>
  <c r="V184" i="4" s="1"/>
  <c r="V193" i="4" s="1"/>
  <c r="V28" i="4"/>
  <c r="V8" i="4"/>
  <c r="V8" i="62"/>
  <c r="V8" i="66"/>
  <c r="V8" i="11"/>
  <c r="V8" i="64"/>
  <c r="V30" i="4"/>
  <c r="V529" i="4" s="1"/>
  <c r="V29" i="4"/>
  <c r="V1107" i="4"/>
  <c r="V1081" i="4"/>
  <c r="V1082" i="4" s="1"/>
  <c r="V1079" i="4"/>
  <c r="U41" i="4"/>
  <c r="U48" i="4" s="1"/>
  <c r="V67" i="4"/>
  <c r="V68" i="4"/>
  <c r="U965" i="4"/>
  <c r="U610" i="3"/>
  <c r="U42" i="4"/>
  <c r="U49" i="4" s="1"/>
  <c r="U22" i="4"/>
  <c r="V21" i="4"/>
  <c r="U9" i="62"/>
  <c r="W56" i="3"/>
  <c r="W60" i="3"/>
  <c r="W58" i="3"/>
  <c r="W59" i="3"/>
  <c r="U142" i="4"/>
  <c r="Z7" i="13"/>
  <c r="Z8" i="13"/>
  <c r="AA6" i="13"/>
  <c r="W7" i="62"/>
  <c r="W6" i="62" s="1"/>
  <c r="W8" i="3"/>
  <c r="W1332" i="4" s="1"/>
  <c r="W6" i="3"/>
  <c r="W7" i="66"/>
  <c r="W6" i="66" s="1"/>
  <c r="W7" i="4"/>
  <c r="W7" i="11"/>
  <c r="W6" i="11" s="1"/>
  <c r="W86" i="64"/>
  <c r="W87" i="64" s="1"/>
  <c r="W7" i="64"/>
  <c r="W6" i="64" s="1"/>
  <c r="W28" i="64" s="1"/>
  <c r="W30" i="64" s="1"/>
  <c r="W53" i="64" s="1"/>
  <c r="W314" i="4"/>
  <c r="Z1315" i="4"/>
  <c r="Y1446" i="4"/>
  <c r="Y1447" i="4" s="1"/>
  <c r="Y1352" i="4"/>
  <c r="T605" i="4"/>
  <c r="T964" i="4"/>
  <c r="T65" i="4"/>
  <c r="V273" i="4"/>
  <c r="V34" i="66" s="1"/>
  <c r="V1165" i="4"/>
  <c r="V274" i="4"/>
  <c r="V335" i="4" s="1"/>
  <c r="V959" i="4" s="1"/>
  <c r="V275" i="4"/>
  <c r="V288" i="4" s="1"/>
  <c r="V1166" i="4"/>
  <c r="V329" i="4"/>
  <c r="U9" i="66"/>
  <c r="U46" i="4"/>
  <c r="U15" i="66"/>
  <c r="U130" i="4"/>
  <c r="R654" i="4"/>
  <c r="R655" i="4"/>
  <c r="S637" i="4"/>
  <c r="T637" i="4"/>
  <c r="R637" i="4"/>
  <c r="T200" i="4"/>
  <c r="S56" i="4"/>
  <c r="T53" i="62"/>
  <c r="U50" i="4"/>
  <c r="U9" i="64"/>
  <c r="U54" i="4"/>
  <c r="U60" i="62"/>
  <c r="U250" i="4"/>
  <c r="U34" i="66"/>
  <c r="U287" i="4"/>
  <c r="U324" i="4" s="1"/>
  <c r="V6" i="4"/>
  <c r="V15" i="4"/>
  <c r="U47" i="4"/>
  <c r="T154" i="4"/>
  <c r="U540" i="4"/>
  <c r="U542" i="4" s="1"/>
  <c r="AE1061" i="4"/>
  <c r="AE1062" i="4" s="1"/>
  <c r="X7" i="3" l="1"/>
  <c r="W1370" i="4"/>
  <c r="V15" i="66"/>
  <c r="V287" i="4"/>
  <c r="V324" i="4" s="1"/>
  <c r="U605" i="4"/>
  <c r="U964" i="4"/>
  <c r="V1080" i="4"/>
  <c r="V1063" i="4"/>
  <c r="V1066" i="4"/>
  <c r="V1075" i="4" s="1"/>
  <c r="V37" i="4"/>
  <c r="V246" i="4"/>
  <c r="V141" i="4"/>
  <c r="V35" i="4"/>
  <c r="V42" i="4" s="1"/>
  <c r="V49" i="4" s="1"/>
  <c r="V192" i="4"/>
  <c r="U636" i="4"/>
  <c r="AB6" i="13"/>
  <c r="AA7" i="13"/>
  <c r="AA8" i="13"/>
  <c r="V54" i="62"/>
  <c r="S641" i="4"/>
  <c r="S645" i="4"/>
  <c r="S640" i="4"/>
  <c r="S659" i="4" s="1"/>
  <c r="S644" i="4"/>
  <c r="X7" i="66"/>
  <c r="X6" i="66" s="1"/>
  <c r="X7" i="62"/>
  <c r="X6" i="62" s="1"/>
  <c r="X86" i="64"/>
  <c r="X87" i="64" s="1"/>
  <c r="X7" i="11"/>
  <c r="X6" i="11" s="1"/>
  <c r="X7" i="64"/>
  <c r="X6" i="64" s="1"/>
  <c r="X28" i="64" s="1"/>
  <c r="X30" i="64" s="1"/>
  <c r="X53" i="64" s="1"/>
  <c r="X8" i="3"/>
  <c r="Y7" i="3" s="1"/>
  <c r="X6" i="3"/>
  <c r="X7" i="4"/>
  <c r="V17" i="4"/>
  <c r="V19" i="4"/>
  <c r="V20" i="4" s="1"/>
  <c r="V226" i="4"/>
  <c r="U154" i="4"/>
  <c r="Y8" i="67"/>
  <c r="Z7" i="67" s="1"/>
  <c r="Y6" i="67"/>
  <c r="V610" i="3"/>
  <c r="V965" i="4"/>
  <c r="V1074" i="4"/>
  <c r="V57" i="4"/>
  <c r="V9" i="62" s="1"/>
  <c r="V295" i="4"/>
  <c r="V303" i="4" s="1"/>
  <c r="V1186" i="4"/>
  <c r="V9" i="3"/>
  <c r="V9" i="64"/>
  <c r="V9" i="11"/>
  <c r="U61" i="4"/>
  <c r="U318" i="4" s="1"/>
  <c r="U328" i="4" s="1"/>
  <c r="V66" i="4"/>
  <c r="V60" i="4"/>
  <c r="U53" i="4"/>
  <c r="V1052" i="4"/>
  <c r="V58" i="4"/>
  <c r="V36" i="4"/>
  <c r="V223" i="4"/>
  <c r="V32" i="4"/>
  <c r="V126" i="4"/>
  <c r="X60" i="3"/>
  <c r="X59" i="3"/>
  <c r="X56" i="3"/>
  <c r="X58" i="3"/>
  <c r="U544" i="4"/>
  <c r="U612" i="4" s="1"/>
  <c r="U607" i="4"/>
  <c r="U65" i="4"/>
  <c r="AA1315" i="4"/>
  <c r="Z1446" i="4"/>
  <c r="Z1447" i="4" s="1"/>
  <c r="Z1352" i="4"/>
  <c r="W15" i="4"/>
  <c r="W6" i="4"/>
  <c r="T617" i="4"/>
  <c r="V18" i="4"/>
  <c r="V24" i="4" s="1"/>
  <c r="V414" i="4"/>
  <c r="V415" i="4" s="1"/>
  <c r="W413" i="4" s="1"/>
  <c r="V54" i="11"/>
  <c r="V747" i="4"/>
  <c r="V530" i="4"/>
  <c r="V540" i="4" s="1"/>
  <c r="V543" i="4"/>
  <c r="V62" i="4"/>
  <c r="V528" i="4" s="1"/>
  <c r="U63" i="4"/>
  <c r="U1312" i="4" s="1"/>
  <c r="V70" i="4"/>
  <c r="V198" i="4"/>
  <c r="Y6" i="72"/>
  <c r="Y8" i="72"/>
  <c r="Z7" i="72" s="1"/>
  <c r="X1370" i="4"/>
  <c r="R645" i="4"/>
  <c r="R644" i="4"/>
  <c r="R660" i="4" s="1"/>
  <c r="R641" i="4"/>
  <c r="R640" i="4"/>
  <c r="V129" i="4"/>
  <c r="T56" i="4"/>
  <c r="U53" i="62"/>
  <c r="U55" i="4"/>
  <c r="T641" i="4"/>
  <c r="T640" i="4"/>
  <c r="T644" i="4"/>
  <c r="T660" i="4" s="1"/>
  <c r="T645" i="4"/>
  <c r="W1165" i="4"/>
  <c r="W1166" i="4"/>
  <c r="W274" i="4"/>
  <c r="W275" i="4"/>
  <c r="W288" i="4" s="1"/>
  <c r="W329" i="4" s="1"/>
  <c r="W414" i="4" s="1"/>
  <c r="W273" i="4"/>
  <c r="W330" i="3"/>
  <c r="W219" i="4" s="1"/>
  <c r="W224" i="4" s="1"/>
  <c r="W240" i="3"/>
  <c r="W145" i="4" s="1"/>
  <c r="W150" i="4" s="1"/>
  <c r="W8" i="62"/>
  <c r="W331" i="3"/>
  <c r="W220" i="4" s="1"/>
  <c r="W225" i="4" s="1"/>
  <c r="W241" i="3"/>
  <c r="W146" i="4" s="1"/>
  <c r="W151" i="4" s="1"/>
  <c r="W357" i="3"/>
  <c r="W243" i="4" s="1"/>
  <c r="W248" i="4" s="1"/>
  <c r="W218" i="3"/>
  <c r="W135" i="4" s="1"/>
  <c r="W140" i="4" s="1"/>
  <c r="W355" i="3"/>
  <c r="W241" i="4" s="1"/>
  <c r="W8" i="64"/>
  <c r="W329" i="3"/>
  <c r="W218" i="4" s="1"/>
  <c r="W299" i="3"/>
  <c r="W186" i="4" s="1"/>
  <c r="W195" i="4" s="1"/>
  <c r="W186" i="3"/>
  <c r="W123" i="4" s="1"/>
  <c r="W128" i="4" s="1"/>
  <c r="W1083" i="4"/>
  <c r="W296" i="3"/>
  <c r="W183" i="4" s="1"/>
  <c r="W298" i="3"/>
  <c r="W185" i="4" s="1"/>
  <c r="W194" i="4" s="1"/>
  <c r="W184" i="3"/>
  <c r="W121" i="4" s="1"/>
  <c r="W1106" i="4"/>
  <c r="W297" i="3"/>
  <c r="W184" i="4" s="1"/>
  <c r="W193" i="4" s="1"/>
  <c r="W216" i="3"/>
  <c r="W133" i="4" s="1"/>
  <c r="W242" i="3"/>
  <c r="W147" i="4" s="1"/>
  <c r="W301" i="3"/>
  <c r="W188" i="4" s="1"/>
  <c r="W197" i="4" s="1"/>
  <c r="W300" i="3"/>
  <c r="W187" i="4" s="1"/>
  <c r="W196" i="4" s="1"/>
  <c r="W8" i="66"/>
  <c r="W28" i="4"/>
  <c r="W16" i="4"/>
  <c r="W185" i="3"/>
  <c r="W122" i="4" s="1"/>
  <c r="W127" i="4" s="1"/>
  <c r="W217" i="3"/>
  <c r="W134" i="4" s="1"/>
  <c r="W139" i="4" s="1"/>
  <c r="W356" i="3"/>
  <c r="W242" i="4" s="1"/>
  <c r="W247" i="4" s="1"/>
  <c r="W8" i="4"/>
  <c r="W8" i="11"/>
  <c r="W29" i="4"/>
  <c r="W30" i="4"/>
  <c r="W68" i="4" s="1"/>
  <c r="W1081" i="4"/>
  <c r="W1082" i="4" s="1"/>
  <c r="W1107" i="4"/>
  <c r="W1079" i="4"/>
  <c r="V33" i="4"/>
  <c r="V138" i="4"/>
  <c r="V249" i="4"/>
  <c r="V34" i="4"/>
  <c r="V150" i="4"/>
  <c r="U200" i="4"/>
  <c r="AF1061" i="4"/>
  <c r="AF1062" i="4" s="1"/>
  <c r="V227" i="4" l="1"/>
  <c r="W529" i="4"/>
  <c r="R659" i="4"/>
  <c r="Z6" i="72"/>
  <c r="Z8" i="72"/>
  <c r="AA7" i="72" s="1"/>
  <c r="R661" i="4"/>
  <c r="R662" i="4" s="1"/>
  <c r="Y7" i="11"/>
  <c r="Y6" i="11" s="1"/>
  <c r="Y7" i="64"/>
  <c r="Y6" i="64" s="1"/>
  <c r="Y28" i="64" s="1"/>
  <c r="Y30" i="64" s="1"/>
  <c r="Y53" i="64" s="1"/>
  <c r="Y8" i="3"/>
  <c r="Y314" i="4" s="1"/>
  <c r="Y6" i="3"/>
  <c r="Y7" i="66"/>
  <c r="Y6" i="66" s="1"/>
  <c r="Y7" i="4"/>
  <c r="Y7" i="62"/>
  <c r="Y6" i="62" s="1"/>
  <c r="Y86" i="64"/>
  <c r="Y87" i="64" s="1"/>
  <c r="V153" i="4"/>
  <c r="W1080" i="4"/>
  <c r="W1063" i="4"/>
  <c r="W1066" i="4"/>
  <c r="W1075" i="4" s="1"/>
  <c r="W34" i="4"/>
  <c r="W152" i="4"/>
  <c r="W153" i="4" s="1"/>
  <c r="W129" i="4"/>
  <c r="W226" i="4"/>
  <c r="W15" i="66"/>
  <c r="W70" i="4"/>
  <c r="W415" i="4"/>
  <c r="X413" i="4" s="1"/>
  <c r="W67" i="4"/>
  <c r="W41" i="4"/>
  <c r="V41" i="4"/>
  <c r="V48" i="4" s="1"/>
  <c r="W33" i="4"/>
  <c r="W138" i="4"/>
  <c r="W54" i="62"/>
  <c r="V130" i="4"/>
  <c r="AB7" i="13"/>
  <c r="AB8" i="13"/>
  <c r="AC6" i="13"/>
  <c r="W36" i="4"/>
  <c r="W223" i="4"/>
  <c r="U617" i="4"/>
  <c r="V39" i="4"/>
  <c r="V46" i="4" s="1"/>
  <c r="W66" i="4"/>
  <c r="X314" i="4"/>
  <c r="X1332" i="4"/>
  <c r="W747" i="4"/>
  <c r="W530" i="4"/>
  <c r="W543" i="4"/>
  <c r="W62" i="4"/>
  <c r="W528" i="4" s="1"/>
  <c r="W54" i="11"/>
  <c r="V199" i="4"/>
  <c r="V63" i="4"/>
  <c r="V1312" i="4" s="1"/>
  <c r="V9" i="4"/>
  <c r="V54" i="4"/>
  <c r="V60" i="62"/>
  <c r="V605" i="4"/>
  <c r="V964" i="4"/>
  <c r="X15" i="4"/>
  <c r="X6" i="4"/>
  <c r="V142" i="4"/>
  <c r="W295" i="4"/>
  <c r="W303" i="4" s="1"/>
  <c r="W1186" i="4"/>
  <c r="W1074" i="4"/>
  <c r="W57" i="4"/>
  <c r="W9" i="66" s="1"/>
  <c r="W9" i="3"/>
  <c r="V53" i="4"/>
  <c r="W1052" i="4"/>
  <c r="W58" i="4"/>
  <c r="W32" i="4"/>
  <c r="W126" i="4"/>
  <c r="W37" i="4"/>
  <c r="W44" i="4" s="1"/>
  <c r="W246" i="4"/>
  <c r="W34" i="66"/>
  <c r="T659" i="4"/>
  <c r="T661" i="4" s="1"/>
  <c r="V542" i="4"/>
  <c r="W18" i="4"/>
  <c r="W43" i="4"/>
  <c r="W50" i="4" s="1"/>
  <c r="W636" i="4" s="1"/>
  <c r="V43" i="4"/>
  <c r="V50" i="4" s="1"/>
  <c r="V636" i="4" s="1"/>
  <c r="V9" i="66"/>
  <c r="W60" i="4"/>
  <c r="S660" i="4"/>
  <c r="S661" i="4" s="1"/>
  <c r="V250" i="4"/>
  <c r="W40" i="4"/>
  <c r="V40" i="4"/>
  <c r="V47" i="4" s="1"/>
  <c r="W198" i="4"/>
  <c r="W141" i="4"/>
  <c r="Y1370" i="4"/>
  <c r="V61" i="4"/>
  <c r="V318" i="4" s="1"/>
  <c r="V328" i="4" s="1"/>
  <c r="Z8" i="67"/>
  <c r="AA7" i="67" s="1"/>
  <c r="Z6" i="67"/>
  <c r="U654" i="4"/>
  <c r="U655" i="4"/>
  <c r="U637" i="4"/>
  <c r="W637" i="4"/>
  <c r="V637" i="4"/>
  <c r="V44" i="4"/>
  <c r="V51" i="4" s="1"/>
  <c r="W35" i="4"/>
  <c r="W192" i="4"/>
  <c r="W249" i="4"/>
  <c r="W335" i="4"/>
  <c r="W959" i="4" s="1"/>
  <c r="W287" i="4"/>
  <c r="W324" i="4" s="1"/>
  <c r="Y56" i="3"/>
  <c r="Y58" i="3"/>
  <c r="Y60" i="3"/>
  <c r="Y59" i="3"/>
  <c r="X8" i="64"/>
  <c r="X1106" i="4"/>
  <c r="X330" i="3"/>
  <c r="X219" i="4" s="1"/>
  <c r="X224" i="4" s="1"/>
  <c r="X300" i="3"/>
  <c r="X187" i="4" s="1"/>
  <c r="X196" i="4" s="1"/>
  <c r="X298" i="3"/>
  <c r="X185" i="4" s="1"/>
  <c r="X194" i="4" s="1"/>
  <c r="X296" i="3"/>
  <c r="X183" i="4" s="1"/>
  <c r="X331" i="3"/>
  <c r="X220" i="4" s="1"/>
  <c r="X225" i="4" s="1"/>
  <c r="X1083" i="4"/>
  <c r="X8" i="66"/>
  <c r="X8" i="4"/>
  <c r="X301" i="3"/>
  <c r="X188" i="4" s="1"/>
  <c r="X197" i="4" s="1"/>
  <c r="X355" i="3"/>
  <c r="X241" i="4" s="1"/>
  <c r="X356" i="3"/>
  <c r="X242" i="4" s="1"/>
  <c r="X247" i="4" s="1"/>
  <c r="X240" i="3"/>
  <c r="X145" i="4" s="1"/>
  <c r="X299" i="3"/>
  <c r="X186" i="4" s="1"/>
  <c r="X195" i="4" s="1"/>
  <c r="X28" i="4"/>
  <c r="X16" i="4"/>
  <c r="X8" i="62"/>
  <c r="X218" i="3"/>
  <c r="X135" i="4" s="1"/>
  <c r="X140" i="4" s="1"/>
  <c r="X242" i="3"/>
  <c r="X147" i="4" s="1"/>
  <c r="X152" i="4" s="1"/>
  <c r="X297" i="3"/>
  <c r="X184" i="4" s="1"/>
  <c r="X193" i="4" s="1"/>
  <c r="X216" i="3"/>
  <c r="X133" i="4" s="1"/>
  <c r="X138" i="4" s="1"/>
  <c r="X185" i="3"/>
  <c r="X122" i="4" s="1"/>
  <c r="X127" i="4" s="1"/>
  <c r="X8" i="11"/>
  <c r="X217" i="3"/>
  <c r="X134" i="4" s="1"/>
  <c r="X357" i="3"/>
  <c r="X243" i="4" s="1"/>
  <c r="X248" i="4" s="1"/>
  <c r="X241" i="3"/>
  <c r="X146" i="4" s="1"/>
  <c r="X151" i="4" s="1"/>
  <c r="X186" i="3"/>
  <c r="X123" i="4" s="1"/>
  <c r="X128" i="4" s="1"/>
  <c r="X329" i="3"/>
  <c r="X218" i="4" s="1"/>
  <c r="X184" i="3"/>
  <c r="X121" i="4" s="1"/>
  <c r="X29" i="4"/>
  <c r="X30" i="4"/>
  <c r="X70" i="4" s="1"/>
  <c r="X1107" i="4"/>
  <c r="X1079" i="4"/>
  <c r="X1081" i="4"/>
  <c r="X1082" i="4" s="1"/>
  <c r="W19" i="4"/>
  <c r="W20" i="4" s="1"/>
  <c r="W17" i="4"/>
  <c r="AA1446" i="4"/>
  <c r="AA1447" i="4" s="1"/>
  <c r="AA1352" i="4"/>
  <c r="AB1315" i="4"/>
  <c r="W21" i="4"/>
  <c r="V22" i="4"/>
  <c r="AG1061" i="4"/>
  <c r="AG1062" i="4" s="1"/>
  <c r="W227" i="4" l="1"/>
  <c r="X60" i="4"/>
  <c r="W47" i="4"/>
  <c r="W9" i="4"/>
  <c r="AA8" i="67"/>
  <c r="AB7" i="67" s="1"/>
  <c r="AA6" i="67"/>
  <c r="T662" i="4"/>
  <c r="Y1166" i="4"/>
  <c r="Y275" i="4"/>
  <c r="Y274" i="4"/>
  <c r="Y1165" i="4"/>
  <c r="Y273" i="4"/>
  <c r="W22" i="4"/>
  <c r="X21" i="4"/>
  <c r="AA8" i="72"/>
  <c r="AB7" i="72" s="1"/>
  <c r="AA6" i="72"/>
  <c r="X129" i="4"/>
  <c r="X37" i="4"/>
  <c r="X246" i="4"/>
  <c r="X44" i="4"/>
  <c r="X51" i="4" s="1"/>
  <c r="W9" i="62"/>
  <c r="W61" i="4"/>
  <c r="W318" i="4" s="1"/>
  <c r="Y1332" i="4"/>
  <c r="W154" i="4"/>
  <c r="X1080" i="4"/>
  <c r="X1063" i="4"/>
  <c r="X1066" i="4"/>
  <c r="X1075" i="4" s="1"/>
  <c r="X141" i="4"/>
  <c r="W51" i="4"/>
  <c r="V645" i="4"/>
  <c r="V644" i="4"/>
  <c r="V641" i="4"/>
  <c r="V640" i="4"/>
  <c r="Z59" i="3"/>
  <c r="Z60" i="3"/>
  <c r="Z56" i="3"/>
  <c r="Z58" i="3"/>
  <c r="W24" i="4"/>
  <c r="W130" i="4"/>
  <c r="X273" i="4"/>
  <c r="X274" i="4"/>
  <c r="X275" i="4"/>
  <c r="X1165" i="4"/>
  <c r="X15" i="66" s="1"/>
  <c r="X1166" i="4"/>
  <c r="V200" i="4"/>
  <c r="Y6" i="4"/>
  <c r="Y15" i="4"/>
  <c r="X249" i="4"/>
  <c r="X54" i="62"/>
  <c r="X17" i="4"/>
  <c r="X19" i="4"/>
  <c r="X20" i="4" s="1"/>
  <c r="W641" i="4"/>
  <c r="W644" i="4"/>
  <c r="W645" i="4"/>
  <c r="W640" i="4"/>
  <c r="W54" i="4"/>
  <c r="W55" i="4" s="1"/>
  <c r="X66" i="4"/>
  <c r="W142" i="4"/>
  <c r="W610" i="3"/>
  <c r="W965" i="4"/>
  <c r="X67" i="4"/>
  <c r="X68" i="4"/>
  <c r="X530" i="4"/>
  <c r="X540" i="4" s="1"/>
  <c r="X747" i="4"/>
  <c r="X54" i="11"/>
  <c r="X543" i="4"/>
  <c r="X62" i="4"/>
  <c r="X528" i="4" s="1"/>
  <c r="X33" i="4"/>
  <c r="X40" i="4" s="1"/>
  <c r="X47" i="4" s="1"/>
  <c r="X139" i="4"/>
  <c r="W328" i="4"/>
  <c r="W9" i="64"/>
  <c r="W63" i="4"/>
  <c r="W1312" i="4" s="1"/>
  <c r="W39" i="4"/>
  <c r="W46" i="4" s="1"/>
  <c r="Z7" i="3"/>
  <c r="X529" i="4"/>
  <c r="W53" i="4"/>
  <c r="X1052" i="4"/>
  <c r="X58" i="4"/>
  <c r="V607" i="4"/>
  <c r="V544" i="4"/>
  <c r="V612" i="4" s="1"/>
  <c r="U56" i="4"/>
  <c r="V53" i="62"/>
  <c r="V55" i="4"/>
  <c r="V65" i="4"/>
  <c r="V154" i="4"/>
  <c r="X57" i="4"/>
  <c r="X60" i="62" s="1"/>
  <c r="X295" i="4"/>
  <c r="X303" i="4" s="1"/>
  <c r="X1074" i="4"/>
  <c r="X1186" i="4"/>
  <c r="X226" i="4"/>
  <c r="W199" i="4"/>
  <c r="W60" i="62"/>
  <c r="V655" i="4"/>
  <c r="V660" i="4" s="1"/>
  <c r="V654" i="4"/>
  <c r="W540" i="4"/>
  <c r="W542" i="4" s="1"/>
  <c r="AC8" i="13"/>
  <c r="AD6" i="13"/>
  <c r="AC7" i="13"/>
  <c r="X32" i="4"/>
  <c r="X39" i="4" s="1"/>
  <c r="X126" i="4"/>
  <c r="X34" i="4"/>
  <c r="X150" i="4"/>
  <c r="X35" i="4"/>
  <c r="X42" i="4" s="1"/>
  <c r="X49" i="4" s="1"/>
  <c r="X192" i="4"/>
  <c r="W42" i="4"/>
  <c r="W49" i="4" s="1"/>
  <c r="W654" i="4"/>
  <c r="W655" i="4"/>
  <c r="W660" i="4" s="1"/>
  <c r="Y184" i="3"/>
  <c r="Y121" i="4" s="1"/>
  <c r="Y357" i="3"/>
  <c r="Y243" i="4" s="1"/>
  <c r="Y248" i="4" s="1"/>
  <c r="Y28" i="4"/>
  <c r="Y330" i="3"/>
  <c r="Y219" i="4" s="1"/>
  <c r="Y224" i="4" s="1"/>
  <c r="Y218" i="3"/>
  <c r="Y135" i="4" s="1"/>
  <c r="Y140" i="4" s="1"/>
  <c r="Y242" i="3"/>
  <c r="Y147" i="4" s="1"/>
  <c r="Y152" i="4" s="1"/>
  <c r="Y8" i="11"/>
  <c r="Y299" i="3"/>
  <c r="Y186" i="4" s="1"/>
  <c r="Y195" i="4" s="1"/>
  <c r="Y186" i="3"/>
  <c r="Y123" i="4" s="1"/>
  <c r="Y128" i="4" s="1"/>
  <c r="Y8" i="66"/>
  <c r="Y16" i="4"/>
  <c r="Y217" i="3"/>
  <c r="Y134" i="4" s="1"/>
  <c r="Y139" i="4" s="1"/>
  <c r="Y331" i="3"/>
  <c r="Y220" i="4" s="1"/>
  <c r="Y225" i="4" s="1"/>
  <c r="Y356" i="3"/>
  <c r="Y242" i="4" s="1"/>
  <c r="Y247" i="4" s="1"/>
  <c r="Y1106" i="4"/>
  <c r="Y8" i="64"/>
  <c r="Y300" i="3"/>
  <c r="Y187" i="4" s="1"/>
  <c r="Y196" i="4" s="1"/>
  <c r="Y240" i="3"/>
  <c r="Y145" i="4" s="1"/>
  <c r="Y1083" i="4"/>
  <c r="Y185" i="3"/>
  <c r="Y122" i="4" s="1"/>
  <c r="Y127" i="4" s="1"/>
  <c r="Y296" i="3"/>
  <c r="Y183" i="4" s="1"/>
  <c r="Y216" i="3"/>
  <c r="Y133" i="4" s="1"/>
  <c r="Y297" i="3"/>
  <c r="Y184" i="4" s="1"/>
  <c r="Y193" i="4" s="1"/>
  <c r="Y355" i="3"/>
  <c r="Y241" i="4" s="1"/>
  <c r="Y241" i="3"/>
  <c r="Y146" i="4" s="1"/>
  <c r="Y151" i="4" s="1"/>
  <c r="Y8" i="4"/>
  <c r="Y329" i="3"/>
  <c r="Y218" i="4" s="1"/>
  <c r="Y8" i="62"/>
  <c r="Y301" i="3"/>
  <c r="Y188" i="4" s="1"/>
  <c r="Y197" i="4" s="1"/>
  <c r="Y298" i="3"/>
  <c r="Y185" i="4" s="1"/>
  <c r="Y194" i="4" s="1"/>
  <c r="Y29" i="4"/>
  <c r="Y30" i="4"/>
  <c r="X63" i="4" s="1"/>
  <c r="X1312" i="4" s="1"/>
  <c r="Y1079" i="4"/>
  <c r="Y1107" i="4"/>
  <c r="Y1081" i="4"/>
  <c r="Y1082" i="4" s="1"/>
  <c r="AC1315" i="4"/>
  <c r="AB1446" i="4"/>
  <c r="AB1447" i="4" s="1"/>
  <c r="AB1352" i="4"/>
  <c r="X36" i="4"/>
  <c r="X223" i="4"/>
  <c r="X198" i="4"/>
  <c r="U641" i="4"/>
  <c r="U644" i="4"/>
  <c r="U640" i="4"/>
  <c r="U645" i="4"/>
  <c r="S662" i="4"/>
  <c r="W250" i="4"/>
  <c r="W9" i="11"/>
  <c r="X18" i="4"/>
  <c r="X24" i="4" s="1"/>
  <c r="W48" i="4"/>
  <c r="AH1061" i="4"/>
  <c r="AI1061" i="4" s="1"/>
  <c r="AI1062" i="4" s="1"/>
  <c r="X142" i="4" l="1"/>
  <c r="X9" i="64"/>
  <c r="U659" i="4"/>
  <c r="U660" i="4"/>
  <c r="X9" i="3"/>
  <c r="X9" i="11"/>
  <c r="W65" i="4"/>
  <c r="V659" i="4"/>
  <c r="V661" i="4" s="1"/>
  <c r="X9" i="62"/>
  <c r="Y15" i="66"/>
  <c r="W659" i="4"/>
  <c r="X46" i="4"/>
  <c r="X9" i="4"/>
  <c r="X22" i="4"/>
  <c r="Y21" i="4"/>
  <c r="AB8" i="72"/>
  <c r="AC7" i="72" s="1"/>
  <c r="AB6" i="72"/>
  <c r="U661" i="4"/>
  <c r="AB8" i="67"/>
  <c r="AC7" i="67" s="1"/>
  <c r="AB6" i="67"/>
  <c r="Y529" i="4"/>
  <c r="Y37" i="4"/>
  <c r="Y246" i="4"/>
  <c r="X153" i="4"/>
  <c r="Y70" i="4"/>
  <c r="X965" i="4"/>
  <c r="Y68" i="4"/>
  <c r="X610" i="3"/>
  <c r="Y67" i="4"/>
  <c r="Y18" i="4"/>
  <c r="X34" i="66"/>
  <c r="X288" i="4"/>
  <c r="X329" i="4" s="1"/>
  <c r="X414" i="4" s="1"/>
  <c r="X415" i="4" s="1"/>
  <c r="Y413" i="4" s="1"/>
  <c r="Y335" i="4"/>
  <c r="Y959" i="4" s="1"/>
  <c r="Y287" i="4"/>
  <c r="Y1074" i="4"/>
  <c r="Y57" i="4"/>
  <c r="Y9" i="64" s="1"/>
  <c r="Y295" i="4"/>
  <c r="Y303" i="4" s="1"/>
  <c r="Y1186" i="4"/>
  <c r="Y9" i="62"/>
  <c r="X61" i="4"/>
  <c r="X318" i="4" s="1"/>
  <c r="X335" i="4"/>
  <c r="X959" i="4" s="1"/>
  <c r="X287" i="4"/>
  <c r="X324" i="4" s="1"/>
  <c r="Y324" i="4" s="1"/>
  <c r="X227" i="4"/>
  <c r="X250" i="4"/>
  <c r="Y288" i="4"/>
  <c r="Y329" i="4" s="1"/>
  <c r="Y414" i="4" s="1"/>
  <c r="Y198" i="4"/>
  <c r="Y33" i="4"/>
  <c r="Y138" i="4"/>
  <c r="AD8" i="13"/>
  <c r="AE6" i="13"/>
  <c r="AD7" i="13"/>
  <c r="X9" i="66"/>
  <c r="X54" i="4"/>
  <c r="X65" i="4" s="1"/>
  <c r="Z86" i="64"/>
  <c r="Z87" i="64" s="1"/>
  <c r="Z7" i="62"/>
  <c r="Z6" i="62" s="1"/>
  <c r="Z6" i="3"/>
  <c r="Z7" i="4"/>
  <c r="Z7" i="11"/>
  <c r="Z6" i="11" s="1"/>
  <c r="Z7" i="64"/>
  <c r="Z6" i="64" s="1"/>
  <c r="Z28" i="64" s="1"/>
  <c r="Z30" i="64" s="1"/>
  <c r="Z53" i="64" s="1"/>
  <c r="Z8" i="3"/>
  <c r="AA7" i="3" s="1"/>
  <c r="Z7" i="66"/>
  <c r="Z6" i="66" s="1"/>
  <c r="X328" i="4"/>
  <c r="W964" i="4"/>
  <c r="W605" i="4"/>
  <c r="Y44" i="4"/>
  <c r="Y51" i="4" s="1"/>
  <c r="Y35" i="4"/>
  <c r="Y42" i="4" s="1"/>
  <c r="Y49" i="4" s="1"/>
  <c r="Y192" i="4"/>
  <c r="Y226" i="4"/>
  <c r="Y141" i="4"/>
  <c r="W661" i="4"/>
  <c r="Y60" i="62"/>
  <c r="AC1446" i="4"/>
  <c r="AC1447" i="4" s="1"/>
  <c r="AC1352" i="4"/>
  <c r="AD1315" i="4"/>
  <c r="Y54" i="62"/>
  <c r="X130" i="4"/>
  <c r="W200" i="4"/>
  <c r="Z1332" i="4"/>
  <c r="Y36" i="4"/>
  <c r="Y43" i="4" s="1"/>
  <c r="Y223" i="4"/>
  <c r="Y227" i="4" s="1"/>
  <c r="X53" i="4"/>
  <c r="Y58" i="4"/>
  <c r="Y1052" i="4"/>
  <c r="Y40" i="4"/>
  <c r="Y47" i="4" s="1"/>
  <c r="X43" i="4"/>
  <c r="X50" i="4" s="1"/>
  <c r="X636" i="4" s="1"/>
  <c r="Y1080" i="4"/>
  <c r="Y1063" i="4"/>
  <c r="Y1066" i="4"/>
  <c r="Y1075" i="4" s="1"/>
  <c r="Y17" i="4"/>
  <c r="Y24" i="4" s="1"/>
  <c r="Y19" i="4"/>
  <c r="Y20" i="4" s="1"/>
  <c r="Y34" i="4"/>
  <c r="Y41" i="4" s="1"/>
  <c r="Y150" i="4"/>
  <c r="Y249" i="4"/>
  <c r="X199" i="4"/>
  <c r="X41" i="4"/>
  <c r="X48" i="4" s="1"/>
  <c r="W544" i="4"/>
  <c r="W612" i="4" s="1"/>
  <c r="W607" i="4"/>
  <c r="V617" i="4"/>
  <c r="X542" i="4"/>
  <c r="Y66" i="4"/>
  <c r="Y34" i="66"/>
  <c r="AA56" i="3"/>
  <c r="AA60" i="3"/>
  <c r="AA59" i="3"/>
  <c r="I19" i="62" s="1"/>
  <c r="E1305" i="4" s="1"/>
  <c r="AA58" i="3"/>
  <c r="Y530" i="4"/>
  <c r="Y54" i="11"/>
  <c r="Y747" i="4"/>
  <c r="Y543" i="4"/>
  <c r="Y62" i="4"/>
  <c r="Y528" i="4" s="1"/>
  <c r="Y129" i="4"/>
  <c r="Y32" i="4"/>
  <c r="Y126" i="4"/>
  <c r="Y60" i="4"/>
  <c r="X55" i="4"/>
  <c r="V56" i="4"/>
  <c r="W53" i="62"/>
  <c r="AH1062" i="4"/>
  <c r="AJ1061" i="4"/>
  <c r="Y540" i="4" l="1"/>
  <c r="Y48" i="4"/>
  <c r="Y50" i="4"/>
  <c r="Y636" i="4" s="1"/>
  <c r="Y654" i="4" s="1"/>
  <c r="Y9" i="4"/>
  <c r="Z21" i="4"/>
  <c r="Y22" i="4"/>
  <c r="AC8" i="67"/>
  <c r="AD7" i="67" s="1"/>
  <c r="AC6" i="67"/>
  <c r="Y637" i="4"/>
  <c r="AC8" i="72"/>
  <c r="AD7" i="72" s="1"/>
  <c r="AC6" i="72"/>
  <c r="AA7" i="66"/>
  <c r="AA6" i="66" s="1"/>
  <c r="AA7" i="4"/>
  <c r="AA86" i="64"/>
  <c r="AA87" i="64" s="1"/>
  <c r="AA6" i="3"/>
  <c r="AA8" i="3"/>
  <c r="AB7" i="3" s="1"/>
  <c r="AA7" i="64"/>
  <c r="AA6" i="64" s="1"/>
  <c r="AA28" i="64" s="1"/>
  <c r="AA30" i="64" s="1"/>
  <c r="AA53" i="64" s="1"/>
  <c r="AA7" i="11"/>
  <c r="AA6" i="11" s="1"/>
  <c r="AA314" i="4"/>
  <c r="AA7" i="62"/>
  <c r="AA6" i="62" s="1"/>
  <c r="W617" i="4"/>
  <c r="X654" i="4"/>
  <c r="X655" i="4"/>
  <c r="X637" i="4"/>
  <c r="AE8" i="13"/>
  <c r="AE7" i="13"/>
  <c r="AF6" i="13"/>
  <c r="U662" i="4"/>
  <c r="Y130" i="4"/>
  <c r="Y199" i="4"/>
  <c r="V662" i="4"/>
  <c r="Y39" i="4"/>
  <c r="Y46" i="4" s="1"/>
  <c r="X544" i="4"/>
  <c r="X612" i="4" s="1"/>
  <c r="X607" i="4"/>
  <c r="X200" i="4"/>
  <c r="Z314" i="4"/>
  <c r="Y415" i="4"/>
  <c r="Z413" i="4" s="1"/>
  <c r="Y610" i="3"/>
  <c r="Y965" i="4"/>
  <c r="W662" i="4"/>
  <c r="Z16" i="4"/>
  <c r="Z355" i="3"/>
  <c r="Z241" i="4" s="1"/>
  <c r="Z1083" i="4"/>
  <c r="Z8" i="11"/>
  <c r="Z1370" i="4"/>
  <c r="AA1370" i="4" s="1"/>
  <c r="Z186" i="3"/>
  <c r="Z123" i="4" s="1"/>
  <c r="Z128" i="4" s="1"/>
  <c r="Z184" i="3"/>
  <c r="Z121" i="4" s="1"/>
  <c r="Z296" i="3"/>
  <c r="Z183" i="4" s="1"/>
  <c r="Z299" i="3"/>
  <c r="Z186" i="4" s="1"/>
  <c r="Z195" i="4" s="1"/>
  <c r="Z298" i="3"/>
  <c r="Z185" i="4" s="1"/>
  <c r="Z194" i="4" s="1"/>
  <c r="Z331" i="3"/>
  <c r="Z220" i="4" s="1"/>
  <c r="Z225" i="4" s="1"/>
  <c r="Z242" i="3"/>
  <c r="Z147" i="4" s="1"/>
  <c r="Z152" i="4" s="1"/>
  <c r="Z8" i="4"/>
  <c r="Z218" i="3"/>
  <c r="Z135" i="4" s="1"/>
  <c r="Z140" i="4" s="1"/>
  <c r="Z297" i="3"/>
  <c r="Z184" i="4" s="1"/>
  <c r="Z193" i="4" s="1"/>
  <c r="Z185" i="3"/>
  <c r="Z122" i="4" s="1"/>
  <c r="Z127" i="4" s="1"/>
  <c r="Z241" i="3"/>
  <c r="Z146" i="4" s="1"/>
  <c r="Z151" i="4" s="1"/>
  <c r="Z28" i="4"/>
  <c r="Z240" i="3"/>
  <c r="Z145" i="4" s="1"/>
  <c r="Z8" i="66"/>
  <c r="Z8" i="64"/>
  <c r="Z301" i="3"/>
  <c r="Z188" i="4" s="1"/>
  <c r="Z197" i="4" s="1"/>
  <c r="Z356" i="3"/>
  <c r="Z242" i="4" s="1"/>
  <c r="Z247" i="4" s="1"/>
  <c r="Z329" i="3"/>
  <c r="Z218" i="4" s="1"/>
  <c r="Z357" i="3"/>
  <c r="Z243" i="4" s="1"/>
  <c r="Z248" i="4" s="1"/>
  <c r="Z1106" i="4"/>
  <c r="Z8" i="62"/>
  <c r="Z300" i="3"/>
  <c r="Z187" i="4" s="1"/>
  <c r="Z196" i="4" s="1"/>
  <c r="Z217" i="3"/>
  <c r="Z134" i="4" s="1"/>
  <c r="Z139" i="4" s="1"/>
  <c r="Z330" i="3"/>
  <c r="Z219" i="4" s="1"/>
  <c r="Z224" i="4" s="1"/>
  <c r="Z216" i="3"/>
  <c r="Z133" i="4" s="1"/>
  <c r="Z29" i="4"/>
  <c r="Z529" i="4"/>
  <c r="Z30" i="4"/>
  <c r="Z1079" i="4"/>
  <c r="Z1081" i="4"/>
  <c r="Z1082" i="4" s="1"/>
  <c r="Z1107" i="4"/>
  <c r="Y9" i="66"/>
  <c r="Y54" i="4"/>
  <c r="Y65" i="4" s="1"/>
  <c r="X605" i="4"/>
  <c r="X964" i="4"/>
  <c r="X154" i="4"/>
  <c r="AB60" i="3"/>
  <c r="AB59" i="3"/>
  <c r="AB56" i="3"/>
  <c r="AB58" i="3"/>
  <c r="W56" i="4"/>
  <c r="Y55" i="4"/>
  <c r="X53" i="62"/>
  <c r="Y142" i="4"/>
  <c r="Y153" i="4"/>
  <c r="Y9" i="11"/>
  <c r="Y250" i="4"/>
  <c r="Y542" i="4"/>
  <c r="AD1446" i="4"/>
  <c r="AD1447" i="4" s="1"/>
  <c r="AD1352" i="4"/>
  <c r="AE1315" i="4"/>
  <c r="Z6" i="4"/>
  <c r="Z15" i="4"/>
  <c r="Y9" i="3"/>
  <c r="AJ1062" i="4"/>
  <c r="AK1061" i="4"/>
  <c r="AA1332" i="4" l="1"/>
  <c r="Y655" i="4"/>
  <c r="AD8" i="67"/>
  <c r="AE7" i="67" s="1"/>
  <c r="AD6" i="67"/>
  <c r="Z18" i="4"/>
  <c r="Z19" i="4"/>
  <c r="Z20" i="4" s="1"/>
  <c r="Z17" i="4"/>
  <c r="AA6" i="4"/>
  <c r="AA15" i="4"/>
  <c r="Y544" i="4"/>
  <c r="Y612" i="4" s="1"/>
  <c r="Y607" i="4"/>
  <c r="Z1080" i="4"/>
  <c r="Z1063" i="4"/>
  <c r="Z1066" i="4"/>
  <c r="Z1075" i="4" s="1"/>
  <c r="Z54" i="62"/>
  <c r="Z34" i="4"/>
  <c r="Z150" i="4"/>
  <c r="Z226" i="4"/>
  <c r="X640" i="4"/>
  <c r="X645" i="4"/>
  <c r="X644" i="4"/>
  <c r="X641" i="4"/>
  <c r="AA273" i="4"/>
  <c r="AA274" i="4"/>
  <c r="AA1165" i="4"/>
  <c r="AA15" i="66" s="1"/>
  <c r="AA1166" i="4"/>
  <c r="AA275" i="4"/>
  <c r="AE1352" i="4"/>
  <c r="AF1315" i="4"/>
  <c r="AE1446" i="4"/>
  <c r="AE1447" i="4" s="1"/>
  <c r="Y154" i="4"/>
  <c r="Z54" i="11"/>
  <c r="Z747" i="4"/>
  <c r="Z530" i="4"/>
  <c r="Z543" i="4"/>
  <c r="Z62" i="4"/>
  <c r="Z528" i="4" s="1"/>
  <c r="Y63" i="4"/>
  <c r="Y1312" i="4" s="1"/>
  <c r="Z70" i="4"/>
  <c r="Y53" i="4"/>
  <c r="Z58" i="4"/>
  <c r="Z1052" i="4"/>
  <c r="Z198" i="4"/>
  <c r="Z37" i="4"/>
  <c r="Z246" i="4"/>
  <c r="Z67" i="4"/>
  <c r="X617" i="4"/>
  <c r="X660" i="4"/>
  <c r="AC58" i="3"/>
  <c r="AC56" i="3"/>
  <c r="AC60" i="3"/>
  <c r="AC59" i="3"/>
  <c r="Z249" i="4"/>
  <c r="Y964" i="4"/>
  <c r="Y605" i="4"/>
  <c r="X659" i="4"/>
  <c r="AD6" i="72"/>
  <c r="AD8" i="72"/>
  <c r="AE7" i="72"/>
  <c r="Z1074" i="4"/>
  <c r="Z295" i="4"/>
  <c r="Z303" i="4" s="1"/>
  <c r="Z57" i="4"/>
  <c r="Z9" i="4" s="1"/>
  <c r="Z1186" i="4"/>
  <c r="Z9" i="62"/>
  <c r="Z9" i="3"/>
  <c r="Z60" i="4"/>
  <c r="Y61" i="4"/>
  <c r="Y318" i="4" s="1"/>
  <c r="Y328" i="4" s="1"/>
  <c r="Z36" i="4"/>
  <c r="Z223" i="4"/>
  <c r="Z35" i="4"/>
  <c r="Z192" i="4"/>
  <c r="Z68" i="4"/>
  <c r="Y200" i="4"/>
  <c r="AA330" i="3"/>
  <c r="AA219" i="4" s="1"/>
  <c r="AA224" i="4" s="1"/>
  <c r="AA296" i="3"/>
  <c r="AA183" i="4" s="1"/>
  <c r="AA184" i="3"/>
  <c r="AA121" i="4" s="1"/>
  <c r="AA300" i="3"/>
  <c r="AA187" i="4" s="1"/>
  <c r="AA196" i="4" s="1"/>
  <c r="AA329" i="3"/>
  <c r="AA218" i="4" s="1"/>
  <c r="AA8" i="64"/>
  <c r="AA1106" i="4"/>
  <c r="AA186" i="3"/>
  <c r="AA123" i="4" s="1"/>
  <c r="AA128" i="4" s="1"/>
  <c r="AA216" i="3"/>
  <c r="AA133" i="4" s="1"/>
  <c r="AA8" i="11"/>
  <c r="AA8" i="4"/>
  <c r="AA16" i="4"/>
  <c r="AA301" i="3"/>
  <c r="AA188" i="4" s="1"/>
  <c r="AA197" i="4" s="1"/>
  <c r="AA242" i="3"/>
  <c r="AA147" i="4" s="1"/>
  <c r="AA152" i="4" s="1"/>
  <c r="AA185" i="3"/>
  <c r="AA122" i="4" s="1"/>
  <c r="AA127" i="4" s="1"/>
  <c r="AA217" i="3"/>
  <c r="AA134" i="4" s="1"/>
  <c r="AA139" i="4" s="1"/>
  <c r="AA8" i="62"/>
  <c r="AA298" i="3"/>
  <c r="AA185" i="4" s="1"/>
  <c r="AA194" i="4" s="1"/>
  <c r="AA331" i="3"/>
  <c r="AA220" i="4" s="1"/>
  <c r="AA225" i="4" s="1"/>
  <c r="AA356" i="3"/>
  <c r="AA242" i="4" s="1"/>
  <c r="AA247" i="4" s="1"/>
  <c r="AA240" i="3"/>
  <c r="AA145" i="4" s="1"/>
  <c r="AA28" i="4"/>
  <c r="AA355" i="3"/>
  <c r="AA241" i="4" s="1"/>
  <c r="AA299" i="3"/>
  <c r="AA186" i="4" s="1"/>
  <c r="AA195" i="4" s="1"/>
  <c r="AA357" i="3"/>
  <c r="AA243" i="4" s="1"/>
  <c r="AA248" i="4" s="1"/>
  <c r="AA241" i="3"/>
  <c r="AA146" i="4" s="1"/>
  <c r="AA151" i="4" s="1"/>
  <c r="AA8" i="66"/>
  <c r="AA297" i="3"/>
  <c r="AA184" i="4" s="1"/>
  <c r="AA193" i="4" s="1"/>
  <c r="AA1083" i="4"/>
  <c r="AA218" i="3"/>
  <c r="AA135" i="4" s="1"/>
  <c r="AA140" i="4" s="1"/>
  <c r="AA29" i="4"/>
  <c r="AA30" i="4"/>
  <c r="AA70" i="4" s="1"/>
  <c r="AA1107" i="4"/>
  <c r="AA1081" i="4"/>
  <c r="AA1082" i="4" s="1"/>
  <c r="AA1079" i="4"/>
  <c r="X56" i="4"/>
  <c r="Y53" i="62"/>
  <c r="Z33" i="4"/>
  <c r="Z40" i="4" s="1"/>
  <c r="Z47" i="4" s="1"/>
  <c r="Z138" i="4"/>
  <c r="Z32" i="4"/>
  <c r="Z126" i="4"/>
  <c r="AF7" i="13"/>
  <c r="AF8" i="13"/>
  <c r="AG6" i="13"/>
  <c r="AB7" i="4"/>
  <c r="AB86" i="64"/>
  <c r="AB87" i="64" s="1"/>
  <c r="AB7" i="64"/>
  <c r="AB6" i="64" s="1"/>
  <c r="AB28" i="64" s="1"/>
  <c r="AB30" i="64" s="1"/>
  <c r="AB53" i="64" s="1"/>
  <c r="AB7" i="66"/>
  <c r="AB6" i="66" s="1"/>
  <c r="AB7" i="11"/>
  <c r="AB6" i="11" s="1"/>
  <c r="AC7" i="3"/>
  <c r="AB7" i="62"/>
  <c r="AB6" i="62" s="1"/>
  <c r="AB8" i="3"/>
  <c r="AB1332" i="4" s="1"/>
  <c r="AB6" i="3"/>
  <c r="AB314" i="4"/>
  <c r="Z141" i="4"/>
  <c r="Z129" i="4"/>
  <c r="Z1165" i="4"/>
  <c r="Z1166" i="4"/>
  <c r="Z15" i="66" s="1"/>
  <c r="Z274" i="4"/>
  <c r="Z273" i="4"/>
  <c r="Z275" i="4"/>
  <c r="Z288" i="4" s="1"/>
  <c r="Z329" i="4" s="1"/>
  <c r="Z414" i="4" s="1"/>
  <c r="Z415" i="4" s="1"/>
  <c r="AA413" i="4" s="1"/>
  <c r="Z66" i="4"/>
  <c r="AA66" i="4" s="1"/>
  <c r="Y641" i="4"/>
  <c r="Y644" i="4"/>
  <c r="Y645" i="4"/>
  <c r="Y640" i="4"/>
  <c r="Y659" i="4" s="1"/>
  <c r="AK1062" i="4"/>
  <c r="AL1061" i="4"/>
  <c r="Z227" i="4" l="1"/>
  <c r="Y660" i="4"/>
  <c r="Z9" i="11"/>
  <c r="Z540" i="4"/>
  <c r="Z542" i="4" s="1"/>
  <c r="Z544" i="4" s="1"/>
  <c r="Z612" i="4" s="1"/>
  <c r="Z9" i="66"/>
  <c r="Y661" i="4"/>
  <c r="AE8" i="67"/>
  <c r="AE6" i="67"/>
  <c r="AA529" i="4"/>
  <c r="AA129" i="4"/>
  <c r="AA1186" i="4"/>
  <c r="AA1074" i="4"/>
  <c r="AA57" i="4"/>
  <c r="AA9" i="11" s="1"/>
  <c r="AA295" i="4"/>
  <c r="AA303" i="4" s="1"/>
  <c r="AA9" i="64"/>
  <c r="AA9" i="66"/>
  <c r="AA9" i="62"/>
  <c r="AA9" i="3"/>
  <c r="AA37" i="4"/>
  <c r="AA246" i="4"/>
  <c r="Z61" i="4"/>
  <c r="Z318" i="4" s="1"/>
  <c r="AE6" i="72"/>
  <c r="AE8" i="72"/>
  <c r="AF7" i="72" s="1"/>
  <c r="Z130" i="4"/>
  <c r="AA141" i="4"/>
  <c r="AA58" i="4"/>
  <c r="AA1052" i="4"/>
  <c r="Z43" i="4"/>
  <c r="Z50" i="4" s="1"/>
  <c r="Z636" i="4" s="1"/>
  <c r="AA335" i="4"/>
  <c r="AA959" i="4" s="1"/>
  <c r="AA287" i="4"/>
  <c r="AB1370" i="4"/>
  <c r="Z24" i="4"/>
  <c r="AB1166" i="4"/>
  <c r="AB273" i="4"/>
  <c r="AB275" i="4"/>
  <c r="AB288" i="4" s="1"/>
  <c r="AB274" i="4"/>
  <c r="AB1165" i="4"/>
  <c r="AB15" i="66" s="1"/>
  <c r="Z39" i="4"/>
  <c r="Z46" i="4" s="1"/>
  <c r="AA34" i="4"/>
  <c r="AA150" i="4"/>
  <c r="AA36" i="4"/>
  <c r="AA43" i="4" s="1"/>
  <c r="AA223" i="4"/>
  <c r="Z328" i="4"/>
  <c r="Z9" i="64"/>
  <c r="Z54" i="4"/>
  <c r="Z60" i="62"/>
  <c r="Z153" i="4"/>
  <c r="Y617" i="4"/>
  <c r="AB6" i="4"/>
  <c r="AB15" i="4"/>
  <c r="AA1080" i="4"/>
  <c r="AA1063" i="4"/>
  <c r="AA1066" i="4"/>
  <c r="AA1075" i="4" s="1"/>
  <c r="X661" i="4"/>
  <c r="AF1446" i="4"/>
  <c r="AF1447" i="4" s="1"/>
  <c r="AG1315" i="4"/>
  <c r="AF1352" i="4"/>
  <c r="Z41" i="4"/>
  <c r="Z48" i="4" s="1"/>
  <c r="AA21" i="4"/>
  <c r="Z22" i="4"/>
  <c r="Z34" i="66"/>
  <c r="AB1083" i="4"/>
  <c r="AB329" i="3"/>
  <c r="AB218" i="4" s="1"/>
  <c r="AB242" i="3"/>
  <c r="AB147" i="4" s="1"/>
  <c r="AB152" i="4" s="1"/>
  <c r="AB216" i="3"/>
  <c r="AB133" i="4" s="1"/>
  <c r="AB138" i="4" s="1"/>
  <c r="AB241" i="3"/>
  <c r="AB146" i="4" s="1"/>
  <c r="AB151" i="4" s="1"/>
  <c r="AB28" i="4"/>
  <c r="AB8" i="64"/>
  <c r="AB357" i="3"/>
  <c r="AB243" i="4" s="1"/>
  <c r="AB248" i="4" s="1"/>
  <c r="AB8" i="4"/>
  <c r="AB331" i="3"/>
  <c r="AB220" i="4" s="1"/>
  <c r="AB225" i="4" s="1"/>
  <c r="AB217" i="3"/>
  <c r="AB134" i="4" s="1"/>
  <c r="AB355" i="3"/>
  <c r="AB241" i="4" s="1"/>
  <c r="AB8" i="66"/>
  <c r="AB16" i="4"/>
  <c r="AB297" i="3"/>
  <c r="AB184" i="4" s="1"/>
  <c r="AB193" i="4" s="1"/>
  <c r="AB330" i="3"/>
  <c r="AB219" i="4" s="1"/>
  <c r="AB224" i="4" s="1"/>
  <c r="AB1106" i="4"/>
  <c r="AB300" i="3"/>
  <c r="AB187" i="4" s="1"/>
  <c r="AB196" i="4" s="1"/>
  <c r="AB296" i="3"/>
  <c r="AB183" i="4" s="1"/>
  <c r="AB356" i="3"/>
  <c r="AB242" i="4" s="1"/>
  <c r="AB247" i="4" s="1"/>
  <c r="AB185" i="3"/>
  <c r="AB122" i="4" s="1"/>
  <c r="AB127" i="4" s="1"/>
  <c r="AB218" i="3"/>
  <c r="AB135" i="4" s="1"/>
  <c r="AB140" i="4" s="1"/>
  <c r="AB240" i="3"/>
  <c r="AB145" i="4" s="1"/>
  <c r="AB8" i="11"/>
  <c r="AB301" i="3"/>
  <c r="AB188" i="4" s="1"/>
  <c r="AB197" i="4" s="1"/>
  <c r="AB298" i="3"/>
  <c r="AB185" i="4" s="1"/>
  <c r="AB194" i="4" s="1"/>
  <c r="AB184" i="3"/>
  <c r="AB121" i="4" s="1"/>
  <c r="AB186" i="3"/>
  <c r="AB123" i="4" s="1"/>
  <c r="AB128" i="4" s="1"/>
  <c r="AB8" i="62"/>
  <c r="AB299" i="3"/>
  <c r="AB186" i="4" s="1"/>
  <c r="AB195" i="4" s="1"/>
  <c r="AB29" i="4"/>
  <c r="AB30" i="4"/>
  <c r="AA63" i="4" s="1"/>
  <c r="AA1312" i="4" s="1"/>
  <c r="AB1079" i="4"/>
  <c r="AB1081" i="4"/>
  <c r="AB1082" i="4" s="1"/>
  <c r="AB1107" i="4"/>
  <c r="AA226" i="4"/>
  <c r="AA19" i="4"/>
  <c r="AA20" i="4" s="1"/>
  <c r="AA17" i="4"/>
  <c r="AA32" i="4"/>
  <c r="AA39" i="4" s="1"/>
  <c r="AA46" i="4" s="1"/>
  <c r="AA126" i="4"/>
  <c r="AA60" i="4"/>
  <c r="AA68" i="4"/>
  <c r="Z610" i="3"/>
  <c r="AA67" i="4"/>
  <c r="Z965" i="4"/>
  <c r="Z53" i="4"/>
  <c r="Z607" i="4"/>
  <c r="AA18" i="4"/>
  <c r="Z335" i="4"/>
  <c r="Z959" i="4" s="1"/>
  <c r="Z287" i="4"/>
  <c r="Z324" i="4" s="1"/>
  <c r="AA324" i="4" s="1"/>
  <c r="AH6" i="13"/>
  <c r="AG7" i="13"/>
  <c r="AG8" i="13"/>
  <c r="Z142" i="4"/>
  <c r="AA198" i="4"/>
  <c r="AA35" i="4"/>
  <c r="AA192" i="4"/>
  <c r="Z199" i="4"/>
  <c r="Z250" i="4"/>
  <c r="AA60" i="62"/>
  <c r="AD60" i="3"/>
  <c r="AD58" i="3"/>
  <c r="AD56" i="3"/>
  <c r="AD59" i="3"/>
  <c r="AC7" i="4"/>
  <c r="AC7" i="62"/>
  <c r="AC6" i="62" s="1"/>
  <c r="AC7" i="66"/>
  <c r="AC6" i="66" s="1"/>
  <c r="AC8" i="3"/>
  <c r="AC6" i="3"/>
  <c r="AC7" i="11"/>
  <c r="AC6" i="11" s="1"/>
  <c r="AC86" i="64"/>
  <c r="AC87" i="64" s="1"/>
  <c r="AC7" i="64"/>
  <c r="AC6" i="64" s="1"/>
  <c r="AC28" i="64" s="1"/>
  <c r="AC30" i="64" s="1"/>
  <c r="AC53" i="64" s="1"/>
  <c r="AA54" i="11"/>
  <c r="AA747" i="4"/>
  <c r="AA530" i="4"/>
  <c r="AA540" i="4" s="1"/>
  <c r="AA543" i="4"/>
  <c r="AA62" i="4"/>
  <c r="AA528" i="4" s="1"/>
  <c r="AB70" i="4"/>
  <c r="AA249" i="4"/>
  <c r="AA54" i="62"/>
  <c r="AA33" i="4"/>
  <c r="AA138" i="4"/>
  <c r="Z42" i="4"/>
  <c r="Z49" i="4" s="1"/>
  <c r="AA42" i="4"/>
  <c r="AA49" i="4" s="1"/>
  <c r="Z44" i="4"/>
  <c r="Z51" i="4" s="1"/>
  <c r="AA44" i="4"/>
  <c r="Z63" i="4"/>
  <c r="Z1312" i="4" s="1"/>
  <c r="AA34" i="66"/>
  <c r="AA288" i="4"/>
  <c r="AA329" i="4" s="1"/>
  <c r="AA414" i="4" s="1"/>
  <c r="AA415" i="4" s="1"/>
  <c r="AB413" i="4" s="1"/>
  <c r="AL1062" i="4"/>
  <c r="AM1061" i="4"/>
  <c r="AA227" i="4" l="1"/>
  <c r="AA61" i="4"/>
  <c r="AA318" i="4" s="1"/>
  <c r="AB34" i="66"/>
  <c r="AF8" i="72"/>
  <c r="AG7" i="72" s="1"/>
  <c r="AF6" i="72"/>
  <c r="AB21" i="4"/>
  <c r="AA22" i="4"/>
  <c r="AA51" i="4"/>
  <c r="AC15" i="4"/>
  <c r="AC6" i="4"/>
  <c r="Z617" i="4"/>
  <c r="AB747" i="4"/>
  <c r="AB530" i="4"/>
  <c r="AB54" i="11"/>
  <c r="AB543" i="4"/>
  <c r="AB62" i="4"/>
  <c r="AB528" i="4" s="1"/>
  <c r="AB17" i="4"/>
  <c r="AB19" i="4"/>
  <c r="AB20" i="4" s="1"/>
  <c r="AG1352" i="4"/>
  <c r="AH1315" i="4"/>
  <c r="AG1446" i="4"/>
  <c r="AA328" i="4"/>
  <c r="AC1370" i="4"/>
  <c r="Z654" i="4"/>
  <c r="Z655" i="4"/>
  <c r="Z637" i="4"/>
  <c r="AB60" i="62"/>
  <c r="AA542" i="4"/>
  <c r="AB1186" i="4"/>
  <c r="AB1074" i="4"/>
  <c r="AB295" i="4"/>
  <c r="AB303" i="4" s="1"/>
  <c r="AB57" i="4"/>
  <c r="AB9" i="4" s="1"/>
  <c r="AB9" i="66"/>
  <c r="AB9" i="3"/>
  <c r="AB9" i="62"/>
  <c r="AB9" i="64"/>
  <c r="AB249" i="4"/>
  <c r="AB329" i="4"/>
  <c r="AB414" i="4" s="1"/>
  <c r="AB415" i="4" s="1"/>
  <c r="AC413" i="4" s="1"/>
  <c r="AA50" i="4"/>
  <c r="AA636" i="4" s="1"/>
  <c r="AD7" i="3"/>
  <c r="AB529" i="4"/>
  <c r="AB34" i="4"/>
  <c r="AB150" i="4"/>
  <c r="Z154" i="4"/>
  <c r="AB66" i="4"/>
  <c r="AA250" i="4"/>
  <c r="AB60" i="4"/>
  <c r="AC314" i="4"/>
  <c r="AA610" i="3"/>
  <c r="AA965" i="4"/>
  <c r="AB68" i="4"/>
  <c r="AB67" i="4"/>
  <c r="AB141" i="4"/>
  <c r="AA53" i="4"/>
  <c r="AB1052" i="4"/>
  <c r="AB58" i="4"/>
  <c r="AB18" i="4"/>
  <c r="AB24" i="4" s="1"/>
  <c r="AB335" i="4"/>
  <c r="AB959" i="4" s="1"/>
  <c r="AB287" i="4"/>
  <c r="AA24" i="4"/>
  <c r="Z964" i="4"/>
  <c r="Z605" i="4"/>
  <c r="AB54" i="62"/>
  <c r="X662" i="4"/>
  <c r="AA153" i="4"/>
  <c r="AA9" i="4"/>
  <c r="AA54" i="4"/>
  <c r="AC8" i="4"/>
  <c r="AC301" i="3"/>
  <c r="AC188" i="4" s="1"/>
  <c r="AC197" i="4" s="1"/>
  <c r="AC357" i="3"/>
  <c r="AC243" i="4" s="1"/>
  <c r="AC248" i="4" s="1"/>
  <c r="AC240" i="3"/>
  <c r="AC145" i="4" s="1"/>
  <c r="AC218" i="3"/>
  <c r="AC135" i="4" s="1"/>
  <c r="AC140" i="4" s="1"/>
  <c r="AC1083" i="4"/>
  <c r="AC8" i="11"/>
  <c r="AC331" i="3"/>
  <c r="AC220" i="4" s="1"/>
  <c r="AC225" i="4" s="1"/>
  <c r="AC298" i="3"/>
  <c r="AC185" i="4" s="1"/>
  <c r="AC194" i="4" s="1"/>
  <c r="AC355" i="3"/>
  <c r="AC241" i="4" s="1"/>
  <c r="AC185" i="3"/>
  <c r="AC122" i="4" s="1"/>
  <c r="AC127" i="4" s="1"/>
  <c r="AC184" i="3"/>
  <c r="AC121" i="4" s="1"/>
  <c r="AC297" i="3"/>
  <c r="AC184" i="4" s="1"/>
  <c r="AC193" i="4" s="1"/>
  <c r="AC299" i="3"/>
  <c r="AC186" i="4" s="1"/>
  <c r="AC195" i="4" s="1"/>
  <c r="AC300" i="3"/>
  <c r="AC187" i="4" s="1"/>
  <c r="AC196" i="4" s="1"/>
  <c r="AC241" i="3"/>
  <c r="AC146" i="4" s="1"/>
  <c r="AC151" i="4" s="1"/>
  <c r="AC329" i="3"/>
  <c r="AC218" i="4" s="1"/>
  <c r="AC217" i="3"/>
  <c r="AC134" i="4" s="1"/>
  <c r="AC139" i="4" s="1"/>
  <c r="AC356" i="3"/>
  <c r="AC242" i="4" s="1"/>
  <c r="AC247" i="4" s="1"/>
  <c r="AC28" i="4"/>
  <c r="AC16" i="4"/>
  <c r="AC186" i="3"/>
  <c r="AC123" i="4" s="1"/>
  <c r="AC128" i="4" s="1"/>
  <c r="AC216" i="3"/>
  <c r="AC133" i="4" s="1"/>
  <c r="AC330" i="3"/>
  <c r="AC219" i="4" s="1"/>
  <c r="AC224" i="4" s="1"/>
  <c r="AC296" i="3"/>
  <c r="AC183" i="4" s="1"/>
  <c r="AC8" i="66"/>
  <c r="AC8" i="64"/>
  <c r="AC242" i="3"/>
  <c r="AC147" i="4" s="1"/>
  <c r="AC152" i="4" s="1"/>
  <c r="AC1106" i="4"/>
  <c r="AC8" i="62"/>
  <c r="AC529" i="4"/>
  <c r="AC29" i="4"/>
  <c r="AC30" i="4"/>
  <c r="AC70" i="4" s="1"/>
  <c r="AC1079" i="4"/>
  <c r="AC1081" i="4"/>
  <c r="AC1082" i="4" s="1"/>
  <c r="AC1107" i="4"/>
  <c r="Z200" i="4"/>
  <c r="AB129" i="4"/>
  <c r="AB37" i="4"/>
  <c r="AB246" i="4"/>
  <c r="AB41" i="4"/>
  <c r="Y662" i="4"/>
  <c r="AA142" i="4"/>
  <c r="AA199" i="4"/>
  <c r="AI6" i="13"/>
  <c r="AH7" i="13"/>
  <c r="AH8" i="13"/>
  <c r="AB32" i="4"/>
  <c r="AB126" i="4"/>
  <c r="AB35" i="4"/>
  <c r="AB42" i="4" s="1"/>
  <c r="AB49" i="4" s="1"/>
  <c r="AB192" i="4"/>
  <c r="AB33" i="4"/>
  <c r="AB139" i="4"/>
  <c r="AA41" i="4"/>
  <c r="AA48" i="4" s="1"/>
  <c r="Y56" i="4"/>
  <c r="AA55" i="4"/>
  <c r="Z53" i="62"/>
  <c r="Z65" i="4"/>
  <c r="AA65" i="4" s="1"/>
  <c r="Z55" i="4"/>
  <c r="AF7" i="67"/>
  <c r="AC1332" i="4"/>
  <c r="AA40" i="4"/>
  <c r="AA47" i="4" s="1"/>
  <c r="AB324" i="4"/>
  <c r="AA130" i="4"/>
  <c r="AB1063" i="4"/>
  <c r="AB1080" i="4"/>
  <c r="AB1066" i="4"/>
  <c r="AB1075" i="4" s="1"/>
  <c r="AB198" i="4"/>
  <c r="AB226" i="4"/>
  <c r="AB36" i="4"/>
  <c r="AB223" i="4"/>
  <c r="AE58" i="3"/>
  <c r="AE56" i="3"/>
  <c r="AE60" i="3"/>
  <c r="AE59" i="3"/>
  <c r="AM1062" i="4"/>
  <c r="AN1061" i="4"/>
  <c r="AB227" i="4" l="1"/>
  <c r="AB61" i="4"/>
  <c r="AB318" i="4" s="1"/>
  <c r="AB22" i="4"/>
  <c r="AC21" i="4"/>
  <c r="AG8" i="72"/>
  <c r="AH7" i="72" s="1"/>
  <c r="AG6" i="72"/>
  <c r="AB130" i="4"/>
  <c r="AB53" i="4"/>
  <c r="AC58" i="4"/>
  <c r="AC1052" i="4"/>
  <c r="AC32" i="4"/>
  <c r="AC126" i="4"/>
  <c r="AC34" i="4"/>
  <c r="AC150" i="4"/>
  <c r="AC274" i="4"/>
  <c r="AC1165" i="4"/>
  <c r="AC1166" i="4"/>
  <c r="AC275" i="4"/>
  <c r="AC288" i="4" s="1"/>
  <c r="AC329" i="4" s="1"/>
  <c r="AC414" i="4" s="1"/>
  <c r="AC415" i="4" s="1"/>
  <c r="AD413" i="4" s="1"/>
  <c r="AC273" i="4"/>
  <c r="AB43" i="4"/>
  <c r="AB50" i="4" s="1"/>
  <c r="AB636" i="4" s="1"/>
  <c r="AA654" i="4"/>
  <c r="AA655" i="4"/>
  <c r="AA637" i="4"/>
  <c r="AC60" i="4"/>
  <c r="AB63" i="4"/>
  <c r="AB1312" i="4" s="1"/>
  <c r="AB39" i="4"/>
  <c r="AB46" i="4" s="1"/>
  <c r="AC39" i="4"/>
  <c r="AC249" i="4"/>
  <c r="AF8" i="67"/>
  <c r="AG7" i="67" s="1"/>
  <c r="AF6" i="67"/>
  <c r="AC1080" i="4"/>
  <c r="AC1063" i="4"/>
  <c r="AC1066" i="4"/>
  <c r="AC1075" i="4" s="1"/>
  <c r="AC37" i="4"/>
  <c r="AC44" i="4" s="1"/>
  <c r="AC246" i="4"/>
  <c r="AG1447" i="4"/>
  <c r="AI7" i="13"/>
  <c r="AI8" i="13"/>
  <c r="AJ6" i="13"/>
  <c r="AC54" i="11"/>
  <c r="AC747" i="4"/>
  <c r="AC530" i="4"/>
  <c r="AC62" i="4"/>
  <c r="AC528" i="4" s="1"/>
  <c r="AC543" i="4"/>
  <c r="AC35" i="4"/>
  <c r="AC192" i="4"/>
  <c r="AC36" i="4"/>
  <c r="AC223" i="4"/>
  <c r="AC198" i="4"/>
  <c r="AC19" i="4"/>
  <c r="AC20" i="4" s="1"/>
  <c r="AC17" i="4"/>
  <c r="AB44" i="4"/>
  <c r="AB51" i="4" s="1"/>
  <c r="Z641" i="4"/>
  <c r="Z644" i="4"/>
  <c r="Z660" i="4" s="1"/>
  <c r="Z645" i="4"/>
  <c r="Z640" i="4"/>
  <c r="AH1352" i="4"/>
  <c r="AH1446" i="4"/>
  <c r="AI1315" i="4"/>
  <c r="AB48" i="4"/>
  <c r="AC1186" i="4"/>
  <c r="AC295" i="4"/>
  <c r="AC303" i="4" s="1"/>
  <c r="AC57" i="4"/>
  <c r="AC9" i="11" s="1"/>
  <c r="AC28" i="66"/>
  <c r="AC27" i="66"/>
  <c r="AC1074" i="4"/>
  <c r="AC9" i="62"/>
  <c r="AC9" i="3"/>
  <c r="AC226" i="4"/>
  <c r="Z56" i="4"/>
  <c r="AA53" i="62"/>
  <c r="AC68" i="4"/>
  <c r="AB610" i="3"/>
  <c r="AB965" i="4"/>
  <c r="AC67" i="4"/>
  <c r="AB153" i="4"/>
  <c r="AC40" i="4"/>
  <c r="AC47" i="4" s="1"/>
  <c r="AA200" i="4"/>
  <c r="AC33" i="4"/>
  <c r="AC138" i="4"/>
  <c r="AC41" i="4"/>
  <c r="AC48" i="4" s="1"/>
  <c r="Z659" i="4"/>
  <c r="AC18" i="4"/>
  <c r="AB199" i="4"/>
  <c r="AB142" i="4"/>
  <c r="AC54" i="62"/>
  <c r="AC129" i="4"/>
  <c r="AB9" i="11"/>
  <c r="AB54" i="4"/>
  <c r="AB540" i="4"/>
  <c r="AB542" i="4" s="1"/>
  <c r="AB40" i="4"/>
  <c r="AB47" i="4" s="1"/>
  <c r="AC42" i="4"/>
  <c r="AC49" i="4" s="1"/>
  <c r="AB250" i="4"/>
  <c r="AC141" i="4"/>
  <c r="AA154" i="4"/>
  <c r="AA964" i="4"/>
  <c r="AA605" i="4"/>
  <c r="AC66" i="4"/>
  <c r="AD6" i="3"/>
  <c r="AD7" i="66"/>
  <c r="AD6" i="66" s="1"/>
  <c r="AD8" i="3"/>
  <c r="AD7" i="4"/>
  <c r="AD7" i="11"/>
  <c r="AD6" i="11" s="1"/>
  <c r="AD7" i="62"/>
  <c r="AD6" i="62" s="1"/>
  <c r="AD7" i="64"/>
  <c r="AD6" i="64" s="1"/>
  <c r="AD28" i="64" s="1"/>
  <c r="AD30" i="64" s="1"/>
  <c r="AD53" i="64" s="1"/>
  <c r="AD86" i="64"/>
  <c r="AD87" i="64" s="1"/>
  <c r="AA607" i="4"/>
  <c r="AA544" i="4"/>
  <c r="AA612" i="4" s="1"/>
  <c r="AB328" i="4"/>
  <c r="AN1062" i="4"/>
  <c r="AO1061" i="4"/>
  <c r="AC227" i="4" l="1"/>
  <c r="AC60" i="62"/>
  <c r="AC51" i="4"/>
  <c r="AC9" i="4"/>
  <c r="AC15" i="66"/>
  <c r="Z661" i="4"/>
  <c r="AG8" i="67"/>
  <c r="AH7" i="67" s="1"/>
  <c r="AG6" i="67"/>
  <c r="AH8" i="72"/>
  <c r="AI7" i="72" s="1"/>
  <c r="AH6" i="72"/>
  <c r="AD21" i="4"/>
  <c r="AC22" i="4"/>
  <c r="AD15" i="4"/>
  <c r="AD6" i="4"/>
  <c r="AB605" i="4"/>
  <c r="AB964" i="4"/>
  <c r="AD185" i="3"/>
  <c r="AD122" i="4" s="1"/>
  <c r="AD127" i="4" s="1"/>
  <c r="AD216" i="3"/>
  <c r="AD133" i="4" s="1"/>
  <c r="AD8" i="62"/>
  <c r="AD28" i="4"/>
  <c r="AD296" i="3"/>
  <c r="AD183" i="4" s="1"/>
  <c r="AD298" i="3"/>
  <c r="AD185" i="4" s="1"/>
  <c r="AD194" i="4" s="1"/>
  <c r="AD330" i="3"/>
  <c r="AD219" i="4" s="1"/>
  <c r="AD224" i="4" s="1"/>
  <c r="AD1106" i="4"/>
  <c r="AD297" i="3"/>
  <c r="AD184" i="4" s="1"/>
  <c r="AD193" i="4" s="1"/>
  <c r="AD218" i="3"/>
  <c r="AD135" i="4" s="1"/>
  <c r="AD140" i="4" s="1"/>
  <c r="AD8" i="11"/>
  <c r="AD355" i="3"/>
  <c r="AD241" i="4" s="1"/>
  <c r="AD184" i="3"/>
  <c r="AD121" i="4" s="1"/>
  <c r="AD8" i="64"/>
  <c r="AD331" i="3"/>
  <c r="AD220" i="4" s="1"/>
  <c r="AD225" i="4" s="1"/>
  <c r="AD356" i="3"/>
  <c r="AD242" i="4" s="1"/>
  <c r="AD247" i="4" s="1"/>
  <c r="AD240" i="3"/>
  <c r="AD145" i="4" s="1"/>
  <c r="AD16" i="4"/>
  <c r="AD301" i="3"/>
  <c r="AD188" i="4" s="1"/>
  <c r="AD197" i="4" s="1"/>
  <c r="AD186" i="3"/>
  <c r="AD123" i="4" s="1"/>
  <c r="AD128" i="4" s="1"/>
  <c r="AD217" i="3"/>
  <c r="AD134" i="4" s="1"/>
  <c r="AD139" i="4" s="1"/>
  <c r="AD329" i="3"/>
  <c r="AD218" i="4" s="1"/>
  <c r="AD242" i="3"/>
  <c r="AD147" i="4" s="1"/>
  <c r="AD152" i="4" s="1"/>
  <c r="AD1083" i="4"/>
  <c r="AD241" i="3"/>
  <c r="AD146" i="4" s="1"/>
  <c r="AD151" i="4" s="1"/>
  <c r="AD357" i="3"/>
  <c r="AD243" i="4" s="1"/>
  <c r="AD248" i="4" s="1"/>
  <c r="AD300" i="3"/>
  <c r="AD187" i="4" s="1"/>
  <c r="AD196" i="4" s="1"/>
  <c r="AD299" i="3"/>
  <c r="AD186" i="4" s="1"/>
  <c r="AD195" i="4" s="1"/>
  <c r="AD8" i="66"/>
  <c r="AD8" i="4"/>
  <c r="AD29" i="4"/>
  <c r="AD30" i="4"/>
  <c r="AD68" i="4" s="1"/>
  <c r="AD1079" i="4"/>
  <c r="AD1081" i="4"/>
  <c r="AD1082" i="4" s="1"/>
  <c r="AD1107" i="4"/>
  <c r="AB544" i="4"/>
  <c r="AB612" i="4" s="1"/>
  <c r="AB607" i="4"/>
  <c r="AC199" i="4"/>
  <c r="AC540" i="4"/>
  <c r="AC542" i="4" s="1"/>
  <c r="AA641" i="4"/>
  <c r="AA659" i="4" s="1"/>
  <c r="AA645" i="4"/>
  <c r="AA644" i="4"/>
  <c r="AA660" i="4" s="1"/>
  <c r="AA640" i="4"/>
  <c r="AC43" i="4"/>
  <c r="AC50" i="4" s="1"/>
  <c r="AC636" i="4" s="1"/>
  <c r="AD1370" i="4"/>
  <c r="AI1352" i="4"/>
  <c r="AI1446" i="4"/>
  <c r="AJ1315" i="4"/>
  <c r="AF59" i="3"/>
  <c r="AF60" i="3"/>
  <c r="AF58" i="3"/>
  <c r="AF56" i="3"/>
  <c r="AC335" i="4"/>
  <c r="AC959" i="4" s="1"/>
  <c r="AC287" i="4"/>
  <c r="AC324" i="4" s="1"/>
  <c r="AA56" i="4"/>
  <c r="AB53" i="62"/>
  <c r="AC142" i="4"/>
  <c r="AH1447" i="4"/>
  <c r="AC24" i="4"/>
  <c r="AJ7" i="13"/>
  <c r="AJ8" i="13"/>
  <c r="AK6" i="13"/>
  <c r="AC250" i="4"/>
  <c r="AC46" i="4"/>
  <c r="AC153" i="4"/>
  <c r="AD66" i="4"/>
  <c r="AB55" i="4"/>
  <c r="AC9" i="64"/>
  <c r="AC54" i="4"/>
  <c r="AC55" i="4" s="1"/>
  <c r="AB654" i="4"/>
  <c r="AB655" i="4"/>
  <c r="AB637" i="4"/>
  <c r="AA617" i="4"/>
  <c r="AB200" i="4"/>
  <c r="AB154" i="4"/>
  <c r="AD1332" i="4"/>
  <c r="AC130" i="4"/>
  <c r="AD314" i="4"/>
  <c r="AB65" i="4"/>
  <c r="AC65" i="4" s="1"/>
  <c r="AC610" i="3"/>
  <c r="AC965" i="4"/>
  <c r="AC9" i="66"/>
  <c r="AC34" i="66"/>
  <c r="AE7" i="3"/>
  <c r="Z662" i="4"/>
  <c r="AP1061" i="4"/>
  <c r="AO1062" i="4"/>
  <c r="AD529" i="4" l="1"/>
  <c r="AD67" i="4"/>
  <c r="AI6" i="72"/>
  <c r="AI8" i="72"/>
  <c r="AJ7" i="72" s="1"/>
  <c r="AH8" i="67"/>
  <c r="AI7" i="67" s="1"/>
  <c r="AH6" i="67"/>
  <c r="AD610" i="3"/>
  <c r="AD965" i="4"/>
  <c r="AB640" i="4"/>
  <c r="AB645" i="4"/>
  <c r="AB641" i="4"/>
  <c r="AB644" i="4"/>
  <c r="AD129" i="4"/>
  <c r="AD37" i="4"/>
  <c r="AD44" i="4" s="1"/>
  <c r="AD51" i="4" s="1"/>
  <c r="AD246" i="4"/>
  <c r="AC53" i="4"/>
  <c r="AD1052" i="4"/>
  <c r="AD58" i="4"/>
  <c r="AC964" i="4"/>
  <c r="AC605" i="4"/>
  <c r="AB660" i="4"/>
  <c r="AC544" i="4"/>
  <c r="AC612" i="4" s="1"/>
  <c r="AC607" i="4"/>
  <c r="AD54" i="62"/>
  <c r="AE6" i="3"/>
  <c r="AE7" i="64"/>
  <c r="AE6" i="64" s="1"/>
  <c r="AE28" i="64" s="1"/>
  <c r="AE30" i="64" s="1"/>
  <c r="AE53" i="64" s="1"/>
  <c r="AE7" i="11"/>
  <c r="AE6" i="11" s="1"/>
  <c r="AE7" i="4"/>
  <c r="AE8" i="3"/>
  <c r="AE1370" i="4" s="1"/>
  <c r="AE7" i="62"/>
  <c r="AE6" i="62" s="1"/>
  <c r="AE7" i="66"/>
  <c r="AE6" i="66" s="1"/>
  <c r="AE86" i="64"/>
  <c r="AE87" i="64" s="1"/>
  <c r="AB659" i="4"/>
  <c r="AC154" i="4"/>
  <c r="AK7" i="13"/>
  <c r="AK8" i="13"/>
  <c r="AD1080" i="4"/>
  <c r="AD1063" i="4"/>
  <c r="AD1066" i="4"/>
  <c r="AD1075" i="4" s="1"/>
  <c r="AD249" i="4"/>
  <c r="AD141" i="4"/>
  <c r="AD33" i="4"/>
  <c r="AD138" i="4"/>
  <c r="AA661" i="4"/>
  <c r="AJ1446" i="4"/>
  <c r="AK1315" i="4"/>
  <c r="AJ1352" i="4"/>
  <c r="AC200" i="4"/>
  <c r="AD62" i="4"/>
  <c r="AD528" i="4" s="1"/>
  <c r="AD543" i="4"/>
  <c r="AD54" i="11"/>
  <c r="AD747" i="4"/>
  <c r="AD530" i="4"/>
  <c r="AD70" i="4"/>
  <c r="AC63" i="4"/>
  <c r="AC1312" i="4" s="1"/>
  <c r="AD34" i="4"/>
  <c r="AD41" i="4" s="1"/>
  <c r="AD48" i="4" s="1"/>
  <c r="AD150" i="4"/>
  <c r="AD1166" i="4"/>
  <c r="AD1165" i="4"/>
  <c r="AD273" i="4"/>
  <c r="AD275" i="4"/>
  <c r="AD288" i="4" s="1"/>
  <c r="AD329" i="4" s="1"/>
  <c r="AD414" i="4" s="1"/>
  <c r="AD415" i="4" s="1"/>
  <c r="AE413" i="4" s="1"/>
  <c r="AD274" i="4"/>
  <c r="AB56" i="4"/>
  <c r="AC53" i="62"/>
  <c r="AC655" i="4"/>
  <c r="AC654" i="4"/>
  <c r="AC637" i="4"/>
  <c r="AD1074" i="4"/>
  <c r="AD295" i="4"/>
  <c r="AD303" i="4" s="1"/>
  <c r="AD57" i="4"/>
  <c r="AD28" i="66"/>
  <c r="AD1186" i="4"/>
  <c r="AD27" i="66"/>
  <c r="AD9" i="3"/>
  <c r="AD9" i="62"/>
  <c r="AD9" i="64"/>
  <c r="AD9" i="11"/>
  <c r="AD9" i="66"/>
  <c r="AD60" i="4"/>
  <c r="AC61" i="4"/>
  <c r="AC318" i="4" s="1"/>
  <c r="AC328" i="4" s="1"/>
  <c r="AD18" i="4"/>
  <c r="AG56" i="3"/>
  <c r="AG60" i="3"/>
  <c r="AG58" i="3"/>
  <c r="AG59" i="3"/>
  <c r="AI1447" i="4"/>
  <c r="AB617" i="4"/>
  <c r="AD226" i="4"/>
  <c r="AD17" i="4"/>
  <c r="AD19" i="4"/>
  <c r="AD20" i="4" s="1"/>
  <c r="AD36" i="4"/>
  <c r="AD223" i="4"/>
  <c r="AD198" i="4"/>
  <c r="AD32" i="4"/>
  <c r="AD126" i="4"/>
  <c r="AD35" i="4"/>
  <c r="AD192" i="4"/>
  <c r="AP1062" i="4"/>
  <c r="AQ1061" i="4"/>
  <c r="AD227" i="4" l="1"/>
  <c r="AI6" i="67"/>
  <c r="AI8" i="67"/>
  <c r="AJ7" i="67" s="1"/>
  <c r="AJ8" i="72"/>
  <c r="AK7" i="72" s="1"/>
  <c r="AJ6" i="72"/>
  <c r="AD335" i="4"/>
  <c r="AD959" i="4" s="1"/>
  <c r="AD287" i="4"/>
  <c r="AD324" i="4" s="1"/>
  <c r="AB661" i="4"/>
  <c r="AD199" i="4"/>
  <c r="AC644" i="4"/>
  <c r="AC645" i="4"/>
  <c r="AC660" i="4" s="1"/>
  <c r="AC640" i="4"/>
  <c r="AC659" i="4" s="1"/>
  <c r="AC641" i="4"/>
  <c r="AD605" i="4"/>
  <c r="AD964" i="4"/>
  <c r="AD42" i="4"/>
  <c r="AD49" i="4" s="1"/>
  <c r="AD34" i="66"/>
  <c r="AD153" i="4"/>
  <c r="AD540" i="4"/>
  <c r="AD542" i="4" s="1"/>
  <c r="AD130" i="4"/>
  <c r="AD15" i="66"/>
  <c r="AK1446" i="4"/>
  <c r="AK1352" i="4"/>
  <c r="AL1315" i="4"/>
  <c r="AD142" i="4"/>
  <c r="AH60" i="3"/>
  <c r="AH59" i="3"/>
  <c r="AH56" i="3"/>
  <c r="AH58" i="3"/>
  <c r="AD39" i="4"/>
  <c r="AD46" i="4" s="1"/>
  <c r="AD43" i="4"/>
  <c r="AD50" i="4" s="1"/>
  <c r="AD636" i="4" s="1"/>
  <c r="AD40" i="4"/>
  <c r="AD47" i="4" s="1"/>
  <c r="AE186" i="3"/>
  <c r="AE123" i="4" s="1"/>
  <c r="AE128" i="4" s="1"/>
  <c r="AE329" i="3"/>
  <c r="AE218" i="4" s="1"/>
  <c r="AE185" i="3"/>
  <c r="AE122" i="4" s="1"/>
  <c r="AE127" i="4" s="1"/>
  <c r="AE216" i="3"/>
  <c r="AE133" i="4" s="1"/>
  <c r="AE301" i="3"/>
  <c r="AE188" i="4" s="1"/>
  <c r="AE197" i="4" s="1"/>
  <c r="AE330" i="3"/>
  <c r="AE219" i="4" s="1"/>
  <c r="AE224" i="4" s="1"/>
  <c r="AE8" i="64"/>
  <c r="AE1106" i="4"/>
  <c r="AE8" i="4"/>
  <c r="AE8" i="62"/>
  <c r="AE184" i="3"/>
  <c r="AE121" i="4" s="1"/>
  <c r="AE240" i="3"/>
  <c r="AE145" i="4" s="1"/>
  <c r="AE296" i="3"/>
  <c r="AE183" i="4" s="1"/>
  <c r="AE16" i="4"/>
  <c r="AE1083" i="4"/>
  <c r="AE8" i="11"/>
  <c r="AE1332" i="4"/>
  <c r="AE300" i="3"/>
  <c r="AE187" i="4" s="1"/>
  <c r="AE196" i="4" s="1"/>
  <c r="AE297" i="3"/>
  <c r="AE184" i="4" s="1"/>
  <c r="AE193" i="4" s="1"/>
  <c r="AE218" i="3"/>
  <c r="AE135" i="4" s="1"/>
  <c r="AE140" i="4" s="1"/>
  <c r="AE331" i="3"/>
  <c r="AE220" i="4" s="1"/>
  <c r="AE225" i="4" s="1"/>
  <c r="AE241" i="3"/>
  <c r="AE146" i="4" s="1"/>
  <c r="AE151" i="4" s="1"/>
  <c r="AE298" i="3"/>
  <c r="AE185" i="4" s="1"/>
  <c r="AE194" i="4" s="1"/>
  <c r="AE28" i="4"/>
  <c r="AE357" i="3"/>
  <c r="AE243" i="4" s="1"/>
  <c r="AE248" i="4" s="1"/>
  <c r="AE8" i="66"/>
  <c r="AE242" i="3"/>
  <c r="AE147" i="4" s="1"/>
  <c r="AE152" i="4" s="1"/>
  <c r="AE356" i="3"/>
  <c r="AE242" i="4" s="1"/>
  <c r="AE247" i="4" s="1"/>
  <c r="AE217" i="3"/>
  <c r="AE134" i="4" s="1"/>
  <c r="AE139" i="4" s="1"/>
  <c r="AE355" i="3"/>
  <c r="AE241" i="4" s="1"/>
  <c r="AE299" i="3"/>
  <c r="AE186" i="4" s="1"/>
  <c r="AE195" i="4" s="1"/>
  <c r="AE29" i="4"/>
  <c r="AE30" i="4"/>
  <c r="AE1079" i="4"/>
  <c r="AE1081" i="4"/>
  <c r="AE1082" i="4" s="1"/>
  <c r="AE1107" i="4"/>
  <c r="AD22" i="4"/>
  <c r="AE21" i="4"/>
  <c r="AD24" i="4"/>
  <c r="AD9" i="4"/>
  <c r="AD54" i="4"/>
  <c r="AD60" i="62"/>
  <c r="AJ1447" i="4"/>
  <c r="AE314" i="4"/>
  <c r="AE15" i="4"/>
  <c r="AE6" i="4"/>
  <c r="AA662" i="4"/>
  <c r="AF7" i="3"/>
  <c r="AC617" i="4"/>
  <c r="AD250" i="4"/>
  <c r="AQ1062" i="4"/>
  <c r="AR1061" i="4"/>
  <c r="AK8" i="72" l="1"/>
  <c r="AK6" i="72"/>
  <c r="AL7" i="72"/>
  <c r="AJ6" i="67"/>
  <c r="AJ8" i="67"/>
  <c r="AK7" i="67" s="1"/>
  <c r="AC661" i="4"/>
  <c r="AE198" i="4"/>
  <c r="AE273" i="4"/>
  <c r="AE275" i="4"/>
  <c r="AE288" i="4" s="1"/>
  <c r="AE1166" i="4"/>
  <c r="AE1165" i="4"/>
  <c r="AE15" i="66" s="1"/>
  <c r="AE274" i="4"/>
  <c r="AE329" i="4"/>
  <c r="AE414" i="4" s="1"/>
  <c r="AE415" i="4" s="1"/>
  <c r="AF413" i="4" s="1"/>
  <c r="AE37" i="4"/>
  <c r="AE246" i="4"/>
  <c r="AK1447" i="4"/>
  <c r="AD544" i="4"/>
  <c r="AD612" i="4" s="1"/>
  <c r="AD607" i="4"/>
  <c r="AE226" i="4"/>
  <c r="AE35" i="4"/>
  <c r="AE42" i="4" s="1"/>
  <c r="AE49" i="4" s="1"/>
  <c r="AE192" i="4"/>
  <c r="AD200" i="4"/>
  <c r="AE141" i="4"/>
  <c r="AE34" i="4"/>
  <c r="AE150" i="4"/>
  <c r="AE33" i="4"/>
  <c r="AE138" i="4"/>
  <c r="AD654" i="4"/>
  <c r="AD655" i="4"/>
  <c r="AD637" i="4"/>
  <c r="AD154" i="4"/>
  <c r="AE18" i="4"/>
  <c r="AE1080" i="4"/>
  <c r="AE1063" i="4"/>
  <c r="AE1066" i="4"/>
  <c r="AE1075" i="4" s="1"/>
  <c r="AE32" i="4"/>
  <c r="AE126" i="4"/>
  <c r="AB662" i="4"/>
  <c r="AC56" i="4"/>
  <c r="AD55" i="4"/>
  <c r="AD53" i="62"/>
  <c r="AD65" i="4"/>
  <c r="AE747" i="4"/>
  <c r="AE54" i="11"/>
  <c r="AE543" i="4"/>
  <c r="AE62" i="4"/>
  <c r="AE528" i="4" s="1"/>
  <c r="AE530" i="4"/>
  <c r="AE68" i="4"/>
  <c r="AD63" i="4"/>
  <c r="AD1312" i="4" s="1"/>
  <c r="AE70" i="4"/>
  <c r="AE67" i="4"/>
  <c r="AE54" i="62"/>
  <c r="AE36" i="4"/>
  <c r="AE223" i="4"/>
  <c r="AE1186" i="4"/>
  <c r="AE295" i="4"/>
  <c r="AE303" i="4" s="1"/>
  <c r="AE27" i="66"/>
  <c r="AE57" i="4"/>
  <c r="AE9" i="4" s="1"/>
  <c r="AE1074" i="4"/>
  <c r="AE28" i="66"/>
  <c r="AE60" i="4"/>
  <c r="AE66" i="4"/>
  <c r="AD61" i="4"/>
  <c r="AD318" i="4" s="1"/>
  <c r="AD328" i="4" s="1"/>
  <c r="AE249" i="4"/>
  <c r="AE17" i="4"/>
  <c r="AE19" i="4"/>
  <c r="AE20" i="4" s="1"/>
  <c r="AE129" i="4"/>
  <c r="AL1446" i="4"/>
  <c r="AL1352" i="4"/>
  <c r="AM1315" i="4"/>
  <c r="AF7" i="62"/>
  <c r="AF6" i="62" s="1"/>
  <c r="AF6" i="3"/>
  <c r="AF7" i="66"/>
  <c r="AF6" i="66" s="1"/>
  <c r="AF8" i="3"/>
  <c r="AF7" i="11"/>
  <c r="AF6" i="11" s="1"/>
  <c r="AF7" i="64"/>
  <c r="AF6" i="64" s="1"/>
  <c r="AF28" i="64" s="1"/>
  <c r="AF30" i="64" s="1"/>
  <c r="AF53" i="64" s="1"/>
  <c r="AF7" i="4"/>
  <c r="AF86" i="64"/>
  <c r="AF87" i="64" s="1"/>
  <c r="AE529" i="4"/>
  <c r="AD53" i="4"/>
  <c r="AE58" i="4"/>
  <c r="AE1052" i="4"/>
  <c r="AI59" i="3"/>
  <c r="AI56" i="3"/>
  <c r="AI60" i="3"/>
  <c r="AI58" i="3"/>
  <c r="AR1062" i="4"/>
  <c r="AS1061" i="4"/>
  <c r="AE9" i="3" l="1"/>
  <c r="AK6" i="67"/>
  <c r="AK8" i="67"/>
  <c r="AL7" i="67"/>
  <c r="AE41" i="4"/>
  <c r="AE48" i="4" s="1"/>
  <c r="AC662" i="4"/>
  <c r="AF314" i="4"/>
  <c r="AM1352" i="4"/>
  <c r="AN1315" i="4"/>
  <c r="AM1446" i="4"/>
  <c r="AE610" i="3"/>
  <c r="AE965" i="4"/>
  <c r="AE540" i="4"/>
  <c r="AE542" i="4" s="1"/>
  <c r="AE335" i="4"/>
  <c r="AE959" i="4" s="1"/>
  <c r="AE287" i="4"/>
  <c r="AE324" i="4" s="1"/>
  <c r="AF15" i="4"/>
  <c r="AF6" i="4"/>
  <c r="AE22" i="4"/>
  <c r="AF21" i="4"/>
  <c r="AE9" i="11"/>
  <c r="AE54" i="4"/>
  <c r="AE60" i="62"/>
  <c r="AD641" i="4"/>
  <c r="AD659" i="4" s="1"/>
  <c r="AD640" i="4"/>
  <c r="AD644" i="4"/>
  <c r="AD645" i="4"/>
  <c r="AE199" i="4"/>
  <c r="AG7" i="3"/>
  <c r="AL1447" i="4"/>
  <c r="AE9" i="64"/>
  <c r="AD660" i="4"/>
  <c r="AJ59" i="3"/>
  <c r="AJ56" i="3"/>
  <c r="AJ58" i="3"/>
  <c r="AJ60" i="3"/>
  <c r="AF1332" i="4"/>
  <c r="AE9" i="62"/>
  <c r="AE227" i="4"/>
  <c r="AL6" i="72"/>
  <c r="AL8" i="72"/>
  <c r="AM7" i="72"/>
  <c r="AE9" i="66"/>
  <c r="AE43" i="4"/>
  <c r="AE50" i="4" s="1"/>
  <c r="AE636" i="4" s="1"/>
  <c r="AE130" i="4"/>
  <c r="AE24" i="4"/>
  <c r="AE142" i="4"/>
  <c r="AD617" i="4"/>
  <c r="AE34" i="66"/>
  <c r="AF16" i="4"/>
  <c r="AF356" i="3"/>
  <c r="AF242" i="4" s="1"/>
  <c r="AF247" i="4" s="1"/>
  <c r="AF355" i="3"/>
  <c r="AF241" i="4" s="1"/>
  <c r="AF329" i="3"/>
  <c r="AF218" i="4" s="1"/>
  <c r="AF330" i="3"/>
  <c r="AF219" i="4" s="1"/>
  <c r="AF224" i="4" s="1"/>
  <c r="AF218" i="3"/>
  <c r="AF135" i="4" s="1"/>
  <c r="AF140" i="4" s="1"/>
  <c r="AF298" i="3"/>
  <c r="AF185" i="4" s="1"/>
  <c r="AF194" i="4" s="1"/>
  <c r="AF28" i="4"/>
  <c r="AF8" i="4"/>
  <c r="AF301" i="3"/>
  <c r="AF188" i="4" s="1"/>
  <c r="AF197" i="4" s="1"/>
  <c r="AF296" i="3"/>
  <c r="AF183" i="4" s="1"/>
  <c r="AF184" i="3"/>
  <c r="AF121" i="4" s="1"/>
  <c r="AF357" i="3"/>
  <c r="AF243" i="4" s="1"/>
  <c r="AF248" i="4" s="1"/>
  <c r="AF217" i="3"/>
  <c r="AF134" i="4" s="1"/>
  <c r="AF139" i="4" s="1"/>
  <c r="AF8" i="66"/>
  <c r="AF8" i="62"/>
  <c r="AF1106" i="4"/>
  <c r="AF240" i="3"/>
  <c r="AF145" i="4" s="1"/>
  <c r="AF297" i="3"/>
  <c r="AF184" i="4" s="1"/>
  <c r="AF193" i="4" s="1"/>
  <c r="AF242" i="3"/>
  <c r="AF147" i="4" s="1"/>
  <c r="AF152" i="4" s="1"/>
  <c r="AF216" i="3"/>
  <c r="AF133" i="4" s="1"/>
  <c r="AF1083" i="4"/>
  <c r="AF299" i="3"/>
  <c r="AF186" i="4" s="1"/>
  <c r="AF195" i="4" s="1"/>
  <c r="AF8" i="11"/>
  <c r="AF185" i="3"/>
  <c r="AF122" i="4" s="1"/>
  <c r="AF127" i="4" s="1"/>
  <c r="AF8" i="64"/>
  <c r="AF186" i="3"/>
  <c r="AF123" i="4" s="1"/>
  <c r="AF128" i="4" s="1"/>
  <c r="AF300" i="3"/>
  <c r="AF187" i="4" s="1"/>
  <c r="AF196" i="4" s="1"/>
  <c r="AF331" i="3"/>
  <c r="AF220" i="4" s="1"/>
  <c r="AF225" i="4" s="1"/>
  <c r="AF241" i="3"/>
  <c r="AF146" i="4" s="1"/>
  <c r="AF151" i="4" s="1"/>
  <c r="AF529" i="4"/>
  <c r="AF29" i="4"/>
  <c r="AF30" i="4"/>
  <c r="AF1079" i="4"/>
  <c r="AF1081" i="4"/>
  <c r="AF1082" i="4" s="1"/>
  <c r="AF1107" i="4"/>
  <c r="AF1370" i="4"/>
  <c r="AE65" i="4"/>
  <c r="AE39" i="4"/>
  <c r="AE46" i="4" s="1"/>
  <c r="AE40" i="4"/>
  <c r="AE47" i="4" s="1"/>
  <c r="AE250" i="4"/>
  <c r="AE153" i="4"/>
  <c r="AE44" i="4"/>
  <c r="AE51" i="4" s="1"/>
  <c r="AS1062" i="4"/>
  <c r="AT1061" i="4"/>
  <c r="AF530" i="4" l="1"/>
  <c r="AF747" i="4"/>
  <c r="AF62" i="4"/>
  <c r="AF528" i="4" s="1"/>
  <c r="AF543" i="4"/>
  <c r="AF54" i="11"/>
  <c r="AF70" i="4"/>
  <c r="AE63" i="4"/>
  <c r="AE1312" i="4" s="1"/>
  <c r="AF17" i="4"/>
  <c r="AF19" i="4"/>
  <c r="AF20" i="4" s="1"/>
  <c r="AG7" i="11"/>
  <c r="AG6" i="11" s="1"/>
  <c r="AG7" i="66"/>
  <c r="AG6" i="66" s="1"/>
  <c r="AG7" i="4"/>
  <c r="AG6" i="3"/>
  <c r="AG7" i="62"/>
  <c r="AG6" i="62" s="1"/>
  <c r="AH7" i="3"/>
  <c r="AG7" i="64"/>
  <c r="AG6" i="64" s="1"/>
  <c r="AG28" i="64" s="1"/>
  <c r="AG30" i="64" s="1"/>
  <c r="AG53" i="64" s="1"/>
  <c r="AG8" i="3"/>
  <c r="AG314" i="4" s="1"/>
  <c r="AG86" i="64"/>
  <c r="AG87" i="64" s="1"/>
  <c r="AE200" i="4"/>
  <c r="AM1447" i="4"/>
  <c r="AG1370" i="4"/>
  <c r="AF1186" i="4"/>
  <c r="AF295" i="4"/>
  <c r="AF303" i="4" s="1"/>
  <c r="AF27" i="66"/>
  <c r="AF1074" i="4"/>
  <c r="AF57" i="4"/>
  <c r="AF9" i="62" s="1"/>
  <c r="AF28" i="66"/>
  <c r="AF9" i="11"/>
  <c r="AF60" i="4"/>
  <c r="AE61" i="4"/>
  <c r="AE318" i="4" s="1"/>
  <c r="AE328" i="4" s="1"/>
  <c r="AF54" i="62"/>
  <c r="AE53" i="4"/>
  <c r="AF58" i="4"/>
  <c r="AF1052" i="4"/>
  <c r="AO1315" i="4"/>
  <c r="AN1446" i="4"/>
  <c r="AN1352" i="4"/>
  <c r="AF198" i="4"/>
  <c r="AE654" i="4"/>
  <c r="AE655" i="4"/>
  <c r="AE637" i="4"/>
  <c r="AE544" i="4"/>
  <c r="AE612" i="4" s="1"/>
  <c r="AE607" i="4"/>
  <c r="AF66" i="4"/>
  <c r="AE154" i="4"/>
  <c r="AF141" i="4"/>
  <c r="AF68" i="4"/>
  <c r="AF226" i="4"/>
  <c r="AF33" i="4"/>
  <c r="AF138" i="4"/>
  <c r="AF249" i="4"/>
  <c r="AL8" i="67"/>
  <c r="AL6" i="67"/>
  <c r="AM7" i="67"/>
  <c r="AF32" i="4"/>
  <c r="AF39" i="4" s="1"/>
  <c r="AF46" i="4" s="1"/>
  <c r="AF126" i="4"/>
  <c r="AF36" i="4"/>
  <c r="AF223" i="4"/>
  <c r="AD661" i="4"/>
  <c r="AF67" i="4"/>
  <c r="AF1166" i="4"/>
  <c r="AF274" i="4"/>
  <c r="AF273" i="4"/>
  <c r="AF1165" i="4"/>
  <c r="AF15" i="66" s="1"/>
  <c r="AF275" i="4"/>
  <c r="AF288" i="4" s="1"/>
  <c r="AF329" i="4"/>
  <c r="AF414" i="4" s="1"/>
  <c r="AF415" i="4" s="1"/>
  <c r="AG413" i="4" s="1"/>
  <c r="AF129" i="4"/>
  <c r="AF35" i="4"/>
  <c r="AF192" i="4"/>
  <c r="AF37" i="4"/>
  <c r="AF246" i="4"/>
  <c r="AE605" i="4"/>
  <c r="AE964" i="4"/>
  <c r="AK60" i="3"/>
  <c r="AK59" i="3"/>
  <c r="AK56" i="3"/>
  <c r="AK58" i="3"/>
  <c r="AK95" i="67"/>
  <c r="AF1080" i="4"/>
  <c r="AF1063" i="4"/>
  <c r="AF1066" i="4"/>
  <c r="AF1075" i="4" s="1"/>
  <c r="AF34" i="4"/>
  <c r="AF150" i="4"/>
  <c r="AM6" i="72"/>
  <c r="AM8" i="72"/>
  <c r="AN7" i="72"/>
  <c r="AD56" i="4"/>
  <c r="AE53" i="62"/>
  <c r="AE55" i="4"/>
  <c r="AF18" i="4"/>
  <c r="AT1062" i="4"/>
  <c r="AU1061" i="4"/>
  <c r="AF227" i="4" l="1"/>
  <c r="AF9" i="3"/>
  <c r="AF34" i="66"/>
  <c r="AF9" i="4"/>
  <c r="AG1166" i="4"/>
  <c r="AG1165" i="4"/>
  <c r="AG15" i="66" s="1"/>
  <c r="AG274" i="4"/>
  <c r="AG275" i="4"/>
  <c r="AG288" i="4" s="1"/>
  <c r="AG329" i="4" s="1"/>
  <c r="AG414" i="4" s="1"/>
  <c r="AG415" i="4" s="1"/>
  <c r="AH413" i="4" s="1"/>
  <c r="AG273" i="4"/>
  <c r="AN6" i="72"/>
  <c r="AN8" i="72"/>
  <c r="AO7" i="72"/>
  <c r="AF43" i="4"/>
  <c r="AF50" i="4" s="1"/>
  <c r="AF636" i="4" s="1"/>
  <c r="AN1447" i="4"/>
  <c r="AH7" i="4"/>
  <c r="AH7" i="11"/>
  <c r="AH6" i="11" s="1"/>
  <c r="AH7" i="66"/>
  <c r="AH6" i="66" s="1"/>
  <c r="AH7" i="62"/>
  <c r="AH6" i="62" s="1"/>
  <c r="AH86" i="64"/>
  <c r="AH87" i="64" s="1"/>
  <c r="AH8" i="3"/>
  <c r="AH6" i="3"/>
  <c r="AH314" i="4"/>
  <c r="AH7" i="64"/>
  <c r="AH6" i="64" s="1"/>
  <c r="AH28" i="64" s="1"/>
  <c r="AH30" i="64" s="1"/>
  <c r="AH53" i="64" s="1"/>
  <c r="AF130" i="4"/>
  <c r="AP1315" i="4"/>
  <c r="AO1446" i="4"/>
  <c r="AO1352" i="4"/>
  <c r="AG21" i="4"/>
  <c r="AF22" i="4"/>
  <c r="AF250" i="4"/>
  <c r="AF335" i="4"/>
  <c r="AF959" i="4" s="1"/>
  <c r="AF287" i="4"/>
  <c r="AF324" i="4" s="1"/>
  <c r="AM8" i="67"/>
  <c r="AM6" i="67"/>
  <c r="AN7" i="67"/>
  <c r="AF9" i="64"/>
  <c r="AF24" i="4"/>
  <c r="AF44" i="4"/>
  <c r="AF51" i="4" s="1"/>
  <c r="AL59" i="3"/>
  <c r="AL60" i="3"/>
  <c r="AL95" i="67"/>
  <c r="AL56" i="3"/>
  <c r="AF142" i="4"/>
  <c r="AG15" i="4"/>
  <c r="AG6" i="4"/>
  <c r="AF199" i="4"/>
  <c r="AF965" i="4"/>
  <c r="AF610" i="3"/>
  <c r="AF40" i="4"/>
  <c r="AF47" i="4" s="1"/>
  <c r="AE617" i="4"/>
  <c r="AF42" i="4"/>
  <c r="AF49" i="4" s="1"/>
  <c r="AF153" i="4"/>
  <c r="AD662" i="4"/>
  <c r="AE640" i="4"/>
  <c r="AE659" i="4" s="1"/>
  <c r="AE644" i="4"/>
  <c r="AE641" i="4"/>
  <c r="AE645" i="4"/>
  <c r="AG186" i="3"/>
  <c r="AG123" i="4" s="1"/>
  <c r="AG128" i="4" s="1"/>
  <c r="AG28" i="4"/>
  <c r="AG356" i="3"/>
  <c r="AG242" i="4" s="1"/>
  <c r="AG247" i="4" s="1"/>
  <c r="AG184" i="3"/>
  <c r="AG121" i="4" s="1"/>
  <c r="AG355" i="3"/>
  <c r="AG241" i="4" s="1"/>
  <c r="AG217" i="3"/>
  <c r="AG134" i="4" s="1"/>
  <c r="AG139" i="4" s="1"/>
  <c r="AG8" i="66"/>
  <c r="AG299" i="3"/>
  <c r="AG186" i="4" s="1"/>
  <c r="AG195" i="4" s="1"/>
  <c r="AG8" i="64"/>
  <c r="AG301" i="3"/>
  <c r="AG188" i="4" s="1"/>
  <c r="AG197" i="4" s="1"/>
  <c r="AG185" i="3"/>
  <c r="AG122" i="4" s="1"/>
  <c r="AG127" i="4" s="1"/>
  <c r="AG330" i="3"/>
  <c r="AG219" i="4" s="1"/>
  <c r="AG224" i="4" s="1"/>
  <c r="AG216" i="3"/>
  <c r="AG133" i="4" s="1"/>
  <c r="AG1106" i="4"/>
  <c r="AG8" i="62"/>
  <c r="AG16" i="4"/>
  <c r="AG357" i="3"/>
  <c r="AG243" i="4" s="1"/>
  <c r="AG248" i="4" s="1"/>
  <c r="AG1083" i="4"/>
  <c r="AG8" i="11"/>
  <c r="AG298" i="3"/>
  <c r="AG185" i="4" s="1"/>
  <c r="AG194" i="4" s="1"/>
  <c r="AG240" i="3"/>
  <c r="AG145" i="4" s="1"/>
  <c r="AG242" i="3"/>
  <c r="AG147" i="4" s="1"/>
  <c r="AG152" i="4" s="1"/>
  <c r="AG218" i="3"/>
  <c r="AG135" i="4" s="1"/>
  <c r="AG140" i="4" s="1"/>
  <c r="AG8" i="4"/>
  <c r="AG297" i="3"/>
  <c r="AG184" i="4" s="1"/>
  <c r="AG193" i="4" s="1"/>
  <c r="AG300" i="3"/>
  <c r="AG187" i="4" s="1"/>
  <c r="AG196" i="4" s="1"/>
  <c r="AG331" i="3"/>
  <c r="AG220" i="4" s="1"/>
  <c r="AG225" i="4" s="1"/>
  <c r="AG329" i="3"/>
  <c r="AG218" i="4" s="1"/>
  <c r="AG296" i="3"/>
  <c r="AG183" i="4" s="1"/>
  <c r="AG241" i="3"/>
  <c r="AG146" i="4" s="1"/>
  <c r="AG151" i="4" s="1"/>
  <c r="AG29" i="4"/>
  <c r="AG30" i="4"/>
  <c r="AG67" i="4" s="1"/>
  <c r="AG1079" i="4"/>
  <c r="AG1107" i="4"/>
  <c r="AG1081" i="4"/>
  <c r="AG1082" i="4" s="1"/>
  <c r="AF540" i="4"/>
  <c r="AF542" i="4" s="1"/>
  <c r="AF41" i="4"/>
  <c r="AF48" i="4" s="1"/>
  <c r="AE660" i="4"/>
  <c r="AF9" i="66"/>
  <c r="AF54" i="4"/>
  <c r="AF60" i="62"/>
  <c r="AG1332" i="4"/>
  <c r="AH1332" i="4" s="1"/>
  <c r="AU1062" i="4"/>
  <c r="AV1061" i="4"/>
  <c r="AG34" i="66" l="1"/>
  <c r="AG965" i="4"/>
  <c r="AG610" i="3"/>
  <c r="AE661" i="4"/>
  <c r="AE662" i="4"/>
  <c r="AG35" i="4"/>
  <c r="AG192" i="4"/>
  <c r="AG34" i="4"/>
  <c r="AG150" i="4"/>
  <c r="AG33" i="4"/>
  <c r="AG40" i="4" s="1"/>
  <c r="AG138" i="4"/>
  <c r="AG37" i="4"/>
  <c r="AG246" i="4"/>
  <c r="AF154" i="4"/>
  <c r="AM95" i="67"/>
  <c r="AM56" i="3"/>
  <c r="AM58" i="3"/>
  <c r="AM59" i="3"/>
  <c r="AM60" i="3"/>
  <c r="AO1447" i="4"/>
  <c r="AH274" i="4"/>
  <c r="AH1166" i="4"/>
  <c r="AH275" i="4"/>
  <c r="AH288" i="4" s="1"/>
  <c r="AH329" i="4" s="1"/>
  <c r="AH414" i="4" s="1"/>
  <c r="AH415" i="4" s="1"/>
  <c r="AI413" i="4" s="1"/>
  <c r="AH273" i="4"/>
  <c r="AH1165" i="4"/>
  <c r="AH15" i="66" s="1"/>
  <c r="AH15" i="4"/>
  <c r="AH6" i="4"/>
  <c r="AG36" i="4"/>
  <c r="AG223" i="4"/>
  <c r="AG198" i="4"/>
  <c r="AG32" i="4"/>
  <c r="AG126" i="4"/>
  <c r="AP1446" i="4"/>
  <c r="AQ1315" i="4"/>
  <c r="AP1352" i="4"/>
  <c r="AG226" i="4"/>
  <c r="AH355" i="3"/>
  <c r="AH241" i="4" s="1"/>
  <c r="AH216" i="3"/>
  <c r="AH133" i="4" s="1"/>
  <c r="AH185" i="3"/>
  <c r="AH122" i="4" s="1"/>
  <c r="AH127" i="4" s="1"/>
  <c r="AH8" i="66"/>
  <c r="AH8" i="62"/>
  <c r="AH301" i="3"/>
  <c r="AH188" i="4" s="1"/>
  <c r="AH197" i="4" s="1"/>
  <c r="AH300" i="3"/>
  <c r="AH187" i="4" s="1"/>
  <c r="AH196" i="4" s="1"/>
  <c r="AH296" i="3"/>
  <c r="AH183" i="4" s="1"/>
  <c r="AH241" i="3"/>
  <c r="AH146" i="4" s="1"/>
  <c r="AH151" i="4" s="1"/>
  <c r="AH331" i="3"/>
  <c r="AH220" i="4" s="1"/>
  <c r="AH225" i="4" s="1"/>
  <c r="AH8" i="11"/>
  <c r="AH16" i="4"/>
  <c r="AH1106" i="4"/>
  <c r="AH297" i="3"/>
  <c r="AH184" i="4" s="1"/>
  <c r="AH193" i="4" s="1"/>
  <c r="AH184" i="3"/>
  <c r="AH121" i="4" s="1"/>
  <c r="AH217" i="3"/>
  <c r="AH134" i="4" s="1"/>
  <c r="AH139" i="4" s="1"/>
  <c r="AH186" i="3"/>
  <c r="AH123" i="4" s="1"/>
  <c r="AH128" i="4" s="1"/>
  <c r="AH1370" i="4"/>
  <c r="AH28" i="4"/>
  <c r="AH356" i="3"/>
  <c r="AH242" i="4" s="1"/>
  <c r="AH247" i="4" s="1"/>
  <c r="AH329" i="3"/>
  <c r="AH218" i="4" s="1"/>
  <c r="AH1083" i="4"/>
  <c r="AH298" i="3"/>
  <c r="AH185" i="4" s="1"/>
  <c r="AH194" i="4" s="1"/>
  <c r="AH8" i="4"/>
  <c r="AH299" i="3"/>
  <c r="AH186" i="4" s="1"/>
  <c r="AH195" i="4" s="1"/>
  <c r="AH218" i="3"/>
  <c r="AH135" i="4" s="1"/>
  <c r="AH140" i="4" s="1"/>
  <c r="AH357" i="3"/>
  <c r="AH243" i="4" s="1"/>
  <c r="AH248" i="4" s="1"/>
  <c r="AH8" i="64"/>
  <c r="AH330" i="3"/>
  <c r="AH219" i="4" s="1"/>
  <c r="AH224" i="4" s="1"/>
  <c r="AH240" i="3"/>
  <c r="AH145" i="4" s="1"/>
  <c r="AH242" i="3"/>
  <c r="AH147" i="4" s="1"/>
  <c r="AH152" i="4" s="1"/>
  <c r="AH30" i="4"/>
  <c r="AH529" i="4" s="1"/>
  <c r="AH29" i="4"/>
  <c r="AH1107" i="4"/>
  <c r="AH1079" i="4"/>
  <c r="AH1081" i="4"/>
  <c r="AH1082" i="4" s="1"/>
  <c r="AG1080" i="4"/>
  <c r="AG1063" i="4"/>
  <c r="AG1066" i="4"/>
  <c r="AG1075" i="4" s="1"/>
  <c r="AG53" i="4"/>
  <c r="AF53" i="4"/>
  <c r="AG58" i="4"/>
  <c r="AG1052" i="4"/>
  <c r="AF200" i="4"/>
  <c r="AG54" i="11"/>
  <c r="AG63" i="4"/>
  <c r="AG1312" i="4" s="1"/>
  <c r="AG543" i="4"/>
  <c r="AG747" i="4"/>
  <c r="AG62" i="4"/>
  <c r="AG528" i="4" s="1"/>
  <c r="AG530" i="4"/>
  <c r="AH70" i="4"/>
  <c r="AF63" i="4"/>
  <c r="AF1312" i="4" s="1"/>
  <c r="AG70" i="4"/>
  <c r="AG249" i="4"/>
  <c r="AG129" i="4"/>
  <c r="AI7" i="3"/>
  <c r="AF654" i="4"/>
  <c r="AF655" i="4"/>
  <c r="AF637" i="4"/>
  <c r="AG47" i="4"/>
  <c r="AG27" i="66"/>
  <c r="AG1074" i="4"/>
  <c r="AH60" i="4"/>
  <c r="AG1186" i="4"/>
  <c r="AG57" i="4"/>
  <c r="AG9" i="4" s="1"/>
  <c r="AG9" i="11"/>
  <c r="AG28" i="66"/>
  <c r="AG295" i="4"/>
  <c r="AG303" i="4" s="1"/>
  <c r="AF61" i="4"/>
  <c r="AF318" i="4" s="1"/>
  <c r="AF328" i="4" s="1"/>
  <c r="AG60" i="4"/>
  <c r="AG17" i="4"/>
  <c r="AG19" i="4"/>
  <c r="AG20" i="4" s="1"/>
  <c r="AG66" i="4"/>
  <c r="AG335" i="4"/>
  <c r="AG959" i="4" s="1"/>
  <c r="AG287" i="4"/>
  <c r="AG324" i="4" s="1"/>
  <c r="AF544" i="4"/>
  <c r="AF612" i="4" s="1"/>
  <c r="AF607" i="4"/>
  <c r="AG529" i="4"/>
  <c r="AG141" i="4"/>
  <c r="AG54" i="62"/>
  <c r="AF605" i="4"/>
  <c r="AF964" i="4"/>
  <c r="AG18" i="4"/>
  <c r="AG24" i="4" s="1"/>
  <c r="AE56" i="4"/>
  <c r="AF65" i="4"/>
  <c r="AF55" i="4"/>
  <c r="AF53" i="62"/>
  <c r="AG68" i="4"/>
  <c r="AN8" i="67"/>
  <c r="AN6" i="67"/>
  <c r="AO7" i="67"/>
  <c r="AO6" i="72"/>
  <c r="AO8" i="72"/>
  <c r="AP7" i="72"/>
  <c r="AV1062" i="4"/>
  <c r="AW1061" i="4"/>
  <c r="AG227" i="4" l="1"/>
  <c r="AG9" i="66"/>
  <c r="AH66" i="4"/>
  <c r="AG61" i="4"/>
  <c r="AG318" i="4" s="1"/>
  <c r="AG328" i="4" s="1"/>
  <c r="AH129" i="4"/>
  <c r="AH37" i="4"/>
  <c r="AH246" i="4"/>
  <c r="AG250" i="4"/>
  <c r="AO6" i="67"/>
  <c r="AO8" i="67"/>
  <c r="AP7" i="67"/>
  <c r="AF641" i="4"/>
  <c r="AF640" i="4"/>
  <c r="AF645" i="4"/>
  <c r="AF644" i="4"/>
  <c r="AH530" i="4"/>
  <c r="AH747" i="4"/>
  <c r="AH543" i="4"/>
  <c r="AH54" i="11"/>
  <c r="AH62" i="4"/>
  <c r="AH528" i="4" s="1"/>
  <c r="AH19" i="4"/>
  <c r="AH17" i="4"/>
  <c r="AH35" i="4"/>
  <c r="AH192" i="4"/>
  <c r="AH44" i="4"/>
  <c r="AG44" i="4"/>
  <c r="AG51" i="4" s="1"/>
  <c r="AN59" i="3"/>
  <c r="AN58" i="3"/>
  <c r="AN95" i="67"/>
  <c r="AN56" i="3"/>
  <c r="AN60" i="3"/>
  <c r="AG9" i="62"/>
  <c r="AG54" i="4"/>
  <c r="AG60" i="62"/>
  <c r="AF660" i="4"/>
  <c r="AG540" i="4"/>
  <c r="AG542" i="4" s="1"/>
  <c r="AH198" i="4"/>
  <c r="AH32" i="4"/>
  <c r="AH126" i="4"/>
  <c r="AQ1352" i="4"/>
  <c r="AR1315" i="4"/>
  <c r="AQ1446" i="4"/>
  <c r="AH34" i="66"/>
  <c r="AG142" i="4"/>
  <c r="AF659" i="4"/>
  <c r="AH34" i="4"/>
  <c r="AH150" i="4"/>
  <c r="AP1447" i="4"/>
  <c r="AP8" i="72"/>
  <c r="AP6" i="72"/>
  <c r="AQ7" i="72"/>
  <c r="AG9" i="64"/>
  <c r="AI6" i="3"/>
  <c r="AI8" i="3"/>
  <c r="AI314" i="4" s="1"/>
  <c r="AI7" i="62"/>
  <c r="AI6" i="62" s="1"/>
  <c r="AI7" i="66"/>
  <c r="AI6" i="66" s="1"/>
  <c r="AI7" i="11"/>
  <c r="AI6" i="11" s="1"/>
  <c r="AI7" i="64"/>
  <c r="AI6" i="64" s="1"/>
  <c r="AI28" i="64" s="1"/>
  <c r="AI30" i="64" s="1"/>
  <c r="AI53" i="64" s="1"/>
  <c r="AJ7" i="3"/>
  <c r="AI86" i="64"/>
  <c r="AI87" i="64" s="1"/>
  <c r="AI7" i="4"/>
  <c r="AH36" i="4"/>
  <c r="AH223" i="4"/>
  <c r="AH54" i="62"/>
  <c r="AG43" i="4"/>
  <c r="AG50" i="4" s="1"/>
  <c r="AG636" i="4" s="1"/>
  <c r="AG153" i="4"/>
  <c r="AH67" i="4"/>
  <c r="AG65" i="4"/>
  <c r="AG9" i="3"/>
  <c r="AH1080" i="4"/>
  <c r="AH1063" i="4"/>
  <c r="AH1066" i="4"/>
  <c r="AH1075" i="4" s="1"/>
  <c r="AG130" i="4"/>
  <c r="AH335" i="4"/>
  <c r="AH959" i="4" s="1"/>
  <c r="AH287" i="4"/>
  <c r="AH324" i="4" s="1"/>
  <c r="AH41" i="4"/>
  <c r="AG41" i="4"/>
  <c r="AG48" i="4" s="1"/>
  <c r="AH68" i="4"/>
  <c r="AF617" i="4"/>
  <c r="AH249" i="4"/>
  <c r="AH1052" i="4"/>
  <c r="AH58" i="4"/>
  <c r="AG39" i="4"/>
  <c r="AG46" i="4" s="1"/>
  <c r="AH39" i="4"/>
  <c r="AH46" i="4" s="1"/>
  <c r="AG199" i="4"/>
  <c r="AG964" i="4"/>
  <c r="AG605" i="4"/>
  <c r="AH21" i="4"/>
  <c r="AG22" i="4"/>
  <c r="AH20" i="4"/>
  <c r="AH1186" i="4"/>
  <c r="AH27" i="66"/>
  <c r="AH295" i="4"/>
  <c r="AH303" i="4" s="1"/>
  <c r="AH28" i="66"/>
  <c r="AH57" i="4"/>
  <c r="AH9" i="4" s="1"/>
  <c r="AH1074" i="4"/>
  <c r="AH9" i="62"/>
  <c r="AH141" i="4"/>
  <c r="AH226" i="4"/>
  <c r="AH33" i="4"/>
  <c r="AH40" i="4" s="1"/>
  <c r="AH47" i="4" s="1"/>
  <c r="AH138" i="4"/>
  <c r="AH18" i="4"/>
  <c r="AH24" i="4" s="1"/>
  <c r="AH42" i="4"/>
  <c r="AG42" i="4"/>
  <c r="AG49" i="4" s="1"/>
  <c r="AW1062" i="4"/>
  <c r="AX1061" i="4"/>
  <c r="AH49" i="4" l="1"/>
  <c r="AH48" i="4"/>
  <c r="AH51" i="4"/>
  <c r="AH227" i="4"/>
  <c r="AH9" i="3"/>
  <c r="AH54" i="4"/>
  <c r="AH65" i="4"/>
  <c r="AI21" i="4"/>
  <c r="AH22" i="4"/>
  <c r="AG544" i="4"/>
  <c r="AG612" i="4" s="1"/>
  <c r="AG607" i="4"/>
  <c r="AH610" i="3"/>
  <c r="AH965" i="4"/>
  <c r="AQ8" i="72"/>
  <c r="AQ6" i="72"/>
  <c r="AR7" i="72"/>
  <c r="AH153" i="4"/>
  <c r="AH60" i="62"/>
  <c r="AG655" i="4"/>
  <c r="AG654" i="4"/>
  <c r="AG637" i="4"/>
  <c r="AI1166" i="4"/>
  <c r="AI1165" i="4"/>
  <c r="AI15" i="66" s="1"/>
  <c r="AI273" i="4"/>
  <c r="AI275" i="4"/>
  <c r="AI288" i="4" s="1"/>
  <c r="AI329" i="4" s="1"/>
  <c r="AI414" i="4" s="1"/>
  <c r="AI415" i="4" s="1"/>
  <c r="AJ413" i="4" s="1"/>
  <c r="AI274" i="4"/>
  <c r="AH540" i="4"/>
  <c r="AH542" i="4" s="1"/>
  <c r="AP6" i="67"/>
  <c r="AP8" i="67"/>
  <c r="AQ7" i="67"/>
  <c r="AH9" i="64"/>
  <c r="AG154" i="4"/>
  <c r="AH43" i="4"/>
  <c r="AH50" i="4" s="1"/>
  <c r="AH636" i="4" s="1"/>
  <c r="AH130" i="4"/>
  <c r="AH55" i="4"/>
  <c r="AF56" i="4"/>
  <c r="AG55" i="4"/>
  <c r="AG53" i="62"/>
  <c r="AH142" i="4"/>
  <c r="AH9" i="66"/>
  <c r="AI6" i="4"/>
  <c r="AI15" i="4"/>
  <c r="AI301" i="3"/>
  <c r="AI188" i="4" s="1"/>
  <c r="AI197" i="4" s="1"/>
  <c r="AI217" i="3"/>
  <c r="AI134" i="4" s="1"/>
  <c r="AI139" i="4" s="1"/>
  <c r="AI356" i="3"/>
  <c r="AI242" i="4" s="1"/>
  <c r="AI247" i="4" s="1"/>
  <c r="AI296" i="3"/>
  <c r="AI183" i="4" s="1"/>
  <c r="AI357" i="3"/>
  <c r="AI243" i="4" s="1"/>
  <c r="AI248" i="4" s="1"/>
  <c r="AI8" i="11"/>
  <c r="AI298" i="3"/>
  <c r="AI185" i="4" s="1"/>
  <c r="AI194" i="4" s="1"/>
  <c r="AI355" i="3"/>
  <c r="AI241" i="4" s="1"/>
  <c r="AI241" i="3"/>
  <c r="AI146" i="4" s="1"/>
  <c r="AI151" i="4" s="1"/>
  <c r="AI8" i="62"/>
  <c r="AI28" i="4"/>
  <c r="AI300" i="3"/>
  <c r="AI187" i="4" s="1"/>
  <c r="AI196" i="4" s="1"/>
  <c r="AI8" i="4"/>
  <c r="AI299" i="3"/>
  <c r="AI186" i="4" s="1"/>
  <c r="AI195" i="4" s="1"/>
  <c r="AI331" i="3"/>
  <c r="AI220" i="4" s="1"/>
  <c r="AI225" i="4" s="1"/>
  <c r="AI297" i="3"/>
  <c r="AI184" i="4" s="1"/>
  <c r="AI193" i="4" s="1"/>
  <c r="AI185" i="3"/>
  <c r="AI122" i="4" s="1"/>
  <c r="AI127" i="4" s="1"/>
  <c r="AI8" i="64"/>
  <c r="AI1083" i="4"/>
  <c r="AI240" i="3"/>
  <c r="AI145" i="4" s="1"/>
  <c r="AI329" i="3"/>
  <c r="AI218" i="4" s="1"/>
  <c r="AI1106" i="4"/>
  <c r="AI242" i="3"/>
  <c r="AI147" i="4" s="1"/>
  <c r="AI152" i="4" s="1"/>
  <c r="AI184" i="3"/>
  <c r="AI121" i="4" s="1"/>
  <c r="AI186" i="3"/>
  <c r="AI123" i="4" s="1"/>
  <c r="AI128" i="4" s="1"/>
  <c r="AI218" i="3"/>
  <c r="AI135" i="4" s="1"/>
  <c r="AI140" i="4" s="1"/>
  <c r="AI330" i="3"/>
  <c r="AI219" i="4" s="1"/>
  <c r="AI224" i="4" s="1"/>
  <c r="AI8" i="66"/>
  <c r="AI16" i="4"/>
  <c r="AI1370" i="4"/>
  <c r="AI216" i="3"/>
  <c r="AI133" i="4" s="1"/>
  <c r="AI30" i="4"/>
  <c r="AI68" i="4" s="1"/>
  <c r="AI529" i="4"/>
  <c r="AI29" i="4"/>
  <c r="AI1081" i="4"/>
  <c r="AI1082" i="4" s="1"/>
  <c r="AI1079" i="4"/>
  <c r="AI1107" i="4"/>
  <c r="AI1332" i="4"/>
  <c r="AF661" i="4"/>
  <c r="AO59" i="3"/>
  <c r="AO58" i="3"/>
  <c r="AO95" i="67"/>
  <c r="AO56" i="3"/>
  <c r="AO60" i="3"/>
  <c r="AH250" i="4"/>
  <c r="AH9" i="11"/>
  <c r="AQ1447" i="4"/>
  <c r="AH199" i="4"/>
  <c r="AH200" i="4" s="1"/>
  <c r="AG200" i="4"/>
  <c r="AJ7" i="62"/>
  <c r="AJ6" i="62" s="1"/>
  <c r="AJ86" i="64"/>
  <c r="AJ87" i="64" s="1"/>
  <c r="AJ8" i="3"/>
  <c r="AJ7" i="4"/>
  <c r="AJ7" i="11"/>
  <c r="AJ6" i="11" s="1"/>
  <c r="AJ6" i="3"/>
  <c r="AJ7" i="64"/>
  <c r="AJ6" i="64" s="1"/>
  <c r="AJ28" i="64" s="1"/>
  <c r="AJ30" i="64" s="1"/>
  <c r="AJ53" i="64" s="1"/>
  <c r="AJ7" i="66"/>
  <c r="AJ6" i="66" s="1"/>
  <c r="AR1446" i="4"/>
  <c r="AS1315" i="4"/>
  <c r="AR1352" i="4"/>
  <c r="AX1062" i="4"/>
  <c r="AY1061" i="4"/>
  <c r="AJ16" i="4" l="1"/>
  <c r="AJ8" i="62"/>
  <c r="AJ301" i="3"/>
  <c r="AJ188" i="4" s="1"/>
  <c r="AJ197" i="4" s="1"/>
  <c r="AJ329" i="3"/>
  <c r="AJ218" i="4" s="1"/>
  <c r="AJ186" i="3"/>
  <c r="AJ123" i="4" s="1"/>
  <c r="AJ128" i="4" s="1"/>
  <c r="AJ297" i="3"/>
  <c r="AJ184" i="4" s="1"/>
  <c r="AJ193" i="4" s="1"/>
  <c r="AJ184" i="3"/>
  <c r="AJ121" i="4" s="1"/>
  <c r="AJ1083" i="4"/>
  <c r="AJ355" i="3"/>
  <c r="AJ241" i="4" s="1"/>
  <c r="AJ356" i="3"/>
  <c r="AJ242" i="4" s="1"/>
  <c r="AJ247" i="4" s="1"/>
  <c r="AJ242" i="3"/>
  <c r="AJ147" i="4" s="1"/>
  <c r="AJ152" i="4" s="1"/>
  <c r="AJ28" i="4"/>
  <c r="AJ8" i="11"/>
  <c r="AJ357" i="3"/>
  <c r="AJ243" i="4" s="1"/>
  <c r="AJ248" i="4" s="1"/>
  <c r="AJ216" i="3"/>
  <c r="AJ133" i="4" s="1"/>
  <c r="AJ300" i="3"/>
  <c r="AJ187" i="4" s="1"/>
  <c r="AJ196" i="4" s="1"/>
  <c r="AJ8" i="64"/>
  <c r="AJ331" i="3"/>
  <c r="AJ220" i="4" s="1"/>
  <c r="AJ225" i="4" s="1"/>
  <c r="AJ298" i="3"/>
  <c r="AJ185" i="4" s="1"/>
  <c r="AJ194" i="4" s="1"/>
  <c r="AJ185" i="3"/>
  <c r="AJ122" i="4" s="1"/>
  <c r="AJ127" i="4" s="1"/>
  <c r="AJ8" i="66"/>
  <c r="AJ1106" i="4"/>
  <c r="AJ218" i="3"/>
  <c r="AJ135" i="4" s="1"/>
  <c r="AJ140" i="4" s="1"/>
  <c r="AJ240" i="3"/>
  <c r="AJ145" i="4" s="1"/>
  <c r="AJ241" i="3"/>
  <c r="AJ146" i="4" s="1"/>
  <c r="AJ151" i="4" s="1"/>
  <c r="AJ299" i="3"/>
  <c r="AJ186" i="4" s="1"/>
  <c r="AJ195" i="4" s="1"/>
  <c r="AJ296" i="3"/>
  <c r="AJ183" i="4" s="1"/>
  <c r="AJ8" i="4"/>
  <c r="AJ217" i="3"/>
  <c r="AJ134" i="4" s="1"/>
  <c r="AJ139" i="4" s="1"/>
  <c r="AJ330" i="3"/>
  <c r="AJ219" i="4" s="1"/>
  <c r="AJ224" i="4" s="1"/>
  <c r="AJ529" i="4"/>
  <c r="AJ30" i="4"/>
  <c r="AJ29" i="4"/>
  <c r="AJ1079" i="4"/>
  <c r="AJ1081" i="4"/>
  <c r="AJ1082" i="4" s="1"/>
  <c r="AJ1107" i="4"/>
  <c r="AI1063" i="4"/>
  <c r="AI1080" i="4"/>
  <c r="AI1066" i="4"/>
  <c r="AI1075" i="4" s="1"/>
  <c r="AI34" i="4"/>
  <c r="AI150" i="4"/>
  <c r="AI35" i="4"/>
  <c r="AI192" i="4"/>
  <c r="AH655" i="4"/>
  <c r="AH654" i="4"/>
  <c r="AH637" i="4"/>
  <c r="AI335" i="4"/>
  <c r="AI959" i="4" s="1"/>
  <c r="AI287" i="4"/>
  <c r="AI324" i="4" s="1"/>
  <c r="AG617" i="4"/>
  <c r="AH53" i="4"/>
  <c r="AI1052" i="4"/>
  <c r="AI58" i="4"/>
  <c r="AK7" i="3"/>
  <c r="AI1186" i="4"/>
  <c r="AI28" i="66"/>
  <c r="AI295" i="4"/>
  <c r="AI303" i="4" s="1"/>
  <c r="AI61" i="4"/>
  <c r="AI318" i="4" s="1"/>
  <c r="AI1074" i="4"/>
  <c r="AJ60" i="4"/>
  <c r="AI27" i="66"/>
  <c r="AI57" i="4"/>
  <c r="AI9" i="4" s="1"/>
  <c r="AI60" i="4"/>
  <c r="AH61" i="4"/>
  <c r="AH318" i="4" s="1"/>
  <c r="AH328" i="4" s="1"/>
  <c r="AI328" i="4" s="1"/>
  <c r="AI66" i="4"/>
  <c r="AJ66" i="4" s="1"/>
  <c r="AI141" i="4"/>
  <c r="AI54" i="62"/>
  <c r="AI34" i="66"/>
  <c r="AI129" i="4"/>
  <c r="AH605" i="4"/>
  <c r="AH964" i="4"/>
  <c r="AG56" i="4"/>
  <c r="AH53" i="62"/>
  <c r="AI62" i="4"/>
  <c r="AI528" i="4" s="1"/>
  <c r="AI747" i="4"/>
  <c r="AI54" i="11"/>
  <c r="AI530" i="4"/>
  <c r="AI543" i="4"/>
  <c r="AI63" i="4"/>
  <c r="AI1312" i="4" s="1"/>
  <c r="AJ70" i="4"/>
  <c r="AI70" i="4"/>
  <c r="AH63" i="4"/>
  <c r="AH1312" i="4" s="1"/>
  <c r="AI32" i="4"/>
  <c r="AI126" i="4"/>
  <c r="AI37" i="4"/>
  <c r="AI246" i="4"/>
  <c r="AI18" i="4"/>
  <c r="AQ8" i="67"/>
  <c r="AQ6" i="67"/>
  <c r="AR7" i="67"/>
  <c r="AI67" i="4"/>
  <c r="AT1315" i="4"/>
  <c r="AS1446" i="4"/>
  <c r="AS1352" i="4"/>
  <c r="AI33" i="4"/>
  <c r="AI138" i="4"/>
  <c r="AI226" i="4"/>
  <c r="AI198" i="4"/>
  <c r="AG645" i="4"/>
  <c r="AG640" i="4"/>
  <c r="AG644" i="4"/>
  <c r="AG641" i="4"/>
  <c r="AG659" i="4" s="1"/>
  <c r="AH154" i="4"/>
  <c r="AR1447" i="4"/>
  <c r="AJ314" i="4"/>
  <c r="AF662" i="4"/>
  <c r="AJ1370" i="4"/>
  <c r="AP56" i="3"/>
  <c r="AP59" i="3"/>
  <c r="AP58" i="3"/>
  <c r="AP60" i="3"/>
  <c r="AP95" i="67"/>
  <c r="AR8" i="72"/>
  <c r="AR6" i="72"/>
  <c r="AS7" i="72"/>
  <c r="AJ6" i="4"/>
  <c r="AJ15" i="4"/>
  <c r="AJ1332" i="4"/>
  <c r="AI36" i="4"/>
  <c r="AI223" i="4"/>
  <c r="AI19" i="4"/>
  <c r="AI20" i="4" s="1"/>
  <c r="AI17" i="4"/>
  <c r="AI249" i="4"/>
  <c r="AH544" i="4"/>
  <c r="AH612" i="4" s="1"/>
  <c r="AH607" i="4"/>
  <c r="AG660" i="4"/>
  <c r="AZ1061" i="4"/>
  <c r="AY1062" i="4"/>
  <c r="AI540" i="4" l="1"/>
  <c r="AI542" i="4" s="1"/>
  <c r="AI544" i="4" s="1"/>
  <c r="AI612" i="4" s="1"/>
  <c r="AI24" i="4"/>
  <c r="AI54" i="4"/>
  <c r="AI60" i="62"/>
  <c r="AI199" i="4"/>
  <c r="AJ141" i="4"/>
  <c r="AJ33" i="4"/>
  <c r="AJ138" i="4"/>
  <c r="AJ32" i="4"/>
  <c r="AJ126" i="4"/>
  <c r="AS8" i="72"/>
  <c r="AS6" i="72"/>
  <c r="AT7" i="72"/>
  <c r="AI965" i="4"/>
  <c r="AJ68" i="4"/>
  <c r="AJ67" i="4"/>
  <c r="AI610" i="3"/>
  <c r="AI42" i="4"/>
  <c r="AJ249" i="4"/>
  <c r="AJ129" i="4"/>
  <c r="AI22" i="4"/>
  <c r="AJ21" i="4"/>
  <c r="AJ18" i="4"/>
  <c r="AI142" i="4"/>
  <c r="AR8" i="67"/>
  <c r="AR6" i="67"/>
  <c r="AS7" i="67"/>
  <c r="AI250" i="4"/>
  <c r="AI9" i="3"/>
  <c r="AI153" i="4"/>
  <c r="AJ17" i="4"/>
  <c r="AJ19" i="4"/>
  <c r="AJ20" i="4" s="1"/>
  <c r="AI53" i="4"/>
  <c r="AJ58" i="4"/>
  <c r="AJ1052" i="4"/>
  <c r="AJ36" i="4"/>
  <c r="AJ223" i="4"/>
  <c r="AH617" i="4"/>
  <c r="AG661" i="4"/>
  <c r="AI40" i="4"/>
  <c r="AI47" i="4" s="1"/>
  <c r="AJ40" i="4"/>
  <c r="AQ59" i="3"/>
  <c r="AQ60" i="3"/>
  <c r="AQ56" i="3"/>
  <c r="AQ58" i="3"/>
  <c r="AQ95" i="67"/>
  <c r="AI44" i="4"/>
  <c r="AI51" i="4" s="1"/>
  <c r="AI9" i="66"/>
  <c r="AH641" i="4"/>
  <c r="AH640" i="4"/>
  <c r="AH659" i="4" s="1"/>
  <c r="AH645" i="4"/>
  <c r="AH644" i="4"/>
  <c r="AH660" i="4" s="1"/>
  <c r="AI41" i="4"/>
  <c r="AI48" i="4" s="1"/>
  <c r="AJ35" i="4"/>
  <c r="AJ192" i="4"/>
  <c r="AJ198" i="4"/>
  <c r="AJ43" i="4"/>
  <c r="AI43" i="4"/>
  <c r="AI50" i="4" s="1"/>
  <c r="AI636" i="4" s="1"/>
  <c r="AI9" i="64"/>
  <c r="AJ1080" i="4"/>
  <c r="AJ1063" i="4"/>
  <c r="AJ1066" i="4"/>
  <c r="AJ1075" i="4" s="1"/>
  <c r="AJ226" i="4"/>
  <c r="AJ54" i="62"/>
  <c r="AS1447" i="4"/>
  <c r="AI130" i="4"/>
  <c r="AI9" i="62"/>
  <c r="AK8" i="3"/>
  <c r="AL7" i="3" s="1"/>
  <c r="AK6" i="3"/>
  <c r="AK7" i="66"/>
  <c r="AK6" i="66" s="1"/>
  <c r="AK7" i="4"/>
  <c r="AK86" i="64"/>
  <c r="AK87" i="64" s="1"/>
  <c r="AK7" i="62"/>
  <c r="AK6" i="62" s="1"/>
  <c r="AK7" i="11"/>
  <c r="AK6" i="11" s="1"/>
  <c r="AK7" i="64"/>
  <c r="AK6" i="64" s="1"/>
  <c r="AK28" i="64" s="1"/>
  <c r="AK30" i="64" s="1"/>
  <c r="AK53" i="64" s="1"/>
  <c r="AJ57" i="4"/>
  <c r="AJ9" i="11" s="1"/>
  <c r="AJ28" i="66"/>
  <c r="AJ1186" i="4"/>
  <c r="AJ27" i="66"/>
  <c r="AJ1074" i="4"/>
  <c r="AJ295" i="4"/>
  <c r="AJ303" i="4" s="1"/>
  <c r="AJ9" i="66"/>
  <c r="AJ9" i="64"/>
  <c r="AJ9" i="3"/>
  <c r="AJ37" i="4"/>
  <c r="AJ44" i="4" s="1"/>
  <c r="AJ51" i="4" s="1"/>
  <c r="AJ246" i="4"/>
  <c r="AJ275" i="4"/>
  <c r="AJ288" i="4" s="1"/>
  <c r="AJ329" i="4" s="1"/>
  <c r="AJ414" i="4" s="1"/>
  <c r="AJ415" i="4" s="1"/>
  <c r="AK413" i="4" s="1"/>
  <c r="AJ1165" i="4"/>
  <c r="AJ15" i="66" s="1"/>
  <c r="AJ1166" i="4"/>
  <c r="AJ274" i="4"/>
  <c r="AJ273" i="4"/>
  <c r="AT1446" i="4"/>
  <c r="AU1315" i="4"/>
  <c r="AT1352" i="4"/>
  <c r="AI39" i="4"/>
  <c r="AI46" i="4" s="1"/>
  <c r="AJ39" i="4"/>
  <c r="AI9" i="11"/>
  <c r="AI227" i="4"/>
  <c r="AJ54" i="11"/>
  <c r="AJ62" i="4"/>
  <c r="AJ528" i="4" s="1"/>
  <c r="AJ530" i="4"/>
  <c r="AJ540" i="4" s="1"/>
  <c r="AJ543" i="4"/>
  <c r="AJ747" i="4"/>
  <c r="AJ34" i="4"/>
  <c r="AJ41" i="4" s="1"/>
  <c r="AJ48" i="4" s="1"/>
  <c r="AJ150" i="4"/>
  <c r="AZ1062" i="4"/>
  <c r="BA1061" i="4"/>
  <c r="AJ227" i="4" l="1"/>
  <c r="AJ9" i="4"/>
  <c r="AI607" i="4"/>
  <c r="AK21" i="4"/>
  <c r="AJ22" i="4"/>
  <c r="AJ199" i="4"/>
  <c r="AJ47" i="4"/>
  <c r="AI964" i="4"/>
  <c r="AI605" i="4"/>
  <c r="AJ142" i="4"/>
  <c r="AJ54" i="4"/>
  <c r="AK314" i="4"/>
  <c r="AK1370" i="4"/>
  <c r="AJ965" i="4"/>
  <c r="AJ610" i="3"/>
  <c r="AT8" i="72"/>
  <c r="AT6" i="72"/>
  <c r="AU7" i="72"/>
  <c r="AJ34" i="66"/>
  <c r="AJ250" i="4"/>
  <c r="AJ46" i="4"/>
  <c r="AI654" i="4"/>
  <c r="AI655" i="4"/>
  <c r="AI637" i="4"/>
  <c r="AJ55" i="4"/>
  <c r="AH56" i="4"/>
  <c r="AI65" i="4"/>
  <c r="AJ65" i="4" s="1"/>
  <c r="AI55" i="4"/>
  <c r="AI53" i="62"/>
  <c r="AJ335" i="4"/>
  <c r="AJ959" i="4" s="1"/>
  <c r="AJ287" i="4"/>
  <c r="AJ324" i="4" s="1"/>
  <c r="AJ9" i="62"/>
  <c r="AJ50" i="4"/>
  <c r="AJ636" i="4" s="1"/>
  <c r="AI49" i="4"/>
  <c r="AK6" i="4"/>
  <c r="AK15" i="4"/>
  <c r="AH661" i="4"/>
  <c r="AI617" i="4"/>
  <c r="AJ42" i="4"/>
  <c r="AJ49" i="4" s="1"/>
  <c r="AK1332" i="4"/>
  <c r="AI154" i="4"/>
  <c r="AJ24" i="4"/>
  <c r="AJ153" i="4"/>
  <c r="AJ542" i="4"/>
  <c r="AV1315" i="4"/>
  <c r="AU1352" i="4"/>
  <c r="AU1446" i="4"/>
  <c r="AJ60" i="62"/>
  <c r="AG662" i="4"/>
  <c r="AS8" i="67"/>
  <c r="AS6" i="67"/>
  <c r="AT7" i="67"/>
  <c r="AJ130" i="4"/>
  <c r="AI200" i="4"/>
  <c r="AT1447" i="4"/>
  <c r="AL7" i="62"/>
  <c r="AL6" i="62" s="1"/>
  <c r="AL8" i="3"/>
  <c r="AL7" i="11"/>
  <c r="AL6" i="11" s="1"/>
  <c r="AL7" i="66"/>
  <c r="AL6" i="66" s="1"/>
  <c r="AL7" i="4"/>
  <c r="AL7" i="64"/>
  <c r="AL6" i="64" s="1"/>
  <c r="AL28" i="64" s="1"/>
  <c r="AL30" i="64" s="1"/>
  <c r="AL53" i="64" s="1"/>
  <c r="AL6" i="3"/>
  <c r="AL86" i="64"/>
  <c r="AL87" i="64" s="1"/>
  <c r="AK184" i="3"/>
  <c r="AK121" i="4" s="1"/>
  <c r="AK126" i="4" s="1"/>
  <c r="AK16" i="4"/>
  <c r="AK301" i="3"/>
  <c r="AK188" i="4" s="1"/>
  <c r="AK197" i="4" s="1"/>
  <c r="AK298" i="3"/>
  <c r="AK185" i="4" s="1"/>
  <c r="AK194" i="4" s="1"/>
  <c r="AK186" i="3"/>
  <c r="AK123" i="4" s="1"/>
  <c r="AK128" i="4" s="1"/>
  <c r="AK8" i="62"/>
  <c r="AK329" i="3"/>
  <c r="AK218" i="4" s="1"/>
  <c r="AK216" i="3"/>
  <c r="AK133" i="4" s="1"/>
  <c r="AK138" i="4" s="1"/>
  <c r="AK356" i="3"/>
  <c r="AK242" i="4" s="1"/>
  <c r="AK247" i="4" s="1"/>
  <c r="AK8" i="66"/>
  <c r="AK8" i="11"/>
  <c r="AK240" i="3"/>
  <c r="AK145" i="4" s="1"/>
  <c r="AK297" i="3"/>
  <c r="AK184" i="4" s="1"/>
  <c r="AK193" i="4" s="1"/>
  <c r="AK296" i="3"/>
  <c r="AK183" i="4" s="1"/>
  <c r="AK8" i="64"/>
  <c r="AK218" i="3"/>
  <c r="AK135" i="4" s="1"/>
  <c r="AK140" i="4" s="1"/>
  <c r="AK355" i="3"/>
  <c r="AK241" i="4" s="1"/>
  <c r="AK1106" i="4"/>
  <c r="AK299" i="3"/>
  <c r="AK186" i="4" s="1"/>
  <c r="AK195" i="4" s="1"/>
  <c r="AK331" i="3"/>
  <c r="AK220" i="4" s="1"/>
  <c r="AK225" i="4" s="1"/>
  <c r="AK1083" i="4"/>
  <c r="AK185" i="3"/>
  <c r="AK122" i="4" s="1"/>
  <c r="AK357" i="3"/>
  <c r="AK243" i="4" s="1"/>
  <c r="AK248" i="4" s="1"/>
  <c r="AK217" i="3"/>
  <c r="AK134" i="4" s="1"/>
  <c r="AK8" i="4"/>
  <c r="AK300" i="3"/>
  <c r="AK187" i="4" s="1"/>
  <c r="AK196" i="4" s="1"/>
  <c r="AK242" i="3"/>
  <c r="AK147" i="4" s="1"/>
  <c r="AK152" i="4" s="1"/>
  <c r="AK330" i="3"/>
  <c r="AK219" i="4" s="1"/>
  <c r="AK224" i="4" s="1"/>
  <c r="AK241" i="3"/>
  <c r="AK146" i="4" s="1"/>
  <c r="AK151" i="4" s="1"/>
  <c r="AK28" i="4"/>
  <c r="AK29" i="4"/>
  <c r="AK30" i="4"/>
  <c r="AK529" i="4"/>
  <c r="AK1081" i="4"/>
  <c r="AK1082" i="4" s="1"/>
  <c r="AK1079" i="4"/>
  <c r="AK1107" i="4"/>
  <c r="AR95" i="67"/>
  <c r="AR59" i="3"/>
  <c r="AR58" i="3"/>
  <c r="AR56" i="3"/>
  <c r="AR60" i="3"/>
  <c r="BA1062" i="4"/>
  <c r="BB1061" i="4"/>
  <c r="AK54" i="11" l="1"/>
  <c r="AK543" i="4"/>
  <c r="AK62" i="4"/>
  <c r="AK528" i="4" s="1"/>
  <c r="AK747" i="4"/>
  <c r="AK530" i="4"/>
  <c r="AJ63" i="4"/>
  <c r="AJ1312" i="4" s="1"/>
  <c r="AK70" i="4"/>
  <c r="AK33" i="4"/>
  <c r="AK139" i="4"/>
  <c r="AK141" i="4"/>
  <c r="AJ154" i="4"/>
  <c r="AJ654" i="4"/>
  <c r="AJ655" i="4"/>
  <c r="AJ637" i="4"/>
  <c r="AK67" i="4"/>
  <c r="AI56" i="4"/>
  <c r="AJ53" i="62"/>
  <c r="AJ200" i="4"/>
  <c r="AK27" i="66"/>
  <c r="AK1074" i="4"/>
  <c r="AK1186" i="4"/>
  <c r="AK57" i="4"/>
  <c r="AK9" i="4" s="1"/>
  <c r="AK28" i="66"/>
  <c r="AK295" i="4"/>
  <c r="AK303" i="4" s="1"/>
  <c r="AJ61" i="4"/>
  <c r="AJ318" i="4" s="1"/>
  <c r="AJ328" i="4" s="1"/>
  <c r="AK60" i="4"/>
  <c r="AK66" i="4"/>
  <c r="AK249" i="4"/>
  <c r="AK36" i="4"/>
  <c r="AK223" i="4"/>
  <c r="AL330" i="3"/>
  <c r="AL219" i="4" s="1"/>
  <c r="AL224" i="4" s="1"/>
  <c r="AL217" i="3"/>
  <c r="AL134" i="4" s="1"/>
  <c r="AL139" i="4" s="1"/>
  <c r="AL241" i="3"/>
  <c r="AL146" i="4" s="1"/>
  <c r="AL151" i="4" s="1"/>
  <c r="AL218" i="3"/>
  <c r="AL135" i="4" s="1"/>
  <c r="AL140" i="4" s="1"/>
  <c r="AL298" i="3"/>
  <c r="AL185" i="4" s="1"/>
  <c r="AL194" i="4" s="1"/>
  <c r="AL8" i="62"/>
  <c r="AL186" i="3"/>
  <c r="AL123" i="4" s="1"/>
  <c r="AL128" i="4" s="1"/>
  <c r="AL356" i="3"/>
  <c r="AL242" i="4" s="1"/>
  <c r="AL247" i="4" s="1"/>
  <c r="AL355" i="3"/>
  <c r="AL241" i="4" s="1"/>
  <c r="AL8" i="11"/>
  <c r="AL301" i="3"/>
  <c r="AL188" i="4" s="1"/>
  <c r="AL197" i="4" s="1"/>
  <c r="AL297" i="3"/>
  <c r="AL184" i="4" s="1"/>
  <c r="AL193" i="4" s="1"/>
  <c r="AL8" i="66"/>
  <c r="AL8" i="64"/>
  <c r="AL329" i="3"/>
  <c r="AL218" i="4" s="1"/>
  <c r="AL216" i="3"/>
  <c r="AL133" i="4" s="1"/>
  <c r="AL357" i="3"/>
  <c r="AL243" i="4" s="1"/>
  <c r="AL248" i="4" s="1"/>
  <c r="AL1083" i="4"/>
  <c r="AL240" i="3"/>
  <c r="AL145" i="4" s="1"/>
  <c r="AL16" i="4"/>
  <c r="AL185" i="3"/>
  <c r="AL122" i="4" s="1"/>
  <c r="AL127" i="4" s="1"/>
  <c r="AL331" i="3"/>
  <c r="AL220" i="4" s="1"/>
  <c r="AL225" i="4" s="1"/>
  <c r="AL296" i="3"/>
  <c r="AL183" i="4" s="1"/>
  <c r="AL28" i="4"/>
  <c r="AL300" i="3"/>
  <c r="AL187" i="4" s="1"/>
  <c r="AL196" i="4" s="1"/>
  <c r="AL242" i="3"/>
  <c r="AL147" i="4" s="1"/>
  <c r="AL152" i="4" s="1"/>
  <c r="AL299" i="3"/>
  <c r="AL186" i="4" s="1"/>
  <c r="AL195" i="4" s="1"/>
  <c r="AL8" i="4"/>
  <c r="AL184" i="3"/>
  <c r="AL121" i="4" s="1"/>
  <c r="AL1106" i="4"/>
  <c r="AL29" i="4"/>
  <c r="AL30" i="4"/>
  <c r="AL529" i="4" s="1"/>
  <c r="AL1079" i="4"/>
  <c r="AL1081" i="4"/>
  <c r="AL1082" i="4" s="1"/>
  <c r="AL1107" i="4"/>
  <c r="AJ605" i="4"/>
  <c r="AJ964" i="4"/>
  <c r="AJ53" i="4"/>
  <c r="AK1052" i="4"/>
  <c r="AK58" i="4"/>
  <c r="AK32" i="4"/>
  <c r="AK127" i="4"/>
  <c r="AK35" i="4"/>
  <c r="AK42" i="4" s="1"/>
  <c r="AK192" i="4"/>
  <c r="AK54" i="62"/>
  <c r="AL314" i="4"/>
  <c r="AL1332" i="4"/>
  <c r="AK129" i="4"/>
  <c r="AT8" i="67"/>
  <c r="AT6" i="67"/>
  <c r="AU7" i="67"/>
  <c r="AU1447" i="4"/>
  <c r="AI644" i="4"/>
  <c r="AI660" i="4" s="1"/>
  <c r="AI640" i="4"/>
  <c r="AI645" i="4"/>
  <c r="AI641" i="4"/>
  <c r="AI659" i="4" s="1"/>
  <c r="AK226" i="4"/>
  <c r="AK34" i="4"/>
  <c r="AK150" i="4"/>
  <c r="AK198" i="4"/>
  <c r="AS95" i="67"/>
  <c r="AS60" i="3"/>
  <c r="AS59" i="3"/>
  <c r="AS58" i="3"/>
  <c r="AS56" i="3"/>
  <c r="AH662" i="4"/>
  <c r="AU8" i="72"/>
  <c r="AU6" i="72"/>
  <c r="AV7" i="72"/>
  <c r="AK1063" i="4"/>
  <c r="AK1080" i="4"/>
  <c r="AK1066" i="4"/>
  <c r="AK1075" i="4" s="1"/>
  <c r="AM7" i="3"/>
  <c r="AV1446" i="4"/>
  <c r="AV1352" i="4"/>
  <c r="AW1315" i="4"/>
  <c r="AL1370" i="4"/>
  <c r="AL6" i="4"/>
  <c r="AL15" i="4"/>
  <c r="AJ544" i="4"/>
  <c r="AJ612" i="4" s="1"/>
  <c r="AJ607" i="4"/>
  <c r="AK18" i="4"/>
  <c r="AK17" i="4"/>
  <c r="AK19" i="4"/>
  <c r="AK20" i="4" s="1"/>
  <c r="AK37" i="4"/>
  <c r="AK246" i="4"/>
  <c r="AK68" i="4"/>
  <c r="AK1166" i="4"/>
  <c r="AK274" i="4"/>
  <c r="AK273" i="4"/>
  <c r="AK275" i="4"/>
  <c r="AK288" i="4" s="1"/>
  <c r="AK329" i="4" s="1"/>
  <c r="AK414" i="4" s="1"/>
  <c r="AK415" i="4" s="1"/>
  <c r="AL413" i="4" s="1"/>
  <c r="AK1165" i="4"/>
  <c r="BB1062" i="4"/>
  <c r="BC1061" i="4"/>
  <c r="AK227" i="4" l="1"/>
  <c r="AK130" i="4"/>
  <c r="AK9" i="66"/>
  <c r="AK44" i="4"/>
  <c r="AK51" i="4" s="1"/>
  <c r="AK199" i="4"/>
  <c r="AL34" i="4"/>
  <c r="AL150" i="4"/>
  <c r="AK540" i="4"/>
  <c r="AK542" i="4" s="1"/>
  <c r="AK22" i="4"/>
  <c r="AL21" i="4"/>
  <c r="AI661" i="4"/>
  <c r="AK49" i="4"/>
  <c r="AL1080" i="4"/>
  <c r="AL1063" i="4"/>
  <c r="AL1066" i="4"/>
  <c r="AL1075" i="4" s="1"/>
  <c r="AK9" i="64"/>
  <c r="AK54" i="4"/>
  <c r="AK60" i="62"/>
  <c r="AK24" i="4"/>
  <c r="AK153" i="4"/>
  <c r="AL543" i="4"/>
  <c r="AL54" i="11"/>
  <c r="AL530" i="4"/>
  <c r="AL747" i="4"/>
  <c r="AL62" i="4"/>
  <c r="AL528" i="4" s="1"/>
  <c r="AL249" i="4"/>
  <c r="AL37" i="4"/>
  <c r="AL246" i="4"/>
  <c r="AK9" i="62"/>
  <c r="AK40" i="4"/>
  <c r="AK47" i="4" s="1"/>
  <c r="AK15" i="66"/>
  <c r="AW1446" i="4"/>
  <c r="AX1315" i="4"/>
  <c r="AW1352" i="4"/>
  <c r="AL41" i="4"/>
  <c r="AL48" i="4" s="1"/>
  <c r="AK41" i="4"/>
  <c r="AK48" i="4" s="1"/>
  <c r="AK39" i="4"/>
  <c r="AK46" i="4" s="1"/>
  <c r="AL28" i="66"/>
  <c r="AL295" i="4"/>
  <c r="AL303" i="4" s="1"/>
  <c r="AL1186" i="4"/>
  <c r="AL27" i="66"/>
  <c r="AL57" i="4"/>
  <c r="AL1074" i="4"/>
  <c r="AL9" i="64"/>
  <c r="AL9" i="66"/>
  <c r="AL9" i="3"/>
  <c r="AL9" i="62"/>
  <c r="AK53" i="4"/>
  <c r="AL58" i="4"/>
  <c r="AL1052" i="4"/>
  <c r="AL33" i="4"/>
  <c r="AL138" i="4"/>
  <c r="AK9" i="11"/>
  <c r="AK61" i="4"/>
  <c r="AK318" i="4" s="1"/>
  <c r="AK328" i="4" s="1"/>
  <c r="AL35" i="4"/>
  <c r="AL192" i="4"/>
  <c r="AL36" i="4"/>
  <c r="AL223" i="4"/>
  <c r="AL129" i="4"/>
  <c r="AK43" i="4"/>
  <c r="AK50" i="4" s="1"/>
  <c r="AK636" i="4" s="1"/>
  <c r="AL68" i="4"/>
  <c r="AK965" i="4"/>
  <c r="AK610" i="3"/>
  <c r="AL67" i="4"/>
  <c r="AK34" i="66"/>
  <c r="AJ617" i="4"/>
  <c r="AM7" i="4"/>
  <c r="AM7" i="11"/>
  <c r="AM6" i="11" s="1"/>
  <c r="AM7" i="66"/>
  <c r="AM6" i="66" s="1"/>
  <c r="AM6" i="3"/>
  <c r="AM7" i="62"/>
  <c r="AM6" i="62" s="1"/>
  <c r="AM8" i="3"/>
  <c r="AM1370" i="4" s="1"/>
  <c r="AM86" i="64"/>
  <c r="AM87" i="64" s="1"/>
  <c r="AM7" i="64"/>
  <c r="AM6" i="64" s="1"/>
  <c r="AM28" i="64" s="1"/>
  <c r="AM30" i="64" s="1"/>
  <c r="AM53" i="64" s="1"/>
  <c r="AN7" i="3"/>
  <c r="AU6" i="67"/>
  <c r="AU8" i="67"/>
  <c r="AV7" i="67"/>
  <c r="AL1166" i="4"/>
  <c r="AL274" i="4"/>
  <c r="AL273" i="4"/>
  <c r="AL275" i="4"/>
  <c r="AL288" i="4" s="1"/>
  <c r="AL1165" i="4"/>
  <c r="AL15" i="66" s="1"/>
  <c r="AL329" i="4"/>
  <c r="AL414" i="4" s="1"/>
  <c r="AL415" i="4" s="1"/>
  <c r="AM413" i="4" s="1"/>
  <c r="AL226" i="4"/>
  <c r="AL54" i="62"/>
  <c r="AK9" i="3"/>
  <c r="AK63" i="4"/>
  <c r="AK1312" i="4" s="1"/>
  <c r="AK335" i="4"/>
  <c r="AK959" i="4" s="1"/>
  <c r="AK287" i="4"/>
  <c r="AK324" i="4" s="1"/>
  <c r="AL18" i="4"/>
  <c r="AV1447" i="4"/>
  <c r="AV6" i="72"/>
  <c r="AV8" i="72"/>
  <c r="AW7" i="72"/>
  <c r="AT59" i="3"/>
  <c r="AT56" i="3"/>
  <c r="AT95" i="67"/>
  <c r="AT58" i="3"/>
  <c r="AT60" i="3"/>
  <c r="AL32" i="4"/>
  <c r="AL39" i="4" s="1"/>
  <c r="AL46" i="4" s="1"/>
  <c r="AL126" i="4"/>
  <c r="AL198" i="4"/>
  <c r="AJ645" i="4"/>
  <c r="AJ644" i="4"/>
  <c r="AJ641" i="4"/>
  <c r="AJ640" i="4"/>
  <c r="AJ659" i="4" s="1"/>
  <c r="AK142" i="4"/>
  <c r="AK250" i="4"/>
  <c r="AL60" i="62"/>
  <c r="AL17" i="4"/>
  <c r="AL19" i="4"/>
  <c r="AL20" i="4" s="1"/>
  <c r="AL141" i="4"/>
  <c r="AL66" i="4"/>
  <c r="AL60" i="4"/>
  <c r="AJ660" i="4"/>
  <c r="AL70" i="4"/>
  <c r="BD1061" i="4"/>
  <c r="BC1062" i="4"/>
  <c r="AL34" i="66" l="1"/>
  <c r="AM314" i="4"/>
  <c r="AL22" i="4"/>
  <c r="AM21" i="4"/>
  <c r="AN86" i="64"/>
  <c r="AN87" i="64" s="1"/>
  <c r="AN7" i="64"/>
  <c r="AN6" i="64" s="1"/>
  <c r="AN28" i="64" s="1"/>
  <c r="AN30" i="64" s="1"/>
  <c r="AN53" i="64" s="1"/>
  <c r="AN6" i="3"/>
  <c r="AN7" i="62"/>
  <c r="AN6" i="62" s="1"/>
  <c r="AN7" i="66"/>
  <c r="AN6" i="66" s="1"/>
  <c r="AN7" i="4"/>
  <c r="AN8" i="3"/>
  <c r="AN314" i="4" s="1"/>
  <c r="AN7" i="11"/>
  <c r="AN6" i="11" s="1"/>
  <c r="AL965" i="4"/>
  <c r="AL610" i="3"/>
  <c r="AL142" i="4"/>
  <c r="AJ56" i="4"/>
  <c r="AK65" i="4"/>
  <c r="AK53" i="62"/>
  <c r="AK55" i="4"/>
  <c r="AJ661" i="4"/>
  <c r="AU59" i="3"/>
  <c r="AU95" i="67"/>
  <c r="AU56" i="3"/>
  <c r="AU60" i="3"/>
  <c r="AU58" i="3"/>
  <c r="AM15" i="4"/>
  <c r="AM6" i="4"/>
  <c r="AK964" i="4"/>
  <c r="AK605" i="4"/>
  <c r="AL540" i="4"/>
  <c r="AL542" i="4" s="1"/>
  <c r="AI662" i="4"/>
  <c r="AM1165" i="4"/>
  <c r="AM274" i="4"/>
  <c r="AM275" i="4"/>
  <c r="AM288" i="4" s="1"/>
  <c r="AM329" i="4" s="1"/>
  <c r="AM414" i="4" s="1"/>
  <c r="AM415" i="4" s="1"/>
  <c r="AN413" i="4" s="1"/>
  <c r="AM273" i="4"/>
  <c r="AM1166" i="4"/>
  <c r="AM15" i="66" s="1"/>
  <c r="AL199" i="4"/>
  <c r="AL42" i="4"/>
  <c r="AL40" i="4"/>
  <c r="AL47" i="4" s="1"/>
  <c r="AL153" i="4"/>
  <c r="AM355" i="3"/>
  <c r="AM241" i="4" s="1"/>
  <c r="AM330" i="3"/>
  <c r="AM219" i="4" s="1"/>
  <c r="AM224" i="4" s="1"/>
  <c r="AM240" i="3"/>
  <c r="AM145" i="4" s="1"/>
  <c r="AM185" i="3"/>
  <c r="AM122" i="4" s="1"/>
  <c r="AM127" i="4" s="1"/>
  <c r="AM356" i="3"/>
  <c r="AM242" i="4" s="1"/>
  <c r="AM247" i="4" s="1"/>
  <c r="AM8" i="66"/>
  <c r="AM8" i="64"/>
  <c r="AM300" i="3"/>
  <c r="AM187" i="4" s="1"/>
  <c r="AM196" i="4" s="1"/>
  <c r="AM357" i="3"/>
  <c r="AM243" i="4" s="1"/>
  <c r="AM248" i="4" s="1"/>
  <c r="AM1083" i="4"/>
  <c r="AM8" i="62"/>
  <c r="AM218" i="3"/>
  <c r="AM135" i="4" s="1"/>
  <c r="AM140" i="4" s="1"/>
  <c r="AM298" i="3"/>
  <c r="AM185" i="4" s="1"/>
  <c r="AM194" i="4" s="1"/>
  <c r="AM297" i="3"/>
  <c r="AM184" i="4" s="1"/>
  <c r="AM193" i="4" s="1"/>
  <c r="AM1106" i="4"/>
  <c r="AM8" i="11"/>
  <c r="AM16" i="4"/>
  <c r="AM242" i="3"/>
  <c r="AM147" i="4" s="1"/>
  <c r="AM152" i="4" s="1"/>
  <c r="AM299" i="3"/>
  <c r="AM186" i="4" s="1"/>
  <c r="AM195" i="4" s="1"/>
  <c r="AM184" i="3"/>
  <c r="AM121" i="4" s="1"/>
  <c r="AM329" i="3"/>
  <c r="AM218" i="4" s="1"/>
  <c r="AM216" i="3"/>
  <c r="AM133" i="4" s="1"/>
  <c r="AM296" i="3"/>
  <c r="AM183" i="4" s="1"/>
  <c r="AM28" i="4"/>
  <c r="AM301" i="3"/>
  <c r="AM188" i="4" s="1"/>
  <c r="AM197" i="4" s="1"/>
  <c r="AM217" i="3"/>
  <c r="AM134" i="4" s="1"/>
  <c r="AM139" i="4" s="1"/>
  <c r="AM8" i="4"/>
  <c r="AM331" i="3"/>
  <c r="AM220" i="4" s="1"/>
  <c r="AM225" i="4" s="1"/>
  <c r="AM241" i="3"/>
  <c r="AM146" i="4" s="1"/>
  <c r="AM151" i="4" s="1"/>
  <c r="AM186" i="3"/>
  <c r="AM123" i="4" s="1"/>
  <c r="AM128" i="4" s="1"/>
  <c r="AM30" i="4"/>
  <c r="AM529" i="4" s="1"/>
  <c r="AM29" i="4"/>
  <c r="AM1081" i="4"/>
  <c r="AM1082" i="4" s="1"/>
  <c r="AM1107" i="4"/>
  <c r="AM1079" i="4"/>
  <c r="AK655" i="4"/>
  <c r="AK654" i="4"/>
  <c r="AK637" i="4"/>
  <c r="AM1332" i="4"/>
  <c r="AN1332" i="4" s="1"/>
  <c r="AL130" i="4"/>
  <c r="AW8" i="72"/>
  <c r="AW6" i="72"/>
  <c r="AX7" i="72"/>
  <c r="AL24" i="4"/>
  <c r="AL335" i="4"/>
  <c r="AL959" i="4" s="1"/>
  <c r="AL287" i="4"/>
  <c r="AL324" i="4" s="1"/>
  <c r="AL43" i="4"/>
  <c r="AL50" i="4" s="1"/>
  <c r="AL636" i="4" s="1"/>
  <c r="AL9" i="4"/>
  <c r="AL54" i="4"/>
  <c r="AY1315" i="4"/>
  <c r="AX1446" i="4"/>
  <c r="AX1352" i="4"/>
  <c r="AL227" i="4"/>
  <c r="AL44" i="4"/>
  <c r="AL51" i="4" s="1"/>
  <c r="AV8" i="67"/>
  <c r="AV6" i="67"/>
  <c r="AW7" i="67"/>
  <c r="AL9" i="11"/>
  <c r="AW1447" i="4"/>
  <c r="AL250" i="4"/>
  <c r="AK154" i="4"/>
  <c r="AK544" i="4"/>
  <c r="AK612" i="4" s="1"/>
  <c r="AK607" i="4"/>
  <c r="AK200" i="4"/>
  <c r="BD1062" i="4"/>
  <c r="BE1061" i="4"/>
  <c r="AX8" i="72" l="1"/>
  <c r="AX6" i="72"/>
  <c r="AY7" i="72"/>
  <c r="AM57" i="4"/>
  <c r="AM9" i="4" s="1"/>
  <c r="AM28" i="66"/>
  <c r="AM295" i="4"/>
  <c r="AM303" i="4" s="1"/>
  <c r="AM27" i="66"/>
  <c r="AM1186" i="4"/>
  <c r="AM1074" i="4"/>
  <c r="AM9" i="3"/>
  <c r="AM9" i="62"/>
  <c r="AM9" i="11"/>
  <c r="AM9" i="64"/>
  <c r="AM60" i="4"/>
  <c r="AL61" i="4"/>
  <c r="AL318" i="4" s="1"/>
  <c r="AL328" i="4" s="1"/>
  <c r="AM249" i="4"/>
  <c r="AM37" i="4"/>
  <c r="AM246" i="4"/>
  <c r="AK56" i="4"/>
  <c r="AL53" i="62"/>
  <c r="AL53" i="4"/>
  <c r="AM58" i="4"/>
  <c r="AM1052" i="4"/>
  <c r="AM18" i="4"/>
  <c r="AJ662" i="4"/>
  <c r="AK617" i="4"/>
  <c r="AM747" i="4"/>
  <c r="AM530" i="4"/>
  <c r="AM54" i="11"/>
  <c r="AM543" i="4"/>
  <c r="AM62" i="4"/>
  <c r="AM528" i="4" s="1"/>
  <c r="AM70" i="4"/>
  <c r="AL63" i="4"/>
  <c r="AL1312" i="4" s="1"/>
  <c r="AM35" i="4"/>
  <c r="AM192" i="4"/>
  <c r="AL154" i="4"/>
  <c r="AL200" i="4"/>
  <c r="AN275" i="4"/>
  <c r="AN288" i="4" s="1"/>
  <c r="AN329" i="4" s="1"/>
  <c r="AN414" i="4" s="1"/>
  <c r="AN415" i="4" s="1"/>
  <c r="AO413" i="4" s="1"/>
  <c r="AN274" i="4"/>
  <c r="AN1165" i="4"/>
  <c r="AN273" i="4"/>
  <c r="AN1166" i="4"/>
  <c r="AN15" i="66" s="1"/>
  <c r="AW8" i="67"/>
  <c r="AW6" i="67"/>
  <c r="AX7" i="67"/>
  <c r="AL655" i="4"/>
  <c r="AL654" i="4"/>
  <c r="AL637" i="4"/>
  <c r="AK644" i="4"/>
  <c r="AK640" i="4"/>
  <c r="AK645" i="4"/>
  <c r="AK641" i="4"/>
  <c r="AM129" i="4"/>
  <c r="AM33" i="4"/>
  <c r="AM138" i="4"/>
  <c r="AL607" i="4"/>
  <c r="AL544" i="4"/>
  <c r="AL612" i="4" s="1"/>
  <c r="AL605" i="4"/>
  <c r="AL964" i="4"/>
  <c r="AN16" i="4"/>
  <c r="AN329" i="3"/>
  <c r="AN218" i="4" s="1"/>
  <c r="AN331" i="3"/>
  <c r="AN220" i="4" s="1"/>
  <c r="AN225" i="4" s="1"/>
  <c r="AN355" i="3"/>
  <c r="AN241" i="4" s="1"/>
  <c r="AN330" i="3"/>
  <c r="AN219" i="4" s="1"/>
  <c r="AN224" i="4" s="1"/>
  <c r="AN28" i="4"/>
  <c r="AN1106" i="4"/>
  <c r="AN300" i="3"/>
  <c r="AN187" i="4" s="1"/>
  <c r="AN196" i="4" s="1"/>
  <c r="AN357" i="3"/>
  <c r="AN243" i="4" s="1"/>
  <c r="AN248" i="4" s="1"/>
  <c r="AN8" i="11"/>
  <c r="AN1083" i="4"/>
  <c r="AN301" i="3"/>
  <c r="AN188" i="4" s="1"/>
  <c r="AN197" i="4" s="1"/>
  <c r="AN240" i="3"/>
  <c r="AN145" i="4" s="1"/>
  <c r="AN184" i="3"/>
  <c r="AN121" i="4" s="1"/>
  <c r="AN8" i="66"/>
  <c r="AN218" i="3"/>
  <c r="AN135" i="4" s="1"/>
  <c r="AN140" i="4" s="1"/>
  <c r="AN217" i="3"/>
  <c r="AN134" i="4" s="1"/>
  <c r="AN139" i="4" s="1"/>
  <c r="AN299" i="3"/>
  <c r="AN186" i="4" s="1"/>
  <c r="AN195" i="4" s="1"/>
  <c r="AN8" i="62"/>
  <c r="AN216" i="3"/>
  <c r="AN133" i="4" s="1"/>
  <c r="AN186" i="3"/>
  <c r="AN123" i="4" s="1"/>
  <c r="AN128" i="4" s="1"/>
  <c r="AN296" i="3"/>
  <c r="AN183" i="4" s="1"/>
  <c r="AN185" i="3"/>
  <c r="AN122" i="4" s="1"/>
  <c r="AN127" i="4" s="1"/>
  <c r="AN241" i="3"/>
  <c r="AN146" i="4" s="1"/>
  <c r="AN151" i="4" s="1"/>
  <c r="AN297" i="3"/>
  <c r="AN184" i="4" s="1"/>
  <c r="AN193" i="4" s="1"/>
  <c r="AN242" i="3"/>
  <c r="AN147" i="4" s="1"/>
  <c r="AN152" i="4" s="1"/>
  <c r="AN8" i="4"/>
  <c r="AN356" i="3"/>
  <c r="AN242" i="4" s="1"/>
  <c r="AN247" i="4" s="1"/>
  <c r="AN298" i="3"/>
  <c r="AN185" i="4" s="1"/>
  <c r="AN194" i="4" s="1"/>
  <c r="AN8" i="64"/>
  <c r="AN29" i="4"/>
  <c r="AN30" i="4"/>
  <c r="AM63" i="4" s="1"/>
  <c r="AM1312" i="4" s="1"/>
  <c r="AN1081" i="4"/>
  <c r="AN1082" i="4" s="1"/>
  <c r="AN1107" i="4"/>
  <c r="AN1079" i="4"/>
  <c r="AN1370" i="4"/>
  <c r="AV59" i="3"/>
  <c r="AV95" i="67"/>
  <c r="AV56" i="3"/>
  <c r="AV60" i="3"/>
  <c r="AV58" i="3"/>
  <c r="AK659" i="4"/>
  <c r="AM36" i="4"/>
  <c r="AM223" i="4"/>
  <c r="AM198" i="4"/>
  <c r="AL65" i="4"/>
  <c r="AM67" i="4"/>
  <c r="AO7" i="3"/>
  <c r="AK660" i="4"/>
  <c r="AM1063" i="4"/>
  <c r="AM1080" i="4"/>
  <c r="AM1066" i="4"/>
  <c r="AM1075" i="4" s="1"/>
  <c r="AM226" i="4"/>
  <c r="AM32" i="4"/>
  <c r="AM126" i="4"/>
  <c r="AM141" i="4"/>
  <c r="AL49" i="4"/>
  <c r="AM34" i="66"/>
  <c r="AN6" i="4"/>
  <c r="AN15" i="4"/>
  <c r="AX1447" i="4"/>
  <c r="AM19" i="4"/>
  <c r="AM20" i="4" s="1"/>
  <c r="AM17" i="4"/>
  <c r="AM24" i="4" s="1"/>
  <c r="AM54" i="62"/>
  <c r="AM34" i="4"/>
  <c r="AM150" i="4"/>
  <c r="AL55" i="4"/>
  <c r="AM68" i="4"/>
  <c r="AY1446" i="4"/>
  <c r="AZ1315" i="4"/>
  <c r="AY1352" i="4"/>
  <c r="AM66" i="4"/>
  <c r="AN66" i="4" s="1"/>
  <c r="AM335" i="4"/>
  <c r="AM959" i="4" s="1"/>
  <c r="AM287" i="4"/>
  <c r="AM324" i="4" s="1"/>
  <c r="BE1062" i="4"/>
  <c r="BF1061" i="4"/>
  <c r="AM227" i="4" l="1"/>
  <c r="BA1315" i="4"/>
  <c r="AZ1352" i="4"/>
  <c r="AZ1446" i="4"/>
  <c r="AM22" i="4"/>
  <c r="AN21" i="4"/>
  <c r="AN1186" i="4"/>
  <c r="AN28" i="66"/>
  <c r="AN57" i="4"/>
  <c r="AN9" i="4" s="1"/>
  <c r="AN295" i="4"/>
  <c r="AN303" i="4" s="1"/>
  <c r="AN9" i="66"/>
  <c r="AN1074" i="4"/>
  <c r="AN27" i="66"/>
  <c r="AN9" i="11"/>
  <c r="AN9" i="62"/>
  <c r="AN141" i="4"/>
  <c r="AM142" i="4"/>
  <c r="AL640" i="4"/>
  <c r="AL645" i="4"/>
  <c r="AL644" i="4"/>
  <c r="AL641" i="4"/>
  <c r="AN34" i="66"/>
  <c r="AY1447" i="4"/>
  <c r="AM130" i="4"/>
  <c r="AO86" i="64"/>
  <c r="AO87" i="64" s="1"/>
  <c r="AO7" i="66"/>
  <c r="AO6" i="66" s="1"/>
  <c r="AO7" i="11"/>
  <c r="AO6" i="11" s="1"/>
  <c r="AO6" i="3"/>
  <c r="AO7" i="64"/>
  <c r="AO6" i="64" s="1"/>
  <c r="AO28" i="64" s="1"/>
  <c r="AO30" i="64" s="1"/>
  <c r="AO53" i="64" s="1"/>
  <c r="AO8" i="3"/>
  <c r="AP7" i="3" s="1"/>
  <c r="AO7" i="62"/>
  <c r="AO6" i="62" s="1"/>
  <c r="AO7" i="4"/>
  <c r="AN529" i="4"/>
  <c r="AM40" i="4"/>
  <c r="AM47" i="4" s="1"/>
  <c r="AL659" i="4"/>
  <c r="AM153" i="4"/>
  <c r="AM39" i="4"/>
  <c r="AM46" i="4" s="1"/>
  <c r="AN67" i="4"/>
  <c r="AN68" i="4"/>
  <c r="AM610" i="3"/>
  <c r="AM965" i="4"/>
  <c r="AN35" i="4"/>
  <c r="AN192" i="4"/>
  <c r="AN32" i="4"/>
  <c r="AN39" i="4" s="1"/>
  <c r="AN126" i="4"/>
  <c r="AM53" i="4"/>
  <c r="AN58" i="4"/>
  <c r="AN1052" i="4"/>
  <c r="AL660" i="4"/>
  <c r="AN335" i="4"/>
  <c r="AN959" i="4" s="1"/>
  <c r="AN287" i="4"/>
  <c r="AN324" i="4" s="1"/>
  <c r="AN70" i="4"/>
  <c r="AN60" i="4"/>
  <c r="AM41" i="4"/>
  <c r="AM48" i="4" s="1"/>
  <c r="AM43" i="4"/>
  <c r="AM50" i="4" s="1"/>
  <c r="AM636" i="4" s="1"/>
  <c r="AN198" i="4"/>
  <c r="AN129" i="4"/>
  <c r="AN34" i="4"/>
  <c r="AN150" i="4"/>
  <c r="AX8" i="67"/>
  <c r="AX6" i="67"/>
  <c r="AY7" i="67"/>
  <c r="AN1080" i="4"/>
  <c r="AN1063" i="4"/>
  <c r="AN1066" i="4"/>
  <c r="AN1075" i="4" s="1"/>
  <c r="AN33" i="4"/>
  <c r="AN138" i="4"/>
  <c r="AN37" i="4"/>
  <c r="AN246" i="4"/>
  <c r="AW60" i="3"/>
  <c r="AW59" i="3"/>
  <c r="AW58" i="3"/>
  <c r="AW95" i="67"/>
  <c r="AW56" i="3"/>
  <c r="AM199" i="4"/>
  <c r="AM250" i="4"/>
  <c r="AM61" i="4"/>
  <c r="AM318" i="4" s="1"/>
  <c r="AM328" i="4" s="1"/>
  <c r="AN60" i="62"/>
  <c r="AN18" i="4"/>
  <c r="AK661" i="4"/>
  <c r="AN19" i="4"/>
  <c r="AN20" i="4" s="1"/>
  <c r="AN17" i="4"/>
  <c r="AN54" i="62"/>
  <c r="AN226" i="4"/>
  <c r="AL617" i="4"/>
  <c r="AN42" i="4"/>
  <c r="AM42" i="4"/>
  <c r="AN44" i="4"/>
  <c r="AM44" i="4"/>
  <c r="AM51" i="4" s="1"/>
  <c r="AN36" i="4"/>
  <c r="AN43" i="4" s="1"/>
  <c r="AN50" i="4" s="1"/>
  <c r="AN636" i="4" s="1"/>
  <c r="AN223" i="4"/>
  <c r="AM9" i="66"/>
  <c r="AM54" i="4"/>
  <c r="AM65" i="4" s="1"/>
  <c r="AM60" i="62"/>
  <c r="AN530" i="4"/>
  <c r="AN540" i="4" s="1"/>
  <c r="AN747" i="4"/>
  <c r="AN543" i="4"/>
  <c r="AN62" i="4"/>
  <c r="AN528" i="4" s="1"/>
  <c r="AN54" i="11"/>
  <c r="AN249" i="4"/>
  <c r="AM540" i="4"/>
  <c r="AM542" i="4" s="1"/>
  <c r="AY8" i="72"/>
  <c r="AY6" i="72"/>
  <c r="AZ7" i="72"/>
  <c r="BG1061" i="4"/>
  <c r="BF1062" i="4"/>
  <c r="AN227" i="4" l="1"/>
  <c r="AN46" i="4"/>
  <c r="AN51" i="4"/>
  <c r="AO1370" i="4"/>
  <c r="AN9" i="64"/>
  <c r="AN654" i="4"/>
  <c r="AN655" i="4"/>
  <c r="AN637" i="4"/>
  <c r="AN22" i="4"/>
  <c r="AO21" i="4"/>
  <c r="AM964" i="4"/>
  <c r="AM605" i="4"/>
  <c r="AN9" i="3"/>
  <c r="AN54" i="4"/>
  <c r="AN65" i="4" s="1"/>
  <c r="AM607" i="4"/>
  <c r="AM544" i="4"/>
  <c r="AM612" i="4" s="1"/>
  <c r="AN24" i="4"/>
  <c r="AN199" i="4"/>
  <c r="AP7" i="11"/>
  <c r="AP6" i="11" s="1"/>
  <c r="AP7" i="62"/>
  <c r="AP6" i="62" s="1"/>
  <c r="AP7" i="4"/>
  <c r="AP6" i="3"/>
  <c r="AP86" i="64"/>
  <c r="AP87" i="64" s="1"/>
  <c r="AP7" i="64"/>
  <c r="AP6" i="64" s="1"/>
  <c r="AP28" i="64" s="1"/>
  <c r="AP30" i="64" s="1"/>
  <c r="AP53" i="64" s="1"/>
  <c r="AP314" i="4"/>
  <c r="AP7" i="66"/>
  <c r="AP6" i="66" s="1"/>
  <c r="AP8" i="3"/>
  <c r="AQ7" i="3" s="1"/>
  <c r="AZ8" i="72"/>
  <c r="AZ6" i="72"/>
  <c r="BA7" i="72"/>
  <c r="AN153" i="4"/>
  <c r="AN610" i="3"/>
  <c r="AN965" i="4"/>
  <c r="AO301" i="3"/>
  <c r="AO188" i="4" s="1"/>
  <c r="AO197" i="4" s="1"/>
  <c r="AO186" i="3"/>
  <c r="AO123" i="4" s="1"/>
  <c r="AO128" i="4" s="1"/>
  <c r="AO331" i="3"/>
  <c r="AO220" i="4" s="1"/>
  <c r="AO225" i="4" s="1"/>
  <c r="AO356" i="3"/>
  <c r="AO242" i="4" s="1"/>
  <c r="AO247" i="4" s="1"/>
  <c r="AO1083" i="4"/>
  <c r="AO185" i="3"/>
  <c r="AO122" i="4" s="1"/>
  <c r="AO127" i="4" s="1"/>
  <c r="AO299" i="3"/>
  <c r="AO186" i="4" s="1"/>
  <c r="AO195" i="4" s="1"/>
  <c r="AO300" i="3"/>
  <c r="AO187" i="4" s="1"/>
  <c r="AO196" i="4" s="1"/>
  <c r="AO8" i="11"/>
  <c r="AO16" i="4"/>
  <c r="AO357" i="3"/>
  <c r="AO243" i="4" s="1"/>
  <c r="AO248" i="4" s="1"/>
  <c r="AO298" i="3"/>
  <c r="AO185" i="4" s="1"/>
  <c r="AO194" i="4" s="1"/>
  <c r="AO1106" i="4"/>
  <c r="AO330" i="3"/>
  <c r="AO219" i="4" s="1"/>
  <c r="AO224" i="4" s="1"/>
  <c r="AO355" i="3"/>
  <c r="AO241" i="4" s="1"/>
  <c r="AO241" i="3"/>
  <c r="AO146" i="4" s="1"/>
  <c r="AO151" i="4" s="1"/>
  <c r="AO218" i="3"/>
  <c r="AO135" i="4" s="1"/>
  <c r="AO140" i="4" s="1"/>
  <c r="AO217" i="3"/>
  <c r="AO134" i="4" s="1"/>
  <c r="AO329" i="3"/>
  <c r="AO218" i="4" s="1"/>
  <c r="AO216" i="3"/>
  <c r="AO133" i="4" s="1"/>
  <c r="AO138" i="4" s="1"/>
  <c r="AO297" i="3"/>
  <c r="AO184" i="4" s="1"/>
  <c r="AO193" i="4" s="1"/>
  <c r="AO242" i="3"/>
  <c r="AO147" i="4" s="1"/>
  <c r="AO152" i="4" s="1"/>
  <c r="AO296" i="3"/>
  <c r="AO183" i="4" s="1"/>
  <c r="AO8" i="66"/>
  <c r="AO8" i="4"/>
  <c r="AO8" i="62"/>
  <c r="AO240" i="3"/>
  <c r="AO145" i="4" s="1"/>
  <c r="AO8" i="64"/>
  <c r="AO28" i="4"/>
  <c r="AO184" i="3"/>
  <c r="AO121" i="4" s="1"/>
  <c r="AO30" i="4"/>
  <c r="AO68" i="4" s="1"/>
  <c r="AO29" i="4"/>
  <c r="AO1079" i="4"/>
  <c r="AO1107" i="4"/>
  <c r="AO1081" i="4"/>
  <c r="AO1082" i="4" s="1"/>
  <c r="AO1332" i="4"/>
  <c r="AP1332" i="4" s="1"/>
  <c r="BB1315" i="4"/>
  <c r="BA1446" i="4"/>
  <c r="BA1352" i="4"/>
  <c r="AK662" i="4"/>
  <c r="AM200" i="4"/>
  <c r="AY6" i="67"/>
  <c r="AY8" i="67"/>
  <c r="AZ7" i="67"/>
  <c r="AM654" i="4"/>
  <c r="AM655" i="4"/>
  <c r="AM637" i="4"/>
  <c r="AN250" i="4"/>
  <c r="AX59" i="3"/>
  <c r="AX58" i="3"/>
  <c r="AX95" i="67"/>
  <c r="AX60" i="3"/>
  <c r="AX56" i="3"/>
  <c r="AL661" i="4"/>
  <c r="AO314" i="4"/>
  <c r="AP1370" i="4"/>
  <c r="AM49" i="4"/>
  <c r="AN41" i="4"/>
  <c r="AN48" i="4" s="1"/>
  <c r="AM154" i="4"/>
  <c r="AN40" i="4"/>
  <c r="AN47" i="4" s="1"/>
  <c r="AN542" i="4"/>
  <c r="AL56" i="4"/>
  <c r="AN55" i="4"/>
  <c r="AM55" i="4"/>
  <c r="AM53" i="62"/>
  <c r="AN49" i="4"/>
  <c r="AN142" i="4"/>
  <c r="AN130" i="4"/>
  <c r="AO6" i="4"/>
  <c r="AO15" i="4"/>
  <c r="AZ1447" i="4"/>
  <c r="BG1062" i="4"/>
  <c r="BH1061" i="4"/>
  <c r="AM641" i="4" l="1"/>
  <c r="AM659" i="4" s="1"/>
  <c r="AM645" i="4"/>
  <c r="AM640" i="4"/>
  <c r="AM644" i="4"/>
  <c r="AM660" i="4" s="1"/>
  <c r="AO529" i="4"/>
  <c r="AO35" i="4"/>
  <c r="AO192" i="4"/>
  <c r="AO37" i="4"/>
  <c r="AO246" i="4"/>
  <c r="BA8" i="72"/>
  <c r="BA6" i="72"/>
  <c r="BB7" i="72"/>
  <c r="AO33" i="4"/>
  <c r="AO139" i="4"/>
  <c r="AO18" i="4"/>
  <c r="AO32" i="4"/>
  <c r="AO126" i="4"/>
  <c r="AP273" i="4"/>
  <c r="AP1165" i="4"/>
  <c r="AP274" i="4"/>
  <c r="AP275" i="4"/>
  <c r="AP1166" i="4"/>
  <c r="AP15" i="66" s="1"/>
  <c r="AN200" i="4"/>
  <c r="AO54" i="62"/>
  <c r="BA1447" i="4"/>
  <c r="AN53" i="4"/>
  <c r="AO58" i="4"/>
  <c r="AO1052" i="4"/>
  <c r="AN964" i="4"/>
  <c r="AN605" i="4"/>
  <c r="BB1352" i="4"/>
  <c r="BC1315" i="4"/>
  <c r="BB1446" i="4"/>
  <c r="AO198" i="4"/>
  <c r="AN641" i="4"/>
  <c r="AN644" i="4"/>
  <c r="AN640" i="4"/>
  <c r="AN645" i="4"/>
  <c r="AN660" i="4" s="1"/>
  <c r="AZ8" i="67"/>
  <c r="AZ6" i="67"/>
  <c r="BA7" i="67"/>
  <c r="AO34" i="4"/>
  <c r="AO150" i="4"/>
  <c r="AO36" i="4"/>
  <c r="AO223" i="4"/>
  <c r="AO249" i="4"/>
  <c r="AO226" i="4"/>
  <c r="AM617" i="4"/>
  <c r="AO129" i="4"/>
  <c r="AP15" i="4"/>
  <c r="AP6" i="4"/>
  <c r="AO275" i="4"/>
  <c r="AO288" i="4" s="1"/>
  <c r="AO329" i="4" s="1"/>
  <c r="AO414" i="4" s="1"/>
  <c r="AO415" i="4" s="1"/>
  <c r="AP413" i="4" s="1"/>
  <c r="AO273" i="4"/>
  <c r="AO1166" i="4"/>
  <c r="AO1165" i="4"/>
  <c r="AO15" i="66" s="1"/>
  <c r="AO274" i="4"/>
  <c r="AO1080" i="4"/>
  <c r="AO1063" i="4"/>
  <c r="AO1066" i="4"/>
  <c r="AO1075" i="4" s="1"/>
  <c r="AY58" i="3"/>
  <c r="AY56" i="3"/>
  <c r="AY59" i="3"/>
  <c r="AY60" i="3"/>
  <c r="AY95" i="67"/>
  <c r="AO295" i="4"/>
  <c r="AO303" i="4" s="1"/>
  <c r="AO27" i="66"/>
  <c r="AO9" i="64"/>
  <c r="AO57" i="4"/>
  <c r="AO9" i="4" s="1"/>
  <c r="AO1074" i="4"/>
  <c r="AO28" i="66"/>
  <c r="AO1186" i="4"/>
  <c r="AO60" i="4"/>
  <c r="AO66" i="4"/>
  <c r="AN61" i="4"/>
  <c r="AN318" i="4" s="1"/>
  <c r="AN328" i="4" s="1"/>
  <c r="AO19" i="4"/>
  <c r="AO20" i="4" s="1"/>
  <c r="AO17" i="4"/>
  <c r="AO141" i="4"/>
  <c r="AN154" i="4"/>
  <c r="AP186" i="3"/>
  <c r="AP123" i="4" s="1"/>
  <c r="AP128" i="4" s="1"/>
  <c r="AP218" i="3"/>
  <c r="AP135" i="4" s="1"/>
  <c r="AP140" i="4" s="1"/>
  <c r="AP217" i="3"/>
  <c r="AP134" i="4" s="1"/>
  <c r="AP297" i="3"/>
  <c r="AP184" i="4" s="1"/>
  <c r="AP193" i="4" s="1"/>
  <c r="AP28" i="4"/>
  <c r="AP240" i="3"/>
  <c r="AP145" i="4" s="1"/>
  <c r="AP331" i="3"/>
  <c r="AP220" i="4" s="1"/>
  <c r="AP225" i="4" s="1"/>
  <c r="AP355" i="3"/>
  <c r="AP241" i="4" s="1"/>
  <c r="AP8" i="66"/>
  <c r="AP8" i="62"/>
  <c r="AP301" i="3"/>
  <c r="AP188" i="4" s="1"/>
  <c r="AP197" i="4" s="1"/>
  <c r="AP242" i="3"/>
  <c r="AP147" i="4" s="1"/>
  <c r="AP152" i="4" s="1"/>
  <c r="AP356" i="3"/>
  <c r="AP242" i="4" s="1"/>
  <c r="AP247" i="4" s="1"/>
  <c r="AP241" i="3"/>
  <c r="AP146" i="4" s="1"/>
  <c r="AP151" i="4" s="1"/>
  <c r="AP298" i="3"/>
  <c r="AP185" i="4" s="1"/>
  <c r="AP194" i="4" s="1"/>
  <c r="AP8" i="11"/>
  <c r="AP330" i="3"/>
  <c r="AP219" i="4" s="1"/>
  <c r="AP224" i="4" s="1"/>
  <c r="AP296" i="3"/>
  <c r="AP183" i="4" s="1"/>
  <c r="AP1106" i="4"/>
  <c r="AP16" i="4"/>
  <c r="AP299" i="3"/>
  <c r="AP186" i="4" s="1"/>
  <c r="AP195" i="4" s="1"/>
  <c r="AP184" i="3"/>
  <c r="AP121" i="4" s="1"/>
  <c r="AP216" i="3"/>
  <c r="AP133" i="4" s="1"/>
  <c r="AP138" i="4" s="1"/>
  <c r="AP8" i="4"/>
  <c r="AP185" i="3"/>
  <c r="AP122" i="4" s="1"/>
  <c r="AP127" i="4" s="1"/>
  <c r="AP357" i="3"/>
  <c r="AP243" i="4" s="1"/>
  <c r="AP248" i="4" s="1"/>
  <c r="AP8" i="64"/>
  <c r="AP329" i="3"/>
  <c r="AP218" i="4" s="1"/>
  <c r="AP300" i="3"/>
  <c r="AP187" i="4" s="1"/>
  <c r="AP196" i="4" s="1"/>
  <c r="AP1083" i="4"/>
  <c r="AP529" i="4"/>
  <c r="AP30" i="4"/>
  <c r="AP29" i="4"/>
  <c r="AP1107" i="4"/>
  <c r="AP1081" i="4"/>
  <c r="AP1082" i="4" s="1"/>
  <c r="AP1079" i="4"/>
  <c r="AN544" i="4"/>
  <c r="AN612" i="4" s="1"/>
  <c r="AN607" i="4"/>
  <c r="AL662" i="4"/>
  <c r="AO747" i="4"/>
  <c r="AO530" i="4"/>
  <c r="AO54" i="11"/>
  <c r="AO543" i="4"/>
  <c r="AO63" i="4"/>
  <c r="AO1312" i="4" s="1"/>
  <c r="AO62" i="4"/>
  <c r="AO528" i="4" s="1"/>
  <c r="AP70" i="4"/>
  <c r="AN63" i="4"/>
  <c r="AN1312" i="4" s="1"/>
  <c r="AO70" i="4"/>
  <c r="AO67" i="4"/>
  <c r="AQ7" i="4"/>
  <c r="AQ6" i="3"/>
  <c r="AQ8" i="3"/>
  <c r="AQ314" i="4" s="1"/>
  <c r="AQ7" i="62"/>
  <c r="AQ6" i="62" s="1"/>
  <c r="AQ86" i="64"/>
  <c r="AQ87" i="64" s="1"/>
  <c r="AQ7" i="64"/>
  <c r="AQ6" i="64" s="1"/>
  <c r="AQ28" i="64" s="1"/>
  <c r="AQ30" i="64" s="1"/>
  <c r="AQ53" i="64" s="1"/>
  <c r="AQ7" i="11"/>
  <c r="AQ6" i="11" s="1"/>
  <c r="AQ7" i="66"/>
  <c r="AQ6" i="66" s="1"/>
  <c r="AM56" i="4"/>
  <c r="AN53" i="62"/>
  <c r="BI1061" i="4"/>
  <c r="BH1062" i="4"/>
  <c r="AN659" i="4" l="1"/>
  <c r="AO61" i="4"/>
  <c r="AO318" i="4" s="1"/>
  <c r="AO9" i="66"/>
  <c r="AO540" i="4"/>
  <c r="AO9" i="62"/>
  <c r="AO9" i="3"/>
  <c r="AO542" i="4"/>
  <c r="AO607" i="4" s="1"/>
  <c r="AM661" i="4"/>
  <c r="AP34" i="4"/>
  <c r="AP150" i="4"/>
  <c r="AQ1106" i="4"/>
  <c r="AQ241" i="3"/>
  <c r="AQ146" i="4" s="1"/>
  <c r="AQ151" i="4" s="1"/>
  <c r="AQ355" i="3"/>
  <c r="AQ241" i="4" s="1"/>
  <c r="AQ185" i="3"/>
  <c r="AQ122" i="4" s="1"/>
  <c r="AQ127" i="4" s="1"/>
  <c r="AQ296" i="3"/>
  <c r="AQ183" i="4" s="1"/>
  <c r="AQ217" i="3"/>
  <c r="AQ134" i="4" s="1"/>
  <c r="AQ139" i="4" s="1"/>
  <c r="AQ8" i="4"/>
  <c r="AQ1083" i="4"/>
  <c r="AQ218" i="3"/>
  <c r="AQ135" i="4" s="1"/>
  <c r="AQ140" i="4" s="1"/>
  <c r="AQ184" i="3"/>
  <c r="AQ121" i="4" s="1"/>
  <c r="AQ297" i="3"/>
  <c r="AQ184" i="4" s="1"/>
  <c r="AQ193" i="4" s="1"/>
  <c r="AQ299" i="3"/>
  <c r="AQ186" i="4" s="1"/>
  <c r="AQ195" i="4" s="1"/>
  <c r="AQ216" i="3"/>
  <c r="AQ133" i="4" s="1"/>
  <c r="AQ8" i="62"/>
  <c r="AQ28" i="4"/>
  <c r="AQ301" i="3"/>
  <c r="AQ188" i="4" s="1"/>
  <c r="AQ197" i="4" s="1"/>
  <c r="AQ330" i="3"/>
  <c r="AQ219" i="4" s="1"/>
  <c r="AQ224" i="4" s="1"/>
  <c r="AQ298" i="3"/>
  <c r="AQ185" i="4" s="1"/>
  <c r="AQ194" i="4" s="1"/>
  <c r="AQ331" i="3"/>
  <c r="AQ220" i="4" s="1"/>
  <c r="AQ225" i="4" s="1"/>
  <c r="AQ240" i="3"/>
  <c r="AQ145" i="4" s="1"/>
  <c r="AQ8" i="64"/>
  <c r="AQ329" i="3"/>
  <c r="AQ218" i="4" s="1"/>
  <c r="AQ8" i="66"/>
  <c r="AQ8" i="11"/>
  <c r="AQ186" i="3"/>
  <c r="AQ123" i="4" s="1"/>
  <c r="AQ128" i="4" s="1"/>
  <c r="AQ16" i="4"/>
  <c r="AQ242" i="3"/>
  <c r="AQ147" i="4" s="1"/>
  <c r="AQ152" i="4" s="1"/>
  <c r="AQ300" i="3"/>
  <c r="AQ187" i="4" s="1"/>
  <c r="AQ196" i="4" s="1"/>
  <c r="AQ356" i="3"/>
  <c r="AQ242" i="4" s="1"/>
  <c r="AQ247" i="4" s="1"/>
  <c r="AQ357" i="3"/>
  <c r="AQ243" i="4" s="1"/>
  <c r="AQ248" i="4" s="1"/>
  <c r="AQ29" i="4"/>
  <c r="AQ30" i="4"/>
  <c r="AQ529" i="4" s="1"/>
  <c r="AQ1107" i="4"/>
  <c r="AQ1079" i="4"/>
  <c r="AQ1081" i="4"/>
  <c r="AQ1082" i="4" s="1"/>
  <c r="AN617" i="4"/>
  <c r="AO53" i="4"/>
  <c r="AP1052" i="4"/>
  <c r="AP58" i="4"/>
  <c r="AP60" i="4"/>
  <c r="AO43" i="4"/>
  <c r="AO50" i="4" s="1"/>
  <c r="AO636" i="4" s="1"/>
  <c r="AO199" i="4"/>
  <c r="AP1080" i="4"/>
  <c r="AP1063" i="4"/>
  <c r="AP1066" i="4"/>
  <c r="AP1075" i="4" s="1"/>
  <c r="AP36" i="4"/>
  <c r="AP223" i="4"/>
  <c r="AO34" i="66"/>
  <c r="AO153" i="4"/>
  <c r="AO130" i="4"/>
  <c r="AO40" i="4"/>
  <c r="AO47" i="4" s="1"/>
  <c r="AO42" i="4"/>
  <c r="AQ274" i="4"/>
  <c r="AQ1165" i="4"/>
  <c r="AQ273" i="4"/>
  <c r="AQ34" i="66" s="1"/>
  <c r="AQ275" i="4"/>
  <c r="AQ288" i="4" s="1"/>
  <c r="AQ1166" i="4"/>
  <c r="AQ6" i="4"/>
  <c r="AQ15" i="4"/>
  <c r="AP33" i="4"/>
  <c r="AP40" i="4" s="1"/>
  <c r="AP139" i="4"/>
  <c r="AP41" i="4"/>
  <c r="AO41" i="4"/>
  <c r="AO48" i="4" s="1"/>
  <c r="AO39" i="4"/>
  <c r="AO46" i="4" s="1"/>
  <c r="BB6" i="72"/>
  <c r="BB8" i="72"/>
  <c r="BC7" i="72"/>
  <c r="AO965" i="4"/>
  <c r="AO610" i="3"/>
  <c r="AP68" i="4"/>
  <c r="AP67" i="4"/>
  <c r="AP249" i="4"/>
  <c r="AP35" i="4"/>
  <c r="AP42" i="4" s="1"/>
  <c r="AP49" i="4" s="1"/>
  <c r="AP192" i="4"/>
  <c r="AP54" i="62"/>
  <c r="AP141" i="4"/>
  <c r="AO22" i="4"/>
  <c r="AP21" i="4"/>
  <c r="AO142" i="4"/>
  <c r="AP288" i="4"/>
  <c r="AP329" i="4" s="1"/>
  <c r="AP414" i="4" s="1"/>
  <c r="AP415" i="4" s="1"/>
  <c r="AQ413" i="4" s="1"/>
  <c r="AQ1332" i="4"/>
  <c r="AP28" i="66"/>
  <c r="AP27" i="66"/>
  <c r="AP1186" i="4"/>
  <c r="AP57" i="4"/>
  <c r="AP9" i="66" s="1"/>
  <c r="AP295" i="4"/>
  <c r="AP303" i="4" s="1"/>
  <c r="AP1074" i="4"/>
  <c r="AP9" i="11"/>
  <c r="AP9" i="62"/>
  <c r="AP129" i="4"/>
  <c r="AO328" i="4"/>
  <c r="BA8" i="67"/>
  <c r="BA6" i="67"/>
  <c r="BB7" i="67"/>
  <c r="AN661" i="4"/>
  <c r="BB1447" i="4"/>
  <c r="AQ1370" i="4"/>
  <c r="AP335" i="4"/>
  <c r="AP959" i="4" s="1"/>
  <c r="AP287" i="4"/>
  <c r="AP32" i="4"/>
  <c r="AP126" i="4"/>
  <c r="AO44" i="4"/>
  <c r="AO51" i="4" s="1"/>
  <c r="AR7" i="3"/>
  <c r="AP530" i="4"/>
  <c r="AP747" i="4"/>
  <c r="AP543" i="4"/>
  <c r="AP63" i="4"/>
  <c r="AP1312" i="4" s="1"/>
  <c r="AP54" i="11"/>
  <c r="AP62" i="4"/>
  <c r="AP528" i="4" s="1"/>
  <c r="AQ70" i="4"/>
  <c r="AP17" i="4"/>
  <c r="AP19" i="4"/>
  <c r="AP20" i="4" s="1"/>
  <c r="AP37" i="4"/>
  <c r="AP44" i="4" s="1"/>
  <c r="AP246" i="4"/>
  <c r="AP66" i="4"/>
  <c r="AO9" i="11"/>
  <c r="AO54" i="4"/>
  <c r="AO60" i="62"/>
  <c r="AP60" i="62" s="1"/>
  <c r="AP18" i="4"/>
  <c r="AP24" i="4" s="1"/>
  <c r="AZ56" i="3"/>
  <c r="AZ95" i="67"/>
  <c r="AZ60" i="3"/>
  <c r="AZ59" i="3"/>
  <c r="AZ58" i="3"/>
  <c r="AO24" i="4"/>
  <c r="AO227" i="4"/>
  <c r="AP198" i="4"/>
  <c r="AP226" i="4"/>
  <c r="AO335" i="4"/>
  <c r="AO959" i="4" s="1"/>
  <c r="AO287" i="4"/>
  <c r="AO324" i="4" s="1"/>
  <c r="AP324" i="4" s="1"/>
  <c r="BD1315" i="4"/>
  <c r="BC1352" i="4"/>
  <c r="BC1446" i="4"/>
  <c r="AP34" i="66"/>
  <c r="AO250" i="4"/>
  <c r="BI1062" i="4"/>
  <c r="BJ1061" i="4"/>
  <c r="AP227" i="4" l="1"/>
  <c r="AP142" i="4"/>
  <c r="AO544" i="4"/>
  <c r="AO612" i="4" s="1"/>
  <c r="AO617" i="4" s="1"/>
  <c r="AQ329" i="4"/>
  <c r="AQ414" i="4" s="1"/>
  <c r="AQ415" i="4" s="1"/>
  <c r="AR413" i="4" s="1"/>
  <c r="AP9" i="3"/>
  <c r="AP48" i="4"/>
  <c r="AP9" i="4"/>
  <c r="AP51" i="4"/>
  <c r="AP47" i="4"/>
  <c r="AQ66" i="4"/>
  <c r="AR7" i="4"/>
  <c r="AR7" i="62"/>
  <c r="AR6" i="62" s="1"/>
  <c r="AR6" i="3"/>
  <c r="AR7" i="64"/>
  <c r="AR6" i="64" s="1"/>
  <c r="AR28" i="64" s="1"/>
  <c r="AR30" i="64" s="1"/>
  <c r="AR53" i="64" s="1"/>
  <c r="AR7" i="11"/>
  <c r="AR6" i="11" s="1"/>
  <c r="AR8" i="3"/>
  <c r="AR1370" i="4" s="1"/>
  <c r="AR7" i="66"/>
  <c r="AR6" i="66" s="1"/>
  <c r="AR86" i="64"/>
  <c r="AR87" i="64" s="1"/>
  <c r="AQ15" i="66"/>
  <c r="AP53" i="4"/>
  <c r="AQ1052" i="4"/>
  <c r="AQ58" i="4"/>
  <c r="AQ19" i="4"/>
  <c r="AQ20" i="4" s="1"/>
  <c r="AQ17" i="4"/>
  <c r="AQ27" i="66"/>
  <c r="AQ28" i="66"/>
  <c r="AQ1186" i="4"/>
  <c r="AQ1074" i="4"/>
  <c r="AQ57" i="4"/>
  <c r="AQ54" i="4" s="1"/>
  <c r="AQ295" i="4"/>
  <c r="AQ303" i="4" s="1"/>
  <c r="AQ9" i="11"/>
  <c r="AQ9" i="62"/>
  <c r="AQ9" i="64"/>
  <c r="AP153" i="4"/>
  <c r="AP250" i="4"/>
  <c r="AP9" i="64"/>
  <c r="AP54" i="4"/>
  <c r="AP55" i="4" s="1"/>
  <c r="AQ335" i="4"/>
  <c r="AQ959" i="4" s="1"/>
  <c r="AQ287" i="4"/>
  <c r="AQ324" i="4" s="1"/>
  <c r="AQ249" i="4"/>
  <c r="AQ36" i="4"/>
  <c r="AQ223" i="4"/>
  <c r="AQ54" i="62"/>
  <c r="AQ53" i="62"/>
  <c r="AQ21" i="4"/>
  <c r="AP22" i="4"/>
  <c r="AP61" i="4"/>
  <c r="AP318" i="4" s="1"/>
  <c r="AP328" i="4" s="1"/>
  <c r="BC6" i="72"/>
  <c r="BC8" i="72"/>
  <c r="BD7" i="72"/>
  <c r="AQ18" i="4"/>
  <c r="AO154" i="4"/>
  <c r="AO200" i="4"/>
  <c r="AQ33" i="4"/>
  <c r="AQ40" i="4" s="1"/>
  <c r="AQ47" i="4" s="1"/>
  <c r="AQ138" i="4"/>
  <c r="AQ35" i="4"/>
  <c r="AQ192" i="4"/>
  <c r="AM662" i="4"/>
  <c r="BC1447" i="4"/>
  <c r="AR1332" i="4"/>
  <c r="AQ68" i="4"/>
  <c r="AQ67" i="4"/>
  <c r="AP610" i="3"/>
  <c r="AP965" i="4"/>
  <c r="AO655" i="4"/>
  <c r="AO654" i="4"/>
  <c r="AO637" i="4"/>
  <c r="AQ34" i="4"/>
  <c r="AQ41" i="4" s="1"/>
  <c r="AQ48" i="4" s="1"/>
  <c r="AQ150" i="4"/>
  <c r="AP130" i="4"/>
  <c r="AN662" i="4"/>
  <c r="AP199" i="4"/>
  <c r="AO49" i="4"/>
  <c r="AQ43" i="4"/>
  <c r="AQ50" i="4" s="1"/>
  <c r="AQ636" i="4" s="1"/>
  <c r="AP43" i="4"/>
  <c r="AP50" i="4" s="1"/>
  <c r="AP636" i="4" s="1"/>
  <c r="AQ1080" i="4"/>
  <c r="AQ1063" i="4"/>
  <c r="AQ1066" i="4"/>
  <c r="AQ1075" i="4" s="1"/>
  <c r="AQ226" i="4"/>
  <c r="AQ37" i="4"/>
  <c r="AQ44" i="4" s="1"/>
  <c r="AQ51" i="4" s="1"/>
  <c r="AQ246" i="4"/>
  <c r="BE1315" i="4"/>
  <c r="BD1446" i="4"/>
  <c r="BD1352" i="4"/>
  <c r="AQ60" i="62"/>
  <c r="AP540" i="4"/>
  <c r="AP542" i="4" s="1"/>
  <c r="BB8" i="67"/>
  <c r="BB6" i="67"/>
  <c r="BC7" i="67"/>
  <c r="AQ60" i="4"/>
  <c r="AO964" i="4"/>
  <c r="AO605" i="4"/>
  <c r="AP39" i="4"/>
  <c r="AP46" i="4" s="1"/>
  <c r="AQ198" i="4"/>
  <c r="AQ32" i="4"/>
  <c r="AQ126" i="4"/>
  <c r="AN56" i="4"/>
  <c r="AO65" i="4"/>
  <c r="AO53" i="62"/>
  <c r="AO55" i="4"/>
  <c r="BA59" i="3"/>
  <c r="BA58" i="3"/>
  <c r="BA56" i="3"/>
  <c r="BA95" i="67"/>
  <c r="BA60" i="3"/>
  <c r="AQ747" i="4"/>
  <c r="AQ54" i="11"/>
  <c r="AQ530" i="4"/>
  <c r="AQ540" i="4" s="1"/>
  <c r="AQ62" i="4"/>
  <c r="AQ528" i="4" s="1"/>
  <c r="AQ543" i="4"/>
  <c r="AQ129" i="4"/>
  <c r="AQ141" i="4"/>
  <c r="BJ1062" i="4"/>
  <c r="BK1061" i="4"/>
  <c r="AR314" i="4" l="1"/>
  <c r="AR274" i="4" s="1"/>
  <c r="AQ9" i="4"/>
  <c r="AQ9" i="3"/>
  <c r="AP65" i="4"/>
  <c r="AQ65" i="4" s="1"/>
  <c r="AQ9" i="66"/>
  <c r="AQ542" i="4"/>
  <c r="AQ544" i="4" s="1"/>
  <c r="AQ612" i="4" s="1"/>
  <c r="AQ42" i="4"/>
  <c r="AR1165" i="4"/>
  <c r="AR15" i="66" s="1"/>
  <c r="AR1166" i="4"/>
  <c r="AR273" i="4"/>
  <c r="AR275" i="4"/>
  <c r="AR288" i="4" s="1"/>
  <c r="AR329" i="4" s="1"/>
  <c r="AR414" i="4" s="1"/>
  <c r="AR415" i="4" s="1"/>
  <c r="AS413" i="4" s="1"/>
  <c r="AQ965" i="4"/>
  <c r="AQ610" i="3"/>
  <c r="AQ142" i="4"/>
  <c r="AR16" i="4"/>
  <c r="AR356" i="3"/>
  <c r="AR242" i="4" s="1"/>
  <c r="AR247" i="4" s="1"/>
  <c r="AR357" i="3"/>
  <c r="AR243" i="4" s="1"/>
  <c r="AR248" i="4" s="1"/>
  <c r="AR355" i="3"/>
  <c r="AR241" i="4" s="1"/>
  <c r="AR241" i="3"/>
  <c r="AR146" i="4" s="1"/>
  <c r="AR151" i="4" s="1"/>
  <c r="AR185" i="3"/>
  <c r="AR122" i="4" s="1"/>
  <c r="AR127" i="4" s="1"/>
  <c r="AR217" i="3"/>
  <c r="AR134" i="4" s="1"/>
  <c r="AR139" i="4" s="1"/>
  <c r="AR242" i="3"/>
  <c r="AR147" i="4" s="1"/>
  <c r="AR152" i="4" s="1"/>
  <c r="AR8" i="62"/>
  <c r="AR329" i="3"/>
  <c r="AR218" i="4" s="1"/>
  <c r="AR184" i="3"/>
  <c r="AR121" i="4" s="1"/>
  <c r="AR8" i="64"/>
  <c r="AR301" i="3"/>
  <c r="AR188" i="4" s="1"/>
  <c r="AR197" i="4" s="1"/>
  <c r="AR298" i="3"/>
  <c r="AR185" i="4" s="1"/>
  <c r="AR194" i="4" s="1"/>
  <c r="AR296" i="3"/>
  <c r="AR183" i="4" s="1"/>
  <c r="AR8" i="66"/>
  <c r="AR8" i="4"/>
  <c r="AR216" i="3"/>
  <c r="AR133" i="4" s="1"/>
  <c r="AR330" i="3"/>
  <c r="AR219" i="4" s="1"/>
  <c r="AR224" i="4" s="1"/>
  <c r="AR297" i="3"/>
  <c r="AR184" i="4" s="1"/>
  <c r="AR193" i="4" s="1"/>
  <c r="AR218" i="3"/>
  <c r="AR135" i="4" s="1"/>
  <c r="AR140" i="4" s="1"/>
  <c r="AR1106" i="4"/>
  <c r="AR186" i="3"/>
  <c r="AR123" i="4" s="1"/>
  <c r="AR128" i="4" s="1"/>
  <c r="AR28" i="4"/>
  <c r="AR8" i="11"/>
  <c r="AR299" i="3"/>
  <c r="AR186" i="4" s="1"/>
  <c r="AR195" i="4" s="1"/>
  <c r="AR1083" i="4"/>
  <c r="AR240" i="3"/>
  <c r="AR145" i="4" s="1"/>
  <c r="AR331" i="3"/>
  <c r="AR220" i="4" s="1"/>
  <c r="AR225" i="4" s="1"/>
  <c r="AR300" i="3"/>
  <c r="AR187" i="4" s="1"/>
  <c r="AR196" i="4" s="1"/>
  <c r="AR29" i="4"/>
  <c r="AR30" i="4"/>
  <c r="AR68" i="4" s="1"/>
  <c r="AR1081" i="4"/>
  <c r="AR1082" i="4" s="1"/>
  <c r="AR1107" i="4"/>
  <c r="AR1079" i="4"/>
  <c r="BB56" i="3"/>
  <c r="BB95" i="67"/>
  <c r="BB60" i="3"/>
  <c r="BB58" i="3"/>
  <c r="BB59" i="3"/>
  <c r="AQ654" i="4"/>
  <c r="AQ655" i="4"/>
  <c r="AQ637" i="4"/>
  <c r="AQ153" i="4"/>
  <c r="BD1447" i="4"/>
  <c r="AR21" i="4"/>
  <c r="AQ22" i="4"/>
  <c r="BE1352" i="4"/>
  <c r="BE1446" i="4"/>
  <c r="BF1315" i="4"/>
  <c r="BD6" i="72"/>
  <c r="BD8" i="72"/>
  <c r="BE7" i="72"/>
  <c r="AQ55" i="4"/>
  <c r="AO56" i="4"/>
  <c r="AP53" i="62"/>
  <c r="AP56" i="4"/>
  <c r="AS7" i="3"/>
  <c r="AP605" i="4"/>
  <c r="AP964" i="4"/>
  <c r="BC8" i="67"/>
  <c r="BC6" i="67"/>
  <c r="BD7" i="67"/>
  <c r="AQ39" i="4"/>
  <c r="AQ46" i="4" s="1"/>
  <c r="AQ250" i="4"/>
  <c r="AO640" i="4"/>
  <c r="AO659" i="4" s="1"/>
  <c r="AO641" i="4"/>
  <c r="AO645" i="4"/>
  <c r="AO644" i="4"/>
  <c r="AO660" i="4" s="1"/>
  <c r="AP154" i="4"/>
  <c r="AQ24" i="4"/>
  <c r="AR15" i="4"/>
  <c r="AR6" i="4"/>
  <c r="AQ227" i="4"/>
  <c r="AQ130" i="4"/>
  <c r="AP544" i="4"/>
  <c r="AP612" i="4" s="1"/>
  <c r="AP607" i="4"/>
  <c r="AP654" i="4"/>
  <c r="AP655" i="4"/>
  <c r="AP637" i="4"/>
  <c r="AP200" i="4"/>
  <c r="AQ199" i="4"/>
  <c r="AR66" i="4"/>
  <c r="BK1062" i="4"/>
  <c r="BL1061" i="4"/>
  <c r="AQ607" i="4" l="1"/>
  <c r="AR529" i="4"/>
  <c r="AR34" i="66"/>
  <c r="AO661" i="4"/>
  <c r="AP641" i="4"/>
  <c r="AP640" i="4"/>
  <c r="AP645" i="4"/>
  <c r="AP644" i="4"/>
  <c r="AP660" i="4" s="1"/>
  <c r="BD8" i="67"/>
  <c r="BD6" i="67"/>
  <c r="BE7" i="67"/>
  <c r="AR226" i="4"/>
  <c r="AR141" i="4"/>
  <c r="AR67" i="4"/>
  <c r="AR335" i="4"/>
  <c r="AR959" i="4" s="1"/>
  <c r="AR287" i="4"/>
  <c r="AR324" i="4" s="1"/>
  <c r="AQ617" i="4"/>
  <c r="AR198" i="4"/>
  <c r="BC56" i="3"/>
  <c r="BC60" i="3"/>
  <c r="BC59" i="3"/>
  <c r="BC58" i="3"/>
  <c r="BC95" i="67"/>
  <c r="AR1080" i="4"/>
  <c r="AR1063" i="4"/>
  <c r="AR1066" i="4"/>
  <c r="AR1075" i="4" s="1"/>
  <c r="AR34" i="4"/>
  <c r="AR150" i="4"/>
  <c r="AR37" i="4"/>
  <c r="AR246" i="4"/>
  <c r="AR18" i="4"/>
  <c r="BF1352" i="4"/>
  <c r="BG1315" i="4"/>
  <c r="BF1446" i="4"/>
  <c r="AR32" i="4"/>
  <c r="AR126" i="4"/>
  <c r="AR249" i="4"/>
  <c r="AQ605" i="4"/>
  <c r="AQ964" i="4"/>
  <c r="BE6" i="72"/>
  <c r="BE8" i="72"/>
  <c r="BF7" i="72"/>
  <c r="BE1447" i="4"/>
  <c r="AR33" i="4"/>
  <c r="AR138" i="4"/>
  <c r="AR36" i="4"/>
  <c r="AR223" i="4"/>
  <c r="AQ200" i="4"/>
  <c r="AR54" i="11"/>
  <c r="AR543" i="4"/>
  <c r="AR62" i="4"/>
  <c r="AR528" i="4" s="1"/>
  <c r="AR747" i="4"/>
  <c r="AR530" i="4"/>
  <c r="AQ63" i="4"/>
  <c r="AQ1312" i="4" s="1"/>
  <c r="AR70" i="4"/>
  <c r="AR17" i="4"/>
  <c r="AR19" i="4"/>
  <c r="AR20" i="4" s="1"/>
  <c r="AR54" i="62"/>
  <c r="AQ49" i="4"/>
  <c r="AS86" i="64"/>
  <c r="AS87" i="64" s="1"/>
  <c r="AS6" i="3"/>
  <c r="AS7" i="11"/>
  <c r="AS6" i="11" s="1"/>
  <c r="AS7" i="4"/>
  <c r="AS7" i="62"/>
  <c r="AS6" i="62" s="1"/>
  <c r="AS8" i="3"/>
  <c r="AS314" i="4" s="1"/>
  <c r="AS7" i="64"/>
  <c r="AS6" i="64" s="1"/>
  <c r="AS28" i="64" s="1"/>
  <c r="AS30" i="64" s="1"/>
  <c r="AS53" i="64" s="1"/>
  <c r="AS7" i="66"/>
  <c r="AS6" i="66" s="1"/>
  <c r="AP617" i="4"/>
  <c r="AQ154" i="4"/>
  <c r="AR57" i="4"/>
  <c r="AR9" i="66" s="1"/>
  <c r="AR1074" i="4"/>
  <c r="AR27" i="66"/>
  <c r="AR1186" i="4"/>
  <c r="AR295" i="4"/>
  <c r="AR303" i="4" s="1"/>
  <c r="AR28" i="66"/>
  <c r="AR9" i="64"/>
  <c r="AR9" i="62"/>
  <c r="AR9" i="3"/>
  <c r="AQ61" i="4"/>
  <c r="AQ318" i="4" s="1"/>
  <c r="AQ328" i="4" s="1"/>
  <c r="AR60" i="4"/>
  <c r="AQ53" i="4"/>
  <c r="AR1052" i="4"/>
  <c r="AR58" i="4"/>
  <c r="AQ644" i="4"/>
  <c r="AQ660" i="4" s="1"/>
  <c r="AQ640" i="4"/>
  <c r="AQ645" i="4"/>
  <c r="AQ641" i="4"/>
  <c r="AR129" i="4"/>
  <c r="AR35" i="4"/>
  <c r="AR192" i="4"/>
  <c r="BM1061" i="4"/>
  <c r="BL1062" i="4"/>
  <c r="AP659" i="4" l="1"/>
  <c r="AQ659" i="4"/>
  <c r="AR9" i="4"/>
  <c r="AQ661" i="4"/>
  <c r="AP661" i="4"/>
  <c r="AS1166" i="4"/>
  <c r="AS274" i="4"/>
  <c r="AS1165" i="4"/>
  <c r="AS15" i="66" s="1"/>
  <c r="AS275" i="4"/>
  <c r="AS288" i="4" s="1"/>
  <c r="AS273" i="4"/>
  <c r="AS329" i="4"/>
  <c r="AS414" i="4" s="1"/>
  <c r="AS415" i="4" s="1"/>
  <c r="AT413" i="4" s="1"/>
  <c r="AR24" i="4"/>
  <c r="AR153" i="4"/>
  <c r="AR965" i="4"/>
  <c r="AR610" i="3"/>
  <c r="AR199" i="4"/>
  <c r="AS6" i="4"/>
  <c r="AS15" i="4"/>
  <c r="AS21" i="4"/>
  <c r="AR22" i="4"/>
  <c r="AR540" i="4"/>
  <c r="AR542" i="4" s="1"/>
  <c r="AR130" i="4"/>
  <c r="BF1447" i="4"/>
  <c r="AR41" i="4"/>
  <c r="AR48" i="4" s="1"/>
  <c r="BE6" i="67"/>
  <c r="BE8" i="67"/>
  <c r="BF7" i="67"/>
  <c r="BD60" i="3"/>
  <c r="BD59" i="3"/>
  <c r="BD58" i="3"/>
  <c r="BD56" i="3"/>
  <c r="BD95" i="67"/>
  <c r="BF6" i="72"/>
  <c r="BF8" i="72"/>
  <c r="BG7" i="72"/>
  <c r="AR9" i="11"/>
  <c r="AR43" i="4"/>
  <c r="AR50" i="4" s="1"/>
  <c r="AR636" i="4" s="1"/>
  <c r="BG1352" i="4"/>
  <c r="BH1315" i="4"/>
  <c r="BG1446" i="4"/>
  <c r="AR42" i="4"/>
  <c r="AR49" i="4" s="1"/>
  <c r="AR39" i="4"/>
  <c r="AR46" i="4" s="1"/>
  <c r="AT7" i="3"/>
  <c r="AR142" i="4"/>
  <c r="AR227" i="4"/>
  <c r="AR40" i="4"/>
  <c r="AR47" i="4" s="1"/>
  <c r="AR250" i="4"/>
  <c r="AO662" i="4"/>
  <c r="AR54" i="4"/>
  <c r="AR60" i="62"/>
  <c r="AS301" i="3"/>
  <c r="AS188" i="4" s="1"/>
  <c r="AS197" i="4" s="1"/>
  <c r="AS216" i="3"/>
  <c r="AS133" i="4" s="1"/>
  <c r="AS242" i="3"/>
  <c r="AS147" i="4" s="1"/>
  <c r="AS8" i="64"/>
  <c r="AS8" i="66"/>
  <c r="AS241" i="3"/>
  <c r="AS146" i="4" s="1"/>
  <c r="AS151" i="4" s="1"/>
  <c r="AS185" i="3"/>
  <c r="AS122" i="4" s="1"/>
  <c r="AS127" i="4" s="1"/>
  <c r="AS1106" i="4"/>
  <c r="AS1083" i="4"/>
  <c r="AS299" i="3"/>
  <c r="AS186" i="4" s="1"/>
  <c r="AS195" i="4" s="1"/>
  <c r="AS16" i="4"/>
  <c r="AS297" i="3"/>
  <c r="AS184" i="4" s="1"/>
  <c r="AS193" i="4" s="1"/>
  <c r="AS357" i="3"/>
  <c r="AS243" i="4" s="1"/>
  <c r="AS248" i="4" s="1"/>
  <c r="AS186" i="3"/>
  <c r="AS123" i="4" s="1"/>
  <c r="AS128" i="4" s="1"/>
  <c r="AS329" i="3"/>
  <c r="AS218" i="4" s="1"/>
  <c r="AS184" i="3"/>
  <c r="AS121" i="4" s="1"/>
  <c r="AS8" i="62"/>
  <c r="AS300" i="3"/>
  <c r="AS187" i="4" s="1"/>
  <c r="AS196" i="4" s="1"/>
  <c r="AS240" i="3"/>
  <c r="AS145" i="4" s="1"/>
  <c r="AS150" i="4" s="1"/>
  <c r="AS8" i="11"/>
  <c r="AS356" i="3"/>
  <c r="AS242" i="4" s="1"/>
  <c r="AS247" i="4" s="1"/>
  <c r="AS218" i="3"/>
  <c r="AS135" i="4" s="1"/>
  <c r="AS140" i="4" s="1"/>
  <c r="AS330" i="3"/>
  <c r="AS219" i="4" s="1"/>
  <c r="AS224" i="4" s="1"/>
  <c r="AS298" i="3"/>
  <c r="AS185" i="4" s="1"/>
  <c r="AS194" i="4" s="1"/>
  <c r="AS8" i="4"/>
  <c r="AS217" i="3"/>
  <c r="AS134" i="4" s="1"/>
  <c r="AS139" i="4" s="1"/>
  <c r="AS355" i="3"/>
  <c r="AS241" i="4" s="1"/>
  <c r="AS331" i="3"/>
  <c r="AS220" i="4" s="1"/>
  <c r="AS225" i="4" s="1"/>
  <c r="AS296" i="3"/>
  <c r="AS183" i="4" s="1"/>
  <c r="AS28" i="4"/>
  <c r="AS30" i="4"/>
  <c r="AS68" i="4" s="1"/>
  <c r="AS29" i="4"/>
  <c r="AS1107" i="4"/>
  <c r="AS1079" i="4"/>
  <c r="AS1081" i="4"/>
  <c r="AS1082" i="4" s="1"/>
  <c r="AS1370" i="4"/>
  <c r="AS1332" i="4"/>
  <c r="AR44" i="4"/>
  <c r="AR51" i="4" s="1"/>
  <c r="BM1062" i="4"/>
  <c r="BN1061" i="4"/>
  <c r="AS198" i="4" l="1"/>
  <c r="AS335" i="4"/>
  <c r="AS959" i="4" s="1"/>
  <c r="AS287" i="4"/>
  <c r="AS324" i="4" s="1"/>
  <c r="AS529" i="4"/>
  <c r="AS36" i="4"/>
  <c r="AS223" i="4"/>
  <c r="AS18" i="4"/>
  <c r="AR53" i="4"/>
  <c r="AS1052" i="4"/>
  <c r="AS58" i="4"/>
  <c r="AS141" i="4"/>
  <c r="AS129" i="4"/>
  <c r="BG8" i="72"/>
  <c r="BG6" i="72"/>
  <c r="BH7" i="72"/>
  <c r="BE95" i="67"/>
  <c r="BE56" i="3"/>
  <c r="BE59" i="3"/>
  <c r="BE60" i="3"/>
  <c r="BE58" i="3"/>
  <c r="AS35" i="4"/>
  <c r="AS192" i="4"/>
  <c r="AS249" i="4"/>
  <c r="AQ56" i="4"/>
  <c r="AR55" i="4"/>
  <c r="AR65" i="4"/>
  <c r="AR53" i="62"/>
  <c r="AT7" i="4"/>
  <c r="AT6" i="3"/>
  <c r="AT7" i="66"/>
  <c r="AT6" i="66" s="1"/>
  <c r="AT86" i="64"/>
  <c r="AT87" i="64" s="1"/>
  <c r="AT7" i="62"/>
  <c r="AT6" i="62" s="1"/>
  <c r="AT7" i="11"/>
  <c r="AT6" i="11" s="1"/>
  <c r="AT8" i="3"/>
  <c r="AT7" i="64"/>
  <c r="AT6" i="64" s="1"/>
  <c r="AT28" i="64" s="1"/>
  <c r="AT30" i="64" s="1"/>
  <c r="AT53" i="64" s="1"/>
  <c r="AU7" i="3"/>
  <c r="BG1447" i="4"/>
  <c r="AS226" i="4"/>
  <c r="BH1446" i="4"/>
  <c r="BI1315" i="4"/>
  <c r="BH1352" i="4"/>
  <c r="AR544" i="4"/>
  <c r="AR612" i="4" s="1"/>
  <c r="AR607" i="4"/>
  <c r="AR154" i="4"/>
  <c r="AP662" i="4"/>
  <c r="AS32" i="4"/>
  <c r="AS126" i="4"/>
  <c r="BF8" i="67"/>
  <c r="BF6" i="67"/>
  <c r="BG7" i="67"/>
  <c r="AS1080" i="4"/>
  <c r="AS1063" i="4"/>
  <c r="AS1066" i="4"/>
  <c r="AS1075" i="4" s="1"/>
  <c r="AS37" i="4"/>
  <c r="AS246" i="4"/>
  <c r="AS34" i="4"/>
  <c r="AS41" i="4" s="1"/>
  <c r="AS48" i="4" s="1"/>
  <c r="AS152" i="4"/>
  <c r="AR200" i="4"/>
  <c r="AS34" i="66"/>
  <c r="AT1332" i="4"/>
  <c r="AS33" i="4"/>
  <c r="AS138" i="4"/>
  <c r="AR964" i="4"/>
  <c r="AR605" i="4"/>
  <c r="AQ662" i="4"/>
  <c r="AS543" i="4"/>
  <c r="AS62" i="4"/>
  <c r="AS528" i="4" s="1"/>
  <c r="AS747" i="4"/>
  <c r="AS530" i="4"/>
  <c r="AS54" i="11"/>
  <c r="AS70" i="4"/>
  <c r="AR63" i="4"/>
  <c r="AR1312" i="4" s="1"/>
  <c r="AS28" i="66"/>
  <c r="AS1186" i="4"/>
  <c r="AS1074" i="4"/>
  <c r="AS295" i="4"/>
  <c r="AS303" i="4" s="1"/>
  <c r="AS27" i="66"/>
  <c r="AS57" i="4"/>
  <c r="AS54" i="4" s="1"/>
  <c r="AS53" i="62" s="1"/>
  <c r="AS66" i="4"/>
  <c r="AR61" i="4"/>
  <c r="AR318" i="4" s="1"/>
  <c r="AR328" i="4" s="1"/>
  <c r="AS60" i="4"/>
  <c r="AS19" i="4"/>
  <c r="AS20" i="4" s="1"/>
  <c r="AS17" i="4"/>
  <c r="AS54" i="62"/>
  <c r="AR655" i="4"/>
  <c r="AR654" i="4"/>
  <c r="AR637" i="4"/>
  <c r="AS67" i="4"/>
  <c r="BN1062" i="4"/>
  <c r="BO1061" i="4"/>
  <c r="AS540" i="4" l="1"/>
  <c r="AS9" i="4"/>
  <c r="AS542" i="4"/>
  <c r="AS607" i="4" s="1"/>
  <c r="AS43" i="4"/>
  <c r="AS50" i="4" s="1"/>
  <c r="AS636" i="4" s="1"/>
  <c r="AS142" i="4"/>
  <c r="AT15" i="4"/>
  <c r="AT6" i="4"/>
  <c r="AS60" i="62"/>
  <c r="AU6" i="3"/>
  <c r="AU7" i="66"/>
  <c r="AU6" i="66" s="1"/>
  <c r="AU7" i="4"/>
  <c r="AU7" i="11"/>
  <c r="AU6" i="11" s="1"/>
  <c r="AU8" i="3"/>
  <c r="AU7" i="62"/>
  <c r="AU6" i="62" s="1"/>
  <c r="AU7" i="64"/>
  <c r="AU6" i="64" s="1"/>
  <c r="AU28" i="64" s="1"/>
  <c r="AU30" i="64" s="1"/>
  <c r="AU53" i="64" s="1"/>
  <c r="AV7" i="3"/>
  <c r="AU86" i="64"/>
  <c r="AU87" i="64" s="1"/>
  <c r="AS9" i="3"/>
  <c r="AS40" i="4"/>
  <c r="AS47" i="4" s="1"/>
  <c r="BG6" i="67"/>
  <c r="BG8" i="67"/>
  <c r="BH7" i="67"/>
  <c r="AT314" i="4"/>
  <c r="AS199" i="4"/>
  <c r="AS227" i="4"/>
  <c r="AS9" i="11"/>
  <c r="AU1332" i="4"/>
  <c r="BF59" i="3"/>
  <c r="BF58" i="3"/>
  <c r="BF95" i="67"/>
  <c r="BF60" i="3"/>
  <c r="BF56" i="3"/>
  <c r="AT301" i="3"/>
  <c r="AT188" i="4" s="1"/>
  <c r="AT197" i="4" s="1"/>
  <c r="AT296" i="3"/>
  <c r="AT183" i="4" s="1"/>
  <c r="AT298" i="3"/>
  <c r="AT185" i="4" s="1"/>
  <c r="AT194" i="4" s="1"/>
  <c r="AT329" i="3"/>
  <c r="AT218" i="4" s="1"/>
  <c r="AT8" i="62"/>
  <c r="AT355" i="3"/>
  <c r="AT241" i="4" s="1"/>
  <c r="AT297" i="3"/>
  <c r="AT184" i="4" s="1"/>
  <c r="AT193" i="4" s="1"/>
  <c r="AT216" i="3"/>
  <c r="AT133" i="4" s="1"/>
  <c r="AT8" i="66"/>
  <c r="AT217" i="3"/>
  <c r="AT134" i="4" s="1"/>
  <c r="AT139" i="4" s="1"/>
  <c r="AT241" i="3"/>
  <c r="AT146" i="4" s="1"/>
  <c r="AT151" i="4" s="1"/>
  <c r="AT299" i="3"/>
  <c r="AT186" i="4" s="1"/>
  <c r="AT195" i="4" s="1"/>
  <c r="AT16" i="4"/>
  <c r="AT357" i="3"/>
  <c r="AT243" i="4" s="1"/>
  <c r="AT248" i="4" s="1"/>
  <c r="AT185" i="3"/>
  <c r="AT122" i="4" s="1"/>
  <c r="AT127" i="4" s="1"/>
  <c r="AT8" i="11"/>
  <c r="AT1106" i="4"/>
  <c r="AT218" i="3"/>
  <c r="AT135" i="4" s="1"/>
  <c r="AT140" i="4" s="1"/>
  <c r="AT242" i="3"/>
  <c r="AT147" i="4" s="1"/>
  <c r="AT152" i="4" s="1"/>
  <c r="AT330" i="3"/>
  <c r="AT219" i="4" s="1"/>
  <c r="AT224" i="4" s="1"/>
  <c r="AT28" i="4"/>
  <c r="AT184" i="3"/>
  <c r="AT121" i="4" s="1"/>
  <c r="AT300" i="3"/>
  <c r="AT187" i="4" s="1"/>
  <c r="AT196" i="4" s="1"/>
  <c r="AT8" i="4"/>
  <c r="AT186" i="3"/>
  <c r="AT123" i="4" s="1"/>
  <c r="AT128" i="4" s="1"/>
  <c r="AT331" i="3"/>
  <c r="AT220" i="4" s="1"/>
  <c r="AT225" i="4" s="1"/>
  <c r="AT8" i="64"/>
  <c r="AT240" i="3"/>
  <c r="AT145" i="4" s="1"/>
  <c r="AT356" i="3"/>
  <c r="AT242" i="4" s="1"/>
  <c r="AT247" i="4" s="1"/>
  <c r="AT1083" i="4"/>
  <c r="AT30" i="4"/>
  <c r="AT529" i="4" s="1"/>
  <c r="AT29" i="4"/>
  <c r="AT1107" i="4"/>
  <c r="AT1079" i="4"/>
  <c r="AT1081" i="4"/>
  <c r="AT1082" i="4" s="1"/>
  <c r="AS65" i="4"/>
  <c r="AS42" i="4"/>
  <c r="AS49" i="4" s="1"/>
  <c r="AS9" i="62"/>
  <c r="AS153" i="4"/>
  <c r="AR617" i="4"/>
  <c r="BI1352" i="4"/>
  <c r="BJ1315" i="4"/>
  <c r="BI1446" i="4"/>
  <c r="AT1370" i="4"/>
  <c r="AU1370" i="4" s="1"/>
  <c r="AR56" i="4"/>
  <c r="AS965" i="4"/>
  <c r="AS610" i="3"/>
  <c r="AS9" i="64"/>
  <c r="AS250" i="4"/>
  <c r="AS130" i="4"/>
  <c r="BH1447" i="4"/>
  <c r="AS22" i="4"/>
  <c r="AT21" i="4"/>
  <c r="AS9" i="66"/>
  <c r="AS44" i="4"/>
  <c r="AS51" i="4" s="1"/>
  <c r="AS39" i="4"/>
  <c r="AS46" i="4" s="1"/>
  <c r="AS55" i="4"/>
  <c r="BH8" i="72"/>
  <c r="BH6" i="72"/>
  <c r="BI7" i="72"/>
  <c r="AS24" i="4"/>
  <c r="AR645" i="4"/>
  <c r="AR644" i="4"/>
  <c r="AR660" i="4" s="1"/>
  <c r="AR641" i="4"/>
  <c r="AR640" i="4"/>
  <c r="AR659" i="4" s="1"/>
  <c r="BO1062" i="4"/>
  <c r="BP1061" i="4"/>
  <c r="AT66" i="4" l="1"/>
  <c r="AS544" i="4"/>
  <c r="AS612" i="4" s="1"/>
  <c r="AR661" i="4"/>
  <c r="AT67" i="4"/>
  <c r="AT33" i="4"/>
  <c r="AT138" i="4"/>
  <c r="AT32" i="4"/>
  <c r="AT126" i="4"/>
  <c r="AT249" i="4"/>
  <c r="AT37" i="4"/>
  <c r="AT246" i="4"/>
  <c r="AV7" i="66"/>
  <c r="AV6" i="66" s="1"/>
  <c r="AV7" i="11"/>
  <c r="AV6" i="11" s="1"/>
  <c r="AV7" i="62"/>
  <c r="AV6" i="62" s="1"/>
  <c r="AV7" i="64"/>
  <c r="AV6" i="64" s="1"/>
  <c r="AV28" i="64" s="1"/>
  <c r="AV30" i="64" s="1"/>
  <c r="AV53" i="64" s="1"/>
  <c r="AV6" i="3"/>
  <c r="AV86" i="64"/>
  <c r="AV87" i="64" s="1"/>
  <c r="AV8" i="3"/>
  <c r="AV1332" i="4" s="1"/>
  <c r="AV7" i="4"/>
  <c r="AS53" i="4"/>
  <c r="AT58" i="4"/>
  <c r="AT1052" i="4"/>
  <c r="AT54" i="62"/>
  <c r="AU240" i="3"/>
  <c r="AU145" i="4" s="1"/>
  <c r="AU217" i="3"/>
  <c r="AU134" i="4" s="1"/>
  <c r="AU139" i="4" s="1"/>
  <c r="AU28" i="4"/>
  <c r="AU8" i="11"/>
  <c r="AU331" i="3"/>
  <c r="AU220" i="4" s="1"/>
  <c r="AU225" i="4" s="1"/>
  <c r="AU329" i="3"/>
  <c r="AU218" i="4" s="1"/>
  <c r="AU8" i="64"/>
  <c r="AU8" i="4"/>
  <c r="AU184" i="3"/>
  <c r="AU121" i="4" s="1"/>
  <c r="AU126" i="4" s="1"/>
  <c r="AU185" i="3"/>
  <c r="AU122" i="4" s="1"/>
  <c r="AU127" i="4" s="1"/>
  <c r="AU299" i="3"/>
  <c r="AU186" i="4" s="1"/>
  <c r="AU195" i="4" s="1"/>
  <c r="AU8" i="66"/>
  <c r="AU297" i="3"/>
  <c r="AU184" i="4" s="1"/>
  <c r="AU193" i="4" s="1"/>
  <c r="AU242" i="3"/>
  <c r="AU147" i="4" s="1"/>
  <c r="AU152" i="4" s="1"/>
  <c r="AU1106" i="4"/>
  <c r="AU16" i="4"/>
  <c r="AU1083" i="4"/>
  <c r="AU355" i="3"/>
  <c r="AU241" i="4" s="1"/>
  <c r="AU300" i="3"/>
  <c r="AU187" i="4" s="1"/>
  <c r="AU196" i="4" s="1"/>
  <c r="AU8" i="62"/>
  <c r="AU357" i="3"/>
  <c r="AU243" i="4" s="1"/>
  <c r="AU248" i="4" s="1"/>
  <c r="AU186" i="3"/>
  <c r="AU123" i="4" s="1"/>
  <c r="AU298" i="3"/>
  <c r="AU185" i="4" s="1"/>
  <c r="AU194" i="4" s="1"/>
  <c r="AU296" i="3"/>
  <c r="AU183" i="4" s="1"/>
  <c r="AU218" i="3"/>
  <c r="AU135" i="4" s="1"/>
  <c r="AU140" i="4" s="1"/>
  <c r="AU241" i="3"/>
  <c r="AU146" i="4" s="1"/>
  <c r="AU151" i="4" s="1"/>
  <c r="AU330" i="3"/>
  <c r="AU219" i="4" s="1"/>
  <c r="AU224" i="4" s="1"/>
  <c r="AU301" i="3"/>
  <c r="AU188" i="4" s="1"/>
  <c r="AU197" i="4" s="1"/>
  <c r="AU356" i="3"/>
  <c r="AU242" i="4" s="1"/>
  <c r="AU247" i="4" s="1"/>
  <c r="AU216" i="3"/>
  <c r="AU133" i="4" s="1"/>
  <c r="AU30" i="4"/>
  <c r="AU529" i="4" s="1"/>
  <c r="AU29" i="4"/>
  <c r="AU1081" i="4"/>
  <c r="AU1082" i="4" s="1"/>
  <c r="AU1079" i="4"/>
  <c r="AU1107" i="4"/>
  <c r="BG58" i="3"/>
  <c r="BG95" i="67"/>
  <c r="BG59" i="3"/>
  <c r="BG60" i="3"/>
  <c r="BG56" i="3"/>
  <c r="BI1447" i="4"/>
  <c r="AT34" i="4"/>
  <c r="AT150" i="4"/>
  <c r="AT36" i="4"/>
  <c r="AT223" i="4"/>
  <c r="AS200" i="4"/>
  <c r="AS655" i="4"/>
  <c r="AS654" i="4"/>
  <c r="AS637" i="4"/>
  <c r="AT19" i="4"/>
  <c r="AT20" i="4" s="1"/>
  <c r="AT17" i="4"/>
  <c r="BK1315" i="4"/>
  <c r="BJ1446" i="4"/>
  <c r="BJ1352" i="4"/>
  <c r="AT1063" i="4"/>
  <c r="AT1080" i="4"/>
  <c r="AT1066" i="4"/>
  <c r="AT1075" i="4" s="1"/>
  <c r="AT198" i="4"/>
  <c r="AT1165" i="4"/>
  <c r="AT273" i="4"/>
  <c r="AT1166" i="4"/>
  <c r="AT15" i="66" s="1"/>
  <c r="AT274" i="4"/>
  <c r="AT275" i="4"/>
  <c r="AT288" i="4" s="1"/>
  <c r="AT329" i="4" s="1"/>
  <c r="AT414" i="4" s="1"/>
  <c r="AT415" i="4" s="1"/>
  <c r="AU413" i="4" s="1"/>
  <c r="AU6" i="4"/>
  <c r="AU15" i="4"/>
  <c r="AT18" i="4"/>
  <c r="AT24" i="4" s="1"/>
  <c r="AT54" i="11"/>
  <c r="AT62" i="4"/>
  <c r="AT528" i="4" s="1"/>
  <c r="AT530" i="4"/>
  <c r="AT540" i="4" s="1"/>
  <c r="AT747" i="4"/>
  <c r="AT543" i="4"/>
  <c r="AT63" i="4"/>
  <c r="AT1312" i="4" s="1"/>
  <c r="AU70" i="4"/>
  <c r="AT70" i="4"/>
  <c r="AS63" i="4"/>
  <c r="AS1312" i="4" s="1"/>
  <c r="AS964" i="4"/>
  <c r="AS605" i="4"/>
  <c r="AT226" i="4"/>
  <c r="AT141" i="4"/>
  <c r="AT35" i="4"/>
  <c r="AT192" i="4"/>
  <c r="BH6" i="67"/>
  <c r="BH8" i="67"/>
  <c r="BI7" i="67"/>
  <c r="AU314" i="4"/>
  <c r="BI6" i="72"/>
  <c r="BI8" i="72"/>
  <c r="BJ7" i="72"/>
  <c r="AT68" i="4"/>
  <c r="AS154" i="4"/>
  <c r="AT1186" i="4"/>
  <c r="AT57" i="4"/>
  <c r="AT54" i="4" s="1"/>
  <c r="AT53" i="62" s="1"/>
  <c r="AT61" i="4"/>
  <c r="AT318" i="4" s="1"/>
  <c r="AU60" i="4"/>
  <c r="AT28" i="66"/>
  <c r="AT295" i="4"/>
  <c r="AT303" i="4" s="1"/>
  <c r="AT27" i="66"/>
  <c r="AT1074" i="4"/>
  <c r="AT9" i="66"/>
  <c r="AT9" i="3"/>
  <c r="AS61" i="4"/>
  <c r="AS318" i="4" s="1"/>
  <c r="AS328" i="4" s="1"/>
  <c r="AT328" i="4" s="1"/>
  <c r="AT60" i="4"/>
  <c r="AT129" i="4"/>
  <c r="AS617" i="4"/>
  <c r="BP1062" i="4"/>
  <c r="BQ1061" i="4"/>
  <c r="AV314" i="4" l="1"/>
  <c r="AW7" i="3"/>
  <c r="AT9" i="4"/>
  <c r="AT542" i="4"/>
  <c r="AT544" i="4" s="1"/>
  <c r="AT612" i="4" s="1"/>
  <c r="BI6" i="67"/>
  <c r="BI8" i="67"/>
  <c r="BJ7" i="67"/>
  <c r="AT335" i="4"/>
  <c r="AT959" i="4" s="1"/>
  <c r="AT287" i="4"/>
  <c r="AT324" i="4" s="1"/>
  <c r="AU1080" i="4"/>
  <c r="AU1063" i="4"/>
  <c r="AU1066" i="4"/>
  <c r="AU1075" i="4" s="1"/>
  <c r="AT53" i="4"/>
  <c r="AU58" i="4"/>
  <c r="AU1052" i="4"/>
  <c r="AW7" i="4"/>
  <c r="AW7" i="11"/>
  <c r="AW6" i="11" s="1"/>
  <c r="AW8" i="3"/>
  <c r="AW7" i="66"/>
  <c r="AW6" i="66" s="1"/>
  <c r="AW6" i="3"/>
  <c r="AW7" i="62"/>
  <c r="AW6" i="62" s="1"/>
  <c r="AW86" i="64"/>
  <c r="AW87" i="64" s="1"/>
  <c r="AW314" i="4"/>
  <c r="AW7" i="64"/>
  <c r="AW6" i="64" s="1"/>
  <c r="AW28" i="64" s="1"/>
  <c r="AW30" i="64" s="1"/>
  <c r="AW53" i="64" s="1"/>
  <c r="AT142" i="4"/>
  <c r="AU54" i="62"/>
  <c r="AT9" i="11"/>
  <c r="AU37" i="4"/>
  <c r="AU246" i="4"/>
  <c r="AT250" i="4"/>
  <c r="AT40" i="4"/>
  <c r="AT47" i="4" s="1"/>
  <c r="AU1166" i="4"/>
  <c r="AU274" i="4"/>
  <c r="AU273" i="4"/>
  <c r="AU275" i="4"/>
  <c r="AU288" i="4" s="1"/>
  <c r="AU329" i="4" s="1"/>
  <c r="AU414" i="4" s="1"/>
  <c r="AU415" i="4" s="1"/>
  <c r="AV413" i="4" s="1"/>
  <c r="AU1165" i="4"/>
  <c r="AT43" i="4"/>
  <c r="AT50" i="4" s="1"/>
  <c r="AT636" i="4" s="1"/>
  <c r="AT9" i="64"/>
  <c r="BH95" i="67"/>
  <c r="BH60" i="3"/>
  <c r="BH59" i="3"/>
  <c r="BH58" i="3"/>
  <c r="BH56" i="3"/>
  <c r="AT34" i="66"/>
  <c r="AU21" i="4"/>
  <c r="AT22" i="4"/>
  <c r="AT227" i="4"/>
  <c r="AT60" i="62"/>
  <c r="AU28" i="66"/>
  <c r="AU27" i="66"/>
  <c r="AU295" i="4"/>
  <c r="AU303" i="4" s="1"/>
  <c r="AU1186" i="4"/>
  <c r="AU57" i="4"/>
  <c r="AU54" i="4" s="1"/>
  <c r="AU1074" i="4"/>
  <c r="AU9" i="3"/>
  <c r="AU9" i="62"/>
  <c r="AU9" i="64"/>
  <c r="AU141" i="4"/>
  <c r="AU34" i="4"/>
  <c r="AU150" i="4"/>
  <c r="AT44" i="4"/>
  <c r="AT51" i="4" s="1"/>
  <c r="AU66" i="4"/>
  <c r="BJ6" i="72"/>
  <c r="BJ8" i="72"/>
  <c r="BK7" i="72"/>
  <c r="AT153" i="4"/>
  <c r="AU35" i="4"/>
  <c r="AU192" i="4"/>
  <c r="AU17" i="4"/>
  <c r="AU19" i="4"/>
  <c r="AU20" i="4" s="1"/>
  <c r="AV275" i="4"/>
  <c r="AV288" i="4" s="1"/>
  <c r="AV1165" i="4"/>
  <c r="AV1166" i="4"/>
  <c r="AV273" i="4"/>
  <c r="AV274" i="4"/>
  <c r="AU18" i="4"/>
  <c r="AT41" i="4"/>
  <c r="AT48" i="4" s="1"/>
  <c r="AU41" i="4"/>
  <c r="AU530" i="4"/>
  <c r="AU543" i="4"/>
  <c r="AU747" i="4"/>
  <c r="AU54" i="11"/>
  <c r="AU62" i="4"/>
  <c r="AU528" i="4" s="1"/>
  <c r="AU198" i="4"/>
  <c r="AV15" i="4"/>
  <c r="AV6" i="4"/>
  <c r="AU55" i="4"/>
  <c r="AS56" i="4"/>
  <c r="AT55" i="4"/>
  <c r="AT199" i="4"/>
  <c r="AT9" i="62"/>
  <c r="AU42" i="4"/>
  <c r="AT42" i="4"/>
  <c r="AT49" i="4" s="1"/>
  <c r="BJ1447" i="4"/>
  <c r="AS644" i="4"/>
  <c r="AS660" i="4" s="1"/>
  <c r="AS640" i="4"/>
  <c r="AS641" i="4"/>
  <c r="AS645" i="4"/>
  <c r="AU33" i="4"/>
  <c r="AU138" i="4"/>
  <c r="AU32" i="4"/>
  <c r="AU128" i="4"/>
  <c r="AU36" i="4"/>
  <c r="AU43" i="4" s="1"/>
  <c r="AU50" i="4" s="1"/>
  <c r="AU636" i="4" s="1"/>
  <c r="AU223" i="4"/>
  <c r="AV355" i="3"/>
  <c r="AV241" i="4" s="1"/>
  <c r="AV8" i="64"/>
  <c r="AV218" i="3"/>
  <c r="AV135" i="4" s="1"/>
  <c r="AV140" i="4" s="1"/>
  <c r="AV296" i="3"/>
  <c r="AV183" i="4" s="1"/>
  <c r="AV216" i="3"/>
  <c r="AV133" i="4" s="1"/>
  <c r="AV329" i="3"/>
  <c r="AV218" i="4" s="1"/>
  <c r="AV301" i="3"/>
  <c r="AV188" i="4" s="1"/>
  <c r="AV197" i="4" s="1"/>
  <c r="AV8" i="11"/>
  <c r="AV299" i="3"/>
  <c r="AV186" i="4" s="1"/>
  <c r="AV195" i="4" s="1"/>
  <c r="AV217" i="3"/>
  <c r="AV134" i="4" s="1"/>
  <c r="AV139" i="4" s="1"/>
  <c r="AV1083" i="4"/>
  <c r="AV298" i="3"/>
  <c r="AV185" i="4" s="1"/>
  <c r="AV194" i="4" s="1"/>
  <c r="AV356" i="3"/>
  <c r="AV242" i="4" s="1"/>
  <c r="AV247" i="4" s="1"/>
  <c r="AV300" i="3"/>
  <c r="AV187" i="4" s="1"/>
  <c r="AV196" i="4" s="1"/>
  <c r="AV357" i="3"/>
  <c r="AV243" i="4" s="1"/>
  <c r="AV248" i="4" s="1"/>
  <c r="AV28" i="4"/>
  <c r="AV297" i="3"/>
  <c r="AV184" i="4" s="1"/>
  <c r="AV193" i="4" s="1"/>
  <c r="AV185" i="3"/>
  <c r="AV122" i="4" s="1"/>
  <c r="AV127" i="4" s="1"/>
  <c r="AV331" i="3"/>
  <c r="AV220" i="4" s="1"/>
  <c r="AV225" i="4" s="1"/>
  <c r="AV8" i="4"/>
  <c r="AV242" i="3"/>
  <c r="AV147" i="4" s="1"/>
  <c r="AV152" i="4" s="1"/>
  <c r="AV240" i="3"/>
  <c r="AV145" i="4" s="1"/>
  <c r="AV16" i="4"/>
  <c r="AV1106" i="4"/>
  <c r="AV241" i="3"/>
  <c r="AV146" i="4" s="1"/>
  <c r="AV151" i="4" s="1"/>
  <c r="AV186" i="3"/>
  <c r="AV123" i="4" s="1"/>
  <c r="AV128" i="4" s="1"/>
  <c r="AV330" i="3"/>
  <c r="AV219" i="4" s="1"/>
  <c r="AV224" i="4" s="1"/>
  <c r="AV8" i="62"/>
  <c r="AV8" i="66"/>
  <c r="AV184" i="3"/>
  <c r="AV121" i="4" s="1"/>
  <c r="AV30" i="4"/>
  <c r="AV529" i="4" s="1"/>
  <c r="AV29" i="4"/>
  <c r="AV1107" i="4"/>
  <c r="AV1079" i="4"/>
  <c r="AV1081" i="4"/>
  <c r="AV1082" i="4" s="1"/>
  <c r="AT130" i="4"/>
  <c r="AV1370" i="4"/>
  <c r="AW1370" i="4" s="1"/>
  <c r="AR662" i="4"/>
  <c r="AT65" i="4"/>
  <c r="AU65" i="4" s="1"/>
  <c r="BK1352" i="4"/>
  <c r="BL1315" i="4"/>
  <c r="BK1446" i="4"/>
  <c r="AS659" i="4"/>
  <c r="AU249" i="4"/>
  <c r="AU226" i="4"/>
  <c r="AU39" i="4"/>
  <c r="AT39" i="4"/>
  <c r="AT46" i="4" s="1"/>
  <c r="AT965" i="4"/>
  <c r="AU67" i="4"/>
  <c r="AT610" i="3"/>
  <c r="AU68" i="4"/>
  <c r="BQ1062" i="4"/>
  <c r="BR1061" i="4"/>
  <c r="AT607" i="4" l="1"/>
  <c r="AV70" i="4"/>
  <c r="AU15" i="66"/>
  <c r="AU34" i="66"/>
  <c r="AU9" i="4"/>
  <c r="AU49" i="4"/>
  <c r="AV329" i="4"/>
  <c r="AV414" i="4" s="1"/>
  <c r="AV415" i="4" s="1"/>
  <c r="AW413" i="4" s="1"/>
  <c r="AV21" i="4"/>
  <c r="AU22" i="4"/>
  <c r="AU655" i="4"/>
  <c r="AU654" i="4"/>
  <c r="AU637" i="4"/>
  <c r="AV141" i="4"/>
  <c r="AU142" i="4"/>
  <c r="AT154" i="4"/>
  <c r="BI59" i="3"/>
  <c r="BI58" i="3"/>
  <c r="BI56" i="3"/>
  <c r="BI60" i="3"/>
  <c r="BI95" i="67"/>
  <c r="AU610" i="3"/>
  <c r="AV67" i="4"/>
  <c r="AU965" i="4"/>
  <c r="AV68" i="4"/>
  <c r="AS661" i="4"/>
  <c r="AV129" i="4"/>
  <c r="AT200" i="4"/>
  <c r="AV34" i="66"/>
  <c r="AU199" i="4"/>
  <c r="AU46" i="4"/>
  <c r="BK1447" i="4"/>
  <c r="AV295" i="4"/>
  <c r="AV303" i="4" s="1"/>
  <c r="AV1074" i="4"/>
  <c r="AV1186" i="4"/>
  <c r="AV28" i="66"/>
  <c r="AV27" i="66"/>
  <c r="AV57" i="4"/>
  <c r="AV54" i="4" s="1"/>
  <c r="AV53" i="62" s="1"/>
  <c r="AV37" i="4"/>
  <c r="AV246" i="4"/>
  <c r="AV66" i="4"/>
  <c r="AT56" i="4"/>
  <c r="AU60" i="62"/>
  <c r="AV60" i="62" s="1"/>
  <c r="AU40" i="4"/>
  <c r="AU47" i="4" s="1"/>
  <c r="AV226" i="4"/>
  <c r="BL1352" i="4"/>
  <c r="BM1315" i="4"/>
  <c r="BL1446" i="4"/>
  <c r="AU53" i="4"/>
  <c r="AV58" i="4"/>
  <c r="AV1052" i="4"/>
  <c r="AV18" i="4"/>
  <c r="AU48" i="4"/>
  <c r="AV15" i="66"/>
  <c r="AV747" i="4"/>
  <c r="AV530" i="4"/>
  <c r="AV54" i="11"/>
  <c r="AV543" i="4"/>
  <c r="AV62" i="4"/>
  <c r="AV528" i="4" s="1"/>
  <c r="AV249" i="4"/>
  <c r="AU63" i="4"/>
  <c r="AU1312" i="4" s="1"/>
  <c r="AT605" i="4"/>
  <c r="AT964" i="4"/>
  <c r="AT655" i="4"/>
  <c r="AT654" i="4"/>
  <c r="AT637" i="4"/>
  <c r="AV44" i="4"/>
  <c r="AV51" i="4" s="1"/>
  <c r="AW275" i="4"/>
  <c r="AW288" i="4" s="1"/>
  <c r="AW329" i="4" s="1"/>
  <c r="AW414" i="4" s="1"/>
  <c r="AW415" i="4" s="1"/>
  <c r="AX413" i="4" s="1"/>
  <c r="AW274" i="4"/>
  <c r="AW1165" i="4"/>
  <c r="AW15" i="66" s="1"/>
  <c r="AW273" i="4"/>
  <c r="AW1166" i="4"/>
  <c r="AV32" i="4"/>
  <c r="AV39" i="4" s="1"/>
  <c r="AV46" i="4" s="1"/>
  <c r="AV126" i="4"/>
  <c r="AV34" i="4"/>
  <c r="AV150" i="4"/>
  <c r="AV36" i="4"/>
  <c r="AV43" i="4" s="1"/>
  <c r="AV50" i="4" s="1"/>
  <c r="AV636" i="4" s="1"/>
  <c r="AV223" i="4"/>
  <c r="AU44" i="4"/>
  <c r="AU51" i="4" s="1"/>
  <c r="AW242" i="3"/>
  <c r="AW147" i="4" s="1"/>
  <c r="AW152" i="4" s="1"/>
  <c r="AW298" i="3"/>
  <c r="AW185" i="4" s="1"/>
  <c r="AW194" i="4" s="1"/>
  <c r="AW330" i="3"/>
  <c r="AW219" i="4" s="1"/>
  <c r="AW224" i="4" s="1"/>
  <c r="AW184" i="3"/>
  <c r="AW121" i="4" s="1"/>
  <c r="AW8" i="4"/>
  <c r="AW240" i="3"/>
  <c r="AW145" i="4" s="1"/>
  <c r="AW8" i="66"/>
  <c r="AW357" i="3"/>
  <c r="AW243" i="4" s="1"/>
  <c r="AW248" i="4" s="1"/>
  <c r="AW329" i="3"/>
  <c r="AW218" i="4" s="1"/>
  <c r="AW296" i="3"/>
  <c r="AW183" i="4" s="1"/>
  <c r="AW216" i="3"/>
  <c r="AW133" i="4" s="1"/>
  <c r="AW217" i="3"/>
  <c r="AW134" i="4" s="1"/>
  <c r="AW139" i="4" s="1"/>
  <c r="AW28" i="4"/>
  <c r="AW301" i="3"/>
  <c r="AW188" i="4" s="1"/>
  <c r="AW197" i="4" s="1"/>
  <c r="AW185" i="3"/>
  <c r="AW122" i="4" s="1"/>
  <c r="AW127" i="4" s="1"/>
  <c r="AW297" i="3"/>
  <c r="AW184" i="4" s="1"/>
  <c r="AW193" i="4" s="1"/>
  <c r="AW331" i="3"/>
  <c r="AW220" i="4" s="1"/>
  <c r="AW225" i="4" s="1"/>
  <c r="AW355" i="3"/>
  <c r="AW241" i="4" s="1"/>
  <c r="AW8" i="62"/>
  <c r="AW8" i="11"/>
  <c r="AW16" i="4"/>
  <c r="AW186" i="3"/>
  <c r="AW123" i="4" s="1"/>
  <c r="AW128" i="4" s="1"/>
  <c r="AW299" i="3"/>
  <c r="AW186" i="4" s="1"/>
  <c r="AW195" i="4" s="1"/>
  <c r="AW356" i="3"/>
  <c r="AW242" i="4" s="1"/>
  <c r="AW247" i="4" s="1"/>
  <c r="AW300" i="3"/>
  <c r="AW187" i="4" s="1"/>
  <c r="AW196" i="4" s="1"/>
  <c r="AW1106" i="4"/>
  <c r="AW241" i="3"/>
  <c r="AW146" i="4" s="1"/>
  <c r="AW151" i="4" s="1"/>
  <c r="AW8" i="64"/>
  <c r="AW218" i="3"/>
  <c r="AW135" i="4" s="1"/>
  <c r="AW140" i="4" s="1"/>
  <c r="AW1083" i="4"/>
  <c r="AW30" i="4"/>
  <c r="AW29" i="4"/>
  <c r="AW1079" i="4"/>
  <c r="AW1107" i="4"/>
  <c r="AW1081" i="4"/>
  <c r="AW1082" i="4" s="1"/>
  <c r="AV335" i="4"/>
  <c r="AV959" i="4" s="1"/>
  <c r="AV287" i="4"/>
  <c r="AV33" i="4"/>
  <c r="AV40" i="4" s="1"/>
  <c r="AV138" i="4"/>
  <c r="AU129" i="4"/>
  <c r="AT617" i="4"/>
  <c r="AU540" i="4"/>
  <c r="AU542" i="4" s="1"/>
  <c r="AU24" i="4"/>
  <c r="BK6" i="72"/>
  <c r="BK8" i="72"/>
  <c r="BL7" i="72"/>
  <c r="AU153" i="4"/>
  <c r="AU9" i="11"/>
  <c r="AU61" i="4"/>
  <c r="AU318" i="4" s="1"/>
  <c r="AU328" i="4" s="1"/>
  <c r="AU335" i="4"/>
  <c r="AU959" i="4" s="1"/>
  <c r="AU287" i="4"/>
  <c r="AU324" i="4" s="1"/>
  <c r="AV324" i="4" s="1"/>
  <c r="AX7" i="3"/>
  <c r="AU227" i="4"/>
  <c r="BJ8" i="67"/>
  <c r="BJ6" i="67"/>
  <c r="BK7" i="67"/>
  <c r="AW1332" i="4"/>
  <c r="AV1080" i="4"/>
  <c r="AV1063" i="4"/>
  <c r="AV1066" i="4"/>
  <c r="AV1075" i="4" s="1"/>
  <c r="AV54" i="62"/>
  <c r="AV19" i="4"/>
  <c r="AV20" i="4" s="1"/>
  <c r="AV17" i="4"/>
  <c r="AV198" i="4"/>
  <c r="AV35" i="4"/>
  <c r="AV192" i="4"/>
  <c r="AV41" i="4"/>
  <c r="AV48" i="4" s="1"/>
  <c r="AV60" i="4"/>
  <c r="AU9" i="66"/>
  <c r="AU250" i="4"/>
  <c r="AU53" i="62"/>
  <c r="AW6" i="4"/>
  <c r="AW15" i="4"/>
  <c r="BS1061" i="4"/>
  <c r="BR1062" i="4"/>
  <c r="AW60" i="4" l="1"/>
  <c r="AV9" i="4"/>
  <c r="AV654" i="4"/>
  <c r="AV655" i="4"/>
  <c r="AV637" i="4"/>
  <c r="AW21" i="4"/>
  <c r="AV22" i="4"/>
  <c r="AW18" i="4"/>
  <c r="AW54" i="11"/>
  <c r="AW747" i="4"/>
  <c r="AW543" i="4"/>
  <c r="AW62" i="4"/>
  <c r="AW528" i="4" s="1"/>
  <c r="AW530" i="4"/>
  <c r="AW529" i="4"/>
  <c r="AW335" i="4"/>
  <c r="AW959" i="4" s="1"/>
  <c r="AW287" i="4"/>
  <c r="AW324" i="4" s="1"/>
  <c r="AX7" i="66"/>
  <c r="AX6" i="66" s="1"/>
  <c r="AX7" i="62"/>
  <c r="AX6" i="62" s="1"/>
  <c r="AX8" i="3"/>
  <c r="AY7" i="3" s="1"/>
  <c r="AX6" i="3"/>
  <c r="AX7" i="64"/>
  <c r="AX6" i="64" s="1"/>
  <c r="AX28" i="64" s="1"/>
  <c r="AX30" i="64" s="1"/>
  <c r="AX53" i="64" s="1"/>
  <c r="AX7" i="4"/>
  <c r="AX7" i="11"/>
  <c r="AX6" i="11" s="1"/>
  <c r="AX86" i="64"/>
  <c r="AX87" i="64" s="1"/>
  <c r="AV153" i="4"/>
  <c r="AU154" i="4"/>
  <c r="AW129" i="4"/>
  <c r="AW34" i="4"/>
  <c r="AW41" i="4" s="1"/>
  <c r="AW48" i="4" s="1"/>
  <c r="AW150" i="4"/>
  <c r="AV130" i="4"/>
  <c r="AV55" i="4"/>
  <c r="AV9" i="62"/>
  <c r="AS662" i="4"/>
  <c r="AV540" i="4"/>
  <c r="AV542" i="4" s="1"/>
  <c r="AV24" i="4"/>
  <c r="AX1332" i="4"/>
  <c r="BL6" i="72"/>
  <c r="BL8" i="72"/>
  <c r="BM7" i="72"/>
  <c r="AW141" i="4"/>
  <c r="AV53" i="4"/>
  <c r="AW1052" i="4"/>
  <c r="AW58" i="4"/>
  <c r="AW17" i="4"/>
  <c r="AW19" i="4"/>
  <c r="AW20" i="4" s="1"/>
  <c r="AW70" i="4"/>
  <c r="AV65" i="4"/>
  <c r="AW66" i="4"/>
  <c r="AV9" i="11"/>
  <c r="BK6" i="67"/>
  <c r="BK8" i="67"/>
  <c r="BL7" i="67"/>
  <c r="AV142" i="4"/>
  <c r="AW32" i="4"/>
  <c r="AW39" i="4" s="1"/>
  <c r="AW46" i="4" s="1"/>
  <c r="AW126" i="4"/>
  <c r="AT645" i="4"/>
  <c r="AT644" i="4"/>
  <c r="AT640" i="4"/>
  <c r="AT641" i="4"/>
  <c r="AT659" i="4" s="1"/>
  <c r="AV9" i="66"/>
  <c r="AU645" i="4"/>
  <c r="AU641" i="4"/>
  <c r="AU644" i="4"/>
  <c r="AU640" i="4"/>
  <c r="AW249" i="4"/>
  <c r="BJ95" i="67"/>
  <c r="BJ60" i="3"/>
  <c r="BJ59" i="3"/>
  <c r="BJ56" i="3"/>
  <c r="BJ58" i="3"/>
  <c r="AU544" i="4"/>
  <c r="AU612" i="4" s="1"/>
  <c r="AU607" i="4"/>
  <c r="AW54" i="62"/>
  <c r="AW33" i="4"/>
  <c r="AW40" i="4" s="1"/>
  <c r="AW47" i="4" s="1"/>
  <c r="AW138" i="4"/>
  <c r="AV63" i="4"/>
  <c r="AV1312" i="4" s="1"/>
  <c r="BL1447" i="4"/>
  <c r="AV42" i="4"/>
  <c r="AV49" i="4" s="1"/>
  <c r="AV250" i="4"/>
  <c r="AV9" i="64"/>
  <c r="AV227" i="4"/>
  <c r="AV610" i="3"/>
  <c r="AW68" i="4"/>
  <c r="AW67" i="4"/>
  <c r="AV965" i="4"/>
  <c r="AU56" i="4"/>
  <c r="AW1080" i="4"/>
  <c r="AW1063" i="4"/>
  <c r="AW1066" i="4"/>
  <c r="AW1075" i="4" s="1"/>
  <c r="AW37" i="4"/>
  <c r="AW44" i="4" s="1"/>
  <c r="AW51" i="4" s="1"/>
  <c r="AW246" i="4"/>
  <c r="AW35" i="4"/>
  <c r="AW42" i="4" s="1"/>
  <c r="AW192" i="4"/>
  <c r="AW198" i="4"/>
  <c r="AT660" i="4"/>
  <c r="BM1352" i="4"/>
  <c r="BN1315" i="4"/>
  <c r="BM1446" i="4"/>
  <c r="AV9" i="3"/>
  <c r="AU200" i="4"/>
  <c r="AU964" i="4"/>
  <c r="AU605" i="4"/>
  <c r="AU660" i="4"/>
  <c r="AU130" i="4"/>
  <c r="AV199" i="4"/>
  <c r="AW1186" i="4"/>
  <c r="AW295" i="4"/>
  <c r="AW303" i="4" s="1"/>
  <c r="AW57" i="4"/>
  <c r="AW54" i="4" s="1"/>
  <c r="AW1074" i="4"/>
  <c r="AW27" i="66"/>
  <c r="AW28" i="66"/>
  <c r="AW9" i="62"/>
  <c r="AW9" i="11"/>
  <c r="AW9" i="64"/>
  <c r="AW226" i="4"/>
  <c r="AW36" i="4"/>
  <c r="AW43" i="4" s="1"/>
  <c r="AW50" i="4" s="1"/>
  <c r="AW636" i="4" s="1"/>
  <c r="AW223" i="4"/>
  <c r="AW34" i="66"/>
  <c r="AV61" i="4"/>
  <c r="AV318" i="4" s="1"/>
  <c r="AV328" i="4" s="1"/>
  <c r="AV47" i="4"/>
  <c r="BS1062" i="4"/>
  <c r="BT1061" i="4"/>
  <c r="AW227" i="4" l="1"/>
  <c r="AU659" i="4"/>
  <c r="AW60" i="62"/>
  <c r="AW9" i="4"/>
  <c r="AW49" i="4"/>
  <c r="AX314" i="4"/>
  <c r="AX274" i="4" s="1"/>
  <c r="AW22" i="4"/>
  <c r="AX21" i="4"/>
  <c r="AT661" i="4"/>
  <c r="AU661" i="4"/>
  <c r="AY7" i="66"/>
  <c r="AY6" i="66" s="1"/>
  <c r="AY86" i="64"/>
  <c r="AY87" i="64" s="1"/>
  <c r="AY6" i="3"/>
  <c r="AY7" i="62"/>
  <c r="AY6" i="62" s="1"/>
  <c r="AY8" i="3"/>
  <c r="AY314" i="4" s="1"/>
  <c r="AY7" i="64"/>
  <c r="AY6" i="64" s="1"/>
  <c r="AY28" i="64" s="1"/>
  <c r="AY30" i="64" s="1"/>
  <c r="AY53" i="64" s="1"/>
  <c r="AY7" i="11"/>
  <c r="AY6" i="11" s="1"/>
  <c r="AY7" i="4"/>
  <c r="BM8" i="72"/>
  <c r="BM6" i="72"/>
  <c r="BN7" i="72"/>
  <c r="AV56" i="4"/>
  <c r="AW654" i="4"/>
  <c r="AW655" i="4"/>
  <c r="AW637" i="4"/>
  <c r="AW9" i="3"/>
  <c r="AW610" i="3"/>
  <c r="AW965" i="4"/>
  <c r="AW142" i="4"/>
  <c r="AW65" i="4"/>
  <c r="AU617" i="4"/>
  <c r="AX1165" i="4"/>
  <c r="AX275" i="4"/>
  <c r="AX273" i="4"/>
  <c r="AX1166" i="4"/>
  <c r="AV200" i="4"/>
  <c r="AW9" i="66"/>
  <c r="AW199" i="4"/>
  <c r="AW55" i="4"/>
  <c r="AV964" i="4"/>
  <c r="AV605" i="4"/>
  <c r="AW53" i="62"/>
  <c r="AY1332" i="4"/>
  <c r="AW153" i="4"/>
  <c r="AX15" i="4"/>
  <c r="AX6" i="4"/>
  <c r="BK56" i="3"/>
  <c r="BK60" i="3"/>
  <c r="BK59" i="3"/>
  <c r="BK58" i="3"/>
  <c r="BK95" i="67"/>
  <c r="BM1447" i="4"/>
  <c r="AV154" i="4"/>
  <c r="AV644" i="4"/>
  <c r="AV660" i="4" s="1"/>
  <c r="AV645" i="4"/>
  <c r="AV641" i="4"/>
  <c r="AV640" i="4"/>
  <c r="BO1315" i="4"/>
  <c r="BN1446" i="4"/>
  <c r="BN1352" i="4"/>
  <c r="AW250" i="4"/>
  <c r="AW130" i="4"/>
  <c r="BL8" i="67"/>
  <c r="BL6" i="67"/>
  <c r="BM7" i="67"/>
  <c r="AV544" i="4"/>
  <c r="AV612" i="4" s="1"/>
  <c r="AV607" i="4"/>
  <c r="AW540" i="4"/>
  <c r="AW542" i="4" s="1"/>
  <c r="AW24" i="4"/>
  <c r="AX8" i="64"/>
  <c r="AX300" i="3"/>
  <c r="AX187" i="4" s="1"/>
  <c r="AX196" i="4" s="1"/>
  <c r="AX186" i="3"/>
  <c r="AX123" i="4" s="1"/>
  <c r="AX128" i="4" s="1"/>
  <c r="AX241" i="3"/>
  <c r="AX146" i="4" s="1"/>
  <c r="AX151" i="4" s="1"/>
  <c r="AX184" i="3"/>
  <c r="AX121" i="4" s="1"/>
  <c r="AX126" i="4" s="1"/>
  <c r="AX185" i="3"/>
  <c r="AX122" i="4" s="1"/>
  <c r="AX355" i="3"/>
  <c r="AX241" i="4" s="1"/>
  <c r="AX8" i="62"/>
  <c r="AX1106" i="4"/>
  <c r="AX301" i="3"/>
  <c r="AX188" i="4" s="1"/>
  <c r="AX197" i="4" s="1"/>
  <c r="AX357" i="3"/>
  <c r="AX243" i="4" s="1"/>
  <c r="AX248" i="4" s="1"/>
  <c r="AX297" i="3"/>
  <c r="AX184" i="4" s="1"/>
  <c r="AX193" i="4" s="1"/>
  <c r="AX218" i="3"/>
  <c r="AX135" i="4" s="1"/>
  <c r="AX140" i="4" s="1"/>
  <c r="AX240" i="3"/>
  <c r="AX145" i="4" s="1"/>
  <c r="AX8" i="4"/>
  <c r="AX16" i="4"/>
  <c r="AX8" i="11"/>
  <c r="AX299" i="3"/>
  <c r="AX186" i="4" s="1"/>
  <c r="AX195" i="4" s="1"/>
  <c r="AX216" i="3"/>
  <c r="AX133" i="4" s="1"/>
  <c r="AX298" i="3"/>
  <c r="AX185" i="4" s="1"/>
  <c r="AX194" i="4" s="1"/>
  <c r="AX356" i="3"/>
  <c r="AX242" i="4" s="1"/>
  <c r="AX247" i="4" s="1"/>
  <c r="AX330" i="3"/>
  <c r="AX219" i="4" s="1"/>
  <c r="AX224" i="4" s="1"/>
  <c r="AX1083" i="4"/>
  <c r="AX28" i="4"/>
  <c r="AX8" i="66"/>
  <c r="AX296" i="3"/>
  <c r="AX183" i="4" s="1"/>
  <c r="AX242" i="3"/>
  <c r="AX147" i="4" s="1"/>
  <c r="AX152" i="4" s="1"/>
  <c r="AX329" i="3"/>
  <c r="AX218" i="4" s="1"/>
  <c r="AX331" i="3"/>
  <c r="AX220" i="4" s="1"/>
  <c r="AX225" i="4" s="1"/>
  <c r="AX217" i="3"/>
  <c r="AX134" i="4" s="1"/>
  <c r="AX139" i="4" s="1"/>
  <c r="AX29" i="4"/>
  <c r="AX30" i="4"/>
  <c r="AX1107" i="4"/>
  <c r="AX1079" i="4"/>
  <c r="AX1081" i="4"/>
  <c r="AX1082" i="4" s="1"/>
  <c r="AX1370" i="4"/>
  <c r="AV659" i="4"/>
  <c r="BT1062" i="4"/>
  <c r="BU1061" i="4"/>
  <c r="AX66" i="4" l="1"/>
  <c r="AX15" i="66"/>
  <c r="AX1080" i="4"/>
  <c r="AX1063" i="4"/>
  <c r="AX1066" i="4"/>
  <c r="AX1075" i="4" s="1"/>
  <c r="AX33" i="4"/>
  <c r="AX138" i="4"/>
  <c r="AX249" i="4"/>
  <c r="AX129" i="4"/>
  <c r="AU662" i="4"/>
  <c r="AX192" i="4"/>
  <c r="AX35" i="4"/>
  <c r="AV617" i="4"/>
  <c r="AX335" i="4"/>
  <c r="AX959" i="4" s="1"/>
  <c r="AX287" i="4"/>
  <c r="AX324" i="4" s="1"/>
  <c r="AY301" i="3"/>
  <c r="AY188" i="4" s="1"/>
  <c r="AY197" i="4" s="1"/>
  <c r="AY299" i="3"/>
  <c r="AY186" i="4" s="1"/>
  <c r="AY195" i="4" s="1"/>
  <c r="AY355" i="3"/>
  <c r="AY241" i="4" s="1"/>
  <c r="AY186" i="3"/>
  <c r="AY123" i="4" s="1"/>
  <c r="AY128" i="4" s="1"/>
  <c r="AY216" i="3"/>
  <c r="AY133" i="4" s="1"/>
  <c r="AY1106" i="4"/>
  <c r="AY8" i="66"/>
  <c r="AY297" i="3"/>
  <c r="AY184" i="4" s="1"/>
  <c r="AY193" i="4" s="1"/>
  <c r="AY184" i="3"/>
  <c r="AY121" i="4" s="1"/>
  <c r="AY28" i="4"/>
  <c r="AY8" i="64"/>
  <c r="AY185" i="3"/>
  <c r="AY122" i="4" s="1"/>
  <c r="AY127" i="4" s="1"/>
  <c r="AY218" i="3"/>
  <c r="AY135" i="4" s="1"/>
  <c r="AY140" i="4" s="1"/>
  <c r="AY296" i="3"/>
  <c r="AY183" i="4" s="1"/>
  <c r="AY8" i="11"/>
  <c r="AY240" i="3"/>
  <c r="AY145" i="4" s="1"/>
  <c r="AY1370" i="4"/>
  <c r="AY1083" i="4"/>
  <c r="AY16" i="4"/>
  <c r="AY300" i="3"/>
  <c r="AY187" i="4" s="1"/>
  <c r="AY196" i="4" s="1"/>
  <c r="AY357" i="3"/>
  <c r="AY243" i="4" s="1"/>
  <c r="AY248" i="4" s="1"/>
  <c r="AY329" i="3"/>
  <c r="AY218" i="4" s="1"/>
  <c r="AY242" i="3"/>
  <c r="AY147" i="4" s="1"/>
  <c r="AY152" i="4" s="1"/>
  <c r="AY298" i="3"/>
  <c r="AY185" i="4" s="1"/>
  <c r="AY194" i="4" s="1"/>
  <c r="AY331" i="3"/>
  <c r="AY220" i="4" s="1"/>
  <c r="AY225" i="4" s="1"/>
  <c r="AY8" i="4"/>
  <c r="AY241" i="3"/>
  <c r="AY146" i="4" s="1"/>
  <c r="AY151" i="4" s="1"/>
  <c r="AY217" i="3"/>
  <c r="AY134" i="4" s="1"/>
  <c r="AY139" i="4" s="1"/>
  <c r="AY356" i="3"/>
  <c r="AY242" i="4" s="1"/>
  <c r="AY247" i="4" s="1"/>
  <c r="AY330" i="3"/>
  <c r="AY219" i="4" s="1"/>
  <c r="AY224" i="4" s="1"/>
  <c r="AY8" i="62"/>
  <c r="AY29" i="4"/>
  <c r="AY30" i="4"/>
  <c r="AY1081" i="4"/>
  <c r="AY1082" i="4" s="1"/>
  <c r="AY1107" i="4"/>
  <c r="AY1079" i="4"/>
  <c r="AV661" i="4"/>
  <c r="AX54" i="11"/>
  <c r="AX62" i="4"/>
  <c r="AX528" i="4" s="1"/>
  <c r="AX747" i="4"/>
  <c r="AX63" i="4"/>
  <c r="AX1312" i="4" s="1"/>
  <c r="AX530" i="4"/>
  <c r="AX543" i="4"/>
  <c r="AX70" i="4"/>
  <c r="AW63" i="4"/>
  <c r="AW1312" i="4" s="1"/>
  <c r="AX67" i="4"/>
  <c r="AX1074" i="4"/>
  <c r="AX61" i="4"/>
  <c r="AX318" i="4" s="1"/>
  <c r="AY60" i="4"/>
  <c r="AX295" i="4"/>
  <c r="AX303" i="4" s="1"/>
  <c r="AX1186" i="4"/>
  <c r="AX27" i="66"/>
  <c r="AX57" i="4"/>
  <c r="AX9" i="3" s="1"/>
  <c r="AX28" i="66"/>
  <c r="AX9" i="62"/>
  <c r="AX9" i="64"/>
  <c r="AX9" i="66"/>
  <c r="AX60" i="4"/>
  <c r="AW61" i="4"/>
  <c r="AW318" i="4" s="1"/>
  <c r="AW328" i="4" s="1"/>
  <c r="AW53" i="4"/>
  <c r="AX1052" i="4"/>
  <c r="AX58" i="4"/>
  <c r="AX54" i="62"/>
  <c r="AX18" i="4"/>
  <c r="AT662" i="4"/>
  <c r="AX529" i="4"/>
  <c r="AX19" i="4"/>
  <c r="AX20" i="4" s="1"/>
  <c r="AX17" i="4"/>
  <c r="AX37" i="4"/>
  <c r="AX246" i="4"/>
  <c r="BM8" i="67"/>
  <c r="BM6" i="67"/>
  <c r="BN7" i="67"/>
  <c r="AX68" i="4"/>
  <c r="BN6" i="72"/>
  <c r="BN8" i="72"/>
  <c r="BO7" i="72"/>
  <c r="AX34" i="4"/>
  <c r="AX150" i="4"/>
  <c r="AX32" i="4"/>
  <c r="AX127" i="4"/>
  <c r="BL60" i="3"/>
  <c r="BL59" i="3"/>
  <c r="BL58" i="3"/>
  <c r="BL95" i="67"/>
  <c r="BL56" i="3"/>
  <c r="AW154" i="4"/>
  <c r="AW200" i="4"/>
  <c r="AW964" i="4"/>
  <c r="AW605" i="4"/>
  <c r="AY15" i="4"/>
  <c r="AY6" i="4"/>
  <c r="AZ7" i="3"/>
  <c r="AX226" i="4"/>
  <c r="AX141" i="4"/>
  <c r="BN1447" i="4"/>
  <c r="AY275" i="4"/>
  <c r="AY288" i="4" s="1"/>
  <c r="AY274" i="4"/>
  <c r="AY273" i="4"/>
  <c r="AY1165" i="4"/>
  <c r="AY1166" i="4"/>
  <c r="AX36" i="4"/>
  <c r="AX223" i="4"/>
  <c r="AX198" i="4"/>
  <c r="AW544" i="4"/>
  <c r="AW612" i="4" s="1"/>
  <c r="AW607" i="4"/>
  <c r="BO1352" i="4"/>
  <c r="BP1315" i="4"/>
  <c r="BO1446" i="4"/>
  <c r="AX34" i="66"/>
  <c r="AX288" i="4"/>
  <c r="AX329" i="4" s="1"/>
  <c r="AX414" i="4" s="1"/>
  <c r="AX415" i="4" s="1"/>
  <c r="AY413" i="4" s="1"/>
  <c r="AW645" i="4"/>
  <c r="AW641" i="4"/>
  <c r="AW640" i="4"/>
  <c r="AW659" i="4" s="1"/>
  <c r="AW644" i="4"/>
  <c r="AW660" i="4" s="1"/>
  <c r="BV1061" i="4"/>
  <c r="BU1062" i="4"/>
  <c r="AX130" i="4" l="1"/>
  <c r="AX328" i="4"/>
  <c r="AX9" i="4"/>
  <c r="AW661" i="4"/>
  <c r="AY15" i="66"/>
  <c r="AY18" i="4"/>
  <c r="AX39" i="4"/>
  <c r="AX46" i="4" s="1"/>
  <c r="AX44" i="4"/>
  <c r="AX51" i="4" s="1"/>
  <c r="AY37" i="4"/>
  <c r="AY44" i="4" s="1"/>
  <c r="AY246" i="4"/>
  <c r="AX40" i="4"/>
  <c r="AX47" i="4" s="1"/>
  <c r="AY34" i="66"/>
  <c r="AX153" i="4"/>
  <c r="AX24" i="4"/>
  <c r="AY68" i="4"/>
  <c r="AX610" i="3"/>
  <c r="AX965" i="4"/>
  <c r="AY67" i="4"/>
  <c r="AY530" i="4"/>
  <c r="AY62" i="4"/>
  <c r="AY528" i="4" s="1"/>
  <c r="AY543" i="4"/>
  <c r="AY747" i="4"/>
  <c r="AY54" i="11"/>
  <c r="AY17" i="4"/>
  <c r="AY19" i="4"/>
  <c r="AY20" i="4" s="1"/>
  <c r="AX53" i="4"/>
  <c r="AY58" i="4"/>
  <c r="AY1052" i="4"/>
  <c r="AW662" i="4"/>
  <c r="BO1447" i="4"/>
  <c r="AY335" i="4"/>
  <c r="AY959" i="4" s="1"/>
  <c r="AY287" i="4"/>
  <c r="AY324" i="4" s="1"/>
  <c r="AX41" i="4"/>
  <c r="AX48" i="4" s="1"/>
  <c r="AX22" i="4"/>
  <c r="AY21" i="4"/>
  <c r="AX54" i="4"/>
  <c r="AX60" i="62"/>
  <c r="AY1074" i="4"/>
  <c r="G1074" i="4" s="1"/>
  <c r="AY28" i="66"/>
  <c r="AY295" i="4"/>
  <c r="AY303" i="4" s="1"/>
  <c r="AY1186" i="4"/>
  <c r="AY57" i="4"/>
  <c r="AY9" i="4" s="1"/>
  <c r="AY27" i="66"/>
  <c r="AY9" i="64"/>
  <c r="AY9" i="11"/>
  <c r="AY9" i="3"/>
  <c r="AY226" i="4"/>
  <c r="AY32" i="4"/>
  <c r="AY39" i="4" s="1"/>
  <c r="AY46" i="4" s="1"/>
  <c r="AY126" i="4"/>
  <c r="BP1352" i="4"/>
  <c r="BQ1315" i="4"/>
  <c r="BP1446" i="4"/>
  <c r="AY529" i="4"/>
  <c r="AY198" i="4"/>
  <c r="AY34" i="4"/>
  <c r="AY41" i="4" s="1"/>
  <c r="AY48" i="4" s="1"/>
  <c r="AY150" i="4"/>
  <c r="AX227" i="4"/>
  <c r="BN8" i="67"/>
  <c r="BN6" i="67"/>
  <c r="BO7" i="67"/>
  <c r="AX9" i="11"/>
  <c r="AY70" i="4"/>
  <c r="AV662" i="4"/>
  <c r="AY54" i="62"/>
  <c r="AX43" i="4"/>
  <c r="AX50" i="4" s="1"/>
  <c r="AX636" i="4" s="1"/>
  <c r="BM60" i="3"/>
  <c r="BM59" i="3"/>
  <c r="BM58" i="3"/>
  <c r="BM95" i="67"/>
  <c r="BM56" i="3"/>
  <c r="AY36" i="4"/>
  <c r="AY223" i="4"/>
  <c r="AY35" i="4"/>
  <c r="AY192" i="4"/>
  <c r="AY42" i="4"/>
  <c r="AY49" i="4" s="1"/>
  <c r="AX42" i="4"/>
  <c r="AX49" i="4" s="1"/>
  <c r="AY66" i="4"/>
  <c r="AY329" i="4"/>
  <c r="AY414" i="4" s="1"/>
  <c r="AY415" i="4" s="1"/>
  <c r="AZ413" i="4" s="1"/>
  <c r="AZ86" i="64"/>
  <c r="AZ87" i="64" s="1"/>
  <c r="AZ7" i="64"/>
  <c r="AZ6" i="64" s="1"/>
  <c r="AZ28" i="64" s="1"/>
  <c r="AZ30" i="64" s="1"/>
  <c r="AZ53" i="64" s="1"/>
  <c r="AZ7" i="4"/>
  <c r="AZ314" i="4"/>
  <c r="AZ7" i="66"/>
  <c r="AZ6" i="66" s="1"/>
  <c r="AZ7" i="62"/>
  <c r="AZ6" i="62" s="1"/>
  <c r="AZ6" i="3"/>
  <c r="AZ7" i="11"/>
  <c r="AZ6" i="11" s="1"/>
  <c r="BA7" i="3"/>
  <c r="AZ8" i="3"/>
  <c r="AX540" i="4"/>
  <c r="AX542" i="4" s="1"/>
  <c r="AY1080" i="4"/>
  <c r="AY1063" i="4"/>
  <c r="AY1066" i="4"/>
  <c r="AY1075" i="4" s="1"/>
  <c r="AY249" i="4"/>
  <c r="AY141" i="4"/>
  <c r="AY33" i="4"/>
  <c r="AY138" i="4"/>
  <c r="AX199" i="4"/>
  <c r="AW617" i="4"/>
  <c r="BO6" i="72"/>
  <c r="BO8" i="72"/>
  <c r="BP7" i="72"/>
  <c r="AX250" i="4"/>
  <c r="AY129" i="4"/>
  <c r="AX142" i="4"/>
  <c r="BV1062" i="4"/>
  <c r="BW1061" i="4"/>
  <c r="AY227" i="4" l="1"/>
  <c r="AY51" i="4"/>
  <c r="AY130" i="4"/>
  <c r="AZ21" i="4"/>
  <c r="AY22" i="4"/>
  <c r="AY24" i="4"/>
  <c r="AX607" i="4"/>
  <c r="AX544" i="4"/>
  <c r="AX612" i="4" s="1"/>
  <c r="AY9" i="62"/>
  <c r="AY54" i="4"/>
  <c r="AY60" i="62"/>
  <c r="AY40" i="4"/>
  <c r="AY47" i="4" s="1"/>
  <c r="BO8" i="67"/>
  <c r="BO6" i="67"/>
  <c r="BP7" i="67"/>
  <c r="AW56" i="4"/>
  <c r="AY55" i="4"/>
  <c r="AX55" i="4"/>
  <c r="AX53" i="62"/>
  <c r="AX65" i="4"/>
  <c r="AY65" i="4" s="1"/>
  <c r="AY540" i="4"/>
  <c r="AY542" i="4" s="1"/>
  <c r="AX154" i="4"/>
  <c r="AZ1166" i="4"/>
  <c r="AZ273" i="4"/>
  <c r="AZ1165" i="4"/>
  <c r="AZ275" i="4"/>
  <c r="AZ288" i="4" s="1"/>
  <c r="AZ329" i="4" s="1"/>
  <c r="AZ414" i="4" s="1"/>
  <c r="AZ415" i="4" s="1"/>
  <c r="BA413" i="4" s="1"/>
  <c r="AZ274" i="4"/>
  <c r="BN95" i="67"/>
  <c r="BN56" i="3"/>
  <c r="BN59" i="3"/>
  <c r="BN58" i="3"/>
  <c r="BN60" i="3"/>
  <c r="AY965" i="4"/>
  <c r="AY610" i="3"/>
  <c r="BP6" i="72"/>
  <c r="BP8" i="72"/>
  <c r="BQ7" i="72"/>
  <c r="AZ6" i="4"/>
  <c r="AZ15" i="4"/>
  <c r="BP1447" i="4"/>
  <c r="AY250" i="4"/>
  <c r="AZ218" i="3"/>
  <c r="AZ135" i="4" s="1"/>
  <c r="AZ140" i="4" s="1"/>
  <c r="AZ297" i="3"/>
  <c r="AZ184" i="4" s="1"/>
  <c r="AZ193" i="4" s="1"/>
  <c r="AZ298" i="3"/>
  <c r="AZ185" i="4" s="1"/>
  <c r="AZ194" i="4" s="1"/>
  <c r="AZ184" i="3"/>
  <c r="AZ121" i="4" s="1"/>
  <c r="AZ301" i="3"/>
  <c r="AZ188" i="4" s="1"/>
  <c r="AZ197" i="4" s="1"/>
  <c r="AZ330" i="3"/>
  <c r="AZ219" i="4" s="1"/>
  <c r="AZ224" i="4" s="1"/>
  <c r="AZ8" i="4"/>
  <c r="AZ296" i="3"/>
  <c r="AZ183" i="4" s="1"/>
  <c r="AZ242" i="3"/>
  <c r="AZ147" i="4" s="1"/>
  <c r="AZ329" i="3"/>
  <c r="AZ218" i="4" s="1"/>
  <c r="AZ357" i="3"/>
  <c r="AZ243" i="4" s="1"/>
  <c r="AZ248" i="4" s="1"/>
  <c r="AZ1083" i="4"/>
  <c r="AZ8" i="11"/>
  <c r="AZ356" i="3"/>
  <c r="AZ242" i="4" s="1"/>
  <c r="AZ247" i="4" s="1"/>
  <c r="AZ355" i="3"/>
  <c r="AZ241" i="4" s="1"/>
  <c r="AZ217" i="3"/>
  <c r="AZ134" i="4" s="1"/>
  <c r="AZ139" i="4" s="1"/>
  <c r="AZ241" i="3"/>
  <c r="AZ146" i="4" s="1"/>
  <c r="AZ151" i="4" s="1"/>
  <c r="AZ8" i="62"/>
  <c r="AZ216" i="3"/>
  <c r="AZ133" i="4" s="1"/>
  <c r="AZ1370" i="4"/>
  <c r="AZ16" i="4"/>
  <c r="AZ299" i="3"/>
  <c r="AZ186" i="4" s="1"/>
  <c r="AZ195" i="4" s="1"/>
  <c r="AZ186" i="3"/>
  <c r="AZ123" i="4" s="1"/>
  <c r="AZ128" i="4" s="1"/>
  <c r="AZ8" i="66"/>
  <c r="AZ1106" i="4"/>
  <c r="AZ185" i="3"/>
  <c r="AZ122" i="4" s="1"/>
  <c r="AZ127" i="4" s="1"/>
  <c r="AZ331" i="3"/>
  <c r="AZ220" i="4" s="1"/>
  <c r="AZ225" i="4" s="1"/>
  <c r="AZ8" i="64"/>
  <c r="AZ240" i="3"/>
  <c r="AZ145" i="4" s="1"/>
  <c r="AZ150" i="4" s="1"/>
  <c r="AZ28" i="4"/>
  <c r="AZ300" i="3"/>
  <c r="AZ187" i="4" s="1"/>
  <c r="AZ196" i="4" s="1"/>
  <c r="AZ529" i="4"/>
  <c r="AZ29" i="4"/>
  <c r="AZ30" i="4"/>
  <c r="AZ1107" i="4"/>
  <c r="AZ1079" i="4"/>
  <c r="AZ1081" i="4"/>
  <c r="AZ1082" i="4" s="1"/>
  <c r="AZ1332" i="4"/>
  <c r="AY199" i="4"/>
  <c r="BQ1352" i="4"/>
  <c r="BQ1446" i="4"/>
  <c r="BR1315" i="4"/>
  <c r="AY9" i="66"/>
  <c r="AX605" i="4"/>
  <c r="AX964" i="4"/>
  <c r="AX200" i="4"/>
  <c r="BA86" i="64"/>
  <c r="BA87" i="64" s="1"/>
  <c r="BA314" i="4"/>
  <c r="BA6" i="3"/>
  <c r="BA7" i="64"/>
  <c r="BA6" i="64" s="1"/>
  <c r="BA28" i="64" s="1"/>
  <c r="BA30" i="64" s="1"/>
  <c r="BA53" i="64" s="1"/>
  <c r="BA7" i="62"/>
  <c r="BA6" i="62" s="1"/>
  <c r="BA7" i="11"/>
  <c r="BA6" i="11" s="1"/>
  <c r="BB7" i="3"/>
  <c r="BA8" i="3"/>
  <c r="BA7" i="66"/>
  <c r="BA6" i="66" s="1"/>
  <c r="BA7" i="4"/>
  <c r="AX654" i="4"/>
  <c r="AX655" i="4"/>
  <c r="AX637" i="4"/>
  <c r="AY153" i="4"/>
  <c r="AY142" i="4"/>
  <c r="AY43" i="4"/>
  <c r="AY50" i="4" s="1"/>
  <c r="AY636" i="4" s="1"/>
  <c r="BW1062" i="4"/>
  <c r="BX1061" i="4"/>
  <c r="AZ66" i="4" l="1"/>
  <c r="AZ15" i="66"/>
  <c r="AZ226" i="4"/>
  <c r="AZ33" i="4"/>
  <c r="AZ138" i="4"/>
  <c r="AZ249" i="4"/>
  <c r="AZ198" i="4"/>
  <c r="AZ18" i="4"/>
  <c r="AY605" i="4"/>
  <c r="AY964" i="4"/>
  <c r="AZ530" i="4"/>
  <c r="AZ54" i="11"/>
  <c r="AZ62" i="4"/>
  <c r="AZ528" i="4" s="1"/>
  <c r="AZ543" i="4"/>
  <c r="AZ747" i="4"/>
  <c r="AY63" i="4"/>
  <c r="AY1312" i="4" s="1"/>
  <c r="AZ70" i="4"/>
  <c r="AZ54" i="62"/>
  <c r="AZ36" i="4"/>
  <c r="AZ223" i="4"/>
  <c r="AX617" i="4"/>
  <c r="AZ1074" i="4"/>
  <c r="AZ57" i="4"/>
  <c r="AZ9" i="66" s="1"/>
  <c r="AZ1186" i="4"/>
  <c r="AZ295" i="4"/>
  <c r="AZ303" i="4" s="1"/>
  <c r="AZ28" i="66"/>
  <c r="AZ27" i="66"/>
  <c r="AZ9" i="11"/>
  <c r="AZ9" i="64"/>
  <c r="AZ9" i="3"/>
  <c r="AZ60" i="4"/>
  <c r="AY61" i="4"/>
  <c r="AY318" i="4" s="1"/>
  <c r="AY328" i="4" s="1"/>
  <c r="AZ34" i="4"/>
  <c r="AZ41" i="4" s="1"/>
  <c r="AZ48" i="4" s="1"/>
  <c r="AZ152" i="4"/>
  <c r="AZ153" i="4" s="1"/>
  <c r="AZ141" i="4"/>
  <c r="BA15" i="4"/>
  <c r="BA6" i="4"/>
  <c r="BA1166" i="4"/>
  <c r="BA1165" i="4"/>
  <c r="BA275" i="4"/>
  <c r="BA288" i="4" s="1"/>
  <c r="BA329" i="4" s="1"/>
  <c r="BA414" i="4" s="1"/>
  <c r="BA415" i="4" s="1"/>
  <c r="BB413" i="4" s="1"/>
  <c r="BA273" i="4"/>
  <c r="BA274" i="4"/>
  <c r="BR1352" i="4"/>
  <c r="BS1315" i="4"/>
  <c r="BR1446" i="4"/>
  <c r="BA1332" i="4"/>
  <c r="AZ35" i="4"/>
  <c r="AZ192" i="4"/>
  <c r="BQ6" i="72"/>
  <c r="BQ8" i="72"/>
  <c r="BR7" i="72"/>
  <c r="BP6" i="67"/>
  <c r="BP8" i="67"/>
  <c r="BQ7" i="67"/>
  <c r="AY655" i="4"/>
  <c r="AY654" i="4"/>
  <c r="AY637" i="4"/>
  <c r="AY154" i="4"/>
  <c r="BQ1447" i="4"/>
  <c r="AZ129" i="4"/>
  <c r="AZ37" i="4"/>
  <c r="AZ246" i="4"/>
  <c r="AZ19" i="4"/>
  <c r="AZ20" i="4" s="1"/>
  <c r="AZ17" i="4"/>
  <c r="AZ335" i="4"/>
  <c r="AZ959" i="4" s="1"/>
  <c r="AZ287" i="4"/>
  <c r="AZ324" i="4" s="1"/>
  <c r="AY544" i="4"/>
  <c r="AY612" i="4" s="1"/>
  <c r="AY607" i="4"/>
  <c r="BO58" i="3"/>
  <c r="BO95" i="67"/>
  <c r="BO60" i="3"/>
  <c r="BO59" i="3"/>
  <c r="BO56" i="3"/>
  <c r="AZ60" i="62"/>
  <c r="AX641" i="4"/>
  <c r="AX640" i="4"/>
  <c r="AX645" i="4"/>
  <c r="AX644" i="4"/>
  <c r="AX660" i="4" s="1"/>
  <c r="BA217" i="3"/>
  <c r="BA134" i="4" s="1"/>
  <c r="BA139" i="4" s="1"/>
  <c r="BA329" i="3"/>
  <c r="BA218" i="4" s="1"/>
  <c r="BA16" i="4"/>
  <c r="BA301" i="3"/>
  <c r="BA188" i="4" s="1"/>
  <c r="BA197" i="4" s="1"/>
  <c r="BA331" i="3"/>
  <c r="BA220" i="4" s="1"/>
  <c r="BA225" i="4" s="1"/>
  <c r="BA218" i="3"/>
  <c r="BA135" i="4" s="1"/>
  <c r="BA140" i="4" s="1"/>
  <c r="BA298" i="3"/>
  <c r="BA185" i="4" s="1"/>
  <c r="BA194" i="4" s="1"/>
  <c r="BA240" i="3"/>
  <c r="BA145" i="4" s="1"/>
  <c r="BA8" i="62"/>
  <c r="BA216" i="3"/>
  <c r="BA133" i="4" s="1"/>
  <c r="BA185" i="3"/>
  <c r="BA122" i="4" s="1"/>
  <c r="BA127" i="4" s="1"/>
  <c r="BA296" i="3"/>
  <c r="BA183" i="4" s="1"/>
  <c r="BA1106" i="4"/>
  <c r="BA330" i="3"/>
  <c r="BA219" i="4" s="1"/>
  <c r="BA224" i="4" s="1"/>
  <c r="BA355" i="3"/>
  <c r="BA241" i="4" s="1"/>
  <c r="BA300" i="3"/>
  <c r="BA187" i="4" s="1"/>
  <c r="BA196" i="4" s="1"/>
  <c r="BA299" i="3"/>
  <c r="BA186" i="4" s="1"/>
  <c r="BA195" i="4" s="1"/>
  <c r="BA1083" i="4"/>
  <c r="BA8" i="64"/>
  <c r="BA241" i="3"/>
  <c r="BA146" i="4" s="1"/>
  <c r="BA151" i="4" s="1"/>
  <c r="BA357" i="3"/>
  <c r="BA243" i="4" s="1"/>
  <c r="BA248" i="4" s="1"/>
  <c r="BA356" i="3"/>
  <c r="BA242" i="4" s="1"/>
  <c r="BA247" i="4" s="1"/>
  <c r="BA8" i="11"/>
  <c r="BA8" i="4"/>
  <c r="BA186" i="3"/>
  <c r="BA123" i="4" s="1"/>
  <c r="BA128" i="4" s="1"/>
  <c r="BA242" i="3"/>
  <c r="BA147" i="4" s="1"/>
  <c r="BA152" i="4" s="1"/>
  <c r="BA184" i="3"/>
  <c r="BA121" i="4" s="1"/>
  <c r="BA28" i="4"/>
  <c r="BA297" i="3"/>
  <c r="BA184" i="4" s="1"/>
  <c r="BA193" i="4" s="1"/>
  <c r="BA8" i="66"/>
  <c r="BA29" i="4"/>
  <c r="BA30" i="4"/>
  <c r="BA1107" i="4"/>
  <c r="BA1081" i="4"/>
  <c r="BA1082" i="4" s="1"/>
  <c r="BA1079" i="4"/>
  <c r="AY53" i="4"/>
  <c r="AZ1052" i="4"/>
  <c r="AZ58" i="4"/>
  <c r="AX56" i="4"/>
  <c r="AY53" i="62"/>
  <c r="BB7" i="62"/>
  <c r="BB6" i="62" s="1"/>
  <c r="BB7" i="4"/>
  <c r="BB86" i="64"/>
  <c r="BB87" i="64" s="1"/>
  <c r="BB7" i="11"/>
  <c r="BB6" i="11" s="1"/>
  <c r="BB6" i="3"/>
  <c r="BC7" i="3"/>
  <c r="BB7" i="64"/>
  <c r="BB6" i="64" s="1"/>
  <c r="BB28" i="64" s="1"/>
  <c r="BB30" i="64" s="1"/>
  <c r="BB53" i="64" s="1"/>
  <c r="BB8" i="3"/>
  <c r="BB314" i="4" s="1"/>
  <c r="BB7" i="66"/>
  <c r="BB6" i="66" s="1"/>
  <c r="AZ67" i="4"/>
  <c r="AX659" i="4"/>
  <c r="AY200" i="4"/>
  <c r="AZ1080" i="4"/>
  <c r="AZ1063" i="4"/>
  <c r="AZ1066" i="4"/>
  <c r="AZ1075" i="4" s="1"/>
  <c r="BA1370" i="4"/>
  <c r="AZ32" i="4"/>
  <c r="AZ126" i="4"/>
  <c r="AZ68" i="4"/>
  <c r="AZ34" i="66"/>
  <c r="BX1062" i="4"/>
  <c r="BY1061" i="4"/>
  <c r="AZ227" i="4" l="1"/>
  <c r="BA60" i="4"/>
  <c r="BB1370" i="4"/>
  <c r="AZ9" i="4"/>
  <c r="AZ39" i="4"/>
  <c r="AZ46" i="4" s="1"/>
  <c r="BA68" i="4"/>
  <c r="BA67" i="4"/>
  <c r="AZ965" i="4"/>
  <c r="AZ610" i="3"/>
  <c r="BA141" i="4"/>
  <c r="AZ42" i="4"/>
  <c r="AZ49" i="4" s="1"/>
  <c r="AZ40" i="4"/>
  <c r="AZ47" i="4" s="1"/>
  <c r="BA249" i="4"/>
  <c r="BA226" i="4"/>
  <c r="BR8" i="72"/>
  <c r="BR6" i="72"/>
  <c r="BS7" i="72"/>
  <c r="BR1447" i="4"/>
  <c r="BA15" i="66"/>
  <c r="BB1166" i="4"/>
  <c r="BB274" i="4"/>
  <c r="BB273" i="4"/>
  <c r="BB275" i="4"/>
  <c r="BB288" i="4" s="1"/>
  <c r="BB329" i="4" s="1"/>
  <c r="BB414" i="4" s="1"/>
  <c r="BB415" i="4" s="1"/>
  <c r="BC413" i="4" s="1"/>
  <c r="BB1165" i="4"/>
  <c r="BA1063" i="4"/>
  <c r="BA1080" i="4"/>
  <c r="BA1066" i="4"/>
  <c r="BA1075" i="4" s="1"/>
  <c r="AZ53" i="4"/>
  <c r="BA58" i="4"/>
  <c r="BA1052" i="4"/>
  <c r="BA35" i="4"/>
  <c r="BA42" i="4" s="1"/>
  <c r="BA49" i="4" s="1"/>
  <c r="BA192" i="4"/>
  <c r="AY617" i="4"/>
  <c r="BS1446" i="4"/>
  <c r="BT1315" i="4"/>
  <c r="BS1352" i="4"/>
  <c r="AZ61" i="4"/>
  <c r="AZ318" i="4" s="1"/>
  <c r="AZ328" i="4" s="1"/>
  <c r="BA328" i="4" s="1"/>
  <c r="BB15" i="4"/>
  <c r="BB6" i="4"/>
  <c r="BA32" i="4"/>
  <c r="BA126" i="4"/>
  <c r="BQ8" i="67"/>
  <c r="BQ6" i="67"/>
  <c r="BR7" i="67"/>
  <c r="BB241" i="3"/>
  <c r="BB146" i="4" s="1"/>
  <c r="BB151" i="4" s="1"/>
  <c r="BB355" i="3"/>
  <c r="BB241" i="4" s="1"/>
  <c r="BB28" i="4"/>
  <c r="BB329" i="3"/>
  <c r="BB218" i="4" s="1"/>
  <c r="BB300" i="3"/>
  <c r="BB187" i="4" s="1"/>
  <c r="BB196" i="4" s="1"/>
  <c r="BB296" i="3"/>
  <c r="BB183" i="4" s="1"/>
  <c r="BB8" i="66"/>
  <c r="BB297" i="3"/>
  <c r="BB184" i="4" s="1"/>
  <c r="BB193" i="4" s="1"/>
  <c r="BB8" i="4"/>
  <c r="BB185" i="3"/>
  <c r="BB122" i="4" s="1"/>
  <c r="BB127" i="4" s="1"/>
  <c r="BB356" i="3"/>
  <c r="BB242" i="4" s="1"/>
  <c r="BB247" i="4" s="1"/>
  <c r="BB357" i="3"/>
  <c r="BB243" i="4" s="1"/>
  <c r="BB248" i="4" s="1"/>
  <c r="BB8" i="11"/>
  <c r="BB8" i="64"/>
  <c r="BB184" i="3"/>
  <c r="BB121" i="4" s="1"/>
  <c r="BB217" i="3"/>
  <c r="BB134" i="4" s="1"/>
  <c r="BB139" i="4" s="1"/>
  <c r="BB240" i="3"/>
  <c r="BB145" i="4" s="1"/>
  <c r="BB330" i="3"/>
  <c r="BB219" i="4" s="1"/>
  <c r="BB224" i="4" s="1"/>
  <c r="BB1083" i="4"/>
  <c r="BB242" i="3"/>
  <c r="BB147" i="4" s="1"/>
  <c r="BB152" i="4" s="1"/>
  <c r="BB301" i="3"/>
  <c r="BB188" i="4" s="1"/>
  <c r="BB197" i="4" s="1"/>
  <c r="BB298" i="3"/>
  <c r="BB185" i="4" s="1"/>
  <c r="BB194" i="4" s="1"/>
  <c r="BB218" i="3"/>
  <c r="BB135" i="4" s="1"/>
  <c r="BB140" i="4" s="1"/>
  <c r="BB1106" i="4"/>
  <c r="BB16" i="4"/>
  <c r="BB216" i="3"/>
  <c r="BB133" i="4" s="1"/>
  <c r="BB8" i="62"/>
  <c r="BB299" i="3"/>
  <c r="BB186" i="4" s="1"/>
  <c r="BB195" i="4" s="1"/>
  <c r="BB186" i="3"/>
  <c r="BB123" i="4" s="1"/>
  <c r="BB128" i="4" s="1"/>
  <c r="BB331" i="3"/>
  <c r="BB220" i="4" s="1"/>
  <c r="BB225" i="4" s="1"/>
  <c r="BB30" i="4"/>
  <c r="BB29" i="4"/>
  <c r="BB1081" i="4"/>
  <c r="BB1082" i="4" s="1"/>
  <c r="BB1107" i="4"/>
  <c r="BB1079" i="4"/>
  <c r="BA33" i="4"/>
  <c r="BA138" i="4"/>
  <c r="BA36" i="4"/>
  <c r="BA223" i="4"/>
  <c r="AZ22" i="4"/>
  <c r="BA21" i="4"/>
  <c r="BA18" i="4"/>
  <c r="AZ540" i="4"/>
  <c r="AZ542" i="4" s="1"/>
  <c r="AX661" i="4"/>
  <c r="AZ154" i="4"/>
  <c r="BA62" i="4"/>
  <c r="BA528" i="4" s="1"/>
  <c r="BA530" i="4"/>
  <c r="BA63" i="4"/>
  <c r="BA1312" i="4" s="1"/>
  <c r="BA747" i="4"/>
  <c r="BA543" i="4"/>
  <c r="BA54" i="11"/>
  <c r="BB70" i="4"/>
  <c r="BA129" i="4"/>
  <c r="BA54" i="62"/>
  <c r="AZ250" i="4"/>
  <c r="AY645" i="4"/>
  <c r="AY640" i="4"/>
  <c r="AY659" i="4" s="1"/>
  <c r="AY641" i="4"/>
  <c r="AY644" i="4"/>
  <c r="BP95" i="67"/>
  <c r="BP60" i="3"/>
  <c r="BP59" i="3"/>
  <c r="BP56" i="3"/>
  <c r="BP58" i="3"/>
  <c r="AZ9" i="62"/>
  <c r="AZ54" i="4"/>
  <c r="BC6" i="3"/>
  <c r="BC86" i="64"/>
  <c r="BC87" i="64" s="1"/>
  <c r="BC7" i="4"/>
  <c r="BC8" i="3"/>
  <c r="BC7" i="62"/>
  <c r="BC6" i="62" s="1"/>
  <c r="BC7" i="11"/>
  <c r="BC6" i="11" s="1"/>
  <c r="BC7" i="66"/>
  <c r="BC6" i="66" s="1"/>
  <c r="BC7" i="64"/>
  <c r="BC6" i="64" s="1"/>
  <c r="BC28" i="64" s="1"/>
  <c r="BC30" i="64" s="1"/>
  <c r="BC53" i="64" s="1"/>
  <c r="BA295" i="4"/>
  <c r="BA303" i="4" s="1"/>
  <c r="BA1186" i="4"/>
  <c r="BA61" i="4"/>
  <c r="BA318" i="4" s="1"/>
  <c r="BA28" i="66"/>
  <c r="BA57" i="4"/>
  <c r="BA9" i="4" s="1"/>
  <c r="BA27" i="66"/>
  <c r="BB60" i="4"/>
  <c r="BA1074" i="4"/>
  <c r="BA9" i="64"/>
  <c r="BA9" i="11"/>
  <c r="BA9" i="62"/>
  <c r="BA9" i="66"/>
  <c r="BA17" i="4"/>
  <c r="BA19" i="4"/>
  <c r="BA20" i="4" s="1"/>
  <c r="BA34" i="4"/>
  <c r="BA150" i="4"/>
  <c r="AZ44" i="4"/>
  <c r="AZ51" i="4" s="1"/>
  <c r="BA335" i="4"/>
  <c r="BA959" i="4" s="1"/>
  <c r="BA287" i="4"/>
  <c r="BA324" i="4" s="1"/>
  <c r="BA43" i="4"/>
  <c r="AZ43" i="4"/>
  <c r="AZ50" i="4" s="1"/>
  <c r="AZ636" i="4" s="1"/>
  <c r="BA70" i="4"/>
  <c r="AZ24" i="4"/>
  <c r="BA66" i="4"/>
  <c r="BB66" i="4" s="1"/>
  <c r="AZ130" i="4"/>
  <c r="BA529" i="4"/>
  <c r="BA37" i="4"/>
  <c r="BA246" i="4"/>
  <c r="BA198" i="4"/>
  <c r="AY660" i="4"/>
  <c r="AZ199" i="4"/>
  <c r="BB1332" i="4"/>
  <c r="BC1332" i="4" s="1"/>
  <c r="BA34" i="66"/>
  <c r="AZ63" i="4"/>
  <c r="AZ1312" i="4" s="1"/>
  <c r="AZ142" i="4"/>
  <c r="BY1062" i="4"/>
  <c r="BZ1061" i="4"/>
  <c r="BA50" i="4" l="1"/>
  <c r="BA636" i="4" s="1"/>
  <c r="BA22" i="4"/>
  <c r="BB21" i="4"/>
  <c r="BA41" i="4"/>
  <c r="BA48" i="4" s="1"/>
  <c r="AZ544" i="4"/>
  <c r="AZ612" i="4" s="1"/>
  <c r="AZ607" i="4"/>
  <c r="BB54" i="11"/>
  <c r="BB747" i="4"/>
  <c r="BB62" i="4"/>
  <c r="BB528" i="4" s="1"/>
  <c r="BB543" i="4"/>
  <c r="BB530" i="4"/>
  <c r="BA130" i="4"/>
  <c r="BB18" i="4"/>
  <c r="BU1315" i="4"/>
  <c r="BT1446" i="4"/>
  <c r="BT1352" i="4"/>
  <c r="BA965" i="4"/>
  <c r="BB68" i="4"/>
  <c r="BB67" i="4"/>
  <c r="BA610" i="3"/>
  <c r="BB529" i="4"/>
  <c r="BB141" i="4"/>
  <c r="BB32" i="4"/>
  <c r="BB126" i="4"/>
  <c r="BB34" i="66"/>
  <c r="AY661" i="4"/>
  <c r="BC330" i="3"/>
  <c r="BC219" i="4" s="1"/>
  <c r="BC224" i="4" s="1"/>
  <c r="BC186" i="3"/>
  <c r="BC123" i="4" s="1"/>
  <c r="BC128" i="4" s="1"/>
  <c r="BC331" i="3"/>
  <c r="BC220" i="4" s="1"/>
  <c r="BC225" i="4" s="1"/>
  <c r="BC355" i="3"/>
  <c r="BC241" i="4" s="1"/>
  <c r="BC8" i="62"/>
  <c r="BC241" i="3"/>
  <c r="BC146" i="4" s="1"/>
  <c r="BC151" i="4" s="1"/>
  <c r="BC8" i="4"/>
  <c r="BC1106" i="4"/>
  <c r="BC298" i="3"/>
  <c r="BC185" i="4" s="1"/>
  <c r="BC194" i="4" s="1"/>
  <c r="BC242" i="3"/>
  <c r="BC147" i="4" s="1"/>
  <c r="BC152" i="4" s="1"/>
  <c r="BC300" i="3"/>
  <c r="BC187" i="4" s="1"/>
  <c r="BC196" i="4" s="1"/>
  <c r="BC357" i="3"/>
  <c r="BC243" i="4" s="1"/>
  <c r="BC248" i="4" s="1"/>
  <c r="BC8" i="64"/>
  <c r="BC16" i="4"/>
  <c r="BC185" i="3"/>
  <c r="BC122" i="4" s="1"/>
  <c r="BC127" i="4" s="1"/>
  <c r="BC184" i="3"/>
  <c r="BC121" i="4" s="1"/>
  <c r="BC28" i="4"/>
  <c r="BC296" i="3"/>
  <c r="BC183" i="4" s="1"/>
  <c r="BC356" i="3"/>
  <c r="BC242" i="4" s="1"/>
  <c r="BC247" i="4" s="1"/>
  <c r="BC240" i="3"/>
  <c r="BC145" i="4" s="1"/>
  <c r="BC1083" i="4"/>
  <c r="BC301" i="3"/>
  <c r="BC188" i="4" s="1"/>
  <c r="BC197" i="4" s="1"/>
  <c r="BC216" i="3"/>
  <c r="BC133" i="4" s="1"/>
  <c r="BC297" i="3"/>
  <c r="BC184" i="4" s="1"/>
  <c r="BC193" i="4" s="1"/>
  <c r="BC329" i="3"/>
  <c r="BC218" i="4" s="1"/>
  <c r="BC217" i="3"/>
  <c r="BC134" i="4" s="1"/>
  <c r="BC139" i="4" s="1"/>
  <c r="BC8" i="66"/>
  <c r="BC299" i="3"/>
  <c r="BC186" i="4" s="1"/>
  <c r="BC195" i="4" s="1"/>
  <c r="BC218" i="3"/>
  <c r="BC135" i="4" s="1"/>
  <c r="BC140" i="4" s="1"/>
  <c r="BC8" i="11"/>
  <c r="BC30" i="4"/>
  <c r="BB63" i="4" s="1"/>
  <c r="BB1312" i="4" s="1"/>
  <c r="BC29" i="4"/>
  <c r="BC1107" i="4"/>
  <c r="BC1081" i="4"/>
  <c r="BC1082" i="4" s="1"/>
  <c r="BC1079" i="4"/>
  <c r="BB226" i="4"/>
  <c r="BB198" i="4"/>
  <c r="BB35" i="4"/>
  <c r="BB192" i="4"/>
  <c r="BR8" i="67"/>
  <c r="BR6" i="67"/>
  <c r="BS7" i="67"/>
  <c r="BS1447" i="4"/>
  <c r="BB335" i="4"/>
  <c r="BB959" i="4" s="1"/>
  <c r="BB287" i="4"/>
  <c r="BB324" i="4" s="1"/>
  <c r="BA227" i="4"/>
  <c r="BA39" i="4"/>
  <c r="BA46" i="4" s="1"/>
  <c r="AZ654" i="4"/>
  <c r="AZ655" i="4"/>
  <c r="AZ637" i="4"/>
  <c r="BA540" i="4"/>
  <c r="BA542" i="4" s="1"/>
  <c r="BA24" i="4"/>
  <c r="BA9" i="3"/>
  <c r="BA54" i="4"/>
  <c r="BC15" i="4"/>
  <c r="BC6" i="4"/>
  <c r="BB129" i="4"/>
  <c r="BQ95" i="67"/>
  <c r="BQ60" i="3"/>
  <c r="BQ59" i="3"/>
  <c r="BQ56" i="3"/>
  <c r="BQ58" i="3"/>
  <c r="BA60" i="62"/>
  <c r="BA250" i="4"/>
  <c r="BA655" i="4"/>
  <c r="BA654" i="4"/>
  <c r="BA637" i="4"/>
  <c r="BD7" i="3"/>
  <c r="AX662" i="4"/>
  <c r="BA142" i="4"/>
  <c r="BB1080" i="4"/>
  <c r="BB1063" i="4"/>
  <c r="BB1066" i="4"/>
  <c r="BB1075" i="4" s="1"/>
  <c r="BB249" i="4"/>
  <c r="BB36" i="4"/>
  <c r="BB43" i="4" s="1"/>
  <c r="BB50" i="4" s="1"/>
  <c r="BB636" i="4" s="1"/>
  <c r="BB223" i="4"/>
  <c r="BB227" i="4" s="1"/>
  <c r="BC1370" i="4"/>
  <c r="BB54" i="62"/>
  <c r="BA53" i="4"/>
  <c r="BB58" i="4"/>
  <c r="BB1052" i="4"/>
  <c r="BA199" i="4"/>
  <c r="BS6" i="72"/>
  <c r="BS8" i="72"/>
  <c r="BT7" i="72"/>
  <c r="BA44" i="4"/>
  <c r="BA51" i="4" s="1"/>
  <c r="AY56" i="4"/>
  <c r="BA55" i="4"/>
  <c r="AZ53" i="62"/>
  <c r="AZ65" i="4"/>
  <c r="BA65" i="4" s="1"/>
  <c r="AZ55" i="4"/>
  <c r="BB33" i="4"/>
  <c r="BB40" i="4" s="1"/>
  <c r="BB47" i="4" s="1"/>
  <c r="BB138" i="4"/>
  <c r="BB37" i="4"/>
  <c r="BB246" i="4"/>
  <c r="BB42" i="4"/>
  <c r="BB49" i="4" s="1"/>
  <c r="AZ605" i="4"/>
  <c r="AZ964" i="4"/>
  <c r="AZ200" i="4"/>
  <c r="BC66" i="4"/>
  <c r="BA153" i="4"/>
  <c r="BC314" i="4"/>
  <c r="BB295" i="4"/>
  <c r="BB303" i="4" s="1"/>
  <c r="BB27" i="66"/>
  <c r="BC60" i="4"/>
  <c r="BB57" i="4"/>
  <c r="BB54" i="4" s="1"/>
  <c r="BB61" i="4"/>
  <c r="BB318" i="4" s="1"/>
  <c r="BB328" i="4" s="1"/>
  <c r="BB1186" i="4"/>
  <c r="BB1074" i="4"/>
  <c r="BB28" i="66"/>
  <c r="BB9" i="64"/>
  <c r="BB9" i="11"/>
  <c r="BB9" i="3"/>
  <c r="BB34" i="4"/>
  <c r="BB150" i="4"/>
  <c r="BB19" i="4"/>
  <c r="BB20" i="4" s="1"/>
  <c r="BB17" i="4"/>
  <c r="BB15" i="66"/>
  <c r="BA40" i="4"/>
  <c r="BA47" i="4" s="1"/>
  <c r="BZ1062" i="4"/>
  <c r="CA1061" i="4"/>
  <c r="BB9" i="66" l="1"/>
  <c r="BB9" i="62"/>
  <c r="BB9" i="4"/>
  <c r="BB22" i="4"/>
  <c r="BC21" i="4"/>
  <c r="BB655" i="4"/>
  <c r="BB654" i="4"/>
  <c r="BB637" i="4"/>
  <c r="BB540" i="4"/>
  <c r="BB542" i="4" s="1"/>
  <c r="BB24" i="4"/>
  <c r="BT6" i="72"/>
  <c r="BT8" i="72"/>
  <c r="BU7" i="72"/>
  <c r="AZ640" i="4"/>
  <c r="AZ645" i="4"/>
  <c r="AZ660" i="4" s="1"/>
  <c r="AZ644" i="4"/>
  <c r="AZ641" i="4"/>
  <c r="BB199" i="4"/>
  <c r="BC35" i="4"/>
  <c r="BC192" i="4"/>
  <c r="BC129" i="4"/>
  <c r="BB130" i="4"/>
  <c r="BC70" i="4"/>
  <c r="BB60" i="62"/>
  <c r="BC42" i="4"/>
  <c r="BC49" i="4" s="1"/>
  <c r="BC1074" i="4"/>
  <c r="BC1186" i="4"/>
  <c r="BC27" i="66"/>
  <c r="BC28" i="66"/>
  <c r="BC295" i="4"/>
  <c r="BC303" i="4" s="1"/>
  <c r="BC57" i="4"/>
  <c r="BC9" i="64" s="1"/>
  <c r="BC9" i="3"/>
  <c r="BC36" i="4"/>
  <c r="BC223" i="4"/>
  <c r="BB53" i="4"/>
  <c r="BC58" i="4"/>
  <c r="BC1052" i="4"/>
  <c r="BC198" i="4"/>
  <c r="BB153" i="4"/>
  <c r="BC18" i="4"/>
  <c r="AZ659" i="4"/>
  <c r="BC747" i="4"/>
  <c r="BC543" i="4"/>
  <c r="BC54" i="11"/>
  <c r="BC530" i="4"/>
  <c r="BC62" i="4"/>
  <c r="BC528" i="4" s="1"/>
  <c r="BC32" i="4"/>
  <c r="BC126" i="4"/>
  <c r="BT1447" i="4"/>
  <c r="BB65" i="4"/>
  <c r="BD7" i="62"/>
  <c r="BD6" i="62" s="1"/>
  <c r="BD7" i="4"/>
  <c r="BD314" i="4"/>
  <c r="BD7" i="11"/>
  <c r="BD6" i="11" s="1"/>
  <c r="BE7" i="3"/>
  <c r="BD8" i="3"/>
  <c r="BD1370" i="4" s="1"/>
  <c r="BD6" i="3"/>
  <c r="BD7" i="66"/>
  <c r="BD6" i="66" s="1"/>
  <c r="BD86" i="64"/>
  <c r="BD87" i="64" s="1"/>
  <c r="BD7" i="64"/>
  <c r="BD6" i="64" s="1"/>
  <c r="BD28" i="64" s="1"/>
  <c r="BD30" i="64" s="1"/>
  <c r="BD53" i="64" s="1"/>
  <c r="BA56" i="4"/>
  <c r="AZ56" i="4"/>
  <c r="BB55" i="4"/>
  <c r="BA53" i="62"/>
  <c r="BC529" i="4"/>
  <c r="BC33" i="4"/>
  <c r="BC138" i="4"/>
  <c r="BC17" i="4"/>
  <c r="BC19" i="4"/>
  <c r="BC20" i="4" s="1"/>
  <c r="AY662" i="4"/>
  <c r="BA964" i="4"/>
  <c r="BA605" i="4"/>
  <c r="BV1315" i="4"/>
  <c r="BU1446" i="4"/>
  <c r="BU1352" i="4"/>
  <c r="BB142" i="4"/>
  <c r="BA641" i="4"/>
  <c r="BA659" i="4" s="1"/>
  <c r="BA640" i="4"/>
  <c r="BA644" i="4"/>
  <c r="BA645" i="4"/>
  <c r="BB965" i="4"/>
  <c r="BB610" i="3"/>
  <c r="BC68" i="4"/>
  <c r="BC67" i="4"/>
  <c r="AZ617" i="4"/>
  <c r="BC273" i="4"/>
  <c r="BC1165" i="4"/>
  <c r="BC1166" i="4"/>
  <c r="BC275" i="4"/>
  <c r="BC274" i="4"/>
  <c r="BC40" i="4"/>
  <c r="BC47" i="4" s="1"/>
  <c r="BA200" i="4"/>
  <c r="BS6" i="67"/>
  <c r="BS8" i="67"/>
  <c r="BT7" i="67"/>
  <c r="BC141" i="4"/>
  <c r="BC54" i="62"/>
  <c r="BB53" i="62"/>
  <c r="BB44" i="4"/>
  <c r="BB51" i="4" s="1"/>
  <c r="BA660" i="4"/>
  <c r="BA544" i="4"/>
  <c r="BA612" i="4" s="1"/>
  <c r="BA607" i="4"/>
  <c r="BR56" i="3"/>
  <c r="BR95" i="67"/>
  <c r="BR58" i="3"/>
  <c r="BR60" i="3"/>
  <c r="BR59" i="3"/>
  <c r="BC1063" i="4"/>
  <c r="BC1080" i="4"/>
  <c r="BC1066" i="4"/>
  <c r="BC1075" i="4" s="1"/>
  <c r="BC34" i="4"/>
  <c r="BC41" i="4" s="1"/>
  <c r="BC48" i="4" s="1"/>
  <c r="BC150" i="4"/>
  <c r="BC249" i="4"/>
  <c r="BC37" i="4"/>
  <c r="BC44" i="4" s="1"/>
  <c r="BC246" i="4"/>
  <c r="BB41" i="4"/>
  <c r="BB48" i="4" s="1"/>
  <c r="BA154" i="4"/>
  <c r="BB250" i="4"/>
  <c r="BC226" i="4"/>
  <c r="BB39" i="4"/>
  <c r="BB46" i="4" s="1"/>
  <c r="CA1062" i="4"/>
  <c r="CB1061" i="4"/>
  <c r="BC51" i="4" l="1"/>
  <c r="BC9" i="4"/>
  <c r="BC22" i="4"/>
  <c r="BD21" i="4"/>
  <c r="BS56" i="3"/>
  <c r="BS60" i="3"/>
  <c r="BS58" i="3"/>
  <c r="BS59" i="3"/>
  <c r="BS95" i="67"/>
  <c r="BC335" i="4"/>
  <c r="BC959" i="4" s="1"/>
  <c r="BC287" i="4"/>
  <c r="BC324" i="4" s="1"/>
  <c r="BC142" i="4"/>
  <c r="BD184" i="3"/>
  <c r="BD121" i="4" s="1"/>
  <c r="BD356" i="3"/>
  <c r="BD242" i="4" s="1"/>
  <c r="BD247" i="4" s="1"/>
  <c r="BD185" i="3"/>
  <c r="BD122" i="4" s="1"/>
  <c r="BD127" i="4" s="1"/>
  <c r="BD8" i="4"/>
  <c r="BD216" i="3"/>
  <c r="BD133" i="4" s="1"/>
  <c r="BD8" i="66"/>
  <c r="BD301" i="3"/>
  <c r="BD188" i="4" s="1"/>
  <c r="BD197" i="4" s="1"/>
  <c r="BD329" i="3"/>
  <c r="BD218" i="4" s="1"/>
  <c r="BD300" i="3"/>
  <c r="BD187" i="4" s="1"/>
  <c r="BD196" i="4" s="1"/>
  <c r="BD299" i="3"/>
  <c r="BD186" i="4" s="1"/>
  <c r="BD195" i="4" s="1"/>
  <c r="BD217" i="3"/>
  <c r="BD134" i="4" s="1"/>
  <c r="BD139" i="4" s="1"/>
  <c r="BD355" i="3"/>
  <c r="BD241" i="4" s="1"/>
  <c r="BD241" i="3"/>
  <c r="BD146" i="4" s="1"/>
  <c r="BD151" i="4" s="1"/>
  <c r="BD298" i="3"/>
  <c r="BD185" i="4" s="1"/>
  <c r="BD194" i="4" s="1"/>
  <c r="BD8" i="64"/>
  <c r="BD357" i="3"/>
  <c r="BD243" i="4" s="1"/>
  <c r="BD248" i="4" s="1"/>
  <c r="BD331" i="3"/>
  <c r="BD220" i="4" s="1"/>
  <c r="BD225" i="4" s="1"/>
  <c r="BD16" i="4"/>
  <c r="BD296" i="3"/>
  <c r="BD183" i="4" s="1"/>
  <c r="BD218" i="3"/>
  <c r="BD135" i="4" s="1"/>
  <c r="BD140" i="4" s="1"/>
  <c r="BD1083" i="4"/>
  <c r="BD186" i="3"/>
  <c r="BD123" i="4" s="1"/>
  <c r="BD128" i="4" s="1"/>
  <c r="BD8" i="62"/>
  <c r="BD242" i="3"/>
  <c r="BD147" i="4" s="1"/>
  <c r="BD152" i="4" s="1"/>
  <c r="BD297" i="3"/>
  <c r="BD184" i="4" s="1"/>
  <c r="BD193" i="4" s="1"/>
  <c r="BD330" i="3"/>
  <c r="BD219" i="4" s="1"/>
  <c r="BD224" i="4" s="1"/>
  <c r="BD240" i="3"/>
  <c r="BD145" i="4" s="1"/>
  <c r="BD8" i="11"/>
  <c r="BD28" i="4"/>
  <c r="BD1106" i="4"/>
  <c r="BD30" i="4"/>
  <c r="BD29" i="4"/>
  <c r="BD1107" i="4"/>
  <c r="BD1079" i="4"/>
  <c r="BD1081" i="4"/>
  <c r="BD1082" i="4" s="1"/>
  <c r="BD1332" i="4"/>
  <c r="BC9" i="11"/>
  <c r="BC34" i="66"/>
  <c r="BC288" i="4"/>
  <c r="BC329" i="4" s="1"/>
  <c r="BC414" i="4" s="1"/>
  <c r="BC415" i="4" s="1"/>
  <c r="BD413" i="4" s="1"/>
  <c r="BB605" i="4"/>
  <c r="BB964" i="4"/>
  <c r="BE7" i="64"/>
  <c r="BE6" i="64" s="1"/>
  <c r="BE28" i="64" s="1"/>
  <c r="BE30" i="64" s="1"/>
  <c r="BE53" i="64" s="1"/>
  <c r="BE7" i="66"/>
  <c r="BE6" i="66" s="1"/>
  <c r="BE8" i="3"/>
  <c r="BF7" i="3" s="1"/>
  <c r="BE86" i="64"/>
  <c r="BE87" i="64" s="1"/>
  <c r="BE7" i="62"/>
  <c r="BE6" i="62" s="1"/>
  <c r="BE6" i="3"/>
  <c r="BE7" i="11"/>
  <c r="BE6" i="11" s="1"/>
  <c r="BE7" i="4"/>
  <c r="BC130" i="4"/>
  <c r="BC540" i="4"/>
  <c r="BC542" i="4" s="1"/>
  <c r="BC60" i="62"/>
  <c r="BB200" i="4"/>
  <c r="BC250" i="4"/>
  <c r="BA661" i="4"/>
  <c r="BC9" i="66"/>
  <c r="BC54" i="4"/>
  <c r="BC199" i="4"/>
  <c r="BC15" i="66"/>
  <c r="BD1165" i="4"/>
  <c r="BD273" i="4"/>
  <c r="BD274" i="4"/>
  <c r="BD275" i="4"/>
  <c r="BD288" i="4" s="1"/>
  <c r="BD1166" i="4"/>
  <c r="BD329" i="4"/>
  <c r="BD414" i="4" s="1"/>
  <c r="BD415" i="4" s="1"/>
  <c r="BE413" i="4" s="1"/>
  <c r="BD15" i="4"/>
  <c r="BD6" i="4"/>
  <c r="BC24" i="4"/>
  <c r="BC39" i="4"/>
  <c r="BC46" i="4" s="1"/>
  <c r="BB607" i="4"/>
  <c r="BB544" i="4"/>
  <c r="BB612" i="4" s="1"/>
  <c r="BA617" i="4"/>
  <c r="BB154" i="4"/>
  <c r="BC43" i="4"/>
  <c r="BC50" i="4" s="1"/>
  <c r="BC636" i="4" s="1"/>
  <c r="BC153" i="4"/>
  <c r="BT8" i="67"/>
  <c r="BT6" i="67"/>
  <c r="BU7" i="67"/>
  <c r="BU1447" i="4"/>
  <c r="AZ661" i="4"/>
  <c r="BC227" i="4"/>
  <c r="BU8" i="72"/>
  <c r="BU6" i="72"/>
  <c r="BV7" i="72"/>
  <c r="BC610" i="3"/>
  <c r="BD67" i="4"/>
  <c r="BC965" i="4"/>
  <c r="BD68" i="4"/>
  <c r="BW1315" i="4"/>
  <c r="BV1352" i="4"/>
  <c r="BV1446" i="4"/>
  <c r="BC65" i="4"/>
  <c r="BC9" i="62"/>
  <c r="BB641" i="4"/>
  <c r="BB644" i="4"/>
  <c r="BB660" i="4" s="1"/>
  <c r="BB640" i="4"/>
  <c r="BB659" i="4" s="1"/>
  <c r="BB645" i="4"/>
  <c r="CB1062" i="4"/>
  <c r="CC1061" i="4"/>
  <c r="BE1370" i="4" l="1"/>
  <c r="BD34" i="66"/>
  <c r="BB661" i="4"/>
  <c r="BV1447" i="4"/>
  <c r="BV6" i="72"/>
  <c r="BV8" i="72"/>
  <c r="BW7" i="72"/>
  <c r="BC154" i="4"/>
  <c r="BD18" i="4"/>
  <c r="BE6" i="4"/>
  <c r="BE15" i="4"/>
  <c r="BD530" i="4"/>
  <c r="BD543" i="4"/>
  <c r="BD54" i="11"/>
  <c r="BD747" i="4"/>
  <c r="BD62" i="4"/>
  <c r="BD528" i="4" s="1"/>
  <c r="BD70" i="4"/>
  <c r="BC63" i="4"/>
  <c r="BC1312" i="4" s="1"/>
  <c r="BD249" i="4"/>
  <c r="BD36" i="4"/>
  <c r="BD223" i="4"/>
  <c r="BB617" i="4"/>
  <c r="BD529" i="4"/>
  <c r="BD54" i="62"/>
  <c r="BW1446" i="4"/>
  <c r="BW1352" i="4"/>
  <c r="BX1315" i="4"/>
  <c r="BD129" i="4"/>
  <c r="BD198" i="4"/>
  <c r="BU6" i="67"/>
  <c r="BU8" i="67"/>
  <c r="BV7" i="67"/>
  <c r="BC654" i="4"/>
  <c r="BC655" i="4"/>
  <c r="BC637" i="4"/>
  <c r="BC200" i="4"/>
  <c r="BA662" i="4"/>
  <c r="BC544" i="4"/>
  <c r="BC612" i="4" s="1"/>
  <c r="BC607" i="4"/>
  <c r="BE314" i="4"/>
  <c r="BE1332" i="4"/>
  <c r="BC53" i="4"/>
  <c r="BD1052" i="4"/>
  <c r="BD58" i="4"/>
  <c r="BD33" i="4"/>
  <c r="BD138" i="4"/>
  <c r="BT59" i="3"/>
  <c r="BT58" i="3"/>
  <c r="BT95" i="67"/>
  <c r="BT56" i="3"/>
  <c r="BT60" i="3"/>
  <c r="BD335" i="4"/>
  <c r="BD959" i="4" s="1"/>
  <c r="BD287" i="4"/>
  <c r="BD324" i="4" s="1"/>
  <c r="BD141" i="4"/>
  <c r="BD37" i="4"/>
  <c r="BD44" i="4" s="1"/>
  <c r="BD51" i="4" s="1"/>
  <c r="BD246" i="4"/>
  <c r="BD17" i="4"/>
  <c r="BD19" i="4"/>
  <c r="BD20" i="4" s="1"/>
  <c r="AZ662" i="4"/>
  <c r="BB56" i="4"/>
  <c r="BC55" i="4"/>
  <c r="BC53" i="62"/>
  <c r="BF8" i="3"/>
  <c r="BG7" i="3" s="1"/>
  <c r="BF86" i="64"/>
  <c r="BF87" i="64" s="1"/>
  <c r="BF7" i="11"/>
  <c r="BF6" i="11" s="1"/>
  <c r="BF7" i="62"/>
  <c r="BF6" i="62" s="1"/>
  <c r="BF7" i="64"/>
  <c r="BF6" i="64" s="1"/>
  <c r="BF28" i="64" s="1"/>
  <c r="BF30" i="64" s="1"/>
  <c r="BF53" i="64" s="1"/>
  <c r="BF7" i="4"/>
  <c r="BF7" i="66"/>
  <c r="BF6" i="66" s="1"/>
  <c r="BF6" i="3"/>
  <c r="BD1080" i="4"/>
  <c r="BD1063" i="4"/>
  <c r="BD1066" i="4"/>
  <c r="BD1075" i="4" s="1"/>
  <c r="BD34" i="4"/>
  <c r="BD150" i="4"/>
  <c r="BD35" i="4"/>
  <c r="BD192" i="4"/>
  <c r="BD965" i="4"/>
  <c r="BD610" i="3"/>
  <c r="BD15" i="66"/>
  <c r="BC605" i="4"/>
  <c r="BC964" i="4"/>
  <c r="BE331" i="3"/>
  <c r="BE220" i="4" s="1"/>
  <c r="BE225" i="4" s="1"/>
  <c r="BE216" i="3"/>
  <c r="BE133" i="4" s="1"/>
  <c r="BE355" i="3"/>
  <c r="BE241" i="4" s="1"/>
  <c r="BE185" i="3"/>
  <c r="BE122" i="4" s="1"/>
  <c r="BE127" i="4" s="1"/>
  <c r="BE8" i="62"/>
  <c r="BE299" i="3"/>
  <c r="BE186" i="4" s="1"/>
  <c r="BE195" i="4" s="1"/>
  <c r="BE217" i="3"/>
  <c r="BE134" i="4" s="1"/>
  <c r="BE139" i="4" s="1"/>
  <c r="BE298" i="3"/>
  <c r="BE185" i="4" s="1"/>
  <c r="BE194" i="4" s="1"/>
  <c r="BE330" i="3"/>
  <c r="BE219" i="4" s="1"/>
  <c r="BE224" i="4" s="1"/>
  <c r="BE8" i="66"/>
  <c r="BE186" i="3"/>
  <c r="BE123" i="4" s="1"/>
  <c r="BE128" i="4" s="1"/>
  <c r="BE356" i="3"/>
  <c r="BE242" i="4" s="1"/>
  <c r="BE247" i="4" s="1"/>
  <c r="BE8" i="11"/>
  <c r="BE301" i="3"/>
  <c r="BE188" i="4" s="1"/>
  <c r="BE197" i="4" s="1"/>
  <c r="BE218" i="3"/>
  <c r="BE135" i="4" s="1"/>
  <c r="BE140" i="4" s="1"/>
  <c r="BE296" i="3"/>
  <c r="BE183" i="4" s="1"/>
  <c r="BE184" i="3"/>
  <c r="BE121" i="4" s="1"/>
  <c r="BE28" i="4"/>
  <c r="BE16" i="4"/>
  <c r="BE241" i="3"/>
  <c r="BE146" i="4" s="1"/>
  <c r="BE151" i="4" s="1"/>
  <c r="BE240" i="3"/>
  <c r="BE145" i="4" s="1"/>
  <c r="BE357" i="3"/>
  <c r="BE243" i="4" s="1"/>
  <c r="BE248" i="4" s="1"/>
  <c r="BE1106" i="4"/>
  <c r="BE242" i="3"/>
  <c r="BE147" i="4" s="1"/>
  <c r="BE152" i="4" s="1"/>
  <c r="BE8" i="64"/>
  <c r="BE297" i="3"/>
  <c r="BE184" i="4" s="1"/>
  <c r="BE193" i="4" s="1"/>
  <c r="BE8" i="4"/>
  <c r="BE300" i="3"/>
  <c r="BE187" i="4" s="1"/>
  <c r="BE196" i="4" s="1"/>
  <c r="BE329" i="3"/>
  <c r="BE218" i="4" s="1"/>
  <c r="BE1083" i="4"/>
  <c r="BE29" i="4"/>
  <c r="BE30" i="4"/>
  <c r="BE68" i="4" s="1"/>
  <c r="BE1079" i="4"/>
  <c r="BE1081" i="4"/>
  <c r="BE1082" i="4" s="1"/>
  <c r="BE1107" i="4"/>
  <c r="BD28" i="66"/>
  <c r="BD295" i="4"/>
  <c r="BD303" i="4" s="1"/>
  <c r="BD1074" i="4"/>
  <c r="BD57" i="4"/>
  <c r="BD60" i="62" s="1"/>
  <c r="BE60" i="4"/>
  <c r="BD61" i="4"/>
  <c r="BD318" i="4" s="1"/>
  <c r="BD27" i="66"/>
  <c r="BD1186" i="4"/>
  <c r="BC61" i="4"/>
  <c r="BC318" i="4" s="1"/>
  <c r="BC328" i="4" s="1"/>
  <c r="BD66" i="4"/>
  <c r="BE66" i="4" s="1"/>
  <c r="BD60" i="4"/>
  <c r="BD226" i="4"/>
  <c r="BD32" i="4"/>
  <c r="BD126" i="4"/>
  <c r="CC1062" i="4"/>
  <c r="CD1061" i="4"/>
  <c r="BD540" i="4" l="1"/>
  <c r="BF1370" i="4"/>
  <c r="BD328" i="4"/>
  <c r="BF314" i="4"/>
  <c r="BD542" i="4"/>
  <c r="BD544" i="4" s="1"/>
  <c r="BD612" i="4" s="1"/>
  <c r="BD9" i="11"/>
  <c r="BE17" i="4"/>
  <c r="BE19" i="4"/>
  <c r="BE20" i="4" s="1"/>
  <c r="BE129" i="4"/>
  <c r="BE37" i="4"/>
  <c r="BE246" i="4"/>
  <c r="BW1447" i="4"/>
  <c r="BE1063" i="4"/>
  <c r="BE1080" i="4"/>
  <c r="BE1066" i="4"/>
  <c r="BE1075" i="4" s="1"/>
  <c r="BD53" i="4"/>
  <c r="BE58" i="4"/>
  <c r="BE1052" i="4"/>
  <c r="BE33" i="4"/>
  <c r="BE138" i="4"/>
  <c r="BE530" i="4"/>
  <c r="BE540" i="4" s="1"/>
  <c r="BE543" i="4"/>
  <c r="BE62" i="4"/>
  <c r="BE528" i="4" s="1"/>
  <c r="BE54" i="11"/>
  <c r="BE747" i="4"/>
  <c r="BE32" i="4"/>
  <c r="BE126" i="4"/>
  <c r="BE226" i="4"/>
  <c r="BD964" i="4"/>
  <c r="BD605" i="4"/>
  <c r="BC644" i="4"/>
  <c r="BC660" i="4" s="1"/>
  <c r="BC640" i="4"/>
  <c r="BC645" i="4"/>
  <c r="BC641" i="4"/>
  <c r="BD63" i="4"/>
  <c r="BD1312" i="4" s="1"/>
  <c r="BD24" i="4"/>
  <c r="BE295" i="4"/>
  <c r="BE303" i="4" s="1"/>
  <c r="BE57" i="4"/>
  <c r="BE60" i="62" s="1"/>
  <c r="BE1186" i="4"/>
  <c r="BE28" i="66"/>
  <c r="BE1074" i="4"/>
  <c r="BE27" i="66"/>
  <c r="BE9" i="64"/>
  <c r="BE9" i="3"/>
  <c r="BE9" i="11"/>
  <c r="BE35" i="4"/>
  <c r="BE192" i="4"/>
  <c r="BE198" i="4"/>
  <c r="BD199" i="4"/>
  <c r="BE273" i="4"/>
  <c r="BE1165" i="4"/>
  <c r="BE1166" i="4"/>
  <c r="BE275" i="4"/>
  <c r="BE288" i="4" s="1"/>
  <c r="BE329" i="4" s="1"/>
  <c r="BE274" i="4"/>
  <c r="BD130" i="4"/>
  <c r="BD9" i="4"/>
  <c r="BD54" i="4"/>
  <c r="BE529" i="4"/>
  <c r="BE141" i="4"/>
  <c r="BE67" i="4"/>
  <c r="BE42" i="4"/>
  <c r="BE49" i="4" s="1"/>
  <c r="BD42" i="4"/>
  <c r="BD49" i="4" s="1"/>
  <c r="BF273" i="4"/>
  <c r="BF1166" i="4"/>
  <c r="BF275" i="4"/>
  <c r="BF274" i="4"/>
  <c r="BF1165" i="4"/>
  <c r="BF15" i="66" s="1"/>
  <c r="BG7" i="4"/>
  <c r="BG86" i="64"/>
  <c r="BG87" i="64" s="1"/>
  <c r="BG314" i="4"/>
  <c r="BG7" i="62"/>
  <c r="BG6" i="62" s="1"/>
  <c r="BG6" i="3"/>
  <c r="BG7" i="66"/>
  <c r="BG6" i="66" s="1"/>
  <c r="BG8" i="3"/>
  <c r="BG7" i="64"/>
  <c r="BG6" i="64" s="1"/>
  <c r="BG28" i="64" s="1"/>
  <c r="BG30" i="64" s="1"/>
  <c r="BG53" i="64" s="1"/>
  <c r="BG7" i="11"/>
  <c r="BG6" i="11" s="1"/>
  <c r="BC659" i="4"/>
  <c r="BE39" i="4"/>
  <c r="BE46" i="4" s="1"/>
  <c r="BD39" i="4"/>
  <c r="BD46" i="4" s="1"/>
  <c r="BD9" i="3"/>
  <c r="BE249" i="4"/>
  <c r="BD153" i="4"/>
  <c r="BF301" i="3"/>
  <c r="BF188" i="4" s="1"/>
  <c r="BF197" i="4" s="1"/>
  <c r="BF297" i="3"/>
  <c r="BF184" i="4" s="1"/>
  <c r="BF193" i="4" s="1"/>
  <c r="BF28" i="4"/>
  <c r="BF242" i="3"/>
  <c r="BF147" i="4" s="1"/>
  <c r="BF152" i="4" s="1"/>
  <c r="BF356" i="3"/>
  <c r="BF242" i="4" s="1"/>
  <c r="BF247" i="4" s="1"/>
  <c r="BF1083" i="4"/>
  <c r="BF16" i="4"/>
  <c r="BF331" i="3"/>
  <c r="BF220" i="4" s="1"/>
  <c r="BF225" i="4" s="1"/>
  <c r="BF298" i="3"/>
  <c r="BF185" i="4" s="1"/>
  <c r="BF194" i="4" s="1"/>
  <c r="BF185" i="3"/>
  <c r="BF122" i="4" s="1"/>
  <c r="BF127" i="4" s="1"/>
  <c r="BF8" i="11"/>
  <c r="BF8" i="66"/>
  <c r="BF355" i="3"/>
  <c r="BF241" i="4" s="1"/>
  <c r="BF1106" i="4"/>
  <c r="BF300" i="3"/>
  <c r="BF187" i="4" s="1"/>
  <c r="BF196" i="4" s="1"/>
  <c r="BF357" i="3"/>
  <c r="BF243" i="4" s="1"/>
  <c r="BF248" i="4" s="1"/>
  <c r="BF184" i="3"/>
  <c r="BF121" i="4" s="1"/>
  <c r="BF218" i="3"/>
  <c r="BF135" i="4" s="1"/>
  <c r="BF140" i="4" s="1"/>
  <c r="BF330" i="3"/>
  <c r="BF219" i="4" s="1"/>
  <c r="BF224" i="4" s="1"/>
  <c r="BF240" i="3"/>
  <c r="BF145" i="4" s="1"/>
  <c r="BF216" i="3"/>
  <c r="BF133" i="4" s="1"/>
  <c r="BF299" i="3"/>
  <c r="BF186" i="4" s="1"/>
  <c r="BF195" i="4" s="1"/>
  <c r="BF329" i="3"/>
  <c r="BF218" i="4" s="1"/>
  <c r="BF8" i="4"/>
  <c r="BF241" i="3"/>
  <c r="BF146" i="4" s="1"/>
  <c r="BF151" i="4" s="1"/>
  <c r="BF8" i="64"/>
  <c r="BF186" i="3"/>
  <c r="BF123" i="4" s="1"/>
  <c r="BF128" i="4" s="1"/>
  <c r="BF8" i="62"/>
  <c r="BF296" i="3"/>
  <c r="BF183" i="4" s="1"/>
  <c r="BF217" i="3"/>
  <c r="BF134" i="4" s="1"/>
  <c r="BF139" i="4" s="1"/>
  <c r="BF30" i="4"/>
  <c r="BF70" i="4" s="1"/>
  <c r="BF29" i="4"/>
  <c r="BF1079" i="4"/>
  <c r="BF1107" i="4"/>
  <c r="BF1081" i="4"/>
  <c r="BF1082" i="4" s="1"/>
  <c r="BD22" i="4"/>
  <c r="BE21" i="4"/>
  <c r="BF1332" i="4"/>
  <c r="BG1332" i="4" s="1"/>
  <c r="BC617" i="4"/>
  <c r="BV8" i="67"/>
  <c r="BV6" i="67"/>
  <c r="BW7" i="67"/>
  <c r="BX1352" i="4"/>
  <c r="BX1446" i="4"/>
  <c r="BY1315" i="4"/>
  <c r="BE18" i="4"/>
  <c r="BE24" i="4" s="1"/>
  <c r="BD9" i="66"/>
  <c r="BD9" i="64"/>
  <c r="BE36" i="4"/>
  <c r="BE43" i="4" s="1"/>
  <c r="BE223" i="4"/>
  <c r="BE34" i="4"/>
  <c r="BE41" i="4" s="1"/>
  <c r="BE48" i="4" s="1"/>
  <c r="BE150" i="4"/>
  <c r="BE54" i="62"/>
  <c r="BD41" i="4"/>
  <c r="BD48" i="4" s="1"/>
  <c r="BD142" i="4"/>
  <c r="BD43" i="4"/>
  <c r="BD50" i="4" s="1"/>
  <c r="BD636" i="4" s="1"/>
  <c r="BE70" i="4"/>
  <c r="BB662" i="4"/>
  <c r="BD9" i="62"/>
  <c r="BD227" i="4"/>
  <c r="BF6" i="4"/>
  <c r="BF15" i="4"/>
  <c r="BD250" i="4"/>
  <c r="BE40" i="4"/>
  <c r="BD40" i="4"/>
  <c r="BD47" i="4" s="1"/>
  <c r="BU59" i="3"/>
  <c r="BU95" i="67"/>
  <c r="BU56" i="3"/>
  <c r="BU60" i="3"/>
  <c r="BU58" i="3"/>
  <c r="BW6" i="72"/>
  <c r="BW8" i="72"/>
  <c r="BX7" i="72"/>
  <c r="CE1061" i="4"/>
  <c r="CD1062" i="4"/>
  <c r="BD607" i="4" l="1"/>
  <c r="BE227" i="4"/>
  <c r="BE9" i="66"/>
  <c r="BF288" i="4"/>
  <c r="BE34" i="66"/>
  <c r="BF34" i="66"/>
  <c r="BE9" i="4"/>
  <c r="BE414" i="4"/>
  <c r="BE415" i="4" s="1"/>
  <c r="BF413" i="4" s="1"/>
  <c r="BF329" i="4"/>
  <c r="BF414" i="4" s="1"/>
  <c r="BF415" i="4" s="1"/>
  <c r="BG413" i="4" s="1"/>
  <c r="BV95" i="67"/>
  <c r="BV56" i="3"/>
  <c r="BV59" i="3"/>
  <c r="BV58" i="3"/>
  <c r="BV60" i="3"/>
  <c r="BE22" i="4"/>
  <c r="BF21" i="4"/>
  <c r="BF1063" i="4"/>
  <c r="BF1080" i="4"/>
  <c r="BF1066" i="4"/>
  <c r="BF1075" i="4" s="1"/>
  <c r="BF141" i="4"/>
  <c r="BG6" i="4"/>
  <c r="BG15" i="4"/>
  <c r="BE142" i="4"/>
  <c r="BG1370" i="4"/>
  <c r="BD655" i="4"/>
  <c r="BD654" i="4"/>
  <c r="BD637" i="4"/>
  <c r="BF1186" i="4"/>
  <c r="BF57" i="4"/>
  <c r="BF54" i="4" s="1"/>
  <c r="BF1074" i="4"/>
  <c r="BF27" i="66"/>
  <c r="BF295" i="4"/>
  <c r="BF303" i="4" s="1"/>
  <c r="BF28" i="66"/>
  <c r="BF9" i="66"/>
  <c r="BF9" i="11"/>
  <c r="BF32" i="4"/>
  <c r="BF126" i="4"/>
  <c r="BF198" i="4"/>
  <c r="BE47" i="4"/>
  <c r="BE50" i="4"/>
  <c r="BE636" i="4" s="1"/>
  <c r="BF62" i="4"/>
  <c r="BF528" i="4" s="1"/>
  <c r="BF530" i="4"/>
  <c r="BF54" i="11"/>
  <c r="BF747" i="4"/>
  <c r="BF543" i="4"/>
  <c r="BF17" i="4"/>
  <c r="BF19" i="4"/>
  <c r="BF20" i="4" s="1"/>
  <c r="BF249" i="4"/>
  <c r="BF226" i="4"/>
  <c r="BG217" i="3"/>
  <c r="BG134" i="4" s="1"/>
  <c r="BG139" i="4" s="1"/>
  <c r="BG298" i="3"/>
  <c r="BG185" i="4" s="1"/>
  <c r="BG194" i="4" s="1"/>
  <c r="BG356" i="3"/>
  <c r="BG242" i="4" s="1"/>
  <c r="BG247" i="4" s="1"/>
  <c r="BG296" i="3"/>
  <c r="BG183" i="4" s="1"/>
  <c r="BG299" i="3"/>
  <c r="BG186" i="4" s="1"/>
  <c r="BG195" i="4" s="1"/>
  <c r="BG241" i="3"/>
  <c r="BG146" i="4" s="1"/>
  <c r="BG151" i="4" s="1"/>
  <c r="BG1083" i="4"/>
  <c r="BG16" i="4"/>
  <c r="BG218" i="3"/>
  <c r="BG135" i="4" s="1"/>
  <c r="BG140" i="4" s="1"/>
  <c r="BG329" i="3"/>
  <c r="BG218" i="4" s="1"/>
  <c r="BG1106" i="4"/>
  <c r="BG8" i="4"/>
  <c r="BG357" i="3"/>
  <c r="BG243" i="4" s="1"/>
  <c r="BG248" i="4" s="1"/>
  <c r="BG240" i="3"/>
  <c r="BG145" i="4" s="1"/>
  <c r="BG216" i="3"/>
  <c r="BG133" i="4" s="1"/>
  <c r="BG28" i="4"/>
  <c r="BG242" i="3"/>
  <c r="BG147" i="4" s="1"/>
  <c r="BG152" i="4" s="1"/>
  <c r="BG8" i="64"/>
  <c r="BG184" i="3"/>
  <c r="BG121" i="4" s="1"/>
  <c r="BG301" i="3"/>
  <c r="BG188" i="4" s="1"/>
  <c r="BG197" i="4" s="1"/>
  <c r="BG297" i="3"/>
  <c r="BG184" i="4" s="1"/>
  <c r="BG193" i="4" s="1"/>
  <c r="BG355" i="3"/>
  <c r="BG241" i="4" s="1"/>
  <c r="BG8" i="11"/>
  <c r="BG331" i="3"/>
  <c r="BG220" i="4" s="1"/>
  <c r="BG225" i="4" s="1"/>
  <c r="BG300" i="3"/>
  <c r="BG187" i="4" s="1"/>
  <c r="BG196" i="4" s="1"/>
  <c r="BG8" i="66"/>
  <c r="BG330" i="3"/>
  <c r="BG219" i="4" s="1"/>
  <c r="BG224" i="4" s="1"/>
  <c r="BG185" i="3"/>
  <c r="BG122" i="4" s="1"/>
  <c r="BG127" i="4" s="1"/>
  <c r="BG186" i="3"/>
  <c r="BG123" i="4" s="1"/>
  <c r="BG128" i="4" s="1"/>
  <c r="BG8" i="62"/>
  <c r="BG30" i="4"/>
  <c r="BG70" i="4" s="1"/>
  <c r="BG529" i="4"/>
  <c r="BG29" i="4"/>
  <c r="BG1079" i="4"/>
  <c r="BG1107" i="4"/>
  <c r="BG1081" i="4"/>
  <c r="BG1082" i="4" s="1"/>
  <c r="BF68" i="4"/>
  <c r="BE610" i="3"/>
  <c r="BF67" i="4"/>
  <c r="BE965" i="4"/>
  <c r="BE250" i="4"/>
  <c r="BY1446" i="4"/>
  <c r="BY1352" i="4"/>
  <c r="BZ1315" i="4"/>
  <c r="BF529" i="4"/>
  <c r="BF36" i="4"/>
  <c r="BF43" i="4" s="1"/>
  <c r="BF50" i="4" s="1"/>
  <c r="BF636" i="4" s="1"/>
  <c r="BF223" i="4"/>
  <c r="BD154" i="4"/>
  <c r="BC661" i="4"/>
  <c r="BF335" i="4"/>
  <c r="BF959" i="4" s="1"/>
  <c r="BF287" i="4"/>
  <c r="BD200" i="4"/>
  <c r="BE44" i="4"/>
  <c r="BE51" i="4" s="1"/>
  <c r="BX8" i="72"/>
  <c r="BX6" i="72"/>
  <c r="BY7" i="72"/>
  <c r="BX1447" i="4"/>
  <c r="BE335" i="4"/>
  <c r="BE959" i="4" s="1"/>
  <c r="BE287" i="4"/>
  <c r="BE324" i="4" s="1"/>
  <c r="BF324" i="4" s="1"/>
  <c r="BE9" i="62"/>
  <c r="BE54" i="4"/>
  <c r="BE55" i="4" s="1"/>
  <c r="BE153" i="4"/>
  <c r="BF192" i="4"/>
  <c r="BF35" i="4"/>
  <c r="BF33" i="4"/>
  <c r="BF138" i="4"/>
  <c r="BF37" i="4"/>
  <c r="BF44" i="4" s="1"/>
  <c r="BF246" i="4"/>
  <c r="BE130" i="4"/>
  <c r="BE63" i="4"/>
  <c r="BE1312" i="4" s="1"/>
  <c r="BD617" i="4"/>
  <c r="BF41" i="4"/>
  <c r="BF48" i="4" s="1"/>
  <c r="BF54" i="62"/>
  <c r="BF53" i="62"/>
  <c r="BF34" i="4"/>
  <c r="BF150" i="4"/>
  <c r="BG275" i="4"/>
  <c r="BG288" i="4" s="1"/>
  <c r="BG1165" i="4"/>
  <c r="BG273" i="4"/>
  <c r="BG274" i="4"/>
  <c r="BG1166" i="4"/>
  <c r="BE61" i="4"/>
  <c r="BE318" i="4" s="1"/>
  <c r="BE328" i="4" s="1"/>
  <c r="BF66" i="4"/>
  <c r="BG66" i="4" s="1"/>
  <c r="BF39" i="4"/>
  <c r="BF46" i="4" s="1"/>
  <c r="BF18" i="4"/>
  <c r="BW8" i="67"/>
  <c r="BW6" i="67"/>
  <c r="BX7" i="67"/>
  <c r="BF129" i="4"/>
  <c r="BE53" i="4"/>
  <c r="BF58" i="4"/>
  <c r="BF1052" i="4"/>
  <c r="BH7" i="3"/>
  <c r="BC56" i="4"/>
  <c r="BD65" i="4"/>
  <c r="BD53" i="62"/>
  <c r="BD55" i="4"/>
  <c r="BE15" i="66"/>
  <c r="BE199" i="4"/>
  <c r="BF60" i="4"/>
  <c r="BE542" i="4"/>
  <c r="CE1062" i="4"/>
  <c r="CF1061" i="4"/>
  <c r="BF227" i="4" l="1"/>
  <c r="BE65" i="4"/>
  <c r="BF65" i="4" s="1"/>
  <c r="BG329" i="4"/>
  <c r="BG414" i="4" s="1"/>
  <c r="BG415" i="4" s="1"/>
  <c r="BH413" i="4" s="1"/>
  <c r="BF51" i="4"/>
  <c r="BF61" i="4"/>
  <c r="BF318" i="4" s="1"/>
  <c r="BG34" i="66"/>
  <c r="BF24" i="4"/>
  <c r="BF9" i="3"/>
  <c r="BF9" i="62"/>
  <c r="BF9" i="4"/>
  <c r="BF654" i="4"/>
  <c r="BF655" i="4"/>
  <c r="BF637" i="4"/>
  <c r="BF22" i="4"/>
  <c r="BG21" i="4"/>
  <c r="BW58" i="3"/>
  <c r="BW95" i="67"/>
  <c r="BW59" i="3"/>
  <c r="BW60" i="3"/>
  <c r="BW56" i="3"/>
  <c r="BG67" i="4"/>
  <c r="BF965" i="4"/>
  <c r="BG68" i="4"/>
  <c r="BF610" i="3"/>
  <c r="BG1063" i="4"/>
  <c r="BG1080" i="4"/>
  <c r="BG1066" i="4"/>
  <c r="BG1075" i="4" s="1"/>
  <c r="BG36" i="4"/>
  <c r="BG223" i="4"/>
  <c r="BG198" i="4"/>
  <c r="BY6" i="72"/>
  <c r="BY8" i="72"/>
  <c r="BZ7" i="72"/>
  <c r="BZ1446" i="4"/>
  <c r="CA1315" i="4"/>
  <c r="BZ1352" i="4"/>
  <c r="BE964" i="4"/>
  <c r="BE605" i="4"/>
  <c r="BG28" i="66"/>
  <c r="BG1186" i="4"/>
  <c r="BG295" i="4"/>
  <c r="BG303" i="4" s="1"/>
  <c r="BG27" i="66"/>
  <c r="BG1074" i="4"/>
  <c r="BG57" i="4"/>
  <c r="BG54" i="4" s="1"/>
  <c r="BG9" i="62"/>
  <c r="BG9" i="11"/>
  <c r="BG141" i="4"/>
  <c r="BF40" i="4"/>
  <c r="BF47" i="4" s="1"/>
  <c r="BG60" i="4"/>
  <c r="BF199" i="4"/>
  <c r="BE154" i="4"/>
  <c r="BG226" i="4"/>
  <c r="BF53" i="4"/>
  <c r="BG1052" i="4"/>
  <c r="BG58" i="4"/>
  <c r="BG18" i="4"/>
  <c r="BE200" i="4"/>
  <c r="BG15" i="66"/>
  <c r="BF153" i="4"/>
  <c r="BF55" i="4"/>
  <c r="BD56" i="4"/>
  <c r="BE53" i="62"/>
  <c r="BY1447" i="4"/>
  <c r="BG747" i="4"/>
  <c r="BG543" i="4"/>
  <c r="BG62" i="4"/>
  <c r="BG528" i="4" s="1"/>
  <c r="BG530" i="4"/>
  <c r="BG54" i="11"/>
  <c r="BG33" i="4"/>
  <c r="BG40" i="4" s="1"/>
  <c r="BG138" i="4"/>
  <c r="BF9" i="64"/>
  <c r="BH7" i="64"/>
  <c r="BH6" i="64" s="1"/>
  <c r="BH28" i="64" s="1"/>
  <c r="BH30" i="64" s="1"/>
  <c r="BH53" i="64" s="1"/>
  <c r="BH86" i="64"/>
  <c r="BH87" i="64" s="1"/>
  <c r="BH314" i="4"/>
  <c r="BH8" i="3"/>
  <c r="BH7" i="66"/>
  <c r="BH6" i="66" s="1"/>
  <c r="BH6" i="3"/>
  <c r="BH7" i="4"/>
  <c r="BH7" i="11"/>
  <c r="BH6" i="11" s="1"/>
  <c r="BH7" i="62"/>
  <c r="BH6" i="62" s="1"/>
  <c r="BG335" i="4"/>
  <c r="BG959" i="4" s="1"/>
  <c r="BG287" i="4"/>
  <c r="BG324" i="4" s="1"/>
  <c r="BG54" i="62"/>
  <c r="BG53" i="62"/>
  <c r="BG37" i="4"/>
  <c r="BG246" i="4"/>
  <c r="BG34" i="4"/>
  <c r="BG41" i="4" s="1"/>
  <c r="BG48" i="4" s="1"/>
  <c r="BG150" i="4"/>
  <c r="BE544" i="4"/>
  <c r="BE612" i="4" s="1"/>
  <c r="BE607" i="4"/>
  <c r="BF328" i="4"/>
  <c r="BF250" i="4"/>
  <c r="BG43" i="4"/>
  <c r="BG50" i="4" s="1"/>
  <c r="BG636" i="4" s="1"/>
  <c r="BG129" i="4"/>
  <c r="BG249" i="4"/>
  <c r="BG55" i="4"/>
  <c r="BE56" i="4"/>
  <c r="BF60" i="62"/>
  <c r="BG60" i="62" s="1"/>
  <c r="BG17" i="4"/>
  <c r="BG19" i="4"/>
  <c r="BG20" i="4" s="1"/>
  <c r="BG35" i="4"/>
  <c r="BG192" i="4"/>
  <c r="BF63" i="4"/>
  <c r="BF1312" i="4" s="1"/>
  <c r="BE655" i="4"/>
  <c r="BE654" i="4"/>
  <c r="BE637" i="4"/>
  <c r="BD640" i="4"/>
  <c r="BD645" i="4"/>
  <c r="BD644" i="4"/>
  <c r="BD660" i="4" s="1"/>
  <c r="BD641" i="4"/>
  <c r="BD659" i="4" s="1"/>
  <c r="BX6" i="67"/>
  <c r="BX8" i="67"/>
  <c r="BY7" i="67"/>
  <c r="BF142" i="4"/>
  <c r="BC662" i="4"/>
  <c r="BG32" i="4"/>
  <c r="BG126" i="4"/>
  <c r="BF540" i="4"/>
  <c r="BF542" i="4" s="1"/>
  <c r="BF130" i="4"/>
  <c r="BF42" i="4"/>
  <c r="BF49" i="4" s="1"/>
  <c r="CF1062" i="4"/>
  <c r="CG1061" i="4"/>
  <c r="BG227" i="4" l="1"/>
  <c r="BG47" i="4"/>
  <c r="BG9" i="4"/>
  <c r="BG22" i="4"/>
  <c r="BH21" i="4"/>
  <c r="BF607" i="4"/>
  <c r="BF544" i="4"/>
  <c r="BF612" i="4" s="1"/>
  <c r="BG250" i="4"/>
  <c r="BI7" i="3"/>
  <c r="BF154" i="4"/>
  <c r="BH1370" i="4"/>
  <c r="BG9" i="66"/>
  <c r="CA1446" i="4"/>
  <c r="CB1315" i="4"/>
  <c r="CA1352" i="4"/>
  <c r="BG965" i="4"/>
  <c r="BG610" i="3"/>
  <c r="BH241" i="3"/>
  <c r="BH146" i="4" s="1"/>
  <c r="BH151" i="4" s="1"/>
  <c r="BH240" i="3"/>
  <c r="BH145" i="4" s="1"/>
  <c r="BH218" i="3"/>
  <c r="BH135" i="4" s="1"/>
  <c r="BH1083" i="4"/>
  <c r="BH184" i="3"/>
  <c r="BH121" i="4" s="1"/>
  <c r="BH300" i="3"/>
  <c r="BH187" i="4" s="1"/>
  <c r="BH196" i="4" s="1"/>
  <c r="BH296" i="3"/>
  <c r="BH183" i="4" s="1"/>
  <c r="BH8" i="64"/>
  <c r="BH301" i="3"/>
  <c r="BH188" i="4" s="1"/>
  <c r="BH197" i="4" s="1"/>
  <c r="BH186" i="3"/>
  <c r="BH123" i="4" s="1"/>
  <c r="BH128" i="4" s="1"/>
  <c r="BH216" i="3"/>
  <c r="BH133" i="4" s="1"/>
  <c r="BH138" i="4" s="1"/>
  <c r="BH217" i="3"/>
  <c r="BH134" i="4" s="1"/>
  <c r="BH139" i="4" s="1"/>
  <c r="BH8" i="66"/>
  <c r="BH330" i="3"/>
  <c r="BH219" i="4" s="1"/>
  <c r="BH224" i="4" s="1"/>
  <c r="BH16" i="4"/>
  <c r="BH331" i="3"/>
  <c r="BH220" i="4" s="1"/>
  <c r="BH225" i="4" s="1"/>
  <c r="BH28" i="4"/>
  <c r="BH356" i="3"/>
  <c r="BH242" i="4" s="1"/>
  <c r="BH247" i="4" s="1"/>
  <c r="BH185" i="3"/>
  <c r="BH122" i="4" s="1"/>
  <c r="BH127" i="4" s="1"/>
  <c r="BH8" i="11"/>
  <c r="BH329" i="3"/>
  <c r="BH218" i="4" s="1"/>
  <c r="BH297" i="3"/>
  <c r="BH184" i="4" s="1"/>
  <c r="BH193" i="4" s="1"/>
  <c r="BH299" i="3"/>
  <c r="BH186" i="4" s="1"/>
  <c r="BH195" i="4" s="1"/>
  <c r="BH355" i="3"/>
  <c r="BH241" i="4" s="1"/>
  <c r="BH8" i="4"/>
  <c r="BH1106" i="4"/>
  <c r="BH357" i="3"/>
  <c r="BH243" i="4" s="1"/>
  <c r="BH248" i="4" s="1"/>
  <c r="BH8" i="62"/>
  <c r="BH298" i="3"/>
  <c r="BH185" i="4" s="1"/>
  <c r="BH194" i="4" s="1"/>
  <c r="BH242" i="3"/>
  <c r="BH147" i="4" s="1"/>
  <c r="BH152" i="4" s="1"/>
  <c r="BH529" i="4"/>
  <c r="BH29" i="4"/>
  <c r="BH30" i="4"/>
  <c r="BH67" i="4" s="1"/>
  <c r="BH1107" i="4"/>
  <c r="BH1081" i="4"/>
  <c r="BH1082" i="4" s="1"/>
  <c r="BH1079" i="4"/>
  <c r="BH1332" i="4"/>
  <c r="BG24" i="4"/>
  <c r="BG9" i="3"/>
  <c r="BH274" i="4"/>
  <c r="BH275" i="4"/>
  <c r="BH288" i="4" s="1"/>
  <c r="BH273" i="4"/>
  <c r="BH1166" i="4"/>
  <c r="BH1165" i="4"/>
  <c r="BH329" i="4"/>
  <c r="BH414" i="4" s="1"/>
  <c r="BH415" i="4" s="1"/>
  <c r="BI413" i="4" s="1"/>
  <c r="BZ1447" i="4"/>
  <c r="BF645" i="4"/>
  <c r="BF644" i="4"/>
  <c r="BF660" i="4" s="1"/>
  <c r="BF641" i="4"/>
  <c r="BF640" i="4"/>
  <c r="BG130" i="4"/>
  <c r="BE645" i="4"/>
  <c r="BE644" i="4"/>
  <c r="BE660" i="4" s="1"/>
  <c r="BE641" i="4"/>
  <c r="BE640" i="4"/>
  <c r="BE659" i="4" s="1"/>
  <c r="BG39" i="4"/>
  <c r="BG46" i="4" s="1"/>
  <c r="BG9" i="64"/>
  <c r="BZ6" i="72"/>
  <c r="BZ8" i="72"/>
  <c r="CA7" i="72"/>
  <c r="BY6" i="67"/>
  <c r="BY8" i="67"/>
  <c r="BZ7" i="67"/>
  <c r="BG540" i="4"/>
  <c r="BG542" i="4" s="1"/>
  <c r="BF200" i="4"/>
  <c r="BF659" i="4"/>
  <c r="BD661" i="4"/>
  <c r="BH15" i="4"/>
  <c r="BH6" i="4"/>
  <c r="BG142" i="4"/>
  <c r="BF56" i="4"/>
  <c r="BF605" i="4"/>
  <c r="BF964" i="4"/>
  <c r="BX95" i="67"/>
  <c r="BX60" i="3"/>
  <c r="BX59" i="3"/>
  <c r="BX58" i="3"/>
  <c r="BX56" i="3"/>
  <c r="BG199" i="4"/>
  <c r="BG153" i="4"/>
  <c r="BG65" i="4"/>
  <c r="BG44" i="4"/>
  <c r="BG51" i="4" s="1"/>
  <c r="BG654" i="4"/>
  <c r="BG655" i="4"/>
  <c r="BG637" i="4"/>
  <c r="BE617" i="4"/>
  <c r="BG42" i="4"/>
  <c r="BG49" i="4" s="1"/>
  <c r="CG1062" i="4"/>
  <c r="CH1061" i="4"/>
  <c r="BH15" i="66" l="1"/>
  <c r="BH610" i="3"/>
  <c r="BH965" i="4"/>
  <c r="BE661" i="4"/>
  <c r="CA6" i="72"/>
  <c r="CA8" i="72"/>
  <c r="CB7" i="72"/>
  <c r="BH68" i="4"/>
  <c r="CC1315" i="4"/>
  <c r="CB1352" i="4"/>
  <c r="CB1446" i="4"/>
  <c r="BI86" i="64"/>
  <c r="BI87" i="64" s="1"/>
  <c r="BI7" i="64"/>
  <c r="BI6" i="64" s="1"/>
  <c r="BI28" i="64" s="1"/>
  <c r="BI30" i="64" s="1"/>
  <c r="BI53" i="64" s="1"/>
  <c r="BI7" i="66"/>
  <c r="BI6" i="66" s="1"/>
  <c r="BI6" i="3"/>
  <c r="BI7" i="11"/>
  <c r="BI6" i="11" s="1"/>
  <c r="BI8" i="3"/>
  <c r="BI314" i="4"/>
  <c r="BI7" i="4"/>
  <c r="BJ7" i="3"/>
  <c r="BI7" i="62"/>
  <c r="BI6" i="62" s="1"/>
  <c r="BG644" i="4"/>
  <c r="BG641" i="4"/>
  <c r="BG645" i="4"/>
  <c r="BG640" i="4"/>
  <c r="BG659" i="4" s="1"/>
  <c r="BZ8" i="67"/>
  <c r="BZ6" i="67"/>
  <c r="CA7" i="67"/>
  <c r="BI1332" i="4"/>
  <c r="BH198" i="4"/>
  <c r="BH36" i="4"/>
  <c r="BH223" i="4"/>
  <c r="BH32" i="4"/>
  <c r="BH126" i="4"/>
  <c r="CA1447" i="4"/>
  <c r="BG660" i="4"/>
  <c r="BH1063" i="4"/>
  <c r="BH1080" i="4"/>
  <c r="BH1066" i="4"/>
  <c r="BH1075" i="4" s="1"/>
  <c r="BH54" i="62"/>
  <c r="BG605" i="4"/>
  <c r="BG964" i="4"/>
  <c r="BG154" i="4"/>
  <c r="BY56" i="3"/>
  <c r="BY95" i="67"/>
  <c r="BY60" i="3"/>
  <c r="BY59" i="3"/>
  <c r="BY58" i="3"/>
  <c r="BH249" i="4"/>
  <c r="BH33" i="4"/>
  <c r="BH140" i="4"/>
  <c r="BI1370" i="4"/>
  <c r="BH129" i="4"/>
  <c r="BH34" i="4"/>
  <c r="BH150" i="4"/>
  <c r="BH34" i="66"/>
  <c r="BH54" i="11"/>
  <c r="BH530" i="4"/>
  <c r="BH543" i="4"/>
  <c r="BH747" i="4"/>
  <c r="BH62" i="4"/>
  <c r="BH528" i="4" s="1"/>
  <c r="BG63" i="4"/>
  <c r="BG1312" i="4" s="1"/>
  <c r="BH70" i="4"/>
  <c r="BH17" i="4"/>
  <c r="BH24" i="4" s="1"/>
  <c r="BH19" i="4"/>
  <c r="BH20" i="4" s="1"/>
  <c r="BG53" i="4"/>
  <c r="BH1052" i="4"/>
  <c r="BH58" i="4"/>
  <c r="BF617" i="4"/>
  <c r="BD662" i="4"/>
  <c r="BG607" i="4"/>
  <c r="BG544" i="4"/>
  <c r="BG612" i="4" s="1"/>
  <c r="BH57" i="4"/>
  <c r="BH9" i="64" s="1"/>
  <c r="BH1074" i="4"/>
  <c r="BH28" i="66"/>
  <c r="BH295" i="4"/>
  <c r="BH303" i="4" s="1"/>
  <c r="BH1186" i="4"/>
  <c r="BH27" i="66"/>
  <c r="BH9" i="11"/>
  <c r="BH9" i="3"/>
  <c r="BH60" i="4"/>
  <c r="BG61" i="4"/>
  <c r="BG318" i="4" s="1"/>
  <c r="BG328" i="4" s="1"/>
  <c r="BH66" i="4"/>
  <c r="BH37" i="4"/>
  <c r="BH246" i="4"/>
  <c r="BH226" i="4"/>
  <c r="BG200" i="4"/>
  <c r="BH18" i="4"/>
  <c r="BF661" i="4"/>
  <c r="BH335" i="4"/>
  <c r="BH959" i="4" s="1"/>
  <c r="BH287" i="4"/>
  <c r="BH324" i="4" s="1"/>
  <c r="BH35" i="4"/>
  <c r="BH192" i="4"/>
  <c r="CH1062" i="4"/>
  <c r="CI1061" i="4"/>
  <c r="BH9" i="4" l="1"/>
  <c r="BI21" i="4"/>
  <c r="BH22" i="4"/>
  <c r="BH41" i="4"/>
  <c r="BH48" i="4" s="1"/>
  <c r="BJ86" i="64"/>
  <c r="BJ87" i="64" s="1"/>
  <c r="BJ7" i="11"/>
  <c r="BJ6" i="11" s="1"/>
  <c r="BJ314" i="4"/>
  <c r="BJ7" i="64"/>
  <c r="BJ6" i="64" s="1"/>
  <c r="BJ28" i="64" s="1"/>
  <c r="BJ30" i="64" s="1"/>
  <c r="BJ53" i="64" s="1"/>
  <c r="BJ7" i="62"/>
  <c r="BJ6" i="62" s="1"/>
  <c r="BJ8" i="3"/>
  <c r="BJ7" i="66"/>
  <c r="BJ6" i="66" s="1"/>
  <c r="BK7" i="3"/>
  <c r="BJ7" i="4"/>
  <c r="BJ6" i="3"/>
  <c r="BH227" i="4"/>
  <c r="BH43" i="4"/>
  <c r="BH50" i="4" s="1"/>
  <c r="BH636" i="4" s="1"/>
  <c r="BI6" i="4"/>
  <c r="BI15" i="4"/>
  <c r="CB1447" i="4"/>
  <c r="BH199" i="4"/>
  <c r="BH250" i="4"/>
  <c r="BH9" i="66"/>
  <c r="BH54" i="4"/>
  <c r="BH60" i="62"/>
  <c r="BI1166" i="4"/>
  <c r="BI275" i="4"/>
  <c r="BI288" i="4" s="1"/>
  <c r="BI1165" i="4"/>
  <c r="BI273" i="4"/>
  <c r="BI274" i="4"/>
  <c r="BI329" i="4"/>
  <c r="BI414" i="4" s="1"/>
  <c r="BI415" i="4" s="1"/>
  <c r="BJ413" i="4" s="1"/>
  <c r="BH42" i="4"/>
  <c r="BH49" i="4" s="1"/>
  <c r="BF662" i="4"/>
  <c r="BH44" i="4"/>
  <c r="BH51" i="4" s="1"/>
  <c r="BH540" i="4"/>
  <c r="BH542" i="4" s="1"/>
  <c r="BI329" i="3"/>
  <c r="BI218" i="4" s="1"/>
  <c r="BI356" i="3"/>
  <c r="BI242" i="4" s="1"/>
  <c r="BI247" i="4" s="1"/>
  <c r="BI301" i="3"/>
  <c r="BI188" i="4" s="1"/>
  <c r="BI197" i="4" s="1"/>
  <c r="BI241" i="3"/>
  <c r="BI146" i="4" s="1"/>
  <c r="BI151" i="4" s="1"/>
  <c r="BI1083" i="4"/>
  <c r="BI240" i="3"/>
  <c r="BI145" i="4" s="1"/>
  <c r="BI216" i="3"/>
  <c r="BI133" i="4" s="1"/>
  <c r="BI298" i="3"/>
  <c r="BI185" i="4" s="1"/>
  <c r="BI194" i="4" s="1"/>
  <c r="BI357" i="3"/>
  <c r="BI243" i="4" s="1"/>
  <c r="BI248" i="4" s="1"/>
  <c r="BI1106" i="4"/>
  <c r="BI16" i="4"/>
  <c r="BI8" i="11"/>
  <c r="BI28" i="4"/>
  <c r="BI297" i="3"/>
  <c r="BI184" i="4" s="1"/>
  <c r="BI193" i="4" s="1"/>
  <c r="BI296" i="3"/>
  <c r="BI183" i="4" s="1"/>
  <c r="BI299" i="3"/>
  <c r="BI186" i="4" s="1"/>
  <c r="BI195" i="4" s="1"/>
  <c r="BI184" i="3"/>
  <c r="BI121" i="4" s="1"/>
  <c r="BI218" i="3"/>
  <c r="BI135" i="4" s="1"/>
  <c r="BI140" i="4" s="1"/>
  <c r="BI8" i="66"/>
  <c r="BI186" i="3"/>
  <c r="BI123" i="4" s="1"/>
  <c r="BI128" i="4" s="1"/>
  <c r="BI217" i="3"/>
  <c r="BI134" i="4" s="1"/>
  <c r="BI139" i="4" s="1"/>
  <c r="BI185" i="3"/>
  <c r="BI122" i="4" s="1"/>
  <c r="BI127" i="4" s="1"/>
  <c r="BI330" i="3"/>
  <c r="BI219" i="4" s="1"/>
  <c r="BI224" i="4" s="1"/>
  <c r="BI8" i="4"/>
  <c r="BI300" i="3"/>
  <c r="BI187" i="4" s="1"/>
  <c r="BI196" i="4" s="1"/>
  <c r="BI355" i="3"/>
  <c r="BI241" i="4" s="1"/>
  <c r="BI331" i="3"/>
  <c r="BI220" i="4" s="1"/>
  <c r="BI225" i="4" s="1"/>
  <c r="BI242" i="3"/>
  <c r="BI147" i="4" s="1"/>
  <c r="BI152" i="4" s="1"/>
  <c r="BI8" i="62"/>
  <c r="BI8" i="64"/>
  <c r="BI29" i="4"/>
  <c r="BI30" i="4"/>
  <c r="BI1081" i="4"/>
  <c r="BI1082" i="4" s="1"/>
  <c r="BI1079" i="4"/>
  <c r="BI1107" i="4"/>
  <c r="CC1352" i="4"/>
  <c r="CC1446" i="4"/>
  <c r="CD1315" i="4"/>
  <c r="CB8" i="72"/>
  <c r="CB6" i="72"/>
  <c r="CC7" i="72"/>
  <c r="BE662" i="4"/>
  <c r="BI66" i="4"/>
  <c r="BG617" i="4"/>
  <c r="BJ1370" i="4"/>
  <c r="BJ1332" i="4"/>
  <c r="BH141" i="4"/>
  <c r="BH605" i="4"/>
  <c r="BH964" i="4"/>
  <c r="BH40" i="4"/>
  <c r="BH47" i="4" s="1"/>
  <c r="BG661" i="4"/>
  <c r="BH130" i="4"/>
  <c r="CA8" i="67"/>
  <c r="CA6" i="67"/>
  <c r="CB7" i="67"/>
  <c r="BH9" i="62"/>
  <c r="BH153" i="4"/>
  <c r="BH39" i="4"/>
  <c r="BH46" i="4" s="1"/>
  <c r="BZ58" i="3"/>
  <c r="BZ56" i="3"/>
  <c r="BZ60" i="3"/>
  <c r="BZ95" i="67"/>
  <c r="BZ59" i="3"/>
  <c r="CI1062" i="4"/>
  <c r="CJ1061" i="4"/>
  <c r="CA60" i="3" l="1"/>
  <c r="CA59" i="3"/>
  <c r="CA58" i="3"/>
  <c r="CA95" i="67"/>
  <c r="CA56" i="3"/>
  <c r="BI543" i="4"/>
  <c r="BI747" i="4"/>
  <c r="BI54" i="11"/>
  <c r="BI530" i="4"/>
  <c r="BI62" i="4"/>
  <c r="BI528" i="4" s="1"/>
  <c r="BI67" i="4"/>
  <c r="BH63" i="4"/>
  <c r="BH1312" i="4" s="1"/>
  <c r="BI68" i="4"/>
  <c r="BI70" i="4"/>
  <c r="BI32" i="4"/>
  <c r="BI126" i="4"/>
  <c r="BI249" i="4"/>
  <c r="BI36" i="4"/>
  <c r="BI223" i="4"/>
  <c r="BI15" i="66"/>
  <c r="BH654" i="4"/>
  <c r="BH655" i="4"/>
  <c r="BH637" i="4"/>
  <c r="BI1186" i="4"/>
  <c r="BI1074" i="4"/>
  <c r="BI9" i="66"/>
  <c r="BI295" i="4"/>
  <c r="BI303" i="4" s="1"/>
  <c r="BI28" i="66"/>
  <c r="BI27" i="66"/>
  <c r="BI57" i="4"/>
  <c r="BI9" i="62" s="1"/>
  <c r="BI9" i="64"/>
  <c r="BI60" i="4"/>
  <c r="BH61" i="4"/>
  <c r="BH318" i="4" s="1"/>
  <c r="BH328" i="4" s="1"/>
  <c r="BI17" i="4"/>
  <c r="BI19" i="4"/>
  <c r="BI20" i="4" s="1"/>
  <c r="BI198" i="4"/>
  <c r="BJ6" i="4"/>
  <c r="BJ15" i="4"/>
  <c r="CE1315" i="4"/>
  <c r="CD1446" i="4"/>
  <c r="CD1352" i="4"/>
  <c r="BI529" i="4"/>
  <c r="BI192" i="4"/>
  <c r="BI35" i="4"/>
  <c r="BI33" i="4"/>
  <c r="BI138" i="4"/>
  <c r="BK7" i="62"/>
  <c r="BK6" i="62" s="1"/>
  <c r="BK7" i="4"/>
  <c r="BK6" i="3"/>
  <c r="BK8" i="3"/>
  <c r="BK314" i="4" s="1"/>
  <c r="BK7" i="64"/>
  <c r="BK6" i="64" s="1"/>
  <c r="BK28" i="64" s="1"/>
  <c r="BK30" i="64" s="1"/>
  <c r="BK53" i="64" s="1"/>
  <c r="BK7" i="66"/>
  <c r="BK6" i="66" s="1"/>
  <c r="BK86" i="64"/>
  <c r="BK87" i="64" s="1"/>
  <c r="BK7" i="11"/>
  <c r="BK6" i="11" s="1"/>
  <c r="BH154" i="4"/>
  <c r="BI34" i="4"/>
  <c r="BI150" i="4"/>
  <c r="BH544" i="4"/>
  <c r="BH612" i="4" s="1"/>
  <c r="BH607" i="4"/>
  <c r="BH200" i="4"/>
  <c r="BH142" i="4"/>
  <c r="CC1447" i="4"/>
  <c r="BI54" i="62"/>
  <c r="BH53" i="4"/>
  <c r="BI1052" i="4"/>
  <c r="BI58" i="4"/>
  <c r="BJ185" i="3"/>
  <c r="BJ122" i="4" s="1"/>
  <c r="BJ127" i="4" s="1"/>
  <c r="BJ218" i="3"/>
  <c r="BJ135" i="4" s="1"/>
  <c r="BJ140" i="4" s="1"/>
  <c r="BJ186" i="3"/>
  <c r="BJ123" i="4" s="1"/>
  <c r="BJ128" i="4" s="1"/>
  <c r="BJ28" i="4"/>
  <c r="BJ300" i="3"/>
  <c r="BJ187" i="4" s="1"/>
  <c r="BJ196" i="4" s="1"/>
  <c r="BJ297" i="3"/>
  <c r="BJ184" i="4" s="1"/>
  <c r="BJ193" i="4" s="1"/>
  <c r="BJ217" i="3"/>
  <c r="BJ134" i="4" s="1"/>
  <c r="BJ139" i="4" s="1"/>
  <c r="BJ296" i="3"/>
  <c r="BJ183" i="4" s="1"/>
  <c r="BJ298" i="3"/>
  <c r="BJ185" i="4" s="1"/>
  <c r="BJ194" i="4" s="1"/>
  <c r="BJ242" i="3"/>
  <c r="BJ147" i="4" s="1"/>
  <c r="BJ152" i="4" s="1"/>
  <c r="BJ8" i="62"/>
  <c r="BJ241" i="3"/>
  <c r="BJ146" i="4" s="1"/>
  <c r="BJ151" i="4" s="1"/>
  <c r="BJ301" i="3"/>
  <c r="BJ188" i="4" s="1"/>
  <c r="BJ197" i="4" s="1"/>
  <c r="BJ240" i="3"/>
  <c r="BJ145" i="4" s="1"/>
  <c r="BJ8" i="64"/>
  <c r="BJ330" i="3"/>
  <c r="BJ219" i="4" s="1"/>
  <c r="BJ224" i="4" s="1"/>
  <c r="BJ8" i="66"/>
  <c r="BJ8" i="4"/>
  <c r="BJ355" i="3"/>
  <c r="BJ241" i="4" s="1"/>
  <c r="BJ16" i="4"/>
  <c r="BJ8" i="11"/>
  <c r="BJ184" i="3"/>
  <c r="BJ121" i="4" s="1"/>
  <c r="BJ1106" i="4"/>
  <c r="BJ331" i="3"/>
  <c r="BJ220" i="4" s="1"/>
  <c r="BJ225" i="4" s="1"/>
  <c r="BJ216" i="3"/>
  <c r="BJ133" i="4" s="1"/>
  <c r="BJ356" i="3"/>
  <c r="BJ242" i="4" s="1"/>
  <c r="BJ247" i="4" s="1"/>
  <c r="BJ299" i="3"/>
  <c r="BJ186" i="4" s="1"/>
  <c r="BJ195" i="4" s="1"/>
  <c r="BJ1083" i="4"/>
  <c r="BJ329" i="3"/>
  <c r="BJ218" i="4" s="1"/>
  <c r="BJ357" i="3"/>
  <c r="BJ243" i="4" s="1"/>
  <c r="BJ248" i="4" s="1"/>
  <c r="BJ29" i="4"/>
  <c r="BJ30" i="4"/>
  <c r="BI63" i="4" s="1"/>
  <c r="BI1312" i="4" s="1"/>
  <c r="BJ1107" i="4"/>
  <c r="BJ1081" i="4"/>
  <c r="BJ1082" i="4" s="1"/>
  <c r="BJ1079" i="4"/>
  <c r="BG662" i="4"/>
  <c r="BI129" i="4"/>
  <c r="BI60" i="62"/>
  <c r="BI1080" i="4"/>
  <c r="BI1063" i="4"/>
  <c r="BI1066" i="4"/>
  <c r="BI1075" i="4" s="1"/>
  <c r="BI226" i="4"/>
  <c r="BI335" i="4"/>
  <c r="BI959" i="4" s="1"/>
  <c r="BI287" i="4"/>
  <c r="BI324" i="4" s="1"/>
  <c r="BG56" i="4"/>
  <c r="BH55" i="4"/>
  <c r="BH65" i="4"/>
  <c r="BH53" i="62"/>
  <c r="BI18" i="4"/>
  <c r="BI24" i="4" s="1"/>
  <c r="CB6" i="67"/>
  <c r="CB8" i="67"/>
  <c r="CC7" i="67"/>
  <c r="CC8" i="72"/>
  <c r="CC6" i="72"/>
  <c r="CD7" i="72"/>
  <c r="BI37" i="4"/>
  <c r="BI246" i="4"/>
  <c r="BI141" i="4"/>
  <c r="BI34" i="66"/>
  <c r="BJ273" i="4"/>
  <c r="BJ274" i="4"/>
  <c r="BJ275" i="4"/>
  <c r="BJ288" i="4" s="1"/>
  <c r="BJ329" i="4" s="1"/>
  <c r="BJ414" i="4" s="1"/>
  <c r="BJ415" i="4" s="1"/>
  <c r="BK413" i="4" s="1"/>
  <c r="BJ1166" i="4"/>
  <c r="BJ1165" i="4"/>
  <c r="BJ15" i="66" s="1"/>
  <c r="CJ1062" i="4"/>
  <c r="CK1061" i="4"/>
  <c r="BI227" i="4" l="1"/>
  <c r="BL7" i="3"/>
  <c r="BI61" i="4"/>
  <c r="BI318" i="4" s="1"/>
  <c r="BI9" i="4"/>
  <c r="BJ249" i="4"/>
  <c r="BJ32" i="4"/>
  <c r="BJ126" i="4"/>
  <c r="BJ34" i="4"/>
  <c r="BJ41" i="4" s="1"/>
  <c r="BJ150" i="4"/>
  <c r="BJ66" i="4"/>
  <c r="BH617" i="4"/>
  <c r="BK297" i="3"/>
  <c r="BK184" i="4" s="1"/>
  <c r="BK193" i="4" s="1"/>
  <c r="BK184" i="3"/>
  <c r="BK121" i="4" s="1"/>
  <c r="BK8" i="62"/>
  <c r="BK242" i="3"/>
  <c r="BK147" i="4" s="1"/>
  <c r="BK152" i="4" s="1"/>
  <c r="BK330" i="3"/>
  <c r="BK219" i="4" s="1"/>
  <c r="BK224" i="4" s="1"/>
  <c r="BK240" i="3"/>
  <c r="BK145" i="4" s="1"/>
  <c r="BK300" i="3"/>
  <c r="BK187" i="4" s="1"/>
  <c r="BK196" i="4" s="1"/>
  <c r="BK185" i="3"/>
  <c r="BK122" i="4" s="1"/>
  <c r="BK127" i="4" s="1"/>
  <c r="BK1083" i="4"/>
  <c r="BK301" i="3"/>
  <c r="BK188" i="4" s="1"/>
  <c r="BK197" i="4" s="1"/>
  <c r="BK298" i="3"/>
  <c r="BK185" i="4" s="1"/>
  <c r="BK194" i="4" s="1"/>
  <c r="BK355" i="3"/>
  <c r="BK241" i="4" s="1"/>
  <c r="BK356" i="3"/>
  <c r="BK242" i="4" s="1"/>
  <c r="BK247" i="4" s="1"/>
  <c r="BK8" i="11"/>
  <c r="BK217" i="3"/>
  <c r="BK134" i="4" s="1"/>
  <c r="BK296" i="3"/>
  <c r="BK183" i="4" s="1"/>
  <c r="BK331" i="3"/>
  <c r="BK220" i="4" s="1"/>
  <c r="BK225" i="4" s="1"/>
  <c r="BK1106" i="4"/>
  <c r="BK16" i="4"/>
  <c r="BK216" i="3"/>
  <c r="BK133" i="4" s="1"/>
  <c r="BK138" i="4" s="1"/>
  <c r="BK357" i="3"/>
  <c r="BK243" i="4" s="1"/>
  <c r="BK248" i="4" s="1"/>
  <c r="BK28" i="4"/>
  <c r="BK8" i="64"/>
  <c r="BK186" i="3"/>
  <c r="BK123" i="4" s="1"/>
  <c r="BK128" i="4" s="1"/>
  <c r="BK299" i="3"/>
  <c r="BK186" i="4" s="1"/>
  <c r="BK195" i="4" s="1"/>
  <c r="BK241" i="3"/>
  <c r="BK146" i="4" s="1"/>
  <c r="BK151" i="4" s="1"/>
  <c r="BK8" i="66"/>
  <c r="BK8" i="4"/>
  <c r="BK218" i="3"/>
  <c r="BK135" i="4" s="1"/>
  <c r="BK140" i="4" s="1"/>
  <c r="BK329" i="3"/>
  <c r="BK218" i="4" s="1"/>
  <c r="BK30" i="4"/>
  <c r="BK529" i="4" s="1"/>
  <c r="BK29" i="4"/>
  <c r="BK1079" i="4"/>
  <c r="BK1081" i="4"/>
  <c r="BK1082" i="4" s="1"/>
  <c r="BK1107" i="4"/>
  <c r="BH640" i="4"/>
  <c r="BH645" i="4"/>
  <c r="BH641" i="4"/>
  <c r="BH644" i="4"/>
  <c r="BH660" i="4" s="1"/>
  <c r="BI130" i="4"/>
  <c r="BJ36" i="4"/>
  <c r="BJ223" i="4"/>
  <c r="BI153" i="4"/>
  <c r="BI328" i="4"/>
  <c r="BK1370" i="4"/>
  <c r="BJ39" i="4"/>
  <c r="BI39" i="4"/>
  <c r="BI46" i="4" s="1"/>
  <c r="BJ70" i="4"/>
  <c r="BJ335" i="4"/>
  <c r="BJ959" i="4" s="1"/>
  <c r="BJ287" i="4"/>
  <c r="BJ324" i="4" s="1"/>
  <c r="CC8" i="67"/>
  <c r="CC6" i="67"/>
  <c r="CD7" i="67"/>
  <c r="BJ1080" i="4"/>
  <c r="BJ1063" i="4"/>
  <c r="BJ1066" i="4"/>
  <c r="BJ1075" i="4" s="1"/>
  <c r="BJ1052" i="4"/>
  <c r="BJ58" i="4"/>
  <c r="BI53" i="4"/>
  <c r="BI41" i="4"/>
  <c r="BI48" i="4" s="1"/>
  <c r="BK275" i="4"/>
  <c r="BK288" i="4" s="1"/>
  <c r="BK274" i="4"/>
  <c r="BK273" i="4"/>
  <c r="BK34" i="66" s="1"/>
  <c r="BK1166" i="4"/>
  <c r="BK1165" i="4"/>
  <c r="BK329" i="4"/>
  <c r="BK414" i="4" s="1"/>
  <c r="BK415" i="4" s="1"/>
  <c r="BL413" i="4" s="1"/>
  <c r="BK6" i="4"/>
  <c r="BK15" i="4"/>
  <c r="BJ18" i="4"/>
  <c r="BH659" i="4"/>
  <c r="BJ34" i="66"/>
  <c r="BJ37" i="4"/>
  <c r="BJ246" i="4"/>
  <c r="BJ54" i="62"/>
  <c r="BJ129" i="4"/>
  <c r="BI540" i="4"/>
  <c r="BI542" i="4" s="1"/>
  <c r="CB60" i="3"/>
  <c r="CB59" i="3"/>
  <c r="CB95" i="67"/>
  <c r="CB58" i="3"/>
  <c r="CB56" i="3"/>
  <c r="BJ17" i="4"/>
  <c r="BJ19" i="4"/>
  <c r="BJ141" i="4"/>
  <c r="BI142" i="4"/>
  <c r="BI9" i="3"/>
  <c r="BI250" i="4"/>
  <c r="BJ62" i="4"/>
  <c r="BJ528" i="4" s="1"/>
  <c r="BJ54" i="11"/>
  <c r="BJ530" i="4"/>
  <c r="BJ540" i="4" s="1"/>
  <c r="BJ747" i="4"/>
  <c r="BJ543" i="4"/>
  <c r="BJ63" i="4"/>
  <c r="BJ1312" i="4" s="1"/>
  <c r="BK70" i="4"/>
  <c r="BJ33" i="4"/>
  <c r="BJ40" i="4" s="1"/>
  <c r="BJ47" i="4" s="1"/>
  <c r="BJ138" i="4"/>
  <c r="BJ198" i="4"/>
  <c r="BI40" i="4"/>
  <c r="BI47" i="4" s="1"/>
  <c r="CD1447" i="4"/>
  <c r="BJ43" i="4"/>
  <c r="BJ50" i="4" s="1"/>
  <c r="BJ636" i="4" s="1"/>
  <c r="BI43" i="4"/>
  <c r="BI50" i="4" s="1"/>
  <c r="BI636" i="4" s="1"/>
  <c r="BJ44" i="4"/>
  <c r="BI44" i="4"/>
  <c r="BI51" i="4" s="1"/>
  <c r="BJ46" i="4"/>
  <c r="BJ28" i="66"/>
  <c r="BJ1186" i="4"/>
  <c r="BJ1074" i="4"/>
  <c r="BJ61" i="4"/>
  <c r="BJ318" i="4" s="1"/>
  <c r="BJ27" i="66"/>
  <c r="BJ295" i="4"/>
  <c r="BJ303" i="4" s="1"/>
  <c r="BK60" i="4"/>
  <c r="BJ57" i="4"/>
  <c r="BJ54" i="4" s="1"/>
  <c r="BJ53" i="62" s="1"/>
  <c r="BJ226" i="4"/>
  <c r="BJ35" i="4"/>
  <c r="BJ192" i="4"/>
  <c r="BL7" i="11"/>
  <c r="BL6" i="11" s="1"/>
  <c r="BL8" i="3"/>
  <c r="BL7" i="4"/>
  <c r="BL7" i="64"/>
  <c r="BL6" i="64" s="1"/>
  <c r="BL28" i="64" s="1"/>
  <c r="BL30" i="64" s="1"/>
  <c r="BL53" i="64" s="1"/>
  <c r="BL6" i="3"/>
  <c r="BL7" i="66"/>
  <c r="BL6" i="66" s="1"/>
  <c r="BL86" i="64"/>
  <c r="BL87" i="64" s="1"/>
  <c r="BL7" i="62"/>
  <c r="BL6" i="62" s="1"/>
  <c r="BJ42" i="4"/>
  <c r="BJ49" i="4" s="1"/>
  <c r="BI42" i="4"/>
  <c r="BI49" i="4" s="1"/>
  <c r="CE1446" i="4"/>
  <c r="CE1352" i="4"/>
  <c r="CF1315" i="4"/>
  <c r="BI9" i="11"/>
  <c r="BI54" i="4"/>
  <c r="BI65" i="4" s="1"/>
  <c r="BJ60" i="4"/>
  <c r="BI965" i="4"/>
  <c r="BJ68" i="4"/>
  <c r="BJ67" i="4"/>
  <c r="BI610" i="3"/>
  <c r="BK1332" i="4"/>
  <c r="CD8" i="72"/>
  <c r="CD6" i="72"/>
  <c r="CE7" i="72"/>
  <c r="BJ529" i="4"/>
  <c r="BI199" i="4"/>
  <c r="BJ21" i="4"/>
  <c r="BJ20" i="4"/>
  <c r="BI22" i="4"/>
  <c r="CK1062" i="4"/>
  <c r="CL1061" i="4"/>
  <c r="BJ65" i="4" l="1"/>
  <c r="BJ9" i="4"/>
  <c r="BJ9" i="62"/>
  <c r="BJ9" i="66"/>
  <c r="BI200" i="4"/>
  <c r="BK67" i="4"/>
  <c r="BJ965" i="4"/>
  <c r="BK68" i="4"/>
  <c r="BJ610" i="3"/>
  <c r="BL16" i="4"/>
  <c r="BL330" i="3"/>
  <c r="BL219" i="4" s="1"/>
  <c r="BL224" i="4" s="1"/>
  <c r="BL186" i="3"/>
  <c r="BL123" i="4" s="1"/>
  <c r="BL128" i="4" s="1"/>
  <c r="BL241" i="3"/>
  <c r="BL146" i="4" s="1"/>
  <c r="BL151" i="4" s="1"/>
  <c r="BL8" i="4"/>
  <c r="BL185" i="3"/>
  <c r="BL122" i="4" s="1"/>
  <c r="BL127" i="4" s="1"/>
  <c r="BL240" i="3"/>
  <c r="BL145" i="4" s="1"/>
  <c r="BL1083" i="4"/>
  <c r="BL356" i="3"/>
  <c r="BL242" i="4" s="1"/>
  <c r="BL247" i="4" s="1"/>
  <c r="BL329" i="3"/>
  <c r="BL218" i="4" s="1"/>
  <c r="BL299" i="3"/>
  <c r="BL186" i="4" s="1"/>
  <c r="BL195" i="4" s="1"/>
  <c r="BL1106" i="4"/>
  <c r="BL8" i="66"/>
  <c r="BL301" i="3"/>
  <c r="BL188" i="4" s="1"/>
  <c r="BL197" i="4" s="1"/>
  <c r="BL357" i="3"/>
  <c r="BL243" i="4" s="1"/>
  <c r="BL248" i="4" s="1"/>
  <c r="BL8" i="64"/>
  <c r="BL296" i="3"/>
  <c r="BL183" i="4" s="1"/>
  <c r="BL28" i="4"/>
  <c r="BL218" i="3"/>
  <c r="BL135" i="4" s="1"/>
  <c r="BL140" i="4" s="1"/>
  <c r="BL184" i="3"/>
  <c r="BL121" i="4" s="1"/>
  <c r="BL242" i="3"/>
  <c r="BL147" i="4" s="1"/>
  <c r="BL152" i="4" s="1"/>
  <c r="BL298" i="3"/>
  <c r="BL185" i="4" s="1"/>
  <c r="BL194" i="4" s="1"/>
  <c r="BL355" i="3"/>
  <c r="BL241" i="4" s="1"/>
  <c r="BL300" i="3"/>
  <c r="BL187" i="4" s="1"/>
  <c r="BL196" i="4" s="1"/>
  <c r="BL8" i="62"/>
  <c r="BL297" i="3"/>
  <c r="BL184" i="4" s="1"/>
  <c r="BL193" i="4" s="1"/>
  <c r="BL8" i="11"/>
  <c r="BL216" i="3"/>
  <c r="BL133" i="4" s="1"/>
  <c r="BL331" i="3"/>
  <c r="BL220" i="4" s="1"/>
  <c r="BL225" i="4" s="1"/>
  <c r="BL217" i="3"/>
  <c r="BL134" i="4" s="1"/>
  <c r="BL139" i="4" s="1"/>
  <c r="BL30" i="4"/>
  <c r="BL29" i="4"/>
  <c r="BL1107" i="4"/>
  <c r="BL1081" i="4"/>
  <c r="BL1082" i="4" s="1"/>
  <c r="BL1079" i="4"/>
  <c r="BJ60" i="62"/>
  <c r="BJ328" i="4"/>
  <c r="BK141" i="4"/>
  <c r="BK249" i="4"/>
  <c r="CF1446" i="4"/>
  <c r="CF1352" i="4"/>
  <c r="CG1315" i="4"/>
  <c r="BL314" i="4"/>
  <c r="BI654" i="4"/>
  <c r="BI655" i="4"/>
  <c r="BI637" i="4"/>
  <c r="BK15" i="66"/>
  <c r="CD6" i="67"/>
  <c r="CD8" i="67"/>
  <c r="CE7" i="67"/>
  <c r="BK19" i="4"/>
  <c r="BK20" i="4" s="1"/>
  <c r="BK17" i="4"/>
  <c r="BK37" i="4"/>
  <c r="BK246" i="4"/>
  <c r="BJ153" i="4"/>
  <c r="BJ655" i="4"/>
  <c r="BJ654" i="4"/>
  <c r="BJ637" i="4"/>
  <c r="CC60" i="3"/>
  <c r="CC59" i="3"/>
  <c r="CC58" i="3"/>
  <c r="CC56" i="3"/>
  <c r="CC95" i="67"/>
  <c r="BI154" i="4"/>
  <c r="BK198" i="4"/>
  <c r="BK54" i="62"/>
  <c r="CE1447" i="4"/>
  <c r="BJ199" i="4"/>
  <c r="BJ9" i="64"/>
  <c r="BJ51" i="4"/>
  <c r="BH661" i="4"/>
  <c r="BK1080" i="4"/>
  <c r="BK1063" i="4"/>
  <c r="BK1066" i="4"/>
  <c r="BK1075" i="4" s="1"/>
  <c r="BK32" i="4"/>
  <c r="BK126" i="4"/>
  <c r="BJ130" i="4"/>
  <c r="BJ9" i="11"/>
  <c r="BJ24" i="4"/>
  <c r="BK335" i="4"/>
  <c r="BK959" i="4" s="1"/>
  <c r="BK287" i="4"/>
  <c r="BK324" i="4" s="1"/>
  <c r="BK27" i="66"/>
  <c r="BK61" i="4"/>
  <c r="BK318" i="4" s="1"/>
  <c r="BK1074" i="4"/>
  <c r="BK28" i="66"/>
  <c r="BK1186" i="4"/>
  <c r="BL60" i="4"/>
  <c r="BK57" i="4"/>
  <c r="BK54" i="4" s="1"/>
  <c r="BJ56" i="4" s="1"/>
  <c r="BK295" i="4"/>
  <c r="BK303" i="4" s="1"/>
  <c r="BK9" i="3"/>
  <c r="BK226" i="4"/>
  <c r="BJ22" i="4"/>
  <c r="BK21" i="4"/>
  <c r="BJ9" i="3"/>
  <c r="BJ142" i="4"/>
  <c r="BJ542" i="4"/>
  <c r="BI544" i="4"/>
  <c r="BI612" i="4" s="1"/>
  <c r="BI607" i="4"/>
  <c r="BJ250" i="4"/>
  <c r="BK54" i="11"/>
  <c r="BK543" i="4"/>
  <c r="BK63" i="4"/>
  <c r="BK1312" i="4" s="1"/>
  <c r="BK747" i="4"/>
  <c r="BK530" i="4"/>
  <c r="BK540" i="4" s="1"/>
  <c r="BK62" i="4"/>
  <c r="BK528" i="4" s="1"/>
  <c r="BL70" i="4"/>
  <c r="BK129" i="4"/>
  <c r="BK35" i="4"/>
  <c r="BK192" i="4"/>
  <c r="BL1332" i="4"/>
  <c r="BJ55" i="4"/>
  <c r="BH56" i="4"/>
  <c r="BI53" i="62"/>
  <c r="BI55" i="4"/>
  <c r="BM7" i="3"/>
  <c r="BJ227" i="4"/>
  <c r="BI56" i="4"/>
  <c r="BK55" i="4"/>
  <c r="BK18" i="4"/>
  <c r="BK24" i="4" s="1"/>
  <c r="BK33" i="4"/>
  <c r="BK40" i="4" s="1"/>
  <c r="BK47" i="4" s="1"/>
  <c r="BK139" i="4"/>
  <c r="CE8" i="72"/>
  <c r="CE6" i="72"/>
  <c r="CF7" i="72"/>
  <c r="BI605" i="4"/>
  <c r="BI964" i="4"/>
  <c r="BL15" i="4"/>
  <c r="BL6" i="4"/>
  <c r="BJ48" i="4"/>
  <c r="BL1370" i="4"/>
  <c r="BK36" i="4"/>
  <c r="BK43" i="4" s="1"/>
  <c r="BK50" i="4" s="1"/>
  <c r="BK636" i="4" s="1"/>
  <c r="BK223" i="4"/>
  <c r="BJ53" i="4"/>
  <c r="BK1052" i="4"/>
  <c r="BK58" i="4"/>
  <c r="BK34" i="4"/>
  <c r="BK41" i="4" s="1"/>
  <c r="BK48" i="4" s="1"/>
  <c r="BK150" i="4"/>
  <c r="BK66" i="4"/>
  <c r="BL66" i="4" s="1"/>
  <c r="CL1062" i="4"/>
  <c r="CM1061" i="4"/>
  <c r="BK227" i="4" l="1"/>
  <c r="BK9" i="4"/>
  <c r="BK654" i="4"/>
  <c r="BK655" i="4"/>
  <c r="BK637" i="4"/>
  <c r="BK39" i="4"/>
  <c r="BK46" i="4" s="1"/>
  <c r="BK142" i="4"/>
  <c r="CF1447" i="4"/>
  <c r="BK60" i="62"/>
  <c r="BK53" i="4"/>
  <c r="BL1052" i="4"/>
  <c r="BL58" i="4"/>
  <c r="BL36" i="4"/>
  <c r="BL223" i="4"/>
  <c r="BK153" i="4"/>
  <c r="CF8" i="72"/>
  <c r="CF6" i="72"/>
  <c r="CG7" i="72"/>
  <c r="BI617" i="4"/>
  <c r="BK22" i="4"/>
  <c r="BL21" i="4"/>
  <c r="BK9" i="62"/>
  <c r="BK53" i="62"/>
  <c r="BI644" i="4"/>
  <c r="BI645" i="4"/>
  <c r="BI641" i="4"/>
  <c r="BI640" i="4"/>
  <c r="BL1186" i="4"/>
  <c r="BL27" i="66"/>
  <c r="BL1074" i="4"/>
  <c r="BL28" i="66"/>
  <c r="BL295" i="4"/>
  <c r="BL303" i="4" s="1"/>
  <c r="BL57" i="4"/>
  <c r="BL9" i="11" s="1"/>
  <c r="BL54" i="62"/>
  <c r="BL35" i="4"/>
  <c r="BL42" i="4" s="1"/>
  <c r="BL192" i="4"/>
  <c r="CE16" i="72"/>
  <c r="CE15" i="72"/>
  <c r="CE14" i="72"/>
  <c r="BJ607" i="4"/>
  <c r="BJ544" i="4"/>
  <c r="BJ612" i="4" s="1"/>
  <c r="BK9" i="66"/>
  <c r="BK42" i="4"/>
  <c r="BK49" i="4" s="1"/>
  <c r="BH662" i="4"/>
  <c r="BJ200" i="4"/>
  <c r="BJ641" i="4"/>
  <c r="BJ645" i="4"/>
  <c r="BJ644" i="4"/>
  <c r="BJ640" i="4"/>
  <c r="CE8" i="67"/>
  <c r="CE6" i="67"/>
  <c r="CF7" i="67"/>
  <c r="BI660" i="4"/>
  <c r="BL543" i="4"/>
  <c r="BL54" i="11"/>
  <c r="BL530" i="4"/>
  <c r="BL747" i="4"/>
  <c r="BL62" i="4"/>
  <c r="BL528" i="4" s="1"/>
  <c r="BJ964" i="4"/>
  <c r="BJ605" i="4"/>
  <c r="BK9" i="64"/>
  <c r="BJ659" i="4"/>
  <c r="BJ154" i="4"/>
  <c r="BI659" i="4"/>
  <c r="BL529" i="4"/>
  <c r="BL37" i="4"/>
  <c r="BL246" i="4"/>
  <c r="BL249" i="4"/>
  <c r="BL34" i="4"/>
  <c r="BL41" i="4" s="1"/>
  <c r="BL48" i="4" s="1"/>
  <c r="BL150" i="4"/>
  <c r="CD59" i="3"/>
  <c r="CD58" i="3"/>
  <c r="CD95" i="67"/>
  <c r="CD60" i="3"/>
  <c r="CD56" i="3"/>
  <c r="BL1166" i="4"/>
  <c r="BL274" i="4"/>
  <c r="BL273" i="4"/>
  <c r="BL1165" i="4"/>
  <c r="BL275" i="4"/>
  <c r="BL198" i="4"/>
  <c r="BK9" i="11"/>
  <c r="BK250" i="4"/>
  <c r="BL226" i="4"/>
  <c r="BL17" i="4"/>
  <c r="BL19" i="4"/>
  <c r="BL20" i="4" s="1"/>
  <c r="BK610" i="3"/>
  <c r="BL68" i="4"/>
  <c r="BL67" i="4"/>
  <c r="BK965" i="4"/>
  <c r="BL18" i="4"/>
  <c r="BM6" i="3"/>
  <c r="BM7" i="4"/>
  <c r="BM7" i="11"/>
  <c r="BM6" i="11" s="1"/>
  <c r="BM7" i="62"/>
  <c r="BM6" i="62" s="1"/>
  <c r="BM8" i="3"/>
  <c r="BM7" i="66"/>
  <c r="BM6" i="66" s="1"/>
  <c r="BM86" i="64"/>
  <c r="BM87" i="64" s="1"/>
  <c r="BM7" i="64"/>
  <c r="BM6" i="64" s="1"/>
  <c r="BM28" i="64" s="1"/>
  <c r="BM30" i="64" s="1"/>
  <c r="BM53" i="64" s="1"/>
  <c r="BK44" i="4"/>
  <c r="BK51" i="4" s="1"/>
  <c r="BL44" i="4"/>
  <c r="CG1446" i="4"/>
  <c r="CH1315" i="4"/>
  <c r="CG1352" i="4"/>
  <c r="BK328" i="4"/>
  <c r="BL1080" i="4"/>
  <c r="BL1063" i="4"/>
  <c r="BL1066" i="4"/>
  <c r="BL1075" i="4" s="1"/>
  <c r="BL33" i="4"/>
  <c r="BL40" i="4" s="1"/>
  <c r="BL47" i="4" s="1"/>
  <c r="BL138" i="4"/>
  <c r="BL32" i="4"/>
  <c r="BL126" i="4"/>
  <c r="BL43" i="4"/>
  <c r="BL50" i="4" s="1"/>
  <c r="BL636" i="4" s="1"/>
  <c r="BK199" i="4"/>
  <c r="BK542" i="4"/>
  <c r="BK130" i="4"/>
  <c r="BL141" i="4"/>
  <c r="BL129" i="4"/>
  <c r="BK65" i="4"/>
  <c r="CM1062" i="4"/>
  <c r="CN1061" i="4"/>
  <c r="BL227" i="4" l="1"/>
  <c r="BL24" i="4"/>
  <c r="BL49" i="4"/>
  <c r="BL9" i="3"/>
  <c r="BJ660" i="4"/>
  <c r="BL9" i="4"/>
  <c r="BL22" i="4"/>
  <c r="BM21" i="4"/>
  <c r="BK544" i="4"/>
  <c r="BK612" i="4" s="1"/>
  <c r="BK607" i="4"/>
  <c r="BN7" i="3"/>
  <c r="BL142" i="4"/>
  <c r="CI1315" i="4"/>
  <c r="CH1446" i="4"/>
  <c r="CH1352" i="4"/>
  <c r="BM314" i="4"/>
  <c r="BL335" i="4"/>
  <c r="BL959" i="4" s="1"/>
  <c r="BL287" i="4"/>
  <c r="BL324" i="4" s="1"/>
  <c r="CG6" i="72"/>
  <c r="CG8" i="72"/>
  <c r="CH7" i="72"/>
  <c r="BL60" i="62"/>
  <c r="BK200" i="4"/>
  <c r="CG1447" i="4"/>
  <c r="BM1370" i="4"/>
  <c r="CF8" i="67"/>
  <c r="CF6" i="67"/>
  <c r="CG7" i="67"/>
  <c r="BJ617" i="4"/>
  <c r="BL9" i="64"/>
  <c r="CF14" i="72"/>
  <c r="CF15" i="72"/>
  <c r="CF16" i="72"/>
  <c r="BL39" i="4"/>
  <c r="BK640" i="4"/>
  <c r="BK645" i="4"/>
  <c r="BK641" i="4"/>
  <c r="BK644" i="4"/>
  <c r="BL655" i="4"/>
  <c r="BL654" i="4"/>
  <c r="BL637" i="4"/>
  <c r="BM15" i="4"/>
  <c r="BM6" i="4"/>
  <c r="BL965" i="4"/>
  <c r="BL610" i="3"/>
  <c r="BL153" i="4"/>
  <c r="BI661" i="4"/>
  <c r="BJ661" i="4"/>
  <c r="CE60" i="3"/>
  <c r="CE56" i="3"/>
  <c r="CE58" i="3"/>
  <c r="CE59" i="3"/>
  <c r="CE95" i="67"/>
  <c r="BL9" i="62"/>
  <c r="BK660" i="4"/>
  <c r="BL51" i="4"/>
  <c r="BM1332" i="4"/>
  <c r="BL540" i="4"/>
  <c r="BL542" i="4" s="1"/>
  <c r="BK659" i="4"/>
  <c r="BK605" i="4"/>
  <c r="BK964" i="4"/>
  <c r="BL199" i="4"/>
  <c r="BL9" i="66"/>
  <c r="BL54" i="4"/>
  <c r="BK154" i="4"/>
  <c r="BM298" i="3"/>
  <c r="BM185" i="4" s="1"/>
  <c r="BM194" i="4" s="1"/>
  <c r="BM357" i="3"/>
  <c r="BM243" i="4" s="1"/>
  <c r="BM248" i="4" s="1"/>
  <c r="BM330" i="3"/>
  <c r="BM219" i="4" s="1"/>
  <c r="BM224" i="4" s="1"/>
  <c r="BM217" i="3"/>
  <c r="BM134" i="4" s="1"/>
  <c r="BM139" i="4" s="1"/>
  <c r="BM300" i="3"/>
  <c r="BM187" i="4" s="1"/>
  <c r="BM196" i="4" s="1"/>
  <c r="BM184" i="3"/>
  <c r="BM121" i="4" s="1"/>
  <c r="BM356" i="3"/>
  <c r="BM242" i="4" s="1"/>
  <c r="BM247" i="4" s="1"/>
  <c r="BM8" i="62"/>
  <c r="BM1106" i="4"/>
  <c r="BM16" i="4"/>
  <c r="BM297" i="3"/>
  <c r="BM184" i="4" s="1"/>
  <c r="BM193" i="4" s="1"/>
  <c r="BM331" i="3"/>
  <c r="BM220" i="4" s="1"/>
  <c r="BM225" i="4" s="1"/>
  <c r="BM185" i="3"/>
  <c r="BM122" i="4" s="1"/>
  <c r="BM127" i="4" s="1"/>
  <c r="BM8" i="11"/>
  <c r="BM1083" i="4"/>
  <c r="BM301" i="3"/>
  <c r="BM188" i="4" s="1"/>
  <c r="BM197" i="4" s="1"/>
  <c r="BM218" i="3"/>
  <c r="BM135" i="4" s="1"/>
  <c r="BM140" i="4" s="1"/>
  <c r="BM8" i="4"/>
  <c r="BM329" i="3"/>
  <c r="BM218" i="4" s="1"/>
  <c r="BM186" i="3"/>
  <c r="BM123" i="4" s="1"/>
  <c r="BM128" i="4" s="1"/>
  <c r="BM299" i="3"/>
  <c r="BM186" i="4" s="1"/>
  <c r="BM195" i="4" s="1"/>
  <c r="BM28" i="4"/>
  <c r="BM216" i="3"/>
  <c r="BM133" i="4" s="1"/>
  <c r="BM242" i="3"/>
  <c r="BM147" i="4" s="1"/>
  <c r="BM152" i="4" s="1"/>
  <c r="BM296" i="3"/>
  <c r="BM183" i="4" s="1"/>
  <c r="BM8" i="66"/>
  <c r="BM240" i="3"/>
  <c r="BM145" i="4" s="1"/>
  <c r="BM355" i="3"/>
  <c r="BM241" i="4" s="1"/>
  <c r="BM241" i="3"/>
  <c r="BM146" i="4" s="1"/>
  <c r="BM151" i="4" s="1"/>
  <c r="BM8" i="64"/>
  <c r="BM529" i="4"/>
  <c r="BM30" i="4"/>
  <c r="BM29" i="4"/>
  <c r="BM1107" i="4"/>
  <c r="BM1079" i="4"/>
  <c r="BM1081" i="4"/>
  <c r="BM1082" i="4" s="1"/>
  <c r="BL34" i="66"/>
  <c r="BL288" i="4"/>
  <c r="BL329" i="4" s="1"/>
  <c r="BL414" i="4" s="1"/>
  <c r="BL415" i="4" s="1"/>
  <c r="BM413" i="4" s="1"/>
  <c r="BL65" i="4"/>
  <c r="BL130" i="4"/>
  <c r="BL15" i="66"/>
  <c r="BL250" i="4"/>
  <c r="CO1061" i="4"/>
  <c r="CN1062" i="4"/>
  <c r="BM1080" i="4" l="1"/>
  <c r="BM1063" i="4"/>
  <c r="BM1066" i="4"/>
  <c r="BM1075" i="4" s="1"/>
  <c r="BM34" i="4"/>
  <c r="BM150" i="4"/>
  <c r="BM36" i="4"/>
  <c r="BM223" i="4"/>
  <c r="CI1446" i="4"/>
  <c r="CJ1315" i="4"/>
  <c r="CI1352" i="4"/>
  <c r="BM17" i="4"/>
  <c r="BM19" i="4"/>
  <c r="BM20" i="4" s="1"/>
  <c r="BM249" i="4"/>
  <c r="BI662" i="4"/>
  <c r="BM295" i="4"/>
  <c r="BM303" i="4" s="1"/>
  <c r="BM27" i="66"/>
  <c r="BM9" i="66"/>
  <c r="BM57" i="4"/>
  <c r="BM9" i="4" s="1"/>
  <c r="BM28" i="66"/>
  <c r="BM1186" i="4"/>
  <c r="BM1074" i="4"/>
  <c r="BM9" i="62"/>
  <c r="BM9" i="11"/>
  <c r="BM9" i="3"/>
  <c r="BL61" i="4"/>
  <c r="BL318" i="4" s="1"/>
  <c r="BL328" i="4" s="1"/>
  <c r="BM60" i="4"/>
  <c r="BM66" i="4"/>
  <c r="BM35" i="4"/>
  <c r="BM42" i="4" s="1"/>
  <c r="BM49" i="4" s="1"/>
  <c r="BM192" i="4"/>
  <c r="BM141" i="4"/>
  <c r="BM198" i="4"/>
  <c r="BL200" i="4"/>
  <c r="BM18" i="4"/>
  <c r="BM24" i="4" s="1"/>
  <c r="CD15" i="72"/>
  <c r="CD14" i="72"/>
  <c r="CD16" i="72"/>
  <c r="BM60" i="62"/>
  <c r="BK617" i="4"/>
  <c r="BM530" i="4"/>
  <c r="BM543" i="4"/>
  <c r="BM747" i="4"/>
  <c r="BM54" i="11"/>
  <c r="BM62" i="4"/>
  <c r="BM528" i="4" s="1"/>
  <c r="BL63" i="4"/>
  <c r="BL1312" i="4" s="1"/>
  <c r="BM70" i="4"/>
  <c r="BM54" i="62"/>
  <c r="BL154" i="4"/>
  <c r="BL641" i="4"/>
  <c r="BL640" i="4"/>
  <c r="BL659" i="4" s="1"/>
  <c r="BL645" i="4"/>
  <c r="BL644" i="4"/>
  <c r="BL46" i="4"/>
  <c r="BM33" i="4"/>
  <c r="BM138" i="4"/>
  <c r="CH6" i="72"/>
  <c r="CH8" i="72"/>
  <c r="CI7" i="72"/>
  <c r="BM275" i="4"/>
  <c r="BM288" i="4" s="1"/>
  <c r="BM1166" i="4"/>
  <c r="BM1165" i="4"/>
  <c r="BM273" i="4"/>
  <c r="BM274" i="4"/>
  <c r="BM329" i="4"/>
  <c r="BM414" i="4" s="1"/>
  <c r="BM415" i="4" s="1"/>
  <c r="BN413" i="4" s="1"/>
  <c r="BL53" i="4"/>
  <c r="BM58" i="4"/>
  <c r="BM1052" i="4"/>
  <c r="BM32" i="4"/>
  <c r="BM126" i="4"/>
  <c r="BL964" i="4"/>
  <c r="BL605" i="4"/>
  <c r="BL660" i="4"/>
  <c r="BJ662" i="4"/>
  <c r="BM67" i="4"/>
  <c r="CG8" i="67"/>
  <c r="CG6" i="67"/>
  <c r="CH7" i="67"/>
  <c r="CG15" i="72"/>
  <c r="CG14" i="72"/>
  <c r="CG16" i="72"/>
  <c r="CH1447" i="4"/>
  <c r="BM37" i="4"/>
  <c r="BM246" i="4"/>
  <c r="BM129" i="4"/>
  <c r="BM226" i="4"/>
  <c r="BL55" i="4"/>
  <c r="BK56" i="4"/>
  <c r="BL53" i="62"/>
  <c r="BK661" i="4"/>
  <c r="BL607" i="4"/>
  <c r="BL544" i="4"/>
  <c r="BL612" i="4" s="1"/>
  <c r="BM68" i="4"/>
  <c r="CF60" i="3"/>
  <c r="CF59" i="3"/>
  <c r="CF56" i="3"/>
  <c r="CF95" i="67"/>
  <c r="CF58" i="3"/>
  <c r="BN6" i="3"/>
  <c r="BN7" i="66"/>
  <c r="BN6" i="66" s="1"/>
  <c r="BN8" i="3"/>
  <c r="BN7" i="64"/>
  <c r="BN6" i="64" s="1"/>
  <c r="BN28" i="64" s="1"/>
  <c r="BN30" i="64" s="1"/>
  <c r="BN53" i="64" s="1"/>
  <c r="BN7" i="11"/>
  <c r="BN6" i="11" s="1"/>
  <c r="BN86" i="64"/>
  <c r="BN87" i="64" s="1"/>
  <c r="BO7" i="3"/>
  <c r="BN7" i="62"/>
  <c r="BN6" i="62" s="1"/>
  <c r="BN7" i="4"/>
  <c r="BN314" i="4"/>
  <c r="CO1062" i="4"/>
  <c r="I1061" i="4"/>
  <c r="BM227" i="4" l="1"/>
  <c r="BN356" i="3"/>
  <c r="BN242" i="4" s="1"/>
  <c r="BN247" i="4" s="1"/>
  <c r="BN240" i="3"/>
  <c r="BN145" i="4" s="1"/>
  <c r="BN330" i="3"/>
  <c r="BN219" i="4" s="1"/>
  <c r="BN224" i="4" s="1"/>
  <c r="BN296" i="3"/>
  <c r="BN183" i="4" s="1"/>
  <c r="BN1083" i="4"/>
  <c r="BN357" i="3"/>
  <c r="BN243" i="4" s="1"/>
  <c r="BN248" i="4" s="1"/>
  <c r="BN16" i="4"/>
  <c r="BN217" i="3"/>
  <c r="BN134" i="4" s="1"/>
  <c r="BN139" i="4" s="1"/>
  <c r="BN331" i="3"/>
  <c r="BN220" i="4" s="1"/>
  <c r="BN225" i="4" s="1"/>
  <c r="BN299" i="3"/>
  <c r="BN186" i="4" s="1"/>
  <c r="BN195" i="4" s="1"/>
  <c r="BN329" i="3"/>
  <c r="BN218" i="4" s="1"/>
  <c r="BN28" i="4"/>
  <c r="BN355" i="3"/>
  <c r="BN241" i="4" s="1"/>
  <c r="BN184" i="3"/>
  <c r="BN121" i="4" s="1"/>
  <c r="BN8" i="11"/>
  <c r="BN241" i="3"/>
  <c r="BN146" i="4" s="1"/>
  <c r="BN151" i="4" s="1"/>
  <c r="BN300" i="3"/>
  <c r="BN187" i="4" s="1"/>
  <c r="BN196" i="4" s="1"/>
  <c r="BN8" i="64"/>
  <c r="BN301" i="3"/>
  <c r="BN188" i="4" s="1"/>
  <c r="BN197" i="4" s="1"/>
  <c r="BN218" i="3"/>
  <c r="BN135" i="4" s="1"/>
  <c r="BN140" i="4" s="1"/>
  <c r="BN216" i="3"/>
  <c r="BN133" i="4" s="1"/>
  <c r="BN8" i="66"/>
  <c r="BN242" i="3"/>
  <c r="BN147" i="4" s="1"/>
  <c r="BN152" i="4" s="1"/>
  <c r="BN185" i="3"/>
  <c r="BN122" i="4" s="1"/>
  <c r="BN127" i="4" s="1"/>
  <c r="BN1106" i="4"/>
  <c r="BN186" i="3"/>
  <c r="BN123" i="4" s="1"/>
  <c r="BN128" i="4" s="1"/>
  <c r="BN8" i="4"/>
  <c r="BN8" i="62"/>
  <c r="BN297" i="3"/>
  <c r="BN184" i="4" s="1"/>
  <c r="BN193" i="4" s="1"/>
  <c r="BN298" i="3"/>
  <c r="BN185" i="4" s="1"/>
  <c r="BN194" i="4" s="1"/>
  <c r="BN30" i="4"/>
  <c r="BN529" i="4"/>
  <c r="BN29" i="4"/>
  <c r="BN1081" i="4"/>
  <c r="BN1082" i="4" s="1"/>
  <c r="BN1107" i="4"/>
  <c r="BN1079" i="4"/>
  <c r="BK662" i="4"/>
  <c r="CH14" i="72"/>
  <c r="CH16" i="72"/>
  <c r="CH15" i="72"/>
  <c r="BM40" i="4"/>
  <c r="BM47" i="4" s="1"/>
  <c r="BN1166" i="4"/>
  <c r="BN274" i="4"/>
  <c r="BN273" i="4"/>
  <c r="BN34" i="66" s="1"/>
  <c r="BN1165" i="4"/>
  <c r="BN15" i="66" s="1"/>
  <c r="BN275" i="4"/>
  <c r="BN288" i="4" s="1"/>
  <c r="BN329" i="4"/>
  <c r="BM335" i="4"/>
  <c r="BM959" i="4" s="1"/>
  <c r="BM287" i="4"/>
  <c r="BM324" i="4" s="1"/>
  <c r="BN21" i="4"/>
  <c r="BM22" i="4"/>
  <c r="BM43" i="4"/>
  <c r="BM50" i="4" s="1"/>
  <c r="BM636" i="4" s="1"/>
  <c r="BN15" i="4"/>
  <c r="BN6" i="4"/>
  <c r="BM250" i="4"/>
  <c r="BM130" i="4"/>
  <c r="BM34" i="66"/>
  <c r="BM540" i="4"/>
  <c r="BM542" i="4" s="1"/>
  <c r="BM153" i="4"/>
  <c r="BM44" i="4"/>
  <c r="BM51" i="4" s="1"/>
  <c r="BM39" i="4"/>
  <c r="BM46" i="4" s="1"/>
  <c r="BM15" i="66"/>
  <c r="BM199" i="4"/>
  <c r="BM41" i="4"/>
  <c r="BM48" i="4" s="1"/>
  <c r="BO8" i="3"/>
  <c r="BO7" i="66"/>
  <c r="BO6" i="66" s="1"/>
  <c r="BO7" i="11"/>
  <c r="BO6" i="11" s="1"/>
  <c r="BO7" i="4"/>
  <c r="BO6" i="3"/>
  <c r="BO7" i="64"/>
  <c r="BO6" i="64" s="1"/>
  <c r="BO28" i="64" s="1"/>
  <c r="BO30" i="64" s="1"/>
  <c r="BO53" i="64" s="1"/>
  <c r="BO7" i="62"/>
  <c r="BO6" i="62" s="1"/>
  <c r="BO86" i="64"/>
  <c r="BO87" i="64" s="1"/>
  <c r="CH8" i="67"/>
  <c r="CH6" i="67"/>
  <c r="CI7" i="67"/>
  <c r="BL661" i="4"/>
  <c r="CK1315" i="4"/>
  <c r="CJ1446" i="4"/>
  <c r="CJ1352" i="4"/>
  <c r="BN1332" i="4"/>
  <c r="BL617" i="4"/>
  <c r="CG95" i="67"/>
  <c r="CG60" i="3"/>
  <c r="CG59" i="3"/>
  <c r="CG58" i="3"/>
  <c r="CG56" i="3"/>
  <c r="BN66" i="4"/>
  <c r="BN1370" i="4"/>
  <c r="CI1447" i="4"/>
  <c r="CI8" i="72"/>
  <c r="CI6" i="72"/>
  <c r="CJ7" i="72"/>
  <c r="BN68" i="4"/>
  <c r="BM965" i="4"/>
  <c r="BN67" i="4"/>
  <c r="BM610" i="3"/>
  <c r="BM142" i="4"/>
  <c r="BM9" i="64"/>
  <c r="BM54" i="4"/>
  <c r="I1062" i="4"/>
  <c r="BO1370" i="4" l="1"/>
  <c r="BM200" i="4"/>
  <c r="BN54" i="11"/>
  <c r="BN747" i="4"/>
  <c r="BN543" i="4"/>
  <c r="BN62" i="4"/>
  <c r="BN528" i="4" s="1"/>
  <c r="BN530" i="4"/>
  <c r="BN70" i="4"/>
  <c r="BM63" i="4"/>
  <c r="BM1312" i="4" s="1"/>
  <c r="BO1332" i="4"/>
  <c r="BP7" i="3"/>
  <c r="BM154" i="4"/>
  <c r="BN198" i="4"/>
  <c r="BN32" i="4"/>
  <c r="BN126" i="4"/>
  <c r="BN249" i="4"/>
  <c r="BL662" i="4"/>
  <c r="BO299" i="3"/>
  <c r="BO186" i="4" s="1"/>
  <c r="BO195" i="4" s="1"/>
  <c r="BO241" i="3"/>
  <c r="BO146" i="4" s="1"/>
  <c r="BO151" i="4" s="1"/>
  <c r="BO356" i="3"/>
  <c r="BO242" i="4" s="1"/>
  <c r="BO247" i="4" s="1"/>
  <c r="BO8" i="64"/>
  <c r="BO16" i="4"/>
  <c r="BO218" i="3"/>
  <c r="BO135" i="4" s="1"/>
  <c r="BO140" i="4" s="1"/>
  <c r="BO242" i="3"/>
  <c r="BO147" i="4" s="1"/>
  <c r="BO152" i="4" s="1"/>
  <c r="BO300" i="3"/>
  <c r="BO187" i="4" s="1"/>
  <c r="BO196" i="4" s="1"/>
  <c r="BO8" i="11"/>
  <c r="BO185" i="3"/>
  <c r="BO122" i="4" s="1"/>
  <c r="BO127" i="4" s="1"/>
  <c r="BO8" i="4"/>
  <c r="BO329" i="3"/>
  <c r="BO218" i="4" s="1"/>
  <c r="BO296" i="3"/>
  <c r="BO183" i="4" s="1"/>
  <c r="BO186" i="3"/>
  <c r="BO123" i="4" s="1"/>
  <c r="BO128" i="4" s="1"/>
  <c r="BO8" i="62"/>
  <c r="BO298" i="3"/>
  <c r="BO185" i="4" s="1"/>
  <c r="BO194" i="4" s="1"/>
  <c r="BO355" i="3"/>
  <c r="BO241" i="4" s="1"/>
  <c r="BO357" i="3"/>
  <c r="BO243" i="4" s="1"/>
  <c r="BO248" i="4" s="1"/>
  <c r="BO28" i="4"/>
  <c r="BO301" i="3"/>
  <c r="BO188" i="4" s="1"/>
  <c r="BO197" i="4" s="1"/>
  <c r="BO240" i="3"/>
  <c r="BO145" i="4" s="1"/>
  <c r="BO331" i="3"/>
  <c r="BO220" i="4" s="1"/>
  <c r="BO225" i="4" s="1"/>
  <c r="BO1106" i="4"/>
  <c r="BO217" i="3"/>
  <c r="BO134" i="4" s="1"/>
  <c r="BO139" i="4" s="1"/>
  <c r="BO184" i="3"/>
  <c r="BO121" i="4" s="1"/>
  <c r="BO297" i="3"/>
  <c r="BO184" i="4" s="1"/>
  <c r="BO193" i="4" s="1"/>
  <c r="BO216" i="3"/>
  <c r="BO133" i="4" s="1"/>
  <c r="BO330" i="3"/>
  <c r="BO219" i="4" s="1"/>
  <c r="BO224" i="4" s="1"/>
  <c r="BO1083" i="4"/>
  <c r="BO8" i="66"/>
  <c r="BO29" i="4"/>
  <c r="BO30" i="4"/>
  <c r="BO70" i="4" s="1"/>
  <c r="BO1079" i="4"/>
  <c r="BO1107" i="4"/>
  <c r="BO1081" i="4"/>
  <c r="BO1082" i="4" s="1"/>
  <c r="BN33" i="4"/>
  <c r="BN138" i="4"/>
  <c r="BN37" i="4"/>
  <c r="BN246" i="4"/>
  <c r="BM964" i="4"/>
  <c r="BM605" i="4"/>
  <c r="CI16" i="72"/>
  <c r="CI14" i="72"/>
  <c r="CI15" i="72"/>
  <c r="BN414" i="4"/>
  <c r="BN415" i="4" s="1"/>
  <c r="BO413" i="4" s="1"/>
  <c r="BN1080" i="4"/>
  <c r="BN1063" i="4"/>
  <c r="BN1066" i="4"/>
  <c r="BN1075" i="4" s="1"/>
  <c r="BN54" i="62"/>
  <c r="BN141" i="4"/>
  <c r="BM53" i="4"/>
  <c r="BN58" i="4"/>
  <c r="BN1052" i="4"/>
  <c r="BN35" i="4"/>
  <c r="BN192" i="4"/>
  <c r="CJ8" i="72"/>
  <c r="CJ6" i="72"/>
  <c r="CK7" i="72"/>
  <c r="BL56" i="4"/>
  <c r="BM53" i="62"/>
  <c r="BM65" i="4"/>
  <c r="BM55" i="4"/>
  <c r="BN610" i="3"/>
  <c r="BO68" i="4"/>
  <c r="BO67" i="4"/>
  <c r="BN965" i="4"/>
  <c r="CJ1447" i="4"/>
  <c r="CI8" i="67"/>
  <c r="CI6" i="67"/>
  <c r="CJ7" i="67"/>
  <c r="BO314" i="4"/>
  <c r="BM607" i="4"/>
  <c r="BM544" i="4"/>
  <c r="BM612" i="4" s="1"/>
  <c r="BN17" i="4"/>
  <c r="BN19" i="4"/>
  <c r="BN20" i="4" s="1"/>
  <c r="BN36" i="4"/>
  <c r="BN223" i="4"/>
  <c r="CH56" i="3"/>
  <c r="CH95" i="67"/>
  <c r="CH60" i="3"/>
  <c r="CH59" i="3"/>
  <c r="CH58" i="3"/>
  <c r="BN129" i="4"/>
  <c r="BN34" i="4"/>
  <c r="BN150" i="4"/>
  <c r="CL1315" i="4"/>
  <c r="CK1446" i="4"/>
  <c r="CK1352" i="4"/>
  <c r="BO15" i="4"/>
  <c r="BO6" i="4"/>
  <c r="BN18" i="4"/>
  <c r="CC14" i="72"/>
  <c r="CB14" i="72"/>
  <c r="CB15" i="72"/>
  <c r="CC16" i="72"/>
  <c r="BN57" i="4"/>
  <c r="BN9" i="4" s="1"/>
  <c r="BN1186" i="4"/>
  <c r="BN295" i="4"/>
  <c r="BN303" i="4" s="1"/>
  <c r="BN27" i="66"/>
  <c r="BO60" i="4"/>
  <c r="BN9" i="62"/>
  <c r="BN1074" i="4"/>
  <c r="BN61" i="4"/>
  <c r="BN318" i="4" s="1"/>
  <c r="BN28" i="66"/>
  <c r="BN9" i="64"/>
  <c r="BN9" i="11"/>
  <c r="BN60" i="4"/>
  <c r="BM61" i="4"/>
  <c r="BM318" i="4" s="1"/>
  <c r="BM328" i="4" s="1"/>
  <c r="BN226" i="4"/>
  <c r="BO66" i="4"/>
  <c r="BM655" i="4"/>
  <c r="BM654" i="4"/>
  <c r="BM637" i="4"/>
  <c r="BN335" i="4"/>
  <c r="BN959" i="4" s="1"/>
  <c r="BN287" i="4"/>
  <c r="BN324" i="4" s="1"/>
  <c r="BN24" i="4" l="1"/>
  <c r="BM641" i="4"/>
  <c r="BM640" i="4"/>
  <c r="BM659" i="4" s="1"/>
  <c r="BM644" i="4"/>
  <c r="BM645" i="4"/>
  <c r="BN9" i="3"/>
  <c r="BN54" i="4"/>
  <c r="BN65" i="4" s="1"/>
  <c r="BN60" i="62"/>
  <c r="BN41" i="4"/>
  <c r="BN48" i="4" s="1"/>
  <c r="CJ6" i="67"/>
  <c r="CJ8" i="67"/>
  <c r="CK7" i="67"/>
  <c r="BN199" i="4"/>
  <c r="BN250" i="4"/>
  <c r="BO529" i="4"/>
  <c r="BO54" i="62"/>
  <c r="BN63" i="4"/>
  <c r="BN1312" i="4" s="1"/>
  <c r="BN43" i="4"/>
  <c r="BN50" i="4" s="1"/>
  <c r="BN636" i="4" s="1"/>
  <c r="CI56" i="3"/>
  <c r="CI60" i="3"/>
  <c r="CI59" i="3"/>
  <c r="CI58" i="3"/>
  <c r="CI95" i="67"/>
  <c r="BN42" i="4"/>
  <c r="BN49" i="4" s="1"/>
  <c r="BN44" i="4"/>
  <c r="BN51" i="4" s="1"/>
  <c r="BO226" i="4"/>
  <c r="BO129" i="4"/>
  <c r="BO141" i="4"/>
  <c r="BM660" i="4"/>
  <c r="BN142" i="4"/>
  <c r="BO34" i="4"/>
  <c r="BO150" i="4"/>
  <c r="BO35" i="4"/>
  <c r="BO192" i="4"/>
  <c r="BN328" i="4"/>
  <c r="BO21" i="4"/>
  <c r="BN22" i="4"/>
  <c r="BN40" i="4"/>
  <c r="BN47" i="4" s="1"/>
  <c r="BO36" i="4"/>
  <c r="BO43" i="4" s="1"/>
  <c r="BO223" i="4"/>
  <c r="BN130" i="4"/>
  <c r="BP7" i="66"/>
  <c r="BP6" i="66" s="1"/>
  <c r="BP6" i="3"/>
  <c r="BP7" i="4"/>
  <c r="BP7" i="11"/>
  <c r="BP6" i="11" s="1"/>
  <c r="BP7" i="62"/>
  <c r="BP6" i="62" s="1"/>
  <c r="BP86" i="64"/>
  <c r="BP87" i="64" s="1"/>
  <c r="BP8" i="3"/>
  <c r="BQ7" i="3" s="1"/>
  <c r="BP7" i="64"/>
  <c r="BP6" i="64" s="1"/>
  <c r="BP28" i="64" s="1"/>
  <c r="BP30" i="64" s="1"/>
  <c r="BP53" i="64" s="1"/>
  <c r="BN540" i="4"/>
  <c r="BN542" i="4" s="1"/>
  <c r="BO33" i="4"/>
  <c r="BO40" i="4" s="1"/>
  <c r="BO47" i="4" s="1"/>
  <c r="BO138" i="4"/>
  <c r="BN53" i="4"/>
  <c r="BO58" i="4"/>
  <c r="BO1052" i="4"/>
  <c r="BO17" i="4"/>
  <c r="BO19" i="4"/>
  <c r="BO20" i="4" s="1"/>
  <c r="BN39" i="4"/>
  <c r="BN46" i="4" s="1"/>
  <c r="BN9" i="66"/>
  <c r="BO18" i="4"/>
  <c r="BO24" i="4" s="1"/>
  <c r="CK1447" i="4"/>
  <c r="BM617" i="4"/>
  <c r="BO610" i="3"/>
  <c r="BO965" i="4"/>
  <c r="CK6" i="72"/>
  <c r="CK8" i="72"/>
  <c r="CL7" i="72"/>
  <c r="BO1080" i="4"/>
  <c r="BO1063" i="4"/>
  <c r="BO1066" i="4"/>
  <c r="BO249" i="4"/>
  <c r="CL1352" i="4"/>
  <c r="CL1446" i="4"/>
  <c r="CM1315" i="4"/>
  <c r="CJ16" i="72"/>
  <c r="CJ14" i="72"/>
  <c r="CJ15" i="72"/>
  <c r="BO62" i="4"/>
  <c r="BO528" i="4" s="1"/>
  <c r="BO747" i="4"/>
  <c r="BO54" i="11"/>
  <c r="BO530" i="4"/>
  <c r="BO543" i="4"/>
  <c r="BO32" i="4"/>
  <c r="BO39" i="4" s="1"/>
  <c r="BO46" i="4" s="1"/>
  <c r="BO126" i="4"/>
  <c r="BO37" i="4"/>
  <c r="BO44" i="4" s="1"/>
  <c r="BO246" i="4"/>
  <c r="BN153" i="4"/>
  <c r="BN227" i="4"/>
  <c r="BO274" i="4"/>
  <c r="BO275" i="4"/>
  <c r="BO288" i="4" s="1"/>
  <c r="BO329" i="4" s="1"/>
  <c r="BO1165" i="4"/>
  <c r="BO15" i="66" s="1"/>
  <c r="BO1166" i="4"/>
  <c r="BO273" i="4"/>
  <c r="BN605" i="4"/>
  <c r="BN964" i="4"/>
  <c r="BO57" i="4"/>
  <c r="BO9" i="4" s="1"/>
  <c r="BO27" i="66"/>
  <c r="BO28" i="66"/>
  <c r="BO1186" i="4"/>
  <c r="BO1074" i="4"/>
  <c r="BO295" i="4"/>
  <c r="BO303" i="4" s="1"/>
  <c r="BO9" i="62"/>
  <c r="BO9" i="66"/>
  <c r="BO9" i="64"/>
  <c r="BO198" i="4"/>
  <c r="BO540" i="4" l="1"/>
  <c r="BO9" i="11"/>
  <c r="BO51" i="4"/>
  <c r="BO50" i="4"/>
  <c r="BO636" i="4" s="1"/>
  <c r="BO655" i="4" s="1"/>
  <c r="BO542" i="4"/>
  <c r="BO607" i="4" s="1"/>
  <c r="BO654" i="4"/>
  <c r="BO637" i="4"/>
  <c r="BO22" i="4"/>
  <c r="BP21" i="4"/>
  <c r="BO414" i="4"/>
  <c r="BO415" i="4" s="1"/>
  <c r="BP413" i="4" s="1"/>
  <c r="CL6" i="72"/>
  <c r="CL8" i="72"/>
  <c r="CM7" i="72"/>
  <c r="BP314" i="4"/>
  <c r="BM661" i="4"/>
  <c r="BO335" i="4"/>
  <c r="BO959" i="4" s="1"/>
  <c r="BO287" i="4"/>
  <c r="BO324" i="4" s="1"/>
  <c r="BO142" i="4"/>
  <c r="BP28" i="4"/>
  <c r="BP8" i="4"/>
  <c r="BP184" i="3"/>
  <c r="BP121" i="4" s="1"/>
  <c r="BP329" i="3"/>
  <c r="BP218" i="4" s="1"/>
  <c r="BP299" i="3"/>
  <c r="BP186" i="4" s="1"/>
  <c r="BP195" i="4" s="1"/>
  <c r="BP242" i="3"/>
  <c r="BP147" i="4" s="1"/>
  <c r="BP152" i="4" s="1"/>
  <c r="BP8" i="62"/>
  <c r="BP330" i="3"/>
  <c r="BP219" i="4" s="1"/>
  <c r="BP224" i="4" s="1"/>
  <c r="BP300" i="3"/>
  <c r="BP187" i="4" s="1"/>
  <c r="BP196" i="4" s="1"/>
  <c r="BP298" i="3"/>
  <c r="BP185" i="4" s="1"/>
  <c r="BP194" i="4" s="1"/>
  <c r="BP301" i="3"/>
  <c r="BP188" i="4" s="1"/>
  <c r="BP197" i="4" s="1"/>
  <c r="BP357" i="3"/>
  <c r="BP243" i="4" s="1"/>
  <c r="BP248" i="4" s="1"/>
  <c r="BP296" i="3"/>
  <c r="BP183" i="4" s="1"/>
  <c r="BP241" i="3"/>
  <c r="BP146" i="4" s="1"/>
  <c r="BP1106" i="4"/>
  <c r="BP218" i="3"/>
  <c r="BP135" i="4" s="1"/>
  <c r="BP140" i="4" s="1"/>
  <c r="BP217" i="3"/>
  <c r="BP134" i="4" s="1"/>
  <c r="BP139" i="4" s="1"/>
  <c r="BP8" i="66"/>
  <c r="BP8" i="64"/>
  <c r="BP1083" i="4"/>
  <c r="BP355" i="3"/>
  <c r="BP241" i="4" s="1"/>
  <c r="BP356" i="3"/>
  <c r="BP242" i="4" s="1"/>
  <c r="BP247" i="4" s="1"/>
  <c r="BP331" i="3"/>
  <c r="BP220" i="4" s="1"/>
  <c r="BP225" i="4" s="1"/>
  <c r="BP186" i="3"/>
  <c r="BP123" i="4" s="1"/>
  <c r="BP128" i="4" s="1"/>
  <c r="BP8" i="11"/>
  <c r="BP216" i="3"/>
  <c r="BP133" i="4" s="1"/>
  <c r="BP297" i="3"/>
  <c r="BP184" i="4" s="1"/>
  <c r="BP193" i="4" s="1"/>
  <c r="BP240" i="3"/>
  <c r="BP145" i="4" s="1"/>
  <c r="BP150" i="4" s="1"/>
  <c r="BP185" i="3"/>
  <c r="BP122" i="4" s="1"/>
  <c r="BP127" i="4" s="1"/>
  <c r="BP16" i="4"/>
  <c r="BP29" i="4"/>
  <c r="BP30" i="4"/>
  <c r="BP1107" i="4"/>
  <c r="BP1079" i="4"/>
  <c r="BP1081" i="4"/>
  <c r="BP1082" i="4" s="1"/>
  <c r="BP1370" i="4"/>
  <c r="BO199" i="4"/>
  <c r="BO250" i="4"/>
  <c r="CK15" i="72"/>
  <c r="CK16" i="72"/>
  <c r="CK14" i="72"/>
  <c r="BQ7" i="64"/>
  <c r="BQ6" i="64" s="1"/>
  <c r="BQ28" i="64" s="1"/>
  <c r="BQ30" i="64" s="1"/>
  <c r="BQ53" i="64" s="1"/>
  <c r="BQ7" i="66"/>
  <c r="BQ6" i="66" s="1"/>
  <c r="BQ7" i="62"/>
  <c r="BQ6" i="62" s="1"/>
  <c r="BQ7" i="11"/>
  <c r="BQ6" i="11" s="1"/>
  <c r="BQ86" i="64"/>
  <c r="BQ87" i="64" s="1"/>
  <c r="BQ6" i="3"/>
  <c r="BQ7" i="4"/>
  <c r="BQ8" i="3"/>
  <c r="BN654" i="4"/>
  <c r="BN655" i="4"/>
  <c r="BN637" i="4"/>
  <c r="BO153" i="4"/>
  <c r="BN200" i="4"/>
  <c r="BO130" i="4"/>
  <c r="CN1315" i="4"/>
  <c r="CM1446" i="4"/>
  <c r="CM1352" i="4"/>
  <c r="BN544" i="4"/>
  <c r="BN612" i="4" s="1"/>
  <c r="BN607" i="4"/>
  <c r="BO42" i="4"/>
  <c r="BO49" i="4" s="1"/>
  <c r="CK8" i="67"/>
  <c r="CK6" i="67"/>
  <c r="CL7" i="67"/>
  <c r="BO34" i="66"/>
  <c r="CL1447" i="4"/>
  <c r="BO1075" i="4"/>
  <c r="BO41" i="4"/>
  <c r="BO48" i="4" s="1"/>
  <c r="BO9" i="3"/>
  <c r="BO54" i="4"/>
  <c r="BO55" i="4" s="1"/>
  <c r="BO964" i="4"/>
  <c r="BO605" i="4"/>
  <c r="BP15" i="4"/>
  <c r="BP6" i="4"/>
  <c r="BO65" i="4"/>
  <c r="CJ95" i="67"/>
  <c r="CJ56" i="3"/>
  <c r="CJ59" i="3"/>
  <c r="CJ58" i="3"/>
  <c r="CJ60" i="3"/>
  <c r="BO60" i="62"/>
  <c r="BN154" i="4"/>
  <c r="BP1332" i="4"/>
  <c r="BQ1332" i="4" s="1"/>
  <c r="BO227" i="4"/>
  <c r="BM56" i="4"/>
  <c r="BN53" i="62"/>
  <c r="BN55" i="4"/>
  <c r="BO544" i="4" l="1"/>
  <c r="BO612" i="4" s="1"/>
  <c r="BR7" i="3"/>
  <c r="BP249" i="4"/>
  <c r="BP36" i="4"/>
  <c r="BP223" i="4"/>
  <c r="BN644" i="4"/>
  <c r="BN645" i="4"/>
  <c r="BN660" i="4" s="1"/>
  <c r="BN641" i="4"/>
  <c r="BN659" i="4" s="1"/>
  <c r="BN640" i="4"/>
  <c r="BQ16" i="4"/>
  <c r="BQ330" i="3"/>
  <c r="BQ219" i="4" s="1"/>
  <c r="BQ224" i="4" s="1"/>
  <c r="BQ8" i="11"/>
  <c r="BQ1083" i="4"/>
  <c r="BQ8" i="66"/>
  <c r="BQ242" i="3"/>
  <c r="BQ147" i="4" s="1"/>
  <c r="BQ152" i="4" s="1"/>
  <c r="BQ329" i="3"/>
  <c r="BQ218" i="4" s="1"/>
  <c r="BQ28" i="4"/>
  <c r="BQ1106" i="4"/>
  <c r="BQ299" i="3"/>
  <c r="BQ186" i="4" s="1"/>
  <c r="BQ195" i="4" s="1"/>
  <c r="BQ296" i="3"/>
  <c r="BQ183" i="4" s="1"/>
  <c r="BQ218" i="3"/>
  <c r="BQ135" i="4" s="1"/>
  <c r="BQ140" i="4" s="1"/>
  <c r="BQ8" i="4"/>
  <c r="BQ331" i="3"/>
  <c r="BQ220" i="4" s="1"/>
  <c r="BQ225" i="4" s="1"/>
  <c r="BQ357" i="3"/>
  <c r="BQ243" i="4" s="1"/>
  <c r="BQ248" i="4" s="1"/>
  <c r="BQ8" i="62"/>
  <c r="BQ298" i="3"/>
  <c r="BQ185" i="4" s="1"/>
  <c r="BQ194" i="4" s="1"/>
  <c r="BQ185" i="3"/>
  <c r="BQ122" i="4" s="1"/>
  <c r="BQ127" i="4" s="1"/>
  <c r="BQ8" i="64"/>
  <c r="BQ240" i="3"/>
  <c r="BQ145" i="4" s="1"/>
  <c r="BQ356" i="3"/>
  <c r="BQ242" i="4" s="1"/>
  <c r="BQ247" i="4" s="1"/>
  <c r="BQ241" i="3"/>
  <c r="BQ146" i="4" s="1"/>
  <c r="BQ151" i="4" s="1"/>
  <c r="BQ355" i="3"/>
  <c r="BQ241" i="4" s="1"/>
  <c r="BQ216" i="3"/>
  <c r="BQ133" i="4" s="1"/>
  <c r="BQ301" i="3"/>
  <c r="BQ188" i="4" s="1"/>
  <c r="BQ197" i="4" s="1"/>
  <c r="BQ217" i="3"/>
  <c r="BQ134" i="4" s="1"/>
  <c r="BQ139" i="4" s="1"/>
  <c r="BQ297" i="3"/>
  <c r="BQ184" i="4" s="1"/>
  <c r="BQ193" i="4" s="1"/>
  <c r="BQ186" i="3"/>
  <c r="BQ123" i="4" s="1"/>
  <c r="BQ128" i="4" s="1"/>
  <c r="BQ300" i="3"/>
  <c r="BQ187" i="4" s="1"/>
  <c r="BQ196" i="4" s="1"/>
  <c r="BQ184" i="3"/>
  <c r="BQ121" i="4" s="1"/>
  <c r="BQ529" i="4"/>
  <c r="BQ30" i="4"/>
  <c r="BQ29" i="4"/>
  <c r="BQ1079" i="4"/>
  <c r="BQ1081" i="4"/>
  <c r="BQ1082" i="4" s="1"/>
  <c r="BQ1107" i="4"/>
  <c r="BP1080" i="4"/>
  <c r="BP1063" i="4"/>
  <c r="BP1066" i="4"/>
  <c r="BP32" i="4"/>
  <c r="BP126" i="4"/>
  <c r="BQ15" i="4"/>
  <c r="BQ6" i="4"/>
  <c r="BO617" i="4"/>
  <c r="BO200" i="4"/>
  <c r="BP33" i="4"/>
  <c r="BP138" i="4"/>
  <c r="BP198" i="4"/>
  <c r="BP17" i="4"/>
  <c r="BP19" i="4"/>
  <c r="BP20" i="4" s="1"/>
  <c r="CM8" i="72"/>
  <c r="CM6" i="72"/>
  <c r="CN7" i="72"/>
  <c r="CM1447" i="4"/>
  <c r="BO63" i="4"/>
  <c r="BO1312" i="4" s="1"/>
  <c r="BP63" i="4"/>
  <c r="BP1312" i="4" s="1"/>
  <c r="BP530" i="4"/>
  <c r="BP540" i="4" s="1"/>
  <c r="BP62" i="4"/>
  <c r="BP528" i="4" s="1"/>
  <c r="BP54" i="11"/>
  <c r="BP747" i="4"/>
  <c r="BP543" i="4"/>
  <c r="BQ70" i="4"/>
  <c r="BP67" i="4"/>
  <c r="BP68" i="4"/>
  <c r="BP70" i="4"/>
  <c r="BP1052" i="4"/>
  <c r="BP58" i="4"/>
  <c r="BO53" i="4"/>
  <c r="BN56" i="4"/>
  <c r="BO53" i="62"/>
  <c r="CL8" i="67"/>
  <c r="CL6" i="67"/>
  <c r="CM7" i="67"/>
  <c r="CO1315" i="4"/>
  <c r="CN1446" i="4"/>
  <c r="CN1352" i="4"/>
  <c r="BQ1370" i="4"/>
  <c r="BP295" i="4"/>
  <c r="BP303" i="4" s="1"/>
  <c r="BP1186" i="4"/>
  <c r="BP28" i="66"/>
  <c r="BP27" i="66"/>
  <c r="BP57" i="4"/>
  <c r="BP54" i="4" s="1"/>
  <c r="BP55" i="4" s="1"/>
  <c r="BP61" i="4"/>
  <c r="BP318" i="4" s="1"/>
  <c r="BP1074" i="4"/>
  <c r="BQ60" i="4"/>
  <c r="BP9" i="11"/>
  <c r="BP66" i="4"/>
  <c r="BQ66" i="4" s="1"/>
  <c r="BP60" i="4"/>
  <c r="BO61" i="4"/>
  <c r="BO318" i="4" s="1"/>
  <c r="BO328" i="4" s="1"/>
  <c r="BP129" i="4"/>
  <c r="BP141" i="4"/>
  <c r="BM662" i="4"/>
  <c r="CL16" i="72"/>
  <c r="CL15" i="72"/>
  <c r="CL14" i="72"/>
  <c r="CK56" i="3"/>
  <c r="CK60" i="3"/>
  <c r="CK58" i="3"/>
  <c r="CK95" i="67"/>
  <c r="CK59" i="3"/>
  <c r="BO154" i="4"/>
  <c r="BQ314" i="4"/>
  <c r="BP529" i="4"/>
  <c r="BP226" i="4"/>
  <c r="BP54" i="62"/>
  <c r="BO644" i="4"/>
  <c r="BO660" i="4" s="1"/>
  <c r="BO645" i="4"/>
  <c r="BO640" i="4"/>
  <c r="BO659" i="4" s="1"/>
  <c r="BO641" i="4"/>
  <c r="BP18" i="4"/>
  <c r="BN617" i="4"/>
  <c r="BP34" i="4"/>
  <c r="BP41" i="4" s="1"/>
  <c r="BP48" i="4" s="1"/>
  <c r="BP151" i="4"/>
  <c r="BP153" i="4" s="1"/>
  <c r="BP37" i="4"/>
  <c r="BP246" i="4"/>
  <c r="BP35" i="4"/>
  <c r="BP192" i="4"/>
  <c r="BP274" i="4"/>
  <c r="BP275" i="4"/>
  <c r="BP288" i="4" s="1"/>
  <c r="BP1166" i="4"/>
  <c r="BP273" i="4"/>
  <c r="BP34" i="66" s="1"/>
  <c r="BP1165" i="4"/>
  <c r="BP329" i="4"/>
  <c r="BP227" i="4" l="1"/>
  <c r="BP9" i="62"/>
  <c r="BP9" i="3"/>
  <c r="BP9" i="66"/>
  <c r="BP53" i="62"/>
  <c r="BP9" i="64"/>
  <c r="BP60" i="62"/>
  <c r="BP9" i="4"/>
  <c r="BP154" i="4"/>
  <c r="BP15" i="66"/>
  <c r="BP42" i="4"/>
  <c r="BP49" i="4" s="1"/>
  <c r="BQ1165" i="4"/>
  <c r="BQ273" i="4"/>
  <c r="BQ1166" i="4"/>
  <c r="BQ15" i="66" s="1"/>
  <c r="BQ275" i="4"/>
  <c r="BQ288" i="4" s="1"/>
  <c r="BQ329" i="4" s="1"/>
  <c r="BQ274" i="4"/>
  <c r="BP328" i="4"/>
  <c r="BP24" i="4"/>
  <c r="BQ530" i="4"/>
  <c r="BQ54" i="11"/>
  <c r="BQ62" i="4"/>
  <c r="BQ528" i="4" s="1"/>
  <c r="BQ747" i="4"/>
  <c r="BQ543" i="4"/>
  <c r="BQ33" i="4"/>
  <c r="BQ138" i="4"/>
  <c r="BQ54" i="62"/>
  <c r="BP53" i="4"/>
  <c r="BQ58" i="4"/>
  <c r="BQ1052" i="4"/>
  <c r="BP250" i="4"/>
  <c r="BO661" i="4"/>
  <c r="BQ37" i="4"/>
  <c r="BQ246" i="4"/>
  <c r="BQ249" i="4"/>
  <c r="BQ36" i="4"/>
  <c r="BQ223" i="4"/>
  <c r="BP44" i="4"/>
  <c r="BP51" i="4" s="1"/>
  <c r="BP1075" i="4"/>
  <c r="BQ32" i="4"/>
  <c r="BQ126" i="4"/>
  <c r="BQ226" i="4"/>
  <c r="BO56" i="4"/>
  <c r="CN1447" i="4"/>
  <c r="BP142" i="4"/>
  <c r="BQ18" i="4"/>
  <c r="BQ19" i="4"/>
  <c r="BQ20" i="4" s="1"/>
  <c r="BQ17" i="4"/>
  <c r="BR86" i="64"/>
  <c r="BR87" i="64" s="1"/>
  <c r="BR7" i="11"/>
  <c r="BR6" i="11" s="1"/>
  <c r="BR6" i="3"/>
  <c r="BR7" i="64"/>
  <c r="BR6" i="64" s="1"/>
  <c r="BR28" i="64" s="1"/>
  <c r="BR30" i="64" s="1"/>
  <c r="BR53" i="64" s="1"/>
  <c r="BR7" i="66"/>
  <c r="BR6" i="66" s="1"/>
  <c r="BR8" i="3"/>
  <c r="BS7" i="3" s="1"/>
  <c r="BR7" i="62"/>
  <c r="BR6" i="62" s="1"/>
  <c r="BR7" i="4"/>
  <c r="BP335" i="4"/>
  <c r="BP959" i="4" s="1"/>
  <c r="BP287" i="4"/>
  <c r="BP324" i="4" s="1"/>
  <c r="CO1446" i="4"/>
  <c r="CO1352" i="4"/>
  <c r="BP610" i="3"/>
  <c r="BP965" i="4"/>
  <c r="BQ67" i="4"/>
  <c r="BQ68" i="4"/>
  <c r="BP542" i="4"/>
  <c r="CN8" i="72"/>
  <c r="CN6" i="72"/>
  <c r="CO7" i="72"/>
  <c r="BQ40" i="4"/>
  <c r="BP40" i="4"/>
  <c r="BP47" i="4" s="1"/>
  <c r="BQ129" i="4"/>
  <c r="BQ34" i="4"/>
  <c r="BQ150" i="4"/>
  <c r="BQ141" i="4"/>
  <c r="BP65" i="4"/>
  <c r="CM8" i="67"/>
  <c r="CM6" i="67"/>
  <c r="CN7" i="67"/>
  <c r="CM14" i="72"/>
  <c r="CM16" i="72"/>
  <c r="CM15" i="72"/>
  <c r="BQ192" i="4"/>
  <c r="BQ35" i="4"/>
  <c r="CL56" i="3"/>
  <c r="CL59" i="3"/>
  <c r="CL95" i="67"/>
  <c r="CL60" i="3"/>
  <c r="CL58" i="3"/>
  <c r="BP130" i="4"/>
  <c r="BQ1080" i="4"/>
  <c r="BQ1063" i="4"/>
  <c r="BQ1066" i="4"/>
  <c r="BQ1075" i="4" s="1"/>
  <c r="BP414" i="4"/>
  <c r="BP415" i="4" s="1"/>
  <c r="BQ413" i="4" s="1"/>
  <c r="BP199" i="4"/>
  <c r="BN661" i="4"/>
  <c r="BP22" i="4"/>
  <c r="BQ21" i="4"/>
  <c r="BQ39" i="4"/>
  <c r="BP39" i="4"/>
  <c r="BP46" i="4" s="1"/>
  <c r="BQ57" i="4"/>
  <c r="BQ54" i="4" s="1"/>
  <c r="BQ53" i="62" s="1"/>
  <c r="BQ1186" i="4"/>
  <c r="BQ295" i="4"/>
  <c r="BQ303" i="4" s="1"/>
  <c r="BQ28" i="66"/>
  <c r="BQ27" i="66"/>
  <c r="BQ1074" i="4"/>
  <c r="BQ9" i="64"/>
  <c r="BQ9" i="62"/>
  <c r="BQ198" i="4"/>
  <c r="BQ43" i="4"/>
  <c r="BP43" i="4"/>
  <c r="BP50" i="4" s="1"/>
  <c r="BP636" i="4" s="1"/>
  <c r="BQ227" i="4" l="1"/>
  <c r="BR314" i="4"/>
  <c r="BQ9" i="4"/>
  <c r="BQ47" i="4"/>
  <c r="BQ9" i="3"/>
  <c r="BQ9" i="11"/>
  <c r="BQ9" i="66"/>
  <c r="BQ24" i="4"/>
  <c r="BQ414" i="4"/>
  <c r="BQ415" i="4" s="1"/>
  <c r="BR413" i="4" s="1"/>
  <c r="BS86" i="64"/>
  <c r="BS87" i="64" s="1"/>
  <c r="BS7" i="64"/>
  <c r="BS6" i="64" s="1"/>
  <c r="BS28" i="64" s="1"/>
  <c r="BS30" i="64" s="1"/>
  <c r="BS53" i="64" s="1"/>
  <c r="BS6" i="3"/>
  <c r="BS7" i="4"/>
  <c r="BS7" i="11"/>
  <c r="BS6" i="11" s="1"/>
  <c r="BS7" i="66"/>
  <c r="BS6" i="66" s="1"/>
  <c r="BS7" i="62"/>
  <c r="BS6" i="62" s="1"/>
  <c r="BS8" i="3"/>
  <c r="BQ22" i="4"/>
  <c r="BR21" i="4"/>
  <c r="BR275" i="4"/>
  <c r="BR288" i="4" s="1"/>
  <c r="BR329" i="4" s="1"/>
  <c r="BR1165" i="4"/>
  <c r="BR274" i="4"/>
  <c r="BR273" i="4"/>
  <c r="BR34" i="66" s="1"/>
  <c r="BR1166" i="4"/>
  <c r="BQ65" i="4"/>
  <c r="BP654" i="4"/>
  <c r="BP655" i="4"/>
  <c r="BP637" i="4"/>
  <c r="BQ610" i="3"/>
  <c r="BQ965" i="4"/>
  <c r="BR1370" i="4"/>
  <c r="BO662" i="4"/>
  <c r="BQ142" i="4"/>
  <c r="BQ335" i="4"/>
  <c r="BQ959" i="4" s="1"/>
  <c r="BQ287" i="4"/>
  <c r="BQ324" i="4" s="1"/>
  <c r="BQ60" i="62"/>
  <c r="BQ50" i="4"/>
  <c r="BQ636" i="4" s="1"/>
  <c r="BP56" i="4"/>
  <c r="BQ130" i="4"/>
  <c r="BQ250" i="4"/>
  <c r="BN662" i="4"/>
  <c r="BQ199" i="4"/>
  <c r="CN8" i="67"/>
  <c r="CN6" i="67"/>
  <c r="CO7" i="67"/>
  <c r="BQ153" i="4"/>
  <c r="CO8" i="72"/>
  <c r="CO6" i="72"/>
  <c r="BP964" i="4"/>
  <c r="BP605" i="4"/>
  <c r="BQ540" i="4"/>
  <c r="BQ542" i="4" s="1"/>
  <c r="BQ42" i="4"/>
  <c r="BQ49" i="4" s="1"/>
  <c r="BQ46" i="4"/>
  <c r="BP200" i="4"/>
  <c r="CM56" i="3"/>
  <c r="CM58" i="3"/>
  <c r="CM59" i="3"/>
  <c r="CM60" i="3"/>
  <c r="CM95" i="67"/>
  <c r="BQ41" i="4"/>
  <c r="BQ48" i="4" s="1"/>
  <c r="CN15" i="72"/>
  <c r="CN16" i="72"/>
  <c r="CN14" i="72"/>
  <c r="BR15" i="4"/>
  <c r="BR6" i="4"/>
  <c r="BQ44" i="4"/>
  <c r="BQ51" i="4" s="1"/>
  <c r="BQ34" i="66"/>
  <c r="BQ55" i="4"/>
  <c r="BP544" i="4"/>
  <c r="BP612" i="4" s="1"/>
  <c r="BP607" i="4"/>
  <c r="CO1447" i="4"/>
  <c r="BR8" i="11"/>
  <c r="BR8" i="62"/>
  <c r="BR300" i="3"/>
  <c r="BR187" i="4" s="1"/>
  <c r="BR196" i="4" s="1"/>
  <c r="BR185" i="3"/>
  <c r="BR122" i="4" s="1"/>
  <c r="BR127" i="4" s="1"/>
  <c r="BR355" i="3"/>
  <c r="BR241" i="4" s="1"/>
  <c r="BR330" i="3"/>
  <c r="BR219" i="4" s="1"/>
  <c r="BR224" i="4" s="1"/>
  <c r="BR8" i="66"/>
  <c r="BR356" i="3"/>
  <c r="BR242" i="4" s="1"/>
  <c r="BR247" i="4" s="1"/>
  <c r="BR1083" i="4"/>
  <c r="BR241" i="3"/>
  <c r="BR146" i="4" s="1"/>
  <c r="BR151" i="4" s="1"/>
  <c r="BR297" i="3"/>
  <c r="BR184" i="4" s="1"/>
  <c r="BR193" i="4" s="1"/>
  <c r="BR184" i="3"/>
  <c r="BR121" i="4" s="1"/>
  <c r="BR1106" i="4"/>
  <c r="BR8" i="4"/>
  <c r="BR329" i="3"/>
  <c r="BR218" i="4" s="1"/>
  <c r="BR242" i="3"/>
  <c r="BR147" i="4" s="1"/>
  <c r="BR152" i="4" s="1"/>
  <c r="BR186" i="3"/>
  <c r="BR123" i="4" s="1"/>
  <c r="BR128" i="4" s="1"/>
  <c r="BR28" i="4"/>
  <c r="BR16" i="4"/>
  <c r="BR216" i="3"/>
  <c r="BR133" i="4" s="1"/>
  <c r="BR296" i="3"/>
  <c r="BR183" i="4" s="1"/>
  <c r="BR301" i="3"/>
  <c r="BR188" i="4" s="1"/>
  <c r="BR197" i="4" s="1"/>
  <c r="BR218" i="3"/>
  <c r="BR135" i="4" s="1"/>
  <c r="BR140" i="4" s="1"/>
  <c r="BR331" i="3"/>
  <c r="BR220" i="4" s="1"/>
  <c r="BR225" i="4" s="1"/>
  <c r="BR298" i="3"/>
  <c r="BR185" i="4" s="1"/>
  <c r="BR194" i="4" s="1"/>
  <c r="BR357" i="3"/>
  <c r="BR243" i="4" s="1"/>
  <c r="BR248" i="4" s="1"/>
  <c r="BR299" i="3"/>
  <c r="BR186" i="4" s="1"/>
  <c r="BR195" i="4" s="1"/>
  <c r="BR8" i="64"/>
  <c r="BR217" i="3"/>
  <c r="BR134" i="4" s="1"/>
  <c r="BR139" i="4" s="1"/>
  <c r="BR240" i="3"/>
  <c r="BR145" i="4" s="1"/>
  <c r="BR30" i="4"/>
  <c r="BR68" i="4" s="1"/>
  <c r="BR529" i="4"/>
  <c r="BR29" i="4"/>
  <c r="BR1079" i="4"/>
  <c r="BR1081" i="4"/>
  <c r="BR1082" i="4" s="1"/>
  <c r="BR1107" i="4"/>
  <c r="BR1332" i="4"/>
  <c r="BR15" i="66" l="1"/>
  <c r="BS1370" i="4"/>
  <c r="BS1332" i="4"/>
  <c r="BR414" i="4"/>
  <c r="BR415" i="4" s="1"/>
  <c r="BS413" i="4" s="1"/>
  <c r="BR34" i="4"/>
  <c r="BR150" i="4"/>
  <c r="BR19" i="4"/>
  <c r="BR20" i="4" s="1"/>
  <c r="BR17" i="4"/>
  <c r="CO6" i="67"/>
  <c r="CO8" i="67"/>
  <c r="BQ655" i="4"/>
  <c r="BQ654" i="4"/>
  <c r="BQ637" i="4"/>
  <c r="BR35" i="4"/>
  <c r="BR192" i="4"/>
  <c r="BR37" i="4"/>
  <c r="BR246" i="4"/>
  <c r="BP617" i="4"/>
  <c r="BR18" i="4"/>
  <c r="BR75" i="4"/>
  <c r="BR82" i="4"/>
  <c r="CN95" i="67"/>
  <c r="CN58" i="3"/>
  <c r="CN60" i="3"/>
  <c r="CN59" i="3"/>
  <c r="CN56" i="3"/>
  <c r="BO88" i="4"/>
  <c r="BJ88" i="4"/>
  <c r="BN75" i="4"/>
  <c r="BN88" i="4"/>
  <c r="BL75" i="4"/>
  <c r="BN82" i="4"/>
  <c r="BS15" i="4"/>
  <c r="BS6" i="4"/>
  <c r="BR33" i="4"/>
  <c r="BR138" i="4"/>
  <c r="BR32" i="4"/>
  <c r="BR126" i="4"/>
  <c r="BR67" i="4"/>
  <c r="BR335" i="4"/>
  <c r="BR959" i="4" s="1"/>
  <c r="BR287" i="4"/>
  <c r="BR324" i="4" s="1"/>
  <c r="BS8" i="64"/>
  <c r="BS217" i="3"/>
  <c r="BS134" i="4" s="1"/>
  <c r="BS139" i="4" s="1"/>
  <c r="BS297" i="3"/>
  <c r="BS184" i="4" s="1"/>
  <c r="BS193" i="4" s="1"/>
  <c r="BS216" i="3"/>
  <c r="BS133" i="4" s="1"/>
  <c r="BS242" i="3"/>
  <c r="BS147" i="4" s="1"/>
  <c r="BS152" i="4" s="1"/>
  <c r="BS296" i="3"/>
  <c r="BS183" i="4" s="1"/>
  <c r="BS1083" i="4"/>
  <c r="BS218" i="3"/>
  <c r="BS135" i="4" s="1"/>
  <c r="BS140" i="4" s="1"/>
  <c r="BS186" i="3"/>
  <c r="BS123" i="4" s="1"/>
  <c r="BS128" i="4" s="1"/>
  <c r="BS330" i="3"/>
  <c r="BS219" i="4" s="1"/>
  <c r="BS224" i="4" s="1"/>
  <c r="BS185" i="3"/>
  <c r="BS122" i="4" s="1"/>
  <c r="BS127" i="4" s="1"/>
  <c r="BS355" i="3"/>
  <c r="BS241" i="4" s="1"/>
  <c r="BS299" i="3"/>
  <c r="BS186" i="4" s="1"/>
  <c r="BS195" i="4" s="1"/>
  <c r="BS357" i="3"/>
  <c r="BS243" i="4" s="1"/>
  <c r="BS248" i="4" s="1"/>
  <c r="BS298" i="3"/>
  <c r="BS185" i="4" s="1"/>
  <c r="BS194" i="4" s="1"/>
  <c r="BS331" i="3"/>
  <c r="BS220" i="4" s="1"/>
  <c r="BS225" i="4" s="1"/>
  <c r="BS16" i="4"/>
  <c r="BS8" i="11"/>
  <c r="BS28" i="4"/>
  <c r="BS1106" i="4"/>
  <c r="BS8" i="62"/>
  <c r="BS240" i="3"/>
  <c r="BS145" i="4" s="1"/>
  <c r="BS356" i="3"/>
  <c r="BS242" i="4" s="1"/>
  <c r="BS247" i="4" s="1"/>
  <c r="BS329" i="3"/>
  <c r="BS218" i="4" s="1"/>
  <c r="BS184" i="3"/>
  <c r="BS121" i="4" s="1"/>
  <c r="BS241" i="3"/>
  <c r="BS146" i="4" s="1"/>
  <c r="BS151" i="4" s="1"/>
  <c r="BS8" i="66"/>
  <c r="BS8" i="4"/>
  <c r="BS300" i="3"/>
  <c r="BS187" i="4" s="1"/>
  <c r="BS196" i="4" s="1"/>
  <c r="BS301" i="3"/>
  <c r="BS188" i="4" s="1"/>
  <c r="BS197" i="4" s="1"/>
  <c r="BS29" i="4"/>
  <c r="BS60" i="4" s="1"/>
  <c r="BS30" i="4"/>
  <c r="BS1081" i="4"/>
  <c r="BS1082" i="4" s="1"/>
  <c r="BS1079" i="4"/>
  <c r="BS1107" i="4"/>
  <c r="BR1063" i="4"/>
  <c r="BR1080" i="4"/>
  <c r="BR1066" i="4"/>
  <c r="BR249" i="4"/>
  <c r="BQ53" i="4"/>
  <c r="BR1052" i="4"/>
  <c r="BR58" i="4"/>
  <c r="BR54" i="62"/>
  <c r="CO15" i="72"/>
  <c r="CO14" i="72"/>
  <c r="CO16" i="72"/>
  <c r="BQ200" i="4"/>
  <c r="BR28" i="66"/>
  <c r="BR61" i="4"/>
  <c r="BR318" i="4" s="1"/>
  <c r="BR295" i="4"/>
  <c r="BR303" i="4" s="1"/>
  <c r="BR1074" i="4"/>
  <c r="BR27" i="66"/>
  <c r="BR57" i="4"/>
  <c r="BR9" i="62" s="1"/>
  <c r="BR1186" i="4"/>
  <c r="BR60" i="4"/>
  <c r="BR66" i="4"/>
  <c r="BS66" i="4" s="1"/>
  <c r="BQ61" i="4"/>
  <c r="BQ318" i="4" s="1"/>
  <c r="BQ328" i="4" s="1"/>
  <c r="BR198" i="4"/>
  <c r="BR129" i="4"/>
  <c r="BQ544" i="4"/>
  <c r="BQ612" i="4" s="1"/>
  <c r="BQ607" i="4"/>
  <c r="BQ964" i="4"/>
  <c r="BQ605" i="4"/>
  <c r="BS314" i="4"/>
  <c r="BQ75" i="4"/>
  <c r="BR226" i="4"/>
  <c r="BP640" i="4"/>
  <c r="BP659" i="4" s="1"/>
  <c r="BP645" i="4"/>
  <c r="BP644" i="4"/>
  <c r="BP641" i="4"/>
  <c r="BR530" i="4"/>
  <c r="BR54" i="11"/>
  <c r="BR63" i="4"/>
  <c r="BR1312" i="4" s="1"/>
  <c r="BR62" i="4"/>
  <c r="BR528" i="4" s="1"/>
  <c r="BR747" i="4"/>
  <c r="BR543" i="4"/>
  <c r="BS70" i="4"/>
  <c r="BQ63" i="4"/>
  <c r="BQ1312" i="4" s="1"/>
  <c r="BR70" i="4"/>
  <c r="BR141" i="4"/>
  <c r="BR36" i="4"/>
  <c r="BR223" i="4"/>
  <c r="BQ154" i="4"/>
  <c r="BT7" i="3"/>
  <c r="BR328" i="4" l="1"/>
  <c r="BR540" i="4"/>
  <c r="BR9" i="11"/>
  <c r="BR9" i="66"/>
  <c r="BP660" i="4"/>
  <c r="BP661" i="4" s="1"/>
  <c r="BR9" i="64"/>
  <c r="BR542" i="4"/>
  <c r="BR544" i="4" s="1"/>
  <c r="BR612" i="4" s="1"/>
  <c r="BQ617" i="4"/>
  <c r="BR9" i="3"/>
  <c r="BS17" i="4"/>
  <c r="BS19" i="4"/>
  <c r="BS20" i="4" s="1"/>
  <c r="BS37" i="4"/>
  <c r="BS246" i="4"/>
  <c r="BS33" i="4"/>
  <c r="BS138" i="4"/>
  <c r="BR39" i="4"/>
  <c r="BR46" i="4" s="1"/>
  <c r="BN83" i="4"/>
  <c r="BS44" i="4"/>
  <c r="BR44" i="4"/>
  <c r="BR51" i="4" s="1"/>
  <c r="BR22" i="4"/>
  <c r="BS21" i="4"/>
  <c r="BS1080" i="4"/>
  <c r="BS1063" i="4"/>
  <c r="BS1066" i="4"/>
  <c r="BS1075" i="4" s="1"/>
  <c r="BR53" i="4"/>
  <c r="BS58" i="4"/>
  <c r="BS1052" i="4"/>
  <c r="BR142" i="4"/>
  <c r="BL76" i="4"/>
  <c r="BR199" i="4"/>
  <c r="CO95" i="67"/>
  <c r="CO60" i="3"/>
  <c r="CO59" i="3"/>
  <c r="CO58" i="3"/>
  <c r="CO56" i="3"/>
  <c r="L82" i="4"/>
  <c r="L75" i="4"/>
  <c r="M82" i="4"/>
  <c r="M75" i="4"/>
  <c r="N82" i="4"/>
  <c r="P75" i="4"/>
  <c r="N88" i="4"/>
  <c r="M88" i="4"/>
  <c r="N75" i="4"/>
  <c r="L88" i="4"/>
  <c r="O82" i="4"/>
  <c r="P82" i="4"/>
  <c r="Q88" i="4"/>
  <c r="O75" i="4"/>
  <c r="P88" i="4"/>
  <c r="O88" i="4"/>
  <c r="R88" i="4"/>
  <c r="Q75" i="4"/>
  <c r="R75" i="4"/>
  <c r="Q82" i="4"/>
  <c r="S88" i="4"/>
  <c r="S75" i="4"/>
  <c r="S82" i="4"/>
  <c r="R82" i="4"/>
  <c r="T82" i="4"/>
  <c r="U82" i="4"/>
  <c r="T75" i="4"/>
  <c r="T88" i="4"/>
  <c r="U88" i="4"/>
  <c r="U75" i="4"/>
  <c r="W88" i="4"/>
  <c r="V82" i="4"/>
  <c r="V75" i="4"/>
  <c r="W75" i="4"/>
  <c r="W82" i="4"/>
  <c r="V88" i="4"/>
  <c r="X82" i="4"/>
  <c r="Y82" i="4"/>
  <c r="Y75" i="4"/>
  <c r="X75" i="4"/>
  <c r="X88" i="4"/>
  <c r="Z82" i="4"/>
  <c r="Z75" i="4"/>
  <c r="AB75" i="4"/>
  <c r="AA88" i="4"/>
  <c r="AB82" i="4"/>
  <c r="AB88" i="4"/>
  <c r="AA75" i="4"/>
  <c r="Y88" i="4"/>
  <c r="AA82" i="4"/>
  <c r="AC88" i="4"/>
  <c r="AC82" i="4"/>
  <c r="AC75" i="4"/>
  <c r="AD82" i="4"/>
  <c r="Z88" i="4"/>
  <c r="AF88" i="4"/>
  <c r="AE82" i="4"/>
  <c r="AE75" i="4"/>
  <c r="AD75" i="4"/>
  <c r="AE88" i="4"/>
  <c r="AF75" i="4"/>
  <c r="AD88" i="4"/>
  <c r="AF82" i="4"/>
  <c r="AG75" i="4"/>
  <c r="AG82" i="4"/>
  <c r="AI82" i="4"/>
  <c r="AJ75" i="4"/>
  <c r="AI75" i="4"/>
  <c r="AH82" i="4"/>
  <c r="AH75" i="4"/>
  <c r="AH88" i="4"/>
  <c r="AI88" i="4"/>
  <c r="AK82" i="4"/>
  <c r="AL82" i="4"/>
  <c r="AJ88" i="4"/>
  <c r="AJ82" i="4"/>
  <c r="AG88" i="4"/>
  <c r="AK88" i="4"/>
  <c r="AM82" i="4"/>
  <c r="AL75" i="4"/>
  <c r="AK75" i="4"/>
  <c r="AO88" i="4"/>
  <c r="AL88" i="4"/>
  <c r="AM75" i="4"/>
  <c r="AM88" i="4"/>
  <c r="AN88" i="4"/>
  <c r="AN75" i="4"/>
  <c r="AQ88" i="4"/>
  <c r="AN82" i="4"/>
  <c r="AP82" i="4"/>
  <c r="AP75" i="4"/>
  <c r="AO82" i="4"/>
  <c r="AR75" i="4"/>
  <c r="AO75" i="4"/>
  <c r="AQ75" i="4"/>
  <c r="AQ82" i="4"/>
  <c r="AP88" i="4"/>
  <c r="AR82" i="4"/>
  <c r="AS82" i="4"/>
  <c r="AR88" i="4"/>
  <c r="AS88" i="4"/>
  <c r="AT82" i="4"/>
  <c r="AS75" i="4"/>
  <c r="AT75" i="4"/>
  <c r="AT88" i="4"/>
  <c r="AV88" i="4"/>
  <c r="AW88" i="4"/>
  <c r="AU88" i="4"/>
  <c r="AU82" i="4"/>
  <c r="AV82" i="4"/>
  <c r="AW82" i="4"/>
  <c r="AU75" i="4"/>
  <c r="AW75" i="4"/>
  <c r="AY82" i="4"/>
  <c r="AV75" i="4"/>
  <c r="AX75" i="4"/>
  <c r="AZ88" i="4"/>
  <c r="AY75" i="4"/>
  <c r="AX82" i="4"/>
  <c r="BB75" i="4"/>
  <c r="AZ82" i="4"/>
  <c r="AY88" i="4"/>
  <c r="BA75" i="4"/>
  <c r="BD75" i="4"/>
  <c r="BB88" i="4"/>
  <c r="BB82" i="4"/>
  <c r="BA88" i="4"/>
  <c r="BA82" i="4"/>
  <c r="AZ75" i="4"/>
  <c r="AX88" i="4"/>
  <c r="BC82" i="4"/>
  <c r="BC75" i="4"/>
  <c r="BC88" i="4"/>
  <c r="BG82" i="4"/>
  <c r="BD82" i="4"/>
  <c r="BF82" i="4"/>
  <c r="BF75" i="4"/>
  <c r="BF88" i="4"/>
  <c r="BE88" i="4"/>
  <c r="BE75" i="4"/>
  <c r="BG88" i="4"/>
  <c r="BE82" i="4"/>
  <c r="BG75" i="4"/>
  <c r="BD88" i="4"/>
  <c r="BH75" i="4"/>
  <c r="BI82" i="4"/>
  <c r="BH82" i="4"/>
  <c r="BI75" i="4"/>
  <c r="BH88" i="4"/>
  <c r="BI88" i="4"/>
  <c r="BJ75" i="4"/>
  <c r="BJ82" i="4"/>
  <c r="BK82" i="4"/>
  <c r="BK88" i="4"/>
  <c r="BM82" i="4"/>
  <c r="BM75" i="4"/>
  <c r="BL82" i="4"/>
  <c r="BL88" i="4"/>
  <c r="BQ88" i="4"/>
  <c r="BP82" i="4"/>
  <c r="BP88" i="4"/>
  <c r="BO75" i="4"/>
  <c r="BQ82" i="4"/>
  <c r="BM88" i="4"/>
  <c r="BO82" i="4"/>
  <c r="BK75" i="4"/>
  <c r="BP75" i="4"/>
  <c r="BQ76" i="4"/>
  <c r="BS40" i="4"/>
  <c r="BS47" i="4" s="1"/>
  <c r="BR40" i="4"/>
  <c r="BR47" i="4" s="1"/>
  <c r="BN1096" i="4"/>
  <c r="BN1100" i="4" s="1"/>
  <c r="BN1417" i="4" s="1"/>
  <c r="BN1183" i="4"/>
  <c r="BR83" i="4"/>
  <c r="BR42" i="4"/>
  <c r="BR49" i="4" s="1"/>
  <c r="BR153" i="4"/>
  <c r="BS274" i="4"/>
  <c r="BS1166" i="4"/>
  <c r="BS273" i="4"/>
  <c r="BS275" i="4"/>
  <c r="BS288" i="4" s="1"/>
  <c r="BS329" i="4" s="1"/>
  <c r="BS414" i="4" s="1"/>
  <c r="BS415" i="4" s="1"/>
  <c r="BT413" i="4" s="1"/>
  <c r="BS1165" i="4"/>
  <c r="BS15" i="66" s="1"/>
  <c r="BR9" i="4"/>
  <c r="BR54" i="4"/>
  <c r="BS62" i="4"/>
  <c r="BS528" i="4" s="1"/>
  <c r="BS54" i="11"/>
  <c r="BS747" i="4"/>
  <c r="BS530" i="4"/>
  <c r="BS540" i="4" s="1"/>
  <c r="BS543" i="4"/>
  <c r="BS32" i="4"/>
  <c r="BS126" i="4"/>
  <c r="BS129" i="4"/>
  <c r="BN76" i="4"/>
  <c r="BR76" i="4"/>
  <c r="BR41" i="4"/>
  <c r="BR48" i="4" s="1"/>
  <c r="BT7" i="11"/>
  <c r="BT6" i="11" s="1"/>
  <c r="BT86" i="64"/>
  <c r="BT87" i="64" s="1"/>
  <c r="BT8" i="3"/>
  <c r="BU7" i="3" s="1"/>
  <c r="BT7" i="66"/>
  <c r="BT6" i="66" s="1"/>
  <c r="BT7" i="64"/>
  <c r="BT6" i="64" s="1"/>
  <c r="BT28" i="64" s="1"/>
  <c r="BT30" i="64" s="1"/>
  <c r="BT53" i="64" s="1"/>
  <c r="BT6" i="3"/>
  <c r="BT7" i="62"/>
  <c r="BT6" i="62" s="1"/>
  <c r="BT7" i="4"/>
  <c r="BS28" i="66"/>
  <c r="BS1186" i="4"/>
  <c r="BS27" i="66"/>
  <c r="BS57" i="4"/>
  <c r="BS54" i="4" s="1"/>
  <c r="BS53" i="62" s="1"/>
  <c r="BS1074" i="4"/>
  <c r="BS295" i="4"/>
  <c r="BS303" i="4" s="1"/>
  <c r="BS36" i="4"/>
  <c r="BS43" i="4" s="1"/>
  <c r="BS50" i="4" s="1"/>
  <c r="BS636" i="4" s="1"/>
  <c r="BS223" i="4"/>
  <c r="BS226" i="4"/>
  <c r="BS141" i="4"/>
  <c r="BR965" i="4"/>
  <c r="BS68" i="4"/>
  <c r="BR610" i="3"/>
  <c r="BS67" i="4"/>
  <c r="BJ1096" i="4"/>
  <c r="BJ1100" i="4" s="1"/>
  <c r="BJ1417" i="4" s="1"/>
  <c r="BJ1183" i="4"/>
  <c r="BS529" i="4"/>
  <c r="BS198" i="4"/>
  <c r="BS75" i="4"/>
  <c r="BS18" i="4"/>
  <c r="BS24" i="4" s="1"/>
  <c r="BS88" i="4" s="1"/>
  <c r="BS1096" i="4" s="1"/>
  <c r="BS1100" i="4" s="1"/>
  <c r="BS1417" i="4" s="1"/>
  <c r="BS82" i="4"/>
  <c r="BO1096" i="4"/>
  <c r="BO1100" i="4" s="1"/>
  <c r="BO1417" i="4" s="1"/>
  <c r="BO1183" i="4"/>
  <c r="BQ645" i="4"/>
  <c r="BQ641" i="4"/>
  <c r="BQ644" i="4"/>
  <c r="BQ640" i="4"/>
  <c r="BQ659" i="4" s="1"/>
  <c r="BR43" i="4"/>
  <c r="BR50" i="4" s="1"/>
  <c r="BR636" i="4" s="1"/>
  <c r="BS34" i="4"/>
  <c r="BS41" i="4" s="1"/>
  <c r="BS48" i="4" s="1"/>
  <c r="BS150" i="4"/>
  <c r="BS249" i="4"/>
  <c r="BS35" i="4"/>
  <c r="BS192" i="4"/>
  <c r="BR227" i="4"/>
  <c r="BR1075" i="4"/>
  <c r="BS54" i="62"/>
  <c r="BR130" i="4"/>
  <c r="BR60" i="62"/>
  <c r="BR250" i="4"/>
  <c r="BQ660" i="4"/>
  <c r="BR24" i="4"/>
  <c r="BR607" i="4" l="1"/>
  <c r="BS9" i="66"/>
  <c r="BS9" i="4"/>
  <c r="BS51" i="4"/>
  <c r="BS9" i="62"/>
  <c r="BS9" i="11"/>
  <c r="BT314" i="4"/>
  <c r="BS60" i="62"/>
  <c r="BS9" i="64"/>
  <c r="BS9" i="3"/>
  <c r="BS610" i="3"/>
  <c r="BS965" i="4"/>
  <c r="BT1166" i="4"/>
  <c r="BP1096" i="4"/>
  <c r="BP1100" i="4" s="1"/>
  <c r="BP1417" i="4" s="1"/>
  <c r="BP1183" i="4"/>
  <c r="BK83" i="4"/>
  <c r="BH76" i="4"/>
  <c r="BF76" i="4"/>
  <c r="AZ76" i="4"/>
  <c r="AZ83" i="4"/>
  <c r="AW76" i="4"/>
  <c r="AT1096" i="4"/>
  <c r="AT1100" i="4" s="1"/>
  <c r="AT1417" i="4" s="1"/>
  <c r="AT1183" i="4"/>
  <c r="AP1096" i="4"/>
  <c r="AP1100" i="4" s="1"/>
  <c r="AP1417" i="4" s="1"/>
  <c r="AP1183" i="4"/>
  <c r="AN83" i="4"/>
  <c r="AK76" i="4"/>
  <c r="AK83" i="4"/>
  <c r="AG83" i="4"/>
  <c r="AE83" i="4"/>
  <c r="Y1096" i="4"/>
  <c r="Y1100" i="4" s="1"/>
  <c r="Y1417" i="4" s="1"/>
  <c r="Y1183" i="4"/>
  <c r="X1096" i="4"/>
  <c r="X1100" i="4" s="1"/>
  <c r="X1417" i="4" s="1"/>
  <c r="X1183" i="4"/>
  <c r="V76" i="4"/>
  <c r="T83" i="4"/>
  <c r="R1096" i="4"/>
  <c r="R1100" i="4" s="1"/>
  <c r="R1417" i="4" s="1"/>
  <c r="R1183" i="4"/>
  <c r="N76" i="4"/>
  <c r="L85" i="4"/>
  <c r="M85" i="4" s="1"/>
  <c r="N85" i="4" s="1"/>
  <c r="L83" i="4"/>
  <c r="BR200" i="4"/>
  <c r="BS250" i="4"/>
  <c r="BS83" i="4"/>
  <c r="BR605" i="4"/>
  <c r="BR964" i="4"/>
  <c r="BU7" i="66"/>
  <c r="BU6" i="66" s="1"/>
  <c r="BU8" i="3"/>
  <c r="BU314" i="4" s="1"/>
  <c r="BU7" i="64"/>
  <c r="BU6" i="64" s="1"/>
  <c r="BU28" i="64" s="1"/>
  <c r="BU30" i="64" s="1"/>
  <c r="BU53" i="64" s="1"/>
  <c r="BU7" i="62"/>
  <c r="BU6" i="62" s="1"/>
  <c r="BU7" i="4"/>
  <c r="BU86" i="64"/>
  <c r="BU87" i="64" s="1"/>
  <c r="BU6" i="3"/>
  <c r="BU7" i="11"/>
  <c r="BU6" i="11" s="1"/>
  <c r="BR617" i="4"/>
  <c r="BP83" i="4"/>
  <c r="BJ83" i="4"/>
  <c r="BD1096" i="4"/>
  <c r="BD1100" i="4" s="1"/>
  <c r="BD1417" i="4" s="1"/>
  <c r="BD1183" i="4"/>
  <c r="BF83" i="4"/>
  <c r="BA83" i="4"/>
  <c r="BB76" i="4"/>
  <c r="AU76" i="4"/>
  <c r="AT76" i="4"/>
  <c r="AQ83" i="4"/>
  <c r="AQ1096" i="4"/>
  <c r="AQ1100" i="4" s="1"/>
  <c r="AQ1417" i="4" s="1"/>
  <c r="AQ1183" i="4"/>
  <c r="AL76" i="4"/>
  <c r="AI1096" i="4"/>
  <c r="AI1100" i="4" s="1"/>
  <c r="AI1417" i="4" s="1"/>
  <c r="AI1183" i="4"/>
  <c r="AG76" i="4"/>
  <c r="AF1096" i="4"/>
  <c r="AF1100" i="4" s="1"/>
  <c r="AF1417" i="4" s="1"/>
  <c r="AF1183" i="4"/>
  <c r="AA76" i="4"/>
  <c r="X76" i="4"/>
  <c r="V83" i="4"/>
  <c r="R83" i="4"/>
  <c r="O1096" i="4"/>
  <c r="O1100" i="4" s="1"/>
  <c r="O1417" i="4" s="1"/>
  <c r="O1183" i="4"/>
  <c r="M1096" i="4"/>
  <c r="M1100" i="4" s="1"/>
  <c r="M1417" i="4" s="1"/>
  <c r="M1183" i="4"/>
  <c r="BS199" i="4"/>
  <c r="BR654" i="4"/>
  <c r="BR655" i="4"/>
  <c r="BR637" i="4"/>
  <c r="BS1183" i="4"/>
  <c r="BT15" i="4"/>
  <c r="BT6" i="4"/>
  <c r="BP76" i="4"/>
  <c r="BQ1096" i="4"/>
  <c r="BQ1100" i="4" s="1"/>
  <c r="BQ1417" i="4" s="1"/>
  <c r="BQ1183" i="4"/>
  <c r="BJ76" i="4"/>
  <c r="BG76" i="4"/>
  <c r="BD83" i="4"/>
  <c r="BA1096" i="4"/>
  <c r="BA1100" i="4" s="1"/>
  <c r="BA1417" i="4" s="1"/>
  <c r="BA1183" i="4"/>
  <c r="AX83" i="4"/>
  <c r="AW83" i="4"/>
  <c r="AS76" i="4"/>
  <c r="AQ76" i="4"/>
  <c r="AN76" i="4"/>
  <c r="AM83" i="4"/>
  <c r="AH1096" i="4"/>
  <c r="AH1100" i="4" s="1"/>
  <c r="AH1417" i="4" s="1"/>
  <c r="AH1183" i="4"/>
  <c r="AF83" i="4"/>
  <c r="Z1096" i="4"/>
  <c r="Z1100" i="4" s="1"/>
  <c r="Z1417" i="4" s="1"/>
  <c r="Z1183" i="4"/>
  <c r="AB1096" i="4"/>
  <c r="AB1100" i="4" s="1"/>
  <c r="AB1417" i="4" s="1"/>
  <c r="AB1183" i="4"/>
  <c r="Y76" i="4"/>
  <c r="W1096" i="4"/>
  <c r="W1100" i="4" s="1"/>
  <c r="W1417" i="4" s="1"/>
  <c r="W1183" i="4"/>
  <c r="S83" i="4"/>
  <c r="P1096" i="4"/>
  <c r="P1100" i="4" s="1"/>
  <c r="P1417" i="4" s="1"/>
  <c r="P1183" i="4"/>
  <c r="N1183" i="4"/>
  <c r="N1096" i="4"/>
  <c r="N1100" i="4" s="1"/>
  <c r="N1417" i="4" s="1"/>
  <c r="BS655" i="4"/>
  <c r="BS654" i="4"/>
  <c r="BS637" i="4"/>
  <c r="BS76" i="4"/>
  <c r="BS542" i="4"/>
  <c r="BR154" i="4"/>
  <c r="BK76" i="4"/>
  <c r="BL1096" i="4"/>
  <c r="BL1100" i="4" s="1"/>
  <c r="BL1417" i="4" s="1"/>
  <c r="BL1183" i="4"/>
  <c r="BI1096" i="4"/>
  <c r="BI1100" i="4" s="1"/>
  <c r="BI1417" i="4" s="1"/>
  <c r="BI1183" i="4"/>
  <c r="BE83" i="4"/>
  <c r="BG83" i="4"/>
  <c r="BB83" i="4"/>
  <c r="AY76" i="4"/>
  <c r="AV83" i="4"/>
  <c r="AT83" i="4"/>
  <c r="AO76" i="4"/>
  <c r="AN1096" i="4"/>
  <c r="AN1100" i="4" s="1"/>
  <c r="AN1417" i="4" s="1"/>
  <c r="AN1183" i="4"/>
  <c r="AK1096" i="4"/>
  <c r="AK1100" i="4" s="1"/>
  <c r="AK1417" i="4" s="1"/>
  <c r="AK1183" i="4"/>
  <c r="AH76" i="4"/>
  <c r="AD1096" i="4"/>
  <c r="AD1100" i="4" s="1"/>
  <c r="AD1417" i="4" s="1"/>
  <c r="AD1183" i="4"/>
  <c r="AD83" i="4"/>
  <c r="AB83" i="4"/>
  <c r="Y83" i="4"/>
  <c r="U76" i="4"/>
  <c r="S76" i="4"/>
  <c r="O76" i="4"/>
  <c r="P76" i="4"/>
  <c r="BS130" i="4"/>
  <c r="BS227" i="4"/>
  <c r="BO83" i="4"/>
  <c r="BL83" i="4"/>
  <c r="BH1096" i="4"/>
  <c r="BH1100" i="4" s="1"/>
  <c r="BH1417" i="4" s="1"/>
  <c r="BH1183" i="4"/>
  <c r="BG1096" i="4"/>
  <c r="BG1100" i="4" s="1"/>
  <c r="BG1417" i="4" s="1"/>
  <c r="BG1183" i="4"/>
  <c r="BC1096" i="4"/>
  <c r="BC1100" i="4" s="1"/>
  <c r="BC1417" i="4" s="1"/>
  <c r="BC1183" i="4"/>
  <c r="BB1096" i="4"/>
  <c r="BB1100" i="4" s="1"/>
  <c r="BB1417" i="4" s="1"/>
  <c r="BB1183" i="4"/>
  <c r="AZ1096" i="4"/>
  <c r="AZ1100" i="4" s="1"/>
  <c r="AZ1417" i="4" s="1"/>
  <c r="AZ1183" i="4"/>
  <c r="AU83" i="4"/>
  <c r="AS1096" i="4"/>
  <c r="AS1100" i="4" s="1"/>
  <c r="AS1417" i="4" s="1"/>
  <c r="AS1183" i="4"/>
  <c r="AR76" i="4"/>
  <c r="AM1096" i="4"/>
  <c r="AM1100" i="4" s="1"/>
  <c r="AM1417" i="4" s="1"/>
  <c r="AM1183" i="4"/>
  <c r="AG1096" i="4"/>
  <c r="AG1100" i="4" s="1"/>
  <c r="AG1417" i="4" s="1"/>
  <c r="AG1183" i="4"/>
  <c r="AH83" i="4"/>
  <c r="AF76" i="4"/>
  <c r="AC76" i="4"/>
  <c r="AA1096" i="4"/>
  <c r="AA1100" i="4" s="1"/>
  <c r="AA1417" i="4" s="1"/>
  <c r="AA1183" i="4"/>
  <c r="X83" i="4"/>
  <c r="U1096" i="4"/>
  <c r="U1100" i="4" s="1"/>
  <c r="U1417" i="4" s="1"/>
  <c r="U1183" i="4"/>
  <c r="S1096" i="4"/>
  <c r="S1100" i="4" s="1"/>
  <c r="S1417" i="4" s="1"/>
  <c r="S1183" i="4"/>
  <c r="Q1096" i="4"/>
  <c r="Q1100" i="4" s="1"/>
  <c r="Q1417" i="4" s="1"/>
  <c r="Q1183" i="4"/>
  <c r="N83" i="4"/>
  <c r="BP662" i="4"/>
  <c r="BR88" i="4"/>
  <c r="BR1096" i="4" s="1"/>
  <c r="BR1100" i="4" s="1"/>
  <c r="BR1417" i="4" s="1"/>
  <c r="BS34" i="66"/>
  <c r="BM1096" i="4"/>
  <c r="BM1100" i="4" s="1"/>
  <c r="BM1417" i="4" s="1"/>
  <c r="BM1183" i="4"/>
  <c r="BM76" i="4"/>
  <c r="BI76" i="4"/>
  <c r="BE76" i="4"/>
  <c r="BC76" i="4"/>
  <c r="BD76" i="4"/>
  <c r="AX76" i="4"/>
  <c r="AU1096" i="4"/>
  <c r="AU1100" i="4" s="1"/>
  <c r="AU1417" i="4" s="1"/>
  <c r="AU1183" i="4"/>
  <c r="AR1096" i="4"/>
  <c r="AR1100" i="4" s="1"/>
  <c r="AR1417" i="4" s="1"/>
  <c r="AR1183" i="4"/>
  <c r="AO83" i="4"/>
  <c r="AM76" i="4"/>
  <c r="AJ83" i="4"/>
  <c r="AI76" i="4"/>
  <c r="AE1096" i="4"/>
  <c r="AE1100" i="4" s="1"/>
  <c r="AE1417" i="4" s="1"/>
  <c r="AE1183" i="4"/>
  <c r="AC83" i="4"/>
  <c r="AB76" i="4"/>
  <c r="V1096" i="4"/>
  <c r="V1100" i="4" s="1"/>
  <c r="V1417" i="4" s="1"/>
  <c r="V1183" i="4"/>
  <c r="T1096" i="4"/>
  <c r="T1100" i="4" s="1"/>
  <c r="T1417" i="4" s="1"/>
  <c r="T1183" i="4"/>
  <c r="Q83" i="4"/>
  <c r="P83" i="4"/>
  <c r="M76" i="4"/>
  <c r="M77" i="4" s="1"/>
  <c r="M78" i="4"/>
  <c r="N78" i="4" s="1"/>
  <c r="O78" i="4" s="1"/>
  <c r="P78" i="4" s="1"/>
  <c r="Q78" i="4" s="1"/>
  <c r="R78" i="4" s="1"/>
  <c r="S78" i="4" s="1"/>
  <c r="T78" i="4" s="1"/>
  <c r="U78" i="4" s="1"/>
  <c r="V78" i="4" s="1"/>
  <c r="W78" i="4" s="1"/>
  <c r="X78" i="4" s="1"/>
  <c r="Y78" i="4" s="1"/>
  <c r="Z78" i="4" s="1"/>
  <c r="AA78" i="4" s="1"/>
  <c r="AB78" i="4" s="1"/>
  <c r="AC78" i="4" s="1"/>
  <c r="AD78" i="4" s="1"/>
  <c r="AE78" i="4" s="1"/>
  <c r="AF78" i="4" s="1"/>
  <c r="AG78" i="4" s="1"/>
  <c r="AH78" i="4" s="1"/>
  <c r="AI78" i="4" s="1"/>
  <c r="AJ78" i="4" s="1"/>
  <c r="AK78" i="4" s="1"/>
  <c r="AL78" i="4" s="1"/>
  <c r="AM78" i="4" s="1"/>
  <c r="AN78" i="4" s="1"/>
  <c r="AO78" i="4" s="1"/>
  <c r="AP78" i="4" s="1"/>
  <c r="AQ78" i="4" s="1"/>
  <c r="AR78" i="4" s="1"/>
  <c r="AS78" i="4" s="1"/>
  <c r="AT78" i="4" s="1"/>
  <c r="AU78" i="4" s="1"/>
  <c r="AV78" i="4" s="1"/>
  <c r="AW78" i="4" s="1"/>
  <c r="AX78" i="4" s="1"/>
  <c r="AY78" i="4" s="1"/>
  <c r="AZ78" i="4" s="1"/>
  <c r="BA78" i="4" s="1"/>
  <c r="BB78" i="4" s="1"/>
  <c r="BC78" i="4" s="1"/>
  <c r="BD78" i="4" s="1"/>
  <c r="BE78" i="4" s="1"/>
  <c r="BF78" i="4" s="1"/>
  <c r="BG78" i="4" s="1"/>
  <c r="BH78" i="4" s="1"/>
  <c r="BI78" i="4" s="1"/>
  <c r="BJ78" i="4" s="1"/>
  <c r="BK78" i="4" s="1"/>
  <c r="BL78" i="4" s="1"/>
  <c r="BM78" i="4" s="1"/>
  <c r="BN78" i="4" s="1"/>
  <c r="BO78" i="4" s="1"/>
  <c r="BP78" i="4" s="1"/>
  <c r="BQ78" i="4" s="1"/>
  <c r="BR78" i="4" s="1"/>
  <c r="BS78" i="4" s="1"/>
  <c r="BS39" i="4"/>
  <c r="BS46" i="4" s="1"/>
  <c r="BS153" i="4"/>
  <c r="BQ83" i="4"/>
  <c r="BM83" i="4"/>
  <c r="BH83" i="4"/>
  <c r="BE1096" i="4"/>
  <c r="BE1100" i="4" s="1"/>
  <c r="BE1417" i="4" s="1"/>
  <c r="BE1183" i="4"/>
  <c r="BC83" i="4"/>
  <c r="BA76" i="4"/>
  <c r="AV76" i="4"/>
  <c r="AW1096" i="4"/>
  <c r="AW1100" i="4" s="1"/>
  <c r="AW1417" i="4" s="1"/>
  <c r="AW1183" i="4"/>
  <c r="AS83" i="4"/>
  <c r="AP76" i="4"/>
  <c r="AL1096" i="4"/>
  <c r="AL1100" i="4" s="1"/>
  <c r="AL1417" i="4" s="1"/>
  <c r="AL1183" i="4"/>
  <c r="AJ1096" i="4"/>
  <c r="AJ1100" i="4" s="1"/>
  <c r="AJ1417" i="4" s="1"/>
  <c r="AJ1183" i="4"/>
  <c r="AJ76" i="4"/>
  <c r="AD76" i="4"/>
  <c r="AC1096" i="4"/>
  <c r="AC1100" i="4" s="1"/>
  <c r="AC1417" i="4" s="1"/>
  <c r="AC1183" i="4"/>
  <c r="Z76" i="4"/>
  <c r="W83" i="4"/>
  <c r="T76" i="4"/>
  <c r="R76" i="4"/>
  <c r="O83" i="4"/>
  <c r="M83" i="4"/>
  <c r="M84" i="4" s="1"/>
  <c r="BT21" i="4"/>
  <c r="BS22" i="4"/>
  <c r="BS142" i="4"/>
  <c r="BQ661" i="4"/>
  <c r="BT1106" i="4"/>
  <c r="BT217" i="3"/>
  <c r="BT134" i="4" s="1"/>
  <c r="BT139" i="4" s="1"/>
  <c r="BT330" i="3"/>
  <c r="BT219" i="4" s="1"/>
  <c r="BT224" i="4" s="1"/>
  <c r="BT8" i="66"/>
  <c r="BT357" i="3"/>
  <c r="BT243" i="4" s="1"/>
  <c r="BT248" i="4" s="1"/>
  <c r="BT355" i="3"/>
  <c r="BT241" i="4" s="1"/>
  <c r="BT242" i="3"/>
  <c r="BT147" i="4" s="1"/>
  <c r="BT152" i="4" s="1"/>
  <c r="BT184" i="3"/>
  <c r="BT121" i="4" s="1"/>
  <c r="BT240" i="3"/>
  <c r="BT145" i="4" s="1"/>
  <c r="BT300" i="3"/>
  <c r="BT187" i="4" s="1"/>
  <c r="BT196" i="4" s="1"/>
  <c r="BT299" i="3"/>
  <c r="BT186" i="4" s="1"/>
  <c r="BT195" i="4" s="1"/>
  <c r="BT8" i="64"/>
  <c r="BT185" i="3"/>
  <c r="BT122" i="4" s="1"/>
  <c r="BT127" i="4" s="1"/>
  <c r="BT356" i="3"/>
  <c r="BT242" i="4" s="1"/>
  <c r="BT247" i="4" s="1"/>
  <c r="BT241" i="3"/>
  <c r="BT146" i="4" s="1"/>
  <c r="BT151" i="4" s="1"/>
  <c r="BT331" i="3"/>
  <c r="BT220" i="4" s="1"/>
  <c r="BT225" i="4" s="1"/>
  <c r="BT16" i="4"/>
  <c r="BT301" i="3"/>
  <c r="BT188" i="4" s="1"/>
  <c r="BT197" i="4" s="1"/>
  <c r="BT28" i="4"/>
  <c r="BT216" i="3"/>
  <c r="BT133" i="4" s="1"/>
  <c r="BT186" i="3"/>
  <c r="BT123" i="4" s="1"/>
  <c r="BT128" i="4" s="1"/>
  <c r="BT8" i="4"/>
  <c r="BT1083" i="4"/>
  <c r="BT218" i="3"/>
  <c r="BT135" i="4" s="1"/>
  <c r="BT140" i="4" s="1"/>
  <c r="BT8" i="62"/>
  <c r="BT296" i="3"/>
  <c r="BT183" i="4" s="1"/>
  <c r="BT8" i="11"/>
  <c r="BT329" i="3"/>
  <c r="BT218" i="4" s="1"/>
  <c r="BT297" i="3"/>
  <c r="BT184" i="4" s="1"/>
  <c r="BT193" i="4" s="1"/>
  <c r="BT298" i="3"/>
  <c r="BT185" i="4" s="1"/>
  <c r="BT194" i="4" s="1"/>
  <c r="BT30" i="4"/>
  <c r="BT29" i="4"/>
  <c r="BT1081" i="4"/>
  <c r="BT1082" i="4" s="1"/>
  <c r="BT1107" i="4"/>
  <c r="BT1079" i="4"/>
  <c r="BT1370" i="4"/>
  <c r="BU1370" i="4" s="1"/>
  <c r="BT1332" i="4"/>
  <c r="BU1332" i="4" s="1"/>
  <c r="BR56" i="4"/>
  <c r="BQ56" i="4"/>
  <c r="BS55" i="4"/>
  <c r="BR55" i="4"/>
  <c r="BR53" i="62"/>
  <c r="BR65" i="4"/>
  <c r="BS65" i="4" s="1"/>
  <c r="BS335" i="4"/>
  <c r="BS959" i="4" s="1"/>
  <c r="BS287" i="4"/>
  <c r="BS324" i="4" s="1"/>
  <c r="BS42" i="4"/>
  <c r="BS49" i="4" s="1"/>
  <c r="BO76" i="4"/>
  <c r="BK1096" i="4"/>
  <c r="BK1100" i="4" s="1"/>
  <c r="BK1417" i="4" s="1"/>
  <c r="BK1183" i="4"/>
  <c r="BI83" i="4"/>
  <c r="BF1096" i="4"/>
  <c r="BF1100" i="4" s="1"/>
  <c r="BF1417" i="4" s="1"/>
  <c r="BF1183" i="4"/>
  <c r="AX1096" i="4"/>
  <c r="AX1100" i="4" s="1"/>
  <c r="AX1417" i="4" s="1"/>
  <c r="AX1183" i="4"/>
  <c r="AY1096" i="4"/>
  <c r="AY1100" i="4" s="1"/>
  <c r="AY1417" i="4" s="1"/>
  <c r="AY1183" i="4"/>
  <c r="AY83" i="4"/>
  <c r="AV1096" i="4"/>
  <c r="AV1100" i="4" s="1"/>
  <c r="AV1417" i="4" s="1"/>
  <c r="AV1183" i="4"/>
  <c r="AR83" i="4"/>
  <c r="AP83" i="4"/>
  <c r="AO1096" i="4"/>
  <c r="AO1100" i="4" s="1"/>
  <c r="AO1417" i="4" s="1"/>
  <c r="AO1183" i="4"/>
  <c r="AL83" i="4"/>
  <c r="AI83" i="4"/>
  <c r="AE76" i="4"/>
  <c r="AA83" i="4"/>
  <c r="Z83" i="4"/>
  <c r="W76" i="4"/>
  <c r="U83" i="4"/>
  <c r="Q76" i="4"/>
  <c r="L1096" i="4"/>
  <c r="L1100" i="4" s="1"/>
  <c r="L1183" i="4"/>
  <c r="L79" i="4"/>
  <c r="L76" i="4"/>
  <c r="BT274" i="4" l="1"/>
  <c r="BR1183" i="4"/>
  <c r="BT1165" i="4"/>
  <c r="BT273" i="4"/>
  <c r="BT34" i="66" s="1"/>
  <c r="BT275" i="4"/>
  <c r="BT288" i="4" s="1"/>
  <c r="BT329" i="4" s="1"/>
  <c r="BT414" i="4" s="1"/>
  <c r="BT415" i="4" s="1"/>
  <c r="BU413" i="4" s="1"/>
  <c r="N84" i="4"/>
  <c r="O84" i="4" s="1"/>
  <c r="P84" i="4" s="1"/>
  <c r="Q84" i="4" s="1"/>
  <c r="R84" i="4" s="1"/>
  <c r="S84" i="4" s="1"/>
  <c r="T84" i="4" s="1"/>
  <c r="U84" i="4" s="1"/>
  <c r="V84" i="4" s="1"/>
  <c r="W84" i="4" s="1"/>
  <c r="X84" i="4" s="1"/>
  <c r="Y84" i="4" s="1"/>
  <c r="Z84" i="4" s="1"/>
  <c r="AA84" i="4" s="1"/>
  <c r="AB84" i="4" s="1"/>
  <c r="AC84" i="4" s="1"/>
  <c r="AD84" i="4" s="1"/>
  <c r="AE84" i="4" s="1"/>
  <c r="AF84" i="4" s="1"/>
  <c r="AG84" i="4" s="1"/>
  <c r="AH84" i="4" s="1"/>
  <c r="AI84" i="4" s="1"/>
  <c r="AJ84" i="4" s="1"/>
  <c r="AK84" i="4" s="1"/>
  <c r="AL84" i="4" s="1"/>
  <c r="AM84" i="4" s="1"/>
  <c r="AN84" i="4" s="1"/>
  <c r="AO84" i="4" s="1"/>
  <c r="AP84" i="4" s="1"/>
  <c r="AQ84" i="4" s="1"/>
  <c r="AR84" i="4" s="1"/>
  <c r="AS84" i="4" s="1"/>
  <c r="AT84" i="4" s="1"/>
  <c r="AU84" i="4" s="1"/>
  <c r="AV84" i="4" s="1"/>
  <c r="AW84" i="4" s="1"/>
  <c r="AX84" i="4" s="1"/>
  <c r="AY84" i="4" s="1"/>
  <c r="AZ84" i="4" s="1"/>
  <c r="BA84" i="4" s="1"/>
  <c r="BB84" i="4" s="1"/>
  <c r="BC84" i="4" s="1"/>
  <c r="BD84" i="4" s="1"/>
  <c r="BE84" i="4" s="1"/>
  <c r="BF84" i="4" s="1"/>
  <c r="BG84" i="4" s="1"/>
  <c r="BH84" i="4" s="1"/>
  <c r="BI84" i="4" s="1"/>
  <c r="BJ84" i="4" s="1"/>
  <c r="BK84" i="4" s="1"/>
  <c r="BL84" i="4" s="1"/>
  <c r="BM84" i="4" s="1"/>
  <c r="BN84" i="4" s="1"/>
  <c r="BO84" i="4" s="1"/>
  <c r="BP84" i="4" s="1"/>
  <c r="BQ84" i="4" s="1"/>
  <c r="BR84" i="4" s="1"/>
  <c r="BS84" i="4" s="1"/>
  <c r="N77" i="4"/>
  <c r="O77" i="4" s="1"/>
  <c r="P77" i="4" s="1"/>
  <c r="Q77" i="4" s="1"/>
  <c r="R77" i="4" s="1"/>
  <c r="S77" i="4" s="1"/>
  <c r="T77" i="4" s="1"/>
  <c r="U77" i="4" s="1"/>
  <c r="V77" i="4" s="1"/>
  <c r="W77" i="4" s="1"/>
  <c r="X77" i="4" s="1"/>
  <c r="Y77" i="4" s="1"/>
  <c r="Z77" i="4" s="1"/>
  <c r="AA77" i="4" s="1"/>
  <c r="AB77" i="4" s="1"/>
  <c r="AC77" i="4" s="1"/>
  <c r="AD77" i="4" s="1"/>
  <c r="AE77" i="4" s="1"/>
  <c r="AF77" i="4" s="1"/>
  <c r="AG77" i="4" s="1"/>
  <c r="AH77" i="4" s="1"/>
  <c r="AI77" i="4" s="1"/>
  <c r="AJ77" i="4" s="1"/>
  <c r="AK77" i="4" s="1"/>
  <c r="AL77" i="4" s="1"/>
  <c r="AM77" i="4" s="1"/>
  <c r="AN77" i="4" s="1"/>
  <c r="AO77" i="4" s="1"/>
  <c r="AP77" i="4" s="1"/>
  <c r="AQ77" i="4" s="1"/>
  <c r="AR77" i="4" s="1"/>
  <c r="AS77" i="4" s="1"/>
  <c r="AT77" i="4" s="1"/>
  <c r="AU77" i="4" s="1"/>
  <c r="AV77" i="4" s="1"/>
  <c r="AW77" i="4" s="1"/>
  <c r="AX77" i="4" s="1"/>
  <c r="AY77" i="4" s="1"/>
  <c r="AZ77" i="4" s="1"/>
  <c r="BA77" i="4" s="1"/>
  <c r="BB77" i="4" s="1"/>
  <c r="BC77" i="4" s="1"/>
  <c r="BD77" i="4" s="1"/>
  <c r="BE77" i="4" s="1"/>
  <c r="BF77" i="4" s="1"/>
  <c r="BG77" i="4" s="1"/>
  <c r="BH77" i="4" s="1"/>
  <c r="BI77" i="4" s="1"/>
  <c r="BJ77" i="4" s="1"/>
  <c r="BK77" i="4" s="1"/>
  <c r="BL77" i="4" s="1"/>
  <c r="BM77" i="4" s="1"/>
  <c r="BN77" i="4" s="1"/>
  <c r="BO77" i="4" s="1"/>
  <c r="BP77" i="4" s="1"/>
  <c r="BQ77" i="4" s="1"/>
  <c r="BR77" i="4" s="1"/>
  <c r="BS77" i="4" s="1"/>
  <c r="BU274" i="4"/>
  <c r="BU275" i="4"/>
  <c r="BU288" i="4" s="1"/>
  <c r="BU1165" i="4"/>
  <c r="BU1166" i="4"/>
  <c r="BU15" i="66" s="1"/>
  <c r="BU273" i="4"/>
  <c r="N208" i="4"/>
  <c r="N209" i="4"/>
  <c r="N205" i="4"/>
  <c r="N207" i="4"/>
  <c r="N269" i="4" s="1"/>
  <c r="N234" i="4"/>
  <c r="N206" i="4"/>
  <c r="N256" i="4"/>
  <c r="N257" i="4"/>
  <c r="N233" i="4"/>
  <c r="N232" i="4"/>
  <c r="N255" i="4"/>
  <c r="N210" i="4"/>
  <c r="N254" i="4"/>
  <c r="N231" i="4"/>
  <c r="N204" i="4"/>
  <c r="N159" i="4"/>
  <c r="N160" i="4"/>
  <c r="N167" i="4"/>
  <c r="N166" i="4"/>
  <c r="N175" i="4"/>
  <c r="N211" i="4"/>
  <c r="N173" i="4"/>
  <c r="N174" i="4"/>
  <c r="N168" i="4"/>
  <c r="N161" i="4"/>
  <c r="N162" i="4"/>
  <c r="N176" i="4"/>
  <c r="N169" i="4"/>
  <c r="O85" i="4"/>
  <c r="BT747" i="4"/>
  <c r="BT530" i="4"/>
  <c r="BT54" i="11"/>
  <c r="BT543" i="4"/>
  <c r="BT62" i="4"/>
  <c r="BT528" i="4" s="1"/>
  <c r="BS63" i="4"/>
  <c r="BS1312" i="4" s="1"/>
  <c r="BT70" i="4"/>
  <c r="BT141" i="4"/>
  <c r="BT226" i="4"/>
  <c r="BT32" i="4"/>
  <c r="BT126" i="4"/>
  <c r="L209" i="4"/>
  <c r="L256" i="4"/>
  <c r="L207" i="4"/>
  <c r="L254" i="4"/>
  <c r="L206" i="4"/>
  <c r="L205" i="4"/>
  <c r="L232" i="4"/>
  <c r="L208" i="4"/>
  <c r="L255" i="4"/>
  <c r="L204" i="4"/>
  <c r="L233" i="4"/>
  <c r="L231" i="4"/>
  <c r="L257" i="4"/>
  <c r="L210" i="4"/>
  <c r="L211" i="4"/>
  <c r="L234" i="4"/>
  <c r="L160" i="4"/>
  <c r="L161" i="4"/>
  <c r="L166" i="4"/>
  <c r="L174" i="4"/>
  <c r="L173" i="4"/>
  <c r="L167" i="4"/>
  <c r="L175" i="4"/>
  <c r="L159" i="4"/>
  <c r="L168" i="4"/>
  <c r="L169" i="4"/>
  <c r="L176" i="4"/>
  <c r="L162" i="4"/>
  <c r="L1417" i="4"/>
  <c r="BT529" i="4"/>
  <c r="BS154" i="4"/>
  <c r="BT67" i="4"/>
  <c r="BT198" i="4"/>
  <c r="BT19" i="4"/>
  <c r="BT20" i="4" s="1"/>
  <c r="BT17" i="4"/>
  <c r="BT37" i="4"/>
  <c r="BT246" i="4"/>
  <c r="BS641" i="4"/>
  <c r="BS640" i="4"/>
  <c r="BS659" i="4" s="1"/>
  <c r="BS645" i="4"/>
  <c r="BS644" i="4"/>
  <c r="BS200" i="4"/>
  <c r="BU241" i="3"/>
  <c r="BU146" i="4" s="1"/>
  <c r="BU151" i="4" s="1"/>
  <c r="BU1083" i="4"/>
  <c r="BU298" i="3"/>
  <c r="BU185" i="4" s="1"/>
  <c r="BU194" i="4" s="1"/>
  <c r="BU28" i="4"/>
  <c r="BU8" i="4"/>
  <c r="BU8" i="64"/>
  <c r="BU8" i="66"/>
  <c r="BU242" i="3"/>
  <c r="BU147" i="4" s="1"/>
  <c r="BU152" i="4" s="1"/>
  <c r="BU329" i="3"/>
  <c r="BU218" i="4" s="1"/>
  <c r="BU8" i="11"/>
  <c r="BU186" i="3"/>
  <c r="BU123" i="4" s="1"/>
  <c r="BU128" i="4" s="1"/>
  <c r="BU8" i="62"/>
  <c r="BU217" i="3"/>
  <c r="BU134" i="4" s="1"/>
  <c r="BU139" i="4" s="1"/>
  <c r="BU16" i="4"/>
  <c r="BU218" i="3"/>
  <c r="BU135" i="4" s="1"/>
  <c r="BU140" i="4" s="1"/>
  <c r="BU216" i="3"/>
  <c r="BU133" i="4" s="1"/>
  <c r="BU185" i="3"/>
  <c r="BU122" i="4" s="1"/>
  <c r="BU127" i="4" s="1"/>
  <c r="BU331" i="3"/>
  <c r="BU220" i="4" s="1"/>
  <c r="BU225" i="4" s="1"/>
  <c r="BU301" i="3"/>
  <c r="BU188" i="4" s="1"/>
  <c r="BU197" i="4" s="1"/>
  <c r="BU184" i="3"/>
  <c r="BU121" i="4" s="1"/>
  <c r="BU356" i="3"/>
  <c r="BU242" i="4" s="1"/>
  <c r="BU247" i="4" s="1"/>
  <c r="BU240" i="3"/>
  <c r="BU145" i="4" s="1"/>
  <c r="BU330" i="3"/>
  <c r="BU219" i="4" s="1"/>
  <c r="BU224" i="4" s="1"/>
  <c r="BU355" i="3"/>
  <c r="BU241" i="4" s="1"/>
  <c r="BU300" i="3"/>
  <c r="BU187" i="4" s="1"/>
  <c r="BU196" i="4" s="1"/>
  <c r="BU297" i="3"/>
  <c r="BU184" i="4" s="1"/>
  <c r="BU193" i="4" s="1"/>
  <c r="BU1106" i="4"/>
  <c r="BU299" i="3"/>
  <c r="BU186" i="4" s="1"/>
  <c r="BU195" i="4" s="1"/>
  <c r="BU357" i="3"/>
  <c r="BU243" i="4" s="1"/>
  <c r="BU248" i="4" s="1"/>
  <c r="BU296" i="3"/>
  <c r="BU183" i="4" s="1"/>
  <c r="BU29" i="4"/>
  <c r="BT61" i="4" s="1"/>
  <c r="BT318" i="4" s="1"/>
  <c r="BU30" i="4"/>
  <c r="BT63" i="4" s="1"/>
  <c r="BT1312" i="4" s="1"/>
  <c r="BU1079" i="4"/>
  <c r="BU1081" i="4"/>
  <c r="BU1082" i="4" s="1"/>
  <c r="BU1107" i="4"/>
  <c r="BT129" i="4"/>
  <c r="BT249" i="4"/>
  <c r="BT75" i="4"/>
  <c r="BT76" i="4" s="1"/>
  <c r="BT82" i="4"/>
  <c r="BT18" i="4"/>
  <c r="BT24" i="4" s="1"/>
  <c r="BT88" i="4"/>
  <c r="BV7" i="3"/>
  <c r="BT335" i="4"/>
  <c r="BT959" i="4" s="1"/>
  <c r="BT287" i="4"/>
  <c r="BT324" i="4" s="1"/>
  <c r="BT68" i="4"/>
  <c r="BT1080" i="4"/>
  <c r="BT1063" i="4"/>
  <c r="BT1066" i="4"/>
  <c r="BT36" i="4"/>
  <c r="BT223" i="4"/>
  <c r="BT33" i="4"/>
  <c r="BT138" i="4"/>
  <c r="BQ662" i="4"/>
  <c r="BS660" i="4"/>
  <c r="BS964" i="4"/>
  <c r="BS605" i="4"/>
  <c r="BS53" i="4"/>
  <c r="BT58" i="4"/>
  <c r="BT1052" i="4"/>
  <c r="M257" i="4"/>
  <c r="M209" i="4"/>
  <c r="M207" i="4"/>
  <c r="M269" i="4" s="1"/>
  <c r="M205" i="4"/>
  <c r="M255" i="4"/>
  <c r="M206" i="4"/>
  <c r="M256" i="4"/>
  <c r="M232" i="4"/>
  <c r="M254" i="4"/>
  <c r="M208" i="4"/>
  <c r="M210" i="4"/>
  <c r="M231" i="4"/>
  <c r="M204" i="4"/>
  <c r="M233" i="4"/>
  <c r="M234" i="4"/>
  <c r="M211" i="4"/>
  <c r="M167" i="4"/>
  <c r="M160" i="4"/>
  <c r="M175" i="4"/>
  <c r="M168" i="4"/>
  <c r="M173" i="4"/>
  <c r="M159" i="4"/>
  <c r="M166" i="4"/>
  <c r="M174" i="4"/>
  <c r="M161" i="4"/>
  <c r="M169" i="4"/>
  <c r="M176" i="4"/>
  <c r="M162" i="4"/>
  <c r="BT15" i="66"/>
  <c r="L1032" i="4"/>
  <c r="L1033" i="4" s="1"/>
  <c r="L1034" i="4" s="1"/>
  <c r="L613" i="4"/>
  <c r="L614" i="4" s="1"/>
  <c r="L606" i="4"/>
  <c r="L608" i="4" s="1"/>
  <c r="L818" i="4"/>
  <c r="L862" i="4"/>
  <c r="L869" i="4"/>
  <c r="L874" i="4"/>
  <c r="L616" i="4"/>
  <c r="L859" i="4"/>
  <c r="L875" i="4"/>
  <c r="L860" i="4"/>
  <c r="L876" i="4"/>
  <c r="L878" i="4"/>
  <c r="L871" i="4"/>
  <c r="L870" i="4"/>
  <c r="L877" i="4"/>
  <c r="L861" i="4"/>
  <c r="L618" i="4"/>
  <c r="L666" i="4"/>
  <c r="L667" i="4"/>
  <c r="L668" i="4"/>
  <c r="BT35" i="4"/>
  <c r="BT192" i="4"/>
  <c r="BS544" i="4"/>
  <c r="BS612" i="4" s="1"/>
  <c r="BS607" i="4"/>
  <c r="BR641" i="4"/>
  <c r="BR644" i="4"/>
  <c r="BR660" i="4" s="1"/>
  <c r="BR645" i="4"/>
  <c r="BR640" i="4"/>
  <c r="BR659" i="4" s="1"/>
  <c r="BU6" i="4"/>
  <c r="BU15" i="4"/>
  <c r="BT27" i="66"/>
  <c r="BT57" i="4"/>
  <c r="BT9" i="66" s="1"/>
  <c r="BT1074" i="4"/>
  <c r="BT295" i="4"/>
  <c r="BT303" i="4" s="1"/>
  <c r="BT1186" i="4"/>
  <c r="BT28" i="66"/>
  <c r="BT9" i="11"/>
  <c r="BT60" i="4"/>
  <c r="BT66" i="4"/>
  <c r="BU66" i="4" s="1"/>
  <c r="BS61" i="4"/>
  <c r="BS318" i="4" s="1"/>
  <c r="BS328" i="4" s="1"/>
  <c r="BT54" i="62"/>
  <c r="BT34" i="4"/>
  <c r="BT150" i="4"/>
  <c r="M79" i="4"/>
  <c r="BT227" i="4" l="1"/>
  <c r="BU529" i="4"/>
  <c r="BT9" i="62"/>
  <c r="BT9" i="64"/>
  <c r="BU329" i="4"/>
  <c r="BU414" i="4" s="1"/>
  <c r="BU415" i="4" s="1"/>
  <c r="BV413" i="4" s="1"/>
  <c r="BT9" i="4"/>
  <c r="BU9" i="4"/>
  <c r="BU60" i="4"/>
  <c r="BT78" i="4"/>
  <c r="L258" i="4"/>
  <c r="M267" i="4"/>
  <c r="N163" i="4"/>
  <c r="L268" i="4"/>
  <c r="L282" i="4" s="1"/>
  <c r="BR661" i="4"/>
  <c r="BT153" i="4"/>
  <c r="L669" i="4"/>
  <c r="L677" i="4"/>
  <c r="L749" i="4"/>
  <c r="L609" i="4"/>
  <c r="BT1075" i="4"/>
  <c r="BU1080" i="4"/>
  <c r="BU1063" i="4"/>
  <c r="BU1066" i="4"/>
  <c r="BU1075" i="4" s="1"/>
  <c r="BU226" i="4"/>
  <c r="BT44" i="4"/>
  <c r="BT51" i="4" s="1"/>
  <c r="BT41" i="4"/>
  <c r="BT48" i="4" s="1"/>
  <c r="BT54" i="4"/>
  <c r="BT60" i="62"/>
  <c r="L619" i="4"/>
  <c r="L620" i="4"/>
  <c r="M266" i="4"/>
  <c r="M170" i="4"/>
  <c r="BU530" i="4"/>
  <c r="BU54" i="11"/>
  <c r="BU747" i="4"/>
  <c r="BU62" i="4"/>
  <c r="BU528" i="4" s="1"/>
  <c r="BU543" i="4"/>
  <c r="BU36" i="4"/>
  <c r="BU223" i="4"/>
  <c r="L163" i="4"/>
  <c r="L265" i="4"/>
  <c r="N265" i="4"/>
  <c r="L863" i="4"/>
  <c r="L864" i="4"/>
  <c r="L865" i="4"/>
  <c r="L866" i="4"/>
  <c r="L908" i="4"/>
  <c r="M265" i="4"/>
  <c r="M163" i="4"/>
  <c r="BT1096" i="4"/>
  <c r="BT1100" i="4" s="1"/>
  <c r="BU295" i="4"/>
  <c r="BU303" i="4" s="1"/>
  <c r="BU1186" i="4"/>
  <c r="BU57" i="4"/>
  <c r="BU54" i="4" s="1"/>
  <c r="BT56" i="4" s="1"/>
  <c r="BU1074" i="4"/>
  <c r="BU27" i="66"/>
  <c r="BU28" i="66"/>
  <c r="BU9" i="64"/>
  <c r="BU37" i="4"/>
  <c r="BU246" i="4"/>
  <c r="BU33" i="4"/>
  <c r="BU40" i="4" s="1"/>
  <c r="BU47" i="4" s="1"/>
  <c r="BU138" i="4"/>
  <c r="BT77" i="4"/>
  <c r="BT199" i="4"/>
  <c r="M268" i="4"/>
  <c r="M212" i="4"/>
  <c r="BT1183" i="4"/>
  <c r="BU141" i="4"/>
  <c r="BT22" i="4"/>
  <c r="BU21" i="4"/>
  <c r="BT540" i="4"/>
  <c r="BT542" i="4" s="1"/>
  <c r="N268" i="4"/>
  <c r="N212" i="4"/>
  <c r="BU34" i="66"/>
  <c r="BT328" i="4"/>
  <c r="BU42" i="4"/>
  <c r="BU49" i="4" s="1"/>
  <c r="BT42" i="4"/>
  <c r="BT49" i="4" s="1"/>
  <c r="M235" i="4"/>
  <c r="M270" i="4"/>
  <c r="BT142" i="4"/>
  <c r="BT83" i="4"/>
  <c r="BT84" i="4" s="1"/>
  <c r="BU35" i="4"/>
  <c r="BU192" i="4"/>
  <c r="BU34" i="4"/>
  <c r="BU41" i="4" s="1"/>
  <c r="BU48" i="4" s="1"/>
  <c r="BU150" i="4"/>
  <c r="L267" i="4"/>
  <c r="BT130" i="4"/>
  <c r="N267" i="4"/>
  <c r="N177" i="4"/>
  <c r="N235" i="4"/>
  <c r="N270" i="4"/>
  <c r="BU82" i="4"/>
  <c r="BU75" i="4"/>
  <c r="BU18" i="4"/>
  <c r="M177" i="4"/>
  <c r="BT40" i="4"/>
  <c r="BT47" i="4" s="1"/>
  <c r="BU249" i="4"/>
  <c r="BU19" i="4"/>
  <c r="BU20" i="4" s="1"/>
  <c r="BU17" i="4"/>
  <c r="BU24" i="4" s="1"/>
  <c r="L270" i="4"/>
  <c r="L235" i="4"/>
  <c r="L271" i="4"/>
  <c r="BT39" i="4"/>
  <c r="BT46" i="4" s="1"/>
  <c r="O232" i="4"/>
  <c r="O233" i="4"/>
  <c r="O205" i="4"/>
  <c r="O208" i="4"/>
  <c r="O234" i="4"/>
  <c r="O255" i="4"/>
  <c r="O204" i="4"/>
  <c r="O207" i="4"/>
  <c r="O269" i="4" s="1"/>
  <c r="O256" i="4"/>
  <c r="O231" i="4"/>
  <c r="O254" i="4"/>
  <c r="O206" i="4"/>
  <c r="O209" i="4"/>
  <c r="O167" i="4"/>
  <c r="O173" i="4"/>
  <c r="O168" i="4"/>
  <c r="O210" i="4"/>
  <c r="O174" i="4"/>
  <c r="O159" i="4"/>
  <c r="O257" i="4"/>
  <c r="O175" i="4"/>
  <c r="O160" i="4"/>
  <c r="O161" i="4"/>
  <c r="O166" i="4"/>
  <c r="O211" i="4"/>
  <c r="O169" i="4"/>
  <c r="O162" i="4"/>
  <c r="O176" i="4"/>
  <c r="P85" i="4"/>
  <c r="N258" i="4"/>
  <c r="N271" i="4"/>
  <c r="BS617" i="4"/>
  <c r="BV8" i="3"/>
  <c r="BW7" i="3" s="1"/>
  <c r="BV7" i="11"/>
  <c r="BV6" i="11" s="1"/>
  <c r="BV86" i="64"/>
  <c r="BV87" i="64" s="1"/>
  <c r="BV7" i="66"/>
  <c r="BV6" i="66" s="1"/>
  <c r="BV7" i="4"/>
  <c r="BV6" i="3"/>
  <c r="BV7" i="62"/>
  <c r="BV6" i="62" s="1"/>
  <c r="BV7" i="64"/>
  <c r="BV6" i="64" s="1"/>
  <c r="BV28" i="64" s="1"/>
  <c r="BV30" i="64" s="1"/>
  <c r="BV53" i="64" s="1"/>
  <c r="BS661" i="4"/>
  <c r="BU32" i="4"/>
  <c r="BU126" i="4"/>
  <c r="BU54" i="62"/>
  <c r="BU53" i="62"/>
  <c r="BT53" i="4"/>
  <c r="BU1052" i="4"/>
  <c r="BU58" i="4"/>
  <c r="BT610" i="3"/>
  <c r="BT965" i="4"/>
  <c r="BU67" i="4"/>
  <c r="BU68" i="4"/>
  <c r="L177" i="4"/>
  <c r="L266" i="4"/>
  <c r="L269" i="4"/>
  <c r="BU70" i="4"/>
  <c r="M1032" i="4"/>
  <c r="M1033" i="4" s="1"/>
  <c r="M1034" i="4" s="1"/>
  <c r="M908" i="4" s="1"/>
  <c r="M862" i="4"/>
  <c r="M616" i="4"/>
  <c r="M869" i="4"/>
  <c r="M860" i="4"/>
  <c r="M874" i="4"/>
  <c r="M818" i="4"/>
  <c r="M896" i="4" s="1"/>
  <c r="M861" i="4"/>
  <c r="M875" i="4"/>
  <c r="M876" i="4"/>
  <c r="M606" i="4"/>
  <c r="M608" i="4" s="1"/>
  <c r="M613" i="4"/>
  <c r="M614" i="4" s="1"/>
  <c r="M620" i="4" s="1"/>
  <c r="M877" i="4"/>
  <c r="M859" i="4"/>
  <c r="M870" i="4"/>
  <c r="M878" i="4"/>
  <c r="M871" i="4"/>
  <c r="M618" i="4"/>
  <c r="M667" i="4"/>
  <c r="M666" i="4"/>
  <c r="M668" i="4"/>
  <c r="N79" i="4"/>
  <c r="BT9" i="3"/>
  <c r="L896" i="4"/>
  <c r="M258" i="4"/>
  <c r="M271" i="4"/>
  <c r="BU43" i="4"/>
  <c r="BU50" i="4" s="1"/>
  <c r="BU636" i="4" s="1"/>
  <c r="BT43" i="4"/>
  <c r="BT50" i="4" s="1"/>
  <c r="BT636" i="4" s="1"/>
  <c r="BU129" i="4"/>
  <c r="BU198" i="4"/>
  <c r="BT250" i="4"/>
  <c r="L170" i="4"/>
  <c r="L212" i="4"/>
  <c r="N266" i="4"/>
  <c r="N170" i="4"/>
  <c r="BU335" i="4"/>
  <c r="BU959" i="4" s="1"/>
  <c r="BU287" i="4"/>
  <c r="BU324" i="4" s="1"/>
  <c r="BU227" i="4" l="1"/>
  <c r="BU78" i="4"/>
  <c r="M619" i="4"/>
  <c r="M628" i="4" s="1"/>
  <c r="L879" i="4"/>
  <c r="O177" i="4"/>
  <c r="M282" i="4"/>
  <c r="BV21" i="4"/>
  <c r="BU22" i="4"/>
  <c r="BW7" i="4"/>
  <c r="BW6" i="3"/>
  <c r="BW7" i="11"/>
  <c r="BW6" i="11" s="1"/>
  <c r="BW7" i="64"/>
  <c r="BW6" i="64" s="1"/>
  <c r="BW28" i="64" s="1"/>
  <c r="BW30" i="64" s="1"/>
  <c r="BW53" i="64" s="1"/>
  <c r="BW8" i="3"/>
  <c r="BW314" i="4" s="1"/>
  <c r="BW86" i="64"/>
  <c r="BW87" i="64" s="1"/>
  <c r="BW7" i="62"/>
  <c r="BW6" i="62" s="1"/>
  <c r="BW7" i="66"/>
  <c r="BW6" i="66" s="1"/>
  <c r="L280" i="4"/>
  <c r="N280" i="4"/>
  <c r="M280" i="4"/>
  <c r="BT964" i="4"/>
  <c r="BT605" i="4"/>
  <c r="BV15" i="4"/>
  <c r="BV6" i="4"/>
  <c r="L281" i="4"/>
  <c r="M281" i="4"/>
  <c r="N281" i="4"/>
  <c r="N276" i="4"/>
  <c r="N334" i="4"/>
  <c r="N960" i="4" s="1"/>
  <c r="L628" i="4"/>
  <c r="L622" i="4"/>
  <c r="L623" i="4" s="1"/>
  <c r="L676" i="4" s="1"/>
  <c r="L680" i="4" s="1"/>
  <c r="L750" i="4"/>
  <c r="BT154" i="4"/>
  <c r="M749" i="4"/>
  <c r="M609" i="4"/>
  <c r="M627" i="4" s="1"/>
  <c r="O170" i="4"/>
  <c r="O266" i="4"/>
  <c r="BU9" i="66"/>
  <c r="BU60" i="62"/>
  <c r="BU44" i="4"/>
  <c r="BU51" i="4" s="1"/>
  <c r="L296" i="4"/>
  <c r="O268" i="4"/>
  <c r="O212" i="4"/>
  <c r="BU39" i="4"/>
  <c r="BU46" i="4" s="1"/>
  <c r="BS56" i="4"/>
  <c r="BU55" i="4"/>
  <c r="BT55" i="4"/>
  <c r="BT65" i="4"/>
  <c r="BU65" i="4" s="1"/>
  <c r="BT53" i="62"/>
  <c r="L627" i="4"/>
  <c r="N260" i="4"/>
  <c r="BT544" i="4"/>
  <c r="BT612" i="4" s="1"/>
  <c r="BT607" i="4"/>
  <c r="BU9" i="3"/>
  <c r="BU9" i="62"/>
  <c r="L279" i="4"/>
  <c r="N279" i="4"/>
  <c r="M279" i="4"/>
  <c r="L276" i="4"/>
  <c r="L334" i="4"/>
  <c r="L754" i="4"/>
  <c r="L755" i="4"/>
  <c r="BS662" i="4"/>
  <c r="P256" i="4"/>
  <c r="P207" i="4"/>
  <c r="P209" i="4"/>
  <c r="P255" i="4"/>
  <c r="P210" i="4"/>
  <c r="P206" i="4"/>
  <c r="P208" i="4"/>
  <c r="P257" i="4"/>
  <c r="P233" i="4"/>
  <c r="P254" i="4"/>
  <c r="P161" i="4"/>
  <c r="P166" i="4"/>
  <c r="P167" i="4"/>
  <c r="P173" i="4"/>
  <c r="P231" i="4"/>
  <c r="P168" i="4"/>
  <c r="P232" i="4"/>
  <c r="P205" i="4"/>
  <c r="P174" i="4"/>
  <c r="P175" i="4"/>
  <c r="P159" i="4"/>
  <c r="P160" i="4"/>
  <c r="P234" i="4"/>
  <c r="P162" i="4"/>
  <c r="P176" i="4"/>
  <c r="P169" i="4"/>
  <c r="P204" i="4"/>
  <c r="P211" i="4"/>
  <c r="Q85" i="4"/>
  <c r="L285" i="4"/>
  <c r="M285" i="4"/>
  <c r="N285" i="4"/>
  <c r="BU88" i="4"/>
  <c r="BU153" i="4"/>
  <c r="BU9" i="11"/>
  <c r="L260" i="4"/>
  <c r="BR662" i="4"/>
  <c r="BT655" i="4"/>
  <c r="BT654" i="4"/>
  <c r="BT637" i="4"/>
  <c r="N616" i="4"/>
  <c r="N818" i="4"/>
  <c r="N878" i="4"/>
  <c r="N1032" i="4"/>
  <c r="N1033" i="4" s="1"/>
  <c r="N1034" i="4" s="1"/>
  <c r="N908" i="4" s="1"/>
  <c r="N870" i="4"/>
  <c r="N862" i="4"/>
  <c r="N861" i="4"/>
  <c r="N877" i="4"/>
  <c r="N869" i="4"/>
  <c r="N613" i="4"/>
  <c r="N614" i="4" s="1"/>
  <c r="N620" i="4" s="1"/>
  <c r="N871" i="4"/>
  <c r="N874" i="4"/>
  <c r="N860" i="4"/>
  <c r="N859" i="4"/>
  <c r="N875" i="4"/>
  <c r="N876" i="4"/>
  <c r="N606" i="4"/>
  <c r="N608" i="4" s="1"/>
  <c r="N618" i="4"/>
  <c r="N667" i="4"/>
  <c r="N666" i="4"/>
  <c r="N668" i="4"/>
  <c r="O79" i="4"/>
  <c r="M296" i="4"/>
  <c r="BV356" i="3"/>
  <c r="BV28" i="4"/>
  <c r="BV301" i="3"/>
  <c r="BV330" i="3"/>
  <c r="BV331" i="3"/>
  <c r="BV299" i="3"/>
  <c r="BV241" i="3"/>
  <c r="BV218" i="3"/>
  <c r="BV8" i="62"/>
  <c r="BV16" i="4"/>
  <c r="BV297" i="3"/>
  <c r="BV8" i="11"/>
  <c r="BV355" i="3"/>
  <c r="BV1106" i="4"/>
  <c r="BV329" i="3"/>
  <c r="BV240" i="3"/>
  <c r="BV8" i="4"/>
  <c r="BV357" i="3"/>
  <c r="BV186" i="3"/>
  <c r="BV300" i="3"/>
  <c r="BV217" i="3"/>
  <c r="BV298" i="3"/>
  <c r="BV184" i="3"/>
  <c r="BV296" i="3"/>
  <c r="BV1083" i="4"/>
  <c r="BV216" i="3"/>
  <c r="BV8" i="66"/>
  <c r="BV185" i="3"/>
  <c r="BV242" i="3"/>
  <c r="BV8" i="64"/>
  <c r="BV30" i="4"/>
  <c r="BV529" i="4" s="1"/>
  <c r="BV29" i="4"/>
  <c r="BV1107" i="4"/>
  <c r="BV1079" i="4"/>
  <c r="BV1081" i="4"/>
  <c r="BV1082" i="4" s="1"/>
  <c r="BV1370" i="4"/>
  <c r="BW1370" i="4" s="1"/>
  <c r="BV1332" i="4"/>
  <c r="BW1332" i="4" s="1"/>
  <c r="O267" i="4"/>
  <c r="M276" i="4"/>
  <c r="N282" i="4"/>
  <c r="BU142" i="4"/>
  <c r="BU655" i="4"/>
  <c r="BU654" i="4"/>
  <c r="BU637" i="4"/>
  <c r="M863" i="4"/>
  <c r="M866" i="4"/>
  <c r="M864" i="4"/>
  <c r="M865" i="4"/>
  <c r="L283" i="4"/>
  <c r="M283" i="4"/>
  <c r="O283" i="4"/>
  <c r="N283" i="4"/>
  <c r="BV67" i="4"/>
  <c r="BU965" i="4"/>
  <c r="BU610" i="3"/>
  <c r="BV68" i="4"/>
  <c r="O265" i="4"/>
  <c r="O163" i="4"/>
  <c r="O271" i="4"/>
  <c r="O258" i="4"/>
  <c r="BU76" i="4"/>
  <c r="BU77" i="4" s="1"/>
  <c r="BU199" i="4"/>
  <c r="M260" i="4"/>
  <c r="BU540" i="4"/>
  <c r="BU542" i="4" s="1"/>
  <c r="M669" i="4"/>
  <c r="M677" i="4"/>
  <c r="BU130" i="4"/>
  <c r="BV314" i="4"/>
  <c r="O235" i="4"/>
  <c r="O270" i="4"/>
  <c r="O284" i="4" s="1"/>
  <c r="L284" i="4"/>
  <c r="N284" i="4"/>
  <c r="M284" i="4"/>
  <c r="BU83" i="4"/>
  <c r="BU84" i="4" s="1"/>
  <c r="BT200" i="4"/>
  <c r="BU250" i="4"/>
  <c r="BT1417" i="4"/>
  <c r="M334" i="4"/>
  <c r="M960" i="4" s="1"/>
  <c r="M622" i="4" l="1"/>
  <c r="M623" i="4" s="1"/>
  <c r="M676" i="4" s="1"/>
  <c r="M680" i="4" s="1"/>
  <c r="M889" i="4" s="1"/>
  <c r="M890" i="4" s="1"/>
  <c r="M891" i="4" s="1"/>
  <c r="M750" i="4"/>
  <c r="M762" i="4" s="1"/>
  <c r="M879" i="4"/>
  <c r="BV1165" i="4"/>
  <c r="BV273" i="4"/>
  <c r="BV275" i="4"/>
  <c r="BV288" i="4" s="1"/>
  <c r="BV1166" i="4"/>
  <c r="BV15" i="66" s="1"/>
  <c r="BV274" i="4"/>
  <c r="BV329" i="4"/>
  <c r="BV414" i="4" s="1"/>
  <c r="BV415" i="4" s="1"/>
  <c r="BW413" i="4" s="1"/>
  <c r="BU607" i="4"/>
  <c r="BU544" i="4"/>
  <c r="BU612" i="4" s="1"/>
  <c r="BV28" i="66"/>
  <c r="BV57" i="4"/>
  <c r="BV9" i="4" s="1"/>
  <c r="BV1186" i="4"/>
  <c r="BV295" i="4"/>
  <c r="BV303" i="4" s="1"/>
  <c r="BV1074" i="4"/>
  <c r="BV27" i="66"/>
  <c r="BV60" i="4"/>
  <c r="BU61" i="4"/>
  <c r="BU318" i="4" s="1"/>
  <c r="BU328" i="4" s="1"/>
  <c r="BV66" i="4"/>
  <c r="BV17" i="4"/>
  <c r="BV19" i="4"/>
  <c r="BV20" i="4" s="1"/>
  <c r="BV54" i="62"/>
  <c r="BV242" i="4"/>
  <c r="BV247" i="4" s="1"/>
  <c r="N896" i="4"/>
  <c r="L1041" i="4"/>
  <c r="L65" i="62"/>
  <c r="L33" i="66"/>
  <c r="L81" i="11"/>
  <c r="L1214" i="4"/>
  <c r="L1241" i="4"/>
  <c r="BU1096" i="4"/>
  <c r="BU1100" i="4" s="1"/>
  <c r="P177" i="4"/>
  <c r="P267" i="4"/>
  <c r="P281" i="4" s="1"/>
  <c r="N81" i="11"/>
  <c r="N82" i="11" s="1"/>
  <c r="N33" i="66"/>
  <c r="N32" i="66" s="1"/>
  <c r="N1214" i="4"/>
  <c r="N1241" i="4"/>
  <c r="N1041" i="4"/>
  <c r="N65" i="62"/>
  <c r="O281" i="4"/>
  <c r="BV75" i="4"/>
  <c r="BV76" i="4" s="1"/>
  <c r="BV77" i="4" s="1"/>
  <c r="BV82" i="4"/>
  <c r="BV18" i="4"/>
  <c r="BW15" i="4"/>
  <c r="BW6" i="4"/>
  <c r="M1241" i="4"/>
  <c r="M33" i="66"/>
  <c r="M32" i="66" s="1"/>
  <c r="M1214" i="4"/>
  <c r="M65" i="62"/>
  <c r="M1041" i="4"/>
  <c r="M81" i="11"/>
  <c r="M82" i="11" s="1"/>
  <c r="BV965" i="4"/>
  <c r="BV610" i="3"/>
  <c r="BV530" i="4"/>
  <c r="BV54" i="11"/>
  <c r="BV747" i="4"/>
  <c r="BV543" i="4"/>
  <c r="BV62" i="4"/>
  <c r="BV528" i="4" s="1"/>
  <c r="BU63" i="4"/>
  <c r="BU1312" i="4" s="1"/>
  <c r="BV70" i="4"/>
  <c r="BV183" i="4"/>
  <c r="BV145" i="4"/>
  <c r="BV135" i="4"/>
  <c r="BV140" i="4" s="1"/>
  <c r="N609" i="4"/>
  <c r="N749" i="4"/>
  <c r="N619" i="4"/>
  <c r="Q168" i="4"/>
  <c r="Q232" i="4"/>
  <c r="Q167" i="4"/>
  <c r="Q205" i="4"/>
  <c r="Q207" i="4"/>
  <c r="Q269" i="4" s="1"/>
  <c r="Q209" i="4"/>
  <c r="Q256" i="4"/>
  <c r="Q175" i="4"/>
  <c r="Q233" i="4"/>
  <c r="Q206" i="4"/>
  <c r="Q174" i="4"/>
  <c r="Q255" i="4"/>
  <c r="Q160" i="4"/>
  <c r="Q208" i="4"/>
  <c r="Q161" i="4"/>
  <c r="Q204" i="4"/>
  <c r="Q254" i="4"/>
  <c r="Q234" i="4"/>
  <c r="Q162" i="4"/>
  <c r="Q169" i="4"/>
  <c r="Q159" i="4"/>
  <c r="Q166" i="4"/>
  <c r="Q173" i="4"/>
  <c r="Q257" i="4"/>
  <c r="Q231" i="4"/>
  <c r="Q210" i="4"/>
  <c r="Q176" i="4"/>
  <c r="Q211" i="4"/>
  <c r="R85" i="4"/>
  <c r="P163" i="4"/>
  <c r="P265" i="4"/>
  <c r="P279" i="4" s="1"/>
  <c r="L758" i="4"/>
  <c r="L759" i="4"/>
  <c r="L757" i="4"/>
  <c r="L756" i="4"/>
  <c r="L960" i="4"/>
  <c r="BU1183" i="4"/>
  <c r="O282" i="4"/>
  <c r="BV60" i="62"/>
  <c r="O280" i="4"/>
  <c r="BW1166" i="4"/>
  <c r="BW275" i="4"/>
  <c r="BW288" i="4" s="1"/>
  <c r="BW329" i="4" s="1"/>
  <c r="BW414" i="4" s="1"/>
  <c r="BW415" i="4" s="1"/>
  <c r="BX413" i="4" s="1"/>
  <c r="BW273" i="4"/>
  <c r="BW1165" i="4"/>
  <c r="BW274" i="4"/>
  <c r="BV121" i="4"/>
  <c r="BV218" i="4"/>
  <c r="BV146" i="4"/>
  <c r="BV151" i="4" s="1"/>
  <c r="BT641" i="4"/>
  <c r="BT640" i="4"/>
  <c r="BT659" i="4" s="1"/>
  <c r="BT644" i="4"/>
  <c r="BT645" i="4"/>
  <c r="P170" i="4"/>
  <c r="P266" i="4"/>
  <c r="P280" i="4" s="1"/>
  <c r="O260" i="4"/>
  <c r="L762" i="4"/>
  <c r="L764" i="4"/>
  <c r="L763" i="4"/>
  <c r="BU645" i="4"/>
  <c r="BU641" i="4"/>
  <c r="BU640" i="4"/>
  <c r="BU644" i="4"/>
  <c r="BV185" i="4"/>
  <c r="BV194" i="4" s="1"/>
  <c r="BV186" i="4"/>
  <c r="BV195" i="4" s="1"/>
  <c r="O860" i="4"/>
  <c r="O861" i="4"/>
  <c r="O818" i="4"/>
  <c r="O896" i="4" s="1"/>
  <c r="O876" i="4"/>
  <c r="O862" i="4"/>
  <c r="O859" i="4"/>
  <c r="O1032" i="4"/>
  <c r="O1033" i="4" s="1"/>
  <c r="O1034" i="4" s="1"/>
  <c r="O908" i="4" s="1"/>
  <c r="O871" i="4"/>
  <c r="O877" i="4"/>
  <c r="O870" i="4"/>
  <c r="O875" i="4"/>
  <c r="O878" i="4"/>
  <c r="O874" i="4"/>
  <c r="O869" i="4"/>
  <c r="O613" i="4"/>
  <c r="O614" i="4" s="1"/>
  <c r="O620" i="4" s="1"/>
  <c r="O606" i="4"/>
  <c r="O608" i="4" s="1"/>
  <c r="O616" i="4"/>
  <c r="O618" i="4"/>
  <c r="O666" i="4"/>
  <c r="O668" i="4"/>
  <c r="O667" i="4"/>
  <c r="P79" i="4"/>
  <c r="P268" i="4"/>
  <c r="P212" i="4"/>
  <c r="L789" i="4"/>
  <c r="L751" i="4"/>
  <c r="L629" i="4"/>
  <c r="BW216" i="3"/>
  <c r="BW133" i="4" s="1"/>
  <c r="BW357" i="3"/>
  <c r="BW243" i="4" s="1"/>
  <c r="BW248" i="4" s="1"/>
  <c r="BW28" i="4"/>
  <c r="BW241" i="3"/>
  <c r="BW146" i="4" s="1"/>
  <c r="BW151" i="4" s="1"/>
  <c r="BW299" i="3"/>
  <c r="BW186" i="4" s="1"/>
  <c r="BW195" i="4" s="1"/>
  <c r="BW296" i="3"/>
  <c r="BW183" i="4" s="1"/>
  <c r="BW240" i="3"/>
  <c r="BW145" i="4" s="1"/>
  <c r="BW8" i="4"/>
  <c r="BW186" i="3"/>
  <c r="BW123" i="4" s="1"/>
  <c r="BW185" i="3"/>
  <c r="BW122" i="4" s="1"/>
  <c r="BW127" i="4" s="1"/>
  <c r="BW218" i="3"/>
  <c r="BW135" i="4" s="1"/>
  <c r="BW140" i="4" s="1"/>
  <c r="BW8" i="66"/>
  <c r="BW184" i="3"/>
  <c r="BW121" i="4" s="1"/>
  <c r="BW126" i="4" s="1"/>
  <c r="BW329" i="3"/>
  <c r="BW218" i="4" s="1"/>
  <c r="BW1083" i="4"/>
  <c r="BW1106" i="4"/>
  <c r="BW300" i="3"/>
  <c r="BW187" i="4" s="1"/>
  <c r="BW196" i="4" s="1"/>
  <c r="BW298" i="3"/>
  <c r="BW185" i="4" s="1"/>
  <c r="BW194" i="4" s="1"/>
  <c r="BW242" i="3"/>
  <c r="BW147" i="4" s="1"/>
  <c r="BW152" i="4" s="1"/>
  <c r="BW8" i="62"/>
  <c r="BW16" i="4"/>
  <c r="BW217" i="3"/>
  <c r="BW134" i="4" s="1"/>
  <c r="BW139" i="4" s="1"/>
  <c r="BW8" i="11"/>
  <c r="BW297" i="3"/>
  <c r="BW184" i="4" s="1"/>
  <c r="BW193" i="4" s="1"/>
  <c r="BW356" i="3"/>
  <c r="BW242" i="4" s="1"/>
  <c r="BW247" i="4" s="1"/>
  <c r="BW8" i="64"/>
  <c r="BW355" i="3"/>
  <c r="BW241" i="4" s="1"/>
  <c r="BW331" i="3"/>
  <c r="BW220" i="4" s="1"/>
  <c r="BW225" i="4" s="1"/>
  <c r="BW301" i="3"/>
  <c r="BW188" i="4" s="1"/>
  <c r="BW197" i="4" s="1"/>
  <c r="BW330" i="3"/>
  <c r="BW219" i="4" s="1"/>
  <c r="BW224" i="4" s="1"/>
  <c r="BW29" i="4"/>
  <c r="BW30" i="4"/>
  <c r="BV63" i="4" s="1"/>
  <c r="BV1312" i="4" s="1"/>
  <c r="BW1079" i="4"/>
  <c r="BW1107" i="4"/>
  <c r="BW1081" i="4"/>
  <c r="BW1082" i="4" s="1"/>
  <c r="BU659" i="4"/>
  <c r="BV147" i="4"/>
  <c r="BV152" i="4" s="1"/>
  <c r="BV134" i="4"/>
  <c r="BV139" i="4" s="1"/>
  <c r="BV241" i="4"/>
  <c r="BV220" i="4"/>
  <c r="BV225" i="4" s="1"/>
  <c r="N864" i="4"/>
  <c r="N863" i="4"/>
  <c r="N865" i="4"/>
  <c r="N866" i="4"/>
  <c r="BT660" i="4"/>
  <c r="P271" i="4"/>
  <c r="P258" i="4"/>
  <c r="P269" i="4"/>
  <c r="M289" i="4"/>
  <c r="M810" i="4"/>
  <c r="M815" i="4" s="1"/>
  <c r="M685" i="4"/>
  <c r="L685" i="4"/>
  <c r="BX7" i="3"/>
  <c r="O334" i="4"/>
  <c r="O960" i="4" s="1"/>
  <c r="O276" i="4"/>
  <c r="BU660" i="4"/>
  <c r="BV122" i="4"/>
  <c r="BV127" i="4" s="1"/>
  <c r="BV187" i="4"/>
  <c r="BV196" i="4" s="1"/>
  <c r="BV219" i="4"/>
  <c r="BV224" i="4" s="1"/>
  <c r="N677" i="4"/>
  <c r="N669" i="4"/>
  <c r="O285" i="4"/>
  <c r="O279" i="4"/>
  <c r="L810" i="4"/>
  <c r="M754" i="4"/>
  <c r="M755" i="4"/>
  <c r="L889" i="4"/>
  <c r="BV1080" i="4"/>
  <c r="BV1063" i="4"/>
  <c r="BV1066" i="4"/>
  <c r="BV1075" i="4" s="1"/>
  <c r="BV123" i="4"/>
  <c r="BV128" i="4" s="1"/>
  <c r="BV184" i="4"/>
  <c r="BV193" i="4" s="1"/>
  <c r="BV188" i="4"/>
  <c r="BV197" i="4" s="1"/>
  <c r="BU154" i="4"/>
  <c r="N289" i="4"/>
  <c r="BT617" i="4"/>
  <c r="L304" i="4"/>
  <c r="M304" i="4"/>
  <c r="BU200" i="4"/>
  <c r="BU964" i="4"/>
  <c r="BU605" i="4"/>
  <c r="BV133" i="4"/>
  <c r="BV243" i="4"/>
  <c r="BV248" i="4" s="1"/>
  <c r="BU53" i="4"/>
  <c r="BV58" i="4"/>
  <c r="BV1052" i="4"/>
  <c r="P235" i="4"/>
  <c r="P270" i="4"/>
  <c r="L289" i="4"/>
  <c r="BV24" i="4" l="1"/>
  <c r="BV61" i="4"/>
  <c r="BV318" i="4" s="1"/>
  <c r="BV9" i="62"/>
  <c r="BW529" i="4"/>
  <c r="BV9" i="66"/>
  <c r="BW15" i="66"/>
  <c r="BV540" i="4"/>
  <c r="BV542" i="4" s="1"/>
  <c r="M764" i="4"/>
  <c r="M767" i="4" s="1"/>
  <c r="M763" i="4"/>
  <c r="M629" i="4"/>
  <c r="M630" i="4" s="1"/>
  <c r="M809" i="4" s="1"/>
  <c r="M751" i="4"/>
  <c r="M772" i="4" s="1"/>
  <c r="M789" i="4"/>
  <c r="N879" i="4"/>
  <c r="O619" i="4"/>
  <c r="O622" i="4" s="1"/>
  <c r="O623" i="4" s="1"/>
  <c r="O789" i="4" s="1"/>
  <c r="P284" i="4"/>
  <c r="BV226" i="4"/>
  <c r="BV198" i="4"/>
  <c r="N296" i="4"/>
  <c r="BV328" i="4"/>
  <c r="BV249" i="4"/>
  <c r="L890" i="4"/>
  <c r="L815" i="4"/>
  <c r="BW226" i="4"/>
  <c r="BW54" i="62"/>
  <c r="O669" i="4"/>
  <c r="O677" i="4"/>
  <c r="Q235" i="4"/>
  <c r="Q270" i="4"/>
  <c r="Q271" i="4"/>
  <c r="Q258" i="4"/>
  <c r="BV141" i="4"/>
  <c r="M759" i="4"/>
  <c r="M758" i="4"/>
  <c r="M756" i="4"/>
  <c r="M757" i="4"/>
  <c r="BV37" i="4"/>
  <c r="BV246" i="4"/>
  <c r="BW37" i="4"/>
  <c r="BW246" i="4"/>
  <c r="BW141" i="4"/>
  <c r="BV53" i="4"/>
  <c r="BW58" i="4"/>
  <c r="BW1052" i="4"/>
  <c r="P282" i="4"/>
  <c r="O296" i="4"/>
  <c r="Q268" i="4"/>
  <c r="Q212" i="4"/>
  <c r="BW70" i="4"/>
  <c r="BV335" i="4"/>
  <c r="BV959" i="4" s="1"/>
  <c r="BV287" i="4"/>
  <c r="BV324" i="4" s="1"/>
  <c r="BV33" i="4"/>
  <c r="BV138" i="4"/>
  <c r="Q283" i="4"/>
  <c r="P283" i="4"/>
  <c r="BW1080" i="4"/>
  <c r="BW1063" i="4"/>
  <c r="BW1066" i="4"/>
  <c r="BW1075" i="4" s="1"/>
  <c r="BW198" i="4"/>
  <c r="BW249" i="4"/>
  <c r="P334" i="4"/>
  <c r="P960" i="4" s="1"/>
  <c r="P276" i="4"/>
  <c r="Q267" i="4"/>
  <c r="Q177" i="4"/>
  <c r="BV34" i="4"/>
  <c r="BV150" i="4"/>
  <c r="BV605" i="4"/>
  <c r="BV964" i="4"/>
  <c r="L82" i="11"/>
  <c r="BV9" i="11"/>
  <c r="BV54" i="4"/>
  <c r="BV129" i="4"/>
  <c r="O289" i="4"/>
  <c r="BW747" i="4"/>
  <c r="BW543" i="4"/>
  <c r="BW530" i="4"/>
  <c r="BW62" i="4"/>
  <c r="BW528" i="4" s="1"/>
  <c r="BW54" i="11"/>
  <c r="BW32" i="4"/>
  <c r="BW128" i="4"/>
  <c r="BW33" i="4"/>
  <c r="BW138" i="4"/>
  <c r="BW335" i="4"/>
  <c r="BW959" i="4" s="1"/>
  <c r="BW287" i="4"/>
  <c r="P260" i="4"/>
  <c r="Q266" i="4"/>
  <c r="Q170" i="4"/>
  <c r="N628" i="4"/>
  <c r="N750" i="4"/>
  <c r="N622" i="4"/>
  <c r="N623" i="4" s="1"/>
  <c r="BV88" i="4"/>
  <c r="BV1183" i="4" s="1"/>
  <c r="N1345" i="4"/>
  <c r="N1310" i="4"/>
  <c r="L32" i="66"/>
  <c r="BV9" i="64"/>
  <c r="P285" i="4"/>
  <c r="BW27" i="66"/>
  <c r="BW57" i="4"/>
  <c r="BW9" i="3" s="1"/>
  <c r="BW1074" i="4"/>
  <c r="BW28" i="66"/>
  <c r="BW1186" i="4"/>
  <c r="BW295" i="4"/>
  <c r="BW303" i="4" s="1"/>
  <c r="BW9" i="64"/>
  <c r="BW9" i="62"/>
  <c r="BW19" i="4"/>
  <c r="BW20" i="4" s="1"/>
  <c r="BW17" i="4"/>
  <c r="L630" i="4"/>
  <c r="BT661" i="4"/>
  <c r="BT662" i="4" s="1"/>
  <c r="O749" i="4"/>
  <c r="O609" i="4"/>
  <c r="O627" i="4" s="1"/>
  <c r="BV36" i="4"/>
  <c r="BV223" i="4"/>
  <c r="R233" i="4"/>
  <c r="R161" i="4"/>
  <c r="R205" i="4"/>
  <c r="R208" i="4"/>
  <c r="R255" i="4"/>
  <c r="R206" i="4"/>
  <c r="R254" i="4"/>
  <c r="R234" i="4"/>
  <c r="R256" i="4"/>
  <c r="R232" i="4"/>
  <c r="R174" i="4"/>
  <c r="R162" i="4"/>
  <c r="R207" i="4"/>
  <c r="R168" i="4"/>
  <c r="R175" i="4"/>
  <c r="R167" i="4"/>
  <c r="R160" i="4"/>
  <c r="R209" i="4"/>
  <c r="R159" i="4"/>
  <c r="R173" i="4"/>
  <c r="R210" i="4"/>
  <c r="R204" i="4"/>
  <c r="R166" i="4"/>
  <c r="R169" i="4"/>
  <c r="R257" i="4"/>
  <c r="R231" i="4"/>
  <c r="R211" i="4"/>
  <c r="R176" i="4"/>
  <c r="S85" i="4"/>
  <c r="Q163" i="4"/>
  <c r="Q265" i="4"/>
  <c r="BV35" i="4"/>
  <c r="BV42" i="4" s="1"/>
  <c r="BV49" i="4" s="1"/>
  <c r="BV192" i="4"/>
  <c r="BW68" i="4"/>
  <c r="BV83" i="4"/>
  <c r="BV84" i="4" s="1"/>
  <c r="BU1417" i="4"/>
  <c r="BV22" i="4"/>
  <c r="BW21" i="4"/>
  <c r="BV9" i="3"/>
  <c r="BW60" i="4"/>
  <c r="BV34" i="66"/>
  <c r="BW34" i="4"/>
  <c r="BW150" i="4"/>
  <c r="L772" i="4"/>
  <c r="L771" i="4"/>
  <c r="P870" i="4"/>
  <c r="P876" i="4"/>
  <c r="P862" i="4"/>
  <c r="P818" i="4"/>
  <c r="P896" i="4" s="1"/>
  <c r="P874" i="4"/>
  <c r="P859" i="4"/>
  <c r="P875" i="4"/>
  <c r="P869" i="4"/>
  <c r="P861" i="4"/>
  <c r="P860" i="4"/>
  <c r="P871" i="4"/>
  <c r="P878" i="4"/>
  <c r="P1032" i="4"/>
  <c r="P1033" i="4" s="1"/>
  <c r="P1034" i="4" s="1"/>
  <c r="P908" i="4" s="1"/>
  <c r="P877" i="4"/>
  <c r="P606" i="4"/>
  <c r="P608" i="4" s="1"/>
  <c r="P613" i="4"/>
  <c r="P614" i="4" s="1"/>
  <c r="P620" i="4" s="1"/>
  <c r="P616" i="4"/>
  <c r="P618" i="4"/>
  <c r="P667" i="4"/>
  <c r="P666" i="4"/>
  <c r="P668" i="4"/>
  <c r="Q79" i="4"/>
  <c r="BW34" i="66"/>
  <c r="N754" i="4"/>
  <c r="N755" i="4"/>
  <c r="BW67" i="4"/>
  <c r="BW75" i="4"/>
  <c r="BW82" i="4"/>
  <c r="BW18" i="4"/>
  <c r="BV78" i="4"/>
  <c r="BX7" i="4"/>
  <c r="BX7" i="62"/>
  <c r="BX6" i="62" s="1"/>
  <c r="BX86" i="64"/>
  <c r="BX87" i="64" s="1"/>
  <c r="BX7" i="66"/>
  <c r="BX6" i="66" s="1"/>
  <c r="BX7" i="64"/>
  <c r="BX6" i="64" s="1"/>
  <c r="BX28" i="64" s="1"/>
  <c r="BX30" i="64" s="1"/>
  <c r="BX53" i="64" s="1"/>
  <c r="BX314" i="4"/>
  <c r="BX6" i="3"/>
  <c r="BX7" i="11"/>
  <c r="BX6" i="11" s="1"/>
  <c r="BX8" i="3"/>
  <c r="BY7" i="3" s="1"/>
  <c r="BU661" i="4"/>
  <c r="BW36" i="4"/>
  <c r="BW223" i="4"/>
  <c r="BW35" i="4"/>
  <c r="BW192" i="4"/>
  <c r="L793" i="4"/>
  <c r="L792" i="4"/>
  <c r="L791" i="4"/>
  <c r="L795" i="4"/>
  <c r="L794" i="4"/>
  <c r="O865" i="4"/>
  <c r="O864" i="4"/>
  <c r="O863" i="4"/>
  <c r="O866" i="4"/>
  <c r="L767" i="4"/>
  <c r="L768" i="4"/>
  <c r="L765" i="4"/>
  <c r="L766" i="4"/>
  <c r="O65" i="62"/>
  <c r="O81" i="11"/>
  <c r="O82" i="11" s="1"/>
  <c r="O1214" i="4"/>
  <c r="O1241" i="4"/>
  <c r="O1041" i="4"/>
  <c r="O33" i="66"/>
  <c r="O32" i="66" s="1"/>
  <c r="BV32" i="4"/>
  <c r="BV126" i="4"/>
  <c r="BW60" i="62"/>
  <c r="N627" i="4"/>
  <c r="M1345" i="4"/>
  <c r="M1310" i="4"/>
  <c r="BW66" i="4"/>
  <c r="BU617" i="4"/>
  <c r="BW227" i="4" l="1"/>
  <c r="BV227" i="4"/>
  <c r="BW24" i="4"/>
  <c r="BW9" i="4"/>
  <c r="M766" i="4"/>
  <c r="M765" i="4"/>
  <c r="M768" i="4"/>
  <c r="M771" i="4"/>
  <c r="O750" i="4"/>
  <c r="O762" i="4" s="1"/>
  <c r="O628" i="4"/>
  <c r="O685" i="4" s="1"/>
  <c r="M682" i="4"/>
  <c r="M684" i="4" s="1"/>
  <c r="M956" i="4" s="1"/>
  <c r="P289" i="4"/>
  <c r="Q260" i="4"/>
  <c r="Q1214" i="4" s="1"/>
  <c r="M791" i="4"/>
  <c r="M792" i="4"/>
  <c r="M794" i="4"/>
  <c r="M793" i="4"/>
  <c r="M795" i="4"/>
  <c r="BW78" i="4"/>
  <c r="O879" i="4"/>
  <c r="BX21" i="4"/>
  <c r="BW22" i="4"/>
  <c r="BY86" i="64"/>
  <c r="BY87" i="64" s="1"/>
  <c r="BY7" i="4"/>
  <c r="BY7" i="11"/>
  <c r="BY6" i="11" s="1"/>
  <c r="BY8" i="3"/>
  <c r="BZ7" i="3" s="1"/>
  <c r="BY6" i="3"/>
  <c r="BY7" i="64"/>
  <c r="BY6" i="64" s="1"/>
  <c r="BY28" i="64" s="1"/>
  <c r="BY30" i="64" s="1"/>
  <c r="BY53" i="64" s="1"/>
  <c r="BY7" i="66"/>
  <c r="BY6" i="66" s="1"/>
  <c r="BY7" i="62"/>
  <c r="BY6" i="62" s="1"/>
  <c r="BW39" i="4"/>
  <c r="BV39" i="4"/>
  <c r="BV46" i="4" s="1"/>
  <c r="BW965" i="4"/>
  <c r="BW610" i="3"/>
  <c r="L773" i="4"/>
  <c r="L775" i="4"/>
  <c r="L774" i="4"/>
  <c r="L776" i="4"/>
  <c r="BW9" i="66"/>
  <c r="BW54" i="4"/>
  <c r="Q280" i="4"/>
  <c r="BV250" i="4"/>
  <c r="BX1165" i="4"/>
  <c r="BX274" i="4"/>
  <c r="BX275" i="4"/>
  <c r="BX288" i="4" s="1"/>
  <c r="BX329" i="4" s="1"/>
  <c r="BX414" i="4" s="1"/>
  <c r="BX415" i="4" s="1"/>
  <c r="BY413" i="4" s="1"/>
  <c r="BX273" i="4"/>
  <c r="BX34" i="66" s="1"/>
  <c r="BX1166" i="4"/>
  <c r="N756" i="4"/>
  <c r="N758" i="4"/>
  <c r="N759" i="4"/>
  <c r="N757" i="4"/>
  <c r="BW153" i="4"/>
  <c r="Q279" i="4"/>
  <c r="Q334" i="4"/>
  <c r="Q276" i="4"/>
  <c r="R266" i="4"/>
  <c r="R170" i="4"/>
  <c r="R271" i="4"/>
  <c r="R285" i="4" s="1"/>
  <c r="R258" i="4"/>
  <c r="O794" i="4"/>
  <c r="O793" i="4"/>
  <c r="O795" i="4"/>
  <c r="O792" i="4"/>
  <c r="O791" i="4"/>
  <c r="BV1096" i="4"/>
  <c r="BV1100" i="4" s="1"/>
  <c r="P33" i="66"/>
  <c r="P1041" i="4"/>
  <c r="P81" i="11"/>
  <c r="P82" i="11" s="1"/>
  <c r="P1214" i="4"/>
  <c r="P65" i="62"/>
  <c r="P1241" i="4"/>
  <c r="BW142" i="4"/>
  <c r="L1345" i="4"/>
  <c r="L1310" i="4"/>
  <c r="BV153" i="4"/>
  <c r="BV142" i="4"/>
  <c r="BW44" i="4"/>
  <c r="BV44" i="4"/>
  <c r="BV51" i="4" s="1"/>
  <c r="L111" i="64"/>
  <c r="BW199" i="4"/>
  <c r="BU662" i="4"/>
  <c r="P619" i="4"/>
  <c r="R212" i="4"/>
  <c r="R268" i="4"/>
  <c r="O810" i="4"/>
  <c r="O815" i="4" s="1"/>
  <c r="L809" i="4"/>
  <c r="L682" i="4"/>
  <c r="BW41" i="4"/>
  <c r="BV41" i="4"/>
  <c r="BV48" i="4" s="1"/>
  <c r="BW40" i="4"/>
  <c r="BV40" i="4"/>
  <c r="BV47" i="4" s="1"/>
  <c r="Q285" i="4"/>
  <c r="BW42" i="4"/>
  <c r="BW49" i="4" s="1"/>
  <c r="S160" i="4"/>
  <c r="S256" i="4"/>
  <c r="S174" i="4"/>
  <c r="S207" i="4"/>
  <c r="S269" i="4" s="1"/>
  <c r="S255" i="4"/>
  <c r="S205" i="4"/>
  <c r="S161" i="4"/>
  <c r="S168" i="4"/>
  <c r="S232" i="4"/>
  <c r="S206" i="4"/>
  <c r="S167" i="4"/>
  <c r="S209" i="4"/>
  <c r="S233" i="4"/>
  <c r="S175" i="4"/>
  <c r="S208" i="4"/>
  <c r="S231" i="4"/>
  <c r="S173" i="4"/>
  <c r="S254" i="4"/>
  <c r="S234" i="4"/>
  <c r="S159" i="4"/>
  <c r="S162" i="4"/>
  <c r="S257" i="4"/>
  <c r="S169" i="4"/>
  <c r="S204" i="4"/>
  <c r="S166" i="4"/>
  <c r="S210" i="4"/>
  <c r="S176" i="4"/>
  <c r="S211" i="4"/>
  <c r="T85" i="4"/>
  <c r="R269" i="4"/>
  <c r="O754" i="4"/>
  <c r="O755" i="4"/>
  <c r="N789" i="4"/>
  <c r="N751" i="4"/>
  <c r="N629" i="4"/>
  <c r="N676" i="4"/>
  <c r="BW129" i="4"/>
  <c r="BW130" i="4" s="1"/>
  <c r="M773" i="4"/>
  <c r="M775" i="4"/>
  <c r="M114" i="64" s="1"/>
  <c r="M776" i="4"/>
  <c r="M774" i="4"/>
  <c r="M814" i="4"/>
  <c r="M813" i="4"/>
  <c r="M816" i="4"/>
  <c r="Q284" i="4"/>
  <c r="N810" i="4"/>
  <c r="P749" i="4"/>
  <c r="P609" i="4"/>
  <c r="R177" i="4"/>
  <c r="R267" i="4"/>
  <c r="R281" i="4" s="1"/>
  <c r="BW43" i="4"/>
  <c r="BV43" i="4"/>
  <c r="BV50" i="4" s="1"/>
  <c r="BV636" i="4" s="1"/>
  <c r="N763" i="4"/>
  <c r="N762" i="4"/>
  <c r="N764" i="4"/>
  <c r="M111" i="64"/>
  <c r="BW88" i="4"/>
  <c r="BW1096" i="4" s="1"/>
  <c r="BW1100" i="4" s="1"/>
  <c r="BW1417" i="4" s="1"/>
  <c r="Q877" i="4"/>
  <c r="Q875" i="4"/>
  <c r="Q1032" i="4"/>
  <c r="Q1033" i="4" s="1"/>
  <c r="Q1034" i="4" s="1"/>
  <c r="Q908" i="4" s="1"/>
  <c r="Q861" i="4"/>
  <c r="Q871" i="4"/>
  <c r="Q862" i="4"/>
  <c r="Q818" i="4"/>
  <c r="Q878" i="4"/>
  <c r="Q859" i="4"/>
  <c r="Q869" i="4"/>
  <c r="Q870" i="4"/>
  <c r="Q874" i="4"/>
  <c r="Q860" i="4"/>
  <c r="Q876" i="4"/>
  <c r="Q616" i="4"/>
  <c r="Q606" i="4"/>
  <c r="Q608" i="4" s="1"/>
  <c r="Q613" i="4"/>
  <c r="Q614" i="4" s="1"/>
  <c r="Q620" i="4" s="1"/>
  <c r="Q618" i="4"/>
  <c r="Q667" i="4"/>
  <c r="Q666" i="4"/>
  <c r="Q668" i="4"/>
  <c r="R79" i="4"/>
  <c r="P863" i="4"/>
  <c r="P865" i="4"/>
  <c r="P866" i="4"/>
  <c r="P864" i="4"/>
  <c r="R265" i="4"/>
  <c r="R163" i="4"/>
  <c r="N685" i="4"/>
  <c r="O676" i="4"/>
  <c r="O680" i="4" s="1"/>
  <c r="O889" i="4" s="1"/>
  <c r="O890" i="4" s="1"/>
  <c r="O891" i="4" s="1"/>
  <c r="O629" i="4"/>
  <c r="O751" i="4"/>
  <c r="BW540" i="4"/>
  <c r="BW542" i="4" s="1"/>
  <c r="BW324" i="4"/>
  <c r="BW250" i="4"/>
  <c r="O1310" i="4"/>
  <c r="O1345" i="4"/>
  <c r="BX16" i="4"/>
  <c r="BX241" i="3"/>
  <c r="BX329" i="3"/>
  <c r="BX217" i="3"/>
  <c r="BX242" i="3"/>
  <c r="BX301" i="3"/>
  <c r="BX298" i="3"/>
  <c r="BX218" i="3"/>
  <c r="BX1106" i="4"/>
  <c r="BX297" i="3"/>
  <c r="BX1083" i="4"/>
  <c r="BX8" i="62"/>
  <c r="BX240" i="3"/>
  <c r="BX331" i="3"/>
  <c r="BX299" i="3"/>
  <c r="BX8" i="4"/>
  <c r="BX216" i="3"/>
  <c r="BX296" i="3"/>
  <c r="BX8" i="66"/>
  <c r="BX8" i="11"/>
  <c r="BX355" i="3"/>
  <c r="BX28" i="4"/>
  <c r="BX330" i="3"/>
  <c r="BX184" i="3"/>
  <c r="BX357" i="3"/>
  <c r="BX185" i="3"/>
  <c r="BX300" i="3"/>
  <c r="BX8" i="64"/>
  <c r="BX356" i="3"/>
  <c r="BX186" i="3"/>
  <c r="BX30" i="4"/>
  <c r="BX67" i="4" s="1"/>
  <c r="BX29" i="4"/>
  <c r="BX1079" i="4"/>
  <c r="BX1107" i="4"/>
  <c r="BX1081" i="4"/>
  <c r="BX1082" i="4" s="1"/>
  <c r="BX1332" i="4"/>
  <c r="BY1332" i="4" s="1"/>
  <c r="BX1370" i="4"/>
  <c r="BX15" i="4"/>
  <c r="BX6" i="4"/>
  <c r="BW83" i="4"/>
  <c r="BW84" i="4" s="1"/>
  <c r="BV199" i="4"/>
  <c r="R235" i="4"/>
  <c r="R270" i="4"/>
  <c r="BV55" i="4"/>
  <c r="BW55" i="4"/>
  <c r="BU56" i="4"/>
  <c r="BV53" i="62"/>
  <c r="BV65" i="4"/>
  <c r="BW65" i="4" s="1"/>
  <c r="L891" i="4"/>
  <c r="N304" i="4"/>
  <c r="O304" i="4"/>
  <c r="BV130" i="4"/>
  <c r="L796" i="4"/>
  <c r="BW76" i="4"/>
  <c r="BW77" i="4" s="1"/>
  <c r="P677" i="4"/>
  <c r="P669" i="4"/>
  <c r="P296" i="4"/>
  <c r="P304" i="4" s="1"/>
  <c r="BW9" i="11"/>
  <c r="Q281" i="4"/>
  <c r="Q282" i="4"/>
  <c r="BV544" i="4"/>
  <c r="BV612" i="4" s="1"/>
  <c r="BV607" i="4"/>
  <c r="M112" i="64" l="1"/>
  <c r="Q33" i="66"/>
  <c r="Q32" i="66" s="1"/>
  <c r="BY314" i="4"/>
  <c r="BY275" i="4" s="1"/>
  <c r="BY288" i="4" s="1"/>
  <c r="BY329" i="4" s="1"/>
  <c r="BY414" i="4" s="1"/>
  <c r="BY415" i="4" s="1"/>
  <c r="BZ413" i="4" s="1"/>
  <c r="BX15" i="66"/>
  <c r="BY1370" i="4"/>
  <c r="M113" i="64"/>
  <c r="M928" i="4"/>
  <c r="M1050" i="4"/>
  <c r="M992" i="4"/>
  <c r="M1215" i="4"/>
  <c r="M1257" i="4"/>
  <c r="M69" i="11"/>
  <c r="M44" i="11"/>
  <c r="M115" i="64"/>
  <c r="O630" i="4"/>
  <c r="O809" i="4" s="1"/>
  <c r="O764" i="4"/>
  <c r="O766" i="4" s="1"/>
  <c r="O763" i="4"/>
  <c r="Q1241" i="4"/>
  <c r="Q65" i="62"/>
  <c r="Q1041" i="4"/>
  <c r="Q81" i="11"/>
  <c r="Q82" i="11" s="1"/>
  <c r="Q1345" i="4" s="1"/>
  <c r="M796" i="4"/>
  <c r="M824" i="4" s="1"/>
  <c r="Q619" i="4"/>
  <c r="Q622" i="4" s="1"/>
  <c r="Q623" i="4" s="1"/>
  <c r="Q789" i="4" s="1"/>
  <c r="P879" i="4"/>
  <c r="O796" i="4"/>
  <c r="O824" i="4" s="1"/>
  <c r="BZ8" i="3"/>
  <c r="BZ7" i="66"/>
  <c r="BZ6" i="66" s="1"/>
  <c r="BZ7" i="11"/>
  <c r="BZ6" i="11" s="1"/>
  <c r="BZ7" i="64"/>
  <c r="BZ6" i="64" s="1"/>
  <c r="BZ28" i="64" s="1"/>
  <c r="BZ30" i="64" s="1"/>
  <c r="BZ53" i="64" s="1"/>
  <c r="BZ7" i="62"/>
  <c r="BZ6" i="62" s="1"/>
  <c r="BZ6" i="3"/>
  <c r="BZ7" i="4"/>
  <c r="BZ86" i="64"/>
  <c r="BZ87" i="64" s="1"/>
  <c r="BZ314" i="4"/>
  <c r="CA7" i="3"/>
  <c r="BX965" i="4"/>
  <c r="BX610" i="3"/>
  <c r="BV200" i="4"/>
  <c r="BX54" i="62"/>
  <c r="BX134" i="4"/>
  <c r="BX139" i="4" s="1"/>
  <c r="O759" i="4"/>
  <c r="O756" i="4"/>
  <c r="O758" i="4"/>
  <c r="O757" i="4"/>
  <c r="S258" i="4"/>
  <c r="S271" i="4"/>
  <c r="BV154" i="4"/>
  <c r="BV56" i="4"/>
  <c r="BW53" i="62"/>
  <c r="BW605" i="4"/>
  <c r="BW964" i="4"/>
  <c r="N815" i="4"/>
  <c r="BV617" i="4"/>
  <c r="BX187" i="4"/>
  <c r="BX196" i="4" s="1"/>
  <c r="BX218" i="4"/>
  <c r="Q866" i="4"/>
  <c r="Q864" i="4"/>
  <c r="Q865" i="4"/>
  <c r="Q863" i="4"/>
  <c r="S266" i="4"/>
  <c r="S170" i="4"/>
  <c r="S177" i="4"/>
  <c r="S267" i="4"/>
  <c r="BW48" i="4"/>
  <c r="BW200" i="4"/>
  <c r="BW51" i="4"/>
  <c r="R280" i="4"/>
  <c r="BX68" i="4"/>
  <c r="BX241" i="4"/>
  <c r="M777" i="4"/>
  <c r="BX1063" i="4"/>
  <c r="BX1080" i="4"/>
  <c r="BX1066" i="4"/>
  <c r="BX1075" i="4" s="1"/>
  <c r="BX122" i="4"/>
  <c r="BX127" i="4" s="1"/>
  <c r="BX183" i="4"/>
  <c r="BX184" i="4"/>
  <c r="BX193" i="4" s="1"/>
  <c r="BX146" i="4"/>
  <c r="BX151" i="4" s="1"/>
  <c r="Q749" i="4"/>
  <c r="Q609" i="4"/>
  <c r="Q627" i="4" s="1"/>
  <c r="BW1183" i="4"/>
  <c r="P627" i="4"/>
  <c r="S268" i="4"/>
  <c r="S212" i="4"/>
  <c r="S270" i="4"/>
  <c r="S235" i="4"/>
  <c r="P1310" i="4"/>
  <c r="P1345" i="4"/>
  <c r="Q960" i="4"/>
  <c r="BY356" i="3"/>
  <c r="BY242" i="4" s="1"/>
  <c r="BY247" i="4" s="1"/>
  <c r="BY297" i="3"/>
  <c r="BY184" i="4" s="1"/>
  <c r="BY193" i="4" s="1"/>
  <c r="BY217" i="3"/>
  <c r="BY134" i="4" s="1"/>
  <c r="BY139" i="4" s="1"/>
  <c r="BY218" i="3"/>
  <c r="BY135" i="4" s="1"/>
  <c r="BY140" i="4" s="1"/>
  <c r="BY8" i="4"/>
  <c r="BY298" i="3"/>
  <c r="BY185" i="4" s="1"/>
  <c r="BY194" i="4" s="1"/>
  <c r="BY8" i="62"/>
  <c r="BY8" i="66"/>
  <c r="BY184" i="3"/>
  <c r="BY121" i="4" s="1"/>
  <c r="BY126" i="4" s="1"/>
  <c r="BY299" i="3"/>
  <c r="BY186" i="4" s="1"/>
  <c r="BY195" i="4" s="1"/>
  <c r="BY8" i="11"/>
  <c r="BY8" i="64"/>
  <c r="BY186" i="3"/>
  <c r="BY123" i="4" s="1"/>
  <c r="BY128" i="4" s="1"/>
  <c r="BY357" i="3"/>
  <c r="BY243" i="4" s="1"/>
  <c r="BY248" i="4" s="1"/>
  <c r="BY296" i="3"/>
  <c r="BY183" i="4" s="1"/>
  <c r="BY28" i="4"/>
  <c r="BX53" i="4" s="1"/>
  <c r="BY301" i="3"/>
  <c r="BY188" i="4" s="1"/>
  <c r="BY197" i="4" s="1"/>
  <c r="BY300" i="3"/>
  <c r="BY187" i="4" s="1"/>
  <c r="BY196" i="4" s="1"/>
  <c r="BY330" i="3"/>
  <c r="BY219" i="4" s="1"/>
  <c r="BY224" i="4" s="1"/>
  <c r="BY1083" i="4"/>
  <c r="BY331" i="3"/>
  <c r="BY220" i="4" s="1"/>
  <c r="BY225" i="4" s="1"/>
  <c r="BY185" i="3"/>
  <c r="BY122" i="4" s="1"/>
  <c r="BY240" i="3"/>
  <c r="BY145" i="4" s="1"/>
  <c r="BY242" i="3"/>
  <c r="BY147" i="4" s="1"/>
  <c r="BY152" i="4" s="1"/>
  <c r="BY241" i="3"/>
  <c r="BY146" i="4" s="1"/>
  <c r="BY151" i="4" s="1"/>
  <c r="BY1106" i="4"/>
  <c r="BY16" i="4"/>
  <c r="BY355" i="3"/>
  <c r="BY241" i="4" s="1"/>
  <c r="BY216" i="3"/>
  <c r="BY133" i="4" s="1"/>
  <c r="BY329" i="3"/>
  <c r="BY218" i="4" s="1"/>
  <c r="BY30" i="4"/>
  <c r="BY67" i="4" s="1"/>
  <c r="BY29" i="4"/>
  <c r="BY60" i="4" s="1"/>
  <c r="BY1081" i="4"/>
  <c r="BY1082" i="4" s="1"/>
  <c r="BY1107" i="4"/>
  <c r="BY1079" i="4"/>
  <c r="BX145" i="4"/>
  <c r="N768" i="4"/>
  <c r="N767" i="4"/>
  <c r="N766" i="4"/>
  <c r="N765" i="4"/>
  <c r="BX1074" i="4"/>
  <c r="BX1186" i="4"/>
  <c r="BX295" i="4"/>
  <c r="BX303" i="4" s="1"/>
  <c r="BX27" i="66"/>
  <c r="BX57" i="4"/>
  <c r="BX9" i="62" s="1"/>
  <c r="BX28" i="66"/>
  <c r="BX60" i="4"/>
  <c r="BW61" i="4"/>
  <c r="BW318" i="4" s="1"/>
  <c r="BW328" i="4" s="1"/>
  <c r="BX243" i="4"/>
  <c r="BX248" i="4" s="1"/>
  <c r="BX133" i="4"/>
  <c r="Q896" i="4"/>
  <c r="P755" i="4"/>
  <c r="P754" i="4"/>
  <c r="N680" i="4"/>
  <c r="R282" i="4"/>
  <c r="L119" i="64"/>
  <c r="L118" i="64" s="1"/>
  <c r="Q289" i="4"/>
  <c r="BX242" i="4"/>
  <c r="BX247" i="4" s="1"/>
  <c r="L112" i="64"/>
  <c r="L824" i="4"/>
  <c r="BX54" i="11"/>
  <c r="BX747" i="4"/>
  <c r="BX62" i="4"/>
  <c r="BX528" i="4" s="1"/>
  <c r="BX543" i="4"/>
  <c r="BX63" i="4"/>
  <c r="BX1312" i="4" s="1"/>
  <c r="BX530" i="4"/>
  <c r="BX540" i="4" s="1"/>
  <c r="BY70" i="4"/>
  <c r="BW63" i="4"/>
  <c r="BW1312" i="4" s="1"/>
  <c r="BX70" i="4"/>
  <c r="BX121" i="4"/>
  <c r="BX19" i="4"/>
  <c r="BX20" i="4" s="1"/>
  <c r="BX17" i="4"/>
  <c r="BX135" i="4"/>
  <c r="BX140" i="4" s="1"/>
  <c r="R871" i="4"/>
  <c r="R869" i="4"/>
  <c r="R862" i="4"/>
  <c r="R861" i="4"/>
  <c r="R818" i="4"/>
  <c r="R896" i="4" s="1"/>
  <c r="R874" i="4"/>
  <c r="R877" i="4"/>
  <c r="R1032" i="4"/>
  <c r="R1033" i="4" s="1"/>
  <c r="R1034" i="4" s="1"/>
  <c r="R908" i="4" s="1"/>
  <c r="R859" i="4"/>
  <c r="R870" i="4"/>
  <c r="R878" i="4"/>
  <c r="R875" i="4"/>
  <c r="R860" i="4"/>
  <c r="R876" i="4"/>
  <c r="R613" i="4"/>
  <c r="R614" i="4" s="1"/>
  <c r="R620" i="4" s="1"/>
  <c r="R616" i="4"/>
  <c r="R606" i="4"/>
  <c r="R608" i="4" s="1"/>
  <c r="R618" i="4"/>
  <c r="R667" i="4"/>
  <c r="R666" i="4"/>
  <c r="R668" i="4"/>
  <c r="S79" i="4"/>
  <c r="M119" i="64"/>
  <c r="M65" i="64" s="1"/>
  <c r="BV654" i="4"/>
  <c r="BV655" i="4"/>
  <c r="BV637" i="4"/>
  <c r="N630" i="4"/>
  <c r="S283" i="4"/>
  <c r="R283" i="4"/>
  <c r="P628" i="4"/>
  <c r="P750" i="4"/>
  <c r="P622" i="4"/>
  <c r="P623" i="4" s="1"/>
  <c r="R284" i="4"/>
  <c r="P32" i="66"/>
  <c r="L115" i="64"/>
  <c r="BY6" i="4"/>
  <c r="BY15" i="4"/>
  <c r="BZ1332" i="4"/>
  <c r="BX147" i="4"/>
  <c r="BX152" i="4" s="1"/>
  <c r="BX75" i="4"/>
  <c r="BX18" i="4"/>
  <c r="BX82" i="4"/>
  <c r="BX529" i="4"/>
  <c r="BX219" i="4"/>
  <c r="BX224" i="4" s="1"/>
  <c r="BX186" i="4"/>
  <c r="BX195" i="4" s="1"/>
  <c r="BX185" i="4"/>
  <c r="BX194" i="4" s="1"/>
  <c r="BW544" i="4"/>
  <c r="BW612" i="4" s="1"/>
  <c r="BW607" i="4"/>
  <c r="R260" i="4"/>
  <c r="Q669" i="4"/>
  <c r="L777" i="4"/>
  <c r="L811" i="4" s="1"/>
  <c r="BW50" i="4"/>
  <c r="BW636" i="4" s="1"/>
  <c r="N771" i="4"/>
  <c r="N772" i="4"/>
  <c r="T233" i="4"/>
  <c r="T255" i="4"/>
  <c r="T206" i="4"/>
  <c r="T167" i="4"/>
  <c r="T168" i="4"/>
  <c r="T208" i="4"/>
  <c r="T160" i="4"/>
  <c r="T175" i="4"/>
  <c r="T256" i="4"/>
  <c r="T161" i="4"/>
  <c r="T207" i="4"/>
  <c r="T174" i="4"/>
  <c r="T232" i="4"/>
  <c r="T205" i="4"/>
  <c r="T209" i="4"/>
  <c r="T210" i="4"/>
  <c r="T234" i="4"/>
  <c r="T173" i="4"/>
  <c r="T257" i="4"/>
  <c r="T166" i="4"/>
  <c r="T159" i="4"/>
  <c r="T231" i="4"/>
  <c r="T204" i="4"/>
  <c r="T169" i="4"/>
  <c r="T162" i="4"/>
  <c r="T254" i="4"/>
  <c r="T211" i="4"/>
  <c r="T176" i="4"/>
  <c r="U85" i="4"/>
  <c r="BW154" i="4"/>
  <c r="L113" i="64"/>
  <c r="BW46" i="4"/>
  <c r="BY1165" i="4"/>
  <c r="BY274" i="4"/>
  <c r="BY273" i="4"/>
  <c r="BY1166" i="4"/>
  <c r="L813" i="4"/>
  <c r="L814" i="4"/>
  <c r="L816" i="4"/>
  <c r="BZ1370" i="4"/>
  <c r="BX123" i="4"/>
  <c r="BX128" i="4" s="1"/>
  <c r="BW53" i="4"/>
  <c r="BX58" i="4"/>
  <c r="BX1052" i="4"/>
  <c r="BX220" i="4"/>
  <c r="BX225" i="4" s="1"/>
  <c r="BX188" i="4"/>
  <c r="BX197" i="4" s="1"/>
  <c r="O771" i="4"/>
  <c r="O772" i="4"/>
  <c r="R276" i="4"/>
  <c r="R334" i="4"/>
  <c r="R960" i="4" s="1"/>
  <c r="R279" i="4"/>
  <c r="Q677" i="4"/>
  <c r="N795" i="4"/>
  <c r="N791" i="4"/>
  <c r="N793" i="4"/>
  <c r="N794" i="4"/>
  <c r="N792" i="4"/>
  <c r="S265" i="4"/>
  <c r="S163" i="4"/>
  <c r="BX66" i="4"/>
  <c r="BW47" i="4"/>
  <c r="L44" i="11"/>
  <c r="L69" i="11"/>
  <c r="L684" i="4"/>
  <c r="L1257" i="4"/>
  <c r="L992" i="4"/>
  <c r="L1215" i="4"/>
  <c r="L928" i="4"/>
  <c r="L929" i="4" s="1"/>
  <c r="L930" i="4" s="1"/>
  <c r="L1050" i="4"/>
  <c r="BV1417" i="4"/>
  <c r="BX335" i="4"/>
  <c r="BX959" i="4" s="1"/>
  <c r="BX287" i="4"/>
  <c r="BX324" i="4" s="1"/>
  <c r="L114" i="64"/>
  <c r="BX542" i="4" l="1"/>
  <c r="M116" i="64"/>
  <c r="O768" i="4"/>
  <c r="O765" i="4"/>
  <c r="O111" i="64"/>
  <c r="O119" i="64" s="1"/>
  <c r="O65" i="64" s="1"/>
  <c r="O767" i="4"/>
  <c r="BX9" i="11"/>
  <c r="BX9" i="3"/>
  <c r="BY66" i="4"/>
  <c r="BX9" i="4"/>
  <c r="M120" i="64"/>
  <c r="M64" i="64" s="1"/>
  <c r="M80" i="64" s="1"/>
  <c r="O682" i="4"/>
  <c r="O684" i="4" s="1"/>
  <c r="O956" i="4" s="1"/>
  <c r="Q750" i="4"/>
  <c r="Q763" i="4" s="1"/>
  <c r="Q1310" i="4"/>
  <c r="Q628" i="4"/>
  <c r="Q685" i="4" s="1"/>
  <c r="Q879" i="4"/>
  <c r="M118" i="64"/>
  <c r="R289" i="4"/>
  <c r="R669" i="4"/>
  <c r="R619" i="4"/>
  <c r="R628" i="4" s="1"/>
  <c r="BY965" i="4"/>
  <c r="BY610" i="3"/>
  <c r="Q792" i="4"/>
  <c r="Q794" i="4"/>
  <c r="Q795" i="4"/>
  <c r="Q793" i="4"/>
  <c r="Q791" i="4"/>
  <c r="BX83" i="4"/>
  <c r="BX84" i="4" s="1"/>
  <c r="BY33" i="4"/>
  <c r="BY138" i="4"/>
  <c r="BX36" i="4"/>
  <c r="BX223" i="4"/>
  <c r="L956" i="4"/>
  <c r="T270" i="4"/>
  <c r="T235" i="4"/>
  <c r="P762" i="4"/>
  <c r="P763" i="4"/>
  <c r="P764" i="4"/>
  <c r="L120" i="64"/>
  <c r="L121" i="64" s="1"/>
  <c r="BX9" i="66"/>
  <c r="BY1080" i="4"/>
  <c r="BY1063" i="4"/>
  <c r="BY1066" i="4"/>
  <c r="BY1075" i="4" s="1"/>
  <c r="BY37" i="4"/>
  <c r="BY246" i="4"/>
  <c r="BY141" i="4"/>
  <c r="S284" i="4"/>
  <c r="T268" i="4"/>
  <c r="T282" i="4" s="1"/>
  <c r="T212" i="4"/>
  <c r="R33" i="66"/>
  <c r="R1241" i="4"/>
  <c r="R1041" i="4"/>
  <c r="R1214" i="4"/>
  <c r="R65" i="62"/>
  <c r="R81" i="11"/>
  <c r="BY226" i="4"/>
  <c r="BX129" i="4"/>
  <c r="T163" i="4"/>
  <c r="T265" i="4"/>
  <c r="T279" i="4" s="1"/>
  <c r="BW617" i="4"/>
  <c r="BX76" i="4"/>
  <c r="BX77" i="4" s="1"/>
  <c r="BX78" i="4"/>
  <c r="P685" i="4"/>
  <c r="BX32" i="4"/>
  <c r="BX126" i="4"/>
  <c r="P756" i="4"/>
  <c r="P757" i="4"/>
  <c r="P758" i="4"/>
  <c r="P759" i="4"/>
  <c r="BX9" i="64"/>
  <c r="CA7" i="64"/>
  <c r="CA6" i="64" s="1"/>
  <c r="CA28" i="64" s="1"/>
  <c r="CA30" i="64" s="1"/>
  <c r="CA53" i="64" s="1"/>
  <c r="CA7" i="62"/>
  <c r="CA6" i="62" s="1"/>
  <c r="CA8" i="3"/>
  <c r="CA314" i="4" s="1"/>
  <c r="CA6" i="3"/>
  <c r="CA7" i="66"/>
  <c r="CA6" i="66" s="1"/>
  <c r="CA7" i="4"/>
  <c r="CA86" i="64"/>
  <c r="CA87" i="64" s="1"/>
  <c r="CA7" i="11"/>
  <c r="CA6" i="11" s="1"/>
  <c r="U207" i="4"/>
  <c r="U269" i="4" s="1"/>
  <c r="U168" i="4"/>
  <c r="U174" i="4"/>
  <c r="U208" i="4"/>
  <c r="U206" i="4"/>
  <c r="U175" i="4"/>
  <c r="U205" i="4"/>
  <c r="U209" i="4"/>
  <c r="U255" i="4"/>
  <c r="U161" i="4"/>
  <c r="U232" i="4"/>
  <c r="U167" i="4"/>
  <c r="U160" i="4"/>
  <c r="U256" i="4"/>
  <c r="U233" i="4"/>
  <c r="U210" i="4"/>
  <c r="U169" i="4"/>
  <c r="U204" i="4"/>
  <c r="U162" i="4"/>
  <c r="U231" i="4"/>
  <c r="U166" i="4"/>
  <c r="U254" i="4"/>
  <c r="U257" i="4"/>
  <c r="U159" i="4"/>
  <c r="U173" i="4"/>
  <c r="U234" i="4"/>
  <c r="U211" i="4"/>
  <c r="U176" i="4"/>
  <c r="V85" i="4"/>
  <c r="T266" i="4"/>
  <c r="T170" i="4"/>
  <c r="BW655" i="4"/>
  <c r="BW654" i="4"/>
  <c r="BW637" i="4"/>
  <c r="N809" i="4"/>
  <c r="N682" i="4"/>
  <c r="M73" i="64"/>
  <c r="M81" i="64"/>
  <c r="R749" i="4"/>
  <c r="R609" i="4"/>
  <c r="R627" i="4" s="1"/>
  <c r="R810" i="4" s="1"/>
  <c r="R815" i="4" s="1"/>
  <c r="R864" i="4"/>
  <c r="R866" i="4"/>
  <c r="R865" i="4"/>
  <c r="R863" i="4"/>
  <c r="BX33" i="4"/>
  <c r="BX138" i="4"/>
  <c r="S282" i="4"/>
  <c r="M823" i="4"/>
  <c r="M811" i="4"/>
  <c r="M817" i="4" s="1"/>
  <c r="S285" i="4"/>
  <c r="BX605" i="4"/>
  <c r="BX964" i="4"/>
  <c r="BZ1165" i="4"/>
  <c r="BZ274" i="4"/>
  <c r="BZ1166" i="4"/>
  <c r="BZ273" i="4"/>
  <c r="BZ275" i="4"/>
  <c r="BZ288" i="4" s="1"/>
  <c r="BZ329" i="4" s="1"/>
  <c r="BZ414" i="4" s="1"/>
  <c r="BZ415" i="4" s="1"/>
  <c r="CA413" i="4" s="1"/>
  <c r="BZ185" i="3"/>
  <c r="BZ122" i="4" s="1"/>
  <c r="BZ127" i="4" s="1"/>
  <c r="BZ218" i="3"/>
  <c r="BZ135" i="4" s="1"/>
  <c r="BZ140" i="4" s="1"/>
  <c r="BZ184" i="3"/>
  <c r="BZ121" i="4" s="1"/>
  <c r="BZ355" i="3"/>
  <c r="BZ241" i="4" s="1"/>
  <c r="BZ241" i="3"/>
  <c r="BZ146" i="4" s="1"/>
  <c r="BZ151" i="4" s="1"/>
  <c r="BZ8" i="62"/>
  <c r="BZ331" i="3"/>
  <c r="BZ220" i="4" s="1"/>
  <c r="BZ225" i="4" s="1"/>
  <c r="BZ8" i="66"/>
  <c r="BZ16" i="4"/>
  <c r="BZ299" i="3"/>
  <c r="BZ186" i="4" s="1"/>
  <c r="BZ195" i="4" s="1"/>
  <c r="BZ8" i="4"/>
  <c r="BZ330" i="3"/>
  <c r="BZ300" i="3"/>
  <c r="BZ187" i="4" s="1"/>
  <c r="BZ196" i="4" s="1"/>
  <c r="BZ186" i="3"/>
  <c r="BZ123" i="4" s="1"/>
  <c r="BZ128" i="4" s="1"/>
  <c r="BZ357" i="3"/>
  <c r="BZ28" i="4"/>
  <c r="BZ329" i="3"/>
  <c r="BZ218" i="4" s="1"/>
  <c r="BZ1106" i="4"/>
  <c r="BZ301" i="3"/>
  <c r="BZ296" i="3"/>
  <c r="BZ183" i="4" s="1"/>
  <c r="BZ240" i="3"/>
  <c r="BZ145" i="4" s="1"/>
  <c r="BZ217" i="3"/>
  <c r="BZ134" i="4" s="1"/>
  <c r="BZ139" i="4" s="1"/>
  <c r="BZ8" i="11"/>
  <c r="BZ297" i="3"/>
  <c r="BZ184" i="4" s="1"/>
  <c r="BZ193" i="4" s="1"/>
  <c r="BZ1083" i="4"/>
  <c r="BZ8" i="64"/>
  <c r="BZ298" i="3"/>
  <c r="BZ185" i="4" s="1"/>
  <c r="BZ194" i="4" s="1"/>
  <c r="BZ242" i="3"/>
  <c r="BZ147" i="4" s="1"/>
  <c r="BZ152" i="4" s="1"/>
  <c r="BZ356" i="3"/>
  <c r="BZ242" i="4" s="1"/>
  <c r="BZ247" i="4" s="1"/>
  <c r="BZ216" i="3"/>
  <c r="BZ133" i="4" s="1"/>
  <c r="BZ29" i="4"/>
  <c r="BZ30" i="4"/>
  <c r="BZ67" i="4" s="1"/>
  <c r="BZ1081" i="4"/>
  <c r="BZ1082" i="4" s="1"/>
  <c r="BZ1107" i="4"/>
  <c r="BZ1079" i="4"/>
  <c r="S276" i="4"/>
  <c r="S334" i="4"/>
  <c r="S279" i="4"/>
  <c r="N111" i="64"/>
  <c r="N774" i="4"/>
  <c r="N775" i="4"/>
  <c r="N773" i="4"/>
  <c r="N776" i="4"/>
  <c r="BY57" i="4"/>
  <c r="BY54" i="4" s="1"/>
  <c r="BY61" i="4"/>
  <c r="BY318" i="4" s="1"/>
  <c r="BZ60" i="4"/>
  <c r="BY1074" i="4"/>
  <c r="BY28" i="66"/>
  <c r="BY1186" i="4"/>
  <c r="BY295" i="4"/>
  <c r="BY303" i="4" s="1"/>
  <c r="BY27" i="66"/>
  <c r="BY9" i="3"/>
  <c r="Q810" i="4"/>
  <c r="Q815" i="4" s="1"/>
  <c r="BX35" i="4"/>
  <c r="BX192" i="4"/>
  <c r="BY129" i="4"/>
  <c r="P810" i="4"/>
  <c r="CA1332" i="4"/>
  <c r="N796" i="4"/>
  <c r="BY34" i="66"/>
  <c r="T271" i="4"/>
  <c r="T258" i="4"/>
  <c r="T177" i="4"/>
  <c r="T267" i="4"/>
  <c r="T281" i="4" s="1"/>
  <c r="L823" i="4"/>
  <c r="BX198" i="4"/>
  <c r="Q296" i="4"/>
  <c r="BX249" i="4"/>
  <c r="BY747" i="4"/>
  <c r="BY62" i="4"/>
  <c r="BY528" i="4" s="1"/>
  <c r="BY63" i="4"/>
  <c r="BY1312" i="4" s="1"/>
  <c r="BY54" i="11"/>
  <c r="BY543" i="4"/>
  <c r="BY530" i="4"/>
  <c r="BZ70" i="4"/>
  <c r="BY58" i="4"/>
  <c r="BY1052" i="4"/>
  <c r="Q755" i="4"/>
  <c r="Q754" i="4"/>
  <c r="BX37" i="4"/>
  <c r="BX246" i="4"/>
  <c r="BY68" i="4"/>
  <c r="BZ15" i="4"/>
  <c r="BZ6" i="4"/>
  <c r="P789" i="4"/>
  <c r="P629" i="4"/>
  <c r="P751" i="4"/>
  <c r="P676" i="4"/>
  <c r="BY21" i="4"/>
  <c r="BX22" i="4"/>
  <c r="BX34" i="4"/>
  <c r="BX150" i="4"/>
  <c r="BX226" i="4"/>
  <c r="L19" i="11"/>
  <c r="M927" i="4"/>
  <c r="M929" i="4" s="1"/>
  <c r="M930" i="4" s="1"/>
  <c r="L931" i="4"/>
  <c r="BZ66" i="4"/>
  <c r="O774" i="4"/>
  <c r="O113" i="64" s="1"/>
  <c r="O776" i="4"/>
  <c r="O773" i="4"/>
  <c r="O775" i="4"/>
  <c r="BY335" i="4"/>
  <c r="BY959" i="4" s="1"/>
  <c r="BY287" i="4"/>
  <c r="BY324" i="4" s="1"/>
  <c r="BY75" i="4"/>
  <c r="BY82" i="4"/>
  <c r="BY18" i="4"/>
  <c r="S862" i="4"/>
  <c r="S859" i="4"/>
  <c r="S860" i="4"/>
  <c r="S876" i="4"/>
  <c r="S861" i="4"/>
  <c r="S877" i="4"/>
  <c r="S875" i="4"/>
  <c r="S869" i="4"/>
  <c r="S878" i="4"/>
  <c r="S871" i="4"/>
  <c r="S818" i="4"/>
  <c r="S874" i="4"/>
  <c r="S1032" i="4"/>
  <c r="S1033" i="4" s="1"/>
  <c r="S1034" i="4" s="1"/>
  <c r="S908" i="4" s="1"/>
  <c r="S870" i="4"/>
  <c r="S616" i="4"/>
  <c r="S606" i="4"/>
  <c r="S608" i="4" s="1"/>
  <c r="S613" i="4"/>
  <c r="S614" i="4" s="1"/>
  <c r="S620" i="4" s="1"/>
  <c r="S618" i="4"/>
  <c r="S666" i="4"/>
  <c r="S667" i="4"/>
  <c r="S668" i="4"/>
  <c r="T79" i="4"/>
  <c r="BX141" i="4"/>
  <c r="L116" i="64"/>
  <c r="BX61" i="4"/>
  <c r="BX318" i="4" s="1"/>
  <c r="BX328" i="4" s="1"/>
  <c r="BY328" i="4" s="1"/>
  <c r="BY529" i="4"/>
  <c r="BY34" i="4"/>
  <c r="BY150" i="4"/>
  <c r="BY35" i="4"/>
  <c r="BY192" i="4"/>
  <c r="BY54" i="62"/>
  <c r="BY53" i="62"/>
  <c r="S281" i="4"/>
  <c r="S280" i="4"/>
  <c r="BX544" i="4"/>
  <c r="BX612" i="4" s="1"/>
  <c r="BX607" i="4"/>
  <c r="BY17" i="4"/>
  <c r="BY19" i="4"/>
  <c r="BY20" i="4" s="1"/>
  <c r="T269" i="4"/>
  <c r="S260" i="4"/>
  <c r="L817" i="4"/>
  <c r="L819" i="4" s="1"/>
  <c r="BY15" i="66"/>
  <c r="BV641" i="4"/>
  <c r="BV640" i="4"/>
  <c r="BV645" i="4"/>
  <c r="BV644" i="4"/>
  <c r="BV660" i="4" s="1"/>
  <c r="R677" i="4"/>
  <c r="R296" i="4"/>
  <c r="BX24" i="4"/>
  <c r="L65" i="64"/>
  <c r="N889" i="4"/>
  <c r="Q676" i="4"/>
  <c r="Q680" i="4" s="1"/>
  <c r="Q889" i="4" s="1"/>
  <c r="Q890" i="4" s="1"/>
  <c r="Q891" i="4" s="1"/>
  <c r="Q751" i="4"/>
  <c r="Q629" i="4"/>
  <c r="BX54" i="4"/>
  <c r="BX60" i="62"/>
  <c r="BY60" i="62" s="1"/>
  <c r="BY36" i="4"/>
  <c r="BY223" i="4"/>
  <c r="BY32" i="4"/>
  <c r="BY127" i="4"/>
  <c r="BY249" i="4"/>
  <c r="BY198" i="4"/>
  <c r="O813" i="4"/>
  <c r="O816" i="4"/>
  <c r="O814" i="4"/>
  <c r="O1215" i="4" l="1"/>
  <c r="O44" i="11"/>
  <c r="O1257" i="4"/>
  <c r="O112" i="64"/>
  <c r="O1050" i="4"/>
  <c r="O69" i="11"/>
  <c r="O115" i="64"/>
  <c r="BY130" i="4"/>
  <c r="BX227" i="4"/>
  <c r="BY227" i="4"/>
  <c r="O114" i="64"/>
  <c r="M121" i="64"/>
  <c r="M72" i="64"/>
  <c r="BY9" i="64"/>
  <c r="BY9" i="11"/>
  <c r="BY9" i="62"/>
  <c r="BZ529" i="4"/>
  <c r="BV659" i="4"/>
  <c r="Q764" i="4"/>
  <c r="Q765" i="4" s="1"/>
  <c r="BY9" i="66"/>
  <c r="BY9" i="4"/>
  <c r="Q762" i="4"/>
  <c r="Q630" i="4"/>
  <c r="Q682" i="4" s="1"/>
  <c r="O992" i="4"/>
  <c r="O928" i="4"/>
  <c r="N777" i="4"/>
  <c r="N823" i="4" s="1"/>
  <c r="R685" i="4"/>
  <c r="R622" i="4"/>
  <c r="R623" i="4" s="1"/>
  <c r="R751" i="4" s="1"/>
  <c r="R750" i="4"/>
  <c r="R763" i="4" s="1"/>
  <c r="O118" i="64"/>
  <c r="R879" i="4"/>
  <c r="T260" i="4"/>
  <c r="T1041" i="4" s="1"/>
  <c r="BV661" i="4"/>
  <c r="L825" i="4"/>
  <c r="BZ610" i="3"/>
  <c r="BZ965" i="4"/>
  <c r="BY22" i="4"/>
  <c r="BZ21" i="4"/>
  <c r="CA275" i="4"/>
  <c r="CA288" i="4" s="1"/>
  <c r="CA329" i="4" s="1"/>
  <c r="CA414" i="4" s="1"/>
  <c r="CA415" i="4" s="1"/>
  <c r="CB413" i="4" s="1"/>
  <c r="CA273" i="4"/>
  <c r="CA1166" i="4"/>
  <c r="CA1165" i="4"/>
  <c r="CA15" i="66" s="1"/>
  <c r="CA274" i="4"/>
  <c r="L73" i="64"/>
  <c r="L81" i="64"/>
  <c r="S864" i="4"/>
  <c r="S865" i="4"/>
  <c r="S863" i="4"/>
  <c r="S866" i="4"/>
  <c r="P792" i="4"/>
  <c r="P795" i="4"/>
  <c r="P794" i="4"/>
  <c r="P793" i="4"/>
  <c r="P791" i="4"/>
  <c r="BY540" i="4"/>
  <c r="BY542" i="4" s="1"/>
  <c r="N115" i="64"/>
  <c r="S289" i="4"/>
  <c r="BZ198" i="4"/>
  <c r="BZ188" i="4"/>
  <c r="BZ197" i="4" s="1"/>
  <c r="BZ17" i="4"/>
  <c r="BZ19" i="4"/>
  <c r="BZ20" i="4" s="1"/>
  <c r="BZ32" i="4"/>
  <c r="BZ126" i="4"/>
  <c r="CB7" i="3"/>
  <c r="BY78" i="4"/>
  <c r="T280" i="4"/>
  <c r="O73" i="64"/>
  <c r="O81" i="64"/>
  <c r="BY199" i="4"/>
  <c r="P815" i="4"/>
  <c r="BZ1080" i="4"/>
  <c r="BZ1063" i="4"/>
  <c r="BZ1066" i="4"/>
  <c r="BZ1075" i="4" s="1"/>
  <c r="BZ335" i="4"/>
  <c r="BZ959" i="4" s="1"/>
  <c r="BZ287" i="4"/>
  <c r="BZ324" i="4" s="1"/>
  <c r="BY142" i="4"/>
  <c r="BY55" i="4"/>
  <c r="BW56" i="4"/>
  <c r="BX65" i="4"/>
  <c r="BY65" i="4" s="1"/>
  <c r="BX55" i="4"/>
  <c r="BX53" i="62"/>
  <c r="S1041" i="4"/>
  <c r="S81" i="11"/>
  <c r="S82" i="11" s="1"/>
  <c r="S1214" i="4"/>
  <c r="S33" i="66"/>
  <c r="S32" i="66" s="1"/>
  <c r="S65" i="62"/>
  <c r="S1241" i="4"/>
  <c r="N112" i="64"/>
  <c r="BZ141" i="4"/>
  <c r="U258" i="4"/>
  <c r="U271" i="4"/>
  <c r="U265" i="4"/>
  <c r="U163" i="4"/>
  <c r="CA15" i="4"/>
  <c r="CA6" i="4"/>
  <c r="BY153" i="4"/>
  <c r="BX88" i="4"/>
  <c r="BX1096" i="4" s="1"/>
  <c r="BX1100" i="4" s="1"/>
  <c r="S749" i="4"/>
  <c r="S609" i="4"/>
  <c r="BZ75" i="4"/>
  <c r="BZ82" i="4"/>
  <c r="BZ18" i="4"/>
  <c r="BZ24" i="4" s="1"/>
  <c r="BZ88" i="4" s="1"/>
  <c r="BZ1096" i="4" s="1"/>
  <c r="BZ1100" i="4" s="1"/>
  <c r="BZ1417" i="4" s="1"/>
  <c r="BX250" i="4"/>
  <c r="N824" i="4"/>
  <c r="BX199" i="4"/>
  <c r="BX56" i="4"/>
  <c r="N114" i="64"/>
  <c r="BZ747" i="4"/>
  <c r="BZ543" i="4"/>
  <c r="BZ54" i="11"/>
  <c r="BZ62" i="4"/>
  <c r="BZ528" i="4" s="1"/>
  <c r="BZ530" i="4"/>
  <c r="BZ540" i="4" s="1"/>
  <c r="BZ223" i="4"/>
  <c r="M819" i="4"/>
  <c r="M825" i="4" s="1"/>
  <c r="M826" i="4" s="1"/>
  <c r="V209" i="4"/>
  <c r="V174" i="4"/>
  <c r="V233" i="4"/>
  <c r="V207" i="4"/>
  <c r="V175" i="4"/>
  <c r="V161" i="4"/>
  <c r="V160" i="4"/>
  <c r="V167" i="4"/>
  <c r="V168" i="4"/>
  <c r="V206" i="4"/>
  <c r="V256" i="4"/>
  <c r="V232" i="4"/>
  <c r="V205" i="4"/>
  <c r="V208" i="4"/>
  <c r="V255" i="4"/>
  <c r="V257" i="4"/>
  <c r="V254" i="4"/>
  <c r="V162" i="4"/>
  <c r="V231" i="4"/>
  <c r="V234" i="4"/>
  <c r="V169" i="4"/>
  <c r="V173" i="4"/>
  <c r="V159" i="4"/>
  <c r="V166" i="4"/>
  <c r="V204" i="4"/>
  <c r="V210" i="4"/>
  <c r="V176" i="4"/>
  <c r="V211" i="4"/>
  <c r="W85" i="4"/>
  <c r="U170" i="4"/>
  <c r="U266" i="4"/>
  <c r="U280" i="4" s="1"/>
  <c r="R32" i="66"/>
  <c r="O777" i="4"/>
  <c r="BY605" i="4"/>
  <c r="BY964" i="4"/>
  <c r="BZ246" i="4"/>
  <c r="BW644" i="4"/>
  <c r="BW660" i="4" s="1"/>
  <c r="BW640" i="4"/>
  <c r="BW641" i="4"/>
  <c r="BW645" i="4"/>
  <c r="Q771" i="4"/>
  <c r="Q772" i="4"/>
  <c r="S619" i="4"/>
  <c r="BY44" i="4"/>
  <c r="BX44" i="4"/>
  <c r="BX51" i="4" s="1"/>
  <c r="Q304" i="4"/>
  <c r="R304" i="4"/>
  <c r="BY42" i="4"/>
  <c r="BX42" i="4"/>
  <c r="BX49" i="4" s="1"/>
  <c r="N113" i="64"/>
  <c r="BZ1186" i="4"/>
  <c r="BZ57" i="4"/>
  <c r="BZ54" i="4" s="1"/>
  <c r="BZ55" i="4" s="1"/>
  <c r="BZ28" i="66"/>
  <c r="BZ27" i="66"/>
  <c r="BZ295" i="4"/>
  <c r="BZ303" i="4" s="1"/>
  <c r="BZ1074" i="4"/>
  <c r="BZ9" i="3"/>
  <c r="BZ9" i="66"/>
  <c r="BY53" i="4"/>
  <c r="BZ1052" i="4"/>
  <c r="BZ58" i="4"/>
  <c r="BX142" i="4"/>
  <c r="N44" i="11"/>
  <c r="N992" i="4"/>
  <c r="N69" i="11"/>
  <c r="N1215" i="4"/>
  <c r="N684" i="4"/>
  <c r="N1050" i="4"/>
  <c r="N928" i="4"/>
  <c r="N1257" i="4"/>
  <c r="U235" i="4"/>
  <c r="U270" i="4"/>
  <c r="U284" i="4" s="1"/>
  <c r="BX130" i="4"/>
  <c r="P766" i="4"/>
  <c r="P767" i="4"/>
  <c r="P765" i="4"/>
  <c r="P768" i="4"/>
  <c r="Q796" i="4"/>
  <c r="Q824" i="4" s="1"/>
  <c r="BZ219" i="4"/>
  <c r="BZ224" i="4" s="1"/>
  <c r="U283" i="4"/>
  <c r="T283" i="4"/>
  <c r="BY24" i="4"/>
  <c r="M931" i="4"/>
  <c r="M19" i="11"/>
  <c r="N927" i="4"/>
  <c r="P680" i="4"/>
  <c r="N119" i="64"/>
  <c r="N118" i="64" s="1"/>
  <c r="S960" i="4"/>
  <c r="BZ243" i="4"/>
  <c r="BZ248" i="4" s="1"/>
  <c r="BZ226" i="4"/>
  <c r="BY40" i="4"/>
  <c r="BY47" i="4" s="1"/>
  <c r="BX40" i="4"/>
  <c r="BX47" i="4" s="1"/>
  <c r="N814" i="4"/>
  <c r="N813" i="4"/>
  <c r="N816" i="4"/>
  <c r="CA301" i="3"/>
  <c r="CA188" i="4" s="1"/>
  <c r="CA197" i="4" s="1"/>
  <c r="CA242" i="3"/>
  <c r="CA147" i="4" s="1"/>
  <c r="CA152" i="4" s="1"/>
  <c r="CA1106" i="4"/>
  <c r="CA217" i="3"/>
  <c r="CA134" i="4" s="1"/>
  <c r="CA139" i="4" s="1"/>
  <c r="CA184" i="3"/>
  <c r="CA121" i="4" s="1"/>
  <c r="CA8" i="4"/>
  <c r="CA356" i="3"/>
  <c r="CA242" i="4" s="1"/>
  <c r="CA247" i="4" s="1"/>
  <c r="CA300" i="3"/>
  <c r="CA187" i="4" s="1"/>
  <c r="CA196" i="4" s="1"/>
  <c r="CA185" i="3"/>
  <c r="CA122" i="4" s="1"/>
  <c r="CA127" i="4" s="1"/>
  <c r="CA8" i="62"/>
  <c r="CA28" i="4"/>
  <c r="CA16" i="4"/>
  <c r="CA297" i="3"/>
  <c r="CA184" i="4" s="1"/>
  <c r="CA193" i="4" s="1"/>
  <c r="CA241" i="3"/>
  <c r="CA146" i="4" s="1"/>
  <c r="CA151" i="4" s="1"/>
  <c r="CA186" i="3"/>
  <c r="CA123" i="4" s="1"/>
  <c r="CA128" i="4" s="1"/>
  <c r="CA296" i="3"/>
  <c r="CA183" i="4" s="1"/>
  <c r="CA216" i="3"/>
  <c r="CA133" i="4" s="1"/>
  <c r="CA355" i="3"/>
  <c r="CA241" i="4" s="1"/>
  <c r="CA330" i="3"/>
  <c r="CA219" i="4" s="1"/>
  <c r="CA224" i="4" s="1"/>
  <c r="CA240" i="3"/>
  <c r="CA145" i="4" s="1"/>
  <c r="CA8" i="64"/>
  <c r="CA218" i="3"/>
  <c r="CA135" i="4" s="1"/>
  <c r="CA140" i="4" s="1"/>
  <c r="CA357" i="3"/>
  <c r="CA243" i="4" s="1"/>
  <c r="CA248" i="4" s="1"/>
  <c r="CA298" i="3"/>
  <c r="CA185" i="4" s="1"/>
  <c r="CA194" i="4" s="1"/>
  <c r="CA329" i="3"/>
  <c r="CA218" i="4" s="1"/>
  <c r="CA8" i="66"/>
  <c r="CA331" i="3"/>
  <c r="CA220" i="4" s="1"/>
  <c r="CA225" i="4" s="1"/>
  <c r="CA1083" i="4"/>
  <c r="CA8" i="11"/>
  <c r="CA299" i="3"/>
  <c r="CA186" i="4" s="1"/>
  <c r="CA195" i="4" s="1"/>
  <c r="CA30" i="4"/>
  <c r="CA68" i="4" s="1"/>
  <c r="CA29" i="4"/>
  <c r="CA66" i="4" s="1"/>
  <c r="CA1079" i="4"/>
  <c r="CA1081" i="4"/>
  <c r="CA1082" i="4" s="1"/>
  <c r="CA1107" i="4"/>
  <c r="BX39" i="4"/>
  <c r="BX46" i="4" s="1"/>
  <c r="BY39" i="4"/>
  <c r="BY250" i="4"/>
  <c r="BZ68" i="4"/>
  <c r="S896" i="4"/>
  <c r="P630" i="4"/>
  <c r="T871" i="4"/>
  <c r="T859" i="4"/>
  <c r="T877" i="4"/>
  <c r="T862" i="4"/>
  <c r="T875" i="4"/>
  <c r="T869" i="4"/>
  <c r="T874" i="4"/>
  <c r="T878" i="4"/>
  <c r="T876" i="4"/>
  <c r="T870" i="4"/>
  <c r="T860" i="4"/>
  <c r="T861" i="4"/>
  <c r="T1032" i="4"/>
  <c r="T1033" i="4" s="1"/>
  <c r="T1034" i="4" s="1"/>
  <c r="T908" i="4" s="1"/>
  <c r="T818" i="4"/>
  <c r="T896" i="4" s="1"/>
  <c r="T606" i="4"/>
  <c r="T608" i="4" s="1"/>
  <c r="T613" i="4"/>
  <c r="T614" i="4" s="1"/>
  <c r="T620" i="4" s="1"/>
  <c r="T616" i="4"/>
  <c r="T618" i="4"/>
  <c r="T667" i="4"/>
  <c r="T666" i="4"/>
  <c r="T668" i="4"/>
  <c r="U79" i="4"/>
  <c r="BZ39" i="4"/>
  <c r="BX617" i="4"/>
  <c r="BY83" i="4"/>
  <c r="BY84" i="4" s="1"/>
  <c r="BZ33" i="4"/>
  <c r="BZ40" i="4" s="1"/>
  <c r="BZ47" i="4" s="1"/>
  <c r="BZ138" i="4"/>
  <c r="BZ129" i="4"/>
  <c r="BZ54" i="62"/>
  <c r="BZ53" i="62"/>
  <c r="BZ34" i="66"/>
  <c r="U212" i="4"/>
  <c r="U268" i="4"/>
  <c r="R82" i="11"/>
  <c r="T284" i="4"/>
  <c r="BY43" i="4"/>
  <c r="BY50" i="4" s="1"/>
  <c r="BY636" i="4" s="1"/>
  <c r="BX43" i="4"/>
  <c r="BX50" i="4" s="1"/>
  <c r="BX636" i="4" s="1"/>
  <c r="S669" i="4"/>
  <c r="S677" i="4"/>
  <c r="BY41" i="4"/>
  <c r="BX41" i="4"/>
  <c r="BX48" i="4" s="1"/>
  <c r="T285" i="4"/>
  <c r="BZ35" i="4"/>
  <c r="BZ192" i="4"/>
  <c r="R755" i="4"/>
  <c r="R754" i="4"/>
  <c r="L64" i="64"/>
  <c r="N890" i="4"/>
  <c r="BY76" i="4"/>
  <c r="BY77" i="4" s="1"/>
  <c r="BX153" i="4"/>
  <c r="P772" i="4"/>
  <c r="P771" i="4"/>
  <c r="Q759" i="4"/>
  <c r="Q757" i="4"/>
  <c r="Q758" i="4"/>
  <c r="Q756" i="4"/>
  <c r="BZ34" i="4"/>
  <c r="BZ41" i="4" s="1"/>
  <c r="BZ48" i="4" s="1"/>
  <c r="BZ150" i="4"/>
  <c r="BZ15" i="66"/>
  <c r="CA1370" i="4"/>
  <c r="U267" i="4"/>
  <c r="U177" i="4"/>
  <c r="T334" i="4"/>
  <c r="T960" i="4" s="1"/>
  <c r="T276" i="4"/>
  <c r="O120" i="64" l="1"/>
  <c r="O64" i="64" s="1"/>
  <c r="O72" i="64" s="1"/>
  <c r="O116" i="64"/>
  <c r="Q809" i="4"/>
  <c r="Q814" i="4" s="1"/>
  <c r="Q111" i="64"/>
  <c r="Q119" i="64" s="1"/>
  <c r="Q65" i="64" s="1"/>
  <c r="Q766" i="4"/>
  <c r="Q768" i="4"/>
  <c r="Q767" i="4"/>
  <c r="BZ61" i="4"/>
  <c r="BZ318" i="4" s="1"/>
  <c r="BZ328" i="4" s="1"/>
  <c r="BY49" i="4"/>
  <c r="BY46" i="4"/>
  <c r="CA34" i="66"/>
  <c r="BY48" i="4"/>
  <c r="BZ9" i="64"/>
  <c r="BW659" i="4"/>
  <c r="BX1183" i="4"/>
  <c r="BZ9" i="4"/>
  <c r="BZ9" i="11"/>
  <c r="R629" i="4"/>
  <c r="R630" i="4" s="1"/>
  <c r="R809" i="4" s="1"/>
  <c r="R789" i="4"/>
  <c r="R794" i="4" s="1"/>
  <c r="R676" i="4"/>
  <c r="R680" i="4" s="1"/>
  <c r="R889" i="4" s="1"/>
  <c r="R890" i="4" s="1"/>
  <c r="R891" i="4" s="1"/>
  <c r="R762" i="4"/>
  <c r="R764" i="4"/>
  <c r="R767" i="4" s="1"/>
  <c r="N811" i="4"/>
  <c r="N817" i="4" s="1"/>
  <c r="N819" i="4" s="1"/>
  <c r="N825" i="4" s="1"/>
  <c r="N826" i="4" s="1"/>
  <c r="T81" i="11"/>
  <c r="T82" i="11" s="1"/>
  <c r="T1345" i="4" s="1"/>
  <c r="T1241" i="4"/>
  <c r="T65" i="62"/>
  <c r="N116" i="64"/>
  <c r="T33" i="66"/>
  <c r="T32" i="66" s="1"/>
  <c r="T1214" i="4"/>
  <c r="BZ542" i="4"/>
  <c r="BZ607" i="4" s="1"/>
  <c r="N929" i="4"/>
  <c r="N930" i="4" s="1"/>
  <c r="N931" i="4" s="1"/>
  <c r="S879" i="4"/>
  <c r="T289" i="4"/>
  <c r="CA21" i="4"/>
  <c r="BZ22" i="4"/>
  <c r="BW661" i="4"/>
  <c r="U860" i="4"/>
  <c r="U874" i="4"/>
  <c r="U876" i="4"/>
  <c r="U859" i="4"/>
  <c r="U878" i="4"/>
  <c r="U1032" i="4"/>
  <c r="U1033" i="4" s="1"/>
  <c r="U1034" i="4" s="1"/>
  <c r="U908" i="4" s="1"/>
  <c r="U870" i="4"/>
  <c r="U871" i="4"/>
  <c r="U861" i="4"/>
  <c r="U818" i="4"/>
  <c r="U896" i="4" s="1"/>
  <c r="U875" i="4"/>
  <c r="U877" i="4"/>
  <c r="U869" i="4"/>
  <c r="U862" i="4"/>
  <c r="U616" i="4"/>
  <c r="U606" i="4"/>
  <c r="U608" i="4" s="1"/>
  <c r="U613" i="4"/>
  <c r="U614" i="4" s="1"/>
  <c r="U620" i="4" s="1"/>
  <c r="U618" i="4"/>
  <c r="U666" i="4"/>
  <c r="U667" i="4"/>
  <c r="U668" i="4"/>
  <c r="V79" i="4"/>
  <c r="BY544" i="4"/>
  <c r="BY612" i="4" s="1"/>
  <c r="BY607" i="4"/>
  <c r="P111" i="64"/>
  <c r="P773" i="4"/>
  <c r="P776" i="4"/>
  <c r="P775" i="4"/>
  <c r="P774" i="4"/>
  <c r="BX655" i="4"/>
  <c r="BX654" i="4"/>
  <c r="BX637" i="4"/>
  <c r="CA141" i="4"/>
  <c r="CA17" i="4"/>
  <c r="CA19" i="4"/>
  <c r="CA20" i="4" s="1"/>
  <c r="BY51" i="4"/>
  <c r="V235" i="4"/>
  <c r="V270" i="4"/>
  <c r="BZ63" i="4"/>
  <c r="BZ1312" i="4" s="1"/>
  <c r="S627" i="4"/>
  <c r="BZ65" i="4"/>
  <c r="BZ60" i="62"/>
  <c r="CA67" i="4"/>
  <c r="U282" i="4"/>
  <c r="P809" i="4"/>
  <c r="P682" i="4"/>
  <c r="CA129" i="4"/>
  <c r="V269" i="4"/>
  <c r="BY200" i="4"/>
  <c r="L72" i="64"/>
  <c r="L80" i="64"/>
  <c r="BY655" i="4"/>
  <c r="BY654" i="4"/>
  <c r="BY637" i="4"/>
  <c r="T677" i="4"/>
  <c r="T669" i="4"/>
  <c r="S296" i="4"/>
  <c r="CA32" i="4"/>
  <c r="CA126" i="4"/>
  <c r="BZ227" i="4"/>
  <c r="BZ9" i="62"/>
  <c r="Q773" i="4"/>
  <c r="Q775" i="4"/>
  <c r="Q774" i="4"/>
  <c r="Q776" i="4"/>
  <c r="BZ37" i="4"/>
  <c r="S754" i="4"/>
  <c r="S755" i="4"/>
  <c r="BY154" i="4"/>
  <c r="N120" i="64"/>
  <c r="BZ78" i="4"/>
  <c r="BZ130" i="4"/>
  <c r="P796" i="4"/>
  <c r="L826" i="4"/>
  <c r="CA249" i="4"/>
  <c r="BX154" i="4"/>
  <c r="CA34" i="4"/>
  <c r="CA41" i="4" s="1"/>
  <c r="CA48" i="4" s="1"/>
  <c r="CA150" i="4"/>
  <c r="BY88" i="4"/>
  <c r="BY1096" i="4" s="1"/>
  <c r="BY1100" i="4" s="1"/>
  <c r="BY1417" i="4" s="1"/>
  <c r="R772" i="4"/>
  <c r="R771" i="4"/>
  <c r="N956" i="4"/>
  <c r="V212" i="4"/>
  <c r="V268" i="4"/>
  <c r="V258" i="4"/>
  <c r="V271" i="4"/>
  <c r="BX200" i="4"/>
  <c r="CB8" i="3"/>
  <c r="CB314" i="4" s="1"/>
  <c r="CB86" i="64"/>
  <c r="CB87" i="64" s="1"/>
  <c r="CB7" i="11"/>
  <c r="CB6" i="11" s="1"/>
  <c r="CB7" i="62"/>
  <c r="CB6" i="62" s="1"/>
  <c r="CB7" i="4"/>
  <c r="CB7" i="64"/>
  <c r="CB6" i="64" s="1"/>
  <c r="CB28" i="64" s="1"/>
  <c r="CB30" i="64" s="1"/>
  <c r="CB53" i="64" s="1"/>
  <c r="CB6" i="3"/>
  <c r="CB7" i="66"/>
  <c r="CB6" i="66" s="1"/>
  <c r="CA39" i="4"/>
  <c r="CA46" i="4" s="1"/>
  <c r="R758" i="4"/>
  <c r="R759" i="4"/>
  <c r="R757" i="4"/>
  <c r="R756" i="4"/>
  <c r="T865" i="4"/>
  <c r="T863" i="4"/>
  <c r="T866" i="4"/>
  <c r="T864" i="4"/>
  <c r="CA226" i="4"/>
  <c r="BZ53" i="4"/>
  <c r="CA58" i="4"/>
  <c r="CA1052" i="4"/>
  <c r="BY56" i="4"/>
  <c r="S628" i="4"/>
  <c r="S750" i="4"/>
  <c r="S622" i="4"/>
  <c r="S623" i="4" s="1"/>
  <c r="V170" i="4"/>
  <c r="V266" i="4"/>
  <c r="BZ36" i="4"/>
  <c r="BZ43" i="4" s="1"/>
  <c r="BZ50" i="4" s="1"/>
  <c r="BZ636" i="4" s="1"/>
  <c r="CA75" i="4"/>
  <c r="CA18" i="4"/>
  <c r="CA82" i="4"/>
  <c r="BZ964" i="4"/>
  <c r="BZ605" i="4"/>
  <c r="T296" i="4"/>
  <c r="CA530" i="4"/>
  <c r="CA747" i="4"/>
  <c r="CA62" i="4"/>
  <c r="CA528" i="4" s="1"/>
  <c r="CA543" i="4"/>
  <c r="CA54" i="11"/>
  <c r="U281" i="4"/>
  <c r="R1310" i="4"/>
  <c r="R1345" i="4"/>
  <c r="BZ142" i="4"/>
  <c r="T619" i="4"/>
  <c r="CA1080" i="4"/>
  <c r="CA1063" i="4"/>
  <c r="CA1066" i="4"/>
  <c r="CA1075" i="4" s="1"/>
  <c r="CA37" i="4"/>
  <c r="CA246" i="4"/>
  <c r="CA54" i="62"/>
  <c r="P889" i="4"/>
  <c r="O823" i="4"/>
  <c r="O811" i="4"/>
  <c r="O817" i="4" s="1"/>
  <c r="O819" i="4" s="1"/>
  <c r="O825" i="4" s="1"/>
  <c r="V265" i="4"/>
  <c r="V163" i="4"/>
  <c r="BZ1183" i="4"/>
  <c r="BX1417" i="4"/>
  <c r="U260" i="4"/>
  <c r="S1310" i="4"/>
  <c r="S1345" i="4"/>
  <c r="CA335" i="4"/>
  <c r="CA959" i="4" s="1"/>
  <c r="CA287" i="4"/>
  <c r="CA324" i="4" s="1"/>
  <c r="CB1370" i="4"/>
  <c r="BZ46" i="4"/>
  <c r="CA529" i="4"/>
  <c r="CA36" i="4"/>
  <c r="CA223" i="4"/>
  <c r="CA33" i="4"/>
  <c r="CA138" i="4"/>
  <c r="N65" i="64"/>
  <c r="CA60" i="4"/>
  <c r="V267" i="4"/>
  <c r="V177" i="4"/>
  <c r="BZ83" i="4"/>
  <c r="BZ84" i="4" s="1"/>
  <c r="U276" i="4"/>
  <c r="U334" i="4"/>
  <c r="U960" i="4" s="1"/>
  <c r="U279" i="4"/>
  <c r="BZ153" i="4"/>
  <c r="N891" i="4"/>
  <c r="BZ199" i="4"/>
  <c r="T749" i="4"/>
  <c r="T609" i="4"/>
  <c r="T627" i="4" s="1"/>
  <c r="T810" i="4" s="1"/>
  <c r="T815" i="4" s="1"/>
  <c r="CA295" i="4"/>
  <c r="CA303" i="4" s="1"/>
  <c r="CA27" i="66"/>
  <c r="CA1074" i="4"/>
  <c r="CA57" i="4"/>
  <c r="CA9" i="11" s="1"/>
  <c r="CA1186" i="4"/>
  <c r="CA28" i="66"/>
  <c r="CA9" i="3"/>
  <c r="CA198" i="4"/>
  <c r="CA35" i="4"/>
  <c r="CA192" i="4"/>
  <c r="BZ249" i="4"/>
  <c r="BZ250" i="4" s="1"/>
  <c r="W173" i="4"/>
  <c r="W208" i="4"/>
  <c r="W255" i="4"/>
  <c r="W167" i="4"/>
  <c r="W160" i="4"/>
  <c r="W232" i="4"/>
  <c r="W209" i="4"/>
  <c r="W205" i="4"/>
  <c r="W256" i="4"/>
  <c r="W174" i="4"/>
  <c r="W161" i="4"/>
  <c r="W206" i="4"/>
  <c r="W207" i="4"/>
  <c r="W269" i="4" s="1"/>
  <c r="W233" i="4"/>
  <c r="W168" i="4"/>
  <c r="W159" i="4"/>
  <c r="W231" i="4"/>
  <c r="W254" i="4"/>
  <c r="W166" i="4"/>
  <c r="W162" i="4"/>
  <c r="W204" i="4"/>
  <c r="W176" i="4"/>
  <c r="W234" i="4"/>
  <c r="W210" i="4"/>
  <c r="W257" i="4"/>
  <c r="W169" i="4"/>
  <c r="W175" i="4"/>
  <c r="W211" i="4"/>
  <c r="X85" i="4"/>
  <c r="CA70" i="4"/>
  <c r="BZ76" i="4"/>
  <c r="BZ77" i="4" s="1"/>
  <c r="Q1257" i="4"/>
  <c r="Q1050" i="4"/>
  <c r="Q44" i="11"/>
  <c r="Q69" i="11"/>
  <c r="Q928" i="4"/>
  <c r="Q684" i="4"/>
  <c r="Q956" i="4" s="1"/>
  <c r="Q1215" i="4"/>
  <c r="Q992" i="4"/>
  <c r="U285" i="4"/>
  <c r="BZ42" i="4"/>
  <c r="BZ49" i="4" s="1"/>
  <c r="BV662" i="4"/>
  <c r="BZ544" i="4" l="1"/>
  <c r="BZ612" i="4" s="1"/>
  <c r="BZ617" i="4" s="1"/>
  <c r="O80" i="64"/>
  <c r="Q816" i="4"/>
  <c r="Q113" i="64"/>
  <c r="O121" i="64"/>
  <c r="Q813" i="4"/>
  <c r="R791" i="4"/>
  <c r="Q114" i="64"/>
  <c r="CA227" i="4"/>
  <c r="R682" i="4"/>
  <c r="R1215" i="4" s="1"/>
  <c r="Q115" i="64"/>
  <c r="R766" i="4"/>
  <c r="R792" i="4"/>
  <c r="R795" i="4"/>
  <c r="R793" i="4"/>
  <c r="CA24" i="4"/>
  <c r="R768" i="4"/>
  <c r="R765" i="4"/>
  <c r="W283" i="4"/>
  <c r="T1310" i="4"/>
  <c r="N19" i="11"/>
  <c r="O927" i="4"/>
  <c r="O929" i="4" s="1"/>
  <c r="O930" i="4" s="1"/>
  <c r="O19" i="11" s="1"/>
  <c r="P777" i="4"/>
  <c r="P823" i="4" s="1"/>
  <c r="T879" i="4"/>
  <c r="CB1165" i="4"/>
  <c r="CB274" i="4"/>
  <c r="CB1166" i="4"/>
  <c r="CB15" i="66" s="1"/>
  <c r="CB273" i="4"/>
  <c r="CB275" i="4"/>
  <c r="CB288" i="4" s="1"/>
  <c r="CB329" i="4"/>
  <c r="CB414" i="4" s="1"/>
  <c r="CB415" i="4" s="1"/>
  <c r="CC413" i="4" s="1"/>
  <c r="CA22" i="4"/>
  <c r="CB21" i="4"/>
  <c r="CA43" i="4"/>
  <c r="CA50" i="4" s="1"/>
  <c r="CA636" i="4" s="1"/>
  <c r="T622" i="4"/>
  <c r="T623" i="4" s="1"/>
  <c r="T676" i="4" s="1"/>
  <c r="T680" i="4" s="1"/>
  <c r="T889" i="4" s="1"/>
  <c r="T890" i="4" s="1"/>
  <c r="T891" i="4" s="1"/>
  <c r="T628" i="4"/>
  <c r="T685" i="4" s="1"/>
  <c r="T750" i="4"/>
  <c r="CA60" i="62"/>
  <c r="BX645" i="4"/>
  <c r="BX640" i="4"/>
  <c r="BX659" i="4" s="1"/>
  <c r="BX644" i="4"/>
  <c r="BX641" i="4"/>
  <c r="S685" i="4"/>
  <c r="CA78" i="4"/>
  <c r="CA44" i="4"/>
  <c r="BZ44" i="4"/>
  <c r="BZ51" i="4" s="1"/>
  <c r="S810" i="4"/>
  <c r="W170" i="4"/>
  <c r="W266" i="4"/>
  <c r="BZ154" i="4"/>
  <c r="V285" i="4"/>
  <c r="CA153" i="4"/>
  <c r="V283" i="4"/>
  <c r="V284" i="4"/>
  <c r="BX660" i="4"/>
  <c r="BY617" i="4"/>
  <c r="U609" i="4"/>
  <c r="U627" i="4" s="1"/>
  <c r="U810" i="4" s="1"/>
  <c r="U815" i="4" s="1"/>
  <c r="U749" i="4"/>
  <c r="CA42" i="4"/>
  <c r="CA49" i="4" s="1"/>
  <c r="CA9" i="66"/>
  <c r="P119" i="64"/>
  <c r="U296" i="4"/>
  <c r="U304" i="4" s="1"/>
  <c r="CA199" i="4"/>
  <c r="CA9" i="62"/>
  <c r="W271" i="4"/>
  <c r="W258" i="4"/>
  <c r="N73" i="64"/>
  <c r="N81" i="64"/>
  <c r="W235" i="4"/>
  <c r="W270" i="4"/>
  <c r="W267" i="4"/>
  <c r="W177" i="4"/>
  <c r="CA40" i="4"/>
  <c r="CA47" i="4" s="1"/>
  <c r="U1041" i="4"/>
  <c r="U81" i="11"/>
  <c r="U82" i="11" s="1"/>
  <c r="U65" i="62"/>
  <c r="U33" i="66"/>
  <c r="U1241" i="4"/>
  <c r="U1214" i="4"/>
  <c r="CA250" i="4"/>
  <c r="V280" i="4"/>
  <c r="CC7" i="3"/>
  <c r="N64" i="64"/>
  <c r="S304" i="4"/>
  <c r="T304" i="4"/>
  <c r="CA540" i="4"/>
  <c r="CA542" i="4" s="1"/>
  <c r="U619" i="4"/>
  <c r="T754" i="4"/>
  <c r="T755" i="4"/>
  <c r="V281" i="4"/>
  <c r="CB216" i="3"/>
  <c r="CB133" i="4" s="1"/>
  <c r="CB218" i="3"/>
  <c r="CB135" i="4" s="1"/>
  <c r="CB140" i="4" s="1"/>
  <c r="CB217" i="3"/>
  <c r="CB134" i="4" s="1"/>
  <c r="CB139" i="4" s="1"/>
  <c r="CB184" i="3"/>
  <c r="CB121" i="4" s="1"/>
  <c r="CB297" i="3"/>
  <c r="CB184" i="4" s="1"/>
  <c r="CB193" i="4" s="1"/>
  <c r="CB8" i="64"/>
  <c r="CB16" i="4"/>
  <c r="CB329" i="3"/>
  <c r="CB218" i="4" s="1"/>
  <c r="CB185" i="3"/>
  <c r="CB122" i="4" s="1"/>
  <c r="CB127" i="4" s="1"/>
  <c r="CB296" i="3"/>
  <c r="CB183" i="4" s="1"/>
  <c r="CB1083" i="4"/>
  <c r="CB8" i="66"/>
  <c r="CB301" i="3"/>
  <c r="CB188" i="4" s="1"/>
  <c r="CB197" i="4" s="1"/>
  <c r="CB242" i="3"/>
  <c r="CB147" i="4" s="1"/>
  <c r="CB152" i="4" s="1"/>
  <c r="CB186" i="3"/>
  <c r="CB123" i="4" s="1"/>
  <c r="CB128" i="4" s="1"/>
  <c r="CB8" i="62"/>
  <c r="CB8" i="4"/>
  <c r="CB355" i="3"/>
  <c r="CB241" i="4" s="1"/>
  <c r="CB330" i="3"/>
  <c r="CB219" i="4" s="1"/>
  <c r="CB224" i="4" s="1"/>
  <c r="CB8" i="11"/>
  <c r="CB241" i="3"/>
  <c r="CB146" i="4" s="1"/>
  <c r="CB151" i="4" s="1"/>
  <c r="CB300" i="3"/>
  <c r="CB187" i="4" s="1"/>
  <c r="CB196" i="4" s="1"/>
  <c r="CB331" i="3"/>
  <c r="CB220" i="4" s="1"/>
  <c r="CB225" i="4" s="1"/>
  <c r="CB28" i="4"/>
  <c r="CB298" i="3"/>
  <c r="CB185" i="4" s="1"/>
  <c r="CB194" i="4" s="1"/>
  <c r="CB299" i="3"/>
  <c r="CB186" i="4" s="1"/>
  <c r="CB195" i="4" s="1"/>
  <c r="CB1106" i="4"/>
  <c r="CB240" i="3"/>
  <c r="CB145" i="4" s="1"/>
  <c r="CB357" i="3"/>
  <c r="CB243" i="4" s="1"/>
  <c r="CB248" i="4" s="1"/>
  <c r="CB356" i="3"/>
  <c r="CB242" i="4" s="1"/>
  <c r="CB247" i="4" s="1"/>
  <c r="CB30" i="4"/>
  <c r="CB29" i="4"/>
  <c r="CB1107" i="4"/>
  <c r="CB1081" i="4"/>
  <c r="CB1082" i="4" s="1"/>
  <c r="CB1079" i="4"/>
  <c r="CB1332" i="4"/>
  <c r="V282" i="4"/>
  <c r="R111" i="64"/>
  <c r="R773" i="4"/>
  <c r="R775" i="4"/>
  <c r="R114" i="64" s="1"/>
  <c r="R776" i="4"/>
  <c r="R774" i="4"/>
  <c r="Q118" i="64"/>
  <c r="P113" i="64"/>
  <c r="V870" i="4"/>
  <c r="V818" i="4"/>
  <c r="V896" i="4" s="1"/>
  <c r="V869" i="4"/>
  <c r="V871" i="4"/>
  <c r="V1032" i="4"/>
  <c r="V1033" i="4" s="1"/>
  <c r="V1034" i="4" s="1"/>
  <c r="V908" i="4" s="1"/>
  <c r="V859" i="4"/>
  <c r="V861" i="4"/>
  <c r="V876" i="4"/>
  <c r="V860" i="4"/>
  <c r="V862" i="4"/>
  <c r="V877" i="4"/>
  <c r="V878" i="4"/>
  <c r="V874" i="4"/>
  <c r="V875" i="4"/>
  <c r="V616" i="4"/>
  <c r="V606" i="4"/>
  <c r="V608" i="4" s="1"/>
  <c r="V613" i="4"/>
  <c r="V614" i="4" s="1"/>
  <c r="V620" i="4" s="1"/>
  <c r="V667" i="4"/>
  <c r="V666" i="4"/>
  <c r="V618" i="4"/>
  <c r="V668" i="4"/>
  <c r="W79" i="4"/>
  <c r="V334" i="4"/>
  <c r="V960" i="4" s="1"/>
  <c r="V276" i="4"/>
  <c r="V279" i="4"/>
  <c r="BZ654" i="4"/>
  <c r="BZ655" i="4"/>
  <c r="BZ637" i="4"/>
  <c r="S764" i="4"/>
  <c r="S762" i="4"/>
  <c r="S763" i="4"/>
  <c r="W163" i="4"/>
  <c r="W265" i="4"/>
  <c r="U289" i="4"/>
  <c r="CA142" i="4"/>
  <c r="O826" i="4"/>
  <c r="CA83" i="4"/>
  <c r="CA84" i="4" s="1"/>
  <c r="R813" i="4"/>
  <c r="R816" i="4"/>
  <c r="R814" i="4"/>
  <c r="BY1183" i="4"/>
  <c r="Q112" i="64"/>
  <c r="Q777" i="4"/>
  <c r="P114" i="64"/>
  <c r="BZ200" i="4"/>
  <c r="P890" i="4"/>
  <c r="P824" i="4"/>
  <c r="S757" i="4"/>
  <c r="S759" i="4"/>
  <c r="S758" i="4"/>
  <c r="S756" i="4"/>
  <c r="BY645" i="4"/>
  <c r="BY641" i="4"/>
  <c r="BY640" i="4"/>
  <c r="BY659" i="4" s="1"/>
  <c r="BY644" i="4"/>
  <c r="Q81" i="64"/>
  <c r="Q73" i="64"/>
  <c r="P992" i="4"/>
  <c r="P44" i="11"/>
  <c r="P928" i="4"/>
  <c r="P69" i="11"/>
  <c r="P1257" i="4"/>
  <c r="P684" i="4"/>
  <c r="P1050" i="4"/>
  <c r="P1215" i="4"/>
  <c r="P115" i="64"/>
  <c r="U864" i="4"/>
  <c r="U863" i="4"/>
  <c r="U865" i="4"/>
  <c r="U866" i="4"/>
  <c r="BW662" i="4"/>
  <c r="CA9" i="4"/>
  <c r="CA54" i="4"/>
  <c r="CA65" i="4" s="1"/>
  <c r="CA88" i="4"/>
  <c r="CA1096" i="4" s="1"/>
  <c r="CA1100" i="4" s="1"/>
  <c r="CA1417" i="4" s="1"/>
  <c r="X207" i="4"/>
  <c r="X269" i="4" s="1"/>
  <c r="X283" i="4" s="1"/>
  <c r="X205" i="4"/>
  <c r="X255" i="4"/>
  <c r="X174" i="4"/>
  <c r="X233" i="4"/>
  <c r="X161" i="4"/>
  <c r="X256" i="4"/>
  <c r="X206" i="4"/>
  <c r="X175" i="4"/>
  <c r="X168" i="4"/>
  <c r="X209" i="4"/>
  <c r="X166" i="4"/>
  <c r="X208" i="4"/>
  <c r="X232" i="4"/>
  <c r="X160" i="4"/>
  <c r="X159" i="4"/>
  <c r="X257" i="4"/>
  <c r="X234" i="4"/>
  <c r="X162" i="4"/>
  <c r="X167" i="4"/>
  <c r="X173" i="4"/>
  <c r="X254" i="4"/>
  <c r="X169" i="4"/>
  <c r="X204" i="4"/>
  <c r="X231" i="4"/>
  <c r="X210" i="4"/>
  <c r="X176" i="4"/>
  <c r="X211" i="4"/>
  <c r="Y85" i="4"/>
  <c r="W212" i="4"/>
  <c r="W268" i="4"/>
  <c r="CA9" i="64"/>
  <c r="V260" i="4"/>
  <c r="CA76" i="4"/>
  <c r="CA77" i="4" s="1"/>
  <c r="S676" i="4"/>
  <c r="S680" i="4" s="1"/>
  <c r="S629" i="4"/>
  <c r="S751" i="4"/>
  <c r="S789" i="4"/>
  <c r="CB15" i="4"/>
  <c r="CB6" i="4"/>
  <c r="CA130" i="4"/>
  <c r="P813" i="4"/>
  <c r="P814" i="4"/>
  <c r="P816" i="4"/>
  <c r="CA965" i="4"/>
  <c r="CB68" i="4"/>
  <c r="CA610" i="3"/>
  <c r="CB67" i="4"/>
  <c r="P112" i="64"/>
  <c r="U669" i="4"/>
  <c r="U677" i="4"/>
  <c r="N121" i="64"/>
  <c r="R69" i="11" l="1"/>
  <c r="R44" i="11"/>
  <c r="R928" i="4"/>
  <c r="R684" i="4"/>
  <c r="R956" i="4" s="1"/>
  <c r="R1257" i="4"/>
  <c r="R992" i="4"/>
  <c r="R1050" i="4"/>
  <c r="R113" i="64"/>
  <c r="R796" i="4"/>
  <c r="R824" i="4" s="1"/>
  <c r="R112" i="64"/>
  <c r="R115" i="64"/>
  <c r="CB34" i="66"/>
  <c r="BY660" i="4"/>
  <c r="P811" i="4"/>
  <c r="P817" i="4" s="1"/>
  <c r="P819" i="4" s="1"/>
  <c r="P927" i="4"/>
  <c r="P929" i="4" s="1"/>
  <c r="P930" i="4" s="1"/>
  <c r="O931" i="4"/>
  <c r="U879" i="4"/>
  <c r="BX661" i="4"/>
  <c r="BY661" i="4"/>
  <c r="P956" i="4"/>
  <c r="V289" i="4"/>
  <c r="P120" i="64"/>
  <c r="CA1183" i="4"/>
  <c r="CB249" i="4"/>
  <c r="CA200" i="4"/>
  <c r="CA654" i="4"/>
  <c r="CA655" i="4"/>
  <c r="CA637" i="4"/>
  <c r="X266" i="4"/>
  <c r="X170" i="4"/>
  <c r="V609" i="4"/>
  <c r="V627" i="4" s="1"/>
  <c r="V810" i="4" s="1"/>
  <c r="V815" i="4" s="1"/>
  <c r="V749" i="4"/>
  <c r="CB1080" i="4"/>
  <c r="CB1063" i="4"/>
  <c r="CB1066" i="4"/>
  <c r="CB1075" i="4" s="1"/>
  <c r="CB34" i="4"/>
  <c r="CB150" i="4"/>
  <c r="CB32" i="4"/>
  <c r="CB126" i="4"/>
  <c r="U628" i="4"/>
  <c r="U685" i="4" s="1"/>
  <c r="U622" i="4"/>
  <c r="U623" i="4" s="1"/>
  <c r="U750" i="4"/>
  <c r="CC7" i="62"/>
  <c r="CC6" i="62" s="1"/>
  <c r="CC8" i="3"/>
  <c r="CD7" i="3" s="1"/>
  <c r="CC314" i="4"/>
  <c r="CC7" i="11"/>
  <c r="CC6" i="11" s="1"/>
  <c r="CC7" i="64"/>
  <c r="CC6" i="64" s="1"/>
  <c r="CC28" i="64" s="1"/>
  <c r="CC30" i="64" s="1"/>
  <c r="CC53" i="64" s="1"/>
  <c r="CC6" i="3"/>
  <c r="CC7" i="4"/>
  <c r="CC86" i="64"/>
  <c r="CC87" i="64" s="1"/>
  <c r="CC7" i="66"/>
  <c r="CC6" i="66" s="1"/>
  <c r="U1310" i="4"/>
  <c r="U1345" i="4"/>
  <c r="CA154" i="4"/>
  <c r="CB610" i="3"/>
  <c r="CB965" i="4"/>
  <c r="CB75" i="4"/>
  <c r="CB76" i="4" s="1"/>
  <c r="CB77" i="4" s="1"/>
  <c r="CB18" i="4"/>
  <c r="CB82" i="4"/>
  <c r="CA605" i="4"/>
  <c r="CA964" i="4"/>
  <c r="X270" i="4"/>
  <c r="X235" i="4"/>
  <c r="Q823" i="4"/>
  <c r="Q811" i="4"/>
  <c r="Q817" i="4" s="1"/>
  <c r="Q819" i="4" s="1"/>
  <c r="Q825" i="4" s="1"/>
  <c r="S768" i="4"/>
  <c r="S765" i="4"/>
  <c r="S766" i="4"/>
  <c r="S767" i="4"/>
  <c r="V619" i="4"/>
  <c r="CA544" i="4"/>
  <c r="CA612" i="4" s="1"/>
  <c r="CA607" i="4"/>
  <c r="S889" i="4"/>
  <c r="V296" i="4"/>
  <c r="P65" i="64"/>
  <c r="X163" i="4"/>
  <c r="X265" i="4"/>
  <c r="P891" i="4"/>
  <c r="W870" i="4"/>
  <c r="W862" i="4"/>
  <c r="W876" i="4"/>
  <c r="W1032" i="4"/>
  <c r="W1033" i="4" s="1"/>
  <c r="W1034" i="4" s="1"/>
  <c r="W908" i="4" s="1"/>
  <c r="W860" i="4"/>
  <c r="W869" i="4"/>
  <c r="W859" i="4"/>
  <c r="W875" i="4"/>
  <c r="W878" i="4"/>
  <c r="W874" i="4"/>
  <c r="W871" i="4"/>
  <c r="W861" i="4"/>
  <c r="W877" i="4"/>
  <c r="W818" i="4"/>
  <c r="W896" i="4" s="1"/>
  <c r="W613" i="4"/>
  <c r="W614" i="4" s="1"/>
  <c r="W620" i="4" s="1"/>
  <c r="W606" i="4"/>
  <c r="W608" i="4" s="1"/>
  <c r="W616" i="4"/>
  <c r="W666" i="4"/>
  <c r="W667" i="4"/>
  <c r="W668" i="4"/>
  <c r="W618" i="4"/>
  <c r="X79" i="4"/>
  <c r="V865" i="4"/>
  <c r="V863" i="4"/>
  <c r="V864" i="4"/>
  <c r="V866" i="4"/>
  <c r="CB37" i="4"/>
  <c r="CB246" i="4"/>
  <c r="CB35" i="4"/>
  <c r="CB42" i="4" s="1"/>
  <c r="CB49" i="4" s="1"/>
  <c r="CB192" i="4"/>
  <c r="CB141" i="4"/>
  <c r="W280" i="4"/>
  <c r="CB335" i="4"/>
  <c r="CB959" i="4" s="1"/>
  <c r="CB287" i="4"/>
  <c r="CB324" i="4" s="1"/>
  <c r="BZ56" i="4"/>
  <c r="CA55" i="4"/>
  <c r="CA53" i="62"/>
  <c r="Q120" i="64"/>
  <c r="Q64" i="64" s="1"/>
  <c r="Q116" i="64"/>
  <c r="BZ645" i="4"/>
  <c r="BZ644" i="4"/>
  <c r="BZ641" i="4"/>
  <c r="BZ659" i="4" s="1"/>
  <c r="BZ640" i="4"/>
  <c r="S793" i="4"/>
  <c r="S792" i="4"/>
  <c r="S791" i="4"/>
  <c r="S794" i="4"/>
  <c r="S795" i="4"/>
  <c r="V33" i="66"/>
  <c r="V32" i="66" s="1"/>
  <c r="V65" i="62"/>
  <c r="V1214" i="4"/>
  <c r="V1041" i="4"/>
  <c r="V1241" i="4"/>
  <c r="V81" i="11"/>
  <c r="V82" i="11" s="1"/>
  <c r="W282" i="4"/>
  <c r="R119" i="64"/>
  <c r="R65" i="64" s="1"/>
  <c r="CB295" i="4"/>
  <c r="CB303" i="4" s="1"/>
  <c r="CB57" i="4"/>
  <c r="CB9" i="4" s="1"/>
  <c r="CB27" i="66"/>
  <c r="CB28" i="66"/>
  <c r="CB1074" i="4"/>
  <c r="CB1186" i="4"/>
  <c r="CB9" i="62"/>
  <c r="CA61" i="4"/>
  <c r="CA318" i="4" s="1"/>
  <c r="CA328" i="4" s="1"/>
  <c r="CB66" i="4"/>
  <c r="CB60" i="4"/>
  <c r="CB198" i="4"/>
  <c r="CB19" i="4"/>
  <c r="CB20" i="4" s="1"/>
  <c r="CB17" i="4"/>
  <c r="CB24" i="4" s="1"/>
  <c r="CB33" i="4"/>
  <c r="CB138" i="4"/>
  <c r="U755" i="4"/>
  <c r="U754" i="4"/>
  <c r="T764" i="4"/>
  <c r="T762" i="4"/>
  <c r="T763" i="4"/>
  <c r="W276" i="4"/>
  <c r="W334" i="4"/>
  <c r="W960" i="4" s="1"/>
  <c r="W279" i="4"/>
  <c r="CB62" i="4"/>
  <c r="CB528" i="4" s="1"/>
  <c r="CB54" i="11"/>
  <c r="CB530" i="4"/>
  <c r="CB747" i="4"/>
  <c r="CB543" i="4"/>
  <c r="CA63" i="4"/>
  <c r="CA1312" i="4" s="1"/>
  <c r="CB70" i="4"/>
  <c r="CA53" i="4"/>
  <c r="CB1052" i="4"/>
  <c r="CB58" i="4"/>
  <c r="CB54" i="62"/>
  <c r="CB36" i="4"/>
  <c r="CB223" i="4"/>
  <c r="W281" i="4"/>
  <c r="W285" i="4"/>
  <c r="P116" i="64"/>
  <c r="R777" i="4"/>
  <c r="U32" i="66"/>
  <c r="X212" i="4"/>
  <c r="X268" i="4"/>
  <c r="S771" i="4"/>
  <c r="S772" i="4"/>
  <c r="X271" i="4"/>
  <c r="X258" i="4"/>
  <c r="S630" i="4"/>
  <c r="Y206" i="4"/>
  <c r="Y233" i="4"/>
  <c r="Y174" i="4"/>
  <c r="Y207" i="4"/>
  <c r="Y269" i="4" s="1"/>
  <c r="Y283" i="4" s="1"/>
  <c r="Y168" i="4"/>
  <c r="Y208" i="4"/>
  <c r="Y205" i="4"/>
  <c r="Y255" i="4"/>
  <c r="Y160" i="4"/>
  <c r="Y256" i="4"/>
  <c r="Y175" i="4"/>
  <c r="Y209" i="4"/>
  <c r="Y167" i="4"/>
  <c r="Y161" i="4"/>
  <c r="Y232" i="4"/>
  <c r="Y169" i="4"/>
  <c r="Y210" i="4"/>
  <c r="Y166" i="4"/>
  <c r="Y204" i="4"/>
  <c r="Y254" i="4"/>
  <c r="Y257" i="4"/>
  <c r="Y173" i="4"/>
  <c r="Y234" i="4"/>
  <c r="Y162" i="4"/>
  <c r="Y231" i="4"/>
  <c r="Y159" i="4"/>
  <c r="Y211" i="4"/>
  <c r="Y176" i="4"/>
  <c r="Z85" i="4"/>
  <c r="X177" i="4"/>
  <c r="X267" i="4"/>
  <c r="W260" i="4"/>
  <c r="V677" i="4"/>
  <c r="V669" i="4"/>
  <c r="CB529" i="4"/>
  <c r="CB226" i="4"/>
  <c r="CB129" i="4"/>
  <c r="T758" i="4"/>
  <c r="T759" i="4"/>
  <c r="T756" i="4"/>
  <c r="T757" i="4"/>
  <c r="N80" i="64"/>
  <c r="N72" i="64"/>
  <c r="W284" i="4"/>
  <c r="P118" i="64"/>
  <c r="S815" i="4"/>
  <c r="CA51" i="4"/>
  <c r="T789" i="4"/>
  <c r="T629" i="4"/>
  <c r="T630" i="4" s="1"/>
  <c r="T751" i="4"/>
  <c r="R116" i="64" l="1"/>
  <c r="R120" i="64"/>
  <c r="R64" i="64" s="1"/>
  <c r="R80" i="64" s="1"/>
  <c r="P19" i="11"/>
  <c r="P931" i="4"/>
  <c r="Q927" i="4"/>
  <c r="Q929" i="4" s="1"/>
  <c r="Q930" i="4" s="1"/>
  <c r="Q931" i="4" s="1"/>
  <c r="CC1332" i="4"/>
  <c r="CB9" i="11"/>
  <c r="CB9" i="3"/>
  <c r="BZ660" i="4"/>
  <c r="BZ661" i="4" s="1"/>
  <c r="CB227" i="4"/>
  <c r="CB78" i="4"/>
  <c r="Q121" i="64"/>
  <c r="V879" i="4"/>
  <c r="P825" i="4"/>
  <c r="CB83" i="4"/>
  <c r="CB84" i="4" s="1"/>
  <c r="W1214" i="4"/>
  <c r="W1041" i="4"/>
  <c r="W65" i="62"/>
  <c r="W81" i="11"/>
  <c r="W82" i="11" s="1"/>
  <c r="W1241" i="4"/>
  <c r="W33" i="66"/>
  <c r="Y258" i="4"/>
  <c r="Y271" i="4"/>
  <c r="CB22" i="4"/>
  <c r="CC21" i="4"/>
  <c r="CB9" i="66"/>
  <c r="CB54" i="4"/>
  <c r="CB60" i="62"/>
  <c r="W619" i="4"/>
  <c r="X280" i="4"/>
  <c r="BX662" i="4"/>
  <c r="CD7" i="4"/>
  <c r="CD7" i="66"/>
  <c r="CD6" i="66" s="1"/>
  <c r="CD8" i="3"/>
  <c r="CD314" i="4" s="1"/>
  <c r="CD7" i="11"/>
  <c r="CD6" i="11" s="1"/>
  <c r="CD7" i="64"/>
  <c r="CD6" i="64" s="1"/>
  <c r="CD28" i="64" s="1"/>
  <c r="CD30" i="64" s="1"/>
  <c r="CD53" i="64" s="1"/>
  <c r="CD6" i="3"/>
  <c r="CD7" i="62"/>
  <c r="CD6" i="62" s="1"/>
  <c r="CD86" i="64"/>
  <c r="CD87" i="64" s="1"/>
  <c r="Y212" i="4"/>
  <c r="Y268" i="4"/>
  <c r="X285" i="4"/>
  <c r="CB199" i="4"/>
  <c r="W749" i="4"/>
  <c r="W609" i="4"/>
  <c r="W627" i="4" s="1"/>
  <c r="W810" i="4" s="1"/>
  <c r="CB130" i="4"/>
  <c r="V755" i="4"/>
  <c r="V754" i="4"/>
  <c r="CA640" i="4"/>
  <c r="CA641" i="4"/>
  <c r="CA659" i="4" s="1"/>
  <c r="CA645" i="4"/>
  <c r="CA644" i="4"/>
  <c r="T771" i="4"/>
  <c r="T772" i="4"/>
  <c r="Y265" i="4"/>
  <c r="Y163" i="4"/>
  <c r="Y170" i="4"/>
  <c r="Y266" i="4"/>
  <c r="R823" i="4"/>
  <c r="R811" i="4"/>
  <c r="R118" i="64"/>
  <c r="W864" i="4"/>
  <c r="W866" i="4"/>
  <c r="W865" i="4"/>
  <c r="W863" i="4"/>
  <c r="S890" i="4"/>
  <c r="Q826" i="4"/>
  <c r="CB39" i="4"/>
  <c r="CB46" i="4" s="1"/>
  <c r="Z175" i="4"/>
  <c r="Z207" i="4"/>
  <c r="Z269" i="4" s="1"/>
  <c r="Z283" i="4" s="1"/>
  <c r="Z232" i="4"/>
  <c r="Z167" i="4"/>
  <c r="Z255" i="4"/>
  <c r="Z209" i="4"/>
  <c r="Z205" i="4"/>
  <c r="Z168" i="4"/>
  <c r="Z233" i="4"/>
  <c r="Z256" i="4"/>
  <c r="Z161" i="4"/>
  <c r="Z208" i="4"/>
  <c r="Z206" i="4"/>
  <c r="Z174" i="4"/>
  <c r="Z160" i="4"/>
  <c r="Z159" i="4"/>
  <c r="Z257" i="4"/>
  <c r="Z169" i="4"/>
  <c r="Z166" i="4"/>
  <c r="Z204" i="4"/>
  <c r="Z210" i="4"/>
  <c r="Z234" i="4"/>
  <c r="Z254" i="4"/>
  <c r="Z162" i="4"/>
  <c r="Z173" i="4"/>
  <c r="Z231" i="4"/>
  <c r="Z211" i="4"/>
  <c r="Z176" i="4"/>
  <c r="AA85" i="4"/>
  <c r="U789" i="4"/>
  <c r="U629" i="4"/>
  <c r="U630" i="4" s="1"/>
  <c r="U751" i="4"/>
  <c r="CB250" i="4"/>
  <c r="X878" i="4"/>
  <c r="X870" i="4"/>
  <c r="X875" i="4"/>
  <c r="X861" i="4"/>
  <c r="X1032" i="4"/>
  <c r="X1033" i="4" s="1"/>
  <c r="X1034" i="4" s="1"/>
  <c r="X908" i="4" s="1"/>
  <c r="X877" i="4"/>
  <c r="X871" i="4"/>
  <c r="X859" i="4"/>
  <c r="X869" i="4"/>
  <c r="X818" i="4"/>
  <c r="X896" i="4" s="1"/>
  <c r="X874" i="4"/>
  <c r="X876" i="4"/>
  <c r="X860" i="4"/>
  <c r="X862" i="4"/>
  <c r="X613" i="4"/>
  <c r="X614" i="4" s="1"/>
  <c r="X620" i="4" s="1"/>
  <c r="X606" i="4"/>
  <c r="X608" i="4" s="1"/>
  <c r="X616" i="4"/>
  <c r="X667" i="4"/>
  <c r="X666" i="4"/>
  <c r="X618" i="4"/>
  <c r="X668" i="4"/>
  <c r="Y79" i="4"/>
  <c r="W296" i="4"/>
  <c r="W304" i="4" s="1"/>
  <c r="X334" i="4"/>
  <c r="X960" i="4" s="1"/>
  <c r="X276" i="4"/>
  <c r="X279" i="4"/>
  <c r="V750" i="4"/>
  <c r="V622" i="4"/>
  <c r="V623" i="4" s="1"/>
  <c r="V628" i="4"/>
  <c r="V685" i="4" s="1"/>
  <c r="CC1166" i="4"/>
  <c r="CC273" i="4"/>
  <c r="CC1165" i="4"/>
  <c r="CC275" i="4"/>
  <c r="CC288" i="4" s="1"/>
  <c r="CC329" i="4" s="1"/>
  <c r="CC414" i="4" s="1"/>
  <c r="CC415" i="4" s="1"/>
  <c r="CD413" i="4" s="1"/>
  <c r="CC274" i="4"/>
  <c r="CB153" i="4"/>
  <c r="P64" i="64"/>
  <c r="P121" i="64"/>
  <c r="Y270" i="4"/>
  <c r="Y235" i="4"/>
  <c r="S776" i="4"/>
  <c r="S774" i="4"/>
  <c r="S775" i="4"/>
  <c r="S773" i="4"/>
  <c r="S111" i="64"/>
  <c r="T793" i="4"/>
  <c r="T792" i="4"/>
  <c r="T794" i="4"/>
  <c r="T795" i="4"/>
  <c r="T791" i="4"/>
  <c r="CB540" i="4"/>
  <c r="CB542" i="4" s="1"/>
  <c r="W289" i="4"/>
  <c r="T767" i="4"/>
  <c r="T765" i="4"/>
  <c r="T768" i="4"/>
  <c r="T766" i="4"/>
  <c r="CB142" i="4"/>
  <c r="R81" i="64"/>
  <c r="R73" i="64"/>
  <c r="V1345" i="4"/>
  <c r="V1310" i="4"/>
  <c r="S796" i="4"/>
  <c r="CB44" i="4"/>
  <c r="CB51" i="4" s="1"/>
  <c r="X260" i="4"/>
  <c r="V304" i="4"/>
  <c r="CC185" i="3"/>
  <c r="CC122" i="4" s="1"/>
  <c r="CC127" i="4" s="1"/>
  <c r="CC218" i="3"/>
  <c r="CC135" i="4" s="1"/>
  <c r="CC140" i="4" s="1"/>
  <c r="CC217" i="3"/>
  <c r="CC134" i="4" s="1"/>
  <c r="CC139" i="4" s="1"/>
  <c r="CC357" i="3"/>
  <c r="CC243" i="4" s="1"/>
  <c r="CC248" i="4" s="1"/>
  <c r="CC1106" i="4"/>
  <c r="CC356" i="3"/>
  <c r="CC242" i="4" s="1"/>
  <c r="CC247" i="4" s="1"/>
  <c r="CC297" i="3"/>
  <c r="CC184" i="4" s="1"/>
  <c r="CC193" i="4" s="1"/>
  <c r="CC216" i="3"/>
  <c r="CC133" i="4" s="1"/>
  <c r="CC329" i="3"/>
  <c r="CC218" i="4" s="1"/>
  <c r="CC1083" i="4"/>
  <c r="CC242" i="3"/>
  <c r="CC147" i="4" s="1"/>
  <c r="CC152" i="4" s="1"/>
  <c r="CC299" i="3"/>
  <c r="CC186" i="4" s="1"/>
  <c r="CC195" i="4" s="1"/>
  <c r="CC186" i="3"/>
  <c r="CC123" i="4" s="1"/>
  <c r="CC128" i="4" s="1"/>
  <c r="CC8" i="66"/>
  <c r="CC8" i="62"/>
  <c r="CC16" i="4"/>
  <c r="CC298" i="3"/>
  <c r="CC185" i="4" s="1"/>
  <c r="CC194" i="4" s="1"/>
  <c r="CC8" i="11"/>
  <c r="CC296" i="3"/>
  <c r="CC183" i="4" s="1"/>
  <c r="CC330" i="3"/>
  <c r="CC219" i="4" s="1"/>
  <c r="CC224" i="4" s="1"/>
  <c r="CC331" i="3"/>
  <c r="CC220" i="4" s="1"/>
  <c r="CC225" i="4" s="1"/>
  <c r="CC300" i="3"/>
  <c r="CC187" i="4" s="1"/>
  <c r="CC196" i="4" s="1"/>
  <c r="CC8" i="4"/>
  <c r="CC355" i="3"/>
  <c r="CC241" i="4" s="1"/>
  <c r="CC240" i="3"/>
  <c r="CC145" i="4" s="1"/>
  <c r="CC28" i="4"/>
  <c r="CC184" i="3"/>
  <c r="CC121" i="4" s="1"/>
  <c r="CC241" i="3"/>
  <c r="CC146" i="4" s="1"/>
  <c r="CC151" i="4" s="1"/>
  <c r="CC8" i="64"/>
  <c r="CC301" i="3"/>
  <c r="CC188" i="4" s="1"/>
  <c r="CC197" i="4" s="1"/>
  <c r="CC29" i="4"/>
  <c r="CC30" i="4"/>
  <c r="CC1079" i="4"/>
  <c r="CC1107" i="4"/>
  <c r="CC1081" i="4"/>
  <c r="CC1082" i="4" s="1"/>
  <c r="CC1370" i="4"/>
  <c r="CD1370" i="4" s="1"/>
  <c r="CB41" i="4"/>
  <c r="CB48" i="4" s="1"/>
  <c r="U758" i="4"/>
  <c r="U756" i="4"/>
  <c r="U759" i="4"/>
  <c r="U757" i="4"/>
  <c r="W669" i="4"/>
  <c r="W677" i="4"/>
  <c r="X281" i="4"/>
  <c r="S682" i="4"/>
  <c r="S809" i="4"/>
  <c r="X282" i="4"/>
  <c r="CB40" i="4"/>
  <c r="CB47" i="4" s="1"/>
  <c r="Q80" i="64"/>
  <c r="Q72" i="64"/>
  <c r="CB964" i="4"/>
  <c r="CB605" i="4"/>
  <c r="CD1332" i="4"/>
  <c r="T682" i="4"/>
  <c r="T809" i="4"/>
  <c r="Y177" i="4"/>
  <c r="Y267" i="4"/>
  <c r="CB43" i="4"/>
  <c r="CB50" i="4" s="1"/>
  <c r="CB636" i="4" s="1"/>
  <c r="CB9" i="64"/>
  <c r="U676" i="4"/>
  <c r="U680" i="4" s="1"/>
  <c r="P81" i="64"/>
  <c r="P73" i="64"/>
  <c r="CA617" i="4"/>
  <c r="X284" i="4"/>
  <c r="CB88" i="4"/>
  <c r="CB1096" i="4" s="1"/>
  <c r="CB1100" i="4" s="1"/>
  <c r="CB1417" i="4" s="1"/>
  <c r="CC15" i="4"/>
  <c r="CC6" i="4"/>
  <c r="U763" i="4"/>
  <c r="U764" i="4"/>
  <c r="U762" i="4"/>
  <c r="BY662" i="4"/>
  <c r="R121" i="64" l="1"/>
  <c r="R72" i="64"/>
  <c r="CC66" i="4"/>
  <c r="BZ662" i="4"/>
  <c r="CC34" i="66"/>
  <c r="CA660" i="4"/>
  <c r="S777" i="4"/>
  <c r="S823" i="4" s="1"/>
  <c r="W879" i="4"/>
  <c r="CA661" i="4"/>
  <c r="CD275" i="4"/>
  <c r="CD288" i="4" s="1"/>
  <c r="CD329" i="4" s="1"/>
  <c r="CD414" i="4" s="1"/>
  <c r="CD415" i="4" s="1"/>
  <c r="CE413" i="4" s="1"/>
  <c r="CD1166" i="4"/>
  <c r="CD273" i="4"/>
  <c r="CD1165" i="4"/>
  <c r="CD15" i="66" s="1"/>
  <c r="CD274" i="4"/>
  <c r="CC1080" i="4"/>
  <c r="CC1063" i="4"/>
  <c r="CC1066" i="4"/>
  <c r="CC1075" i="4" s="1"/>
  <c r="CB53" i="4"/>
  <c r="CC1052" i="4"/>
  <c r="CC58" i="4"/>
  <c r="CC141" i="4"/>
  <c r="X1214" i="4"/>
  <c r="X1241" i="4"/>
  <c r="X33" i="66"/>
  <c r="X1041" i="4"/>
  <c r="X65" i="62"/>
  <c r="X81" i="11"/>
  <c r="X82" i="11" s="1"/>
  <c r="CB154" i="4"/>
  <c r="X619" i="4"/>
  <c r="U771" i="4"/>
  <c r="U772" i="4"/>
  <c r="Z265" i="4"/>
  <c r="Z163" i="4"/>
  <c r="R817" i="4"/>
  <c r="R819" i="4" s="1"/>
  <c r="T775" i="4"/>
  <c r="T114" i="64" s="1"/>
  <c r="T774" i="4"/>
  <c r="T113" i="64" s="1"/>
  <c r="T776" i="4"/>
  <c r="T115" i="64" s="1"/>
  <c r="T773" i="4"/>
  <c r="T112" i="64" s="1"/>
  <c r="T111" i="64"/>
  <c r="V759" i="4"/>
  <c r="V756" i="4"/>
  <c r="V757" i="4"/>
  <c r="V758" i="4"/>
  <c r="CB200" i="4"/>
  <c r="CA56" i="4"/>
  <c r="CB65" i="4"/>
  <c r="CB55" i="4"/>
  <c r="CB53" i="62"/>
  <c r="Y285" i="4"/>
  <c r="Y284" i="4"/>
  <c r="CC747" i="4"/>
  <c r="CC62" i="4"/>
  <c r="CC528" i="4" s="1"/>
  <c r="CC543" i="4"/>
  <c r="CC54" i="11"/>
  <c r="CC530" i="4"/>
  <c r="CC68" i="4"/>
  <c r="CB63" i="4"/>
  <c r="CB1312" i="4" s="1"/>
  <c r="CC67" i="4"/>
  <c r="CC70" i="4"/>
  <c r="CC34" i="4"/>
  <c r="CC150" i="4"/>
  <c r="CC198" i="4"/>
  <c r="CC36" i="4"/>
  <c r="CC223" i="4"/>
  <c r="CB544" i="4"/>
  <c r="CB612" i="4" s="1"/>
  <c r="CB607" i="4"/>
  <c r="S119" i="64"/>
  <c r="S118" i="64" s="1"/>
  <c r="V676" i="4"/>
  <c r="V680" i="4" s="1"/>
  <c r="V889" i="4" s="1"/>
  <c r="V890" i="4" s="1"/>
  <c r="V891" i="4" s="1"/>
  <c r="V751" i="4"/>
  <c r="V629" i="4"/>
  <c r="V630" i="4" s="1"/>
  <c r="X609" i="4"/>
  <c r="X627" i="4" s="1"/>
  <c r="X810" i="4" s="1"/>
  <c r="X815" i="4" s="1"/>
  <c r="X749" i="4"/>
  <c r="X864" i="4"/>
  <c r="X865" i="4"/>
  <c r="X866" i="4"/>
  <c r="X863" i="4"/>
  <c r="U809" i="4"/>
  <c r="U682" i="4"/>
  <c r="Z258" i="4"/>
  <c r="Z271" i="4"/>
  <c r="CD300" i="3"/>
  <c r="CD187" i="4" s="1"/>
  <c r="CD196" i="4" s="1"/>
  <c r="CD216" i="3"/>
  <c r="CD133" i="4" s="1"/>
  <c r="CD298" i="3"/>
  <c r="CD185" i="4" s="1"/>
  <c r="CD194" i="4" s="1"/>
  <c r="CD356" i="3"/>
  <c r="CD242" i="4" s="1"/>
  <c r="CD247" i="4" s="1"/>
  <c r="CD8" i="4"/>
  <c r="CD1106" i="4"/>
  <c r="CD8" i="64"/>
  <c r="CD240" i="3"/>
  <c r="CD145" i="4" s="1"/>
  <c r="CD357" i="3"/>
  <c r="CD243" i="4" s="1"/>
  <c r="CD248" i="4" s="1"/>
  <c r="CD242" i="3"/>
  <c r="CD147" i="4" s="1"/>
  <c r="CD152" i="4" s="1"/>
  <c r="CD186" i="3"/>
  <c r="CD123" i="4" s="1"/>
  <c r="CD128" i="4" s="1"/>
  <c r="CD217" i="3"/>
  <c r="CD134" i="4" s="1"/>
  <c r="CD139" i="4" s="1"/>
  <c r="CD28" i="4"/>
  <c r="CD8" i="11"/>
  <c r="CD297" i="3"/>
  <c r="CD184" i="4" s="1"/>
  <c r="CD193" i="4" s="1"/>
  <c r="CD329" i="3"/>
  <c r="CD218" i="4" s="1"/>
  <c r="CD8" i="62"/>
  <c r="CD301" i="3"/>
  <c r="CD188" i="4" s="1"/>
  <c r="CD197" i="4" s="1"/>
  <c r="CD241" i="3"/>
  <c r="CD146" i="4" s="1"/>
  <c r="CD151" i="4" s="1"/>
  <c r="CD330" i="3"/>
  <c r="CD219" i="4" s="1"/>
  <c r="CD224" i="4" s="1"/>
  <c r="CD355" i="3"/>
  <c r="CD241" i="4" s="1"/>
  <c r="CD185" i="3"/>
  <c r="CD122" i="4" s="1"/>
  <c r="CD127" i="4" s="1"/>
  <c r="CD331" i="3"/>
  <c r="CD220" i="4" s="1"/>
  <c r="CD225" i="4" s="1"/>
  <c r="CD218" i="3"/>
  <c r="CD135" i="4" s="1"/>
  <c r="CD140" i="4" s="1"/>
  <c r="CD296" i="3"/>
  <c r="CD183" i="4" s="1"/>
  <c r="CD299" i="3"/>
  <c r="CD186" i="4" s="1"/>
  <c r="CD195" i="4" s="1"/>
  <c r="CD184" i="3"/>
  <c r="CD121" i="4" s="1"/>
  <c r="CD1083" i="4"/>
  <c r="CD8" i="66"/>
  <c r="CD16" i="4"/>
  <c r="CD30" i="4"/>
  <c r="CD529" i="4" s="1"/>
  <c r="CD29" i="4"/>
  <c r="CD1107" i="4"/>
  <c r="CD1081" i="4"/>
  <c r="CD1082" i="4" s="1"/>
  <c r="CD1079" i="4"/>
  <c r="Z177" i="4"/>
  <c r="Z267" i="4"/>
  <c r="CC18" i="4"/>
  <c r="CC75" i="4"/>
  <c r="CC82" i="4"/>
  <c r="CC57" i="4"/>
  <c r="CC9" i="64" s="1"/>
  <c r="CC295" i="4"/>
  <c r="CC303" i="4" s="1"/>
  <c r="CC1074" i="4"/>
  <c r="CC1186" i="4"/>
  <c r="CC28" i="66"/>
  <c r="CC27" i="66"/>
  <c r="CC9" i="62"/>
  <c r="CC60" i="4"/>
  <c r="CB61" i="4"/>
  <c r="CB318" i="4" s="1"/>
  <c r="CB328" i="4" s="1"/>
  <c r="CC37" i="4"/>
  <c r="CC246" i="4"/>
  <c r="CC33" i="4"/>
  <c r="CC138" i="4"/>
  <c r="S112" i="64"/>
  <c r="CB1183" i="4"/>
  <c r="CC335" i="4"/>
  <c r="CC959" i="4" s="1"/>
  <c r="CC287" i="4"/>
  <c r="CC324" i="4" s="1"/>
  <c r="V763" i="4"/>
  <c r="V762" i="4"/>
  <c r="V764" i="4"/>
  <c r="U791" i="4"/>
  <c r="U793" i="4"/>
  <c r="U794" i="4"/>
  <c r="U792" i="4"/>
  <c r="U795" i="4"/>
  <c r="W32" i="66"/>
  <c r="CC35" i="4"/>
  <c r="CC192" i="4"/>
  <c r="CB655" i="4"/>
  <c r="CB654" i="4"/>
  <c r="CB637" i="4"/>
  <c r="S814" i="4"/>
  <c r="S816" i="4"/>
  <c r="S813" i="4"/>
  <c r="CC529" i="4"/>
  <c r="CC19" i="4"/>
  <c r="CC20" i="4" s="1"/>
  <c r="CC17" i="4"/>
  <c r="CC24" i="4" s="1"/>
  <c r="CC88" i="4" s="1"/>
  <c r="CC1096" i="4" s="1"/>
  <c r="CC1100" i="4" s="1"/>
  <c r="CC1417" i="4" s="1"/>
  <c r="CC54" i="62"/>
  <c r="S824" i="4"/>
  <c r="S114" i="64"/>
  <c r="Y818" i="4"/>
  <c r="Y896" i="4" s="1"/>
  <c r="Y875" i="4"/>
  <c r="Y877" i="4"/>
  <c r="Y869" i="4"/>
  <c r="Y861" i="4"/>
  <c r="Y1032" i="4"/>
  <c r="Y1033" i="4" s="1"/>
  <c r="Y1034" i="4" s="1"/>
  <c r="Y908" i="4" s="1"/>
  <c r="Y871" i="4"/>
  <c r="Y859" i="4"/>
  <c r="Y860" i="4"/>
  <c r="Y876" i="4"/>
  <c r="Y862" i="4"/>
  <c r="Y874" i="4"/>
  <c r="Y878" i="4"/>
  <c r="Y870" i="4"/>
  <c r="Y606" i="4"/>
  <c r="Y608" i="4" s="1"/>
  <c r="Y613" i="4"/>
  <c r="Y614" i="4" s="1"/>
  <c r="Y620" i="4" s="1"/>
  <c r="Y616" i="4"/>
  <c r="Y666" i="4"/>
  <c r="Y667" i="4"/>
  <c r="Y618" i="4"/>
  <c r="Y668" i="4"/>
  <c r="Z79" i="4"/>
  <c r="AA205" i="4"/>
  <c r="AA255" i="4"/>
  <c r="AA168" i="4"/>
  <c r="AA208" i="4"/>
  <c r="AA207" i="4"/>
  <c r="AA269" i="4" s="1"/>
  <c r="AA283" i="4" s="1"/>
  <c r="AA232" i="4"/>
  <c r="AA167" i="4"/>
  <c r="AA209" i="4"/>
  <c r="AA233" i="4"/>
  <c r="AA175" i="4"/>
  <c r="AA174" i="4"/>
  <c r="AA256" i="4"/>
  <c r="AA161" i="4"/>
  <c r="AA160" i="4"/>
  <c r="AA206" i="4"/>
  <c r="AA210" i="4"/>
  <c r="AA234" i="4"/>
  <c r="AA173" i="4"/>
  <c r="AA166" i="4"/>
  <c r="AA254" i="4"/>
  <c r="AA204" i="4"/>
  <c r="AA162" i="4"/>
  <c r="AA169" i="4"/>
  <c r="AA231" i="4"/>
  <c r="AA159" i="4"/>
  <c r="AA257" i="4"/>
  <c r="AA176" i="4"/>
  <c r="AA211" i="4"/>
  <c r="AB85" i="4"/>
  <c r="Y280" i="4"/>
  <c r="CD6" i="4"/>
  <c r="CD15" i="4"/>
  <c r="CC32" i="4"/>
  <c r="CC126" i="4"/>
  <c r="Y281" i="4"/>
  <c r="S684" i="4"/>
  <c r="S992" i="4"/>
  <c r="S1215" i="4"/>
  <c r="S44" i="11"/>
  <c r="S69" i="11"/>
  <c r="S1050" i="4"/>
  <c r="S1257" i="4"/>
  <c r="S928" i="4"/>
  <c r="T796" i="4"/>
  <c r="T824" i="4" s="1"/>
  <c r="S113" i="64"/>
  <c r="CC15" i="66"/>
  <c r="Z268" i="4"/>
  <c r="Z212" i="4"/>
  <c r="W750" i="4"/>
  <c r="W622" i="4"/>
  <c r="W623" i="4" s="1"/>
  <c r="W628" i="4"/>
  <c r="W685" i="4" s="1"/>
  <c r="W1345" i="4"/>
  <c r="W1310" i="4"/>
  <c r="V789" i="4"/>
  <c r="CC226" i="4"/>
  <c r="CC129" i="4"/>
  <c r="S115" i="64"/>
  <c r="P80" i="64"/>
  <c r="P72" i="64"/>
  <c r="X289" i="4"/>
  <c r="Z170" i="4"/>
  <c r="Z266" i="4"/>
  <c r="S891" i="4"/>
  <c r="Y260" i="4"/>
  <c r="W815" i="4"/>
  <c r="T992" i="4"/>
  <c r="T1050" i="4"/>
  <c r="T44" i="11"/>
  <c r="T69" i="11"/>
  <c r="T684" i="4"/>
  <c r="T956" i="4" s="1"/>
  <c r="T1215" i="4"/>
  <c r="T928" i="4"/>
  <c r="T1257" i="4"/>
  <c r="X296" i="4"/>
  <c r="X304" i="4" s="1"/>
  <c r="U889" i="4"/>
  <c r="U765" i="4"/>
  <c r="U767" i="4"/>
  <c r="U766" i="4"/>
  <c r="U768" i="4"/>
  <c r="T814" i="4"/>
  <c r="T813" i="4"/>
  <c r="T816" i="4"/>
  <c r="CC249" i="4"/>
  <c r="X677" i="4"/>
  <c r="X669" i="4"/>
  <c r="R927" i="4"/>
  <c r="R929" i="4" s="1"/>
  <c r="R930" i="4" s="1"/>
  <c r="Q19" i="11"/>
  <c r="Z270" i="4"/>
  <c r="Z235" i="4"/>
  <c r="Y334" i="4"/>
  <c r="Y960" i="4" s="1"/>
  <c r="Y276" i="4"/>
  <c r="Y279" i="4"/>
  <c r="W755" i="4"/>
  <c r="W754" i="4"/>
  <c r="Y282" i="4"/>
  <c r="CE7" i="3"/>
  <c r="CC60" i="62"/>
  <c r="P826" i="4"/>
  <c r="CC227" i="4" l="1"/>
  <c r="CD60" i="4"/>
  <c r="CC9" i="4"/>
  <c r="S811" i="4"/>
  <c r="S817" i="4" s="1"/>
  <c r="S819" i="4" s="1"/>
  <c r="S825" i="4" s="1"/>
  <c r="S826" i="4" s="1"/>
  <c r="X879" i="4"/>
  <c r="Y289" i="4"/>
  <c r="V794" i="4"/>
  <c r="V793" i="4"/>
  <c r="V791" i="4"/>
  <c r="V795" i="4"/>
  <c r="V792" i="4"/>
  <c r="CC130" i="4"/>
  <c r="AA270" i="4"/>
  <c r="AA235" i="4"/>
  <c r="Z1032" i="4"/>
  <c r="Z1033" i="4" s="1"/>
  <c r="Z1034" i="4" s="1"/>
  <c r="Z908" i="4" s="1"/>
  <c r="Z875" i="4"/>
  <c r="Z860" i="4"/>
  <c r="Z877" i="4"/>
  <c r="Z869" i="4"/>
  <c r="Z870" i="4"/>
  <c r="Z876" i="4"/>
  <c r="Z818" i="4"/>
  <c r="Z896" i="4" s="1"/>
  <c r="Z874" i="4"/>
  <c r="Z862" i="4"/>
  <c r="Z859" i="4"/>
  <c r="Z861" i="4"/>
  <c r="Z871" i="4"/>
  <c r="Z878" i="4"/>
  <c r="Z616" i="4"/>
  <c r="Z606" i="4"/>
  <c r="Z608" i="4" s="1"/>
  <c r="Z613" i="4"/>
  <c r="Z614" i="4" s="1"/>
  <c r="Z620" i="4" s="1"/>
  <c r="Z618" i="4"/>
  <c r="Z666" i="4"/>
  <c r="Z667" i="4"/>
  <c r="Z668" i="4"/>
  <c r="AA79" i="4"/>
  <c r="CC44" i="4"/>
  <c r="CC51" i="4" s="1"/>
  <c r="CD32" i="4"/>
  <c r="CD126" i="4"/>
  <c r="CD129" i="4"/>
  <c r="CD198" i="4"/>
  <c r="V771" i="4"/>
  <c r="V772" i="4"/>
  <c r="CB617" i="4"/>
  <c r="CC540" i="4"/>
  <c r="CC542" i="4" s="1"/>
  <c r="X32" i="66"/>
  <c r="CD39" i="4"/>
  <c r="CD46" i="4" s="1"/>
  <c r="CC39" i="4"/>
  <c r="CC46" i="4" s="1"/>
  <c r="CC76" i="4"/>
  <c r="CC77" i="4" s="1"/>
  <c r="CC78" i="4"/>
  <c r="CD33" i="4"/>
  <c r="CD138" i="4"/>
  <c r="CD68" i="4"/>
  <c r="CC610" i="3"/>
  <c r="CD67" i="4"/>
  <c r="CC965" i="4"/>
  <c r="CD335" i="4"/>
  <c r="CD959" i="4" s="1"/>
  <c r="CD287" i="4"/>
  <c r="CD324" i="4" s="1"/>
  <c r="R931" i="4"/>
  <c r="S927" i="4"/>
  <c r="R19" i="11"/>
  <c r="S956" i="4"/>
  <c r="CC199" i="4"/>
  <c r="CD295" i="4"/>
  <c r="CD303" i="4" s="1"/>
  <c r="CD28" i="66"/>
  <c r="CD57" i="4"/>
  <c r="CD60" i="62" s="1"/>
  <c r="CD1074" i="4"/>
  <c r="CD1186" i="4"/>
  <c r="CD27" i="66"/>
  <c r="CD9" i="66"/>
  <c r="CD9" i="62"/>
  <c r="CD35" i="4"/>
  <c r="CD192" i="4"/>
  <c r="CD54" i="62"/>
  <c r="CD249" i="4"/>
  <c r="R825" i="4"/>
  <c r="T777" i="4"/>
  <c r="CD75" i="4"/>
  <c r="CD76" i="4" s="1"/>
  <c r="CD82" i="4"/>
  <c r="CD18" i="4"/>
  <c r="AB209" i="4"/>
  <c r="AB256" i="4"/>
  <c r="AB166" i="4"/>
  <c r="AB206" i="4"/>
  <c r="AB205" i="4"/>
  <c r="AB160" i="4"/>
  <c r="AB175" i="4"/>
  <c r="AB208" i="4"/>
  <c r="AB207" i="4"/>
  <c r="AB269" i="4" s="1"/>
  <c r="AB283" i="4" s="1"/>
  <c r="AB174" i="4"/>
  <c r="AB161" i="4"/>
  <c r="AB255" i="4"/>
  <c r="AB233" i="4"/>
  <c r="AB232" i="4"/>
  <c r="AB168" i="4"/>
  <c r="AB159" i="4"/>
  <c r="AB257" i="4"/>
  <c r="AB169" i="4"/>
  <c r="AB234" i="4"/>
  <c r="AB162" i="4"/>
  <c r="AB173" i="4"/>
  <c r="AB204" i="4"/>
  <c r="AB254" i="4"/>
  <c r="AB210" i="4"/>
  <c r="AB167" i="4"/>
  <c r="AB231" i="4"/>
  <c r="AB211" i="4"/>
  <c r="AB176" i="4"/>
  <c r="AC85" i="4"/>
  <c r="AA212" i="4"/>
  <c r="AA268" i="4"/>
  <c r="CC42" i="4"/>
  <c r="CC49" i="4" s="1"/>
  <c r="CD42" i="4"/>
  <c r="CD49" i="4" s="1"/>
  <c r="CC9" i="3"/>
  <c r="Z281" i="4"/>
  <c r="CD141" i="4"/>
  <c r="CD36" i="4"/>
  <c r="CD43" i="4" s="1"/>
  <c r="CD50" i="4" s="1"/>
  <c r="CD636" i="4" s="1"/>
  <c r="CD223" i="4"/>
  <c r="CD34" i="4"/>
  <c r="CD41" i="4" s="1"/>
  <c r="CD150" i="4"/>
  <c r="Z285" i="4"/>
  <c r="CC43" i="4"/>
  <c r="CC50" i="4" s="1"/>
  <c r="CC636" i="4" s="1"/>
  <c r="Z260" i="4"/>
  <c r="CD34" i="66"/>
  <c r="Z280" i="4"/>
  <c r="W789" i="4"/>
  <c r="W629" i="4"/>
  <c r="W630" i="4" s="1"/>
  <c r="W751" i="4"/>
  <c r="W676" i="4"/>
  <c r="W680" i="4" s="1"/>
  <c r="W889" i="4" s="1"/>
  <c r="W890" i="4" s="1"/>
  <c r="W891" i="4" s="1"/>
  <c r="AA271" i="4"/>
  <c r="AA258" i="4"/>
  <c r="Y669" i="4"/>
  <c r="Y677" i="4"/>
  <c r="U796" i="4"/>
  <c r="U824" i="4" s="1"/>
  <c r="S120" i="64"/>
  <c r="CC9" i="66"/>
  <c r="CD530" i="4"/>
  <c r="CD747" i="4"/>
  <c r="CD54" i="11"/>
  <c r="CD62" i="4"/>
  <c r="CD528" i="4" s="1"/>
  <c r="CD543" i="4"/>
  <c r="CD226" i="4"/>
  <c r="T119" i="64"/>
  <c r="T65" i="64" s="1"/>
  <c r="T116" i="64"/>
  <c r="Z276" i="4"/>
  <c r="Z334" i="4"/>
  <c r="Z960" i="4" s="1"/>
  <c r="Z279" i="4"/>
  <c r="CD66" i="4"/>
  <c r="W758" i="4"/>
  <c r="W756" i="4"/>
  <c r="W757" i="4"/>
  <c r="W759" i="4"/>
  <c r="U890" i="4"/>
  <c r="W762" i="4"/>
  <c r="W763" i="4"/>
  <c r="W764" i="4"/>
  <c r="AA170" i="4"/>
  <c r="AA266" i="4"/>
  <c r="Y619" i="4"/>
  <c r="Y296" i="4"/>
  <c r="Y304" i="4" s="1"/>
  <c r="CC1183" i="4"/>
  <c r="V768" i="4"/>
  <c r="V767" i="4"/>
  <c r="V765" i="4"/>
  <c r="V766" i="4"/>
  <c r="CC142" i="4"/>
  <c r="U684" i="4"/>
  <c r="U956" i="4" s="1"/>
  <c r="U1050" i="4"/>
  <c r="U44" i="11"/>
  <c r="U1257" i="4"/>
  <c r="U992" i="4"/>
  <c r="U928" i="4"/>
  <c r="U1215" i="4"/>
  <c r="U69" i="11"/>
  <c r="X755" i="4"/>
  <c r="X754" i="4"/>
  <c r="S116" i="64"/>
  <c r="T120" i="64"/>
  <c r="T64" i="64" s="1"/>
  <c r="U111" i="64"/>
  <c r="U773" i="4"/>
  <c r="U775" i="4"/>
  <c r="U774" i="4"/>
  <c r="U776" i="4"/>
  <c r="U115" i="64" s="1"/>
  <c r="X1310" i="4"/>
  <c r="X1345" i="4"/>
  <c r="Z284" i="4"/>
  <c r="AA267" i="4"/>
  <c r="AA177" i="4"/>
  <c r="Y863" i="4"/>
  <c r="Y864" i="4"/>
  <c r="Y866" i="4"/>
  <c r="Y865" i="4"/>
  <c r="CC22" i="4"/>
  <c r="CD21" i="4"/>
  <c r="CD40" i="4"/>
  <c r="CC40" i="4"/>
  <c r="CC47" i="4" s="1"/>
  <c r="CC9" i="11"/>
  <c r="CC54" i="4"/>
  <c r="CD37" i="4"/>
  <c r="CD246" i="4"/>
  <c r="CC53" i="4"/>
  <c r="CD58" i="4"/>
  <c r="CD1052" i="4"/>
  <c r="CD17" i="4"/>
  <c r="CD24" i="4" s="1"/>
  <c r="CD19" i="4"/>
  <c r="CD20" i="4" s="1"/>
  <c r="U813" i="4"/>
  <c r="U816" i="4"/>
  <c r="U814" i="4"/>
  <c r="S65" i="64"/>
  <c r="CC153" i="4"/>
  <c r="CD70" i="4"/>
  <c r="CE8" i="3"/>
  <c r="CF7" i="3" s="1"/>
  <c r="CE7" i="62"/>
  <c r="CE6" i="62" s="1"/>
  <c r="CE86" i="64"/>
  <c r="CE87" i="64" s="1"/>
  <c r="CE6" i="3"/>
  <c r="CE7" i="66"/>
  <c r="CE6" i="66" s="1"/>
  <c r="CE7" i="4"/>
  <c r="CE7" i="11"/>
  <c r="CE6" i="11" s="1"/>
  <c r="CE7" i="64"/>
  <c r="CE6" i="64" s="1"/>
  <c r="CE28" i="64" s="1"/>
  <c r="CE30" i="64" s="1"/>
  <c r="CE53" i="64" s="1"/>
  <c r="Y1041" i="4"/>
  <c r="Y81" i="11"/>
  <c r="Y82" i="11" s="1"/>
  <c r="Y1214" i="4"/>
  <c r="Y65" i="62"/>
  <c r="Y1241" i="4"/>
  <c r="Y33" i="66"/>
  <c r="Y32" i="66" s="1"/>
  <c r="Z282" i="4"/>
  <c r="AA265" i="4"/>
  <c r="AA163" i="4"/>
  <c r="Y609" i="4"/>
  <c r="Y627" i="4" s="1"/>
  <c r="Y810" i="4" s="1"/>
  <c r="Y815" i="4" s="1"/>
  <c r="Y749" i="4"/>
  <c r="CB641" i="4"/>
  <c r="CB640" i="4"/>
  <c r="CB659" i="4" s="1"/>
  <c r="CB645" i="4"/>
  <c r="CB644" i="4"/>
  <c r="CC250" i="4"/>
  <c r="CC61" i="4"/>
  <c r="CC318" i="4" s="1"/>
  <c r="CC328" i="4" s="1"/>
  <c r="CC83" i="4"/>
  <c r="CC84" i="4" s="1"/>
  <c r="CD1080" i="4"/>
  <c r="CD1063" i="4"/>
  <c r="CD1066" i="4"/>
  <c r="CD1075" i="4" s="1"/>
  <c r="V809" i="4"/>
  <c r="V682" i="4"/>
  <c r="CC41" i="4"/>
  <c r="CC48" i="4" s="1"/>
  <c r="CC63" i="4"/>
  <c r="CC1312" i="4" s="1"/>
  <c r="X750" i="4"/>
  <c r="X622" i="4"/>
  <c r="X623" i="4" s="1"/>
  <c r="X628" i="4"/>
  <c r="X685" i="4" s="1"/>
  <c r="CA662" i="4"/>
  <c r="CD227" i="4" l="1"/>
  <c r="CB660" i="4"/>
  <c r="CD9" i="4"/>
  <c r="T118" i="64"/>
  <c r="T121" i="64" s="1"/>
  <c r="Y879" i="4"/>
  <c r="AA260" i="4"/>
  <c r="AA1214" i="4" s="1"/>
  <c r="V796" i="4"/>
  <c r="V824" i="4" s="1"/>
  <c r="CD22" i="4"/>
  <c r="CE21" i="4"/>
  <c r="CB661" i="4"/>
  <c r="CF7" i="62"/>
  <c r="CF6" i="62" s="1"/>
  <c r="CF6" i="3"/>
  <c r="CF7" i="64"/>
  <c r="CF6" i="64" s="1"/>
  <c r="CF28" i="64" s="1"/>
  <c r="CF30" i="64" s="1"/>
  <c r="CF53" i="64" s="1"/>
  <c r="CF7" i="66"/>
  <c r="CF6" i="66" s="1"/>
  <c r="CF8" i="3"/>
  <c r="CG7" i="3" s="1"/>
  <c r="CF86" i="64"/>
  <c r="CF87" i="64" s="1"/>
  <c r="CF7" i="4"/>
  <c r="CF7" i="11"/>
  <c r="CF6" i="11" s="1"/>
  <c r="CD250" i="4"/>
  <c r="Y750" i="4"/>
  <c r="Y622" i="4"/>
  <c r="Y623" i="4" s="1"/>
  <c r="Y628" i="4"/>
  <c r="Y685" i="4" s="1"/>
  <c r="CD655" i="4"/>
  <c r="CD654" i="4"/>
  <c r="CD637" i="4"/>
  <c r="AA818" i="4"/>
  <c r="AA896" i="4" s="1"/>
  <c r="AA861" i="4"/>
  <c r="AA869" i="4"/>
  <c r="AA876" i="4"/>
  <c r="AA874" i="4"/>
  <c r="AA878" i="4"/>
  <c r="AA860" i="4"/>
  <c r="AA859" i="4"/>
  <c r="AA871" i="4"/>
  <c r="AA877" i="4"/>
  <c r="AA1032" i="4"/>
  <c r="AA1033" i="4" s="1"/>
  <c r="AA1034" i="4" s="1"/>
  <c r="AA908" i="4" s="1"/>
  <c r="AA875" i="4"/>
  <c r="AA870" i="4"/>
  <c r="AA862" i="4"/>
  <c r="AA606" i="4"/>
  <c r="AA608" i="4" s="1"/>
  <c r="AA613" i="4"/>
  <c r="AA614" i="4" s="1"/>
  <c r="AA620" i="4" s="1"/>
  <c r="AA616" i="4"/>
  <c r="AA666" i="4"/>
  <c r="AA667" i="4"/>
  <c r="AA618" i="4"/>
  <c r="AA668" i="4"/>
  <c r="AB79" i="4"/>
  <c r="AA280" i="4"/>
  <c r="T81" i="64"/>
  <c r="T73" i="64"/>
  <c r="AB170" i="4"/>
  <c r="AB266" i="4"/>
  <c r="T823" i="4"/>
  <c r="T811" i="4"/>
  <c r="T817" i="4" s="1"/>
  <c r="T819" i="4" s="1"/>
  <c r="T825" i="4" s="1"/>
  <c r="CD130" i="4"/>
  <c r="X676" i="4"/>
  <c r="X680" i="4" s="1"/>
  <c r="X889" i="4" s="1"/>
  <c r="X890" i="4" s="1"/>
  <c r="X891" i="4" s="1"/>
  <c r="X629" i="4"/>
  <c r="X630" i="4" s="1"/>
  <c r="X751" i="4"/>
  <c r="X789" i="4"/>
  <c r="V992" i="4"/>
  <c r="V1215" i="4"/>
  <c r="V1050" i="4"/>
  <c r="V1257" i="4"/>
  <c r="V684" i="4"/>
  <c r="V956" i="4" s="1"/>
  <c r="V69" i="11"/>
  <c r="V44" i="11"/>
  <c r="V928" i="4"/>
  <c r="AA276" i="4"/>
  <c r="AA334" i="4"/>
  <c r="AA960" i="4" s="1"/>
  <c r="AA279" i="4"/>
  <c r="CB56" i="4"/>
  <c r="CC55" i="4"/>
  <c r="CC53" i="62"/>
  <c r="AA281" i="4"/>
  <c r="S64" i="64"/>
  <c r="W772" i="4"/>
  <c r="W771" i="4"/>
  <c r="AB235" i="4"/>
  <c r="AB270" i="4"/>
  <c r="CD9" i="11"/>
  <c r="CD965" i="4"/>
  <c r="CD610" i="3"/>
  <c r="V111" i="64"/>
  <c r="V776" i="4"/>
  <c r="V115" i="64" s="1"/>
  <c r="V775" i="4"/>
  <c r="V114" i="64" s="1"/>
  <c r="V774" i="4"/>
  <c r="V113" i="64" s="1"/>
  <c r="V773" i="4"/>
  <c r="V112" i="64" s="1"/>
  <c r="S121" i="64"/>
  <c r="CE6" i="4"/>
  <c r="CE15" i="4"/>
  <c r="X762" i="4"/>
  <c r="X763" i="4"/>
  <c r="X764" i="4"/>
  <c r="V813" i="4"/>
  <c r="V816" i="4"/>
  <c r="V814" i="4"/>
  <c r="CC154" i="4"/>
  <c r="CD88" i="4"/>
  <c r="CD1096" i="4" s="1"/>
  <c r="CD1100" i="4" s="1"/>
  <c r="CD1417" i="4" s="1"/>
  <c r="U113" i="64"/>
  <c r="W768" i="4"/>
  <c r="W765" i="4"/>
  <c r="W767" i="4"/>
  <c r="W766" i="4"/>
  <c r="Z289" i="4"/>
  <c r="W682" i="4"/>
  <c r="W809" i="4"/>
  <c r="S929" i="4"/>
  <c r="S930" i="4" s="1"/>
  <c r="CC964" i="4"/>
  <c r="CC605" i="4"/>
  <c r="CD78" i="4"/>
  <c r="Z677" i="4"/>
  <c r="Z669" i="4"/>
  <c r="Z863" i="4"/>
  <c r="Z866" i="4"/>
  <c r="Z864" i="4"/>
  <c r="Z865" i="4"/>
  <c r="U114" i="64"/>
  <c r="X758" i="4"/>
  <c r="X757" i="4"/>
  <c r="X756" i="4"/>
  <c r="X759" i="4"/>
  <c r="W791" i="4"/>
  <c r="W795" i="4"/>
  <c r="W794" i="4"/>
  <c r="W792" i="4"/>
  <c r="W793" i="4"/>
  <c r="AB163" i="4"/>
  <c r="AB265" i="4"/>
  <c r="R826" i="4"/>
  <c r="CC200" i="4"/>
  <c r="CD44" i="4"/>
  <c r="CD51" i="4" s="1"/>
  <c r="S81" i="64"/>
  <c r="S73" i="64"/>
  <c r="CD47" i="4"/>
  <c r="U112" i="64"/>
  <c r="Z1214" i="4"/>
  <c r="Z33" i="66"/>
  <c r="Z32" i="66" s="1"/>
  <c r="Z1041" i="4"/>
  <c r="Z81" i="11"/>
  <c r="Z82" i="11" s="1"/>
  <c r="Z1241" i="4"/>
  <c r="Z65" i="62"/>
  <c r="AA282" i="4"/>
  <c r="AB271" i="4"/>
  <c r="AB258" i="4"/>
  <c r="CC65" i="4"/>
  <c r="CD199" i="4"/>
  <c r="CD200" i="4" s="1"/>
  <c r="CD142" i="4"/>
  <c r="CD77" i="4"/>
  <c r="CE186" i="3"/>
  <c r="CE123" i="4" s="1"/>
  <c r="CE128" i="4" s="1"/>
  <c r="CE357" i="3"/>
  <c r="CE243" i="4" s="1"/>
  <c r="CE248" i="4" s="1"/>
  <c r="CE1106" i="4"/>
  <c r="CE16" i="4"/>
  <c r="CE330" i="3"/>
  <c r="CE219" i="4" s="1"/>
  <c r="CE224" i="4" s="1"/>
  <c r="CE297" i="3"/>
  <c r="CE184" i="4" s="1"/>
  <c r="CE193" i="4" s="1"/>
  <c r="CE298" i="3"/>
  <c r="CE185" i="4" s="1"/>
  <c r="CE194" i="4" s="1"/>
  <c r="CE8" i="64"/>
  <c r="CE28" i="4"/>
  <c r="CE185" i="3"/>
  <c r="CE122" i="4" s="1"/>
  <c r="CE127" i="4" s="1"/>
  <c r="CE1370" i="4"/>
  <c r="CF1370" i="4" s="1"/>
  <c r="CE241" i="3"/>
  <c r="CE146" i="4" s="1"/>
  <c r="CE151" i="4" s="1"/>
  <c r="CE8" i="4"/>
  <c r="CE8" i="62"/>
  <c r="CE356" i="3"/>
  <c r="CE242" i="4" s="1"/>
  <c r="CE247" i="4" s="1"/>
  <c r="CE300" i="3"/>
  <c r="CE187" i="4" s="1"/>
  <c r="CE196" i="4" s="1"/>
  <c r="CE296" i="3"/>
  <c r="CE183" i="4" s="1"/>
  <c r="CE184" i="3"/>
  <c r="CE121" i="4" s="1"/>
  <c r="CE329" i="3"/>
  <c r="CE218" i="4" s="1"/>
  <c r="CE242" i="3"/>
  <c r="CE147" i="4" s="1"/>
  <c r="CE152" i="4" s="1"/>
  <c r="CE8" i="11"/>
  <c r="CE216" i="3"/>
  <c r="CE133" i="4" s="1"/>
  <c r="CE218" i="3"/>
  <c r="CE135" i="4" s="1"/>
  <c r="CE140" i="4" s="1"/>
  <c r="CE8" i="66"/>
  <c r="CE331" i="3"/>
  <c r="CE220" i="4" s="1"/>
  <c r="CE225" i="4" s="1"/>
  <c r="CE299" i="3"/>
  <c r="CE186" i="4" s="1"/>
  <c r="CE195" i="4" s="1"/>
  <c r="CE355" i="3"/>
  <c r="CE241" i="4" s="1"/>
  <c r="CE217" i="3"/>
  <c r="CE134" i="4" s="1"/>
  <c r="CE139" i="4" s="1"/>
  <c r="CE301" i="3"/>
  <c r="CE188" i="4" s="1"/>
  <c r="CE197" i="4" s="1"/>
  <c r="CE240" i="3"/>
  <c r="CE145" i="4" s="1"/>
  <c r="CE1083" i="4"/>
  <c r="CE30" i="4"/>
  <c r="CE67" i="4" s="1"/>
  <c r="CE29" i="4"/>
  <c r="CE1107" i="4"/>
  <c r="CE1081" i="4"/>
  <c r="CE1082" i="4" s="1"/>
  <c r="CE1079" i="4"/>
  <c r="CE1332" i="4"/>
  <c r="CF1332" i="4" s="1"/>
  <c r="U119" i="64"/>
  <c r="U65" i="64" s="1"/>
  <c r="CD540" i="4"/>
  <c r="CD542" i="4" s="1"/>
  <c r="CD153" i="4"/>
  <c r="AB212" i="4"/>
  <c r="AB268" i="4"/>
  <c r="CD83" i="4"/>
  <c r="CD84" i="4" s="1"/>
  <c r="CD9" i="64"/>
  <c r="CD54" i="4"/>
  <c r="CD55" i="4" s="1"/>
  <c r="Z749" i="4"/>
  <c r="Z609" i="4"/>
  <c r="Z627" i="4" s="1"/>
  <c r="Z810" i="4" s="1"/>
  <c r="Z815" i="4" s="1"/>
  <c r="Z296" i="4"/>
  <c r="Z304" i="4" s="1"/>
  <c r="CD48" i="4"/>
  <c r="Y754" i="4"/>
  <c r="Y755" i="4"/>
  <c r="Y1310" i="4"/>
  <c r="Y1345" i="4"/>
  <c r="CE314" i="4"/>
  <c r="T72" i="64"/>
  <c r="T80" i="64"/>
  <c r="U891" i="4"/>
  <c r="AA285" i="4"/>
  <c r="CC655" i="4"/>
  <c r="CC654" i="4"/>
  <c r="CC637" i="4"/>
  <c r="AC256" i="4"/>
  <c r="AC161" i="4"/>
  <c r="AC233" i="4"/>
  <c r="AC207" i="4"/>
  <c r="AC269" i="4" s="1"/>
  <c r="AC283" i="4" s="1"/>
  <c r="AC167" i="4"/>
  <c r="AC206" i="4"/>
  <c r="AC205" i="4"/>
  <c r="AC175" i="4"/>
  <c r="AC255" i="4"/>
  <c r="AC209" i="4"/>
  <c r="AC208" i="4"/>
  <c r="AC160" i="4"/>
  <c r="AC232" i="4"/>
  <c r="AC168" i="4"/>
  <c r="AC174" i="4"/>
  <c r="AC159" i="4"/>
  <c r="AC234" i="4"/>
  <c r="AC210" i="4"/>
  <c r="AC231" i="4"/>
  <c r="AC257" i="4"/>
  <c r="AC162" i="4"/>
  <c r="AC204" i="4"/>
  <c r="AC254" i="4"/>
  <c r="AC169" i="4"/>
  <c r="AC173" i="4"/>
  <c r="AC166" i="4"/>
  <c r="AC176" i="4"/>
  <c r="AC211" i="4"/>
  <c r="AD85" i="4"/>
  <c r="AB267" i="4"/>
  <c r="AB177" i="4"/>
  <c r="CD9" i="3"/>
  <c r="CC544" i="4"/>
  <c r="CC612" i="4" s="1"/>
  <c r="CC607" i="4"/>
  <c r="Z619" i="4"/>
  <c r="AA284" i="4"/>
  <c r="U777" i="4"/>
  <c r="AA65" i="62" l="1"/>
  <c r="CE66" i="4"/>
  <c r="AA1241" i="4"/>
  <c r="AA33" i="66"/>
  <c r="AA32" i="66" s="1"/>
  <c r="AA619" i="4"/>
  <c r="AA750" i="4" s="1"/>
  <c r="AA1041" i="4"/>
  <c r="AA81" i="11"/>
  <c r="AA82" i="11" s="1"/>
  <c r="AA1310" i="4" s="1"/>
  <c r="U116" i="64"/>
  <c r="T826" i="4"/>
  <c r="U118" i="64"/>
  <c r="Z879" i="4"/>
  <c r="V777" i="4"/>
  <c r="V120" i="64"/>
  <c r="V64" i="64" s="1"/>
  <c r="V72" i="64" s="1"/>
  <c r="CE965" i="4"/>
  <c r="CE610" i="3"/>
  <c r="AD256" i="4"/>
  <c r="AD232" i="4"/>
  <c r="AD208" i="4"/>
  <c r="AD168" i="4"/>
  <c r="AD167" i="4"/>
  <c r="AD209" i="4"/>
  <c r="AD174" i="4"/>
  <c r="AD207" i="4"/>
  <c r="AD269" i="4" s="1"/>
  <c r="AD283" i="4" s="1"/>
  <c r="AD175" i="4"/>
  <c r="AD161" i="4"/>
  <c r="AD205" i="4"/>
  <c r="AD206" i="4"/>
  <c r="AD160" i="4"/>
  <c r="AD255" i="4"/>
  <c r="AD233" i="4"/>
  <c r="AD162" i="4"/>
  <c r="AD210" i="4"/>
  <c r="AD169" i="4"/>
  <c r="AD257" i="4"/>
  <c r="AD159" i="4"/>
  <c r="AD231" i="4"/>
  <c r="AD166" i="4"/>
  <c r="AD254" i="4"/>
  <c r="AD173" i="4"/>
  <c r="AD204" i="4"/>
  <c r="AD234" i="4"/>
  <c r="AD176" i="4"/>
  <c r="AD211" i="4"/>
  <c r="AE85" i="4"/>
  <c r="U823" i="4"/>
  <c r="U811" i="4"/>
  <c r="U817" i="4" s="1"/>
  <c r="U819" i="4" s="1"/>
  <c r="U825" i="4" s="1"/>
  <c r="AC266" i="4"/>
  <c r="AC170" i="4"/>
  <c r="CD607" i="4"/>
  <c r="CD544" i="4"/>
  <c r="CD612" i="4" s="1"/>
  <c r="T927" i="4"/>
  <c r="T929" i="4" s="1"/>
  <c r="T930" i="4" s="1"/>
  <c r="S19" i="11"/>
  <c r="CD1183" i="4"/>
  <c r="W776" i="4"/>
  <c r="W115" i="64" s="1"/>
  <c r="W774" i="4"/>
  <c r="W113" i="64" s="1"/>
  <c r="W775" i="4"/>
  <c r="W114" i="64" s="1"/>
  <c r="W773" i="4"/>
  <c r="W112" i="64" s="1"/>
  <c r="AA289" i="4"/>
  <c r="AB859" i="4"/>
  <c r="AB818" i="4"/>
  <c r="AB896" i="4" s="1"/>
  <c r="AB878" i="4"/>
  <c r="AB1032" i="4"/>
  <c r="AB1033" i="4" s="1"/>
  <c r="AB1034" i="4" s="1"/>
  <c r="AB908" i="4" s="1"/>
  <c r="AB860" i="4"/>
  <c r="AB869" i="4"/>
  <c r="AB877" i="4"/>
  <c r="AB871" i="4"/>
  <c r="AB876" i="4"/>
  <c r="AB875" i="4"/>
  <c r="AB870" i="4"/>
  <c r="AB861" i="4"/>
  <c r="AB874" i="4"/>
  <c r="AB862" i="4"/>
  <c r="AB606" i="4"/>
  <c r="AB608" i="4" s="1"/>
  <c r="AB613" i="4"/>
  <c r="AB614" i="4" s="1"/>
  <c r="AB620" i="4" s="1"/>
  <c r="AB616" i="4"/>
  <c r="AB666" i="4"/>
  <c r="AB667" i="4"/>
  <c r="AB618" i="4"/>
  <c r="AB668" i="4"/>
  <c r="AC79" i="4"/>
  <c r="AC177" i="4"/>
  <c r="AC267" i="4"/>
  <c r="CE273" i="4"/>
  <c r="CE274" i="4"/>
  <c r="CE1166" i="4"/>
  <c r="CE1165" i="4"/>
  <c r="CE15" i="66" s="1"/>
  <c r="CE275" i="4"/>
  <c r="CE288" i="4" s="1"/>
  <c r="CE329" i="4" s="1"/>
  <c r="CE414" i="4" s="1"/>
  <c r="CE415" i="4" s="1"/>
  <c r="CF413" i="4" s="1"/>
  <c r="CE37" i="4"/>
  <c r="CE246" i="4"/>
  <c r="CE36" i="4"/>
  <c r="CE223" i="4"/>
  <c r="X767" i="4"/>
  <c r="X766" i="4"/>
  <c r="X765" i="4"/>
  <c r="X768" i="4"/>
  <c r="X794" i="4"/>
  <c r="X793" i="4"/>
  <c r="X792" i="4"/>
  <c r="X791" i="4"/>
  <c r="X795" i="4"/>
  <c r="AC265" i="4"/>
  <c r="AC163" i="4"/>
  <c r="CE295" i="4"/>
  <c r="CE303" i="4" s="1"/>
  <c r="CE1074" i="4"/>
  <c r="CE9" i="11"/>
  <c r="CE57" i="4"/>
  <c r="CE9" i="4" s="1"/>
  <c r="CE1186" i="4"/>
  <c r="CE28" i="66"/>
  <c r="CE27" i="66"/>
  <c r="CE9" i="62"/>
  <c r="CE60" i="4"/>
  <c r="CD61" i="4"/>
  <c r="CD318" i="4" s="1"/>
  <c r="CD328" i="4" s="1"/>
  <c r="CE32" i="4"/>
  <c r="CE126" i="4"/>
  <c r="CE249" i="4"/>
  <c r="U120" i="64"/>
  <c r="S72" i="64"/>
  <c r="S80" i="64"/>
  <c r="X771" i="4"/>
  <c r="X772" i="4"/>
  <c r="CD645" i="4"/>
  <c r="CD641" i="4"/>
  <c r="CD644" i="4"/>
  <c r="CD640" i="4"/>
  <c r="CD659" i="4" s="1"/>
  <c r="Z628" i="4"/>
  <c r="Z685" i="4" s="1"/>
  <c r="Z750" i="4"/>
  <c r="Z622" i="4"/>
  <c r="Z623" i="4" s="1"/>
  <c r="AC258" i="4"/>
  <c r="AC271" i="4"/>
  <c r="Z755" i="4"/>
  <c r="Z754" i="4"/>
  <c r="AB282" i="4"/>
  <c r="U73" i="64"/>
  <c r="U81" i="64"/>
  <c r="CE62" i="4"/>
  <c r="CE528" i="4" s="1"/>
  <c r="CE543" i="4"/>
  <c r="CE747" i="4"/>
  <c r="CE54" i="11"/>
  <c r="CE530" i="4"/>
  <c r="CD63" i="4"/>
  <c r="CD1312" i="4" s="1"/>
  <c r="CE70" i="4"/>
  <c r="CE226" i="4"/>
  <c r="CE35" i="4"/>
  <c r="CE192" i="4"/>
  <c r="CD53" i="4"/>
  <c r="CE58" i="4"/>
  <c r="CE1052" i="4"/>
  <c r="CE129" i="4"/>
  <c r="CD65" i="4"/>
  <c r="X809" i="4"/>
  <c r="X682" i="4"/>
  <c r="AB280" i="4"/>
  <c r="CF6" i="4"/>
  <c r="CF15" i="4"/>
  <c r="AB281" i="4"/>
  <c r="AC268" i="4"/>
  <c r="AC212" i="4"/>
  <c r="CC644" i="4"/>
  <c r="CC660" i="4" s="1"/>
  <c r="CC641" i="4"/>
  <c r="CC640" i="4"/>
  <c r="CC645" i="4"/>
  <c r="Y756" i="4"/>
  <c r="Y757" i="4"/>
  <c r="Y759" i="4"/>
  <c r="Y758" i="4"/>
  <c r="CE529" i="4"/>
  <c r="Z1345" i="4"/>
  <c r="Z1310" i="4"/>
  <c r="W796" i="4"/>
  <c r="W824" i="4" s="1"/>
  <c r="CE75" i="4"/>
  <c r="CE78" i="4" s="1"/>
  <c r="CE18" i="4"/>
  <c r="CE82" i="4"/>
  <c r="AB284" i="4"/>
  <c r="AA669" i="4"/>
  <c r="AA677" i="4"/>
  <c r="CD660" i="4"/>
  <c r="CE141" i="4"/>
  <c r="CE198" i="4"/>
  <c r="AB285" i="4"/>
  <c r="W814" i="4"/>
  <c r="W816" i="4"/>
  <c r="W813" i="4"/>
  <c r="V119" i="64"/>
  <c r="V65" i="64" s="1"/>
  <c r="V116" i="64"/>
  <c r="AA296" i="4"/>
  <c r="AA304" i="4" s="1"/>
  <c r="CF186" i="3"/>
  <c r="CF123" i="4" s="1"/>
  <c r="CF128" i="4" s="1"/>
  <c r="CF216" i="3"/>
  <c r="CF133" i="4" s="1"/>
  <c r="CF138" i="4" s="1"/>
  <c r="CF242" i="3"/>
  <c r="CF147" i="4" s="1"/>
  <c r="CF152" i="4" s="1"/>
  <c r="CF356" i="3"/>
  <c r="CF242" i="4" s="1"/>
  <c r="CF247" i="4" s="1"/>
  <c r="CF8" i="11"/>
  <c r="CF218" i="3"/>
  <c r="CF135" i="4" s="1"/>
  <c r="CF140" i="4" s="1"/>
  <c r="CF1083" i="4"/>
  <c r="CF8" i="64"/>
  <c r="CF185" i="3"/>
  <c r="CF122" i="4" s="1"/>
  <c r="CF127" i="4" s="1"/>
  <c r="CF28" i="4"/>
  <c r="CF329" i="3"/>
  <c r="CF218" i="4" s="1"/>
  <c r="CF240" i="3"/>
  <c r="CF145" i="4" s="1"/>
  <c r="CF184" i="3"/>
  <c r="CF121" i="4" s="1"/>
  <c r="CF330" i="3"/>
  <c r="CF219" i="4" s="1"/>
  <c r="CF224" i="4" s="1"/>
  <c r="CF1106" i="4"/>
  <c r="CF355" i="3"/>
  <c r="CF241" i="4" s="1"/>
  <c r="CF357" i="3"/>
  <c r="CF243" i="4" s="1"/>
  <c r="CF248" i="4" s="1"/>
  <c r="CF298" i="3"/>
  <c r="CF185" i="4" s="1"/>
  <c r="CF194" i="4" s="1"/>
  <c r="CF331" i="3"/>
  <c r="CF220" i="4" s="1"/>
  <c r="CF225" i="4" s="1"/>
  <c r="CF300" i="3"/>
  <c r="CF187" i="4" s="1"/>
  <c r="CF196" i="4" s="1"/>
  <c r="CF8" i="4"/>
  <c r="CF16" i="4"/>
  <c r="CF297" i="3"/>
  <c r="CF184" i="4" s="1"/>
  <c r="CF193" i="4" s="1"/>
  <c r="CF296" i="3"/>
  <c r="CF183" i="4" s="1"/>
  <c r="CF8" i="62"/>
  <c r="CF301" i="3"/>
  <c r="CF188" i="4" s="1"/>
  <c r="CF197" i="4" s="1"/>
  <c r="CF299" i="3"/>
  <c r="CF186" i="4" s="1"/>
  <c r="CF195" i="4" s="1"/>
  <c r="CF217" i="3"/>
  <c r="CF134" i="4" s="1"/>
  <c r="CF241" i="3"/>
  <c r="CF146" i="4" s="1"/>
  <c r="CF151" i="4" s="1"/>
  <c r="CF8" i="66"/>
  <c r="CF529" i="4"/>
  <c r="CF30" i="4"/>
  <c r="CF29" i="4"/>
  <c r="CF1081" i="4"/>
  <c r="CF1082" i="4" s="1"/>
  <c r="CF1079" i="4"/>
  <c r="CF1107" i="4"/>
  <c r="CC617" i="4"/>
  <c r="CE34" i="4"/>
  <c r="CE150" i="4"/>
  <c r="CE33" i="4"/>
  <c r="CE138" i="4"/>
  <c r="CE54" i="62"/>
  <c r="AB276" i="4"/>
  <c r="AB334" i="4"/>
  <c r="AB960" i="4" s="1"/>
  <c r="AB279" i="4"/>
  <c r="W69" i="11"/>
  <c r="W1215" i="4"/>
  <c r="W44" i="11"/>
  <c r="W1050" i="4"/>
  <c r="W928" i="4"/>
  <c r="W684" i="4"/>
  <c r="W956" i="4" s="1"/>
  <c r="W992" i="4"/>
  <c r="W1257" i="4"/>
  <c r="CD605" i="4"/>
  <c r="CD964" i="4"/>
  <c r="AA863" i="4"/>
  <c r="AA864" i="4"/>
  <c r="AA866" i="4"/>
  <c r="AA865" i="4"/>
  <c r="Y676" i="4"/>
  <c r="Y680" i="4" s="1"/>
  <c r="Y889" i="4" s="1"/>
  <c r="Y890" i="4" s="1"/>
  <c r="Y891" i="4" s="1"/>
  <c r="Y751" i="4"/>
  <c r="Y629" i="4"/>
  <c r="Y630" i="4" s="1"/>
  <c r="Y789" i="4"/>
  <c r="W111" i="64"/>
  <c r="CG6" i="3"/>
  <c r="CG7" i="64"/>
  <c r="CG6" i="64" s="1"/>
  <c r="CG28" i="64" s="1"/>
  <c r="CG30" i="64" s="1"/>
  <c r="CG53" i="64" s="1"/>
  <c r="CG7" i="4"/>
  <c r="CG7" i="11"/>
  <c r="CG6" i="11" s="1"/>
  <c r="CG7" i="66"/>
  <c r="CG6" i="66" s="1"/>
  <c r="CG86" i="64"/>
  <c r="CG87" i="64" s="1"/>
  <c r="CG8" i="3"/>
  <c r="CH7" i="3"/>
  <c r="CG7" i="62"/>
  <c r="CG6" i="62" s="1"/>
  <c r="CB662" i="4"/>
  <c r="CC56" i="4"/>
  <c r="CD53" i="62"/>
  <c r="AC235" i="4"/>
  <c r="AC270" i="4"/>
  <c r="CD154" i="4"/>
  <c r="CE1080" i="4"/>
  <c r="CE1063" i="4"/>
  <c r="CE1066" i="4"/>
  <c r="CE1075" i="4" s="1"/>
  <c r="CE17" i="4"/>
  <c r="CE19" i="4"/>
  <c r="CE20" i="4" s="1"/>
  <c r="AB260" i="4"/>
  <c r="S931" i="4"/>
  <c r="CE68" i="4"/>
  <c r="AA749" i="4"/>
  <c r="AA609" i="4"/>
  <c r="AA627" i="4" s="1"/>
  <c r="AA810" i="4" s="1"/>
  <c r="AA815" i="4" s="1"/>
  <c r="Y764" i="4"/>
  <c r="Y763" i="4"/>
  <c r="Y762" i="4"/>
  <c r="CF314" i="4"/>
  <c r="CE227" i="4" l="1"/>
  <c r="AA628" i="4"/>
  <c r="AA685" i="4" s="1"/>
  <c r="AA622" i="4"/>
  <c r="AA623" i="4" s="1"/>
  <c r="AA789" i="4" s="1"/>
  <c r="AA791" i="4" s="1"/>
  <c r="CF60" i="4"/>
  <c r="CE34" i="66"/>
  <c r="CC659" i="4"/>
  <c r="U121" i="64"/>
  <c r="AA1345" i="4"/>
  <c r="V80" i="64"/>
  <c r="AA879" i="4"/>
  <c r="V118" i="64"/>
  <c r="V121" i="64" s="1"/>
  <c r="V823" i="4"/>
  <c r="V811" i="4"/>
  <c r="V817" i="4" s="1"/>
  <c r="V819" i="4" s="1"/>
  <c r="V825" i="4" s="1"/>
  <c r="CC661" i="4"/>
  <c r="CG184" i="3"/>
  <c r="CG121" i="4" s="1"/>
  <c r="CG8" i="11"/>
  <c r="CG8" i="62"/>
  <c r="CG301" i="3"/>
  <c r="CG188" i="4" s="1"/>
  <c r="CG197" i="4" s="1"/>
  <c r="CG331" i="3"/>
  <c r="CG220" i="4" s="1"/>
  <c r="CG225" i="4" s="1"/>
  <c r="CG299" i="3"/>
  <c r="CG186" i="4" s="1"/>
  <c r="CG195" i="4" s="1"/>
  <c r="CG296" i="3"/>
  <c r="CG183" i="4" s="1"/>
  <c r="CG8" i="64"/>
  <c r="CG297" i="3"/>
  <c r="CG184" i="4" s="1"/>
  <c r="CG193" i="4" s="1"/>
  <c r="CG357" i="3"/>
  <c r="CG243" i="4" s="1"/>
  <c r="CG248" i="4" s="1"/>
  <c r="CG240" i="3"/>
  <c r="CG145" i="4" s="1"/>
  <c r="CG330" i="3"/>
  <c r="CG219" i="4" s="1"/>
  <c r="CG224" i="4" s="1"/>
  <c r="CG8" i="4"/>
  <c r="CG356" i="3"/>
  <c r="CG242" i="4" s="1"/>
  <c r="CG247" i="4" s="1"/>
  <c r="CG218" i="3"/>
  <c r="CG135" i="4" s="1"/>
  <c r="CG140" i="4" s="1"/>
  <c r="CG300" i="3"/>
  <c r="CG187" i="4" s="1"/>
  <c r="CG196" i="4" s="1"/>
  <c r="CG28" i="4"/>
  <c r="CG185" i="3"/>
  <c r="CG122" i="4" s="1"/>
  <c r="CG127" i="4" s="1"/>
  <c r="CG298" i="3"/>
  <c r="CG185" i="4" s="1"/>
  <c r="CG194" i="4" s="1"/>
  <c r="CG242" i="3"/>
  <c r="CG147" i="4" s="1"/>
  <c r="CG152" i="4" s="1"/>
  <c r="CG16" i="4"/>
  <c r="CG217" i="3"/>
  <c r="CG134" i="4" s="1"/>
  <c r="CG139" i="4" s="1"/>
  <c r="CG355" i="3"/>
  <c r="CG241" i="4" s="1"/>
  <c r="CG329" i="3"/>
  <c r="CG218" i="4" s="1"/>
  <c r="CG216" i="3"/>
  <c r="CG133" i="4" s="1"/>
  <c r="CG1083" i="4"/>
  <c r="CG1106" i="4"/>
  <c r="CG241" i="3"/>
  <c r="CG146" i="4" s="1"/>
  <c r="CG151" i="4" s="1"/>
  <c r="CG8" i="66"/>
  <c r="CG186" i="3"/>
  <c r="CG123" i="4" s="1"/>
  <c r="CG128" i="4" s="1"/>
  <c r="CG529" i="4"/>
  <c r="CG29" i="4"/>
  <c r="CG30" i="4"/>
  <c r="CF63" i="4" s="1"/>
  <c r="CF1312" i="4" s="1"/>
  <c r="CG1079" i="4"/>
  <c r="CG1107" i="4"/>
  <c r="CG1081" i="4"/>
  <c r="CG1082" i="4" s="1"/>
  <c r="CF1166" i="4"/>
  <c r="CF273" i="4"/>
  <c r="CF275" i="4"/>
  <c r="CF288" i="4" s="1"/>
  <c r="CF329" i="4" s="1"/>
  <c r="CF414" i="4" s="1"/>
  <c r="CF415" i="4" s="1"/>
  <c r="CG413" i="4" s="1"/>
  <c r="CF274" i="4"/>
  <c r="CF1165" i="4"/>
  <c r="CE22" i="4"/>
  <c r="CF21" i="4"/>
  <c r="AC284" i="4"/>
  <c r="Y771" i="4"/>
  <c r="Y772" i="4"/>
  <c r="Y111" i="64" s="1"/>
  <c r="CE41" i="4"/>
  <c r="CE48" i="4" s="1"/>
  <c r="CF530" i="4"/>
  <c r="CF62" i="4"/>
  <c r="CF528" i="4" s="1"/>
  <c r="CF543" i="4"/>
  <c r="CF747" i="4"/>
  <c r="CF54" i="11"/>
  <c r="CG70" i="4"/>
  <c r="CF35" i="4"/>
  <c r="CF192" i="4"/>
  <c r="CF37" i="4"/>
  <c r="CF246" i="4"/>
  <c r="V73" i="64"/>
  <c r="V81" i="64"/>
  <c r="AC282" i="4"/>
  <c r="CE65" i="4"/>
  <c r="U64" i="64"/>
  <c r="CE61" i="4"/>
  <c r="CE318" i="4" s="1"/>
  <c r="CE328" i="4" s="1"/>
  <c r="AC276" i="4"/>
  <c r="AC334" i="4"/>
  <c r="AC960" i="4" s="1"/>
  <c r="AC279" i="4"/>
  <c r="CE43" i="4"/>
  <c r="CE50" i="4" s="1"/>
  <c r="CE636" i="4" s="1"/>
  <c r="AC861" i="4"/>
  <c r="AC874" i="4"/>
  <c r="AC860" i="4"/>
  <c r="AC862" i="4"/>
  <c r="AC875" i="4"/>
  <c r="AC871" i="4"/>
  <c r="AC876" i="4"/>
  <c r="AC1032" i="4"/>
  <c r="AC1033" i="4" s="1"/>
  <c r="AC1034" i="4" s="1"/>
  <c r="AC908" i="4" s="1"/>
  <c r="AC869" i="4"/>
  <c r="AC859" i="4"/>
  <c r="AC877" i="4"/>
  <c r="AC818" i="4"/>
  <c r="AC896" i="4" s="1"/>
  <c r="AC870" i="4"/>
  <c r="AC878" i="4"/>
  <c r="AC616" i="4"/>
  <c r="AC606" i="4"/>
  <c r="AC608" i="4" s="1"/>
  <c r="AC613" i="4"/>
  <c r="AC614" i="4" s="1"/>
  <c r="AC620" i="4" s="1"/>
  <c r="AC666" i="4"/>
  <c r="AC667" i="4"/>
  <c r="AC618" i="4"/>
  <c r="AC668" i="4"/>
  <c r="AD79" i="4"/>
  <c r="Z676" i="4"/>
  <c r="Z680" i="4" s="1"/>
  <c r="Z889" i="4" s="1"/>
  <c r="Z890" i="4" s="1"/>
  <c r="Z891" i="4" s="1"/>
  <c r="Z751" i="4"/>
  <c r="Z629" i="4"/>
  <c r="Z630" i="4" s="1"/>
  <c r="Z789" i="4"/>
  <c r="CE9" i="3"/>
  <c r="CE54" i="4"/>
  <c r="CE60" i="62"/>
  <c r="CE250" i="4"/>
  <c r="W120" i="64"/>
  <c r="W64" i="64" s="1"/>
  <c r="AD268" i="4"/>
  <c r="AD212" i="4"/>
  <c r="CF141" i="4"/>
  <c r="CE83" i="4"/>
  <c r="CE84" i="4" s="1"/>
  <c r="CF66" i="4"/>
  <c r="CG66" i="4" s="1"/>
  <c r="Z764" i="4"/>
  <c r="Z762" i="4"/>
  <c r="Z763" i="4"/>
  <c r="X111" i="64"/>
  <c r="X773" i="4"/>
  <c r="X112" i="64" s="1"/>
  <c r="X776" i="4"/>
  <c r="X115" i="64" s="1"/>
  <c r="X775" i="4"/>
  <c r="X114" i="64" s="1"/>
  <c r="X774" i="4"/>
  <c r="X113" i="64" s="1"/>
  <c r="CF44" i="4"/>
  <c r="CE44" i="4"/>
  <c r="CE51" i="4" s="1"/>
  <c r="T931" i="4"/>
  <c r="T19" i="11"/>
  <c r="U927" i="4"/>
  <c r="U929" i="4" s="1"/>
  <c r="U930" i="4" s="1"/>
  <c r="AC280" i="4"/>
  <c r="AD267" i="4"/>
  <c r="AD177" i="4"/>
  <c r="Y765" i="4"/>
  <c r="Y767" i="4"/>
  <c r="Y768" i="4"/>
  <c r="Y766" i="4"/>
  <c r="CF17" i="4"/>
  <c r="CF19" i="4"/>
  <c r="CF20" i="4" s="1"/>
  <c r="CF32" i="4"/>
  <c r="CF126" i="4"/>
  <c r="CE24" i="4"/>
  <c r="CE63" i="4"/>
  <c r="CE1312" i="4" s="1"/>
  <c r="CE9" i="64"/>
  <c r="X796" i="4"/>
  <c r="X824" i="4" s="1"/>
  <c r="U826" i="4"/>
  <c r="AD271" i="4"/>
  <c r="AD258" i="4"/>
  <c r="W777" i="4"/>
  <c r="CG15" i="4"/>
  <c r="CG6" i="4"/>
  <c r="AB65" i="62"/>
  <c r="AB81" i="11"/>
  <c r="AB82" i="11" s="1"/>
  <c r="AB1214" i="4"/>
  <c r="AB33" i="66"/>
  <c r="AB1041" i="4"/>
  <c r="AB1241" i="4"/>
  <c r="CG314" i="4"/>
  <c r="CF33" i="4"/>
  <c r="CF139" i="4"/>
  <c r="CF34" i="4"/>
  <c r="CF41" i="4" s="1"/>
  <c r="CF48" i="4" s="1"/>
  <c r="CF150" i="4"/>
  <c r="AA762" i="4"/>
  <c r="AA764" i="4"/>
  <c r="AA763" i="4"/>
  <c r="CE76" i="4"/>
  <c r="CE77" i="4" s="1"/>
  <c r="CG1332" i="4"/>
  <c r="CF75" i="4"/>
  <c r="CF82" i="4"/>
  <c r="CF18" i="4"/>
  <c r="CE9" i="66"/>
  <c r="CE335" i="4"/>
  <c r="CE959" i="4" s="1"/>
  <c r="CE287" i="4"/>
  <c r="CE324" i="4" s="1"/>
  <c r="AB669" i="4"/>
  <c r="AB677" i="4"/>
  <c r="AB296" i="4"/>
  <c r="AB304" i="4" s="1"/>
  <c r="AD266" i="4"/>
  <c r="AD170" i="4"/>
  <c r="CF68" i="4"/>
  <c r="CI7" i="3"/>
  <c r="CH7" i="4"/>
  <c r="CH86" i="64"/>
  <c r="CH87" i="64" s="1"/>
  <c r="CH7" i="66"/>
  <c r="CH6" i="66" s="1"/>
  <c r="CH8" i="3"/>
  <c r="CH314" i="4" s="1"/>
  <c r="CH7" i="11"/>
  <c r="CH6" i="11" s="1"/>
  <c r="CH7" i="62"/>
  <c r="CH6" i="62" s="1"/>
  <c r="CH7" i="64"/>
  <c r="CH6" i="64" s="1"/>
  <c r="CH28" i="64" s="1"/>
  <c r="CH30" i="64" s="1"/>
  <c r="CH53" i="64" s="1"/>
  <c r="CH6" i="3"/>
  <c r="W119" i="64"/>
  <c r="W65" i="64" s="1"/>
  <c r="W116" i="64"/>
  <c r="AB289" i="4"/>
  <c r="CE142" i="4"/>
  <c r="CF1080" i="4"/>
  <c r="CF1063" i="4"/>
  <c r="CF1066" i="4"/>
  <c r="CF1075" i="4" s="1"/>
  <c r="CF226" i="4"/>
  <c r="CF36" i="4"/>
  <c r="CF43" i="4" s="1"/>
  <c r="CF50" i="4" s="1"/>
  <c r="CF636" i="4" s="1"/>
  <c r="CF223" i="4"/>
  <c r="CE130" i="4"/>
  <c r="AB619" i="4"/>
  <c r="AB865" i="4"/>
  <c r="AB864" i="4"/>
  <c r="AB866" i="4"/>
  <c r="AB863" i="4"/>
  <c r="AE205" i="4"/>
  <c r="AE207" i="4"/>
  <c r="AE269" i="4" s="1"/>
  <c r="AE283" i="4" s="1"/>
  <c r="AE167" i="4"/>
  <c r="AE174" i="4"/>
  <c r="AE256" i="4"/>
  <c r="AE206" i="4"/>
  <c r="AE233" i="4"/>
  <c r="AE160" i="4"/>
  <c r="AE232" i="4"/>
  <c r="AE255" i="4"/>
  <c r="AE209" i="4"/>
  <c r="AE168" i="4"/>
  <c r="AE175" i="4"/>
  <c r="AE208" i="4"/>
  <c r="AE161" i="4"/>
  <c r="AE162" i="4"/>
  <c r="AE204" i="4"/>
  <c r="AE231" i="4"/>
  <c r="AE166" i="4"/>
  <c r="AE234" i="4"/>
  <c r="AE257" i="4"/>
  <c r="AE254" i="4"/>
  <c r="AE173" i="4"/>
  <c r="AE169" i="4"/>
  <c r="AE159" i="4"/>
  <c r="AE210" i="4"/>
  <c r="AE176" i="4"/>
  <c r="AE211" i="4"/>
  <c r="AF85" i="4"/>
  <c r="AD270" i="4"/>
  <c r="AD235" i="4"/>
  <c r="CE605" i="4"/>
  <c r="CE964" i="4"/>
  <c r="CF40" i="4"/>
  <c r="CE40" i="4"/>
  <c r="CE47" i="4" s="1"/>
  <c r="CF198" i="4"/>
  <c r="CE53" i="4"/>
  <c r="CF58" i="4"/>
  <c r="CF1052" i="4"/>
  <c r="CD661" i="4"/>
  <c r="X684" i="4"/>
  <c r="X956" i="4" s="1"/>
  <c r="X44" i="11"/>
  <c r="X69" i="11"/>
  <c r="X992" i="4"/>
  <c r="X928" i="4"/>
  <c r="X1257" i="4"/>
  <c r="X1050" i="4"/>
  <c r="X1215" i="4"/>
  <c r="CE199" i="4"/>
  <c r="CF70" i="4"/>
  <c r="Z757" i="4"/>
  <c r="Z758" i="4"/>
  <c r="Z756" i="4"/>
  <c r="Z759" i="4"/>
  <c r="CF39" i="4"/>
  <c r="CE39" i="4"/>
  <c r="CE46" i="4" s="1"/>
  <c r="CG1370" i="4"/>
  <c r="AC281" i="4"/>
  <c r="AD163" i="4"/>
  <c r="AD265" i="4"/>
  <c r="CF67" i="4"/>
  <c r="AA755" i="4"/>
  <c r="AA754" i="4"/>
  <c r="Y793" i="4"/>
  <c r="Y794" i="4"/>
  <c r="Y795" i="4"/>
  <c r="Y792" i="4"/>
  <c r="Y791" i="4"/>
  <c r="Y809" i="4"/>
  <c r="Y682" i="4"/>
  <c r="CE153" i="4"/>
  <c r="CF57" i="4"/>
  <c r="CF54" i="4" s="1"/>
  <c r="CF53" i="62" s="1"/>
  <c r="CF27" i="66"/>
  <c r="CG60" i="4"/>
  <c r="CF61" i="4"/>
  <c r="CF318" i="4" s="1"/>
  <c r="CF1186" i="4"/>
  <c r="CF295" i="4"/>
  <c r="CF303" i="4" s="1"/>
  <c r="CF28" i="66"/>
  <c r="CF1074" i="4"/>
  <c r="CF9" i="3"/>
  <c r="CF54" i="62"/>
  <c r="CF249" i="4"/>
  <c r="CF129" i="4"/>
  <c r="X816" i="4"/>
  <c r="X813" i="4"/>
  <c r="X814" i="4"/>
  <c r="CF42" i="4"/>
  <c r="CF49" i="4" s="1"/>
  <c r="CE42" i="4"/>
  <c r="CE49" i="4" s="1"/>
  <c r="CE540" i="4"/>
  <c r="CE542" i="4" s="1"/>
  <c r="AC285" i="4"/>
  <c r="AC260" i="4"/>
  <c r="AB609" i="4"/>
  <c r="AB627" i="4" s="1"/>
  <c r="AB810" i="4" s="1"/>
  <c r="AB815" i="4" s="1"/>
  <c r="AB749" i="4"/>
  <c r="CD617" i="4"/>
  <c r="CF142" i="4" l="1"/>
  <c r="AA751" i="4"/>
  <c r="AA772" i="4" s="1"/>
  <c r="AA793" i="4"/>
  <c r="AA629" i="4"/>
  <c r="AA630" i="4" s="1"/>
  <c r="AA809" i="4" s="1"/>
  <c r="AA792" i="4"/>
  <c r="AA676" i="4"/>
  <c r="AA680" i="4" s="1"/>
  <c r="AA889" i="4" s="1"/>
  <c r="AA890" i="4" s="1"/>
  <c r="AA891" i="4" s="1"/>
  <c r="AA794" i="4"/>
  <c r="AA795" i="4"/>
  <c r="CF46" i="4"/>
  <c r="CF34" i="66"/>
  <c r="CF9" i="4"/>
  <c r="CF9" i="62"/>
  <c r="CF47" i="4"/>
  <c r="V826" i="4"/>
  <c r="AB879" i="4"/>
  <c r="AD260" i="4"/>
  <c r="AD1041" i="4" s="1"/>
  <c r="CH1165" i="4"/>
  <c r="CH1166" i="4"/>
  <c r="CH15" i="66" s="1"/>
  <c r="CH275" i="4"/>
  <c r="CH274" i="4"/>
  <c r="CH273" i="4"/>
  <c r="CF654" i="4"/>
  <c r="CF655" i="4"/>
  <c r="CF637" i="4"/>
  <c r="CG21" i="4"/>
  <c r="CF22" i="4"/>
  <c r="CF9" i="64"/>
  <c r="Y796" i="4"/>
  <c r="Y824" i="4" s="1"/>
  <c r="AE267" i="4"/>
  <c r="AE177" i="4"/>
  <c r="CH6" i="4"/>
  <c r="CH15" i="4"/>
  <c r="CF83" i="4"/>
  <c r="CF84" i="4" s="1"/>
  <c r="CG275" i="4"/>
  <c r="CG288" i="4" s="1"/>
  <c r="CG329" i="4" s="1"/>
  <c r="CG414" i="4" s="1"/>
  <c r="CG415" i="4" s="1"/>
  <c r="CH413" i="4" s="1"/>
  <c r="CG273" i="4"/>
  <c r="CG1165" i="4"/>
  <c r="CG274" i="4"/>
  <c r="CG1166" i="4"/>
  <c r="AC669" i="4"/>
  <c r="AC677" i="4"/>
  <c r="AC866" i="4"/>
  <c r="AC863" i="4"/>
  <c r="AC865" i="4"/>
  <c r="AC864" i="4"/>
  <c r="CG9" i="64"/>
  <c r="CG1074" i="4"/>
  <c r="CG1186" i="4"/>
  <c r="CG57" i="4"/>
  <c r="CG54" i="4" s="1"/>
  <c r="CG28" i="66"/>
  <c r="CG295" i="4"/>
  <c r="CG303" i="4" s="1"/>
  <c r="CG9" i="3"/>
  <c r="CG9" i="66"/>
  <c r="CG27" i="66"/>
  <c r="CG9" i="62"/>
  <c r="CG9" i="11"/>
  <c r="CG36" i="4"/>
  <c r="CG223" i="4"/>
  <c r="CF76" i="4"/>
  <c r="CF77" i="4" s="1"/>
  <c r="AD285" i="4"/>
  <c r="CF130" i="4"/>
  <c r="CF328" i="4"/>
  <c r="CG37" i="4"/>
  <c r="CG246" i="4"/>
  <c r="CG141" i="4"/>
  <c r="CG192" i="4"/>
  <c r="CG35" i="4"/>
  <c r="AC65" i="62"/>
  <c r="AC81" i="11"/>
  <c r="AC82" i="11" s="1"/>
  <c r="AC1241" i="4"/>
  <c r="AC1214" i="4"/>
  <c r="AC33" i="66"/>
  <c r="AC32" i="66" s="1"/>
  <c r="AC1041" i="4"/>
  <c r="AF232" i="4"/>
  <c r="AF161" i="4"/>
  <c r="AF205" i="4"/>
  <c r="AF207" i="4"/>
  <c r="AF269" i="4" s="1"/>
  <c r="AF283" i="4" s="1"/>
  <c r="AF174" i="4"/>
  <c r="AF233" i="4"/>
  <c r="AF209" i="4"/>
  <c r="AF167" i="4"/>
  <c r="AF208" i="4"/>
  <c r="AF255" i="4"/>
  <c r="AF160" i="4"/>
  <c r="AF206" i="4"/>
  <c r="AF175" i="4"/>
  <c r="AF168" i="4"/>
  <c r="AF256" i="4"/>
  <c r="AF173" i="4"/>
  <c r="AF162" i="4"/>
  <c r="AF257" i="4"/>
  <c r="AF254" i="4"/>
  <c r="AF210" i="4"/>
  <c r="AF234" i="4"/>
  <c r="AF159" i="4"/>
  <c r="AF231" i="4"/>
  <c r="AF204" i="4"/>
  <c r="AF166" i="4"/>
  <c r="AF169" i="4"/>
  <c r="AF211" i="4"/>
  <c r="AF176" i="4"/>
  <c r="AG85" i="4"/>
  <c r="Y119" i="64"/>
  <c r="Y65" i="64" s="1"/>
  <c r="CH1332" i="4"/>
  <c r="CF153" i="4"/>
  <c r="U931" i="4"/>
  <c r="V927" i="4"/>
  <c r="V929" i="4" s="1"/>
  <c r="V930" i="4" s="1"/>
  <c r="U19" i="11"/>
  <c r="X120" i="64"/>
  <c r="X64" i="64" s="1"/>
  <c r="AD282" i="4"/>
  <c r="Z795" i="4"/>
  <c r="Z791" i="4"/>
  <c r="Z792" i="4"/>
  <c r="Z794" i="4"/>
  <c r="Z793" i="4"/>
  <c r="AC609" i="4"/>
  <c r="AC627" i="4" s="1"/>
  <c r="AC810" i="4" s="1"/>
  <c r="AC815" i="4" s="1"/>
  <c r="AC749" i="4"/>
  <c r="CE655" i="4"/>
  <c r="CE654" i="4"/>
  <c r="CE637" i="4"/>
  <c r="Y775" i="4"/>
  <c r="Y114" i="64" s="1"/>
  <c r="Y773" i="4"/>
  <c r="Y112" i="64" s="1"/>
  <c r="Y776" i="4"/>
  <c r="Y115" i="64" s="1"/>
  <c r="Y774" i="4"/>
  <c r="Y113" i="64" s="1"/>
  <c r="CG129" i="4"/>
  <c r="AE271" i="4"/>
  <c r="AE258" i="4"/>
  <c r="CI7" i="66"/>
  <c r="CI6" i="66" s="1"/>
  <c r="CI8" i="3"/>
  <c r="CJ7" i="3" s="1"/>
  <c r="CI7" i="11"/>
  <c r="CI6" i="11" s="1"/>
  <c r="CI7" i="64"/>
  <c r="CI6" i="64" s="1"/>
  <c r="CI28" i="64" s="1"/>
  <c r="CI30" i="64" s="1"/>
  <c r="CI53" i="64" s="1"/>
  <c r="CI86" i="64"/>
  <c r="CI87" i="64" s="1"/>
  <c r="CI7" i="4"/>
  <c r="CI7" i="62"/>
  <c r="CI6" i="62" s="1"/>
  <c r="CI6" i="3"/>
  <c r="CG55" i="4"/>
  <c r="CF9" i="11"/>
  <c r="CF78" i="4"/>
  <c r="W118" i="64"/>
  <c r="W121" i="64" s="1"/>
  <c r="AB32" i="66"/>
  <c r="CE88" i="4"/>
  <c r="CE1096" i="4" s="1"/>
  <c r="CE1100" i="4" s="1"/>
  <c r="CE1417" i="4" s="1"/>
  <c r="X119" i="64"/>
  <c r="X65" i="64" s="1"/>
  <c r="X116" i="64"/>
  <c r="W80" i="64"/>
  <c r="W72" i="64"/>
  <c r="Z682" i="4"/>
  <c r="Z809" i="4"/>
  <c r="AC619" i="4"/>
  <c r="U80" i="64"/>
  <c r="U72" i="64"/>
  <c r="CF250" i="4"/>
  <c r="CG17" i="4"/>
  <c r="CG19" i="4"/>
  <c r="CG20" i="4" s="1"/>
  <c r="CG226" i="4"/>
  <c r="CG227" i="4" s="1"/>
  <c r="X777" i="4"/>
  <c r="AB755" i="4"/>
  <c r="AB754" i="4"/>
  <c r="CD662" i="4"/>
  <c r="AE266" i="4"/>
  <c r="AE170" i="4"/>
  <c r="AD280" i="4"/>
  <c r="CF540" i="4"/>
  <c r="CF542" i="4" s="1"/>
  <c r="CF24" i="4"/>
  <c r="AD281" i="4"/>
  <c r="Z772" i="4"/>
  <c r="Z771" i="4"/>
  <c r="AD859" i="4"/>
  <c r="AD862" i="4"/>
  <c r="AD869" i="4"/>
  <c r="AD870" i="4"/>
  <c r="AD1032" i="4"/>
  <c r="AD1033" i="4" s="1"/>
  <c r="AD1034" i="4" s="1"/>
  <c r="AD908" i="4" s="1"/>
  <c r="AD860" i="4"/>
  <c r="AD878" i="4"/>
  <c r="AD875" i="4"/>
  <c r="AD876" i="4"/>
  <c r="AD871" i="4"/>
  <c r="AD861" i="4"/>
  <c r="AD877" i="4"/>
  <c r="AD874" i="4"/>
  <c r="AD818" i="4"/>
  <c r="AD896" i="4" s="1"/>
  <c r="AD613" i="4"/>
  <c r="AD614" i="4" s="1"/>
  <c r="AD620" i="4" s="1"/>
  <c r="AD616" i="4"/>
  <c r="AD606" i="4"/>
  <c r="AD608" i="4" s="1"/>
  <c r="AD667" i="4"/>
  <c r="AD666" i="4"/>
  <c r="AD618" i="4"/>
  <c r="AD668" i="4"/>
  <c r="AE79" i="4"/>
  <c r="AC289" i="4"/>
  <c r="CG44" i="4"/>
  <c r="CG51" i="4" s="1"/>
  <c r="AD334" i="4"/>
  <c r="AD960" i="4" s="1"/>
  <c r="AD276" i="4"/>
  <c r="AD279" i="4"/>
  <c r="W73" i="64"/>
  <c r="W81" i="64"/>
  <c r="CH355" i="3"/>
  <c r="CH241" i="4" s="1"/>
  <c r="CH240" i="3"/>
  <c r="CH145" i="4" s="1"/>
  <c r="CH297" i="3"/>
  <c r="CH184" i="4" s="1"/>
  <c r="CH193" i="4" s="1"/>
  <c r="CH185" i="3"/>
  <c r="CH122" i="4" s="1"/>
  <c r="CH127" i="4" s="1"/>
  <c r="CH8" i="62"/>
  <c r="CH242" i="3"/>
  <c r="CH147" i="4" s="1"/>
  <c r="CH152" i="4" s="1"/>
  <c r="CH8" i="64"/>
  <c r="CH301" i="3"/>
  <c r="CH188" i="4" s="1"/>
  <c r="CH197" i="4" s="1"/>
  <c r="CH184" i="3"/>
  <c r="CH121" i="4" s="1"/>
  <c r="CH299" i="3"/>
  <c r="CH186" i="4" s="1"/>
  <c r="CH195" i="4" s="1"/>
  <c r="CH300" i="3"/>
  <c r="CH187" i="4" s="1"/>
  <c r="CH196" i="4" s="1"/>
  <c r="CH330" i="3"/>
  <c r="CH219" i="4" s="1"/>
  <c r="CH224" i="4" s="1"/>
  <c r="CH28" i="4"/>
  <c r="CH218" i="3"/>
  <c r="CH135" i="4" s="1"/>
  <c r="CH140" i="4" s="1"/>
  <c r="CH216" i="3"/>
  <c r="CH133" i="4" s="1"/>
  <c r="CH241" i="3"/>
  <c r="CH146" i="4" s="1"/>
  <c r="CH151" i="4" s="1"/>
  <c r="CH217" i="3"/>
  <c r="CH134" i="4" s="1"/>
  <c r="CH139" i="4" s="1"/>
  <c r="CH1106" i="4"/>
  <c r="CH16" i="4"/>
  <c r="CH356" i="3"/>
  <c r="CH242" i="4" s="1"/>
  <c r="CH247" i="4" s="1"/>
  <c r="CH8" i="4"/>
  <c r="CH1083" i="4"/>
  <c r="CH186" i="3"/>
  <c r="CH123" i="4" s="1"/>
  <c r="CH128" i="4" s="1"/>
  <c r="CH296" i="3"/>
  <c r="CH183" i="4" s="1"/>
  <c r="CH331" i="3"/>
  <c r="CH220" i="4" s="1"/>
  <c r="CH225" i="4" s="1"/>
  <c r="CH298" i="3"/>
  <c r="CH185" i="4" s="1"/>
  <c r="CH194" i="4" s="1"/>
  <c r="CH357" i="3"/>
  <c r="CH243" i="4" s="1"/>
  <c r="CH248" i="4" s="1"/>
  <c r="CH329" i="3"/>
  <c r="CH218" i="4" s="1"/>
  <c r="CH8" i="66"/>
  <c r="CH8" i="11"/>
  <c r="CH29" i="4"/>
  <c r="CH30" i="4"/>
  <c r="CH529" i="4" s="1"/>
  <c r="CH1079" i="4"/>
  <c r="CH1081" i="4"/>
  <c r="CH1082" i="4" s="1"/>
  <c r="CH1107" i="4"/>
  <c r="AB1310" i="4"/>
  <c r="AB1345" i="4"/>
  <c r="CG18" i="4"/>
  <c r="CG24" i="4" s="1"/>
  <c r="CG88" i="4" s="1"/>
  <c r="CG1096" i="4" s="1"/>
  <c r="CG1100" i="4" s="1"/>
  <c r="CG1417" i="4" s="1"/>
  <c r="CG75" i="4"/>
  <c r="CG82" i="4"/>
  <c r="CF65" i="4"/>
  <c r="CG65" i="4" s="1"/>
  <c r="CF199" i="4"/>
  <c r="CG198" i="4"/>
  <c r="CG34" i="4"/>
  <c r="CG41" i="4" s="1"/>
  <c r="CG48" i="4" s="1"/>
  <c r="CG150" i="4"/>
  <c r="CG54" i="62"/>
  <c r="CG53" i="62"/>
  <c r="AD284" i="4"/>
  <c r="Y1050" i="4"/>
  <c r="Y44" i="11"/>
  <c r="Y928" i="4"/>
  <c r="Y684" i="4"/>
  <c r="Y956" i="4" s="1"/>
  <c r="Y992" i="4"/>
  <c r="Y1257" i="4"/>
  <c r="Y69" i="11"/>
  <c r="Y1215" i="4"/>
  <c r="AA757" i="4"/>
  <c r="AA756" i="4"/>
  <c r="AA758" i="4"/>
  <c r="AA759" i="4"/>
  <c r="AE212" i="4"/>
  <c r="AE268" i="4"/>
  <c r="W823" i="4"/>
  <c r="W811" i="4"/>
  <c r="W817" i="4" s="1"/>
  <c r="W819" i="4" s="1"/>
  <c r="W825" i="4" s="1"/>
  <c r="CF51" i="4"/>
  <c r="Z768" i="4"/>
  <c r="Z766" i="4"/>
  <c r="Z765" i="4"/>
  <c r="Z767" i="4"/>
  <c r="CF60" i="62"/>
  <c r="CG60" i="62" s="1"/>
  <c r="AC296" i="4"/>
  <c r="AC304" i="4" s="1"/>
  <c r="CG42" i="4"/>
  <c r="CG49" i="4" s="1"/>
  <c r="CF15" i="66"/>
  <c r="CG1080" i="4"/>
  <c r="CG1063" i="4"/>
  <c r="CG1066" i="4"/>
  <c r="CG1075" i="4" s="1"/>
  <c r="CG249" i="4"/>
  <c r="CE154" i="4"/>
  <c r="AE270" i="4"/>
  <c r="AE235" i="4"/>
  <c r="AB628" i="4"/>
  <c r="AB685" i="4" s="1"/>
  <c r="AB750" i="4"/>
  <c r="AB622" i="4"/>
  <c r="AB623" i="4" s="1"/>
  <c r="AB676" i="4" s="1"/>
  <c r="AB680" i="4" s="1"/>
  <c r="AB889" i="4" s="1"/>
  <c r="AB890" i="4" s="1"/>
  <c r="AB891" i="4" s="1"/>
  <c r="CH1370" i="4"/>
  <c r="CI1370" i="4" s="1"/>
  <c r="AE163" i="4"/>
  <c r="AE265" i="4"/>
  <c r="CE544" i="4"/>
  <c r="CE612" i="4" s="1"/>
  <c r="CE607" i="4"/>
  <c r="CF9" i="66"/>
  <c r="Y816" i="4"/>
  <c r="Y813" i="4"/>
  <c r="Y814" i="4"/>
  <c r="CG67" i="4"/>
  <c r="CG68" i="4"/>
  <c r="CF610" i="3"/>
  <c r="CF965" i="4"/>
  <c r="CE200" i="4"/>
  <c r="AA765" i="4"/>
  <c r="AA767" i="4"/>
  <c r="AA768" i="4"/>
  <c r="AA766" i="4"/>
  <c r="CF227" i="4"/>
  <c r="CE56" i="4"/>
  <c r="CF55" i="4"/>
  <c r="CD56" i="4"/>
  <c r="CE53" i="62"/>
  <c r="CE55" i="4"/>
  <c r="CF335" i="4"/>
  <c r="CF959" i="4" s="1"/>
  <c r="CF287" i="4"/>
  <c r="CF324" i="4" s="1"/>
  <c r="CG530" i="4"/>
  <c r="CG540" i="4" s="1"/>
  <c r="CG62" i="4"/>
  <c r="CG528" i="4" s="1"/>
  <c r="CG54" i="11"/>
  <c r="CG543" i="4"/>
  <c r="CG63" i="4"/>
  <c r="CG1312" i="4" s="1"/>
  <c r="CG747" i="4"/>
  <c r="CG33" i="4"/>
  <c r="CG138" i="4"/>
  <c r="CF53" i="4"/>
  <c r="CG58" i="4"/>
  <c r="CG1052" i="4"/>
  <c r="CG32" i="4"/>
  <c r="CG126" i="4"/>
  <c r="CC662" i="4"/>
  <c r="AA771" i="4" l="1"/>
  <c r="AA682" i="4"/>
  <c r="AA992" i="4" s="1"/>
  <c r="AA796" i="4"/>
  <c r="AA824" i="4" s="1"/>
  <c r="CH60" i="4"/>
  <c r="CG15" i="66"/>
  <c r="CE1183" i="4"/>
  <c r="CH70" i="4"/>
  <c r="CG9" i="4"/>
  <c r="AD65" i="62"/>
  <c r="AD1241" i="4"/>
  <c r="AD81" i="11"/>
  <c r="AD82" i="11" s="1"/>
  <c r="AD1345" i="4" s="1"/>
  <c r="AD33" i="66"/>
  <c r="AD32" i="66" s="1"/>
  <c r="AD1214" i="4"/>
  <c r="AC879" i="4"/>
  <c r="AD619" i="4"/>
  <c r="AD750" i="4" s="1"/>
  <c r="X118" i="64"/>
  <c r="X121" i="64" s="1"/>
  <c r="CH21" i="4"/>
  <c r="CG22" i="4"/>
  <c r="CJ7" i="11"/>
  <c r="CJ6" i="11" s="1"/>
  <c r="CJ7" i="66"/>
  <c r="CJ6" i="66" s="1"/>
  <c r="CJ7" i="4"/>
  <c r="CJ7" i="62"/>
  <c r="CJ6" i="62" s="1"/>
  <c r="CJ7" i="64"/>
  <c r="CJ6" i="64" s="1"/>
  <c r="CJ28" i="64" s="1"/>
  <c r="CJ30" i="64" s="1"/>
  <c r="CJ53" i="64" s="1"/>
  <c r="CJ6" i="3"/>
  <c r="CJ8" i="3"/>
  <c r="CK7" i="3" s="1"/>
  <c r="CJ86" i="64"/>
  <c r="CJ87" i="64" s="1"/>
  <c r="CG76" i="4"/>
  <c r="CG77" i="4" s="1"/>
  <c r="CH226" i="4"/>
  <c r="CH32" i="4"/>
  <c r="CH126" i="4"/>
  <c r="CH37" i="4"/>
  <c r="CH246" i="4"/>
  <c r="AD289" i="4"/>
  <c r="AE280" i="4"/>
  <c r="CI15" i="4"/>
  <c r="CI6" i="4"/>
  <c r="AF258" i="4"/>
  <c r="AF271" i="4"/>
  <c r="CG61" i="4"/>
  <c r="CG318" i="4" s="1"/>
  <c r="CG328" i="4" s="1"/>
  <c r="CG34" i="66"/>
  <c r="CG130" i="4"/>
  <c r="CG542" i="4"/>
  <c r="CG1183" i="4"/>
  <c r="CH530" i="4"/>
  <c r="CH747" i="4"/>
  <c r="CH543" i="4"/>
  <c r="CH54" i="11"/>
  <c r="CH62" i="4"/>
  <c r="CH528" i="4" s="1"/>
  <c r="CH35" i="4"/>
  <c r="CH192" i="4"/>
  <c r="CI314" i="4"/>
  <c r="AE285" i="4"/>
  <c r="Y120" i="64"/>
  <c r="Y64" i="64" s="1"/>
  <c r="CF154" i="4"/>
  <c r="CH66" i="4"/>
  <c r="CH39" i="4"/>
  <c r="AA776" i="4"/>
  <c r="AA115" i="64" s="1"/>
  <c r="AA774" i="4"/>
  <c r="AA113" i="64" s="1"/>
  <c r="AA775" i="4"/>
  <c r="AA114" i="64" s="1"/>
  <c r="AA773" i="4"/>
  <c r="AA112" i="64" s="1"/>
  <c r="AA111" i="64"/>
  <c r="CH27" i="66"/>
  <c r="CH1186" i="4"/>
  <c r="CH57" i="4"/>
  <c r="CH54" i="4" s="1"/>
  <c r="CH28" i="66"/>
  <c r="CH1074" i="4"/>
  <c r="CH295" i="4"/>
  <c r="CH303" i="4" s="1"/>
  <c r="CH9" i="11"/>
  <c r="CH129" i="4"/>
  <c r="CH33" i="4"/>
  <c r="CH40" i="4" s="1"/>
  <c r="CH138" i="4"/>
  <c r="AD669" i="4"/>
  <c r="AD677" i="4"/>
  <c r="AC628" i="4"/>
  <c r="AC685" i="4" s="1"/>
  <c r="AC750" i="4"/>
  <c r="AC622" i="4"/>
  <c r="AC623" i="4" s="1"/>
  <c r="AC676" i="4" s="1"/>
  <c r="AC680" i="4" s="1"/>
  <c r="AC889" i="4" s="1"/>
  <c r="AC890" i="4" s="1"/>
  <c r="AC891" i="4" s="1"/>
  <c r="X80" i="64"/>
  <c r="X72" i="64"/>
  <c r="CI1332" i="4"/>
  <c r="AF266" i="4"/>
  <c r="AF170" i="4"/>
  <c r="CG199" i="4"/>
  <c r="CF645" i="4"/>
  <c r="CF644" i="4"/>
  <c r="CF640" i="4"/>
  <c r="CF641" i="4"/>
  <c r="CF659" i="4" s="1"/>
  <c r="CH67" i="4"/>
  <c r="CH68" i="4"/>
  <c r="CG965" i="4"/>
  <c r="CG610" i="3"/>
  <c r="AE276" i="4"/>
  <c r="AE334" i="4"/>
  <c r="AE960" i="4" s="1"/>
  <c r="AE279" i="4"/>
  <c r="W826" i="4"/>
  <c r="CF200" i="4"/>
  <c r="CH141" i="4"/>
  <c r="X81" i="64"/>
  <c r="X73" i="64"/>
  <c r="CE644" i="4"/>
  <c r="CE641" i="4"/>
  <c r="CE640" i="4"/>
  <c r="CE645" i="4"/>
  <c r="Y118" i="64"/>
  <c r="AF268" i="4"/>
  <c r="AF212" i="4"/>
  <c r="AF177" i="4"/>
  <c r="AF267" i="4"/>
  <c r="CH34" i="66"/>
  <c r="CF964" i="4"/>
  <c r="CF605" i="4"/>
  <c r="CE617" i="4"/>
  <c r="AE284" i="4"/>
  <c r="AE260" i="4"/>
  <c r="CH17" i="4"/>
  <c r="CH19" i="4"/>
  <c r="CH20" i="4" s="1"/>
  <c r="CG53" i="4"/>
  <c r="CH58" i="4"/>
  <c r="CH1052" i="4"/>
  <c r="CH54" i="62"/>
  <c r="CH53" i="62"/>
  <c r="AD609" i="4"/>
  <c r="AD627" i="4" s="1"/>
  <c r="AD810" i="4" s="1"/>
  <c r="AD815" i="4" s="1"/>
  <c r="AD749" i="4"/>
  <c r="AD864" i="4"/>
  <c r="AD866" i="4"/>
  <c r="AD863" i="4"/>
  <c r="AD865" i="4"/>
  <c r="CF88" i="4"/>
  <c r="CF1096" i="4" s="1"/>
  <c r="CF1100" i="4" s="1"/>
  <c r="CF1417" i="4" s="1"/>
  <c r="Z813" i="4"/>
  <c r="Z816" i="4"/>
  <c r="Z814" i="4"/>
  <c r="CE659" i="4"/>
  <c r="Z796" i="4"/>
  <c r="Z824" i="4" s="1"/>
  <c r="Y116" i="64"/>
  <c r="AF235" i="4"/>
  <c r="AF270" i="4"/>
  <c r="CH75" i="4"/>
  <c r="CH82" i="4"/>
  <c r="CH18" i="4"/>
  <c r="CH24" i="4" s="1"/>
  <c r="CH88" i="4"/>
  <c r="CH1096" i="4" s="1"/>
  <c r="CH1100" i="4" s="1"/>
  <c r="CH1417" i="4" s="1"/>
  <c r="CH335" i="4"/>
  <c r="CH959" i="4" s="1"/>
  <c r="CH287" i="4"/>
  <c r="CJ1370" i="4"/>
  <c r="CG40" i="4"/>
  <c r="CG47" i="4" s="1"/>
  <c r="CG153" i="4"/>
  <c r="CH36" i="4"/>
  <c r="CH223" i="4"/>
  <c r="CF607" i="4"/>
  <c r="CF544" i="4"/>
  <c r="CF612" i="4" s="1"/>
  <c r="Z1257" i="4"/>
  <c r="Z44" i="11"/>
  <c r="Z69" i="11"/>
  <c r="Z684" i="4"/>
  <c r="Z956" i="4" s="1"/>
  <c r="Z928" i="4"/>
  <c r="Z992" i="4"/>
  <c r="Z1050" i="4"/>
  <c r="Z1215" i="4"/>
  <c r="CG78" i="4"/>
  <c r="CE660" i="4"/>
  <c r="V931" i="4"/>
  <c r="V19" i="11"/>
  <c r="W927" i="4"/>
  <c r="W929" i="4" s="1"/>
  <c r="W930" i="4" s="1"/>
  <c r="Y73" i="64"/>
  <c r="Y81" i="64"/>
  <c r="AF265" i="4"/>
  <c r="AF163" i="4"/>
  <c r="CG250" i="4"/>
  <c r="CH288" i="4"/>
  <c r="CH329" i="4" s="1"/>
  <c r="CH414" i="4" s="1"/>
  <c r="CH415" i="4" s="1"/>
  <c r="CI413" i="4" s="1"/>
  <c r="AB789" i="4"/>
  <c r="AB751" i="4"/>
  <c r="AB629" i="4"/>
  <c r="AB630" i="4" s="1"/>
  <c r="AE282" i="4"/>
  <c r="CH249" i="4"/>
  <c r="Z111" i="64"/>
  <c r="Z773" i="4"/>
  <c r="Z112" i="64" s="1"/>
  <c r="Z775" i="4"/>
  <c r="Z114" i="64" s="1"/>
  <c r="Z774" i="4"/>
  <c r="Z113" i="64" s="1"/>
  <c r="Z776" i="4"/>
  <c r="Z115" i="64" s="1"/>
  <c r="AB759" i="4"/>
  <c r="AB757" i="4"/>
  <c r="AB756" i="4"/>
  <c r="AB758" i="4"/>
  <c r="CI184" i="3"/>
  <c r="CI121" i="4" s="1"/>
  <c r="CI186" i="3"/>
  <c r="CI123" i="4" s="1"/>
  <c r="CI128" i="4" s="1"/>
  <c r="CI330" i="3"/>
  <c r="CI219" i="4" s="1"/>
  <c r="CI224" i="4" s="1"/>
  <c r="CI8" i="11"/>
  <c r="CI8" i="4"/>
  <c r="CI218" i="3"/>
  <c r="CI135" i="4" s="1"/>
  <c r="CI140" i="4" s="1"/>
  <c r="CI185" i="3"/>
  <c r="CI122" i="4" s="1"/>
  <c r="CI127" i="4" s="1"/>
  <c r="CI1106" i="4"/>
  <c r="CI297" i="3"/>
  <c r="CI184" i="4" s="1"/>
  <c r="CI193" i="4" s="1"/>
  <c r="CI217" i="3"/>
  <c r="CI134" i="4" s="1"/>
  <c r="CI139" i="4" s="1"/>
  <c r="CI1083" i="4"/>
  <c r="CI301" i="3"/>
  <c r="CI188" i="4" s="1"/>
  <c r="CI197" i="4" s="1"/>
  <c r="CI357" i="3"/>
  <c r="CI243" i="4" s="1"/>
  <c r="CI248" i="4" s="1"/>
  <c r="CI355" i="3"/>
  <c r="CI241" i="4" s="1"/>
  <c r="CI242" i="3"/>
  <c r="CI147" i="4" s="1"/>
  <c r="CI152" i="4" s="1"/>
  <c r="CI329" i="3"/>
  <c r="CI218" i="4" s="1"/>
  <c r="CI28" i="4"/>
  <c r="CI8" i="62"/>
  <c r="CI16" i="4"/>
  <c r="CI331" i="3"/>
  <c r="CI220" i="4" s="1"/>
  <c r="CI225" i="4" s="1"/>
  <c r="CI356" i="3"/>
  <c r="CI242" i="4" s="1"/>
  <c r="CI247" i="4" s="1"/>
  <c r="CI300" i="3"/>
  <c r="CI187" i="4" s="1"/>
  <c r="CI196" i="4" s="1"/>
  <c r="CI8" i="66"/>
  <c r="CI241" i="3"/>
  <c r="CI146" i="4" s="1"/>
  <c r="CI151" i="4" s="1"/>
  <c r="CI298" i="3"/>
  <c r="CI185" i="4" s="1"/>
  <c r="CI194" i="4" s="1"/>
  <c r="CI240" i="3"/>
  <c r="CI145" i="4" s="1"/>
  <c r="CI299" i="3"/>
  <c r="CI186" i="4" s="1"/>
  <c r="CI195" i="4" s="1"/>
  <c r="CI296" i="3"/>
  <c r="CI183" i="4" s="1"/>
  <c r="CI216" i="3"/>
  <c r="CI133" i="4" s="1"/>
  <c r="CI8" i="64"/>
  <c r="CI529" i="4"/>
  <c r="CI30" i="4"/>
  <c r="CI70" i="4" s="1"/>
  <c r="CI29" i="4"/>
  <c r="CI1107" i="4"/>
  <c r="CI1079" i="4"/>
  <c r="CI1081" i="4"/>
  <c r="CI1082" i="4" s="1"/>
  <c r="AG232" i="4"/>
  <c r="AG255" i="4"/>
  <c r="AG208" i="4"/>
  <c r="AG207" i="4"/>
  <c r="AG269" i="4" s="1"/>
  <c r="AG283" i="4" s="1"/>
  <c r="AG209" i="4"/>
  <c r="AG205" i="4"/>
  <c r="AG256" i="4"/>
  <c r="AG168" i="4"/>
  <c r="AG174" i="4"/>
  <c r="AG206" i="4"/>
  <c r="AG233" i="4"/>
  <c r="AG175" i="4"/>
  <c r="AG160" i="4"/>
  <c r="AG161" i="4"/>
  <c r="AG167" i="4"/>
  <c r="AG254" i="4"/>
  <c r="AG169" i="4"/>
  <c r="AG204" i="4"/>
  <c r="AG210" i="4"/>
  <c r="AG166" i="4"/>
  <c r="AG162" i="4"/>
  <c r="AG257" i="4"/>
  <c r="AG231" i="4"/>
  <c r="AG173" i="4"/>
  <c r="AG234" i="4"/>
  <c r="AG159" i="4"/>
  <c r="AG211" i="4"/>
  <c r="AG176" i="4"/>
  <c r="AH85" i="4"/>
  <c r="CH44" i="4"/>
  <c r="CH51" i="4" s="1"/>
  <c r="CG43" i="4"/>
  <c r="CG50" i="4" s="1"/>
  <c r="CG636" i="4" s="1"/>
  <c r="CH43" i="4"/>
  <c r="CG335" i="4"/>
  <c r="CG959" i="4" s="1"/>
  <c r="CG287" i="4"/>
  <c r="CG324" i="4" s="1"/>
  <c r="CH324" i="4" s="1"/>
  <c r="AA813" i="4"/>
  <c r="AA814" i="4"/>
  <c r="AA816" i="4"/>
  <c r="CG142" i="4"/>
  <c r="AB764" i="4"/>
  <c r="AB763" i="4"/>
  <c r="AB762" i="4"/>
  <c r="CG83" i="4"/>
  <c r="CG84" i="4" s="1"/>
  <c r="CH1080" i="4"/>
  <c r="CH1063" i="4"/>
  <c r="CH1066" i="4"/>
  <c r="CH1075" i="4" s="1"/>
  <c r="CH198" i="4"/>
  <c r="CH34" i="4"/>
  <c r="CH150" i="4"/>
  <c r="AE869" i="4"/>
  <c r="AE876" i="4"/>
  <c r="AE818" i="4"/>
  <c r="AE896" i="4" s="1"/>
  <c r="AE877" i="4"/>
  <c r="AE878" i="4"/>
  <c r="AE862" i="4"/>
  <c r="AE860" i="4"/>
  <c r="AE870" i="4"/>
  <c r="AE1032" i="4"/>
  <c r="AE1033" i="4" s="1"/>
  <c r="AE1034" i="4" s="1"/>
  <c r="AE908" i="4" s="1"/>
  <c r="AE859" i="4"/>
  <c r="AE874" i="4"/>
  <c r="AE861" i="4"/>
  <c r="AE871" i="4"/>
  <c r="AE875" i="4"/>
  <c r="AE613" i="4"/>
  <c r="AE614" i="4" s="1"/>
  <c r="AE620" i="4" s="1"/>
  <c r="AE606" i="4"/>
  <c r="AE608" i="4" s="1"/>
  <c r="AE616" i="4"/>
  <c r="AE618" i="4"/>
  <c r="AE666" i="4"/>
  <c r="AE667" i="4"/>
  <c r="AE668" i="4"/>
  <c r="AF79" i="4"/>
  <c r="AD296" i="4"/>
  <c r="AD304" i="4" s="1"/>
  <c r="X823" i="4"/>
  <c r="X811" i="4"/>
  <c r="X817" i="4" s="1"/>
  <c r="X819" i="4" s="1"/>
  <c r="X825" i="4" s="1"/>
  <c r="AC755" i="4"/>
  <c r="AC754" i="4"/>
  <c r="CG39" i="4"/>
  <c r="CG46" i="4" s="1"/>
  <c r="AC1345" i="4"/>
  <c r="AC1310" i="4"/>
  <c r="CH55" i="4"/>
  <c r="CF56" i="4"/>
  <c r="AE281" i="4"/>
  <c r="Y777" i="4"/>
  <c r="AA928" i="4" l="1"/>
  <c r="AA1215" i="4"/>
  <c r="AA69" i="11"/>
  <c r="AA1257" i="4"/>
  <c r="AA1050" i="4"/>
  <c r="AA44" i="11"/>
  <c r="AA684" i="4"/>
  <c r="AA956" i="4" s="1"/>
  <c r="CH227" i="4"/>
  <c r="CJ1332" i="4"/>
  <c r="CH47" i="4"/>
  <c r="CF660" i="4"/>
  <c r="CH9" i="62"/>
  <c r="CH61" i="4"/>
  <c r="CH318" i="4" s="1"/>
  <c r="CH50" i="4"/>
  <c r="CH636" i="4" s="1"/>
  <c r="CJ314" i="4"/>
  <c r="CJ274" i="4" s="1"/>
  <c r="CH9" i="4"/>
  <c r="AD628" i="4"/>
  <c r="AD685" i="4" s="1"/>
  <c r="AD1310" i="4"/>
  <c r="AD622" i="4"/>
  <c r="AD623" i="4" s="1"/>
  <c r="AD676" i="4" s="1"/>
  <c r="AD680" i="4" s="1"/>
  <c r="AD889" i="4" s="1"/>
  <c r="AD890" i="4" s="1"/>
  <c r="AD891" i="4" s="1"/>
  <c r="Y121" i="64"/>
  <c r="AE619" i="4"/>
  <c r="AE628" i="4" s="1"/>
  <c r="AD879" i="4"/>
  <c r="CH328" i="4"/>
  <c r="CK6" i="3"/>
  <c r="CK8" i="3"/>
  <c r="CK7" i="66"/>
  <c r="CK6" i="66" s="1"/>
  <c r="CK7" i="4"/>
  <c r="CK7" i="64"/>
  <c r="CK6" i="64" s="1"/>
  <c r="CK28" i="64" s="1"/>
  <c r="CK30" i="64" s="1"/>
  <c r="CK53" i="64" s="1"/>
  <c r="CK314" i="4"/>
  <c r="CK7" i="62"/>
  <c r="CK6" i="62" s="1"/>
  <c r="CK86" i="64"/>
  <c r="CK87" i="64" s="1"/>
  <c r="CK7" i="11"/>
  <c r="CK6" i="11" s="1"/>
  <c r="CH22" i="4"/>
  <c r="CI21" i="4"/>
  <c r="AE749" i="4"/>
  <c r="AE609" i="4"/>
  <c r="AE627" i="4" s="1"/>
  <c r="AE810" i="4" s="1"/>
  <c r="AE815" i="4" s="1"/>
  <c r="AF877" i="4"/>
  <c r="AF861" i="4"/>
  <c r="AF859" i="4"/>
  <c r="AF862" i="4"/>
  <c r="AF878" i="4"/>
  <c r="AF1032" i="4"/>
  <c r="AF1033" i="4" s="1"/>
  <c r="AF1034" i="4" s="1"/>
  <c r="AF908" i="4" s="1"/>
  <c r="AF871" i="4"/>
  <c r="AF870" i="4"/>
  <c r="AF874" i="4"/>
  <c r="AF875" i="4"/>
  <c r="AF869" i="4"/>
  <c r="AF876" i="4"/>
  <c r="AF818" i="4"/>
  <c r="AF896" i="4" s="1"/>
  <c r="AF860" i="4"/>
  <c r="AF613" i="4"/>
  <c r="AF614" i="4" s="1"/>
  <c r="AF620" i="4" s="1"/>
  <c r="AF606" i="4"/>
  <c r="AF608" i="4" s="1"/>
  <c r="AF616" i="4"/>
  <c r="AF666" i="4"/>
  <c r="AF667" i="4"/>
  <c r="AF618" i="4"/>
  <c r="AF668" i="4"/>
  <c r="AG79" i="4"/>
  <c r="CI33" i="4"/>
  <c r="CI138" i="4"/>
  <c r="CI249" i="4"/>
  <c r="CI19" i="4"/>
  <c r="CI20" i="4" s="1"/>
  <c r="CI17" i="4"/>
  <c r="AB809" i="4"/>
  <c r="AB682" i="4"/>
  <c r="AF260" i="4"/>
  <c r="AD764" i="4"/>
  <c r="AD763" i="4"/>
  <c r="AD762" i="4"/>
  <c r="AF281" i="4"/>
  <c r="CG605" i="4"/>
  <c r="CG964" i="4"/>
  <c r="AC789" i="4"/>
  <c r="AC629" i="4"/>
  <c r="AC630" i="4" s="1"/>
  <c r="AC751" i="4"/>
  <c r="AA116" i="64"/>
  <c r="AA119" i="64"/>
  <c r="AA65" i="64" s="1"/>
  <c r="CI66" i="4"/>
  <c r="CI273" i="4"/>
  <c r="CI34" i="66" s="1"/>
  <c r="CI274" i="4"/>
  <c r="CI275" i="4"/>
  <c r="CI288" i="4" s="1"/>
  <c r="CI1165" i="4"/>
  <c r="CI1166" i="4"/>
  <c r="CI329" i="4"/>
  <c r="CI414" i="4" s="1"/>
  <c r="CI415" i="4" s="1"/>
  <c r="CJ413" i="4" s="1"/>
  <c r="AH174" i="4"/>
  <c r="AH160" i="4"/>
  <c r="AH233" i="4"/>
  <c r="AH206" i="4"/>
  <c r="AH208" i="4"/>
  <c r="AH207" i="4"/>
  <c r="AH269" i="4" s="1"/>
  <c r="AH283" i="4" s="1"/>
  <c r="AH255" i="4"/>
  <c r="AH256" i="4"/>
  <c r="AH205" i="4"/>
  <c r="AH232" i="4"/>
  <c r="AH168" i="4"/>
  <c r="AH161" i="4"/>
  <c r="AH167" i="4"/>
  <c r="AH175" i="4"/>
  <c r="AH209" i="4"/>
  <c r="AH162" i="4"/>
  <c r="AH234" i="4"/>
  <c r="AH169" i="4"/>
  <c r="AH173" i="4"/>
  <c r="AH159" i="4"/>
  <c r="AH254" i="4"/>
  <c r="AH231" i="4"/>
  <c r="AH210" i="4"/>
  <c r="AH166" i="4"/>
  <c r="AH204" i="4"/>
  <c r="AH257" i="4"/>
  <c r="AH211" i="4"/>
  <c r="AH176" i="4"/>
  <c r="AI85" i="4"/>
  <c r="CI35" i="4"/>
  <c r="CI192" i="4"/>
  <c r="CI226" i="4"/>
  <c r="AB772" i="4"/>
  <c r="AB111" i="64" s="1"/>
  <c r="AB771" i="4"/>
  <c r="AF276" i="4"/>
  <c r="AF334" i="4"/>
  <c r="AF960" i="4" s="1"/>
  <c r="AF279" i="4"/>
  <c r="CH78" i="4"/>
  <c r="CG200" i="4"/>
  <c r="AC763" i="4"/>
  <c r="AC764" i="4"/>
  <c r="AC762" i="4"/>
  <c r="AA120" i="64"/>
  <c r="AA64" i="64" s="1"/>
  <c r="AC757" i="4"/>
  <c r="AC759" i="4"/>
  <c r="AC758" i="4"/>
  <c r="AC756" i="4"/>
  <c r="AG266" i="4"/>
  <c r="AG170" i="4"/>
  <c r="CI1063" i="4"/>
  <c r="CI1080" i="4"/>
  <c r="CI1066" i="4"/>
  <c r="CI1075" i="4" s="1"/>
  <c r="AB794" i="4"/>
  <c r="AB792" i="4"/>
  <c r="AB795" i="4"/>
  <c r="AB793" i="4"/>
  <c r="AB791" i="4"/>
  <c r="CF661" i="4"/>
  <c r="AF284" i="4"/>
  <c r="CG56" i="4"/>
  <c r="CG544" i="4"/>
  <c r="CG612" i="4" s="1"/>
  <c r="CG607" i="4"/>
  <c r="AF285" i="4"/>
  <c r="Z777" i="4"/>
  <c r="CI34" i="4"/>
  <c r="CI41" i="4" s="1"/>
  <c r="CI150" i="4"/>
  <c r="CI54" i="62"/>
  <c r="CI129" i="4"/>
  <c r="AD754" i="4"/>
  <c r="AD755" i="4"/>
  <c r="AF282" i="4"/>
  <c r="CH965" i="4"/>
  <c r="CH610" i="3"/>
  <c r="CI67" i="4"/>
  <c r="CI68" i="4"/>
  <c r="AF280" i="4"/>
  <c r="CH9" i="66"/>
  <c r="AA777" i="4"/>
  <c r="AE669" i="4"/>
  <c r="AE677" i="4"/>
  <c r="AE296" i="4"/>
  <c r="AE304" i="4" s="1"/>
  <c r="X826" i="4"/>
  <c r="AE863" i="4"/>
  <c r="AE864" i="4"/>
  <c r="AE866" i="4"/>
  <c r="AE865" i="4"/>
  <c r="AB765" i="4"/>
  <c r="AB768" i="4"/>
  <c r="AB767" i="4"/>
  <c r="AB766" i="4"/>
  <c r="AG163" i="4"/>
  <c r="AG265" i="4"/>
  <c r="AG212" i="4"/>
  <c r="AG268" i="4"/>
  <c r="CI28" i="66"/>
  <c r="CI1074" i="4"/>
  <c r="CI27" i="66"/>
  <c r="CI57" i="4"/>
  <c r="CI9" i="64" s="1"/>
  <c r="CI1186" i="4"/>
  <c r="CI295" i="4"/>
  <c r="CI303" i="4" s="1"/>
  <c r="CI198" i="4"/>
  <c r="CH53" i="4"/>
  <c r="CI1052" i="4"/>
  <c r="CI58" i="4"/>
  <c r="CI32" i="4"/>
  <c r="CI126" i="4"/>
  <c r="CH41" i="4"/>
  <c r="CH48" i="4" s="1"/>
  <c r="CH1183" i="4"/>
  <c r="CF1183" i="4"/>
  <c r="CH65" i="4"/>
  <c r="AE289" i="4"/>
  <c r="CK1332" i="4"/>
  <c r="CH9" i="3"/>
  <c r="Y80" i="64"/>
  <c r="Y72" i="64"/>
  <c r="CJ15" i="4"/>
  <c r="CJ6" i="4"/>
  <c r="CI62" i="4"/>
  <c r="CI528" i="4" s="1"/>
  <c r="CI530" i="4"/>
  <c r="CI54" i="11"/>
  <c r="CI543" i="4"/>
  <c r="CI747" i="4"/>
  <c r="CI36" i="4"/>
  <c r="CI223" i="4"/>
  <c r="Z120" i="64"/>
  <c r="Z64" i="64" s="1"/>
  <c r="W931" i="4"/>
  <c r="X927" i="4"/>
  <c r="X929" i="4" s="1"/>
  <c r="X930" i="4" s="1"/>
  <c r="W19" i="11"/>
  <c r="CF617" i="4"/>
  <c r="CG154" i="4"/>
  <c r="CH83" i="4"/>
  <c r="CH84" i="4" s="1"/>
  <c r="AE1241" i="4"/>
  <c r="AE1214" i="4"/>
  <c r="AE81" i="11"/>
  <c r="AE82" i="11" s="1"/>
  <c r="AE65" i="62"/>
  <c r="AE33" i="66"/>
  <c r="AE1041" i="4"/>
  <c r="CH9" i="64"/>
  <c r="CH60" i="62"/>
  <c r="CH199" i="4"/>
  <c r="CH250" i="4"/>
  <c r="CH654" i="4"/>
  <c r="CH655" i="4"/>
  <c r="CH637" i="4"/>
  <c r="Z119" i="64"/>
  <c r="Z65" i="64" s="1"/>
  <c r="Z116" i="64"/>
  <c r="CH76" i="4"/>
  <c r="CH77" i="4" s="1"/>
  <c r="CE661" i="4"/>
  <c r="CH142" i="4"/>
  <c r="CI60" i="4"/>
  <c r="CH46" i="4"/>
  <c r="CH42" i="4"/>
  <c r="CH49" i="4" s="1"/>
  <c r="CI42" i="4"/>
  <c r="CH63" i="4"/>
  <c r="CH1312" i="4" s="1"/>
  <c r="CI18" i="4"/>
  <c r="CI75" i="4"/>
  <c r="CI82" i="4"/>
  <c r="Y823" i="4"/>
  <c r="Y811" i="4"/>
  <c r="Y817" i="4" s="1"/>
  <c r="Y819" i="4" s="1"/>
  <c r="Y825" i="4" s="1"/>
  <c r="AG267" i="4"/>
  <c r="AG177" i="4"/>
  <c r="AG271" i="4"/>
  <c r="AG258" i="4"/>
  <c r="CH153" i="4"/>
  <c r="CH154" i="4" s="1"/>
  <c r="CG655" i="4"/>
  <c r="CG654" i="4"/>
  <c r="CG637" i="4"/>
  <c r="AG235" i="4"/>
  <c r="AG270" i="4"/>
  <c r="CI37" i="4"/>
  <c r="CI246" i="4"/>
  <c r="CI141" i="4"/>
  <c r="CI43" i="4"/>
  <c r="CI50" i="4" s="1"/>
  <c r="CI636" i="4" s="1"/>
  <c r="CK1370" i="4"/>
  <c r="CI40" i="4"/>
  <c r="CI47" i="4" s="1"/>
  <c r="CH540" i="4"/>
  <c r="CH542" i="4" s="1"/>
  <c r="CH130" i="4"/>
  <c r="CJ185" i="3"/>
  <c r="CJ122" i="4" s="1"/>
  <c r="CJ127" i="4" s="1"/>
  <c r="CJ357" i="3"/>
  <c r="CJ243" i="4" s="1"/>
  <c r="CJ248" i="4" s="1"/>
  <c r="CJ241" i="3"/>
  <c r="CJ146" i="4" s="1"/>
  <c r="CJ151" i="4" s="1"/>
  <c r="CJ8" i="11"/>
  <c r="CJ1083" i="4"/>
  <c r="CJ356" i="3"/>
  <c r="CJ242" i="4" s="1"/>
  <c r="CJ247" i="4" s="1"/>
  <c r="CJ299" i="3"/>
  <c r="CJ186" i="4" s="1"/>
  <c r="CJ195" i="4" s="1"/>
  <c r="CJ8" i="66"/>
  <c r="CJ329" i="3"/>
  <c r="CJ218" i="4" s="1"/>
  <c r="CJ242" i="3"/>
  <c r="CJ147" i="4" s="1"/>
  <c r="CJ152" i="4" s="1"/>
  <c r="CJ355" i="3"/>
  <c r="CJ241" i="4" s="1"/>
  <c r="CJ8" i="64"/>
  <c r="CJ301" i="3"/>
  <c r="CJ188" i="4" s="1"/>
  <c r="CJ197" i="4" s="1"/>
  <c r="CJ330" i="3"/>
  <c r="CJ219" i="4" s="1"/>
  <c r="CJ224" i="4" s="1"/>
  <c r="CJ296" i="3"/>
  <c r="CJ183" i="4" s="1"/>
  <c r="CJ16" i="4"/>
  <c r="CJ331" i="3"/>
  <c r="CJ220" i="4" s="1"/>
  <c r="CJ225" i="4" s="1"/>
  <c r="CJ297" i="3"/>
  <c r="CJ184" i="4" s="1"/>
  <c r="CJ193" i="4" s="1"/>
  <c r="CJ298" i="3"/>
  <c r="CJ185" i="4" s="1"/>
  <c r="CJ194" i="4" s="1"/>
  <c r="CJ8" i="62"/>
  <c r="CJ186" i="3"/>
  <c r="CJ123" i="4" s="1"/>
  <c r="CJ128" i="4" s="1"/>
  <c r="CJ184" i="3"/>
  <c r="CJ121" i="4" s="1"/>
  <c r="CJ8" i="4"/>
  <c r="CJ19" i="4" s="1"/>
  <c r="CJ217" i="3"/>
  <c r="CJ134" i="4" s="1"/>
  <c r="CJ139" i="4" s="1"/>
  <c r="CJ216" i="3"/>
  <c r="CJ133" i="4" s="1"/>
  <c r="CJ138" i="4" s="1"/>
  <c r="CJ28" i="4"/>
  <c r="CJ300" i="3"/>
  <c r="CJ187" i="4" s="1"/>
  <c r="CJ196" i="4" s="1"/>
  <c r="CJ218" i="3"/>
  <c r="CJ135" i="4" s="1"/>
  <c r="CJ1106" i="4"/>
  <c r="CJ240" i="3"/>
  <c r="CJ145" i="4" s="1"/>
  <c r="CJ29" i="4"/>
  <c r="CJ30" i="4"/>
  <c r="CJ1107" i="4"/>
  <c r="CJ1079" i="4"/>
  <c r="CJ1081" i="4"/>
  <c r="CJ1082" i="4" s="1"/>
  <c r="CI227" i="4" l="1"/>
  <c r="CI48" i="4"/>
  <c r="CI60" i="62"/>
  <c r="CI9" i="11"/>
  <c r="CI9" i="4"/>
  <c r="CJ1165" i="4"/>
  <c r="CI9" i="3"/>
  <c r="CJ1166" i="4"/>
  <c r="CI9" i="62"/>
  <c r="CJ273" i="4"/>
  <c r="CI15" i="66"/>
  <c r="CJ275" i="4"/>
  <c r="CJ288" i="4" s="1"/>
  <c r="CJ329" i="4" s="1"/>
  <c r="CJ414" i="4" s="1"/>
  <c r="CJ415" i="4" s="1"/>
  <c r="CK413" i="4" s="1"/>
  <c r="CI540" i="4"/>
  <c r="AE750" i="4"/>
  <c r="AE763" i="4" s="1"/>
  <c r="AD751" i="4"/>
  <c r="AD771" i="4" s="1"/>
  <c r="AE622" i="4"/>
  <c r="AE623" i="4" s="1"/>
  <c r="AE629" i="4" s="1"/>
  <c r="AE630" i="4" s="1"/>
  <c r="AD789" i="4"/>
  <c r="AD791" i="4" s="1"/>
  <c r="AD629" i="4"/>
  <c r="AD630" i="4" s="1"/>
  <c r="AD809" i="4" s="1"/>
  <c r="AE685" i="4"/>
  <c r="AF619" i="4"/>
  <c r="AF750" i="4" s="1"/>
  <c r="AE879" i="4"/>
  <c r="Z118" i="64"/>
  <c r="Z121" i="64" s="1"/>
  <c r="CJ20" i="4"/>
  <c r="CI22" i="4"/>
  <c r="CJ21" i="4"/>
  <c r="CJ747" i="4"/>
  <c r="CJ54" i="11"/>
  <c r="CJ543" i="4"/>
  <c r="CJ530" i="4"/>
  <c r="CJ62" i="4"/>
  <c r="CJ528" i="4" s="1"/>
  <c r="CJ226" i="4"/>
  <c r="CJ36" i="4"/>
  <c r="CJ43" i="4" s="1"/>
  <c r="CJ50" i="4" s="1"/>
  <c r="CJ636" i="4" s="1"/>
  <c r="CJ223" i="4"/>
  <c r="CJ60" i="62"/>
  <c r="CJ17" i="4"/>
  <c r="CG617" i="4"/>
  <c r="AB796" i="4"/>
  <c r="AB824" i="4" s="1"/>
  <c r="AI232" i="4"/>
  <c r="AI168" i="4"/>
  <c r="AI161" i="4"/>
  <c r="AI206" i="4"/>
  <c r="AI160" i="4"/>
  <c r="AI205" i="4"/>
  <c r="AI174" i="4"/>
  <c r="AI207" i="4"/>
  <c r="AI269" i="4" s="1"/>
  <c r="AI283" i="4" s="1"/>
  <c r="AI167" i="4"/>
  <c r="AI209" i="4"/>
  <c r="AI208" i="4"/>
  <c r="AI255" i="4"/>
  <c r="AI175" i="4"/>
  <c r="AI233" i="4"/>
  <c r="AI256" i="4"/>
  <c r="AI254" i="4"/>
  <c r="AI231" i="4"/>
  <c r="AI162" i="4"/>
  <c r="AI204" i="4"/>
  <c r="AI257" i="4"/>
  <c r="AI169" i="4"/>
  <c r="AI234" i="4"/>
  <c r="AI173" i="4"/>
  <c r="AI166" i="4"/>
  <c r="AI159" i="4"/>
  <c r="AI210" i="4"/>
  <c r="AI211" i="4"/>
  <c r="AI176" i="4"/>
  <c r="AJ85" i="4"/>
  <c r="AH271" i="4"/>
  <c r="AH258" i="4"/>
  <c r="AA73" i="64"/>
  <c r="AA81" i="64"/>
  <c r="AF677" i="4"/>
  <c r="AF669" i="4"/>
  <c r="CJ1186" i="4"/>
  <c r="CJ27" i="66"/>
  <c r="CJ57" i="4"/>
  <c r="CJ9" i="66" s="1"/>
  <c r="CJ295" i="4"/>
  <c r="CJ303" i="4" s="1"/>
  <c r="CJ1074" i="4"/>
  <c r="CJ28" i="66"/>
  <c r="CJ9" i="64"/>
  <c r="CJ9" i="3"/>
  <c r="CJ9" i="11"/>
  <c r="CI654" i="4"/>
  <c r="CI655" i="4"/>
  <c r="CI637" i="4"/>
  <c r="CI542" i="4"/>
  <c r="AG334" i="4"/>
  <c r="AG960" i="4" s="1"/>
  <c r="AG276" i="4"/>
  <c r="AG279" i="4"/>
  <c r="AH265" i="4"/>
  <c r="AH163" i="4"/>
  <c r="AF65" i="62"/>
  <c r="AF1241" i="4"/>
  <c r="AF81" i="11"/>
  <c r="AF82" i="11" s="1"/>
  <c r="AF1214" i="4"/>
  <c r="AF1041" i="4"/>
  <c r="AF33" i="66"/>
  <c r="CI142" i="4"/>
  <c r="CJ529" i="4"/>
  <c r="CJ35" i="4"/>
  <c r="CJ192" i="4"/>
  <c r="AG284" i="4"/>
  <c r="CI49" i="4"/>
  <c r="X931" i="4"/>
  <c r="Y927" i="4"/>
  <c r="Y929" i="4" s="1"/>
  <c r="Y930" i="4" s="1"/>
  <c r="X19" i="11"/>
  <c r="AG260" i="4"/>
  <c r="Z823" i="4"/>
  <c r="Z811" i="4"/>
  <c r="Z817" i="4" s="1"/>
  <c r="Z819" i="4" s="1"/>
  <c r="Z825" i="4" s="1"/>
  <c r="AB776" i="4"/>
  <c r="AB115" i="64" s="1"/>
  <c r="AB775" i="4"/>
  <c r="AB114" i="64" s="1"/>
  <c r="AB773" i="4"/>
  <c r="AB112" i="64" s="1"/>
  <c r="AB774" i="4"/>
  <c r="AB113" i="64" s="1"/>
  <c r="AH177" i="4"/>
  <c r="AH267" i="4"/>
  <c r="AC771" i="4"/>
  <c r="AC772" i="4"/>
  <c r="AB1215" i="4"/>
  <c r="AB928" i="4"/>
  <c r="AB1257" i="4"/>
  <c r="AB69" i="11"/>
  <c r="AB1050" i="4"/>
  <c r="AB44" i="11"/>
  <c r="AB684" i="4"/>
  <c r="AB956" i="4" s="1"/>
  <c r="AB992" i="4"/>
  <c r="AF749" i="4"/>
  <c r="AF609" i="4"/>
  <c r="AF627" i="4" s="1"/>
  <c r="AF810" i="4" s="1"/>
  <c r="AF815" i="4" s="1"/>
  <c r="CK1166" i="4"/>
  <c r="CK1165" i="4"/>
  <c r="CK275" i="4"/>
  <c r="CK288" i="4" s="1"/>
  <c r="CK273" i="4"/>
  <c r="CK274" i="4"/>
  <c r="CJ34" i="4"/>
  <c r="CJ150" i="4"/>
  <c r="CJ32" i="4"/>
  <c r="CJ39" i="4" s="1"/>
  <c r="CJ126" i="4"/>
  <c r="CH544" i="4"/>
  <c r="CH612" i="4" s="1"/>
  <c r="CH607" i="4"/>
  <c r="AG285" i="4"/>
  <c r="CI130" i="4"/>
  <c r="CI9" i="66"/>
  <c r="CI54" i="4"/>
  <c r="AA823" i="4"/>
  <c r="AA811" i="4"/>
  <c r="AA817" i="4" s="1"/>
  <c r="AA819" i="4" s="1"/>
  <c r="AA825" i="4" s="1"/>
  <c r="AA72" i="64"/>
  <c r="AA80" i="64"/>
  <c r="CI78" i="4"/>
  <c r="AC809" i="4"/>
  <c r="AC682" i="4"/>
  <c r="AB816" i="4"/>
  <c r="AB813" i="4"/>
  <c r="AB814" i="4"/>
  <c r="CJ129" i="4"/>
  <c r="CG644" i="4"/>
  <c r="CG641" i="4"/>
  <c r="CG640" i="4"/>
  <c r="CG659" i="4" s="1"/>
  <c r="CG645" i="4"/>
  <c r="CE662" i="4"/>
  <c r="Z73" i="64"/>
  <c r="Z81" i="64"/>
  <c r="AE32" i="66"/>
  <c r="CJ70" i="4"/>
  <c r="AH268" i="4"/>
  <c r="AH212" i="4"/>
  <c r="CI335" i="4"/>
  <c r="CI959" i="4" s="1"/>
  <c r="CI287" i="4"/>
  <c r="CI324" i="4" s="1"/>
  <c r="AC795" i="4"/>
  <c r="AC792" i="4"/>
  <c r="AC794" i="4"/>
  <c r="AC793" i="4"/>
  <c r="AC791" i="4"/>
  <c r="CI24" i="4"/>
  <c r="AG859" i="4"/>
  <c r="AG860" i="4"/>
  <c r="AG874" i="4"/>
  <c r="AG1032" i="4"/>
  <c r="AG1033" i="4" s="1"/>
  <c r="AG1034" i="4" s="1"/>
  <c r="AG908" i="4" s="1"/>
  <c r="AG875" i="4"/>
  <c r="AG870" i="4"/>
  <c r="AG869" i="4"/>
  <c r="AG878" i="4"/>
  <c r="AG871" i="4"/>
  <c r="AG877" i="4"/>
  <c r="AG876" i="4"/>
  <c r="AG818" i="4"/>
  <c r="AG896" i="4" s="1"/>
  <c r="AG862" i="4"/>
  <c r="AG861" i="4"/>
  <c r="AG613" i="4"/>
  <c r="AG614" i="4" s="1"/>
  <c r="AG620" i="4" s="1"/>
  <c r="AG606" i="4"/>
  <c r="AG608" i="4" s="1"/>
  <c r="AG616" i="4"/>
  <c r="AG618" i="4"/>
  <c r="AG667" i="4"/>
  <c r="AG666" i="4"/>
  <c r="AG668" i="4"/>
  <c r="AH79" i="4"/>
  <c r="CK6" i="4"/>
  <c r="CK15" i="4"/>
  <c r="CJ33" i="4"/>
  <c r="CJ40" i="4" s="1"/>
  <c r="CJ47" i="4" s="1"/>
  <c r="CJ140" i="4"/>
  <c r="CJ54" i="62"/>
  <c r="AG281" i="4"/>
  <c r="CJ335" i="4"/>
  <c r="CJ959" i="4" s="1"/>
  <c r="CJ287" i="4"/>
  <c r="Z80" i="64"/>
  <c r="Z72" i="64"/>
  <c r="CI63" i="4"/>
  <c r="CI1312" i="4" s="1"/>
  <c r="AD759" i="4"/>
  <c r="AD758" i="4"/>
  <c r="AD756" i="4"/>
  <c r="AD757" i="4"/>
  <c r="AG280" i="4"/>
  <c r="AF289" i="4"/>
  <c r="AH170" i="4"/>
  <c r="AH266" i="4"/>
  <c r="AF296" i="4"/>
  <c r="AF304" i="4" s="1"/>
  <c r="CJ1080" i="4"/>
  <c r="CJ1063" i="4"/>
  <c r="CJ1066" i="4"/>
  <c r="CJ1075" i="4" s="1"/>
  <c r="CJ198" i="4"/>
  <c r="CJ37" i="4"/>
  <c r="CJ246" i="4"/>
  <c r="CG660" i="4"/>
  <c r="Y826" i="4"/>
  <c r="CI44" i="4"/>
  <c r="CI51" i="4" s="1"/>
  <c r="CI83" i="4"/>
  <c r="CI84" i="4" s="1"/>
  <c r="CH644" i="4"/>
  <c r="CH660" i="4" s="1"/>
  <c r="CH640" i="4"/>
  <c r="CH645" i="4"/>
  <c r="CH641" i="4"/>
  <c r="CH200" i="4"/>
  <c r="AE1310" i="4"/>
  <c r="AE1345" i="4"/>
  <c r="AB119" i="64"/>
  <c r="AB65" i="64" s="1"/>
  <c r="CI61" i="4"/>
  <c r="CI318" i="4" s="1"/>
  <c r="CI328" i="4" s="1"/>
  <c r="CJ67" i="4"/>
  <c r="CI965" i="4"/>
  <c r="CI610" i="3"/>
  <c r="CJ68" i="4"/>
  <c r="CI153" i="4"/>
  <c r="AC766" i="4"/>
  <c r="AC768" i="4"/>
  <c r="AC767" i="4"/>
  <c r="AC765" i="4"/>
  <c r="CI199" i="4"/>
  <c r="CJ66" i="4"/>
  <c r="AD765" i="4"/>
  <c r="AD767" i="4"/>
  <c r="AD766" i="4"/>
  <c r="AD768" i="4"/>
  <c r="AE755" i="4"/>
  <c r="AE754" i="4"/>
  <c r="CK16" i="4"/>
  <c r="CK331" i="3"/>
  <c r="CK220" i="4" s="1"/>
  <c r="CK225" i="4" s="1"/>
  <c r="CK8" i="4"/>
  <c r="CK356" i="3"/>
  <c r="CK242" i="4" s="1"/>
  <c r="CK247" i="4" s="1"/>
  <c r="CK218" i="3"/>
  <c r="CK135" i="4" s="1"/>
  <c r="CK140" i="4" s="1"/>
  <c r="CK216" i="3"/>
  <c r="CK133" i="4" s="1"/>
  <c r="CK299" i="3"/>
  <c r="CK186" i="4" s="1"/>
  <c r="CK195" i="4" s="1"/>
  <c r="CK1106" i="4"/>
  <c r="CK1083" i="4"/>
  <c r="CK186" i="3"/>
  <c r="CK123" i="4" s="1"/>
  <c r="CK128" i="4" s="1"/>
  <c r="CK217" i="3"/>
  <c r="CK134" i="4" s="1"/>
  <c r="CK139" i="4" s="1"/>
  <c r="CK298" i="3"/>
  <c r="CK185" i="4" s="1"/>
  <c r="CK194" i="4" s="1"/>
  <c r="CK8" i="11"/>
  <c r="CK184" i="3"/>
  <c r="CK121" i="4" s="1"/>
  <c r="CK297" i="3"/>
  <c r="CK184" i="4" s="1"/>
  <c r="CK193" i="4" s="1"/>
  <c r="CK241" i="3"/>
  <c r="CK146" i="4" s="1"/>
  <c r="CK151" i="4" s="1"/>
  <c r="CK28" i="4"/>
  <c r="CK301" i="3"/>
  <c r="CK188" i="4" s="1"/>
  <c r="CK197" i="4" s="1"/>
  <c r="CK240" i="3"/>
  <c r="CK145" i="4" s="1"/>
  <c r="CK300" i="3"/>
  <c r="CK187" i="4" s="1"/>
  <c r="CK196" i="4" s="1"/>
  <c r="CK330" i="3"/>
  <c r="CK219" i="4" s="1"/>
  <c r="CK224" i="4" s="1"/>
  <c r="CK185" i="3"/>
  <c r="CK122" i="4" s="1"/>
  <c r="CK127" i="4" s="1"/>
  <c r="CK8" i="66"/>
  <c r="CK8" i="62"/>
  <c r="CK355" i="3"/>
  <c r="CK241" i="4" s="1"/>
  <c r="CK329" i="3"/>
  <c r="CK218" i="4" s="1"/>
  <c r="CK242" i="3"/>
  <c r="CK147" i="4" s="1"/>
  <c r="CK152" i="4" s="1"/>
  <c r="CK8" i="64"/>
  <c r="CK357" i="3"/>
  <c r="CK243" i="4" s="1"/>
  <c r="CK248" i="4" s="1"/>
  <c r="CK296" i="3"/>
  <c r="CK183" i="4" s="1"/>
  <c r="CK30" i="4"/>
  <c r="CK29" i="4"/>
  <c r="CK1107" i="4"/>
  <c r="CK1081" i="4"/>
  <c r="CK1082" i="4" s="1"/>
  <c r="CK1079" i="4"/>
  <c r="CI53" i="4"/>
  <c r="CJ58" i="4"/>
  <c r="CJ1052" i="4"/>
  <c r="CJ249" i="4"/>
  <c r="CI250" i="4"/>
  <c r="CI76" i="4"/>
  <c r="CI77" i="4" s="1"/>
  <c r="CJ75" i="4"/>
  <c r="CJ18" i="4"/>
  <c r="CJ24" i="4" s="1"/>
  <c r="CJ88" i="4" s="1"/>
  <c r="CJ1096" i="4" s="1"/>
  <c r="CJ1100" i="4" s="1"/>
  <c r="CJ1417" i="4" s="1"/>
  <c r="CJ82" i="4"/>
  <c r="CI65" i="4"/>
  <c r="CJ60" i="4"/>
  <c r="AG282" i="4"/>
  <c r="CH605" i="4"/>
  <c r="CH964" i="4"/>
  <c r="CJ41" i="4"/>
  <c r="CJ48" i="4" s="1"/>
  <c r="CF662" i="4"/>
  <c r="CJ42" i="4"/>
  <c r="CJ49" i="4" s="1"/>
  <c r="AH270" i="4"/>
  <c r="AH235" i="4"/>
  <c r="CI39" i="4"/>
  <c r="CI46" i="4" s="1"/>
  <c r="AA118" i="64"/>
  <c r="AA121" i="64" s="1"/>
  <c r="AF863" i="4"/>
  <c r="AF864" i="4"/>
  <c r="AF866" i="4"/>
  <c r="AF865" i="4"/>
  <c r="CL7" i="3"/>
  <c r="CJ227" i="4" l="1"/>
  <c r="AE676" i="4"/>
  <c r="AE680" i="4" s="1"/>
  <c r="AE889" i="4" s="1"/>
  <c r="AE890" i="4" s="1"/>
  <c r="AE891" i="4" s="1"/>
  <c r="AE789" i="4"/>
  <c r="AE793" i="4" s="1"/>
  <c r="AD795" i="4"/>
  <c r="AD792" i="4"/>
  <c r="AD793" i="4"/>
  <c r="AD794" i="4"/>
  <c r="AD772" i="4"/>
  <c r="AD775" i="4" s="1"/>
  <c r="AD114" i="64" s="1"/>
  <c r="CJ15" i="66"/>
  <c r="CK34" i="66"/>
  <c r="CK329" i="4"/>
  <c r="CK414" i="4" s="1"/>
  <c r="CK415" i="4" s="1"/>
  <c r="CL413" i="4" s="1"/>
  <c r="AE751" i="4"/>
  <c r="AE771" i="4" s="1"/>
  <c r="CJ34" i="66"/>
  <c r="AE762" i="4"/>
  <c r="AE764" i="4"/>
  <c r="AE767" i="4" s="1"/>
  <c r="AD682" i="4"/>
  <c r="AD684" i="4" s="1"/>
  <c r="AD956" i="4" s="1"/>
  <c r="AF628" i="4"/>
  <c r="AF685" i="4" s="1"/>
  <c r="AF622" i="4"/>
  <c r="AF623" i="4" s="1"/>
  <c r="AF789" i="4" s="1"/>
  <c r="AF795" i="4" s="1"/>
  <c r="AF879" i="4"/>
  <c r="AB116" i="64"/>
  <c r="AB118" i="64"/>
  <c r="CK1063" i="4"/>
  <c r="CK1080" i="4"/>
  <c r="CK1066" i="4"/>
  <c r="CK1075" i="4" s="1"/>
  <c r="CK198" i="4"/>
  <c r="CH659" i="4"/>
  <c r="AG609" i="4"/>
  <c r="AG627" i="4" s="1"/>
  <c r="AG810" i="4" s="1"/>
  <c r="AG815" i="4" s="1"/>
  <c r="AG749" i="4"/>
  <c r="CI88" i="4"/>
  <c r="CI1096" i="4" s="1"/>
  <c r="CI1100" i="4" s="1"/>
  <c r="CI1417" i="4" s="1"/>
  <c r="AE809" i="4"/>
  <c r="CH617" i="4"/>
  <c r="AF755" i="4"/>
  <c r="AF754" i="4"/>
  <c r="Z826" i="4"/>
  <c r="CK34" i="4"/>
  <c r="CK150" i="4"/>
  <c r="CK17" i="4"/>
  <c r="CK19" i="4"/>
  <c r="CJ965" i="4"/>
  <c r="CJ610" i="3"/>
  <c r="CK68" i="4"/>
  <c r="CK67" i="4"/>
  <c r="CJ250" i="4"/>
  <c r="AC796" i="4"/>
  <c r="AC824" i="4" s="1"/>
  <c r="AH282" i="4"/>
  <c r="AA826" i="4"/>
  <c r="CK335" i="4"/>
  <c r="CK959" i="4" s="1"/>
  <c r="CK287" i="4"/>
  <c r="AH281" i="4"/>
  <c r="Y931" i="4"/>
  <c r="Y19" i="11"/>
  <c r="Z927" i="4"/>
  <c r="Z929" i="4" s="1"/>
  <c r="Z930" i="4" s="1"/>
  <c r="CJ199" i="4"/>
  <c r="AG289" i="4"/>
  <c r="AI268" i="4"/>
  <c r="AI212" i="4"/>
  <c r="CJ655" i="4"/>
  <c r="CJ654" i="4"/>
  <c r="CJ637" i="4"/>
  <c r="CJ83" i="4"/>
  <c r="CJ84" i="4" s="1"/>
  <c r="CK36" i="4"/>
  <c r="CK223" i="4"/>
  <c r="CK129" i="4"/>
  <c r="CK226" i="4"/>
  <c r="CK66" i="4"/>
  <c r="CG661" i="4"/>
  <c r="AH862" i="4"/>
  <c r="AH860" i="4"/>
  <c r="AH859" i="4"/>
  <c r="AH1032" i="4"/>
  <c r="AH1033" i="4" s="1"/>
  <c r="AH1034" i="4" s="1"/>
  <c r="AH908" i="4" s="1"/>
  <c r="AH869" i="4"/>
  <c r="AH861" i="4"/>
  <c r="AH871" i="4"/>
  <c r="AH874" i="4"/>
  <c r="AH878" i="4"/>
  <c r="AH870" i="4"/>
  <c r="AH876" i="4"/>
  <c r="AH875" i="4"/>
  <c r="AH877" i="4"/>
  <c r="AH818" i="4"/>
  <c r="AH896" i="4" s="1"/>
  <c r="AH616" i="4"/>
  <c r="AH606" i="4"/>
  <c r="AH608" i="4" s="1"/>
  <c r="AH613" i="4"/>
  <c r="AH614" i="4" s="1"/>
  <c r="AH620" i="4" s="1"/>
  <c r="AH618" i="4"/>
  <c r="AH667" i="4"/>
  <c r="AH666" i="4"/>
  <c r="AH668" i="4"/>
  <c r="AI79" i="4"/>
  <c r="AC1257" i="4"/>
  <c r="AC69" i="11"/>
  <c r="AC44" i="11"/>
  <c r="AC992" i="4"/>
  <c r="AC1215" i="4"/>
  <c r="AC1050" i="4"/>
  <c r="AC684" i="4"/>
  <c r="AC956" i="4" s="1"/>
  <c r="AC928" i="4"/>
  <c r="AB777" i="4"/>
  <c r="CJ1183" i="4"/>
  <c r="CK1186" i="4"/>
  <c r="CK28" i="66"/>
  <c r="CK27" i="66"/>
  <c r="CK57" i="4"/>
  <c r="CK9" i="66" s="1"/>
  <c r="CK295" i="4"/>
  <c r="CK303" i="4" s="1"/>
  <c r="CK1074" i="4"/>
  <c r="CK9" i="64"/>
  <c r="CK9" i="11"/>
  <c r="CK37" i="4"/>
  <c r="CK44" i="4" s="1"/>
  <c r="CK51" i="4" s="1"/>
  <c r="CK246" i="4"/>
  <c r="CJ53" i="4"/>
  <c r="CK58" i="4"/>
  <c r="CK1052" i="4"/>
  <c r="AC814" i="4"/>
  <c r="AC813" i="4"/>
  <c r="AC816" i="4"/>
  <c r="CH56" i="4"/>
  <c r="CI53" i="62"/>
  <c r="CI55" i="4"/>
  <c r="AH260" i="4"/>
  <c r="CK60" i="4"/>
  <c r="AI163" i="4"/>
  <c r="AI265" i="4"/>
  <c r="AI270" i="4"/>
  <c r="AI235" i="4"/>
  <c r="CJ44" i="4"/>
  <c r="CJ51" i="4" s="1"/>
  <c r="CJ76" i="4"/>
  <c r="CJ77" i="4" s="1"/>
  <c r="CK543" i="4"/>
  <c r="CK54" i="11"/>
  <c r="CK530" i="4"/>
  <c r="CK540" i="4" s="1"/>
  <c r="CK62" i="4"/>
  <c r="CK528" i="4" s="1"/>
  <c r="CK747" i="4"/>
  <c r="CK54" i="62"/>
  <c r="CI200" i="4"/>
  <c r="CI154" i="4"/>
  <c r="AH280" i="4"/>
  <c r="AG669" i="4"/>
  <c r="AG677" i="4"/>
  <c r="AG296" i="4"/>
  <c r="AG304" i="4" s="1"/>
  <c r="CJ78" i="4"/>
  <c r="CJ130" i="4"/>
  <c r="CK15" i="66"/>
  <c r="AB120" i="64"/>
  <c r="AB64" i="64" s="1"/>
  <c r="AF32" i="66"/>
  <c r="AH276" i="4"/>
  <c r="AH334" i="4"/>
  <c r="AH960" i="4" s="1"/>
  <c r="AH279" i="4"/>
  <c r="CJ9" i="4"/>
  <c r="CJ54" i="4"/>
  <c r="CJ65" i="4" s="1"/>
  <c r="AI170" i="4"/>
  <c r="AI266" i="4"/>
  <c r="AI258" i="4"/>
  <c r="AI271" i="4"/>
  <c r="CK70" i="4"/>
  <c r="AH284" i="4"/>
  <c r="CK529" i="4"/>
  <c r="AE756" i="4"/>
  <c r="AE758" i="4"/>
  <c r="AE759" i="4"/>
  <c r="AE757" i="4"/>
  <c r="CJ141" i="4"/>
  <c r="CJ142" i="4" s="1"/>
  <c r="CJ46" i="4"/>
  <c r="AG81" i="11"/>
  <c r="AG82" i="11" s="1"/>
  <c r="AG65" i="62"/>
  <c r="AG1041" i="4"/>
  <c r="AG1214" i="4"/>
  <c r="AG33" i="66"/>
  <c r="AG32" i="66" s="1"/>
  <c r="AG1241" i="4"/>
  <c r="CI544" i="4"/>
  <c r="CI612" i="4" s="1"/>
  <c r="CI607" i="4"/>
  <c r="AI267" i="4"/>
  <c r="AI177" i="4"/>
  <c r="CJ63" i="4"/>
  <c r="CJ1312" i="4" s="1"/>
  <c r="CK35" i="4"/>
  <c r="CK192" i="4"/>
  <c r="CK32" i="4"/>
  <c r="CK126" i="4"/>
  <c r="CK33" i="4"/>
  <c r="CK138" i="4"/>
  <c r="CK40" i="4"/>
  <c r="CK47" i="4" s="1"/>
  <c r="CJ324" i="4"/>
  <c r="CK324" i="4" s="1"/>
  <c r="CJ153" i="4"/>
  <c r="AD816" i="4"/>
  <c r="AD814" i="4"/>
  <c r="AD813" i="4"/>
  <c r="AF762" i="4"/>
  <c r="AF764" i="4"/>
  <c r="AF763" i="4"/>
  <c r="AH285" i="4"/>
  <c r="CJ22" i="4"/>
  <c r="CK21" i="4"/>
  <c r="CK20" i="4"/>
  <c r="CL7" i="4"/>
  <c r="CL8" i="3"/>
  <c r="CL314" i="4" s="1"/>
  <c r="CL6" i="3"/>
  <c r="CL7" i="64"/>
  <c r="CL6" i="64" s="1"/>
  <c r="CL28" i="64" s="1"/>
  <c r="CL30" i="64" s="1"/>
  <c r="CL53" i="64" s="1"/>
  <c r="CL86" i="64"/>
  <c r="CL87" i="64" s="1"/>
  <c r="CL7" i="62"/>
  <c r="CL6" i="62" s="1"/>
  <c r="CL7" i="11"/>
  <c r="CL6" i="11" s="1"/>
  <c r="CL7" i="66"/>
  <c r="CL6" i="66" s="1"/>
  <c r="CK249" i="4"/>
  <c r="CK141" i="4"/>
  <c r="CI964" i="4"/>
  <c r="CI605" i="4"/>
  <c r="AB73" i="64"/>
  <c r="AB81" i="64"/>
  <c r="CK18" i="4"/>
  <c r="CK75" i="4"/>
  <c r="CK82" i="4"/>
  <c r="AG619" i="4"/>
  <c r="AG864" i="4"/>
  <c r="AG863" i="4"/>
  <c r="AG866" i="4"/>
  <c r="AG865" i="4"/>
  <c r="CK41" i="4"/>
  <c r="CK48" i="4" s="1"/>
  <c r="AC111" i="64"/>
  <c r="AC776" i="4"/>
  <c r="AC115" i="64" s="1"/>
  <c r="AC773" i="4"/>
  <c r="AC112" i="64" s="1"/>
  <c r="AC774" i="4"/>
  <c r="AC113" i="64" s="1"/>
  <c r="AC775" i="4"/>
  <c r="AC114" i="64" s="1"/>
  <c r="AF1310" i="4"/>
  <c r="AF1345" i="4"/>
  <c r="CI644" i="4"/>
  <c r="CI640" i="4"/>
  <c r="CI645" i="4"/>
  <c r="CI641" i="4"/>
  <c r="CJ9" i="62"/>
  <c r="CJ61" i="4"/>
  <c r="CJ318" i="4" s="1"/>
  <c r="CJ328" i="4" s="1"/>
  <c r="AJ256" i="4"/>
  <c r="AJ205" i="4"/>
  <c r="AJ206" i="4"/>
  <c r="AJ233" i="4"/>
  <c r="AJ167" i="4"/>
  <c r="AJ175" i="4"/>
  <c r="AJ255" i="4"/>
  <c r="AJ208" i="4"/>
  <c r="AJ209" i="4"/>
  <c r="AJ174" i="4"/>
  <c r="AJ161" i="4"/>
  <c r="AJ168" i="4"/>
  <c r="AJ232" i="4"/>
  <c r="AJ160" i="4"/>
  <c r="AJ207" i="4"/>
  <c r="AJ269" i="4" s="1"/>
  <c r="AJ283" i="4" s="1"/>
  <c r="AJ204" i="4"/>
  <c r="AJ231" i="4"/>
  <c r="AJ173" i="4"/>
  <c r="AJ257" i="4"/>
  <c r="AJ162" i="4"/>
  <c r="AJ234" i="4"/>
  <c r="AJ166" i="4"/>
  <c r="AJ169" i="4"/>
  <c r="AJ159" i="4"/>
  <c r="AJ254" i="4"/>
  <c r="AJ210" i="4"/>
  <c r="AJ211" i="4"/>
  <c r="AJ176" i="4"/>
  <c r="AK85" i="4"/>
  <c r="CK43" i="4"/>
  <c r="CK50" i="4" s="1"/>
  <c r="CK636" i="4" s="1"/>
  <c r="CJ540" i="4"/>
  <c r="CJ542" i="4" s="1"/>
  <c r="AF794" i="4" l="1"/>
  <c r="AE682" i="4"/>
  <c r="AE928" i="4" s="1"/>
  <c r="AE772" i="4"/>
  <c r="AE776" i="4" s="1"/>
  <c r="CK227" i="4"/>
  <c r="AE792" i="4"/>
  <c r="AE794" i="4"/>
  <c r="AD111" i="64"/>
  <c r="AD119" i="64" s="1"/>
  <c r="AD65" i="64" s="1"/>
  <c r="AE795" i="4"/>
  <c r="AE791" i="4"/>
  <c r="AD773" i="4"/>
  <c r="AD112" i="64" s="1"/>
  <c r="AD1050" i="4"/>
  <c r="AD1257" i="4"/>
  <c r="AD44" i="11"/>
  <c r="AD796" i="4"/>
  <c r="AD824" i="4" s="1"/>
  <c r="AD992" i="4"/>
  <c r="AD1215" i="4"/>
  <c r="AD928" i="4"/>
  <c r="AD776" i="4"/>
  <c r="AD115" i="64" s="1"/>
  <c r="AD69" i="11"/>
  <c r="AD774" i="4"/>
  <c r="AD113" i="64" s="1"/>
  <c r="AF629" i="4"/>
  <c r="AF630" i="4" s="1"/>
  <c r="AF809" i="4" s="1"/>
  <c r="AF751" i="4"/>
  <c r="AF771" i="4" s="1"/>
  <c r="AF792" i="4"/>
  <c r="CM7" i="3"/>
  <c r="AE765" i="4"/>
  <c r="CK9" i="4"/>
  <c r="CI660" i="4"/>
  <c r="AE766" i="4"/>
  <c r="CI659" i="4"/>
  <c r="AE768" i="4"/>
  <c r="AF793" i="4"/>
  <c r="AF791" i="4"/>
  <c r="AF676" i="4"/>
  <c r="AF680" i="4" s="1"/>
  <c r="AF889" i="4" s="1"/>
  <c r="AF890" i="4" s="1"/>
  <c r="AF891" i="4" s="1"/>
  <c r="AG879" i="4"/>
  <c r="AH619" i="4"/>
  <c r="AH750" i="4" s="1"/>
  <c r="AB121" i="64"/>
  <c r="CI661" i="4"/>
  <c r="AC119" i="64"/>
  <c r="AC65" i="64" s="1"/>
  <c r="AC116" i="64"/>
  <c r="CK83" i="4"/>
  <c r="CK84" i="4" s="1"/>
  <c r="CL6" i="4"/>
  <c r="CL15" i="4"/>
  <c r="AI285" i="4"/>
  <c r="AH289" i="4"/>
  <c r="AH609" i="4"/>
  <c r="AH627" i="4" s="1"/>
  <c r="AH810" i="4" s="1"/>
  <c r="AH815" i="4" s="1"/>
  <c r="AH749" i="4"/>
  <c r="CK153" i="4"/>
  <c r="CK76" i="4"/>
  <c r="CK77" i="4" s="1"/>
  <c r="CM7" i="11"/>
  <c r="CM6" i="11" s="1"/>
  <c r="CM6" i="3"/>
  <c r="CM7" i="62"/>
  <c r="CM6" i="62" s="1"/>
  <c r="CM7" i="66"/>
  <c r="CM6" i="66" s="1"/>
  <c r="CM8" i="3"/>
  <c r="CN7" i="3" s="1"/>
  <c r="CM7" i="64"/>
  <c r="CM6" i="64" s="1"/>
  <c r="CM28" i="64" s="1"/>
  <c r="CM30" i="64" s="1"/>
  <c r="CM53" i="64" s="1"/>
  <c r="I53" i="64" s="1"/>
  <c r="I19" i="64" s="1"/>
  <c r="CM86" i="64"/>
  <c r="CM87" i="64" s="1"/>
  <c r="CM7" i="4"/>
  <c r="CJ154" i="4"/>
  <c r="AI281" i="4"/>
  <c r="CK542" i="4"/>
  <c r="CG662" i="4"/>
  <c r="CK965" i="4"/>
  <c r="CK610" i="3"/>
  <c r="AJ268" i="4"/>
  <c r="AJ212" i="4"/>
  <c r="CK655" i="4"/>
  <c r="CK654" i="4"/>
  <c r="CK637" i="4"/>
  <c r="AJ170" i="4"/>
  <c r="AJ266" i="4"/>
  <c r="CK199" i="4"/>
  <c r="AI280" i="4"/>
  <c r="AI284" i="4"/>
  <c r="AI859" i="4"/>
  <c r="AI860" i="4"/>
  <c r="AI878" i="4"/>
  <c r="AI869" i="4"/>
  <c r="AI875" i="4"/>
  <c r="AI818" i="4"/>
  <c r="AI896" i="4" s="1"/>
  <c r="AI871" i="4"/>
  <c r="AI1032" i="4"/>
  <c r="AI1033" i="4" s="1"/>
  <c r="AI1034" i="4" s="1"/>
  <c r="AI908" i="4" s="1"/>
  <c r="AI862" i="4"/>
  <c r="AI874" i="4"/>
  <c r="AI876" i="4"/>
  <c r="AI877" i="4"/>
  <c r="AI870" i="4"/>
  <c r="AI861" i="4"/>
  <c r="AI613" i="4"/>
  <c r="AI614" i="4" s="1"/>
  <c r="AI620" i="4" s="1"/>
  <c r="AI606" i="4"/>
  <c r="AI608" i="4" s="1"/>
  <c r="AI616" i="4"/>
  <c r="AI618" i="4"/>
  <c r="AI667" i="4"/>
  <c r="AI666" i="4"/>
  <c r="AI668" i="4"/>
  <c r="AJ79" i="4"/>
  <c r="AH296" i="4"/>
  <c r="AH304" i="4" s="1"/>
  <c r="CJ644" i="4"/>
  <c r="CJ645" i="4"/>
  <c r="CJ660" i="4" s="1"/>
  <c r="CJ641" i="4"/>
  <c r="CJ659" i="4" s="1"/>
  <c r="CJ640" i="4"/>
  <c r="AE813" i="4"/>
  <c r="AE816" i="4"/>
  <c r="AE814" i="4"/>
  <c r="CI1183" i="4"/>
  <c r="CJ544" i="4"/>
  <c r="CJ612" i="4" s="1"/>
  <c r="CJ607" i="4"/>
  <c r="AK168" i="4"/>
  <c r="AK207" i="4"/>
  <c r="AK269" i="4" s="1"/>
  <c r="AK283" i="4" s="1"/>
  <c r="AK232" i="4"/>
  <c r="AK209" i="4"/>
  <c r="AK255" i="4"/>
  <c r="AK166" i="4"/>
  <c r="AK256" i="4"/>
  <c r="AK233" i="4"/>
  <c r="AK159" i="4"/>
  <c r="AK174" i="4"/>
  <c r="AK205" i="4"/>
  <c r="AK161" i="4"/>
  <c r="AK206" i="4"/>
  <c r="AK175" i="4"/>
  <c r="AK208" i="4"/>
  <c r="AK204" i="4"/>
  <c r="AK173" i="4"/>
  <c r="AK231" i="4"/>
  <c r="AK167" i="4"/>
  <c r="AK160" i="4"/>
  <c r="AK210" i="4"/>
  <c r="AK162" i="4"/>
  <c r="AK234" i="4"/>
  <c r="AK254" i="4"/>
  <c r="AK257" i="4"/>
  <c r="AK169" i="4"/>
  <c r="AK211" i="4"/>
  <c r="AK176" i="4"/>
  <c r="AL85" i="4"/>
  <c r="CK22" i="4"/>
  <c r="CL21" i="4"/>
  <c r="CI617" i="4"/>
  <c r="AI334" i="4"/>
  <c r="AI960" i="4" s="1"/>
  <c r="AI276" i="4"/>
  <c r="AI279" i="4"/>
  <c r="CJ200" i="4"/>
  <c r="CJ605" i="4"/>
  <c r="CJ964" i="4"/>
  <c r="AJ163" i="4"/>
  <c r="AJ265" i="4"/>
  <c r="AG628" i="4"/>
  <c r="AG685" i="4" s="1"/>
  <c r="AG750" i="4"/>
  <c r="AG622" i="4"/>
  <c r="AG623" i="4" s="1"/>
  <c r="AG1310" i="4"/>
  <c r="AG1345" i="4"/>
  <c r="CI56" i="4"/>
  <c r="CJ53" i="62"/>
  <c r="CK78" i="4"/>
  <c r="AI260" i="4"/>
  <c r="CJ55" i="4"/>
  <c r="CK250" i="4"/>
  <c r="AB823" i="4"/>
  <c r="AB811" i="4"/>
  <c r="AB817" i="4" s="1"/>
  <c r="AB819" i="4" s="1"/>
  <c r="AB825" i="4" s="1"/>
  <c r="AH677" i="4"/>
  <c r="AH669" i="4"/>
  <c r="AG754" i="4"/>
  <c r="AG755" i="4"/>
  <c r="CL1166" i="4"/>
  <c r="CL1165" i="4"/>
  <c r="CL275" i="4"/>
  <c r="CL288" i="4" s="1"/>
  <c r="CL274" i="4"/>
  <c r="CL273" i="4"/>
  <c r="CL34" i="66" s="1"/>
  <c r="CL329" i="4"/>
  <c r="CL414" i="4" s="1"/>
  <c r="CL415" i="4" s="1"/>
  <c r="CM413" i="4" s="1"/>
  <c r="AF768" i="4"/>
  <c r="AF765" i="4"/>
  <c r="AF766" i="4"/>
  <c r="AF767" i="4"/>
  <c r="CK142" i="4"/>
  <c r="CK9" i="62"/>
  <c r="CK54" i="4"/>
  <c r="CK65" i="4" s="1"/>
  <c r="CK60" i="62"/>
  <c r="AH865" i="4"/>
  <c r="AH863" i="4"/>
  <c r="AH864" i="4"/>
  <c r="AH866" i="4"/>
  <c r="Z931" i="4"/>
  <c r="Z19" i="11"/>
  <c r="AA927" i="4"/>
  <c r="AJ177" i="4"/>
  <c r="AJ267" i="4"/>
  <c r="AC120" i="64"/>
  <c r="AC64" i="64" s="1"/>
  <c r="CK39" i="4"/>
  <c r="CK46" i="4" s="1"/>
  <c r="AH1214" i="4"/>
  <c r="AH81" i="11"/>
  <c r="AH82" i="11" s="1"/>
  <c r="AH33" i="66"/>
  <c r="AH32" i="66" s="1"/>
  <c r="AH1041" i="4"/>
  <c r="AH1241" i="4"/>
  <c r="AH65" i="62"/>
  <c r="AI282" i="4"/>
  <c r="CK24" i="4"/>
  <c r="AC777" i="4"/>
  <c r="AJ271" i="4"/>
  <c r="AJ258" i="4"/>
  <c r="AJ235" i="4"/>
  <c r="AJ270" i="4"/>
  <c r="CL301" i="3"/>
  <c r="CL188" i="4" s="1"/>
  <c r="CL197" i="4" s="1"/>
  <c r="CL297" i="3"/>
  <c r="CL184" i="4" s="1"/>
  <c r="CL193" i="4" s="1"/>
  <c r="CL240" i="3"/>
  <c r="CL145" i="4" s="1"/>
  <c r="CL299" i="3"/>
  <c r="CL186" i="4" s="1"/>
  <c r="CL195" i="4" s="1"/>
  <c r="CL28" i="4"/>
  <c r="CL241" i="3"/>
  <c r="CL146" i="4" s="1"/>
  <c r="CL151" i="4" s="1"/>
  <c r="CL8" i="66"/>
  <c r="CL357" i="3"/>
  <c r="CL243" i="4" s="1"/>
  <c r="CL248" i="4" s="1"/>
  <c r="CL296" i="3"/>
  <c r="CL183" i="4" s="1"/>
  <c r="CL300" i="3"/>
  <c r="CL187" i="4" s="1"/>
  <c r="CL196" i="4" s="1"/>
  <c r="CL242" i="3"/>
  <c r="CL147" i="4" s="1"/>
  <c r="CL152" i="4" s="1"/>
  <c r="CL184" i="3"/>
  <c r="CL121" i="4" s="1"/>
  <c r="CL8" i="4"/>
  <c r="CL298" i="3"/>
  <c r="CL185" i="4" s="1"/>
  <c r="CL194" i="4" s="1"/>
  <c r="CL329" i="3"/>
  <c r="CL218" i="4" s="1"/>
  <c r="CL216" i="3"/>
  <c r="CL133" i="4" s="1"/>
  <c r="CL218" i="3"/>
  <c r="CL135" i="4" s="1"/>
  <c r="CL140" i="4" s="1"/>
  <c r="CL355" i="3"/>
  <c r="CL241" i="4" s="1"/>
  <c r="CL1083" i="4"/>
  <c r="CL186" i="3"/>
  <c r="CL123" i="4" s="1"/>
  <c r="CL128" i="4" s="1"/>
  <c r="CL8" i="64"/>
  <c r="CL8" i="62"/>
  <c r="CL330" i="3"/>
  <c r="CL219" i="4" s="1"/>
  <c r="CL224" i="4" s="1"/>
  <c r="CL16" i="4"/>
  <c r="CL217" i="3"/>
  <c r="CL134" i="4" s="1"/>
  <c r="CL139" i="4" s="1"/>
  <c r="CL185" i="3"/>
  <c r="CL122" i="4" s="1"/>
  <c r="CL127" i="4" s="1"/>
  <c r="CL356" i="3"/>
  <c r="CL242" i="4" s="1"/>
  <c r="CL247" i="4" s="1"/>
  <c r="CL331" i="3"/>
  <c r="CL220" i="4" s="1"/>
  <c r="CL225" i="4" s="1"/>
  <c r="CL1106" i="4"/>
  <c r="CL8" i="11"/>
  <c r="CL30" i="4"/>
  <c r="CL29" i="4"/>
  <c r="CL1081" i="4"/>
  <c r="CL1082" i="4" s="1"/>
  <c r="CL1107" i="4"/>
  <c r="CL1079" i="4"/>
  <c r="CL1332" i="4"/>
  <c r="CL1370" i="4"/>
  <c r="CM1370" i="4" s="1"/>
  <c r="CK130" i="4"/>
  <c r="AB72" i="64"/>
  <c r="AB80" i="64"/>
  <c r="CK9" i="3"/>
  <c r="CK42" i="4"/>
  <c r="CK49" i="4" s="1"/>
  <c r="AF758" i="4"/>
  <c r="AF757" i="4"/>
  <c r="AF756" i="4"/>
  <c r="AF759" i="4"/>
  <c r="CH661" i="4"/>
  <c r="AE774" i="4" l="1"/>
  <c r="AE113" i="64" s="1"/>
  <c r="AE111" i="64"/>
  <c r="AE119" i="64" s="1"/>
  <c r="AE65" i="64" s="1"/>
  <c r="AE773" i="4"/>
  <c r="AE112" i="64" s="1"/>
  <c r="AE775" i="4"/>
  <c r="AE114" i="64" s="1"/>
  <c r="AE1050" i="4"/>
  <c r="AE1215" i="4"/>
  <c r="AE684" i="4"/>
  <c r="AE956" i="4" s="1"/>
  <c r="AE44" i="11"/>
  <c r="AE69" i="11"/>
  <c r="AE992" i="4"/>
  <c r="AE1257" i="4"/>
  <c r="AE796" i="4"/>
  <c r="AE824" i="4" s="1"/>
  <c r="AE115" i="64"/>
  <c r="AF772" i="4"/>
  <c r="AF773" i="4" s="1"/>
  <c r="AF112" i="64" s="1"/>
  <c r="AF682" i="4"/>
  <c r="AF1215" i="4" s="1"/>
  <c r="AD116" i="64"/>
  <c r="AD120" i="64"/>
  <c r="AD64" i="64" s="1"/>
  <c r="AD80" i="64" s="1"/>
  <c r="AD777" i="4"/>
  <c r="AD811" i="4" s="1"/>
  <c r="AD817" i="4" s="1"/>
  <c r="AD819" i="4" s="1"/>
  <c r="AD825" i="4" s="1"/>
  <c r="AF796" i="4"/>
  <c r="AF824" i="4" s="1"/>
  <c r="CM1332" i="4"/>
  <c r="CM314" i="4"/>
  <c r="AC118" i="64"/>
  <c r="AC121" i="64" s="1"/>
  <c r="AD118" i="64"/>
  <c r="AH628" i="4"/>
  <c r="AH685" i="4" s="1"/>
  <c r="AH622" i="4"/>
  <c r="AH623" i="4" s="1"/>
  <c r="AH676" i="4" s="1"/>
  <c r="AH680" i="4" s="1"/>
  <c r="AH889" i="4" s="1"/>
  <c r="AH890" i="4" s="1"/>
  <c r="AH891" i="4" s="1"/>
  <c r="AB826" i="4"/>
  <c r="AH879" i="4"/>
  <c r="AI619" i="4"/>
  <c r="AI628" i="4" s="1"/>
  <c r="CJ661" i="4"/>
  <c r="CL65" i="4"/>
  <c r="CL57" i="4"/>
  <c r="CL54" i="4" s="1"/>
  <c r="CL27" i="66"/>
  <c r="CL28" i="66"/>
  <c r="CL1186" i="4"/>
  <c r="CL1074" i="4"/>
  <c r="CL295" i="4"/>
  <c r="CL303" i="4" s="1"/>
  <c r="CL9" i="64"/>
  <c r="CL9" i="3"/>
  <c r="CL9" i="66"/>
  <c r="CL9" i="11"/>
  <c r="CL9" i="62"/>
  <c r="CL60" i="4"/>
  <c r="CK61" i="4"/>
  <c r="CK318" i="4" s="1"/>
  <c r="CK328" i="4" s="1"/>
  <c r="CL141" i="4"/>
  <c r="CL35" i="4"/>
  <c r="CL192" i="4"/>
  <c r="AC72" i="64"/>
  <c r="AC80" i="64"/>
  <c r="AA929" i="4"/>
  <c r="AA930" i="4" s="1"/>
  <c r="AA931" i="4" s="1"/>
  <c r="AK258" i="4"/>
  <c r="AK271" i="4"/>
  <c r="AK268" i="4"/>
  <c r="AK212" i="4"/>
  <c r="AJ282" i="4"/>
  <c r="CL33" i="4"/>
  <c r="CL138" i="4"/>
  <c r="CL249" i="4"/>
  <c r="CL60" i="62"/>
  <c r="CL15" i="66"/>
  <c r="AG676" i="4"/>
  <c r="AG680" i="4" s="1"/>
  <c r="AG889" i="4" s="1"/>
  <c r="AG890" i="4" s="1"/>
  <c r="AG891" i="4" s="1"/>
  <c r="AG629" i="4"/>
  <c r="AG630" i="4" s="1"/>
  <c r="AG751" i="4"/>
  <c r="CJ617" i="4"/>
  <c r="AI677" i="4"/>
  <c r="AI669" i="4"/>
  <c r="CI662" i="4"/>
  <c r="CL36" i="4"/>
  <c r="CL223" i="4"/>
  <c r="AJ284" i="4"/>
  <c r="AH1345" i="4"/>
  <c r="AH1310" i="4"/>
  <c r="CK56" i="4"/>
  <c r="CL55" i="4"/>
  <c r="CJ56" i="4"/>
  <c r="CK53" i="62"/>
  <c r="AG762" i="4"/>
  <c r="AG764" i="4"/>
  <c r="AG763" i="4"/>
  <c r="AK266" i="4"/>
  <c r="AK170" i="4"/>
  <c r="AJ280" i="4"/>
  <c r="CL54" i="62"/>
  <c r="CL53" i="62"/>
  <c r="CL198" i="4"/>
  <c r="AC823" i="4"/>
  <c r="AC811" i="4"/>
  <c r="AC817" i="4" s="1"/>
  <c r="AC819" i="4" s="1"/>
  <c r="AC825" i="4" s="1"/>
  <c r="AJ281" i="4"/>
  <c r="CL66" i="4"/>
  <c r="AD81" i="64"/>
  <c r="AD73" i="64"/>
  <c r="AL255" i="4"/>
  <c r="AL233" i="4"/>
  <c r="AL161" i="4"/>
  <c r="AL205" i="4"/>
  <c r="AL207" i="4"/>
  <c r="AL269" i="4" s="1"/>
  <c r="AL283" i="4" s="1"/>
  <c r="AL232" i="4"/>
  <c r="AL175" i="4"/>
  <c r="AL160" i="4"/>
  <c r="AL168" i="4"/>
  <c r="AL167" i="4"/>
  <c r="AL208" i="4"/>
  <c r="AL209" i="4"/>
  <c r="AL206" i="4"/>
  <c r="AL174" i="4"/>
  <c r="AL256" i="4"/>
  <c r="AL210" i="4"/>
  <c r="AL169" i="4"/>
  <c r="AL254" i="4"/>
  <c r="AL159" i="4"/>
  <c r="AL231" i="4"/>
  <c r="AL162" i="4"/>
  <c r="AL204" i="4"/>
  <c r="AL173" i="4"/>
  <c r="AL234" i="4"/>
  <c r="AL166" i="4"/>
  <c r="AL257" i="4"/>
  <c r="AL176" i="4"/>
  <c r="AL211" i="4"/>
  <c r="AM85" i="4"/>
  <c r="CK964" i="4"/>
  <c r="CK605" i="4"/>
  <c r="CM6" i="4"/>
  <c r="CM15" i="4"/>
  <c r="CM274" i="4"/>
  <c r="CM275" i="4"/>
  <c r="CM1166" i="4"/>
  <c r="CM273" i="4"/>
  <c r="CM1165" i="4"/>
  <c r="CK154" i="4"/>
  <c r="CL543" i="4"/>
  <c r="CL62" i="4"/>
  <c r="CL528" i="4" s="1"/>
  <c r="CL530" i="4"/>
  <c r="CL540" i="4" s="1"/>
  <c r="CL54" i="11"/>
  <c r="CL747" i="4"/>
  <c r="CL70" i="4"/>
  <c r="CK63" i="4"/>
  <c r="CK1312" i="4" s="1"/>
  <c r="CL529" i="4"/>
  <c r="CH662" i="4"/>
  <c r="CL17" i="4"/>
  <c r="CL19" i="4"/>
  <c r="CL20" i="4" s="1"/>
  <c r="CK53" i="4"/>
  <c r="CL1052" i="4"/>
  <c r="CL58" i="4"/>
  <c r="AG757" i="4"/>
  <c r="AG759" i="4"/>
  <c r="AG758" i="4"/>
  <c r="AG756" i="4"/>
  <c r="CK55" i="4"/>
  <c r="AF816" i="4"/>
  <c r="AF813" i="4"/>
  <c r="AF814" i="4"/>
  <c r="AI289" i="4"/>
  <c r="AI865" i="4"/>
  <c r="AI864" i="4"/>
  <c r="AI866" i="4"/>
  <c r="AI863" i="4"/>
  <c r="CK641" i="4"/>
  <c r="CK659" i="4" s="1"/>
  <c r="CK640" i="4"/>
  <c r="CK644" i="4"/>
  <c r="CK645" i="4"/>
  <c r="CK660" i="4" s="1"/>
  <c r="AH763" i="4"/>
  <c r="AH762" i="4"/>
  <c r="AH764" i="4"/>
  <c r="CN7" i="64"/>
  <c r="CN6" i="64" s="1"/>
  <c r="CN28" i="64" s="1"/>
  <c r="CN30" i="64" s="1"/>
  <c r="CN53" i="64" s="1"/>
  <c r="CN7" i="4"/>
  <c r="CN7" i="66"/>
  <c r="CN6" i="66" s="1"/>
  <c r="CN6" i="3"/>
  <c r="CN7" i="62"/>
  <c r="CN6" i="62" s="1"/>
  <c r="CN8" i="3"/>
  <c r="CN1370" i="4" s="1"/>
  <c r="CN7" i="11"/>
  <c r="CN6" i="11" s="1"/>
  <c r="CO7" i="3"/>
  <c r="CN86" i="64"/>
  <c r="CN87" i="64" s="1"/>
  <c r="CL75" i="4"/>
  <c r="CL78" i="4" s="1"/>
  <c r="CL18" i="4"/>
  <c r="CL82" i="4"/>
  <c r="AC73" i="64"/>
  <c r="AC81" i="64"/>
  <c r="CL1080" i="4"/>
  <c r="CL1063" i="4"/>
  <c r="CL1066" i="4"/>
  <c r="CL1075" i="4" s="1"/>
  <c r="CL226" i="4"/>
  <c r="CL129" i="4"/>
  <c r="CL32" i="4"/>
  <c r="CL126" i="4"/>
  <c r="AJ285" i="4"/>
  <c r="CK88" i="4"/>
  <c r="CK1096" i="4" s="1"/>
  <c r="CK1100" i="4" s="1"/>
  <c r="CK1417" i="4" s="1"/>
  <c r="AI749" i="4"/>
  <c r="AI609" i="4"/>
  <c r="AI627" i="4" s="1"/>
  <c r="AI810" i="4" s="1"/>
  <c r="AI815" i="4" s="1"/>
  <c r="CL68" i="4"/>
  <c r="AJ276" i="4"/>
  <c r="AJ334" i="4"/>
  <c r="AJ960" i="4" s="1"/>
  <c r="AJ279" i="4"/>
  <c r="AK235" i="4"/>
  <c r="AK270" i="4"/>
  <c r="CK200" i="4"/>
  <c r="CL67" i="4"/>
  <c r="AH755" i="4"/>
  <c r="AH754" i="4"/>
  <c r="AG789" i="4"/>
  <c r="CL34" i="4"/>
  <c r="CL150" i="4"/>
  <c r="CL37" i="4"/>
  <c r="CL44" i="4" s="1"/>
  <c r="CL51" i="4" s="1"/>
  <c r="CL246" i="4"/>
  <c r="CL335" i="4"/>
  <c r="CL959" i="4" s="1"/>
  <c r="CL287" i="4"/>
  <c r="CL324" i="4" s="1"/>
  <c r="AI1241" i="4"/>
  <c r="AI1041" i="4"/>
  <c r="AI1214" i="4"/>
  <c r="AI33" i="66"/>
  <c r="AI32" i="66" s="1"/>
  <c r="AI65" i="62"/>
  <c r="AI81" i="11"/>
  <c r="AI82" i="11" s="1"/>
  <c r="AJ260" i="4"/>
  <c r="AK177" i="4"/>
  <c r="AK267" i="4"/>
  <c r="AK163" i="4"/>
  <c r="AK265" i="4"/>
  <c r="AJ877" i="4"/>
  <c r="AJ871" i="4"/>
  <c r="AJ870" i="4"/>
  <c r="AJ876" i="4"/>
  <c r="AJ818" i="4"/>
  <c r="AJ896" i="4" s="1"/>
  <c r="AJ859" i="4"/>
  <c r="AJ875" i="4"/>
  <c r="AJ860" i="4"/>
  <c r="AJ861" i="4"/>
  <c r="AJ878" i="4"/>
  <c r="AJ869" i="4"/>
  <c r="AJ862" i="4"/>
  <c r="AJ1032" i="4"/>
  <c r="AJ1033" i="4" s="1"/>
  <c r="AJ1034" i="4" s="1"/>
  <c r="AJ908" i="4" s="1"/>
  <c r="AJ874" i="4"/>
  <c r="AJ616" i="4"/>
  <c r="AJ606" i="4"/>
  <c r="AJ608" i="4" s="1"/>
  <c r="AJ613" i="4"/>
  <c r="AJ614" i="4" s="1"/>
  <c r="AJ620" i="4" s="1"/>
  <c r="AJ666" i="4"/>
  <c r="AJ618" i="4"/>
  <c r="AJ667" i="4"/>
  <c r="AJ668" i="4"/>
  <c r="AK79" i="4"/>
  <c r="AI296" i="4"/>
  <c r="AI304" i="4" s="1"/>
  <c r="CK544" i="4"/>
  <c r="CK612" i="4" s="1"/>
  <c r="CK607" i="4"/>
  <c r="CM297" i="3"/>
  <c r="CM184" i="4" s="1"/>
  <c r="CM193" i="4" s="1"/>
  <c r="CM357" i="3"/>
  <c r="CM243" i="4" s="1"/>
  <c r="CM248" i="4" s="1"/>
  <c r="CM8" i="4"/>
  <c r="CM17" i="4" s="1"/>
  <c r="CM301" i="3"/>
  <c r="CM188" i="4" s="1"/>
  <c r="CM197" i="4" s="1"/>
  <c r="CM186" i="3"/>
  <c r="CM123" i="4" s="1"/>
  <c r="CM128" i="4" s="1"/>
  <c r="CM329" i="3"/>
  <c r="CM218" i="4" s="1"/>
  <c r="CM300" i="3"/>
  <c r="CM187" i="4" s="1"/>
  <c r="CM196" i="4" s="1"/>
  <c r="CM8" i="66"/>
  <c r="CM331" i="3"/>
  <c r="CM220" i="4" s="1"/>
  <c r="CM225" i="4" s="1"/>
  <c r="CM355" i="3"/>
  <c r="CM241" i="4" s="1"/>
  <c r="CM240" i="3"/>
  <c r="CM145" i="4" s="1"/>
  <c r="CM299" i="3"/>
  <c r="CM186" i="4" s="1"/>
  <c r="CM195" i="4" s="1"/>
  <c r="CM8" i="11"/>
  <c r="CM298" i="3"/>
  <c r="CM185" i="4" s="1"/>
  <c r="CM194" i="4" s="1"/>
  <c r="CM217" i="3"/>
  <c r="CM134" i="4" s="1"/>
  <c r="CM185" i="3"/>
  <c r="CM122" i="4" s="1"/>
  <c r="CM127" i="4" s="1"/>
  <c r="CM8" i="62"/>
  <c r="CM1106" i="4"/>
  <c r="CM16" i="4"/>
  <c r="CM241" i="3"/>
  <c r="CM146" i="4" s="1"/>
  <c r="CM151" i="4" s="1"/>
  <c r="CM356" i="3"/>
  <c r="CM242" i="4" s="1"/>
  <c r="CM247" i="4" s="1"/>
  <c r="CM242" i="3"/>
  <c r="CM147" i="4" s="1"/>
  <c r="CM152" i="4" s="1"/>
  <c r="CM1083" i="4"/>
  <c r="CM8" i="64"/>
  <c r="CM296" i="3"/>
  <c r="CM183" i="4" s="1"/>
  <c r="CM28" i="4"/>
  <c r="CM218" i="3"/>
  <c r="CM135" i="4" s="1"/>
  <c r="CM140" i="4" s="1"/>
  <c r="CM330" i="3"/>
  <c r="CM219" i="4" s="1"/>
  <c r="CM224" i="4" s="1"/>
  <c r="CM184" i="3"/>
  <c r="CM121" i="4" s="1"/>
  <c r="CM216" i="3"/>
  <c r="CM133" i="4" s="1"/>
  <c r="CM138" i="4" s="1"/>
  <c r="CM30" i="4"/>
  <c r="CM29" i="4"/>
  <c r="CM1079" i="4"/>
  <c r="CM1107" i="4"/>
  <c r="CM1081" i="4"/>
  <c r="CM1082" i="4" s="1"/>
  <c r="AE777" i="4" l="1"/>
  <c r="AE811" i="4" s="1"/>
  <c r="AE817" i="4" s="1"/>
  <c r="AE819" i="4" s="1"/>
  <c r="AE825" i="4" s="1"/>
  <c r="AF776" i="4"/>
  <c r="AF115" i="64" s="1"/>
  <c r="AF775" i="4"/>
  <c r="AF114" i="64" s="1"/>
  <c r="AF774" i="4"/>
  <c r="AF113" i="64" s="1"/>
  <c r="AF111" i="64"/>
  <c r="AF119" i="64" s="1"/>
  <c r="AF65" i="64" s="1"/>
  <c r="AF69" i="11"/>
  <c r="AF684" i="4"/>
  <c r="AF956" i="4" s="1"/>
  <c r="AF44" i="11"/>
  <c r="AF928" i="4"/>
  <c r="AF1257" i="4"/>
  <c r="AF992" i="4"/>
  <c r="AF1050" i="4"/>
  <c r="AD72" i="64"/>
  <c r="AD823" i="4"/>
  <c r="AD826" i="4" s="1"/>
  <c r="AE120" i="64"/>
  <c r="AE64" i="64" s="1"/>
  <c r="AE72" i="64" s="1"/>
  <c r="AE116" i="64"/>
  <c r="AD121" i="64"/>
  <c r="CL24" i="4"/>
  <c r="CL88" i="4" s="1"/>
  <c r="CL1096" i="4" s="1"/>
  <c r="CL1100" i="4" s="1"/>
  <c r="CL1417" i="4" s="1"/>
  <c r="CL9" i="4"/>
  <c r="CM60" i="4"/>
  <c r="CN314" i="4"/>
  <c r="CM15" i="66"/>
  <c r="CL227" i="4"/>
  <c r="AH789" i="4"/>
  <c r="AH795" i="4" s="1"/>
  <c r="AH751" i="4"/>
  <c r="AH772" i="4" s="1"/>
  <c r="AH629" i="4"/>
  <c r="AH630" i="4" s="1"/>
  <c r="AH809" i="4" s="1"/>
  <c r="AI622" i="4"/>
  <c r="AI623" i="4" s="1"/>
  <c r="AI789" i="4" s="1"/>
  <c r="AI750" i="4"/>
  <c r="AI763" i="4" s="1"/>
  <c r="AI879" i="4"/>
  <c r="CM37" i="4"/>
  <c r="CM246" i="4"/>
  <c r="CM249" i="4"/>
  <c r="AJ296" i="4"/>
  <c r="AJ304" i="4" s="1"/>
  <c r="AK281" i="4"/>
  <c r="CL153" i="4"/>
  <c r="AJ289" i="4"/>
  <c r="CL39" i="4"/>
  <c r="CL46" i="4" s="1"/>
  <c r="CM18" i="4"/>
  <c r="CM75" i="4"/>
  <c r="CM78" i="4" s="1"/>
  <c r="CM82" i="4"/>
  <c r="AM205" i="4"/>
  <c r="AM255" i="4"/>
  <c r="AM168" i="4"/>
  <c r="AM256" i="4"/>
  <c r="AM160" i="4"/>
  <c r="AM207" i="4"/>
  <c r="AM269" i="4" s="1"/>
  <c r="AM283" i="4" s="1"/>
  <c r="AM174" i="4"/>
  <c r="AM167" i="4"/>
  <c r="AM233" i="4"/>
  <c r="AM175" i="4"/>
  <c r="AM161" i="4"/>
  <c r="AM208" i="4"/>
  <c r="AM232" i="4"/>
  <c r="AM209" i="4"/>
  <c r="AM206" i="4"/>
  <c r="AM231" i="4"/>
  <c r="AM162" i="4"/>
  <c r="AM173" i="4"/>
  <c r="AM257" i="4"/>
  <c r="AM210" i="4"/>
  <c r="AM254" i="4"/>
  <c r="AM166" i="4"/>
  <c r="AM159" i="4"/>
  <c r="AM204" i="4"/>
  <c r="AM234" i="4"/>
  <c r="AM169" i="4"/>
  <c r="AM211" i="4"/>
  <c r="AM176" i="4"/>
  <c r="AN85" i="4"/>
  <c r="CM66" i="4"/>
  <c r="CL43" i="4"/>
  <c r="CL50" i="4" s="1"/>
  <c r="CL636" i="4" s="1"/>
  <c r="AK285" i="4"/>
  <c r="CL199" i="4"/>
  <c r="CM35" i="4"/>
  <c r="CM42" i="4" s="1"/>
  <c r="CM192" i="4"/>
  <c r="CM54" i="62"/>
  <c r="CM226" i="4"/>
  <c r="CL41" i="4"/>
  <c r="CL48" i="4" s="1"/>
  <c r="AH759" i="4"/>
  <c r="AH756" i="4"/>
  <c r="AH758" i="4"/>
  <c r="AH757" i="4"/>
  <c r="CK1183" i="4"/>
  <c r="CN6" i="4"/>
  <c r="CN15" i="4"/>
  <c r="AL235" i="4"/>
  <c r="AL270" i="4"/>
  <c r="AK280" i="4"/>
  <c r="AE118" i="64"/>
  <c r="CL42" i="4"/>
  <c r="CL49" i="4" s="1"/>
  <c r="CM1063" i="4"/>
  <c r="CM1080" i="4"/>
  <c r="CM1066" i="4"/>
  <c r="CM1075" i="4" s="1"/>
  <c r="AJ81" i="11"/>
  <c r="AJ82" i="11" s="1"/>
  <c r="AJ65" i="62"/>
  <c r="AJ1041" i="4"/>
  <c r="AJ33" i="66"/>
  <c r="AJ32" i="66" s="1"/>
  <c r="AJ1241" i="4"/>
  <c r="AJ1214" i="4"/>
  <c r="AI754" i="4"/>
  <c r="AI755" i="4"/>
  <c r="CN1165" i="4"/>
  <c r="CN275" i="4"/>
  <c r="CN288" i="4" s="1"/>
  <c r="CN1166" i="4"/>
  <c r="CN273" i="4"/>
  <c r="CN34" i="66" s="1"/>
  <c r="CN274" i="4"/>
  <c r="AI685" i="4"/>
  <c r="CL542" i="4"/>
  <c r="CM19" i="4"/>
  <c r="AL265" i="4"/>
  <c r="AL163" i="4"/>
  <c r="AE73" i="64"/>
  <c r="AE81" i="64"/>
  <c r="CM1186" i="4"/>
  <c r="CM28" i="66"/>
  <c r="CM295" i="4"/>
  <c r="CM303" i="4" s="1"/>
  <c r="CM1074" i="4"/>
  <c r="CM27" i="66"/>
  <c r="CM57" i="4"/>
  <c r="CM54" i="4" s="1"/>
  <c r="CM65" i="4" s="1"/>
  <c r="CM9" i="62"/>
  <c r="CM9" i="3"/>
  <c r="CM9" i="11"/>
  <c r="CM9" i="64"/>
  <c r="CM33" i="4"/>
  <c r="CM139" i="4"/>
  <c r="CK617" i="4"/>
  <c r="AJ669" i="4"/>
  <c r="AJ677" i="4"/>
  <c r="AI1310" i="4"/>
  <c r="AI1345" i="4"/>
  <c r="CO7" i="66"/>
  <c r="CO6" i="66" s="1"/>
  <c r="L158" i="15" s="1"/>
  <c r="CO7" i="62"/>
  <c r="CO6" i="62" s="1"/>
  <c r="CO8" i="3"/>
  <c r="CO7" i="11"/>
  <c r="CO6" i="11" s="1"/>
  <c r="CO7" i="4"/>
  <c r="CO86" i="64"/>
  <c r="CO87" i="64" s="1"/>
  <c r="CO7" i="64"/>
  <c r="CO6" i="64" s="1"/>
  <c r="CO28" i="64" s="1"/>
  <c r="CO30" i="64" s="1"/>
  <c r="CO53" i="64" s="1"/>
  <c r="CO6" i="3"/>
  <c r="AL271" i="4"/>
  <c r="AL258" i="4"/>
  <c r="CN1332" i="4"/>
  <c r="CM60" i="62"/>
  <c r="CM55" i="4"/>
  <c r="CL53" i="4"/>
  <c r="CM1052" i="4"/>
  <c r="CM58" i="4"/>
  <c r="CM54" i="11"/>
  <c r="CM530" i="4"/>
  <c r="CM540" i="4" s="1"/>
  <c r="CM543" i="4"/>
  <c r="CM62" i="4"/>
  <c r="CM528" i="4" s="1"/>
  <c r="CM747" i="4"/>
  <c r="CM529" i="4"/>
  <c r="CM198" i="4"/>
  <c r="CM36" i="4"/>
  <c r="CM43" i="4" s="1"/>
  <c r="CM50" i="4" s="1"/>
  <c r="CM636" i="4" s="1"/>
  <c r="CM223" i="4"/>
  <c r="AK284" i="4"/>
  <c r="CL83" i="4"/>
  <c r="CL84" i="4" s="1"/>
  <c r="AH767" i="4"/>
  <c r="AH768" i="4"/>
  <c r="AH765" i="4"/>
  <c r="AH766" i="4"/>
  <c r="CM20" i="4"/>
  <c r="CL22" i="4"/>
  <c r="CM21" i="4"/>
  <c r="CM34" i="66"/>
  <c r="I273" i="4"/>
  <c r="AL170" i="4"/>
  <c r="AL266" i="4"/>
  <c r="AC826" i="4"/>
  <c r="AA19" i="11"/>
  <c r="AB927" i="4"/>
  <c r="CL61" i="4"/>
  <c r="CL318" i="4" s="1"/>
  <c r="CM32" i="4"/>
  <c r="CM39" i="4" s="1"/>
  <c r="CM126" i="4"/>
  <c r="CM129" i="4"/>
  <c r="AJ609" i="4"/>
  <c r="AJ627" i="4" s="1"/>
  <c r="AJ810" i="4" s="1"/>
  <c r="AJ815" i="4" s="1"/>
  <c r="AJ749" i="4"/>
  <c r="CL250" i="4"/>
  <c r="CL1183" i="4"/>
  <c r="CN16" i="4"/>
  <c r="CN301" i="3"/>
  <c r="CN188" i="4" s="1"/>
  <c r="CN197" i="4" s="1"/>
  <c r="CN186" i="3"/>
  <c r="CN123" i="4" s="1"/>
  <c r="CN128" i="4" s="1"/>
  <c r="CN299" i="3"/>
  <c r="CN186" i="4" s="1"/>
  <c r="CN195" i="4" s="1"/>
  <c r="CN357" i="3"/>
  <c r="CN243" i="4" s="1"/>
  <c r="CN248" i="4" s="1"/>
  <c r="CN185" i="3"/>
  <c r="CN122" i="4" s="1"/>
  <c r="CN127" i="4" s="1"/>
  <c r="CN241" i="3"/>
  <c r="CN146" i="4" s="1"/>
  <c r="CN151" i="4" s="1"/>
  <c r="CN330" i="3"/>
  <c r="CN219" i="4" s="1"/>
  <c r="CN224" i="4" s="1"/>
  <c r="CN242" i="3"/>
  <c r="CN147" i="4" s="1"/>
  <c r="CN152" i="4" s="1"/>
  <c r="CN298" i="3"/>
  <c r="CN185" i="4" s="1"/>
  <c r="CN194" i="4" s="1"/>
  <c r="CN331" i="3"/>
  <c r="CN220" i="4" s="1"/>
  <c r="CN225" i="4" s="1"/>
  <c r="CN240" i="3"/>
  <c r="CN145" i="4" s="1"/>
  <c r="CN8" i="64"/>
  <c r="CN355" i="3"/>
  <c r="CN241" i="4" s="1"/>
  <c r="CN300" i="3"/>
  <c r="CN187" i="4" s="1"/>
  <c r="CN196" i="4" s="1"/>
  <c r="CN1083" i="4"/>
  <c r="CN184" i="3"/>
  <c r="CN121" i="4" s="1"/>
  <c r="CN356" i="3"/>
  <c r="CN242" i="4" s="1"/>
  <c r="CN247" i="4" s="1"/>
  <c r="CN28" i="4"/>
  <c r="CN217" i="3"/>
  <c r="CN134" i="4" s="1"/>
  <c r="CN139" i="4" s="1"/>
  <c r="CN1106" i="4"/>
  <c r="CN8" i="62"/>
  <c r="CN329" i="3"/>
  <c r="CN218" i="4" s="1"/>
  <c r="CN296" i="3"/>
  <c r="CN183" i="4" s="1"/>
  <c r="CN8" i="11"/>
  <c r="CN8" i="66"/>
  <c r="CN216" i="3"/>
  <c r="CN133" i="4" s="1"/>
  <c r="CN8" i="4"/>
  <c r="CN218" i="3"/>
  <c r="CN135" i="4" s="1"/>
  <c r="CN140" i="4" s="1"/>
  <c r="CN297" i="3"/>
  <c r="CN184" i="4" s="1"/>
  <c r="CN193" i="4" s="1"/>
  <c r="CN30" i="4"/>
  <c r="CM63" i="4" s="1"/>
  <c r="CM1312" i="4" s="1"/>
  <c r="CN29" i="4"/>
  <c r="CN1081" i="4"/>
  <c r="CN1082" i="4" s="1"/>
  <c r="CN1079" i="4"/>
  <c r="CN1107" i="4"/>
  <c r="N19" i="67"/>
  <c r="CL63" i="4"/>
  <c r="CL1312" i="4" s="1"/>
  <c r="CL328" i="4"/>
  <c r="AJ619" i="4"/>
  <c r="AK276" i="4"/>
  <c r="AK334" i="4"/>
  <c r="AK960" i="4" s="1"/>
  <c r="AK279" i="4"/>
  <c r="CM67" i="4"/>
  <c r="CL965" i="4"/>
  <c r="CM68" i="4"/>
  <c r="CL610" i="3"/>
  <c r="CL76" i="4"/>
  <c r="CL77" i="4" s="1"/>
  <c r="CM288" i="4"/>
  <c r="CM329" i="4" s="1"/>
  <c r="CM414" i="4" s="1"/>
  <c r="CM415" i="4" s="1"/>
  <c r="CN413" i="4" s="1"/>
  <c r="I275" i="4"/>
  <c r="AL267" i="4"/>
  <c r="AL177" i="4"/>
  <c r="AG766" i="4"/>
  <c r="AG767" i="4"/>
  <c r="AG765" i="4"/>
  <c r="AG768" i="4"/>
  <c r="AG772" i="4"/>
  <c r="AG771" i="4"/>
  <c r="CL142" i="4"/>
  <c r="CJ662" i="4"/>
  <c r="CM141" i="4"/>
  <c r="CM34" i="4"/>
  <c r="CM150" i="4"/>
  <c r="CM24" i="4"/>
  <c r="AK874" i="4"/>
  <c r="AK878" i="4"/>
  <c r="AK877" i="4"/>
  <c r="AK875" i="4"/>
  <c r="AK1032" i="4"/>
  <c r="AK1033" i="4" s="1"/>
  <c r="AK1034" i="4" s="1"/>
  <c r="AK908" i="4" s="1"/>
  <c r="AK876" i="4"/>
  <c r="AK860" i="4"/>
  <c r="AK861" i="4"/>
  <c r="AK859" i="4"/>
  <c r="AK871" i="4"/>
  <c r="AK862" i="4"/>
  <c r="AK818" i="4"/>
  <c r="AK896" i="4" s="1"/>
  <c r="AK869" i="4"/>
  <c r="AK870" i="4"/>
  <c r="AK606" i="4"/>
  <c r="AK608" i="4" s="1"/>
  <c r="AK613" i="4"/>
  <c r="AK614" i="4" s="1"/>
  <c r="AK620" i="4" s="1"/>
  <c r="AK616" i="4"/>
  <c r="AK667" i="4"/>
  <c r="AK666" i="4"/>
  <c r="AK618" i="4"/>
  <c r="AK668" i="4"/>
  <c r="AL79" i="4"/>
  <c r="AJ866" i="4"/>
  <c r="AJ864" i="4"/>
  <c r="AJ865" i="4"/>
  <c r="AJ863" i="4"/>
  <c r="AK260" i="4"/>
  <c r="AG795" i="4"/>
  <c r="AG794" i="4"/>
  <c r="AG791" i="4"/>
  <c r="AG793" i="4"/>
  <c r="AG792" i="4"/>
  <c r="CK661" i="4"/>
  <c r="CL130" i="4"/>
  <c r="CM70" i="4"/>
  <c r="CM335" i="4"/>
  <c r="CM959" i="4" s="1"/>
  <c r="I274" i="4"/>
  <c r="CM287" i="4"/>
  <c r="CM324" i="4" s="1"/>
  <c r="AL268" i="4"/>
  <c r="AL212" i="4"/>
  <c r="AG682" i="4"/>
  <c r="AG809" i="4"/>
  <c r="CM40" i="4"/>
  <c r="CL40" i="4"/>
  <c r="CL47" i="4" s="1"/>
  <c r="AK282" i="4"/>
  <c r="AE823" i="4" l="1"/>
  <c r="AE826" i="4" s="1"/>
  <c r="AF777" i="4"/>
  <c r="AF823" i="4" s="1"/>
  <c r="AF116" i="64"/>
  <c r="AF120" i="64"/>
  <c r="AF64" i="64" s="1"/>
  <c r="AF72" i="64" s="1"/>
  <c r="CM142" i="4"/>
  <c r="AE121" i="64"/>
  <c r="AH682" i="4"/>
  <c r="AH1050" i="4" s="1"/>
  <c r="AE80" i="64"/>
  <c r="CM199" i="4"/>
  <c r="CM200" i="4" s="1"/>
  <c r="CM227" i="4"/>
  <c r="CN529" i="4"/>
  <c r="AH792" i="4"/>
  <c r="AH791" i="4"/>
  <c r="AH794" i="4"/>
  <c r="CM46" i="4"/>
  <c r="CM49" i="4"/>
  <c r="AH793" i="4"/>
  <c r="CN329" i="4"/>
  <c r="CN414" i="4" s="1"/>
  <c r="CN415" i="4" s="1"/>
  <c r="CO413" i="4" s="1"/>
  <c r="CM9" i="4"/>
  <c r="CM61" i="4"/>
  <c r="CM318" i="4" s="1"/>
  <c r="AI764" i="4"/>
  <c r="AI768" i="4" s="1"/>
  <c r="AI762" i="4"/>
  <c r="AH771" i="4"/>
  <c r="AI629" i="4"/>
  <c r="AI630" i="4" s="1"/>
  <c r="AI809" i="4" s="1"/>
  <c r="AI676" i="4"/>
  <c r="AI680" i="4" s="1"/>
  <c r="AI889" i="4" s="1"/>
  <c r="AI890" i="4" s="1"/>
  <c r="AI891" i="4" s="1"/>
  <c r="AI751" i="4"/>
  <c r="AI772" i="4" s="1"/>
  <c r="AI792" i="4"/>
  <c r="AI793" i="4"/>
  <c r="AI795" i="4"/>
  <c r="AI791" i="4"/>
  <c r="AI794" i="4"/>
  <c r="AK619" i="4"/>
  <c r="AK628" i="4" s="1"/>
  <c r="AJ879" i="4"/>
  <c r="AF118" i="64"/>
  <c r="CM654" i="4"/>
  <c r="CM655" i="4"/>
  <c r="CM637" i="4"/>
  <c r="AG44" i="11"/>
  <c r="AG684" i="4"/>
  <c r="AG956" i="4" s="1"/>
  <c r="AG1050" i="4"/>
  <c r="AG992" i="4"/>
  <c r="AG1257" i="4"/>
  <c r="AG928" i="4"/>
  <c r="AG69" i="11"/>
  <c r="AG1215" i="4"/>
  <c r="AK677" i="4"/>
  <c r="AK669" i="4"/>
  <c r="CN36" i="4"/>
  <c r="CN223" i="4"/>
  <c r="CN70" i="4"/>
  <c r="CO6" i="4"/>
  <c r="CO15" i="4"/>
  <c r="AH774" i="4"/>
  <c r="AH113" i="64" s="1"/>
  <c r="AH773" i="4"/>
  <c r="AH112" i="64" s="1"/>
  <c r="AH776" i="4"/>
  <c r="AH115" i="64" s="1"/>
  <c r="AH775" i="4"/>
  <c r="AH114" i="64" s="1"/>
  <c r="AI759" i="4"/>
  <c r="AI758" i="4"/>
  <c r="AI757" i="4"/>
  <c r="AI756" i="4"/>
  <c r="CL154" i="4"/>
  <c r="CM44" i="4"/>
  <c r="CM51" i="4" s="1"/>
  <c r="CM965" i="4"/>
  <c r="CN68" i="4"/>
  <c r="CN67" i="4"/>
  <c r="CM610" i="3"/>
  <c r="CN54" i="62"/>
  <c r="CN37" i="4"/>
  <c r="CN44" i="4" s="1"/>
  <c r="CN246" i="4"/>
  <c r="AJ755" i="4"/>
  <c r="AJ754" i="4"/>
  <c r="CM22" i="4"/>
  <c r="CN21" i="4"/>
  <c r="AL285" i="4"/>
  <c r="CL56" i="4"/>
  <c r="AJ1345" i="4"/>
  <c r="AJ1310" i="4"/>
  <c r="CN141" i="4"/>
  <c r="CN249" i="4"/>
  <c r="AL280" i="4"/>
  <c r="CO186" i="3"/>
  <c r="CO331" i="3"/>
  <c r="CO216" i="3"/>
  <c r="CO218" i="3"/>
  <c r="CO240" i="3"/>
  <c r="CO1106" i="4"/>
  <c r="G1106" i="4" s="1"/>
  <c r="CO8" i="64"/>
  <c r="CO241" i="3"/>
  <c r="CO28" i="4"/>
  <c r="CO242" i="3"/>
  <c r="CO300" i="3"/>
  <c r="CO357" i="3"/>
  <c r="CO184" i="3"/>
  <c r="CO1083" i="4"/>
  <c r="G1083" i="4" s="1"/>
  <c r="CO301" i="3"/>
  <c r="CO8" i="4"/>
  <c r="CO217" i="3"/>
  <c r="CO356" i="3"/>
  <c r="CO298" i="3"/>
  <c r="CO299" i="3"/>
  <c r="CO185" i="3"/>
  <c r="CO8" i="11"/>
  <c r="CO16" i="4"/>
  <c r="G16" i="4" s="1"/>
  <c r="CO8" i="62"/>
  <c r="CO355" i="3"/>
  <c r="CO329" i="3"/>
  <c r="CO330" i="3"/>
  <c r="CO296" i="3"/>
  <c r="CO297" i="3"/>
  <c r="CO8" i="66"/>
  <c r="CO30" i="4"/>
  <c r="CO70" i="4" s="1"/>
  <c r="G70" i="4" s="1"/>
  <c r="CO29" i="4"/>
  <c r="CO1107" i="4"/>
  <c r="CO1079" i="4"/>
  <c r="CO1081" i="4"/>
  <c r="O9" i="67"/>
  <c r="P9" i="72"/>
  <c r="O9" i="72"/>
  <c r="M9" i="67"/>
  <c r="M9" i="72"/>
  <c r="N9" i="67"/>
  <c r="P9" i="67"/>
  <c r="T9" i="67"/>
  <c r="R9" i="67"/>
  <c r="Q9" i="72"/>
  <c r="L9" i="67"/>
  <c r="Q9" i="67"/>
  <c r="N9" i="72"/>
  <c r="L9" i="72"/>
  <c r="T9" i="72"/>
  <c r="R9" i="72"/>
  <c r="S9" i="67"/>
  <c r="S9" i="72"/>
  <c r="U9" i="72"/>
  <c r="U9" i="67"/>
  <c r="W9" i="67"/>
  <c r="V9" i="67"/>
  <c r="X9" i="67"/>
  <c r="X9" i="72"/>
  <c r="AA9" i="67"/>
  <c r="Y9" i="72"/>
  <c r="Y9" i="67"/>
  <c r="Z9" i="67"/>
  <c r="Z9" i="72"/>
  <c r="AB9" i="67"/>
  <c r="AB9" i="72"/>
  <c r="AC9" i="67"/>
  <c r="AD9" i="72"/>
  <c r="AC9" i="72"/>
  <c r="AD9" i="67"/>
  <c r="AF9" i="72"/>
  <c r="AE9" i="67"/>
  <c r="AE9" i="72"/>
  <c r="AF1450" i="4"/>
  <c r="AG9" i="72"/>
  <c r="AF1448" i="4"/>
  <c r="AH9" i="72"/>
  <c r="AI9" i="72"/>
  <c r="AF34" i="67"/>
  <c r="AJ9" i="72"/>
  <c r="AF31" i="67"/>
  <c r="AF30" i="67" s="1"/>
  <c r="AF21" i="67"/>
  <c r="AF27" i="67"/>
  <c r="AF15" i="67"/>
  <c r="AF28" i="67"/>
  <c r="AF26" i="67"/>
  <c r="AF25" i="67" s="1"/>
  <c r="AF9" i="67"/>
  <c r="AG1450" i="4"/>
  <c r="AF35" i="67"/>
  <c r="AF20" i="67"/>
  <c r="AF19" i="67"/>
  <c r="AF18" i="67"/>
  <c r="AF17" i="67" s="1"/>
  <c r="AF14" i="67"/>
  <c r="AF13" i="67" s="1"/>
  <c r="AJ1448" i="4"/>
  <c r="AG1448" i="4"/>
  <c r="AG14" i="67"/>
  <c r="AG13" i="67" s="1"/>
  <c r="AG15" i="67"/>
  <c r="AG26" i="67"/>
  <c r="AI27" i="67"/>
  <c r="AG20" i="67"/>
  <c r="AG35" i="67"/>
  <c r="AI1448" i="4"/>
  <c r="AI26" i="67"/>
  <c r="AG21" i="67"/>
  <c r="AG27" i="67"/>
  <c r="AG19" i="67"/>
  <c r="AI15" i="67"/>
  <c r="AI18" i="67"/>
  <c r="AI21" i="67"/>
  <c r="AH21" i="67"/>
  <c r="AH14" i="67"/>
  <c r="AL9" i="72"/>
  <c r="AI20" i="67"/>
  <c r="AH31" i="67"/>
  <c r="AH30" i="67" s="1"/>
  <c r="AH15" i="67"/>
  <c r="AI9" i="67"/>
  <c r="AI1450" i="4"/>
  <c r="AK9" i="72"/>
  <c r="AH35" i="67"/>
  <c r="AG18" i="67"/>
  <c r="AG17" i="67" s="1"/>
  <c r="AG23" i="67" s="1"/>
  <c r="AI31" i="67"/>
  <c r="AI30" i="67" s="1"/>
  <c r="AG34" i="67"/>
  <c r="AG33" i="67" s="1"/>
  <c r="AG9" i="67"/>
  <c r="AH27" i="67"/>
  <c r="AH1448" i="4"/>
  <c r="AG28" i="67"/>
  <c r="AH1450" i="4"/>
  <c r="AH18" i="67"/>
  <c r="AI19" i="67"/>
  <c r="AI17" i="67" s="1"/>
  <c r="AI35" i="67"/>
  <c r="AH34" i="67"/>
  <c r="AH26" i="67"/>
  <c r="AH9" i="67"/>
  <c r="AH19" i="67"/>
  <c r="AI14" i="67"/>
  <c r="AI13" i="67" s="1"/>
  <c r="AI28" i="67"/>
  <c r="AG31" i="67"/>
  <c r="AG30" i="67" s="1"/>
  <c r="AI34" i="67"/>
  <c r="AH20" i="67"/>
  <c r="AH28" i="67"/>
  <c r="AJ1450" i="4"/>
  <c r="AN18" i="67"/>
  <c r="AK34" i="67"/>
  <c r="AJ20" i="67"/>
  <c r="AK15" i="67"/>
  <c r="AK21" i="67"/>
  <c r="AK1450" i="4"/>
  <c r="AJ21" i="67"/>
  <c r="AJ31" i="67"/>
  <c r="AJ30" i="67" s="1"/>
  <c r="AJ28" i="67"/>
  <c r="AJ27" i="67"/>
  <c r="AK20" i="67"/>
  <c r="AK28" i="67"/>
  <c r="AK1448" i="4"/>
  <c r="AL1448" i="4"/>
  <c r="AJ19" i="67"/>
  <c r="AL1450" i="4"/>
  <c r="AJ26" i="67"/>
  <c r="AJ34" i="67"/>
  <c r="AJ9" i="67"/>
  <c r="AK18" i="67"/>
  <c r="AK9" i="67"/>
  <c r="AK27" i="67"/>
  <c r="AM9" i="72"/>
  <c r="AJ18" i="67"/>
  <c r="AJ17" i="67" s="1"/>
  <c r="AK26" i="67"/>
  <c r="AK25" i="67" s="1"/>
  <c r="AJ15" i="67"/>
  <c r="AJ35" i="67"/>
  <c r="AJ14" i="67"/>
  <c r="AN9" i="72"/>
  <c r="AK19" i="67"/>
  <c r="AK17" i="67" s="1"/>
  <c r="AK31" i="67"/>
  <c r="AK30" i="67" s="1"/>
  <c r="AK35" i="67"/>
  <c r="AK14" i="67"/>
  <c r="AK13" i="67" s="1"/>
  <c r="AK23" i="67" s="1"/>
  <c r="AL14" i="67"/>
  <c r="AM20" i="67"/>
  <c r="AM27" i="67"/>
  <c r="AL31" i="67"/>
  <c r="AL30" i="67" s="1"/>
  <c r="AL19" i="67"/>
  <c r="AL27" i="67"/>
  <c r="AN19" i="67"/>
  <c r="AN21" i="67"/>
  <c r="AM28" i="67"/>
  <c r="AL9" i="67"/>
  <c r="AM18" i="67"/>
  <c r="AM1448" i="4"/>
  <c r="AM34" i="67"/>
  <c r="AN9" i="67"/>
  <c r="AN28" i="67"/>
  <c r="AN1450" i="4"/>
  <c r="AM21" i="67"/>
  <c r="AL26" i="67"/>
  <c r="AL20" i="67"/>
  <c r="AM14" i="67"/>
  <c r="AR1450" i="4"/>
  <c r="AM19" i="67"/>
  <c r="AM15" i="67"/>
  <c r="AM31" i="67"/>
  <c r="AM30" i="67" s="1"/>
  <c r="AN15" i="67"/>
  <c r="AN27" i="67"/>
  <c r="AM26" i="67"/>
  <c r="AM1450" i="4"/>
  <c r="AL28" i="67"/>
  <c r="AL15" i="67"/>
  <c r="AL34" i="67"/>
  <c r="AL33" i="67" s="1"/>
  <c r="AL35" i="67"/>
  <c r="AN14" i="67"/>
  <c r="AN13" i="67" s="1"/>
  <c r="AN1448" i="4"/>
  <c r="AP9" i="72"/>
  <c r="AM35" i="67"/>
  <c r="AM9" i="67"/>
  <c r="AL18" i="67"/>
  <c r="AL21" i="67"/>
  <c r="AN20" i="67"/>
  <c r="AO9" i="72"/>
  <c r="AO34" i="67"/>
  <c r="AQ34" i="67"/>
  <c r="AN34" i="67"/>
  <c r="AO14" i="67"/>
  <c r="AS9" i="72"/>
  <c r="AR9" i="72"/>
  <c r="AQ14" i="67"/>
  <c r="AO26" i="67"/>
  <c r="AO15" i="67"/>
  <c r="AQ21" i="67"/>
  <c r="AO20" i="67"/>
  <c r="AP1450" i="4"/>
  <c r="AO18" i="67"/>
  <c r="AQ18" i="67"/>
  <c r="AQ17" i="67" s="1"/>
  <c r="AQ9" i="72"/>
  <c r="AQ35" i="67"/>
  <c r="AQ33" i="67" s="1"/>
  <c r="AO28" i="67"/>
  <c r="AQ20" i="67"/>
  <c r="AN31" i="67"/>
  <c r="AN30" i="67" s="1"/>
  <c r="AN35" i="67"/>
  <c r="AO27" i="67"/>
  <c r="AN26" i="67"/>
  <c r="AN25" i="67" s="1"/>
  <c r="AO35" i="67"/>
  <c r="AP1448" i="4"/>
  <c r="AQ9" i="67"/>
  <c r="AQ19" i="67"/>
  <c r="AR26" i="67"/>
  <c r="AQ15" i="67"/>
  <c r="AO21" i="67"/>
  <c r="AO1450" i="4"/>
  <c r="AO1448" i="4"/>
  <c r="AO9" i="67"/>
  <c r="AO19" i="67"/>
  <c r="AO17" i="67" s="1"/>
  <c r="AO31" i="67"/>
  <c r="AO30" i="67" s="1"/>
  <c r="AQ28" i="67"/>
  <c r="AQ31" i="67"/>
  <c r="AQ30" i="67" s="1"/>
  <c r="AR1448" i="4"/>
  <c r="AR35" i="67"/>
  <c r="AR15" i="67"/>
  <c r="AQ27" i="67"/>
  <c r="AP9" i="67"/>
  <c r="AP15" i="67"/>
  <c r="AR18" i="67"/>
  <c r="AR14" i="67"/>
  <c r="AP34" i="67"/>
  <c r="AR21" i="67"/>
  <c r="AT9" i="72"/>
  <c r="AU26" i="67"/>
  <c r="AP21" i="67"/>
  <c r="AQ1450" i="4"/>
  <c r="AR27" i="67"/>
  <c r="AP26" i="67"/>
  <c r="AP19" i="67"/>
  <c r="AP18" i="67"/>
  <c r="AU9" i="72"/>
  <c r="AP31" i="67"/>
  <c r="AP30" i="67" s="1"/>
  <c r="AP14" i="67"/>
  <c r="AP13" i="67" s="1"/>
  <c r="AR20" i="67"/>
  <c r="AP27" i="67"/>
  <c r="AQ26" i="67"/>
  <c r="AR34" i="67"/>
  <c r="AR33" i="67" s="1"/>
  <c r="AQ1448" i="4"/>
  <c r="AP28" i="67"/>
  <c r="AP35" i="67"/>
  <c r="AR19" i="67"/>
  <c r="AR28" i="67"/>
  <c r="AR31" i="67"/>
  <c r="AR30" i="67" s="1"/>
  <c r="AR9" i="67"/>
  <c r="AP20" i="67"/>
  <c r="AS14" i="67"/>
  <c r="AX9" i="72"/>
  <c r="AT31" i="67"/>
  <c r="AT30" i="67" s="1"/>
  <c r="AS34" i="67"/>
  <c r="AT9" i="67"/>
  <c r="AS9" i="67"/>
  <c r="AT18" i="67"/>
  <c r="AW9" i="72"/>
  <c r="AU19" i="67"/>
  <c r="AV9" i="72"/>
  <c r="AU31" i="67"/>
  <c r="AU30" i="67" s="1"/>
  <c r="AS31" i="67"/>
  <c r="AS30" i="67" s="1"/>
  <c r="AT35" i="67"/>
  <c r="AS21" i="67"/>
  <c r="AU18" i="67"/>
  <c r="AU1448" i="4"/>
  <c r="AT26" i="67"/>
  <c r="AU35" i="67"/>
  <c r="AT15" i="67"/>
  <c r="AS26" i="67"/>
  <c r="AU14" i="67"/>
  <c r="AS20" i="67"/>
  <c r="AS1448" i="4"/>
  <c r="AS28" i="67"/>
  <c r="AT1448" i="4"/>
  <c r="AS1450" i="4"/>
  <c r="AU27" i="67"/>
  <c r="AT1450" i="4"/>
  <c r="AT20" i="67"/>
  <c r="AT21" i="67"/>
  <c r="AU9" i="67"/>
  <c r="AS15" i="67"/>
  <c r="AU1450" i="4"/>
  <c r="AX1450" i="4"/>
  <c r="AU20" i="67"/>
  <c r="AU17" i="67" s="1"/>
  <c r="AT27" i="67"/>
  <c r="AT14" i="67"/>
  <c r="AU21" i="67"/>
  <c r="AU15" i="67"/>
  <c r="AT34" i="67"/>
  <c r="AT33" i="67" s="1"/>
  <c r="AS19" i="67"/>
  <c r="AT28" i="67"/>
  <c r="AS35" i="67"/>
  <c r="AS27" i="67"/>
  <c r="AT19" i="67"/>
  <c r="AS18" i="67"/>
  <c r="AU28" i="67"/>
  <c r="AV26" i="67"/>
  <c r="AV1450" i="4"/>
  <c r="AW21" i="67"/>
  <c r="AV9" i="67"/>
  <c r="AV34" i="67"/>
  <c r="AW1450" i="4"/>
  <c r="AV14" i="67"/>
  <c r="AY9" i="72"/>
  <c r="AW1448" i="4"/>
  <c r="AV21" i="67"/>
  <c r="AV31" i="67"/>
  <c r="AV30" i="67" s="1"/>
  <c r="AX1448" i="4"/>
  <c r="AW20" i="67"/>
  <c r="AV27" i="67"/>
  <c r="AW9" i="67"/>
  <c r="AW31" i="67"/>
  <c r="AW30" i="67" s="1"/>
  <c r="AV15" i="67"/>
  <c r="AW26" i="67"/>
  <c r="AV35" i="67"/>
  <c r="AU34" i="67"/>
  <c r="AU33" i="67" s="1"/>
  <c r="AV19" i="67"/>
  <c r="AW27" i="67"/>
  <c r="AW35" i="67"/>
  <c r="AV20" i="67"/>
  <c r="AV28" i="67"/>
  <c r="AW34" i="67"/>
  <c r="AW33" i="67" s="1"/>
  <c r="AV1448" i="4"/>
  <c r="AV18" i="67"/>
  <c r="AX20" i="67"/>
  <c r="AX27" i="67"/>
  <c r="AY18" i="67"/>
  <c r="AW14" i="67"/>
  <c r="AY1450" i="4"/>
  <c r="AY27" i="67"/>
  <c r="AY9" i="67"/>
  <c r="AX21" i="67"/>
  <c r="AX15" i="67"/>
  <c r="AY14" i="67"/>
  <c r="AW18" i="67"/>
  <c r="AX35" i="67"/>
  <c r="AY35" i="67"/>
  <c r="AW15" i="67"/>
  <c r="AW13" i="67" s="1"/>
  <c r="AX34" i="67"/>
  <c r="AX33" i="67" s="1"/>
  <c r="AX9" i="67"/>
  <c r="AX31" i="67"/>
  <c r="AX30" i="67" s="1"/>
  <c r="AX28" i="67"/>
  <c r="AX19" i="67"/>
  <c r="AX26" i="67"/>
  <c r="AZ9" i="72"/>
  <c r="AZ1450" i="4"/>
  <c r="AW19" i="67"/>
  <c r="AY1448" i="4"/>
  <c r="AY15" i="67"/>
  <c r="BA9" i="72"/>
  <c r="AY19" i="67"/>
  <c r="AY31" i="67"/>
  <c r="AY30" i="67" s="1"/>
  <c r="AX18" i="67"/>
  <c r="AY34" i="67"/>
  <c r="AY33" i="67" s="1"/>
  <c r="AY28" i="67"/>
  <c r="AY26" i="67"/>
  <c r="AX14" i="67"/>
  <c r="AX13" i="67" s="1"/>
  <c r="AW28" i="67"/>
  <c r="AZ1448" i="4"/>
  <c r="AY20" i="67"/>
  <c r="AY21" i="67"/>
  <c r="AZ20" i="67"/>
  <c r="BC9" i="72"/>
  <c r="AZ35" i="67"/>
  <c r="BD9" i="72"/>
  <c r="BA1448" i="4"/>
  <c r="AZ14" i="67"/>
  <c r="AZ27" i="67"/>
  <c r="AZ19" i="67"/>
  <c r="BB9" i="72"/>
  <c r="BA1450" i="4"/>
  <c r="AZ26" i="67"/>
  <c r="BC15" i="67"/>
  <c r="AZ15" i="67"/>
  <c r="AZ18" i="67"/>
  <c r="AZ9" i="67"/>
  <c r="AZ28" i="67"/>
  <c r="AZ34" i="67"/>
  <c r="AZ21" i="67"/>
  <c r="AZ31" i="67"/>
  <c r="AZ30" i="67" s="1"/>
  <c r="BE20" i="67"/>
  <c r="BE27" i="67"/>
  <c r="BA31" i="67"/>
  <c r="BA30" i="67" s="1"/>
  <c r="BB35" i="67"/>
  <c r="BA35" i="67"/>
  <c r="BB34" i="67"/>
  <c r="BB33" i="67" s="1"/>
  <c r="BB31" i="67"/>
  <c r="BB30" i="67" s="1"/>
  <c r="BD1450" i="4"/>
  <c r="BB14" i="67"/>
  <c r="BB1448" i="4"/>
  <c r="BE9" i="72"/>
  <c r="BC9" i="67"/>
  <c r="BB20" i="67"/>
  <c r="BC26" i="67"/>
  <c r="BA26" i="67"/>
  <c r="BB1450" i="4"/>
  <c r="BA18" i="67"/>
  <c r="BE34" i="67"/>
  <c r="BF9" i="72"/>
  <c r="BA19" i="67"/>
  <c r="BA20" i="67"/>
  <c r="BC28" i="67"/>
  <c r="BC1450" i="4"/>
  <c r="BB28" i="67"/>
  <c r="BC14" i="67"/>
  <c r="BB27" i="67"/>
  <c r="BA21" i="67"/>
  <c r="BA28" i="67"/>
  <c r="BB9" i="67"/>
  <c r="BE26" i="67"/>
  <c r="BA14" i="67"/>
  <c r="BB19" i="67"/>
  <c r="BA15" i="67"/>
  <c r="BA9" i="67"/>
  <c r="BG9" i="72"/>
  <c r="BC21" i="67"/>
  <c r="BC35" i="67"/>
  <c r="BB18" i="67"/>
  <c r="BB15" i="67"/>
  <c r="BB13" i="67" s="1"/>
  <c r="BC18" i="67"/>
  <c r="BC1448" i="4"/>
  <c r="BC34" i="67"/>
  <c r="BB21" i="67"/>
  <c r="BB26" i="67"/>
  <c r="BC19" i="67"/>
  <c r="BA27" i="67"/>
  <c r="BA34" i="67"/>
  <c r="BA33" i="67" s="1"/>
  <c r="BE21" i="67"/>
  <c r="BE31" i="67"/>
  <c r="BE30" i="67" s="1"/>
  <c r="BH14" i="67"/>
  <c r="BE9" i="67"/>
  <c r="BE35" i="67"/>
  <c r="BE19" i="67"/>
  <c r="BD20" i="67"/>
  <c r="BE15" i="67"/>
  <c r="BD21" i="67"/>
  <c r="BD14" i="67"/>
  <c r="BD13" i="67" s="1"/>
  <c r="BC31" i="67"/>
  <c r="BC30" i="67" s="1"/>
  <c r="BF1450" i="4"/>
  <c r="BC27" i="67"/>
  <c r="BD28" i="67"/>
  <c r="BD31" i="67"/>
  <c r="BD30" i="67" s="1"/>
  <c r="BD27" i="67"/>
  <c r="BD1448" i="4"/>
  <c r="BE1450" i="4"/>
  <c r="BD35" i="67"/>
  <c r="BE14" i="67"/>
  <c r="BD15" i="67"/>
  <c r="BD34" i="67"/>
  <c r="BD33" i="67" s="1"/>
  <c r="BC20" i="67"/>
  <c r="BE18" i="67"/>
  <c r="BD18" i="67"/>
  <c r="BD9" i="67"/>
  <c r="BE28" i="67"/>
  <c r="BD19" i="67"/>
  <c r="BD26" i="67"/>
  <c r="BE1448" i="4"/>
  <c r="BH9" i="72"/>
  <c r="BF1448" i="4"/>
  <c r="BK9" i="72"/>
  <c r="BG14" i="67"/>
  <c r="BG13" i="67" s="1"/>
  <c r="BJ9" i="72"/>
  <c r="BH1450" i="4"/>
  <c r="BH9" i="67"/>
  <c r="BH31" i="67"/>
  <c r="BH30" i="67" s="1"/>
  <c r="BF15" i="67"/>
  <c r="BF34" i="67"/>
  <c r="BF35" i="67"/>
  <c r="BG34" i="67"/>
  <c r="BH15" i="67"/>
  <c r="BF27" i="67"/>
  <c r="BH1448" i="4"/>
  <c r="BF20" i="67"/>
  <c r="BG9" i="67"/>
  <c r="BG1448" i="4"/>
  <c r="BG20" i="67"/>
  <c r="BF14" i="67"/>
  <c r="BH18" i="67"/>
  <c r="BG15" i="67"/>
  <c r="BG28" i="67"/>
  <c r="BF21" i="67"/>
  <c r="BH21" i="67"/>
  <c r="BG18" i="67"/>
  <c r="BF9" i="67"/>
  <c r="BH34" i="67"/>
  <c r="BF31" i="67"/>
  <c r="BF30" i="67" s="1"/>
  <c r="BG19" i="67"/>
  <c r="BG26" i="67"/>
  <c r="BF28" i="67"/>
  <c r="BI9" i="72"/>
  <c r="BG35" i="67"/>
  <c r="BG21" i="67"/>
  <c r="BG27" i="67"/>
  <c r="BF18" i="67"/>
  <c r="BF26" i="67"/>
  <c r="BG31" i="67"/>
  <c r="BG30" i="67" s="1"/>
  <c r="BG1450" i="4"/>
  <c r="BH26" i="67"/>
  <c r="BF19" i="67"/>
  <c r="BN9" i="72"/>
  <c r="BJ35" i="67"/>
  <c r="BI19" i="67"/>
  <c r="BM31" i="67"/>
  <c r="BM30" i="67" s="1"/>
  <c r="BI1450" i="4"/>
  <c r="BI21" i="67"/>
  <c r="BJ1448" i="4"/>
  <c r="BI34" i="67"/>
  <c r="BH28" i="67"/>
  <c r="BJ34" i="67"/>
  <c r="BJ33" i="67" s="1"/>
  <c r="BJ14" i="67"/>
  <c r="BH27" i="67"/>
  <c r="BJ28" i="67"/>
  <c r="BJ18" i="67"/>
  <c r="BJ19" i="67"/>
  <c r="BI26" i="67"/>
  <c r="BI14" i="67"/>
  <c r="BK1448" i="4"/>
  <c r="BJ15" i="67"/>
  <c r="BK1450" i="4"/>
  <c r="BH20" i="67"/>
  <c r="BI27" i="67"/>
  <c r="BJ27" i="67"/>
  <c r="BL9" i="72"/>
  <c r="BM9" i="72"/>
  <c r="BJ9" i="67"/>
  <c r="BI28" i="67"/>
  <c r="BI18" i="67"/>
  <c r="BI9" i="67"/>
  <c r="BI15" i="67"/>
  <c r="BI35" i="67"/>
  <c r="BI20" i="67"/>
  <c r="BL15" i="67"/>
  <c r="BK21" i="67"/>
  <c r="BL27" i="67"/>
  <c r="BK35" i="67"/>
  <c r="BK20" i="67"/>
  <c r="BK27" i="67"/>
  <c r="BL26" i="67"/>
  <c r="BH19" i="67"/>
  <c r="BJ31" i="67"/>
  <c r="BJ30" i="67" s="1"/>
  <c r="BM35" i="67"/>
  <c r="BK19" i="67"/>
  <c r="BJ21" i="67"/>
  <c r="BL34" i="67"/>
  <c r="BL20" i="67"/>
  <c r="BK28" i="67"/>
  <c r="BI1448" i="4"/>
  <c r="BH35" i="67"/>
  <c r="BL19" i="67"/>
  <c r="BL1450" i="4"/>
  <c r="BJ26" i="67"/>
  <c r="BK18" i="67"/>
  <c r="BO9" i="72"/>
  <c r="BI31" i="67"/>
  <c r="BI30" i="67" s="1"/>
  <c r="BM1450" i="4"/>
  <c r="BJ20" i="67"/>
  <c r="BJ17" i="67" s="1"/>
  <c r="BL1448" i="4"/>
  <c r="BJ1450" i="4"/>
  <c r="BK9" i="67"/>
  <c r="BM26" i="67"/>
  <c r="BN26" i="67"/>
  <c r="BN1448" i="4"/>
  <c r="BL14" i="67"/>
  <c r="BL18" i="67"/>
  <c r="BM21" i="67"/>
  <c r="BK31" i="67"/>
  <c r="BK30" i="67" s="1"/>
  <c r="BM14" i="67"/>
  <c r="BL21" i="67"/>
  <c r="BM1448" i="4"/>
  <c r="BL31" i="67"/>
  <c r="BL30" i="67" s="1"/>
  <c r="BL28" i="67"/>
  <c r="BM19" i="67"/>
  <c r="BN15" i="67"/>
  <c r="BN27" i="67"/>
  <c r="BM18" i="67"/>
  <c r="BN14" i="67"/>
  <c r="BP9" i="72"/>
  <c r="BL9" i="67"/>
  <c r="BM20" i="67"/>
  <c r="BN9" i="67"/>
  <c r="BM28" i="67"/>
  <c r="BK34" i="67"/>
  <c r="BN31" i="67"/>
  <c r="BN30" i="67" s="1"/>
  <c r="BK26" i="67"/>
  <c r="BM27" i="67"/>
  <c r="BN19" i="67"/>
  <c r="BN17" i="67" s="1"/>
  <c r="BM9" i="67"/>
  <c r="BK15" i="67"/>
  <c r="BL35" i="67"/>
  <c r="BN20" i="67"/>
  <c r="BN18" i="67"/>
  <c r="BK14" i="67"/>
  <c r="BO27" i="67"/>
  <c r="BO28" i="67"/>
  <c r="BO31" i="67"/>
  <c r="BO30" i="67" s="1"/>
  <c r="BQ9" i="72"/>
  <c r="BM15" i="67"/>
  <c r="BP1448" i="4"/>
  <c r="BN35" i="67"/>
  <c r="BP9" i="67"/>
  <c r="BN21" i="67"/>
  <c r="BM34" i="67"/>
  <c r="BM33" i="67" s="1"/>
  <c r="BO26" i="67"/>
  <c r="BO1450" i="4"/>
  <c r="BO14" i="67"/>
  <c r="BO1448" i="4"/>
  <c r="BN1450" i="4"/>
  <c r="BO18" i="67"/>
  <c r="BO9" i="67"/>
  <c r="BP1450" i="4"/>
  <c r="BN34" i="67"/>
  <c r="BN33" i="67" s="1"/>
  <c r="BN28" i="67"/>
  <c r="BO15" i="67"/>
  <c r="BO20" i="67"/>
  <c r="BP31" i="67"/>
  <c r="BP30" i="67" s="1"/>
  <c r="BP14" i="67"/>
  <c r="BQ1450" i="4"/>
  <c r="BP18" i="67"/>
  <c r="BO35" i="67"/>
  <c r="BP34" i="67"/>
  <c r="BR9" i="72"/>
  <c r="BP27" i="67"/>
  <c r="BO34" i="67"/>
  <c r="BP21" i="67"/>
  <c r="BP26" i="67"/>
  <c r="BO21" i="67"/>
  <c r="BQ31" i="67"/>
  <c r="BQ30" i="67" s="1"/>
  <c r="BP35" i="67"/>
  <c r="BP28" i="67"/>
  <c r="BO19" i="67"/>
  <c r="BP19" i="67"/>
  <c r="BU9" i="72"/>
  <c r="BQ27" i="67"/>
  <c r="BR1450" i="4"/>
  <c r="BQ28" i="67"/>
  <c r="BQ1448" i="4"/>
  <c r="BP20" i="67"/>
  <c r="BQ21" i="67"/>
  <c r="BP15" i="67"/>
  <c r="BQ19" i="67"/>
  <c r="BQ20" i="67"/>
  <c r="BR1448" i="4"/>
  <c r="BQ35" i="67"/>
  <c r="BQ14" i="67"/>
  <c r="BQ13" i="67" s="1"/>
  <c r="BQ18" i="67"/>
  <c r="BQ15" i="67"/>
  <c r="BS9" i="72"/>
  <c r="BQ9" i="67"/>
  <c r="BQ34" i="67"/>
  <c r="BQ26" i="67"/>
  <c r="BQ25" i="67" s="1"/>
  <c r="BV9" i="72"/>
  <c r="BR20" i="67"/>
  <c r="BR28" i="67"/>
  <c r="BR26" i="67"/>
  <c r="BT9" i="72"/>
  <c r="BR14" i="67"/>
  <c r="BR31" i="67"/>
  <c r="BR30" i="67" s="1"/>
  <c r="BS1448" i="4"/>
  <c r="BR35" i="67"/>
  <c r="BR18" i="67"/>
  <c r="BR27" i="67"/>
  <c r="BR34" i="67"/>
  <c r="BR15" i="67"/>
  <c r="BR13" i="67" s="1"/>
  <c r="BR19" i="67"/>
  <c r="BT28" i="67"/>
  <c r="BR21" i="67"/>
  <c r="BR9" i="67"/>
  <c r="BT21" i="67"/>
  <c r="BS1450" i="4"/>
  <c r="BT15" i="67"/>
  <c r="BS21" i="67"/>
  <c r="BU1448" i="4"/>
  <c r="BS20" i="67"/>
  <c r="BW9" i="72"/>
  <c r="BS14" i="67"/>
  <c r="BT19" i="67"/>
  <c r="BT34" i="67"/>
  <c r="BT33" i="67" s="1"/>
  <c r="BS9" i="67"/>
  <c r="BS26" i="67"/>
  <c r="BT20" i="67"/>
  <c r="BS15" i="67"/>
  <c r="BS31" i="67"/>
  <c r="BS30" i="67" s="1"/>
  <c r="BS35" i="67"/>
  <c r="BS34" i="67"/>
  <c r="V9" i="72"/>
  <c r="BT35" i="67"/>
  <c r="BT1450" i="4"/>
  <c r="BT31" i="67"/>
  <c r="BT30" i="67" s="1"/>
  <c r="BV1450" i="4"/>
  <c r="BT14" i="67"/>
  <c r="BT13" i="67" s="1"/>
  <c r="BS28" i="67"/>
  <c r="BW35" i="67"/>
  <c r="BV1448" i="4"/>
  <c r="BS27" i="67"/>
  <c r="BU1450" i="4"/>
  <c r="BT18" i="67"/>
  <c r="BT27" i="67"/>
  <c r="BT9" i="67"/>
  <c r="BT26" i="67"/>
  <c r="BS18" i="67"/>
  <c r="BS17" i="67" s="1"/>
  <c r="BT1448" i="4"/>
  <c r="BS19" i="67"/>
  <c r="BV21" i="67"/>
  <c r="BV26" i="67"/>
  <c r="BW18" i="67"/>
  <c r="BV28" i="67"/>
  <c r="BU34" i="67"/>
  <c r="BU18" i="67"/>
  <c r="BW14" i="67"/>
  <c r="BV27" i="67"/>
  <c r="BZ26" i="67"/>
  <c r="BW1448" i="4"/>
  <c r="BW1450" i="4"/>
  <c r="BV14" i="67"/>
  <c r="BU19" i="67"/>
  <c r="BU28" i="67"/>
  <c r="BY9" i="72"/>
  <c r="BU26" i="67"/>
  <c r="BU15" i="67"/>
  <c r="BW31" i="67"/>
  <c r="BW30" i="67" s="1"/>
  <c r="BV20" i="67"/>
  <c r="BU14" i="67"/>
  <c r="BU13" i="67" s="1"/>
  <c r="BW15" i="67"/>
  <c r="BV34" i="67"/>
  <c r="BV33" i="67" s="1"/>
  <c r="BW27" i="67"/>
  <c r="BU35" i="67"/>
  <c r="BW19" i="67"/>
  <c r="BV35" i="67"/>
  <c r="BW20" i="67"/>
  <c r="BV9" i="67"/>
  <c r="BX9" i="72"/>
  <c r="BW28" i="67"/>
  <c r="BW34" i="67"/>
  <c r="BW9" i="67"/>
  <c r="BV18" i="67"/>
  <c r="BU21" i="67"/>
  <c r="BU31" i="67"/>
  <c r="BU30" i="67" s="1"/>
  <c r="BU9" i="67"/>
  <c r="BW26" i="67"/>
  <c r="BV19" i="67"/>
  <c r="BU20" i="67"/>
  <c r="BU27" i="67"/>
  <c r="BV15" i="67"/>
  <c r="BV31" i="67"/>
  <c r="BV30" i="67" s="1"/>
  <c r="BW21" i="67"/>
  <c r="CB9" i="72"/>
  <c r="BX35" i="67"/>
  <c r="BX28" i="67"/>
  <c r="BX1450" i="4"/>
  <c r="BX1448" i="4"/>
  <c r="BX26" i="67"/>
  <c r="BX21" i="67"/>
  <c r="BX18" i="67"/>
  <c r="BX15" i="67"/>
  <c r="BX27" i="67"/>
  <c r="BY1450" i="4"/>
  <c r="BX20" i="67"/>
  <c r="BY1448" i="4"/>
  <c r="BZ35" i="67"/>
  <c r="BX19" i="67"/>
  <c r="W9" i="72"/>
  <c r="BX31" i="67"/>
  <c r="BX30" i="67" s="1"/>
  <c r="BZ9" i="72"/>
  <c r="BX34" i="67"/>
  <c r="BX33" i="67" s="1"/>
  <c r="BX14" i="67"/>
  <c r="BX9" i="67"/>
  <c r="CA9" i="72"/>
  <c r="BY9" i="67"/>
  <c r="BY14" i="67"/>
  <c r="BY34" i="67"/>
  <c r="CA26" i="67"/>
  <c r="BZ1450" i="4"/>
  <c r="CA1450" i="4"/>
  <c r="BY21" i="67"/>
  <c r="CA28" i="67"/>
  <c r="BY31" i="67"/>
  <c r="BY30" i="67" s="1"/>
  <c r="CA21" i="67"/>
  <c r="BZ18" i="67"/>
  <c r="BZ9" i="67"/>
  <c r="CA31" i="67"/>
  <c r="CA30" i="67" s="1"/>
  <c r="BZ21" i="67"/>
  <c r="BY35" i="67"/>
  <c r="BY27" i="67"/>
  <c r="CA34" i="67"/>
  <c r="BY28" i="67"/>
  <c r="BY15" i="67"/>
  <c r="BZ34" i="67"/>
  <c r="BZ33" i="67" s="1"/>
  <c r="CA15" i="67"/>
  <c r="BZ1448" i="4"/>
  <c r="BY26" i="67"/>
  <c r="CC9" i="72"/>
  <c r="BZ20" i="67"/>
  <c r="BY18" i="67"/>
  <c r="BY19" i="67"/>
  <c r="BZ28" i="67"/>
  <c r="BY20" i="67"/>
  <c r="CA27" i="67"/>
  <c r="CA35" i="67"/>
  <c r="CA14" i="67"/>
  <c r="CA1448" i="4"/>
  <c r="BZ14" i="67"/>
  <c r="BZ13" i="67" s="1"/>
  <c r="BZ31" i="67"/>
  <c r="BZ30" i="67" s="1"/>
  <c r="CA20" i="67"/>
  <c r="BZ19" i="67"/>
  <c r="CA9" i="67"/>
  <c r="BZ15" i="67"/>
  <c r="CA18" i="67"/>
  <c r="BZ27" i="67"/>
  <c r="CC1450" i="4"/>
  <c r="CE9" i="72"/>
  <c r="CD19" i="67"/>
  <c r="CB35" i="67"/>
  <c r="CB34" i="67"/>
  <c r="CA19" i="67"/>
  <c r="CB15" i="67"/>
  <c r="CB26" i="67"/>
  <c r="CD14" i="67"/>
  <c r="CB1450" i="4"/>
  <c r="CB9" i="67"/>
  <c r="CB27" i="67"/>
  <c r="CB18" i="67"/>
  <c r="CB19" i="67"/>
  <c r="CB14" i="67"/>
  <c r="CB13" i="67" s="1"/>
  <c r="CB31" i="67"/>
  <c r="CB30" i="67" s="1"/>
  <c r="CB20" i="67"/>
  <c r="CD9" i="72"/>
  <c r="CB28" i="67"/>
  <c r="CB1448" i="4"/>
  <c r="CB21" i="67"/>
  <c r="CC1448" i="4"/>
  <c r="CC18" i="67"/>
  <c r="CF9" i="72"/>
  <c r="CC34" i="67"/>
  <c r="CD18" i="67"/>
  <c r="CD35" i="67"/>
  <c r="CD34" i="67"/>
  <c r="CD33" i="67" s="1"/>
  <c r="CC35" i="67"/>
  <c r="CC31" i="67"/>
  <c r="CC30" i="67" s="1"/>
  <c r="CC9" i="67"/>
  <c r="CG9" i="72"/>
  <c r="CC20" i="67"/>
  <c r="CD1450" i="4"/>
  <c r="CC19" i="67"/>
  <c r="CD21" i="67"/>
  <c r="CD28" i="67"/>
  <c r="CD27" i="67"/>
  <c r="CD26" i="67"/>
  <c r="CE1448" i="4"/>
  <c r="CD9" i="67"/>
  <c r="CD15" i="67"/>
  <c r="CE1450" i="4"/>
  <c r="CD1448" i="4"/>
  <c r="CC14" i="67"/>
  <c r="CC13" i="67" s="1"/>
  <c r="CC15" i="67"/>
  <c r="CD20" i="67"/>
  <c r="CD31" i="67"/>
  <c r="CD30" i="67" s="1"/>
  <c r="CC26" i="67"/>
  <c r="CC21" i="67"/>
  <c r="CC27" i="67"/>
  <c r="CC28" i="67"/>
  <c r="CE35" i="67"/>
  <c r="CE33" i="67" s="1"/>
  <c r="CG1448" i="4"/>
  <c r="CF9" i="67"/>
  <c r="CE34" i="67"/>
  <c r="CE19" i="67"/>
  <c r="CE20" i="67"/>
  <c r="CG1450" i="4"/>
  <c r="CF35" i="67"/>
  <c r="CE26" i="67"/>
  <c r="CE25" i="67" s="1"/>
  <c r="CE28" i="67"/>
  <c r="CF1448" i="4"/>
  <c r="CF1450" i="4"/>
  <c r="CE21" i="67"/>
  <c r="CE15" i="67"/>
  <c r="CF27" i="67"/>
  <c r="CF21" i="67"/>
  <c r="CE14" i="67"/>
  <c r="CF26" i="67"/>
  <c r="CF20" i="67"/>
  <c r="CE27" i="67"/>
  <c r="CE31" i="67"/>
  <c r="CE30" i="67" s="1"/>
  <c r="CE18" i="67"/>
  <c r="CE17" i="67" s="1"/>
  <c r="CF14" i="67"/>
  <c r="CF15" i="67"/>
  <c r="CE9" i="67"/>
  <c r="CF18" i="67"/>
  <c r="CF19" i="67"/>
  <c r="CF34" i="67"/>
  <c r="CI34" i="67"/>
  <c r="CG27" i="67"/>
  <c r="CG19" i="67"/>
  <c r="CH1450" i="4"/>
  <c r="CH9" i="72"/>
  <c r="CG20" i="67"/>
  <c r="CF28" i="67"/>
  <c r="CI9" i="72"/>
  <c r="CF31" i="67"/>
  <c r="CF30" i="67" s="1"/>
  <c r="CH28" i="67"/>
  <c r="CH35" i="67"/>
  <c r="CG9" i="67"/>
  <c r="CH34" i="67"/>
  <c r="CH18" i="67"/>
  <c r="CG31" i="67"/>
  <c r="CG30" i="67" s="1"/>
  <c r="CH20" i="67"/>
  <c r="CJ9" i="72"/>
  <c r="CI1450" i="4"/>
  <c r="CK9" i="72"/>
  <c r="CH26" i="67"/>
  <c r="CI9" i="67"/>
  <c r="CH27" i="67"/>
  <c r="CG15" i="67"/>
  <c r="CI1448" i="4"/>
  <c r="CI20" i="67"/>
  <c r="CH14" i="67"/>
  <c r="CH13" i="67" s="1"/>
  <c r="CG35" i="67"/>
  <c r="CI21" i="67"/>
  <c r="CG21" i="67"/>
  <c r="CG26" i="67"/>
  <c r="CG18" i="67"/>
  <c r="CH1448" i="4"/>
  <c r="CH21" i="67"/>
  <c r="CG14" i="67"/>
  <c r="CG13" i="67" s="1"/>
  <c r="CH31" i="67"/>
  <c r="CH30" i="67" s="1"/>
  <c r="CI14" i="67"/>
  <c r="CI31" i="67"/>
  <c r="CI30" i="67" s="1"/>
  <c r="CH9" i="67"/>
  <c r="CG28" i="67"/>
  <c r="CH15" i="67"/>
  <c r="CH19" i="67"/>
  <c r="CG34" i="67"/>
  <c r="CG33" i="67" s="1"/>
  <c r="CI28" i="67"/>
  <c r="CO18" i="67"/>
  <c r="CJ1450" i="4"/>
  <c r="CI35" i="67"/>
  <c r="CJ1448" i="4"/>
  <c r="CI18" i="67"/>
  <c r="CI15" i="67"/>
  <c r="CM9" i="72"/>
  <c r="CM1450" i="4"/>
  <c r="CI27" i="67"/>
  <c r="CL9" i="72"/>
  <c r="CI26" i="67"/>
  <c r="CI19" i="67"/>
  <c r="CN9" i="72"/>
  <c r="CJ28" i="67"/>
  <c r="CJ35" i="67"/>
  <c r="CK35" i="67"/>
  <c r="CJ15" i="67"/>
  <c r="CK1450" i="4"/>
  <c r="CK34" i="67"/>
  <c r="CL34" i="67"/>
  <c r="CL27" i="67"/>
  <c r="CJ14" i="67"/>
  <c r="CJ34" i="67"/>
  <c r="CJ33" i="67" s="1"/>
  <c r="CK1448" i="4"/>
  <c r="CL1450" i="4"/>
  <c r="CJ20" i="67"/>
  <c r="CK28" i="67"/>
  <c r="CK18" i="67"/>
  <c r="CL35" i="67"/>
  <c r="CK19" i="67"/>
  <c r="CL20" i="67"/>
  <c r="CK31" i="67"/>
  <c r="CK30" i="67" s="1"/>
  <c r="CL31" i="67"/>
  <c r="CL30" i="67" s="1"/>
  <c r="CK9" i="67"/>
  <c r="CJ18" i="67"/>
  <c r="CL21" i="67"/>
  <c r="CK14" i="67"/>
  <c r="CJ19" i="67"/>
  <c r="CL18" i="67"/>
  <c r="CK21" i="67"/>
  <c r="CL28" i="67"/>
  <c r="CO9" i="72"/>
  <c r="CK20" i="67"/>
  <c r="CK27" i="67"/>
  <c r="CL9" i="67"/>
  <c r="CJ31" i="67"/>
  <c r="CJ30" i="67" s="1"/>
  <c r="CL1448" i="4"/>
  <c r="CJ21" i="67"/>
  <c r="CJ27" i="67"/>
  <c r="CL19" i="67"/>
  <c r="CM1448" i="4"/>
  <c r="CJ9" i="67"/>
  <c r="CO20" i="67"/>
  <c r="CL15" i="67"/>
  <c r="CK15" i="67"/>
  <c r="CK13" i="67" s="1"/>
  <c r="CJ26" i="67"/>
  <c r="CK26" i="67"/>
  <c r="CK25" i="67" s="1"/>
  <c r="CL26" i="67"/>
  <c r="CL14" i="67"/>
  <c r="CO9" i="67"/>
  <c r="CM27" i="67"/>
  <c r="CO35" i="67"/>
  <c r="CO1448" i="4"/>
  <c r="CM35" i="67"/>
  <c r="CM31" i="67"/>
  <c r="CM30" i="67" s="1"/>
  <c r="CO31" i="67"/>
  <c r="CO30" i="67" s="1"/>
  <c r="CN35" i="67"/>
  <c r="CO21" i="67"/>
  <c r="CN9" i="67"/>
  <c r="CM28" i="67"/>
  <c r="CN21" i="67"/>
  <c r="CO26" i="67"/>
  <c r="CM9" i="67"/>
  <c r="CM19" i="67"/>
  <c r="CM20" i="67"/>
  <c r="CN1450" i="4"/>
  <c r="CO15" i="67"/>
  <c r="CM18" i="67"/>
  <c r="CN15" i="67"/>
  <c r="CO28" i="67"/>
  <c r="CN28" i="67"/>
  <c r="CN18" i="67"/>
  <c r="CO14" i="67"/>
  <c r="CN20" i="67"/>
  <c r="CN27" i="67"/>
  <c r="CM14" i="67"/>
  <c r="CN34" i="67"/>
  <c r="CN33" i="67" s="1"/>
  <c r="CN19" i="67"/>
  <c r="CO19" i="67"/>
  <c r="CN14" i="67"/>
  <c r="CM26" i="67"/>
  <c r="CO34" i="67"/>
  <c r="CO27" i="67"/>
  <c r="CN1448" i="4"/>
  <c r="CM21" i="67"/>
  <c r="CN31" i="67"/>
  <c r="CN30" i="67" s="1"/>
  <c r="CN26" i="67"/>
  <c r="CN25" i="67" s="1"/>
  <c r="CM34" i="67"/>
  <c r="CM33" i="67" s="1"/>
  <c r="CM15" i="67"/>
  <c r="CO1450" i="4"/>
  <c r="AA9" i="72"/>
  <c r="L19" i="67"/>
  <c r="M19" i="67"/>
  <c r="Q47" i="13"/>
  <c r="CN335" i="4"/>
  <c r="CN959" i="4" s="1"/>
  <c r="CN287" i="4"/>
  <c r="CN324" i="4" s="1"/>
  <c r="M158" i="15"/>
  <c r="CM53" i="62"/>
  <c r="CL655" i="4"/>
  <c r="CL654" i="4"/>
  <c r="CL637" i="4"/>
  <c r="AM177" i="4"/>
  <c r="AM267" i="4"/>
  <c r="CN1108" i="4"/>
  <c r="CN1091" i="4" s="1"/>
  <c r="CN19" i="4"/>
  <c r="CN20" i="4" s="1"/>
  <c r="CN17" i="4"/>
  <c r="CN34" i="4"/>
  <c r="CN150" i="4"/>
  <c r="AB929" i="4"/>
  <c r="AB930" i="4" s="1"/>
  <c r="AB931" i="4" s="1"/>
  <c r="AH814" i="4"/>
  <c r="AH813" i="4"/>
  <c r="AH816" i="4"/>
  <c r="M157" i="15"/>
  <c r="AG796" i="4"/>
  <c r="AG824" i="4" s="1"/>
  <c r="AK749" i="4"/>
  <c r="AK609" i="4"/>
  <c r="AK627" i="4" s="1"/>
  <c r="AK810" i="4" s="1"/>
  <c r="AK815" i="4" s="1"/>
  <c r="CM153" i="4"/>
  <c r="CN1080" i="4"/>
  <c r="CN1063" i="4"/>
  <c r="CN1066" i="4"/>
  <c r="CN1075" i="4" s="1"/>
  <c r="CN33" i="4"/>
  <c r="CN40" i="4" s="1"/>
  <c r="CN47" i="4" s="1"/>
  <c r="CN138" i="4"/>
  <c r="CM53" i="4"/>
  <c r="CN1052" i="4"/>
  <c r="CN58" i="4"/>
  <c r="CN226" i="4"/>
  <c r="CN129" i="4"/>
  <c r="CO314" i="4"/>
  <c r="AL260" i="4"/>
  <c r="CN75" i="4"/>
  <c r="CN82" i="4"/>
  <c r="CN18" i="4"/>
  <c r="CN24" i="4" s="1"/>
  <c r="CN88" i="4" s="1"/>
  <c r="CN1096" i="4" s="1"/>
  <c r="P16" i="72"/>
  <c r="P44" i="67"/>
  <c r="P13" i="72"/>
  <c r="P69" i="67"/>
  <c r="O13" i="72"/>
  <c r="O44" i="67"/>
  <c r="P81" i="67"/>
  <c r="P82" i="67" s="1"/>
  <c r="AM268" i="4"/>
  <c r="AM212" i="4"/>
  <c r="AM235" i="4"/>
  <c r="AM270" i="4"/>
  <c r="CM88" i="4"/>
  <c r="CM1096" i="4" s="1"/>
  <c r="CM1100" i="4" s="1"/>
  <c r="CM1417" i="4" s="1"/>
  <c r="CL1108" i="4"/>
  <c r="CL1091" i="4" s="1"/>
  <c r="CN41" i="4"/>
  <c r="CN198" i="4"/>
  <c r="O19" i="67"/>
  <c r="CK1108" i="4"/>
  <c r="CK1091" i="4" s="1"/>
  <c r="CM542" i="4"/>
  <c r="K139" i="15"/>
  <c r="H139" i="15"/>
  <c r="M159" i="15"/>
  <c r="L159" i="15"/>
  <c r="L139" i="15"/>
  <c r="M139" i="15"/>
  <c r="H159" i="15"/>
  <c r="I159" i="15"/>
  <c r="I139" i="15"/>
  <c r="J159" i="15"/>
  <c r="K159" i="15"/>
  <c r="H158" i="15"/>
  <c r="J157" i="15"/>
  <c r="H157" i="15"/>
  <c r="I158" i="15"/>
  <c r="J158" i="15"/>
  <c r="K158" i="15"/>
  <c r="I157" i="15"/>
  <c r="K157" i="15"/>
  <c r="L157" i="15"/>
  <c r="AL334" i="4"/>
  <c r="AL960" i="4" s="1"/>
  <c r="AL276" i="4"/>
  <c r="AL279" i="4"/>
  <c r="AF73" i="64"/>
  <c r="AF81" i="64"/>
  <c r="AL284" i="4"/>
  <c r="O38" i="13"/>
  <c r="P12" i="13"/>
  <c r="P38" i="13"/>
  <c r="CM41" i="4"/>
  <c r="CM48" i="4" s="1"/>
  <c r="CN66" i="4"/>
  <c r="CO66" i="4" s="1"/>
  <c r="G66" i="4" s="1"/>
  <c r="AM265" i="4"/>
  <c r="AM163" i="4"/>
  <c r="CM83" i="4"/>
  <c r="CM84" i="4" s="1"/>
  <c r="AK289" i="4"/>
  <c r="AL281" i="4"/>
  <c r="CL605" i="4"/>
  <c r="CL964" i="4"/>
  <c r="AJ628" i="4"/>
  <c r="AJ685" i="4" s="1"/>
  <c r="AJ750" i="4"/>
  <c r="AJ622" i="4"/>
  <c r="AJ623" i="4" s="1"/>
  <c r="CM328" i="4"/>
  <c r="CN295" i="4"/>
  <c r="CN303" i="4" s="1"/>
  <c r="CN9" i="62"/>
  <c r="CN57" i="4"/>
  <c r="CN54" i="4" s="1"/>
  <c r="CM56" i="4" s="1"/>
  <c r="CN1186" i="4"/>
  <c r="CN28" i="66"/>
  <c r="CN61" i="4"/>
  <c r="CN318" i="4" s="1"/>
  <c r="CN27" i="66"/>
  <c r="CN1074" i="4"/>
  <c r="CO60" i="4"/>
  <c r="CN9" i="64"/>
  <c r="CN32" i="4"/>
  <c r="CN39" i="4" s="1"/>
  <c r="CN46" i="4" s="1"/>
  <c r="CN126" i="4"/>
  <c r="CM130" i="4"/>
  <c r="CN15" i="66"/>
  <c r="AM170" i="4"/>
  <c r="AM266" i="4"/>
  <c r="CM76" i="4"/>
  <c r="CM77" i="4" s="1"/>
  <c r="CO1370" i="4"/>
  <c r="AK865" i="4"/>
  <c r="AK864" i="4"/>
  <c r="AK866" i="4"/>
  <c r="AK863" i="4"/>
  <c r="AL862" i="4"/>
  <c r="AL859" i="4"/>
  <c r="AL874" i="4"/>
  <c r="AL860" i="4"/>
  <c r="AL870" i="4"/>
  <c r="AL878" i="4"/>
  <c r="AL876" i="4"/>
  <c r="AL1032" i="4"/>
  <c r="AL1033" i="4" s="1"/>
  <c r="AL1034" i="4" s="1"/>
  <c r="AL908" i="4" s="1"/>
  <c r="AL875" i="4"/>
  <c r="AL871" i="4"/>
  <c r="AL869" i="4"/>
  <c r="AL861" i="4"/>
  <c r="AL818" i="4"/>
  <c r="AL896" i="4" s="1"/>
  <c r="AL877" i="4"/>
  <c r="AL606" i="4"/>
  <c r="AL608" i="4" s="1"/>
  <c r="AL613" i="4"/>
  <c r="AL614" i="4" s="1"/>
  <c r="AL620" i="4" s="1"/>
  <c r="AL616" i="4"/>
  <c r="AL666" i="4"/>
  <c r="AL667" i="4"/>
  <c r="AL618" i="4"/>
  <c r="AL668" i="4"/>
  <c r="AM79" i="4"/>
  <c r="CM47" i="4"/>
  <c r="AG814" i="4"/>
  <c r="AG813" i="4"/>
  <c r="AG816" i="4"/>
  <c r="AL282" i="4"/>
  <c r="CK662" i="4"/>
  <c r="AK1041" i="4"/>
  <c r="AK65" i="62"/>
  <c r="AK33" i="66"/>
  <c r="AK32" i="66" s="1"/>
  <c r="AK81" i="11"/>
  <c r="AK82" i="11" s="1"/>
  <c r="AK1241" i="4"/>
  <c r="AK1214" i="4"/>
  <c r="AK296" i="4"/>
  <c r="AK304" i="4" s="1"/>
  <c r="AG776" i="4"/>
  <c r="AG115" i="64" s="1"/>
  <c r="AG774" i="4"/>
  <c r="AG113" i="64" s="1"/>
  <c r="AG773" i="4"/>
  <c r="AG112" i="64" s="1"/>
  <c r="AG775" i="4"/>
  <c r="AG114" i="64" s="1"/>
  <c r="AG111" i="64"/>
  <c r="CN54" i="11"/>
  <c r="CN62" i="4"/>
  <c r="CN528" i="4" s="1"/>
  <c r="CN530" i="4"/>
  <c r="CN540" i="4" s="1"/>
  <c r="CN543" i="4"/>
  <c r="CN747" i="4"/>
  <c r="CN35" i="4"/>
  <c r="CN192" i="4"/>
  <c r="CN43" i="4"/>
  <c r="CN50" i="4" s="1"/>
  <c r="CN636" i="4" s="1"/>
  <c r="CO1332" i="4"/>
  <c r="CM9" i="66"/>
  <c r="CN60" i="4"/>
  <c r="CL544" i="4"/>
  <c r="CL612" i="4" s="1"/>
  <c r="CL607" i="4"/>
  <c r="AH111" i="64"/>
  <c r="CL200" i="4"/>
  <c r="AN174" i="4"/>
  <c r="AN160" i="4"/>
  <c r="AN206" i="4"/>
  <c r="AN209" i="4"/>
  <c r="AN205" i="4"/>
  <c r="AN168" i="4"/>
  <c r="AN167" i="4"/>
  <c r="AN208" i="4"/>
  <c r="AN161" i="4"/>
  <c r="AN256" i="4"/>
  <c r="AN255" i="4"/>
  <c r="AN175" i="4"/>
  <c r="AN232" i="4"/>
  <c r="AN233" i="4"/>
  <c r="AN207" i="4"/>
  <c r="AN269" i="4" s="1"/>
  <c r="AN283" i="4" s="1"/>
  <c r="AN257" i="4"/>
  <c r="AN166" i="4"/>
  <c r="AN173" i="4"/>
  <c r="AN254" i="4"/>
  <c r="AN234" i="4"/>
  <c r="AN159" i="4"/>
  <c r="AN162" i="4"/>
  <c r="AN231" i="4"/>
  <c r="AN169" i="4"/>
  <c r="AN204" i="4"/>
  <c r="AN210" i="4"/>
  <c r="AN176" i="4"/>
  <c r="AN211" i="4"/>
  <c r="AO85" i="4"/>
  <c r="AM258" i="4"/>
  <c r="AM271" i="4"/>
  <c r="CM250" i="4"/>
  <c r="AF811" i="4" l="1"/>
  <c r="AF817" i="4" s="1"/>
  <c r="AF80" i="64"/>
  <c r="AH1257" i="4"/>
  <c r="AH684" i="4"/>
  <c r="AH956" i="4" s="1"/>
  <c r="AF121" i="64"/>
  <c r="AH69" i="11"/>
  <c r="AH992" i="4"/>
  <c r="AH44" i="11"/>
  <c r="AH1215" i="4"/>
  <c r="AH928" i="4"/>
  <c r="CN227" i="4"/>
  <c r="AI766" i="4"/>
  <c r="AI765" i="4"/>
  <c r="AH796" i="4"/>
  <c r="AH824" i="4" s="1"/>
  <c r="AI767" i="4"/>
  <c r="CJ25" i="67"/>
  <c r="CJ37" i="67" s="1"/>
  <c r="BS33" i="67"/>
  <c r="BL13" i="67"/>
  <c r="BE17" i="67"/>
  <c r="AJ25" i="67"/>
  <c r="AJ37" i="67" s="1"/>
  <c r="AJ39" i="67" s="1"/>
  <c r="CO529" i="4"/>
  <c r="CD17" i="67"/>
  <c r="BT23" i="67"/>
  <c r="BH25" i="67"/>
  <c r="BH37" i="67" s="1"/>
  <c r="BH39" i="67" s="1"/>
  <c r="BB17" i="67"/>
  <c r="AZ33" i="67"/>
  <c r="CN63" i="4"/>
  <c r="CN1312" i="4" s="1"/>
  <c r="CN1100" i="4"/>
  <c r="CN1417" i="4" s="1"/>
  <c r="CJ13" i="67"/>
  <c r="CC25" i="67"/>
  <c r="BS13" i="67"/>
  <c r="BS23" i="67" s="1"/>
  <c r="BQ33" i="67"/>
  <c r="AX17" i="67"/>
  <c r="CN9" i="11"/>
  <c r="CN9" i="66"/>
  <c r="BT17" i="67"/>
  <c r="AQ25" i="67"/>
  <c r="AQ37" i="67" s="1"/>
  <c r="AQ39" i="67" s="1"/>
  <c r="AH33" i="67"/>
  <c r="CN9" i="4"/>
  <c r="CO13" i="67"/>
  <c r="CI33" i="67"/>
  <c r="CF17" i="67"/>
  <c r="AT13" i="67"/>
  <c r="AM25" i="67"/>
  <c r="CN17" i="67"/>
  <c r="CL25" i="67"/>
  <c r="CL17" i="67"/>
  <c r="CE13" i="67"/>
  <c r="CB33" i="67"/>
  <c r="BX13" i="67"/>
  <c r="BW33" i="67"/>
  <c r="BW13" i="67"/>
  <c r="BQ17" i="67"/>
  <c r="BF13" i="67"/>
  <c r="AX23" i="67"/>
  <c r="AV33" i="67"/>
  <c r="AO33" i="67"/>
  <c r="AL25" i="67"/>
  <c r="AL37" i="67" s="1"/>
  <c r="AJ33" i="67"/>
  <c r="AI682" i="4"/>
  <c r="Q69" i="67" s="1"/>
  <c r="AI796" i="4"/>
  <c r="AI824" i="4" s="1"/>
  <c r="AK879" i="4"/>
  <c r="CN542" i="4"/>
  <c r="CN607" i="4" s="1"/>
  <c r="AK750" i="4"/>
  <c r="AK764" i="4" s="1"/>
  <c r="AK622" i="4"/>
  <c r="AK623" i="4" s="1"/>
  <c r="AK676" i="4" s="1"/>
  <c r="AK680" i="4" s="1"/>
  <c r="AK889" i="4" s="1"/>
  <c r="AK890" i="4" s="1"/>
  <c r="AK891" i="4" s="1"/>
  <c r="AI771" i="4"/>
  <c r="CE37" i="67"/>
  <c r="BQ37" i="67"/>
  <c r="AK685" i="4"/>
  <c r="CN22" i="4"/>
  <c r="CO21" i="4"/>
  <c r="G21" i="4" s="1"/>
  <c r="AN177" i="4"/>
  <c r="AN267" i="4"/>
  <c r="AN268" i="4"/>
  <c r="AN212" i="4"/>
  <c r="AN170" i="4"/>
  <c r="AN266" i="4"/>
  <c r="CN199" i="4"/>
  <c r="AL619" i="4"/>
  <c r="CN60" i="62"/>
  <c r="G60" i="4"/>
  <c r="I60" i="4"/>
  <c r="CN9" i="3"/>
  <c r="AK754" i="4"/>
  <c r="AK755" i="4"/>
  <c r="AI813" i="4"/>
  <c r="AI814" i="4"/>
  <c r="AI816" i="4"/>
  <c r="CM13" i="67"/>
  <c r="CM25" i="67"/>
  <c r="CM37" i="67" s="1"/>
  <c r="CL13" i="67"/>
  <c r="CJ17" i="67"/>
  <c r="CK33" i="67"/>
  <c r="CI25" i="67"/>
  <c r="CI37" i="67" s="1"/>
  <c r="CG25" i="67"/>
  <c r="CG37" i="67" s="1"/>
  <c r="CH17" i="67"/>
  <c r="CF25" i="67"/>
  <c r="BY25" i="67"/>
  <c r="BY33" i="67"/>
  <c r="BU25" i="67"/>
  <c r="BR33" i="67"/>
  <c r="BR25" i="67"/>
  <c r="BR37" i="67" s="1"/>
  <c r="BJ13" i="67"/>
  <c r="BJ23" i="67" s="1"/>
  <c r="BF17" i="67"/>
  <c r="BH17" i="67"/>
  <c r="BH13" i="67"/>
  <c r="BH23" i="67" s="1"/>
  <c r="BC33" i="67"/>
  <c r="BE33" i="67"/>
  <c r="AY13" i="67"/>
  <c r="AU13" i="67"/>
  <c r="AU23" i="67" s="1"/>
  <c r="AM17" i="67"/>
  <c r="AJ13" i="67"/>
  <c r="AJ23" i="67" s="1"/>
  <c r="CO1108" i="4"/>
  <c r="CO1091" i="4" s="1"/>
  <c r="P1108" i="4"/>
  <c r="P1091" i="4" s="1"/>
  <c r="M1108" i="4"/>
  <c r="N1108" i="4"/>
  <c r="G1107" i="4"/>
  <c r="O1108" i="4"/>
  <c r="L1108" i="4"/>
  <c r="T1108" i="4"/>
  <c r="T1091" i="4" s="1"/>
  <c r="Q1108" i="4"/>
  <c r="Q1091" i="4" s="1"/>
  <c r="R1108" i="4"/>
  <c r="R1091" i="4" s="1"/>
  <c r="S1108" i="4"/>
  <c r="S1091" i="4" s="1"/>
  <c r="U1108" i="4"/>
  <c r="U1091" i="4" s="1"/>
  <c r="V1108" i="4"/>
  <c r="V1091" i="4" s="1"/>
  <c r="W1108" i="4"/>
  <c r="W1091" i="4" s="1"/>
  <c r="X1108" i="4"/>
  <c r="X1091" i="4" s="1"/>
  <c r="Z1108" i="4"/>
  <c r="Z1091" i="4" s="1"/>
  <c r="Y1108" i="4"/>
  <c r="Y1091" i="4" s="1"/>
  <c r="AA1108" i="4"/>
  <c r="AA1091" i="4" s="1"/>
  <c r="AB1108" i="4"/>
  <c r="AB1091" i="4" s="1"/>
  <c r="AC1108" i="4"/>
  <c r="AD1108" i="4"/>
  <c r="AE1108" i="4"/>
  <c r="AF1108" i="4"/>
  <c r="AH1108" i="4"/>
  <c r="AG1108" i="4"/>
  <c r="AJ1108" i="4"/>
  <c r="AL1108" i="4"/>
  <c r="AI1108" i="4"/>
  <c r="AK1108" i="4"/>
  <c r="AO1108" i="4"/>
  <c r="AN1108" i="4"/>
  <c r="AM1108" i="4"/>
  <c r="AP1108" i="4"/>
  <c r="AQ1108" i="4"/>
  <c r="AR1108" i="4"/>
  <c r="AS1108" i="4"/>
  <c r="AU1108" i="4"/>
  <c r="AT1108" i="4"/>
  <c r="AY1108" i="4"/>
  <c r="AV1108" i="4"/>
  <c r="AW1108" i="4"/>
  <c r="AX1108" i="4"/>
  <c r="BA1108" i="4"/>
  <c r="AZ1108" i="4"/>
  <c r="BB1108" i="4"/>
  <c r="BC1108" i="4"/>
  <c r="BD1108" i="4"/>
  <c r="BE1108" i="4"/>
  <c r="BF1108" i="4"/>
  <c r="BG1108" i="4"/>
  <c r="BH1108" i="4"/>
  <c r="BH1091" i="4" s="1"/>
  <c r="BJ1108" i="4"/>
  <c r="BJ1091" i="4" s="1"/>
  <c r="BI1108" i="4"/>
  <c r="BI1091" i="4" s="1"/>
  <c r="BL1108" i="4"/>
  <c r="BL1091" i="4" s="1"/>
  <c r="BK1108" i="4"/>
  <c r="BK1091" i="4" s="1"/>
  <c r="BM1108" i="4"/>
  <c r="BM1091" i="4" s="1"/>
  <c r="BO1108" i="4"/>
  <c r="BO1091" i="4" s="1"/>
  <c r="BQ1108" i="4"/>
  <c r="BQ1091" i="4" s="1"/>
  <c r="BN1108" i="4"/>
  <c r="BN1091" i="4" s="1"/>
  <c r="BP1108" i="4"/>
  <c r="BP1091" i="4" s="1"/>
  <c r="BS1108" i="4"/>
  <c r="BS1091" i="4" s="1"/>
  <c r="BR1108" i="4"/>
  <c r="BR1091" i="4" s="1"/>
  <c r="BT1108" i="4"/>
  <c r="BT1091" i="4" s="1"/>
  <c r="BU1108" i="4"/>
  <c r="BU1091" i="4" s="1"/>
  <c r="BW1108" i="4"/>
  <c r="BW1091" i="4" s="1"/>
  <c r="BZ1108" i="4"/>
  <c r="BZ1091" i="4" s="1"/>
  <c r="BY1108" i="4"/>
  <c r="BY1091" i="4" s="1"/>
  <c r="BX1108" i="4"/>
  <c r="BX1091" i="4" s="1"/>
  <c r="BV1108" i="4"/>
  <c r="BV1091" i="4" s="1"/>
  <c r="CA1108" i="4"/>
  <c r="CA1091" i="4" s="1"/>
  <c r="CB1108" i="4"/>
  <c r="CB1091" i="4" s="1"/>
  <c r="CC1108" i="4"/>
  <c r="CC1091" i="4" s="1"/>
  <c r="CD1108" i="4"/>
  <c r="CD1091" i="4" s="1"/>
  <c r="CG1108" i="4"/>
  <c r="CG1091" i="4" s="1"/>
  <c r="CF1108" i="4"/>
  <c r="CF1091" i="4" s="1"/>
  <c r="CE1108" i="4"/>
  <c r="CE1091" i="4" s="1"/>
  <c r="CH1108" i="4"/>
  <c r="CH1091" i="4" s="1"/>
  <c r="CJ1108" i="4"/>
  <c r="CJ1091" i="4" s="1"/>
  <c r="CI1108" i="4"/>
  <c r="CI1091" i="4" s="1"/>
  <c r="CO218" i="4"/>
  <c r="I329" i="3"/>
  <c r="CO242" i="4"/>
  <c r="CO247" i="4" s="1"/>
  <c r="I356" i="3"/>
  <c r="CO147" i="4"/>
  <c r="CO152" i="4" s="1"/>
  <c r="I242" i="3"/>
  <c r="CO220" i="4"/>
  <c r="CO225" i="4" s="1"/>
  <c r="I331" i="3"/>
  <c r="CN51" i="4"/>
  <c r="CM1108" i="4"/>
  <c r="CM1091" i="4" s="1"/>
  <c r="AH119" i="64"/>
  <c r="AH65" i="64" s="1"/>
  <c r="AH116" i="64"/>
  <c r="AM260" i="4"/>
  <c r="G157" i="15"/>
  <c r="CN48" i="4"/>
  <c r="CN1183" i="4"/>
  <c r="AC927" i="4"/>
  <c r="AB19" i="11"/>
  <c r="CM1183" i="4"/>
  <c r="AM281" i="4"/>
  <c r="CE23" i="67"/>
  <c r="CB17" i="67"/>
  <c r="BO13" i="67"/>
  <c r="BH33" i="67"/>
  <c r="BF23" i="67"/>
  <c r="BG33" i="67"/>
  <c r="BA17" i="67"/>
  <c r="BC13" i="67"/>
  <c r="AS25" i="67"/>
  <c r="AS33" i="67"/>
  <c r="AH17" i="67"/>
  <c r="CO61" i="4"/>
  <c r="CO57" i="4"/>
  <c r="CO9" i="64" s="1"/>
  <c r="CO295" i="4"/>
  <c r="CO27" i="66"/>
  <c r="CO1186" i="4"/>
  <c r="I1186" i="4" s="1"/>
  <c r="CO1074" i="4"/>
  <c r="CO28" i="66"/>
  <c r="CO9" i="62"/>
  <c r="CO9" i="11"/>
  <c r="G29" i="4"/>
  <c r="I29" i="4"/>
  <c r="CO241" i="4"/>
  <c r="I355" i="3"/>
  <c r="CO134" i="4"/>
  <c r="CO139" i="4" s="1"/>
  <c r="I217" i="3"/>
  <c r="CN53" i="4"/>
  <c r="CO53" i="4"/>
  <c r="CO1052" i="4"/>
  <c r="I1052" i="4" s="1"/>
  <c r="CO58" i="4"/>
  <c r="G28" i="4"/>
  <c r="I28" i="4"/>
  <c r="CO123" i="4"/>
  <c r="CO128" i="4" s="1"/>
  <c r="I186" i="3"/>
  <c r="CN55" i="4"/>
  <c r="AJ756" i="4"/>
  <c r="AJ757" i="4"/>
  <c r="AJ758" i="4"/>
  <c r="AJ759" i="4"/>
  <c r="AM285" i="4"/>
  <c r="AN235" i="4"/>
  <c r="AN270" i="4"/>
  <c r="AL749" i="4"/>
  <c r="AL609" i="4"/>
  <c r="AL627" i="4" s="1"/>
  <c r="AL810" i="4" s="1"/>
  <c r="AL815" i="4" s="1"/>
  <c r="AM276" i="4"/>
  <c r="AM334" i="4"/>
  <c r="AM960" i="4" s="1"/>
  <c r="R16" i="72" s="1"/>
  <c r="AM279" i="4"/>
  <c r="CN83" i="4"/>
  <c r="CN84" i="4" s="1"/>
  <c r="CN37" i="67"/>
  <c r="CK37" i="67"/>
  <c r="CI13" i="67"/>
  <c r="CH25" i="67"/>
  <c r="CF33" i="67"/>
  <c r="BR17" i="67"/>
  <c r="BQ23" i="67"/>
  <c r="BP33" i="67"/>
  <c r="BL17" i="67"/>
  <c r="BI13" i="67"/>
  <c r="BD17" i="67"/>
  <c r="BD23" i="67" s="1"/>
  <c r="BC17" i="67"/>
  <c r="AZ25" i="67"/>
  <c r="AZ37" i="67" s="1"/>
  <c r="AY25" i="67"/>
  <c r="AY37" i="67" s="1"/>
  <c r="AV17" i="67"/>
  <c r="AU25" i="67"/>
  <c r="AU37" i="67" s="1"/>
  <c r="AO25" i="67"/>
  <c r="AO37" i="67" s="1"/>
  <c r="AL13" i="67"/>
  <c r="AK33" i="67"/>
  <c r="AI23" i="67"/>
  <c r="AH13" i="67"/>
  <c r="AH23" i="67" s="1"/>
  <c r="AI25" i="67"/>
  <c r="AF33" i="67"/>
  <c r="CO747" i="4"/>
  <c r="CO543" i="4"/>
  <c r="CO530" i="4"/>
  <c r="CO62" i="4"/>
  <c r="CO54" i="11"/>
  <c r="I54" i="11" s="1"/>
  <c r="CO63" i="4"/>
  <c r="G30" i="4"/>
  <c r="I30" i="4"/>
  <c r="CO54" i="62"/>
  <c r="CO17" i="4"/>
  <c r="CO19" i="4"/>
  <c r="CO20" i="4" s="1"/>
  <c r="CO146" i="4"/>
  <c r="CO151" i="4" s="1"/>
  <c r="I241" i="3"/>
  <c r="AH120" i="64"/>
  <c r="AH64" i="64" s="1"/>
  <c r="AG777" i="4"/>
  <c r="CM641" i="4"/>
  <c r="CM645" i="4"/>
  <c r="CM644" i="4"/>
  <c r="CM660" i="4" s="1"/>
  <c r="CM640" i="4"/>
  <c r="AG119" i="64"/>
  <c r="AG65" i="64" s="1"/>
  <c r="AG116" i="64"/>
  <c r="AM862" i="4"/>
  <c r="AM877" i="4"/>
  <c r="AM869" i="4"/>
  <c r="AM870" i="4"/>
  <c r="AM1032" i="4"/>
  <c r="AM1033" i="4" s="1"/>
  <c r="AM1034" i="4" s="1"/>
  <c r="AM908" i="4" s="1"/>
  <c r="AM874" i="4"/>
  <c r="AM818" i="4"/>
  <c r="AM896" i="4" s="1"/>
  <c r="AM876" i="4"/>
  <c r="AM871" i="4"/>
  <c r="AM860" i="4"/>
  <c r="AM878" i="4"/>
  <c r="AM861" i="4"/>
  <c r="AM875" i="4"/>
  <c r="AM859" i="4"/>
  <c r="AM616" i="4"/>
  <c r="AM606" i="4"/>
  <c r="AM608" i="4" s="1"/>
  <c r="AM613" i="4"/>
  <c r="AM614" i="4" s="1"/>
  <c r="AM620" i="4" s="1"/>
  <c r="AM618" i="4"/>
  <c r="AM667" i="4"/>
  <c r="AM666" i="4"/>
  <c r="AM668" i="4"/>
  <c r="AN79" i="4"/>
  <c r="AM280" i="4"/>
  <c r="G159" i="15"/>
  <c r="CN76" i="4"/>
  <c r="CN77" i="4" s="1"/>
  <c r="CN153" i="4"/>
  <c r="CL645" i="4"/>
  <c r="CL641" i="4"/>
  <c r="CL640" i="4"/>
  <c r="CL644" i="4"/>
  <c r="CO25" i="67"/>
  <c r="CH33" i="67"/>
  <c r="CF13" i="67"/>
  <c r="CF23" i="67" s="1"/>
  <c r="CA25" i="67"/>
  <c r="BW25" i="67"/>
  <c r="BW37" i="67" s="1"/>
  <c r="BU17" i="67"/>
  <c r="BU23" i="67" s="1"/>
  <c r="BU33" i="67"/>
  <c r="BT25" i="67"/>
  <c r="BT37" i="67" s="1"/>
  <c r="BO25" i="67"/>
  <c r="BL23" i="67"/>
  <c r="BI25" i="67"/>
  <c r="BI37" i="67" s="1"/>
  <c r="BI33" i="67"/>
  <c r="BG17" i="67"/>
  <c r="BG23" i="67" s="1"/>
  <c r="BF33" i="67"/>
  <c r="BB23" i="67"/>
  <c r="BA13" i="67"/>
  <c r="BA23" i="67" s="1"/>
  <c r="BA25" i="67"/>
  <c r="BA37" i="67" s="1"/>
  <c r="BA39" i="67" s="1"/>
  <c r="AQ13" i="67"/>
  <c r="AQ23" i="67" s="1"/>
  <c r="AK37" i="67"/>
  <c r="AK39" i="67" s="1"/>
  <c r="AF37" i="67"/>
  <c r="CO188" i="4"/>
  <c r="CO197" i="4" s="1"/>
  <c r="I301" i="3"/>
  <c r="CM605" i="4"/>
  <c r="CM964" i="4"/>
  <c r="AL296" i="4"/>
  <c r="AL304" i="4" s="1"/>
  <c r="CN328" i="4"/>
  <c r="CN42" i="4"/>
  <c r="CN49" i="4" s="1"/>
  <c r="AM284" i="4"/>
  <c r="AL33" i="66"/>
  <c r="AL32" i="66" s="1"/>
  <c r="AL65" i="62"/>
  <c r="AL1241" i="4"/>
  <c r="AL1214" i="4"/>
  <c r="AL81" i="11"/>
  <c r="AL82" i="11" s="1"/>
  <c r="AL1041" i="4"/>
  <c r="CN13" i="67"/>
  <c r="CN23" i="67" s="1"/>
  <c r="CH23" i="67"/>
  <c r="BZ17" i="67"/>
  <c r="BP17" i="67"/>
  <c r="BL25" i="67"/>
  <c r="BE25" i="67"/>
  <c r="BE37" i="67" s="1"/>
  <c r="BC25" i="67"/>
  <c r="BC37" i="67" s="1"/>
  <c r="AW25" i="67"/>
  <c r="AW37" i="67" s="1"/>
  <c r="AT25" i="67"/>
  <c r="AT37" i="67" s="1"/>
  <c r="AS13" i="67"/>
  <c r="AP17" i="67"/>
  <c r="AP23" i="67" s="1"/>
  <c r="AN17" i="67"/>
  <c r="AN23" i="67" s="1"/>
  <c r="AF23" i="67"/>
  <c r="CN250" i="4"/>
  <c r="CN965" i="4"/>
  <c r="CO68" i="4"/>
  <c r="G68" i="4" s="1"/>
  <c r="CN610" i="3"/>
  <c r="CO67" i="4"/>
  <c r="CO75" i="4"/>
  <c r="CO76" i="4" s="1"/>
  <c r="CO18" i="4"/>
  <c r="CO24" i="4" s="1"/>
  <c r="CO88" i="4" s="1"/>
  <c r="CO82" i="4"/>
  <c r="BW33" i="62"/>
  <c r="M54" i="67"/>
  <c r="AU32" i="62"/>
  <c r="CL32" i="62"/>
  <c r="CJ32" i="62"/>
  <c r="BI33" i="62"/>
  <c r="AL32" i="62"/>
  <c r="BO33" i="62"/>
  <c r="AW33" i="62"/>
  <c r="AH32" i="62"/>
  <c r="CO33" i="62"/>
  <c r="BC33" i="62"/>
  <c r="BT33" i="62"/>
  <c r="BR32" i="62"/>
  <c r="AU33" i="62"/>
  <c r="AJ32" i="62"/>
  <c r="AR32" i="62"/>
  <c r="CA33" i="62"/>
  <c r="BK32" i="62"/>
  <c r="BU33" i="62"/>
  <c r="BJ32" i="62"/>
  <c r="AG33" i="62"/>
  <c r="AX33" i="62"/>
  <c r="AM33" i="62"/>
  <c r="CC32" i="62"/>
  <c r="CK32" i="62"/>
  <c r="AK32" i="62"/>
  <c r="BY32" i="62"/>
  <c r="BS33" i="62"/>
  <c r="CB33" i="62"/>
  <c r="AH33" i="62"/>
  <c r="BH33" i="62"/>
  <c r="AK33" i="62"/>
  <c r="AN32" i="62"/>
  <c r="CA32" i="62"/>
  <c r="AS33" i="62"/>
  <c r="BC32" i="62"/>
  <c r="AP32" i="62"/>
  <c r="CC33" i="62"/>
  <c r="AV32" i="62"/>
  <c r="CF32" i="62"/>
  <c r="BQ33" i="62"/>
  <c r="CD33" i="62"/>
  <c r="BB33" i="62"/>
  <c r="CE32" i="62"/>
  <c r="BB32" i="62"/>
  <c r="BQ32" i="62"/>
  <c r="AJ33" i="62"/>
  <c r="BX32" i="62"/>
  <c r="BR33" i="62"/>
  <c r="BG32" i="62"/>
  <c r="BF32" i="62"/>
  <c r="CO32" i="62"/>
  <c r="BN33" i="62"/>
  <c r="CE33" i="62"/>
  <c r="CD32" i="62"/>
  <c r="BD32" i="62"/>
  <c r="CG32" i="62"/>
  <c r="BL32" i="62"/>
  <c r="BA32" i="62"/>
  <c r="BI32" i="62"/>
  <c r="BX33" i="62"/>
  <c r="CM32" i="62"/>
  <c r="AV33" i="62"/>
  <c r="BV32" i="62"/>
  <c r="AP33" i="62"/>
  <c r="BG33" i="62"/>
  <c r="AX32" i="62"/>
  <c r="BV33" i="62"/>
  <c r="BJ33" i="62"/>
  <c r="AQ32" i="62"/>
  <c r="BZ32" i="62"/>
  <c r="AQ33" i="62"/>
  <c r="CG33" i="62"/>
  <c r="CL33" i="62"/>
  <c r="CB32" i="62"/>
  <c r="CN33" i="62"/>
  <c r="AI32" i="62"/>
  <c r="BT32" i="62"/>
  <c r="BW32" i="62"/>
  <c r="AY32" i="62"/>
  <c r="CN32" i="62"/>
  <c r="BP32" i="62"/>
  <c r="AG32" i="62"/>
  <c r="BA33" i="62"/>
  <c r="AN33" i="62"/>
  <c r="BM33" i="62"/>
  <c r="BE33" i="62"/>
  <c r="AO32" i="62"/>
  <c r="AW32" i="62"/>
  <c r="AT33" i="62"/>
  <c r="CJ33" i="62"/>
  <c r="AZ33" i="62"/>
  <c r="CH33" i="62"/>
  <c r="L54" i="67"/>
  <c r="BF33" i="62"/>
  <c r="CI33" i="62"/>
  <c r="BH32" i="62"/>
  <c r="BP33" i="62"/>
  <c r="AR33" i="62"/>
  <c r="BD33" i="62"/>
  <c r="AM32" i="62"/>
  <c r="AY33" i="62"/>
  <c r="CM33" i="62"/>
  <c r="AO33" i="62"/>
  <c r="BL33" i="62"/>
  <c r="BK33" i="62"/>
  <c r="L13" i="72"/>
  <c r="AZ32" i="62"/>
  <c r="BM32" i="62"/>
  <c r="AS32" i="62"/>
  <c r="BO32" i="62"/>
  <c r="AL33" i="62"/>
  <c r="AI33" i="62"/>
  <c r="BE32" i="62"/>
  <c r="CI32" i="62"/>
  <c r="CF33" i="62"/>
  <c r="BN32" i="62"/>
  <c r="BY33" i="62"/>
  <c r="AT32" i="62"/>
  <c r="BS32" i="62"/>
  <c r="CH32" i="62"/>
  <c r="BZ33" i="62"/>
  <c r="CK33" i="62"/>
  <c r="BU32" i="62"/>
  <c r="Q54" i="67"/>
  <c r="N54" i="67"/>
  <c r="O54" i="67"/>
  <c r="P54" i="67"/>
  <c r="T54" i="67"/>
  <c r="S54" i="67"/>
  <c r="U54" i="67"/>
  <c r="R54" i="67"/>
  <c r="W54" i="67"/>
  <c r="X54" i="67"/>
  <c r="Y54" i="67"/>
  <c r="V54" i="67"/>
  <c r="Z54" i="67"/>
  <c r="AA54" i="67"/>
  <c r="AB54" i="67"/>
  <c r="AC54" i="67"/>
  <c r="AD54" i="67"/>
  <c r="AG1449" i="4"/>
  <c r="AG1353" i="4"/>
  <c r="AH1316" i="4"/>
  <c r="AH90" i="67"/>
  <c r="AG1316" i="4"/>
  <c r="AE54" i="67"/>
  <c r="AH44" i="67"/>
  <c r="AG47" i="67"/>
  <c r="AH13" i="72"/>
  <c r="AI19" i="72"/>
  <c r="AI1449" i="4"/>
  <c r="AG50" i="67"/>
  <c r="AG49" i="67" s="1"/>
  <c r="AH86" i="67"/>
  <c r="AG56" i="67"/>
  <c r="AG70" i="67"/>
  <c r="AH77" i="67"/>
  <c r="AG20" i="72"/>
  <c r="AH70" i="67"/>
  <c r="AG44" i="67"/>
  <c r="AG75" i="67"/>
  <c r="AH18" i="72"/>
  <c r="AG72" i="67"/>
  <c r="AG54" i="67"/>
  <c r="AH45" i="67"/>
  <c r="AG69" i="67"/>
  <c r="AH20" i="72"/>
  <c r="AG14" i="72"/>
  <c r="AG90" i="67"/>
  <c r="AH81" i="67"/>
  <c r="AH82" i="67" s="1"/>
  <c r="AG85" i="67"/>
  <c r="AH50" i="67"/>
  <c r="AH49" i="67" s="1"/>
  <c r="AJ1353" i="4"/>
  <c r="AH76" i="67"/>
  <c r="AH69" i="67"/>
  <c r="AH72" i="67"/>
  <c r="AK1316" i="4"/>
  <c r="AI1353" i="4"/>
  <c r="AH53" i="67"/>
  <c r="AH47" i="67"/>
  <c r="AG73" i="67"/>
  <c r="AG88" i="67"/>
  <c r="AH88" i="67"/>
  <c r="AH56" i="67"/>
  <c r="AG77" i="67"/>
  <c r="AH87" i="67"/>
  <c r="AG51" i="67"/>
  <c r="AG89" i="67"/>
  <c r="AH51" i="67"/>
  <c r="AG18" i="72"/>
  <c r="AG15" i="72"/>
  <c r="AG16" i="72"/>
  <c r="AG74" i="67"/>
  <c r="AI20" i="72"/>
  <c r="AH16" i="72"/>
  <c r="AH15" i="72"/>
  <c r="AH74" i="67"/>
  <c r="AH85" i="67"/>
  <c r="AG71" i="67"/>
  <c r="AG13" i="72"/>
  <c r="AI14" i="72"/>
  <c r="AG81" i="67"/>
  <c r="AG82" i="67" s="1"/>
  <c r="AI1316" i="4"/>
  <c r="AH71" i="67"/>
  <c r="AH54" i="67"/>
  <c r="AG76" i="67"/>
  <c r="AG45" i="67"/>
  <c r="AH14" i="72"/>
  <c r="AG58" i="67"/>
  <c r="AJ1316" i="4"/>
  <c r="AG87" i="67"/>
  <c r="AH75" i="67"/>
  <c r="AL85" i="67"/>
  <c r="AM1316" i="4"/>
  <c r="AH89" i="67"/>
  <c r="AG53" i="67"/>
  <c r="AH73" i="67"/>
  <c r="AH1353" i="4"/>
  <c r="AH58" i="67"/>
  <c r="AH19" i="72"/>
  <c r="AH1449" i="4"/>
  <c r="AG19" i="72"/>
  <c r="AG86" i="67"/>
  <c r="AJ1449" i="4"/>
  <c r="AJ16" i="72"/>
  <c r="AI53" i="67"/>
  <c r="AI75" i="67"/>
  <c r="AM73" i="67"/>
  <c r="AJ13" i="72"/>
  <c r="AI47" i="67"/>
  <c r="AI54" i="67"/>
  <c r="AI85" i="67"/>
  <c r="AI13" i="72"/>
  <c r="AI56" i="67"/>
  <c r="AI88" i="67"/>
  <c r="AI16" i="72"/>
  <c r="AI86" i="67"/>
  <c r="AI69" i="67"/>
  <c r="AI18" i="72"/>
  <c r="AJ18" i="72"/>
  <c r="AI44" i="67"/>
  <c r="AI71" i="67"/>
  <c r="AI45" i="67"/>
  <c r="AI87" i="67"/>
  <c r="AJ20" i="72"/>
  <c r="AL74" i="67"/>
  <c r="AI50" i="67"/>
  <c r="AI49" i="67" s="1"/>
  <c r="AJ19" i="72"/>
  <c r="AI51" i="67"/>
  <c r="AI72" i="67"/>
  <c r="AJ14" i="72"/>
  <c r="AI70" i="67"/>
  <c r="AI15" i="72"/>
  <c r="AK1449" i="4"/>
  <c r="AI73" i="67"/>
  <c r="AL70" i="67"/>
  <c r="AI76" i="67"/>
  <c r="AI77" i="67"/>
  <c r="AI58" i="67"/>
  <c r="AI74" i="67"/>
  <c r="AJ15" i="72"/>
  <c r="AL1316" i="4"/>
  <c r="AI89" i="67"/>
  <c r="AI90" i="67"/>
  <c r="AL87" i="67"/>
  <c r="AK1353" i="4"/>
  <c r="AI81" i="67"/>
  <c r="AI82" i="67" s="1"/>
  <c r="AL45" i="67"/>
  <c r="AK13" i="72"/>
  <c r="AM44" i="67"/>
  <c r="AL58" i="67"/>
  <c r="AJ86" i="67"/>
  <c r="AJ71" i="67"/>
  <c r="AJ75" i="67"/>
  <c r="AM88" i="67"/>
  <c r="AL47" i="67"/>
  <c r="AM72" i="67"/>
  <c r="AL13" i="72"/>
  <c r="AM45" i="67"/>
  <c r="AN1316" i="4"/>
  <c r="AL16" i="72"/>
  <c r="AK45" i="67"/>
  <c r="AL51" i="67"/>
  <c r="AK20" i="72"/>
  <c r="AJ70" i="67"/>
  <c r="AJ56" i="67"/>
  <c r="AL89" i="67"/>
  <c r="AK56" i="67"/>
  <c r="AM74" i="67"/>
  <c r="AN1353" i="4"/>
  <c r="AJ87" i="67"/>
  <c r="AJ58" i="67"/>
  <c r="AK81" i="67"/>
  <c r="AK82" i="67" s="1"/>
  <c r="AM20" i="72"/>
  <c r="AJ88" i="67"/>
  <c r="AK18" i="72"/>
  <c r="AK16" i="72"/>
  <c r="AM89" i="67"/>
  <c r="AM1449" i="4"/>
  <c r="AM87" i="67"/>
  <c r="AL20" i="72"/>
  <c r="AM56" i="67"/>
  <c r="AL73" i="67"/>
  <c r="AL76" i="67"/>
  <c r="AK88" i="67"/>
  <c r="AM81" i="67"/>
  <c r="AM82" i="67" s="1"/>
  <c r="AJ81" i="67"/>
  <c r="AJ82" i="67" s="1"/>
  <c r="AK51" i="67"/>
  <c r="AL77" i="67"/>
  <c r="AM15" i="72"/>
  <c r="AK58" i="67"/>
  <c r="AM71" i="67"/>
  <c r="AL44" i="67"/>
  <c r="AM16" i="72"/>
  <c r="AM69" i="67"/>
  <c r="AL50" i="67"/>
  <c r="AL49" i="67" s="1"/>
  <c r="AJ53" i="67"/>
  <c r="AP15" i="72"/>
  <c r="AK71" i="67"/>
  <c r="AL90" i="67"/>
  <c r="AJ54" i="67"/>
  <c r="AL81" i="67"/>
  <c r="AL82" i="67" s="1"/>
  <c r="AK15" i="72"/>
  <c r="AM13" i="72"/>
  <c r="AK90" i="67"/>
  <c r="AM58" i="67"/>
  <c r="AM53" i="67"/>
  <c r="AM77" i="67"/>
  <c r="AO1449" i="4"/>
  <c r="AM47" i="67"/>
  <c r="AK47" i="67"/>
  <c r="AJ85" i="67"/>
  <c r="AJ69" i="67"/>
  <c r="AK87" i="67"/>
  <c r="AK73" i="67"/>
  <c r="AL69" i="67"/>
  <c r="AM70" i="67"/>
  <c r="AK75" i="67"/>
  <c r="AK44" i="67"/>
  <c r="AK85" i="67"/>
  <c r="AJ72" i="67"/>
  <c r="AL75" i="67"/>
  <c r="AJ76" i="67"/>
  <c r="AJ44" i="67"/>
  <c r="AJ51" i="67"/>
  <c r="AL86" i="67"/>
  <c r="AK50" i="67"/>
  <c r="AK49" i="67" s="1"/>
  <c r="AL1353" i="4"/>
  <c r="AK76" i="67"/>
  <c r="AL88" i="67"/>
  <c r="AK69" i="67"/>
  <c r="AJ90" i="67"/>
  <c r="AK74" i="67"/>
  <c r="AK14" i="72"/>
  <c r="AM18" i="72"/>
  <c r="AM19" i="72" s="1"/>
  <c r="AJ45" i="67"/>
  <c r="AL56" i="67"/>
  <c r="AJ74" i="67"/>
  <c r="AJ77" i="67"/>
  <c r="AJ50" i="67"/>
  <c r="AJ49" i="67" s="1"/>
  <c r="AK54" i="67"/>
  <c r="AK77" i="67"/>
  <c r="AL54" i="67"/>
  <c r="AK19" i="72"/>
  <c r="AJ73" i="67"/>
  <c r="AM50" i="67"/>
  <c r="AM49" i="67" s="1"/>
  <c r="AJ47" i="67"/>
  <c r="AM86" i="67"/>
  <c r="AL15" i="72"/>
  <c r="AK70" i="67"/>
  <c r="AL53" i="67"/>
  <c r="AK53" i="67"/>
  <c r="AM76" i="67"/>
  <c r="AM54" i="67"/>
  <c r="AM85" i="67"/>
  <c r="AL72" i="67"/>
  <c r="AL1449" i="4"/>
  <c r="AK89" i="67"/>
  <c r="AM14" i="72"/>
  <c r="AM90" i="67"/>
  <c r="AM1353" i="4"/>
  <c r="AK72" i="67"/>
  <c r="AK86" i="67"/>
  <c r="AL14" i="72"/>
  <c r="AL71" i="67"/>
  <c r="AN1449" i="4"/>
  <c r="AO1316" i="4"/>
  <c r="AL18" i="72"/>
  <c r="AL19" i="72" s="1"/>
  <c r="AM75" i="67"/>
  <c r="AM51" i="67"/>
  <c r="AJ89" i="67"/>
  <c r="AN45" i="67"/>
  <c r="AN51" i="67"/>
  <c r="AO16" i="72"/>
  <c r="AO18" i="72"/>
  <c r="AO19" i="72" s="1"/>
  <c r="AP1353" i="4"/>
  <c r="AS14" i="72"/>
  <c r="AN85" i="67"/>
  <c r="AN18" i="72"/>
  <c r="AN19" i="72" s="1"/>
  <c r="AO15" i="72"/>
  <c r="AR1353" i="4"/>
  <c r="AN50" i="67"/>
  <c r="AN49" i="67" s="1"/>
  <c r="AN16" i="72"/>
  <c r="AN44" i="67"/>
  <c r="AN72" i="67"/>
  <c r="AS16" i="72"/>
  <c r="AN69" i="67"/>
  <c r="AO14" i="72"/>
  <c r="AN20" i="72"/>
  <c r="AO1353" i="4"/>
  <c r="AN73" i="67"/>
  <c r="AN15" i="72"/>
  <c r="AP1449" i="4"/>
  <c r="AN76" i="67"/>
  <c r="AN75" i="67"/>
  <c r="AP18" i="72"/>
  <c r="AP19" i="72" s="1"/>
  <c r="AN77" i="67"/>
  <c r="AO13" i="72"/>
  <c r="AN87" i="67"/>
  <c r="AN47" i="67"/>
  <c r="AQ1316" i="4"/>
  <c r="AN88" i="67"/>
  <c r="AP1316" i="4"/>
  <c r="AN53" i="67"/>
  <c r="AN58" i="67"/>
  <c r="AN86" i="67"/>
  <c r="AN71" i="67"/>
  <c r="AN74" i="67"/>
  <c r="AN81" i="67"/>
  <c r="AN82" i="67" s="1"/>
  <c r="AN90" i="67"/>
  <c r="AN54" i="67"/>
  <c r="AN56" i="67"/>
  <c r="AN89" i="67"/>
  <c r="AN70" i="67"/>
  <c r="AP20" i="72"/>
  <c r="AN13" i="72"/>
  <c r="AP14" i="72"/>
  <c r="AN14" i="72"/>
  <c r="AP16" i="72"/>
  <c r="AO20" i="72"/>
  <c r="AP50" i="67"/>
  <c r="AP49" i="67" s="1"/>
  <c r="AP69" i="67"/>
  <c r="AO70" i="67"/>
  <c r="AO50" i="67"/>
  <c r="AO49" i="67" s="1"/>
  <c r="AP81" i="67"/>
  <c r="AP82" i="67" s="1"/>
  <c r="AS15" i="72"/>
  <c r="AP51" i="67"/>
  <c r="AO89" i="67"/>
  <c r="AO44" i="67"/>
  <c r="AO58" i="67"/>
  <c r="AP87" i="67"/>
  <c r="AP47" i="67"/>
  <c r="AP88" i="67"/>
  <c r="AO85" i="67"/>
  <c r="AP13" i="72"/>
  <c r="AT1353" i="4"/>
  <c r="AS18" i="72"/>
  <c r="AS19" i="72" s="1"/>
  <c r="AP74" i="67"/>
  <c r="AP73" i="67"/>
  <c r="AO69" i="67"/>
  <c r="AP58" i="67"/>
  <c r="AS1316" i="4"/>
  <c r="AP76" i="67"/>
  <c r="AO86" i="67"/>
  <c r="AP44" i="67"/>
  <c r="AO76" i="67"/>
  <c r="AO53" i="67"/>
  <c r="AO90" i="67"/>
  <c r="AO45" i="67"/>
  <c r="AO75" i="67"/>
  <c r="AO71" i="67"/>
  <c r="AQ20" i="72"/>
  <c r="AQ1353" i="4"/>
  <c r="AO77" i="67"/>
  <c r="AR1316" i="4"/>
  <c r="AP77" i="67"/>
  <c r="AO56" i="67"/>
  <c r="AP71" i="67"/>
  <c r="AP90" i="67"/>
  <c r="AT1449" i="4"/>
  <c r="AP85" i="67"/>
  <c r="AO72" i="67"/>
  <c r="AO88" i="67"/>
  <c r="AP56" i="67"/>
  <c r="AR1449" i="4"/>
  <c r="AO87" i="67"/>
  <c r="AO51" i="67"/>
  <c r="AQ1449" i="4"/>
  <c r="AP89" i="67"/>
  <c r="AO74" i="67"/>
  <c r="AO81" i="67"/>
  <c r="AO82" i="67" s="1"/>
  <c r="AO47" i="67"/>
  <c r="AO73" i="67"/>
  <c r="AO54" i="67"/>
  <c r="AQ13" i="72"/>
  <c r="AR47" i="67"/>
  <c r="AP70" i="67"/>
  <c r="AU69" i="67"/>
  <c r="AU1353" i="4"/>
  <c r="AR45" i="67"/>
  <c r="AP54" i="67"/>
  <c r="AS1353" i="4"/>
  <c r="AQ89" i="67"/>
  <c r="AR44" i="67"/>
  <c r="AR13" i="72"/>
  <c r="AR86" i="67"/>
  <c r="AQ81" i="67"/>
  <c r="AQ82" i="67" s="1"/>
  <c r="AQ51" i="67"/>
  <c r="AQ87" i="67"/>
  <c r="AU1449" i="4"/>
  <c r="AS88" i="67"/>
  <c r="AS72" i="67"/>
  <c r="AR16" i="72"/>
  <c r="AU1316" i="4"/>
  <c r="AS73" i="67"/>
  <c r="AQ58" i="67"/>
  <c r="AR76" i="67"/>
  <c r="AQ86" i="67"/>
  <c r="AQ88" i="67"/>
  <c r="AQ50" i="67"/>
  <c r="AQ49" i="67" s="1"/>
  <c r="AQ44" i="67"/>
  <c r="AS81" i="67"/>
  <c r="AS82" i="67" s="1"/>
  <c r="AQ74" i="67"/>
  <c r="AQ70" i="67"/>
  <c r="AS50" i="67"/>
  <c r="AS49" i="67" s="1"/>
  <c r="AS20" i="72"/>
  <c r="AP45" i="67"/>
  <c r="AT1316" i="4"/>
  <c r="AQ16" i="72"/>
  <c r="AQ90" i="67"/>
  <c r="AS69" i="67"/>
  <c r="AS86" i="67"/>
  <c r="AP86" i="67"/>
  <c r="AS74" i="67"/>
  <c r="AS77" i="67"/>
  <c r="AQ75" i="67"/>
  <c r="AR18" i="72"/>
  <c r="AR19" i="72" s="1"/>
  <c r="AR50" i="67"/>
  <c r="AR49" i="67" s="1"/>
  <c r="AR75" i="67"/>
  <c r="AR74" i="67"/>
  <c r="AR77" i="67"/>
  <c r="AR88" i="67"/>
  <c r="AQ15" i="72"/>
  <c r="AS53" i="67"/>
  <c r="AR20" i="72"/>
  <c r="AT15" i="72"/>
  <c r="AR72" i="67"/>
  <c r="AR87" i="67"/>
  <c r="AR53" i="67"/>
  <c r="AP72" i="67"/>
  <c r="AR69" i="67"/>
  <c r="AS87" i="67"/>
  <c r="AQ18" i="72"/>
  <c r="AQ19" i="72" s="1"/>
  <c r="AR71" i="67"/>
  <c r="AS71" i="67"/>
  <c r="AS75" i="67"/>
  <c r="AS85" i="67"/>
  <c r="AR90" i="67"/>
  <c r="AS70" i="67"/>
  <c r="AQ72" i="67"/>
  <c r="AS47" i="67"/>
  <c r="AR54" i="67"/>
  <c r="AQ73" i="67"/>
  <c r="AT13" i="72"/>
  <c r="AR56" i="67"/>
  <c r="AQ56" i="67"/>
  <c r="AR73" i="67"/>
  <c r="AQ69" i="67"/>
  <c r="AQ45" i="67"/>
  <c r="AS51" i="67"/>
  <c r="AR89" i="67"/>
  <c r="AQ76" i="67"/>
  <c r="AR51" i="67"/>
  <c r="AS13" i="72"/>
  <c r="AQ71" i="67"/>
  <c r="AQ53" i="67"/>
  <c r="AP75" i="67"/>
  <c r="AP53" i="67"/>
  <c r="AS89" i="67"/>
  <c r="AQ47" i="67"/>
  <c r="AR14" i="72"/>
  <c r="AQ77" i="67"/>
  <c r="AS90" i="67"/>
  <c r="AT20" i="72"/>
  <c r="AR81" i="67"/>
  <c r="AR82" i="67" s="1"/>
  <c r="AS58" i="67"/>
  <c r="AS54" i="67"/>
  <c r="AQ85" i="67"/>
  <c r="AS76" i="67"/>
  <c r="AS56" i="67"/>
  <c r="AT16" i="72"/>
  <c r="AR58" i="67"/>
  <c r="AS44" i="67"/>
  <c r="AR85" i="67"/>
  <c r="AS45" i="67"/>
  <c r="AR70" i="67"/>
  <c r="AQ54" i="67"/>
  <c r="AS1449" i="4"/>
  <c r="AQ14" i="72"/>
  <c r="AR15" i="72"/>
  <c r="AT54" i="67"/>
  <c r="AV1316" i="4"/>
  <c r="AU86" i="67"/>
  <c r="AT89" i="67"/>
  <c r="AT71" i="67"/>
  <c r="AT70" i="67"/>
  <c r="AU89" i="67"/>
  <c r="AT72" i="67"/>
  <c r="AT69" i="67"/>
  <c r="AT77" i="67"/>
  <c r="AU73" i="67"/>
  <c r="AT73" i="67"/>
  <c r="AU13" i="72"/>
  <c r="AT75" i="67"/>
  <c r="AT44" i="67"/>
  <c r="AT14" i="72"/>
  <c r="AT47" i="67"/>
  <c r="AU75" i="67"/>
  <c r="AU58" i="67"/>
  <c r="AU76" i="67"/>
  <c r="AT58" i="67"/>
  <c r="AT81" i="67"/>
  <c r="AT82" i="67" s="1"/>
  <c r="AU15" i="72"/>
  <c r="AT53" i="67"/>
  <c r="AU70" i="67"/>
  <c r="AT50" i="67"/>
  <c r="AT49" i="67" s="1"/>
  <c r="AU45" i="67"/>
  <c r="AT51" i="67"/>
  <c r="AU85" i="67"/>
  <c r="AU14" i="72"/>
  <c r="AV1353" i="4"/>
  <c r="AU77" i="67"/>
  <c r="AT45" i="67"/>
  <c r="AT18" i="72"/>
  <c r="AT19" i="72" s="1"/>
  <c r="AU47" i="67"/>
  <c r="AT76" i="67"/>
  <c r="AT86" i="67"/>
  <c r="AV1449" i="4"/>
  <c r="AU50" i="67"/>
  <c r="AU49" i="67" s="1"/>
  <c r="AT90" i="67"/>
  <c r="AV56" i="67"/>
  <c r="AV47" i="67"/>
  <c r="AV14" i="72"/>
  <c r="AV85" i="67"/>
  <c r="AU18" i="72"/>
  <c r="AU19" i="72" s="1"/>
  <c r="AX1316" i="4"/>
  <c r="AV90" i="67"/>
  <c r="AU54" i="67"/>
  <c r="AX1353" i="4"/>
  <c r="AT85" i="67"/>
  <c r="AU87" i="67"/>
  <c r="AT88" i="67"/>
  <c r="AU20" i="72"/>
  <c r="AV77" i="67"/>
  <c r="AV74" i="67"/>
  <c r="AU72" i="67"/>
  <c r="AW1353" i="4"/>
  <c r="AX44" i="67"/>
  <c r="AV54" i="67"/>
  <c r="AT74" i="67"/>
  <c r="AT87" i="67"/>
  <c r="AW1316" i="4"/>
  <c r="AW16" i="72"/>
  <c r="AU51" i="67"/>
  <c r="AV18" i="72"/>
  <c r="AV19" i="72" s="1"/>
  <c r="AV89" i="67"/>
  <c r="AV86" i="67"/>
  <c r="AV53" i="67"/>
  <c r="AU74" i="67"/>
  <c r="AT56" i="67"/>
  <c r="AU16" i="72"/>
  <c r="AU56" i="67"/>
  <c r="AV16" i="72"/>
  <c r="AV69" i="67"/>
  <c r="AV73" i="67"/>
  <c r="AV15" i="72"/>
  <c r="AV20" i="72"/>
  <c r="AV87" i="67"/>
  <c r="AU71" i="67"/>
  <c r="AU44" i="67"/>
  <c r="AV70" i="67"/>
  <c r="AV51" i="67"/>
  <c r="AU81" i="67"/>
  <c r="AU82" i="67" s="1"/>
  <c r="AW15" i="72"/>
  <c r="AX58" i="67"/>
  <c r="AW75" i="67"/>
  <c r="AW74" i="67"/>
  <c r="AV58" i="67"/>
  <c r="AV75" i="67"/>
  <c r="AW69" i="67"/>
  <c r="AW14" i="72"/>
  <c r="AX75" i="67"/>
  <c r="AX14" i="72"/>
  <c r="AV81" i="67"/>
  <c r="AV82" i="67" s="1"/>
  <c r="AW1449" i="4"/>
  <c r="AW13" i="72"/>
  <c r="AV13" i="72"/>
  <c r="AW76" i="67"/>
  <c r="AV88" i="67"/>
  <c r="AV71" i="67"/>
  <c r="AV45" i="67"/>
  <c r="AV72" i="67"/>
  <c r="AV44" i="67"/>
  <c r="AW71" i="67"/>
  <c r="AX1449" i="4"/>
  <c r="AW88" i="67"/>
  <c r="AU90" i="67"/>
  <c r="AX72" i="67"/>
  <c r="AW73" i="67"/>
  <c r="AW18" i="72"/>
  <c r="AW19" i="72" s="1"/>
  <c r="AW20" i="72"/>
  <c r="AY16" i="72"/>
  <c r="AU88" i="67"/>
  <c r="AV76" i="67"/>
  <c r="AW54" i="67"/>
  <c r="AW70" i="67"/>
  <c r="AX73" i="67"/>
  <c r="AW72" i="67"/>
  <c r="AW45" i="67"/>
  <c r="AX15" i="72"/>
  <c r="AU53" i="67"/>
  <c r="AV50" i="67"/>
  <c r="AV49" i="67" s="1"/>
  <c r="AY14" i="72"/>
  <c r="AX18" i="72"/>
  <c r="AX19" i="72" s="1"/>
  <c r="AX77" i="67"/>
  <c r="AX47" i="67"/>
  <c r="AW89" i="67"/>
  <c r="AZ1316" i="4"/>
  <c r="AX54" i="67"/>
  <c r="AW77" i="67"/>
  <c r="AX74" i="67"/>
  <c r="AX85" i="67"/>
  <c r="AX53" i="67"/>
  <c r="AY15" i="72"/>
  <c r="AX89" i="67"/>
  <c r="AX88" i="67"/>
  <c r="AX69" i="67"/>
  <c r="AX13" i="72"/>
  <c r="AW86" i="67"/>
  <c r="AX90" i="67"/>
  <c r="BA1316" i="4"/>
  <c r="AX56" i="67"/>
  <c r="AY20" i="72"/>
  <c r="AW53" i="67"/>
  <c r="AY1316" i="4"/>
  <c r="AW50" i="67"/>
  <c r="AW49" i="67" s="1"/>
  <c r="AW51" i="67"/>
  <c r="AX86" i="67"/>
  <c r="AY1449" i="4"/>
  <c r="AZ1353" i="4"/>
  <c r="AW58" i="67"/>
  <c r="AX76" i="67"/>
  <c r="AX70" i="67"/>
  <c r="AW81" i="67"/>
  <c r="AW82" i="67" s="1"/>
  <c r="AX20" i="72"/>
  <c r="AW90" i="67"/>
  <c r="AY13" i="72"/>
  <c r="BA1353" i="4"/>
  <c r="AX16" i="72"/>
  <c r="AZ16" i="72"/>
  <c r="AX81" i="67"/>
  <c r="AX82" i="67" s="1"/>
  <c r="AX87" i="67"/>
  <c r="AW44" i="67"/>
  <c r="AX45" i="67"/>
  <c r="AW87" i="67"/>
  <c r="AX51" i="67"/>
  <c r="AW85" i="67"/>
  <c r="AW47" i="67"/>
  <c r="AY1353" i="4"/>
  <c r="AX50" i="67"/>
  <c r="AX49" i="67" s="1"/>
  <c r="AZ14" i="72"/>
  <c r="AX71" i="67"/>
  <c r="AZ20" i="72"/>
  <c r="AW56" i="67"/>
  <c r="BA20" i="72"/>
  <c r="AY71" i="67"/>
  <c r="AY18" i="72"/>
  <c r="AY19" i="72" s="1"/>
  <c r="AZ15" i="72"/>
  <c r="AY47" i="67"/>
  <c r="BA18" i="72"/>
  <c r="BA19" i="72" s="1"/>
  <c r="AY77" i="67"/>
  <c r="AY70" i="67"/>
  <c r="AY76" i="67"/>
  <c r="AY72" i="67"/>
  <c r="AY44" i="67"/>
  <c r="BA1449" i="4"/>
  <c r="BB1449" i="4"/>
  <c r="BB1316" i="4"/>
  <c r="BA16" i="72"/>
  <c r="AY53" i="67"/>
  <c r="AY69" i="67"/>
  <c r="AY85" i="67"/>
  <c r="AZ18" i="72"/>
  <c r="AZ19" i="72" s="1"/>
  <c r="BB58" i="67"/>
  <c r="AY54" i="67"/>
  <c r="BA15" i="72"/>
  <c r="AY45" i="67"/>
  <c r="AY73" i="67"/>
  <c r="AY50" i="67"/>
  <c r="AY49" i="67" s="1"/>
  <c r="AZ1449" i="4"/>
  <c r="AY56" i="67"/>
  <c r="AY90" i="67"/>
  <c r="AZ87" i="67"/>
  <c r="AY51" i="67"/>
  <c r="AY81" i="67"/>
  <c r="AY82" i="67" s="1"/>
  <c r="AY88" i="67"/>
  <c r="AZ13" i="72"/>
  <c r="AY89" i="67"/>
  <c r="AY75" i="67"/>
  <c r="AY74" i="67"/>
  <c r="BA13" i="72"/>
  <c r="AY87" i="67"/>
  <c r="BB1353" i="4"/>
  <c r="AY58" i="67"/>
  <c r="AY86" i="67"/>
  <c r="BB14" i="72"/>
  <c r="BA73" i="67"/>
  <c r="BB87" i="67"/>
  <c r="AZ89" i="67"/>
  <c r="BB81" i="67"/>
  <c r="BB82" i="67" s="1"/>
  <c r="BA75" i="67"/>
  <c r="BB86" i="67"/>
  <c r="BC1449" i="4"/>
  <c r="BC1353" i="4"/>
  <c r="BD1449" i="4"/>
  <c r="AZ69" i="67"/>
  <c r="AZ47" i="67"/>
  <c r="BA74" i="67"/>
  <c r="BD1316" i="4"/>
  <c r="BB15" i="72"/>
  <c r="AZ75" i="67"/>
  <c r="BA54" i="67"/>
  <c r="BA14" i="72"/>
  <c r="BA69" i="67"/>
  <c r="AZ88" i="67"/>
  <c r="BA89" i="67"/>
  <c r="BB73" i="67"/>
  <c r="AZ70" i="67"/>
  <c r="BC1316" i="4"/>
  <c r="BA71" i="67"/>
  <c r="AZ73" i="67"/>
  <c r="BB20" i="72"/>
  <c r="AZ58" i="67"/>
  <c r="AZ71" i="67"/>
  <c r="AZ51" i="67"/>
  <c r="BB90" i="67"/>
  <c r="BA86" i="67"/>
  <c r="AZ86" i="67"/>
  <c r="BA88" i="67"/>
  <c r="BB16" i="72"/>
  <c r="BE1316" i="4"/>
  <c r="AZ50" i="67"/>
  <c r="AZ49" i="67" s="1"/>
  <c r="AZ53" i="67"/>
  <c r="BA81" i="67"/>
  <c r="BA82" i="67" s="1"/>
  <c r="AZ76" i="67"/>
  <c r="AZ72" i="67"/>
  <c r="BA70" i="67"/>
  <c r="BA53" i="67"/>
  <c r="BA58" i="67"/>
  <c r="BB89" i="67"/>
  <c r="BA56" i="67"/>
  <c r="BB54" i="67"/>
  <c r="AZ77" i="67"/>
  <c r="AZ44" i="67"/>
  <c r="BB69" i="67"/>
  <c r="BH20" i="72"/>
  <c r="BA90" i="67"/>
  <c r="BC20" i="72"/>
  <c r="AZ81" i="67"/>
  <c r="AZ82" i="67" s="1"/>
  <c r="BA51" i="67"/>
  <c r="AZ90" i="67"/>
  <c r="AZ45" i="67"/>
  <c r="BA76" i="67"/>
  <c r="BD1353" i="4"/>
  <c r="BA45" i="67"/>
  <c r="BC13" i="72"/>
  <c r="AZ74" i="67"/>
  <c r="BB51" i="67"/>
  <c r="BA50" i="67"/>
  <c r="BA49" i="67" s="1"/>
  <c r="BB53" i="67"/>
  <c r="BA87" i="67"/>
  <c r="BB45" i="67"/>
  <c r="BB74" i="67"/>
  <c r="BA85" i="67"/>
  <c r="AZ54" i="67"/>
  <c r="BA77" i="67"/>
  <c r="BC15" i="72"/>
  <c r="BB18" i="72"/>
  <c r="BB19" i="72" s="1"/>
  <c r="BA72" i="67"/>
  <c r="BB44" i="67"/>
  <c r="AZ56" i="67"/>
  <c r="BB13" i="72"/>
  <c r="BA44" i="67"/>
  <c r="BB71" i="67"/>
  <c r="BA47" i="67"/>
  <c r="AZ85" i="67"/>
  <c r="BC58" i="67"/>
  <c r="BB77" i="67"/>
  <c r="BE15" i="72"/>
  <c r="BD45" i="67"/>
  <c r="BC76" i="67"/>
  <c r="BC71" i="67"/>
  <c r="BD16" i="72"/>
  <c r="BC88" i="67"/>
  <c r="BD14" i="72"/>
  <c r="BC70" i="67"/>
  <c r="BE1353" i="4"/>
  <c r="BC72" i="67"/>
  <c r="BD13" i="72"/>
  <c r="BD20" i="72"/>
  <c r="BB85" i="67"/>
  <c r="BC51" i="67"/>
  <c r="BC81" i="67"/>
  <c r="BC82" i="67" s="1"/>
  <c r="BD15" i="72"/>
  <c r="BB72" i="67"/>
  <c r="BC56" i="67"/>
  <c r="BB76" i="67"/>
  <c r="BC16" i="72"/>
  <c r="BE1449" i="4"/>
  <c r="BC44" i="67"/>
  <c r="BF1316" i="4"/>
  <c r="BB75" i="67"/>
  <c r="BC54" i="67"/>
  <c r="BB88" i="67"/>
  <c r="BC53" i="67"/>
  <c r="BC90" i="67"/>
  <c r="BC14" i="72"/>
  <c r="BE18" i="72"/>
  <c r="BE19" i="72" s="1"/>
  <c r="BB47" i="67"/>
  <c r="BC75" i="67"/>
  <c r="BC74" i="67"/>
  <c r="BC86" i="67"/>
  <c r="BC89" i="67"/>
  <c r="BB56" i="67"/>
  <c r="BC85" i="67"/>
  <c r="BC47" i="67"/>
  <c r="BC18" i="72"/>
  <c r="BC19" i="72" s="1"/>
  <c r="BD18" i="72"/>
  <c r="BD19" i="72" s="1"/>
  <c r="BC73" i="67"/>
  <c r="BB50" i="67"/>
  <c r="BB49" i="67" s="1"/>
  <c r="BB70" i="67"/>
  <c r="BC77" i="67"/>
  <c r="BC45" i="67"/>
  <c r="BC50" i="67"/>
  <c r="BC49" i="67" s="1"/>
  <c r="BC69" i="67"/>
  <c r="BC87" i="67"/>
  <c r="BE54" i="67"/>
  <c r="BE88" i="67"/>
  <c r="BD71" i="67"/>
  <c r="BH1353" i="4"/>
  <c r="BG47" i="67"/>
  <c r="BF90" i="67"/>
  <c r="BE47" i="67"/>
  <c r="BF44" i="67"/>
  <c r="BD53" i="67"/>
  <c r="BF56" i="67"/>
  <c r="BE14" i="72"/>
  <c r="BD58" i="67"/>
  <c r="BE56" i="67"/>
  <c r="BD54" i="67"/>
  <c r="BG16" i="72"/>
  <c r="BE76" i="67"/>
  <c r="BE77" i="67"/>
  <c r="BF72" i="67"/>
  <c r="BG85" i="67"/>
  <c r="BF20" i="72"/>
  <c r="BF15" i="72"/>
  <c r="BE16" i="72"/>
  <c r="BD77" i="67"/>
  <c r="BF89" i="67"/>
  <c r="BE89" i="67"/>
  <c r="BD87" i="67"/>
  <c r="BF16" i="72"/>
  <c r="BF1449" i="4"/>
  <c r="BD90" i="67"/>
  <c r="BG1449" i="4"/>
  <c r="BG13" i="72"/>
  <c r="BE74" i="67"/>
  <c r="BD74" i="67"/>
  <c r="BD72" i="67"/>
  <c r="BE87" i="67"/>
  <c r="BE69" i="67"/>
  <c r="BE53" i="67"/>
  <c r="BG1353" i="4"/>
  <c r="BF70" i="67"/>
  <c r="BG45" i="67"/>
  <c r="BE75" i="67"/>
  <c r="BF45" i="67"/>
  <c r="BG1316" i="4"/>
  <c r="BG51" i="67"/>
  <c r="BF58" i="67"/>
  <c r="BD88" i="67"/>
  <c r="BF87" i="67"/>
  <c r="BG18" i="72"/>
  <c r="BG19" i="72" s="1"/>
  <c r="BD44" i="67"/>
  <c r="BF86" i="67"/>
  <c r="BE85" i="67"/>
  <c r="BE51" i="67"/>
  <c r="BD86" i="67"/>
  <c r="BE81" i="67"/>
  <c r="BE82" i="67" s="1"/>
  <c r="BF13" i="72"/>
  <c r="BE20" i="72"/>
  <c r="BD73" i="67"/>
  <c r="BD89" i="67"/>
  <c r="BD50" i="67"/>
  <c r="BD49" i="67" s="1"/>
  <c r="BG14" i="72"/>
  <c r="BF53" i="67"/>
  <c r="BD85" i="67"/>
  <c r="BI1316" i="4"/>
  <c r="BH1449" i="4"/>
  <c r="BD81" i="67"/>
  <c r="BD82" i="67" s="1"/>
  <c r="BE58" i="67"/>
  <c r="BE72" i="67"/>
  <c r="BG88" i="67"/>
  <c r="BF81" i="67"/>
  <c r="BF82" i="67" s="1"/>
  <c r="BE70" i="67"/>
  <c r="BG87" i="67"/>
  <c r="BF75" i="67"/>
  <c r="BF88" i="67"/>
  <c r="BG58" i="67"/>
  <c r="BE50" i="67"/>
  <c r="BE49" i="67" s="1"/>
  <c r="BE73" i="67"/>
  <c r="BE71" i="67"/>
  <c r="BF1353" i="4"/>
  <c r="BF14" i="72"/>
  <c r="BD56" i="67"/>
  <c r="BE90" i="67"/>
  <c r="BE86" i="67"/>
  <c r="BG50" i="67"/>
  <c r="BG49" i="67" s="1"/>
  <c r="BF18" i="72"/>
  <c r="BF19" i="72" s="1"/>
  <c r="BD75" i="67"/>
  <c r="BD69" i="67"/>
  <c r="BE45" i="67"/>
  <c r="BG74" i="67"/>
  <c r="BD70" i="67"/>
  <c r="BF74" i="67"/>
  <c r="BE13" i="72"/>
  <c r="BE44" i="67"/>
  <c r="BH15" i="72"/>
  <c r="BG86" i="67"/>
  <c r="BH1316" i="4"/>
  <c r="BF77" i="67"/>
  <c r="BD51" i="67"/>
  <c r="BD76" i="67"/>
  <c r="BF69" i="67"/>
  <c r="BF76" i="67"/>
  <c r="BD47" i="67"/>
  <c r="BG90" i="67"/>
  <c r="BG73" i="67"/>
  <c r="BF54" i="67"/>
  <c r="BG15" i="72"/>
  <c r="BI1449" i="4"/>
  <c r="BG76" i="67"/>
  <c r="BF71" i="67"/>
  <c r="BH74" i="67"/>
  <c r="BH54" i="67"/>
  <c r="BH88" i="67"/>
  <c r="BH58" i="67"/>
  <c r="BG70" i="67"/>
  <c r="BH76" i="67"/>
  <c r="BH70" i="67"/>
  <c r="BH50" i="67"/>
  <c r="BH49" i="67" s="1"/>
  <c r="BH89" i="67"/>
  <c r="BG81" i="67"/>
  <c r="BG82" i="67" s="1"/>
  <c r="BF73" i="67"/>
  <c r="BI14" i="72"/>
  <c r="BG56" i="67"/>
  <c r="BH86" i="67"/>
  <c r="BG54" i="67"/>
  <c r="BG44" i="67"/>
  <c r="BG77" i="67"/>
  <c r="BH73" i="67"/>
  <c r="BH51" i="67"/>
  <c r="BH85" i="67"/>
  <c r="BH90" i="67"/>
  <c r="BH13" i="72"/>
  <c r="BH47" i="67"/>
  <c r="BF85" i="67"/>
  <c r="BF50" i="67"/>
  <c r="BF49" i="67" s="1"/>
  <c r="BG71" i="67"/>
  <c r="BH75" i="67"/>
  <c r="BH87" i="67"/>
  <c r="BG20" i="72"/>
  <c r="BH18" i="72"/>
  <c r="BH19" i="72" s="1"/>
  <c r="BG72" i="67"/>
  <c r="BG75" i="67"/>
  <c r="BI20" i="72"/>
  <c r="BF51" i="67"/>
  <c r="BH81" i="67"/>
  <c r="BH82" i="67" s="1"/>
  <c r="BH16" i="72"/>
  <c r="BH72" i="67"/>
  <c r="BH56" i="67"/>
  <c r="BH44" i="67"/>
  <c r="BG89" i="67"/>
  <c r="BG69" i="67"/>
  <c r="BI1353" i="4"/>
  <c r="BG53" i="67"/>
  <c r="BJ1316" i="4"/>
  <c r="BH53" i="67"/>
  <c r="BF47" i="67"/>
  <c r="BH14" i="72"/>
  <c r="BH71" i="67"/>
  <c r="BJ1353" i="4"/>
  <c r="BI76" i="67"/>
  <c r="BH45" i="67"/>
  <c r="BL1316" i="4"/>
  <c r="BI53" i="67"/>
  <c r="BK1449" i="4"/>
  <c r="BI90" i="67"/>
  <c r="BI15" i="72"/>
  <c r="BI16" i="72"/>
  <c r="BJ1449" i="4"/>
  <c r="BJ18" i="72"/>
  <c r="BJ19" i="72" s="1"/>
  <c r="BJ13" i="72"/>
  <c r="BI75" i="67"/>
  <c r="BJ16" i="72"/>
  <c r="BI58" i="67"/>
  <c r="BI70" i="67"/>
  <c r="BI87" i="67"/>
  <c r="BI18" i="72"/>
  <c r="BI19" i="72" s="1"/>
  <c r="BJ15" i="72"/>
  <c r="BI77" i="67"/>
  <c r="BI86" i="67"/>
  <c r="BI72" i="67"/>
  <c r="BI45" i="67"/>
  <c r="BI56" i="67"/>
  <c r="BI47" i="67"/>
  <c r="BH69" i="67"/>
  <c r="BI71" i="67"/>
  <c r="BI54" i="67"/>
  <c r="BI88" i="67"/>
  <c r="BI81" i="67"/>
  <c r="BI82" i="67" s="1"/>
  <c r="BI85" i="67"/>
  <c r="BI73" i="67"/>
  <c r="BK1353" i="4"/>
  <c r="BH77" i="67"/>
  <c r="BI44" i="67"/>
  <c r="BI89" i="67"/>
  <c r="BI50" i="67"/>
  <c r="BI49" i="67" s="1"/>
  <c r="BI13" i="72"/>
  <c r="BJ14" i="72"/>
  <c r="BI74" i="67"/>
  <c r="BI51" i="67"/>
  <c r="BJ20" i="72"/>
  <c r="BI69" i="67"/>
  <c r="BK1316" i="4"/>
  <c r="BJ70" i="67"/>
  <c r="BJ85" i="67"/>
  <c r="BK16" i="72"/>
  <c r="BJ51" i="67"/>
  <c r="BJ58" i="67"/>
  <c r="BK14" i="72"/>
  <c r="BK15" i="72"/>
  <c r="BJ73" i="67"/>
  <c r="BJ72" i="67"/>
  <c r="BJ76" i="67"/>
  <c r="BJ90" i="67"/>
  <c r="BJ56" i="67"/>
  <c r="BK18" i="72"/>
  <c r="BK19" i="72" s="1"/>
  <c r="BJ71" i="67"/>
  <c r="BJ69" i="67"/>
  <c r="BJ47" i="67"/>
  <c r="BM1316" i="4"/>
  <c r="BL1353" i="4"/>
  <c r="BJ53" i="67"/>
  <c r="BJ54" i="67"/>
  <c r="BJ89" i="67"/>
  <c r="BJ50" i="67"/>
  <c r="BJ49" i="67" s="1"/>
  <c r="BJ81" i="67"/>
  <c r="BJ82" i="67" s="1"/>
  <c r="BJ45" i="67"/>
  <c r="BK20" i="72"/>
  <c r="BJ77" i="67"/>
  <c r="BK13" i="72"/>
  <c r="BJ75" i="67"/>
  <c r="BL18" i="72"/>
  <c r="BL19" i="72" s="1"/>
  <c r="BJ87" i="67"/>
  <c r="BJ88" i="67"/>
  <c r="BL14" i="72"/>
  <c r="BJ86" i="67"/>
  <c r="BJ44" i="67"/>
  <c r="BJ74" i="67"/>
  <c r="BL1449" i="4"/>
  <c r="BK70" i="67"/>
  <c r="BL86" i="67"/>
  <c r="BL85" i="67"/>
  <c r="BL88" i="67"/>
  <c r="BK47" i="67"/>
  <c r="BK90" i="67"/>
  <c r="BL20" i="72"/>
  <c r="BK72" i="67"/>
  <c r="BK89" i="67"/>
  <c r="BM1449" i="4"/>
  <c r="BK45" i="67"/>
  <c r="BL16" i="72"/>
  <c r="BK85" i="67"/>
  <c r="BK88" i="67"/>
  <c r="BK71" i="67"/>
  <c r="BL13" i="72"/>
  <c r="BK75" i="67"/>
  <c r="BK54" i="67"/>
  <c r="BL87" i="67"/>
  <c r="BL15" i="72"/>
  <c r="BL74" i="67"/>
  <c r="BK51" i="67"/>
  <c r="BK53" i="67"/>
  <c r="BK56" i="67"/>
  <c r="BK86" i="67"/>
  <c r="BK87" i="67"/>
  <c r="BK77" i="67"/>
  <c r="BL77" i="67"/>
  <c r="BL81" i="67"/>
  <c r="BL82" i="67" s="1"/>
  <c r="BL69" i="67"/>
  <c r="BL58" i="67"/>
  <c r="BM85" i="67"/>
  <c r="BL76" i="67"/>
  <c r="BK81" i="67"/>
  <c r="BK82" i="67" s="1"/>
  <c r="BL89" i="67"/>
  <c r="BK58" i="67"/>
  <c r="BL56" i="67"/>
  <c r="BL44" i="67"/>
  <c r="BM54" i="67"/>
  <c r="BM15" i="72"/>
  <c r="BK50" i="67"/>
  <c r="BK49" i="67" s="1"/>
  <c r="BK76" i="67"/>
  <c r="BK44" i="67"/>
  <c r="BK69" i="67"/>
  <c r="BM1353" i="4"/>
  <c r="BK74" i="67"/>
  <c r="BN1353" i="4"/>
  <c r="BK73" i="67"/>
  <c r="BL90" i="67"/>
  <c r="BN1316" i="4"/>
  <c r="BM86" i="67"/>
  <c r="BO1316" i="4"/>
  <c r="BM76" i="67"/>
  <c r="BM74" i="67"/>
  <c r="BO1449" i="4"/>
  <c r="BL70" i="67"/>
  <c r="BM13" i="72"/>
  <c r="BO1353" i="4"/>
  <c r="BN71" i="67"/>
  <c r="BN70" i="67"/>
  <c r="BN85" i="67"/>
  <c r="BL45" i="67"/>
  <c r="BP1316" i="4"/>
  <c r="BM87" i="67"/>
  <c r="BM51" i="67"/>
  <c r="BM20" i="72"/>
  <c r="BN51" i="67"/>
  <c r="BL71" i="67"/>
  <c r="BN76" i="67"/>
  <c r="BN20" i="72"/>
  <c r="BM88" i="67"/>
  <c r="BM69" i="67"/>
  <c r="BM53" i="67"/>
  <c r="BM44" i="67"/>
  <c r="BN56" i="67"/>
  <c r="BL50" i="67"/>
  <c r="BL49" i="67" s="1"/>
  <c r="BM73" i="67"/>
  <c r="BN88" i="67"/>
  <c r="BM47" i="67"/>
  <c r="BN73" i="67"/>
  <c r="BO77" i="67"/>
  <c r="BL75" i="67"/>
  <c r="BN47" i="67"/>
  <c r="BM90" i="67"/>
  <c r="BM14" i="72"/>
  <c r="BN13" i="72"/>
  <c r="BN54" i="67"/>
  <c r="BN81" i="67"/>
  <c r="BN82" i="67" s="1"/>
  <c r="BM71" i="67"/>
  <c r="BN75" i="67"/>
  <c r="BM75" i="67"/>
  <c r="BM56" i="67"/>
  <c r="BL51" i="67"/>
  <c r="BN45" i="67"/>
  <c r="BM58" i="67"/>
  <c r="BL73" i="67"/>
  <c r="BM45" i="67"/>
  <c r="BN86" i="67"/>
  <c r="BM89" i="67"/>
  <c r="BM72" i="67"/>
  <c r="BM81" i="67"/>
  <c r="BM82" i="67" s="1"/>
  <c r="BN89" i="67"/>
  <c r="BN72" i="67"/>
  <c r="BM16" i="72"/>
  <c r="BN44" i="67"/>
  <c r="BM77" i="67"/>
  <c r="BL47" i="67"/>
  <c r="BM18" i="72"/>
  <c r="BM19" i="72" s="1"/>
  <c r="BN77" i="67"/>
  <c r="BN14" i="72"/>
  <c r="BM50" i="67"/>
  <c r="BM49" i="67" s="1"/>
  <c r="BN90" i="67"/>
  <c r="BN50" i="67"/>
  <c r="BN49" i="67" s="1"/>
  <c r="BL54" i="67"/>
  <c r="BN87" i="67"/>
  <c r="BN1449" i="4"/>
  <c r="BM70" i="67"/>
  <c r="BL53" i="67"/>
  <c r="BN53" i="67"/>
  <c r="BN18" i="72"/>
  <c r="BN19" i="72" s="1"/>
  <c r="BN16" i="72"/>
  <c r="BL72" i="67"/>
  <c r="BN15" i="72"/>
  <c r="BO87" i="67"/>
  <c r="BO71" i="67"/>
  <c r="BR1316" i="4"/>
  <c r="BP20" i="72"/>
  <c r="BO20" i="72"/>
  <c r="BP14" i="72"/>
  <c r="BO18" i="72"/>
  <c r="BO19" i="72" s="1"/>
  <c r="BO53" i="67"/>
  <c r="BO47" i="67"/>
  <c r="BO86" i="67"/>
  <c r="BP18" i="72"/>
  <c r="BP19" i="72" s="1"/>
  <c r="BN74" i="67"/>
  <c r="BO58" i="67"/>
  <c r="BO50" i="67"/>
  <c r="BO49" i="67" s="1"/>
  <c r="BO16" i="72"/>
  <c r="BS1316" i="4"/>
  <c r="BQ1449" i="4"/>
  <c r="BQ1316" i="4"/>
  <c r="BO85" i="67"/>
  <c r="BO70" i="67"/>
  <c r="BO14" i="72"/>
  <c r="BO75" i="67"/>
  <c r="BO69" i="67"/>
  <c r="BO90" i="67"/>
  <c r="BN58" i="67"/>
  <c r="BP1353" i="4"/>
  <c r="BP15" i="72"/>
  <c r="BO56" i="67"/>
  <c r="BQ1353" i="4"/>
  <c r="BO76" i="67"/>
  <c r="BO15" i="72"/>
  <c r="BO81" i="67"/>
  <c r="BO82" i="67" s="1"/>
  <c r="BO13" i="72"/>
  <c r="BO88" i="67"/>
  <c r="BN69" i="67"/>
  <c r="BO72" i="67"/>
  <c r="BP1449" i="4"/>
  <c r="BO54" i="67"/>
  <c r="BO51" i="67"/>
  <c r="BP16" i="72"/>
  <c r="BO74" i="67"/>
  <c r="BO73" i="67"/>
  <c r="BO44" i="67"/>
  <c r="BO45" i="67"/>
  <c r="BP13" i="72"/>
  <c r="BO89" i="67"/>
  <c r="BP50" i="67"/>
  <c r="BP49" i="67" s="1"/>
  <c r="BR1353" i="4"/>
  <c r="BQ14" i="72"/>
  <c r="BP74" i="67"/>
  <c r="BP87" i="67"/>
  <c r="BQ15" i="72"/>
  <c r="BP56" i="67"/>
  <c r="BP90" i="67"/>
  <c r="BP75" i="67"/>
  <c r="BQ13" i="72"/>
  <c r="BQ16" i="72"/>
  <c r="BT1316" i="4"/>
  <c r="BP85" i="67"/>
  <c r="BP73" i="67"/>
  <c r="BP72" i="67"/>
  <c r="BP51" i="67"/>
  <c r="BQ20" i="72"/>
  <c r="BP44" i="67"/>
  <c r="BR1449" i="4"/>
  <c r="BP70" i="67"/>
  <c r="BP58" i="67"/>
  <c r="BP45" i="67"/>
  <c r="BP47" i="67"/>
  <c r="BP69" i="67"/>
  <c r="BP71" i="67"/>
  <c r="BQ70" i="67"/>
  <c r="BP89" i="67"/>
  <c r="BP53" i="67"/>
  <c r="BR56" i="67"/>
  <c r="BP86" i="67"/>
  <c r="BP88" i="67"/>
  <c r="BQ18" i="72"/>
  <c r="BQ19" i="72" s="1"/>
  <c r="BR77" i="67"/>
  <c r="BP77" i="67"/>
  <c r="BQ76" i="67"/>
  <c r="BP54" i="67"/>
  <c r="BS1449" i="4"/>
  <c r="BP81" i="67"/>
  <c r="BP82" i="67" s="1"/>
  <c r="BR50" i="67"/>
  <c r="BR49" i="67" s="1"/>
  <c r="BQ73" i="67"/>
  <c r="BR89" i="67"/>
  <c r="BQ56" i="67"/>
  <c r="BR71" i="67"/>
  <c r="BQ90" i="67"/>
  <c r="BR86" i="67"/>
  <c r="BQ69" i="67"/>
  <c r="BR87" i="67"/>
  <c r="BS15" i="72"/>
  <c r="BU1449" i="4"/>
  <c r="BQ53" i="67"/>
  <c r="BR75" i="67"/>
  <c r="BQ86" i="67"/>
  <c r="BR73" i="67"/>
  <c r="BR47" i="67"/>
  <c r="BS14" i="72"/>
  <c r="BQ77" i="67"/>
  <c r="BR54" i="67"/>
  <c r="BR88" i="67"/>
  <c r="BR81" i="67"/>
  <c r="BR82" i="67" s="1"/>
  <c r="BS1353" i="4"/>
  <c r="BS16" i="72"/>
  <c r="BT1353" i="4"/>
  <c r="BR13" i="72"/>
  <c r="BR72" i="67"/>
  <c r="BQ81" i="67"/>
  <c r="BQ82" i="67" s="1"/>
  <c r="BR45" i="67"/>
  <c r="BR44" i="67"/>
  <c r="BQ75" i="67"/>
  <c r="BR18" i="72"/>
  <c r="BR19" i="72" s="1"/>
  <c r="BQ47" i="67"/>
  <c r="BQ72" i="67"/>
  <c r="BQ74" i="67"/>
  <c r="BQ45" i="67"/>
  <c r="BQ50" i="67"/>
  <c r="BQ49" i="67" s="1"/>
  <c r="BQ54" i="67"/>
  <c r="BQ71" i="67"/>
  <c r="BR90" i="67"/>
  <c r="BS20" i="72"/>
  <c r="BS13" i="72"/>
  <c r="BQ85" i="67"/>
  <c r="BR51" i="67"/>
  <c r="BR53" i="67"/>
  <c r="BR16" i="72"/>
  <c r="BQ88" i="67"/>
  <c r="BR58" i="67"/>
  <c r="BQ44" i="67"/>
  <c r="BQ89" i="67"/>
  <c r="BS18" i="72"/>
  <c r="BS19" i="72" s="1"/>
  <c r="BR15" i="72"/>
  <c r="BP76" i="67"/>
  <c r="BR20" i="72"/>
  <c r="BR14" i="72"/>
  <c r="BQ58" i="67"/>
  <c r="BU1316" i="4"/>
  <c r="BR70" i="67"/>
  <c r="BQ87" i="67"/>
  <c r="BR74" i="67"/>
  <c r="BR76" i="67"/>
  <c r="BR69" i="67"/>
  <c r="BQ51" i="67"/>
  <c r="BT1449" i="4"/>
  <c r="BT16" i="72"/>
  <c r="BS51" i="67"/>
  <c r="BS75" i="67"/>
  <c r="BS44" i="67"/>
  <c r="BS56" i="67"/>
  <c r="BS81" i="67"/>
  <c r="BS82" i="67" s="1"/>
  <c r="BS70" i="67"/>
  <c r="BS53" i="67"/>
  <c r="BS86" i="67"/>
  <c r="BT18" i="72"/>
  <c r="BT19" i="72" s="1"/>
  <c r="BS89" i="67"/>
  <c r="BS73" i="67"/>
  <c r="BS69" i="67"/>
  <c r="BV1449" i="4"/>
  <c r="BS58" i="67"/>
  <c r="BS71" i="67"/>
  <c r="BS50" i="67"/>
  <c r="BS49" i="67" s="1"/>
  <c r="BS74" i="67"/>
  <c r="BS87" i="67"/>
  <c r="BU1353" i="4"/>
  <c r="BT15" i="72"/>
  <c r="BT14" i="72"/>
  <c r="BS45" i="67"/>
  <c r="BS76" i="67"/>
  <c r="BR85" i="67"/>
  <c r="BV1316" i="4"/>
  <c r="BT13" i="72"/>
  <c r="BS72" i="67"/>
  <c r="BT20" i="72"/>
  <c r="BS88" i="67"/>
  <c r="BS90" i="67"/>
  <c r="BS54" i="67"/>
  <c r="BS47" i="67"/>
  <c r="BS85" i="67"/>
  <c r="BS77" i="67"/>
  <c r="BV70" i="67"/>
  <c r="BU81" i="67"/>
  <c r="BU82" i="67" s="1"/>
  <c r="BT77" i="67"/>
  <c r="BV81" i="67"/>
  <c r="BV82" i="67" s="1"/>
  <c r="BW1353" i="4"/>
  <c r="BV15" i="72"/>
  <c r="BU85" i="67"/>
  <c r="BV89" i="67"/>
  <c r="BV69" i="67"/>
  <c r="BV76" i="67"/>
  <c r="BU86" i="67"/>
  <c r="BV72" i="67"/>
  <c r="BV73" i="67"/>
  <c r="BU89" i="67"/>
  <c r="BU13" i="72"/>
  <c r="BV14" i="72"/>
  <c r="BU71" i="67"/>
  <c r="BU69" i="67"/>
  <c r="BU20" i="72"/>
  <c r="BV50" i="67"/>
  <c r="BV49" i="67" s="1"/>
  <c r="BU18" i="72"/>
  <c r="BU19" i="72" s="1"/>
  <c r="BV90" i="67"/>
  <c r="BU54" i="67"/>
  <c r="BV16" i="72"/>
  <c r="BT75" i="67"/>
  <c r="BT58" i="67"/>
  <c r="BU77" i="67"/>
  <c r="BU76" i="67"/>
  <c r="BV20" i="72"/>
  <c r="BU74" i="67"/>
  <c r="BV54" i="67"/>
  <c r="BT69" i="67"/>
  <c r="BU53" i="67"/>
  <c r="BV86" i="67"/>
  <c r="BU58" i="67"/>
  <c r="BU73" i="67"/>
  <c r="BU47" i="67"/>
  <c r="BV18" i="72"/>
  <c r="BV19" i="72" s="1"/>
  <c r="BU75" i="67"/>
  <c r="BV47" i="67"/>
  <c r="BT73" i="67"/>
  <c r="BT56" i="67"/>
  <c r="BT53" i="67"/>
  <c r="BT89" i="67"/>
  <c r="BV56" i="67"/>
  <c r="BU88" i="67"/>
  <c r="BU51" i="67"/>
  <c r="BT70" i="67"/>
  <c r="BT45" i="67"/>
  <c r="BT51" i="67"/>
  <c r="CA1316" i="4"/>
  <c r="BV77" i="67"/>
  <c r="BT81" i="67"/>
  <c r="BT82" i="67" s="1"/>
  <c r="BT87" i="67"/>
  <c r="BT54" i="67"/>
  <c r="BU15" i="72"/>
  <c r="BV75" i="67"/>
  <c r="BV51" i="67"/>
  <c r="BW1449" i="4"/>
  <c r="BV1353" i="4"/>
  <c r="BV13" i="72"/>
  <c r="BU50" i="67"/>
  <c r="BU49" i="67" s="1"/>
  <c r="BT50" i="67"/>
  <c r="BT49" i="67" s="1"/>
  <c r="BT76" i="67"/>
  <c r="BT85" i="67"/>
  <c r="BT90" i="67"/>
  <c r="BV45" i="67"/>
  <c r="BU44" i="67"/>
  <c r="BW1316" i="4"/>
  <c r="BV85" i="67"/>
  <c r="BV53" i="67"/>
  <c r="BT72" i="67"/>
  <c r="BU56" i="67"/>
  <c r="BT44" i="67"/>
  <c r="BU90" i="67"/>
  <c r="BV71" i="67"/>
  <c r="BT86" i="67"/>
  <c r="BT74" i="67"/>
  <c r="BV58" i="67"/>
  <c r="BX1316" i="4"/>
  <c r="BT47" i="67"/>
  <c r="BT88" i="67"/>
  <c r="BU87" i="67"/>
  <c r="BU70" i="67"/>
  <c r="BU14" i="72"/>
  <c r="BU16" i="72"/>
  <c r="BV44" i="67"/>
  <c r="BV88" i="67"/>
  <c r="BT71" i="67"/>
  <c r="BU72" i="67"/>
  <c r="BV87" i="67"/>
  <c r="BU45" i="67"/>
  <c r="BV74" i="67"/>
  <c r="BZ1316" i="4"/>
  <c r="BW15" i="72"/>
  <c r="BW76" i="67"/>
  <c r="BW44" i="67"/>
  <c r="BW16" i="72"/>
  <c r="CB1449" i="4"/>
  <c r="BW71" i="67"/>
  <c r="CA87" i="67"/>
  <c r="BW73" i="67"/>
  <c r="BW58" i="67"/>
  <c r="BW85" i="67"/>
  <c r="BW70" i="67"/>
  <c r="BW50" i="67"/>
  <c r="BW49" i="67" s="1"/>
  <c r="BW86" i="67"/>
  <c r="BW87" i="67"/>
  <c r="BY1353" i="4"/>
  <c r="BZ1449" i="4"/>
  <c r="BW51" i="67"/>
  <c r="BW77" i="67"/>
  <c r="BW74" i="67"/>
  <c r="BY1449" i="4"/>
  <c r="BW54" i="67"/>
  <c r="BX20" i="72"/>
  <c r="BX15" i="72"/>
  <c r="BW56" i="67"/>
  <c r="BW47" i="67"/>
  <c r="BX18" i="72"/>
  <c r="BX19" i="72" s="1"/>
  <c r="BW18" i="72"/>
  <c r="BW19" i="72" s="1"/>
  <c r="BX1449" i="4"/>
  <c r="BX13" i="72"/>
  <c r="BX14" i="72"/>
  <c r="BW90" i="67"/>
  <c r="BW69" i="67"/>
  <c r="BX16" i="72"/>
  <c r="BW75" i="67"/>
  <c r="BW89" i="67"/>
  <c r="BX1353" i="4"/>
  <c r="BW13" i="72"/>
  <c r="BW53" i="67"/>
  <c r="BY18" i="72"/>
  <c r="BY19" i="72" s="1"/>
  <c r="BW72" i="67"/>
  <c r="BW88" i="67"/>
  <c r="BW20" i="72"/>
  <c r="BW45" i="67"/>
  <c r="BW14" i="72"/>
  <c r="CA70" i="67"/>
  <c r="BY1316" i="4"/>
  <c r="BW81" i="67"/>
  <c r="BW82" i="67" s="1"/>
  <c r="BY53" i="67"/>
  <c r="BX72" i="67"/>
  <c r="BY77" i="67"/>
  <c r="BY90" i="67"/>
  <c r="BX86" i="67"/>
  <c r="BY88" i="67"/>
  <c r="CA72" i="67"/>
  <c r="BY14" i="72"/>
  <c r="BX51" i="67"/>
  <c r="CA1449" i="4"/>
  <c r="BZ15" i="72"/>
  <c r="BY51" i="67"/>
  <c r="BX77" i="67"/>
  <c r="BX89" i="67"/>
  <c r="BY73" i="67"/>
  <c r="BX75" i="67"/>
  <c r="BY54" i="67"/>
  <c r="CA77" i="67"/>
  <c r="CA16" i="72"/>
  <c r="BX90" i="67"/>
  <c r="BY69" i="67"/>
  <c r="BX71" i="67"/>
  <c r="BX87" i="67"/>
  <c r="BZ13" i="72"/>
  <c r="BY86" i="67"/>
  <c r="CA85" i="67"/>
  <c r="BZ1353" i="4"/>
  <c r="CB13" i="72"/>
  <c r="BX50" i="67"/>
  <c r="BX49" i="67" s="1"/>
  <c r="BY85" i="67"/>
  <c r="BY45" i="67"/>
  <c r="BX45" i="67"/>
  <c r="BY71" i="67"/>
  <c r="BX69" i="67"/>
  <c r="BY44" i="67"/>
  <c r="BY70" i="67"/>
  <c r="BX88" i="67"/>
  <c r="BY75" i="67"/>
  <c r="BX70" i="67"/>
  <c r="BX53" i="67"/>
  <c r="BY87" i="67"/>
  <c r="CB16" i="72"/>
  <c r="BY20" i="72"/>
  <c r="CB1316" i="4"/>
  <c r="BX58" i="67"/>
  <c r="BY47" i="67"/>
  <c r="BY72" i="67"/>
  <c r="CA81" i="67"/>
  <c r="CA82" i="67" s="1"/>
  <c r="CA1353" i="4"/>
  <c r="BY74" i="67"/>
  <c r="BY89" i="67"/>
  <c r="CB1353" i="4"/>
  <c r="BZ14" i="72"/>
  <c r="BY16" i="72"/>
  <c r="BZ16" i="72"/>
  <c r="BZ20" i="72"/>
  <c r="CA50" i="67"/>
  <c r="CA49" i="67" s="1"/>
  <c r="BY13" i="72"/>
  <c r="BX81" i="67"/>
  <c r="BX82" i="67" s="1"/>
  <c r="BX85" i="67"/>
  <c r="BY56" i="67"/>
  <c r="BX73" i="67"/>
  <c r="CC15" i="72"/>
  <c r="BY15" i="72"/>
  <c r="BZ18" i="72"/>
  <c r="BZ19" i="72" s="1"/>
  <c r="BX54" i="67"/>
  <c r="BX47" i="67"/>
  <c r="BX74" i="67"/>
  <c r="BY81" i="67"/>
  <c r="BY82" i="67" s="1"/>
  <c r="BX76" i="67"/>
  <c r="BY76" i="67"/>
  <c r="BX56" i="67"/>
  <c r="BY50" i="67"/>
  <c r="BY49" i="67" s="1"/>
  <c r="BX44" i="67"/>
  <c r="CA18" i="72"/>
  <c r="CA19" i="72" s="1"/>
  <c r="BZ53" i="67"/>
  <c r="BY58" i="67"/>
  <c r="BZ81" i="67"/>
  <c r="BZ82" i="67" s="1"/>
  <c r="CA74" i="67"/>
  <c r="BZ70" i="67"/>
  <c r="BZ71" i="67"/>
  <c r="CC18" i="72"/>
  <c r="CC19" i="72" s="1"/>
  <c r="CC1316" i="4"/>
  <c r="CA88" i="67"/>
  <c r="CA69" i="67"/>
  <c r="BZ74" i="67"/>
  <c r="BZ51" i="67"/>
  <c r="CA45" i="67"/>
  <c r="BZ90" i="67"/>
  <c r="CC1449" i="4"/>
  <c r="CA89" i="67"/>
  <c r="BZ54" i="67"/>
  <c r="BZ56" i="67"/>
  <c r="BZ58" i="67"/>
  <c r="BZ86" i="67"/>
  <c r="CA58" i="67"/>
  <c r="CA51" i="67"/>
  <c r="CA15" i="72"/>
  <c r="BZ72" i="67"/>
  <c r="CC1353" i="4"/>
  <c r="BZ50" i="67"/>
  <c r="BZ49" i="67" s="1"/>
  <c r="BZ89" i="67"/>
  <c r="CB18" i="72"/>
  <c r="CB19" i="72" s="1"/>
  <c r="BZ44" i="67"/>
  <c r="CA71" i="67"/>
  <c r="CC20" i="72"/>
  <c r="BZ45" i="67"/>
  <c r="BZ47" i="67"/>
  <c r="CA76" i="67"/>
  <c r="CA44" i="67"/>
  <c r="CA20" i="72"/>
  <c r="CA90" i="67"/>
  <c r="BZ73" i="67"/>
  <c r="CA54" i="67"/>
  <c r="CA75" i="67"/>
  <c r="BZ85" i="67"/>
  <c r="BZ88" i="67"/>
  <c r="CA56" i="67"/>
  <c r="BZ77" i="67"/>
  <c r="CA47" i="67"/>
  <c r="CA53" i="67"/>
  <c r="BZ75" i="67"/>
  <c r="CD1316" i="4"/>
  <c r="CA86" i="67"/>
  <c r="BZ69" i="67"/>
  <c r="CA14" i="72"/>
  <c r="CA73" i="67"/>
  <c r="BZ87" i="67"/>
  <c r="BZ76" i="67"/>
  <c r="CC13" i="72"/>
  <c r="CA13" i="72"/>
  <c r="CB20" i="72"/>
  <c r="CB89" i="67"/>
  <c r="CB81" i="67"/>
  <c r="CB82" i="67" s="1"/>
  <c r="CB56" i="67"/>
  <c r="CC53" i="67"/>
  <c r="CB74" i="67"/>
  <c r="CD18" i="72"/>
  <c r="CD19" i="72" s="1"/>
  <c r="CC51" i="67"/>
  <c r="CB85" i="67"/>
  <c r="CC86" i="67"/>
  <c r="CH13" i="72"/>
  <c r="CC44" i="67"/>
  <c r="CC75" i="67"/>
  <c r="CC56" i="67"/>
  <c r="CC90" i="67"/>
  <c r="CC74" i="67"/>
  <c r="CB86" i="67"/>
  <c r="CC87" i="67"/>
  <c r="CC73" i="67"/>
  <c r="CC77" i="67"/>
  <c r="CF18" i="72"/>
  <c r="CF19" i="72" s="1"/>
  <c r="CD20" i="72"/>
  <c r="CC85" i="67"/>
  <c r="CB45" i="67"/>
  <c r="CB76" i="67"/>
  <c r="CC69" i="67"/>
  <c r="CB87" i="67"/>
  <c r="CB73" i="67"/>
  <c r="CC76" i="67"/>
  <c r="CC88" i="67"/>
  <c r="CC72" i="67"/>
  <c r="CC70" i="67"/>
  <c r="CC50" i="67"/>
  <c r="CC49" i="67" s="1"/>
  <c r="CB71" i="67"/>
  <c r="CB51" i="67"/>
  <c r="CC71" i="67"/>
  <c r="CC81" i="67"/>
  <c r="CC82" i="67" s="1"/>
  <c r="CB47" i="67"/>
  <c r="CB58" i="67"/>
  <c r="CB54" i="67"/>
  <c r="CB90" i="67"/>
  <c r="CB44" i="67"/>
  <c r="CE1316" i="4"/>
  <c r="CB70" i="67"/>
  <c r="CD13" i="72"/>
  <c r="CB50" i="67"/>
  <c r="CB49" i="67" s="1"/>
  <c r="CH18" i="72"/>
  <c r="CH19" i="72" s="1"/>
  <c r="CB72" i="67"/>
  <c r="CC89" i="67"/>
  <c r="CC45" i="67"/>
  <c r="CE1353" i="4"/>
  <c r="CE1449" i="4"/>
  <c r="CB75" i="67"/>
  <c r="CC54" i="67"/>
  <c r="CD1449" i="4"/>
  <c r="CC47" i="67"/>
  <c r="CB69" i="67"/>
  <c r="CF1316" i="4"/>
  <c r="CB77" i="67"/>
  <c r="CD1353" i="4"/>
  <c r="CC58" i="67"/>
  <c r="CB53" i="67"/>
  <c r="CB88" i="67"/>
  <c r="CD77" i="67"/>
  <c r="CE72" i="67"/>
  <c r="CE51" i="67"/>
  <c r="CD69" i="67"/>
  <c r="CD47" i="67"/>
  <c r="CD76" i="67"/>
  <c r="CF1449" i="4"/>
  <c r="CE13" i="72"/>
  <c r="CD73" i="67"/>
  <c r="CD86" i="67"/>
  <c r="CG1449" i="4"/>
  <c r="CG45" i="67"/>
  <c r="CG73" i="67"/>
  <c r="CM1316" i="4"/>
  <c r="CJ1316" i="4"/>
  <c r="CH20" i="72"/>
  <c r="CD56" i="67"/>
  <c r="CD75" i="67"/>
  <c r="CD89" i="67"/>
  <c r="CE85" i="67"/>
  <c r="CH1316" i="4"/>
  <c r="CD44" i="67"/>
  <c r="CE71" i="67"/>
  <c r="CD90" i="67"/>
  <c r="CD58" i="67"/>
  <c r="CD72" i="67"/>
  <c r="CD45" i="67"/>
  <c r="CF13" i="72"/>
  <c r="CG54" i="67"/>
  <c r="CF1353" i="4"/>
  <c r="CD70" i="67"/>
  <c r="CD54" i="67"/>
  <c r="CD74" i="67"/>
  <c r="CF20" i="72"/>
  <c r="CG75" i="67"/>
  <c r="CE20" i="72"/>
  <c r="CG1316" i="4"/>
  <c r="CD50" i="67"/>
  <c r="CD49" i="67" s="1"/>
  <c r="CD71" i="67"/>
  <c r="CD87" i="67"/>
  <c r="CG71" i="67"/>
  <c r="CG51" i="67"/>
  <c r="CD88" i="67"/>
  <c r="CE18" i="72"/>
  <c r="CE19" i="72" s="1"/>
  <c r="CE75" i="67"/>
  <c r="CD81" i="67"/>
  <c r="CD82" i="67" s="1"/>
  <c r="CD53" i="67"/>
  <c r="CD51" i="67"/>
  <c r="CD85" i="67"/>
  <c r="CE88" i="67"/>
  <c r="CF54" i="67"/>
  <c r="CE58" i="67"/>
  <c r="CH71" i="67"/>
  <c r="CF51" i="67"/>
  <c r="CE74" i="67"/>
  <c r="CI1316" i="4"/>
  <c r="CF50" i="67"/>
  <c r="CF49" i="67" s="1"/>
  <c r="CG74" i="67"/>
  <c r="CG13" i="72"/>
  <c r="CH69" i="67"/>
  <c r="CE56" i="67"/>
  <c r="CE90" i="67"/>
  <c r="CG72" i="67"/>
  <c r="CF75" i="67"/>
  <c r="CH73" i="67"/>
  <c r="CF71" i="67"/>
  <c r="CG76" i="67"/>
  <c r="CF86" i="67"/>
  <c r="CG85" i="67"/>
  <c r="CE54" i="67"/>
  <c r="CG1353" i="4"/>
  <c r="CH54" i="67"/>
  <c r="CF44" i="67"/>
  <c r="CE73" i="67"/>
  <c r="CH56" i="67"/>
  <c r="CH76" i="67"/>
  <c r="CF45" i="67"/>
  <c r="CG87" i="67"/>
  <c r="CG56" i="67"/>
  <c r="CH50" i="67"/>
  <c r="CH49" i="67" s="1"/>
  <c r="CF74" i="67"/>
  <c r="CH44" i="67"/>
  <c r="CF72" i="67"/>
  <c r="CG86" i="67"/>
  <c r="CG53" i="67"/>
  <c r="CE77" i="67"/>
  <c r="CF70" i="67"/>
  <c r="CE87" i="67"/>
  <c r="CF73" i="67"/>
  <c r="CH77" i="67"/>
  <c r="CI1353" i="4"/>
  <c r="CF87" i="67"/>
  <c r="CE70" i="67"/>
  <c r="CH51" i="67"/>
  <c r="CE76" i="67"/>
  <c r="CG69" i="67"/>
  <c r="CE50" i="67"/>
  <c r="CE49" i="67" s="1"/>
  <c r="CI1449" i="4"/>
  <c r="CE86" i="67"/>
  <c r="CH70" i="67"/>
  <c r="CH58" i="67"/>
  <c r="CH86" i="67"/>
  <c r="CF88" i="67"/>
  <c r="CG20" i="72"/>
  <c r="CF85" i="67"/>
  <c r="CH87" i="67"/>
  <c r="CF53" i="67"/>
  <c r="CH88" i="67"/>
  <c r="CH53" i="67"/>
  <c r="CJ1449" i="4"/>
  <c r="CI18" i="72"/>
  <c r="CI19" i="72" s="1"/>
  <c r="CF69" i="67"/>
  <c r="CI13" i="72"/>
  <c r="CH47" i="67"/>
  <c r="CI20" i="72"/>
  <c r="CK1316" i="4"/>
  <c r="CF89" i="67"/>
  <c r="CG90" i="67"/>
  <c r="CE53" i="67"/>
  <c r="CF76" i="67"/>
  <c r="CE44" i="67"/>
  <c r="CF90" i="67"/>
  <c r="CE89" i="67"/>
  <c r="CG44" i="67"/>
  <c r="CF81" i="67"/>
  <c r="CF82" i="67" s="1"/>
  <c r="CH72" i="67"/>
  <c r="CH1449" i="4"/>
  <c r="CF47" i="67"/>
  <c r="CF77" i="67"/>
  <c r="CE81" i="67"/>
  <c r="CE82" i="67" s="1"/>
  <c r="CG81" i="67"/>
  <c r="CG82" i="67" s="1"/>
  <c r="CH89" i="67"/>
  <c r="CE47" i="67"/>
  <c r="CG70" i="67"/>
  <c r="CH74" i="67"/>
  <c r="CE45" i="67"/>
  <c r="CG50" i="67"/>
  <c r="CG49" i="67" s="1"/>
  <c r="CJ1353" i="4"/>
  <c r="CH1353" i="4"/>
  <c r="CF56" i="67"/>
  <c r="CH85" i="67"/>
  <c r="CG89" i="67"/>
  <c r="CH81" i="67"/>
  <c r="CH82" i="67" s="1"/>
  <c r="CF58" i="67"/>
  <c r="CG18" i="72"/>
  <c r="CG19" i="72" s="1"/>
  <c r="CH75" i="67"/>
  <c r="CE69" i="67"/>
  <c r="CG77" i="67"/>
  <c r="CG47" i="67"/>
  <c r="CH45" i="67"/>
  <c r="CH90" i="67"/>
  <c r="CG58" i="67"/>
  <c r="CG88" i="67"/>
  <c r="CI70" i="67"/>
  <c r="CJ44" i="67"/>
  <c r="CK18" i="72"/>
  <c r="CK19" i="72" s="1"/>
  <c r="CI77" i="67"/>
  <c r="CJ71" i="67"/>
  <c r="CI90" i="67"/>
  <c r="CI89" i="67"/>
  <c r="CJ74" i="67"/>
  <c r="CI51" i="67"/>
  <c r="CJ81" i="67"/>
  <c r="CJ82" i="67" s="1"/>
  <c r="CJ20" i="72"/>
  <c r="CI87" i="67"/>
  <c r="CI76" i="67"/>
  <c r="CL1316" i="4"/>
  <c r="CK20" i="72"/>
  <c r="CJ89" i="67"/>
  <c r="CJ70" i="67"/>
  <c r="CJ86" i="67"/>
  <c r="CJ77" i="67"/>
  <c r="CI69" i="67"/>
  <c r="CL1353" i="4"/>
  <c r="CK1449" i="4"/>
  <c r="CI73" i="67"/>
  <c r="CL1449" i="4"/>
  <c r="CI47" i="67"/>
  <c r="CJ69" i="67"/>
  <c r="CJ88" i="67"/>
  <c r="CK13" i="72"/>
  <c r="CJ47" i="67"/>
  <c r="CI75" i="67"/>
  <c r="CJ75" i="67"/>
  <c r="CI81" i="67"/>
  <c r="CI82" i="67" s="1"/>
  <c r="CI50" i="67"/>
  <c r="CI49" i="67" s="1"/>
  <c r="CI88" i="67"/>
  <c r="CJ18" i="72"/>
  <c r="CJ19" i="72" s="1"/>
  <c r="CJ54" i="67"/>
  <c r="CJ85" i="67"/>
  <c r="CJ45" i="67"/>
  <c r="CJ87" i="67"/>
  <c r="CI54" i="67"/>
  <c r="CJ58" i="67"/>
  <c r="CI72" i="67"/>
  <c r="CJ50" i="67"/>
  <c r="CJ49" i="67" s="1"/>
  <c r="CI45" i="67"/>
  <c r="CI53" i="67"/>
  <c r="CJ72" i="67"/>
  <c r="CJ53" i="67"/>
  <c r="CK1353" i="4"/>
  <c r="CJ76" i="67"/>
  <c r="CJ90" i="67"/>
  <c r="CI86" i="67"/>
  <c r="CI85" i="67"/>
  <c r="CJ13" i="72"/>
  <c r="CJ51" i="67"/>
  <c r="CI58" i="67"/>
  <c r="CJ56" i="67"/>
  <c r="CI71" i="67"/>
  <c r="CM73" i="67"/>
  <c r="CI56" i="67"/>
  <c r="CJ73" i="67"/>
  <c r="CI44" i="67"/>
  <c r="CI74" i="67"/>
  <c r="CL85" i="67"/>
  <c r="CL56" i="67"/>
  <c r="CL20" i="72"/>
  <c r="CN1449" i="4"/>
  <c r="CL70" i="67"/>
  <c r="CK85" i="67"/>
  <c r="CN1353" i="4"/>
  <c r="CK50" i="67"/>
  <c r="CK49" i="67" s="1"/>
  <c r="CM72" i="67"/>
  <c r="CK76" i="67"/>
  <c r="CL72" i="67"/>
  <c r="CL50" i="67"/>
  <c r="CL49" i="67" s="1"/>
  <c r="CM75" i="67"/>
  <c r="CL13" i="72"/>
  <c r="CK71" i="67"/>
  <c r="CL76" i="67"/>
  <c r="CK87" i="67"/>
  <c r="CK90" i="67"/>
  <c r="CL87" i="67"/>
  <c r="CM77" i="67"/>
  <c r="CL53" i="67"/>
  <c r="CL73" i="67"/>
  <c r="CK47" i="67"/>
  <c r="CM1353" i="4"/>
  <c r="CK81" i="67"/>
  <c r="CK82" i="67" s="1"/>
  <c r="CL18" i="72"/>
  <c r="CL19" i="72" s="1"/>
  <c r="CL86" i="67"/>
  <c r="CL44" i="67"/>
  <c r="CL75" i="67"/>
  <c r="CM74" i="67"/>
  <c r="CK72" i="67"/>
  <c r="CK89" i="67"/>
  <c r="CL51" i="67"/>
  <c r="CL89" i="67"/>
  <c r="CK54" i="67"/>
  <c r="CK51" i="67"/>
  <c r="CK75" i="67"/>
  <c r="CK70" i="67"/>
  <c r="CN1316" i="4"/>
  <c r="CO1316" i="4"/>
  <c r="CK88" i="67"/>
  <c r="CK77" i="67"/>
  <c r="CK45" i="67"/>
  <c r="CL74" i="67"/>
  <c r="CM20" i="72"/>
  <c r="CL88" i="67"/>
  <c r="CL45" i="67"/>
  <c r="CM87" i="67"/>
  <c r="CK56" i="67"/>
  <c r="CK58" i="67"/>
  <c r="CL77" i="67"/>
  <c r="CK53" i="67"/>
  <c r="CM18" i="72"/>
  <c r="CM19" i="72" s="1"/>
  <c r="CK73" i="67"/>
  <c r="CK86" i="67"/>
  <c r="CK44" i="67"/>
  <c r="CL54" i="67"/>
  <c r="CL90" i="67"/>
  <c r="CM13" i="72"/>
  <c r="CK74" i="67"/>
  <c r="CL69" i="67"/>
  <c r="CL58" i="67"/>
  <c r="CL47" i="67"/>
  <c r="CM1449" i="4"/>
  <c r="CL81" i="67"/>
  <c r="CL82" i="67" s="1"/>
  <c r="CM86" i="67"/>
  <c r="CN54" i="67"/>
  <c r="CO20" i="72"/>
  <c r="CN90" i="67"/>
  <c r="CM58" i="67"/>
  <c r="CN87" i="67"/>
  <c r="CN86" i="67"/>
  <c r="CM88" i="67"/>
  <c r="CM53" i="67"/>
  <c r="CM76" i="67"/>
  <c r="CN18" i="72"/>
  <c r="CN19" i="72" s="1"/>
  <c r="CN44" i="67"/>
  <c r="CM85" i="67"/>
  <c r="CM54" i="67"/>
  <c r="CN85" i="67"/>
  <c r="CN76" i="67"/>
  <c r="CM45" i="67"/>
  <c r="CN56" i="67"/>
  <c r="CN74" i="67"/>
  <c r="CM70" i="67"/>
  <c r="CN81" i="67"/>
  <c r="CN82" i="67" s="1"/>
  <c r="CN47" i="67"/>
  <c r="CN72" i="67"/>
  <c r="CN13" i="72"/>
  <c r="CM56" i="67"/>
  <c r="CN45" i="67"/>
  <c r="CN20" i="72"/>
  <c r="CM90" i="67"/>
  <c r="CN70" i="67"/>
  <c r="CN88" i="67"/>
  <c r="CO1449" i="4"/>
  <c r="CM47" i="67"/>
  <c r="CK69" i="67"/>
  <c r="CN71" i="67"/>
  <c r="CN50" i="67"/>
  <c r="CN49" i="67" s="1"/>
  <c r="CM81" i="67"/>
  <c r="CM82" i="67" s="1"/>
  <c r="CO1353" i="4"/>
  <c r="CN58" i="67"/>
  <c r="CM50" i="67"/>
  <c r="CM49" i="67" s="1"/>
  <c r="CM69" i="67"/>
  <c r="CL71" i="67"/>
  <c r="CN89" i="67"/>
  <c r="CN73" i="67"/>
  <c r="CM44" i="67"/>
  <c r="CM71" i="67"/>
  <c r="CN51" i="67"/>
  <c r="CN53" i="67"/>
  <c r="CM89" i="67"/>
  <c r="CM51" i="67"/>
  <c r="CO77" i="67"/>
  <c r="CO53" i="67"/>
  <c r="CO76" i="67"/>
  <c r="CO72" i="67"/>
  <c r="CO51" i="67"/>
  <c r="CN69" i="67"/>
  <c r="CO85" i="67"/>
  <c r="CO69" i="67"/>
  <c r="CN77" i="67"/>
  <c r="CO88" i="67"/>
  <c r="CO89" i="67"/>
  <c r="CO56" i="67"/>
  <c r="CO86" i="67"/>
  <c r="CO44" i="67"/>
  <c r="CO73" i="67"/>
  <c r="CO71" i="67"/>
  <c r="CO87" i="67"/>
  <c r="CO54" i="67"/>
  <c r="CO18" i="72"/>
  <c r="CO19" i="72" s="1"/>
  <c r="CO47" i="67"/>
  <c r="CO74" i="67"/>
  <c r="CO45" i="67"/>
  <c r="CO50" i="67"/>
  <c r="CO49" i="67" s="1"/>
  <c r="CO75" i="67"/>
  <c r="CO70" i="67"/>
  <c r="CO81" i="67"/>
  <c r="CO82" i="67" s="1"/>
  <c r="CO58" i="67"/>
  <c r="CO90" i="67"/>
  <c r="CO13" i="72"/>
  <c r="CN75" i="67"/>
  <c r="L81" i="67"/>
  <c r="M16" i="72"/>
  <c r="N81" i="67"/>
  <c r="N82" i="67" s="1"/>
  <c r="M81" i="67"/>
  <c r="M82" i="67" s="1"/>
  <c r="L16" i="72"/>
  <c r="L44" i="67"/>
  <c r="O81" i="67"/>
  <c r="O82" i="67" s="1"/>
  <c r="L69" i="67"/>
  <c r="N69" i="67"/>
  <c r="N13" i="72"/>
  <c r="N44" i="67"/>
  <c r="M44" i="67"/>
  <c r="M69" i="67"/>
  <c r="N16" i="72"/>
  <c r="O69" i="67"/>
  <c r="Q16" i="72"/>
  <c r="M13" i="72"/>
  <c r="CN78" i="4"/>
  <c r="CM659" i="4"/>
  <c r="AO232" i="4"/>
  <c r="AO161" i="4"/>
  <c r="AO207" i="4"/>
  <c r="AO269" i="4" s="1"/>
  <c r="AO283" i="4" s="1"/>
  <c r="AO160" i="4"/>
  <c r="AO256" i="4"/>
  <c r="AO174" i="4"/>
  <c r="AO209" i="4"/>
  <c r="AO208" i="4"/>
  <c r="AO255" i="4"/>
  <c r="AO233" i="4"/>
  <c r="AO205" i="4"/>
  <c r="AO166" i="4"/>
  <c r="AO175" i="4"/>
  <c r="AO206" i="4"/>
  <c r="AO168" i="4"/>
  <c r="AO162" i="4"/>
  <c r="AO254" i="4"/>
  <c r="AO167" i="4"/>
  <c r="AO159" i="4"/>
  <c r="AO231" i="4"/>
  <c r="AO204" i="4"/>
  <c r="AO173" i="4"/>
  <c r="AO234" i="4"/>
  <c r="AO257" i="4"/>
  <c r="AO169" i="4"/>
  <c r="AO210" i="4"/>
  <c r="AO176" i="4"/>
  <c r="AO211" i="4"/>
  <c r="AP85" i="4"/>
  <c r="AG120" i="64"/>
  <c r="AG64" i="64" s="1"/>
  <c r="AK1345" i="4"/>
  <c r="AK1310" i="4"/>
  <c r="CN130" i="4"/>
  <c r="AJ789" i="4"/>
  <c r="AJ751" i="4"/>
  <c r="AJ629" i="4"/>
  <c r="AJ630" i="4" s="1"/>
  <c r="CO1165" i="4"/>
  <c r="CO1166" i="4"/>
  <c r="I1166" i="4" s="1"/>
  <c r="CO273" i="4"/>
  <c r="CO275" i="4"/>
  <c r="CO288" i="4" s="1"/>
  <c r="CO329" i="4" s="1"/>
  <c r="CO274" i="4"/>
  <c r="G314" i="4"/>
  <c r="I314" i="4"/>
  <c r="CM154" i="4"/>
  <c r="CL660" i="4"/>
  <c r="CM17" i="67"/>
  <c r="CJ23" i="67"/>
  <c r="CC33" i="67"/>
  <c r="CD13" i="67"/>
  <c r="CD23" i="67" s="1"/>
  <c r="BZ23" i="67"/>
  <c r="BY17" i="67"/>
  <c r="BY13" i="67"/>
  <c r="BX17" i="67"/>
  <c r="BX23" i="67" s="1"/>
  <c r="BW17" i="67"/>
  <c r="BW23" i="67" s="1"/>
  <c r="BP25" i="67"/>
  <c r="BP37" i="67" s="1"/>
  <c r="BN25" i="67"/>
  <c r="BN37" i="67" s="1"/>
  <c r="AV25" i="67"/>
  <c r="AV37" i="67" s="1"/>
  <c r="AP33" i="67"/>
  <c r="AL17" i="67"/>
  <c r="AH25" i="67"/>
  <c r="AH37" i="67" s="1"/>
  <c r="AH39" i="67" s="1"/>
  <c r="CO184" i="4"/>
  <c r="CO193" i="4" s="1"/>
  <c r="I297" i="3"/>
  <c r="CO122" i="4"/>
  <c r="CO127" i="4" s="1"/>
  <c r="I185" i="3"/>
  <c r="CO121" i="4"/>
  <c r="I184" i="3"/>
  <c r="CO145" i="4"/>
  <c r="I240" i="3"/>
  <c r="AI111" i="64"/>
  <c r="AI776" i="4"/>
  <c r="AI115" i="64" s="1"/>
  <c r="AI773" i="4"/>
  <c r="AI774" i="4"/>
  <c r="AI775" i="4"/>
  <c r="AG13" i="13"/>
  <c r="AG45" i="13"/>
  <c r="AG25" i="13"/>
  <c r="AG41" i="13"/>
  <c r="AG23" i="13"/>
  <c r="AG40" i="13"/>
  <c r="AG15" i="13"/>
  <c r="AG14" i="13"/>
  <c r="AG38" i="13"/>
  <c r="AG43" i="13" s="1"/>
  <c r="AG12" i="13"/>
  <c r="AG39" i="13"/>
  <c r="AG42" i="13"/>
  <c r="AG24" i="13"/>
  <c r="AG47" i="13"/>
  <c r="AH14" i="13"/>
  <c r="AH40" i="13"/>
  <c r="AH24" i="13"/>
  <c r="AH45" i="13"/>
  <c r="AI42" i="13"/>
  <c r="AH25" i="13"/>
  <c r="AI40" i="13"/>
  <c r="AH39" i="13"/>
  <c r="AI25" i="13"/>
  <c r="AI41" i="13"/>
  <c r="AH12" i="13"/>
  <c r="AI45" i="13"/>
  <c r="AI15" i="13"/>
  <c r="AI23" i="13"/>
  <c r="AI13" i="13"/>
  <c r="AI47" i="13"/>
  <c r="AH42" i="13"/>
  <c r="AI12" i="13"/>
  <c r="AI14" i="13"/>
  <c r="AI38" i="13"/>
  <c r="AH47" i="13"/>
  <c r="AH38" i="13"/>
  <c r="AH23" i="13"/>
  <c r="AH41" i="13"/>
  <c r="AI24" i="13"/>
  <c r="AH15" i="13"/>
  <c r="AH13" i="13"/>
  <c r="AI39" i="13"/>
  <c r="AJ40" i="13"/>
  <c r="AJ39" i="13"/>
  <c r="AJ41" i="13"/>
  <c r="AJ25" i="13"/>
  <c r="AJ38" i="13"/>
  <c r="AJ43" i="13" s="1"/>
  <c r="AK42" i="13"/>
  <c r="AJ23" i="13"/>
  <c r="AK15" i="13"/>
  <c r="AK23" i="13"/>
  <c r="AK12" i="13"/>
  <c r="AJ42" i="13"/>
  <c r="AJ47" i="13"/>
  <c r="AK39" i="13"/>
  <c r="AJ45" i="13"/>
  <c r="AK24" i="13"/>
  <c r="AJ13" i="13"/>
  <c r="AJ14" i="13"/>
  <c r="AJ12" i="13"/>
  <c r="AJ24" i="13"/>
  <c r="AK47" i="13"/>
  <c r="AK13" i="13"/>
  <c r="AK25" i="13"/>
  <c r="AK14" i="13"/>
  <c r="AK41" i="13"/>
  <c r="AK38" i="13"/>
  <c r="AK45" i="13"/>
  <c r="AJ15" i="13"/>
  <c r="AK40" i="13"/>
  <c r="L47" i="13"/>
  <c r="L12" i="13"/>
  <c r="M12" i="13"/>
  <c r="N12" i="13"/>
  <c r="L38" i="13"/>
  <c r="M47" i="13"/>
  <c r="N47" i="13"/>
  <c r="O47" i="13"/>
  <c r="N38" i="13"/>
  <c r="M38" i="13"/>
  <c r="P47" i="13"/>
  <c r="O12" i="13"/>
  <c r="Q12" i="13"/>
  <c r="AJ676" i="4"/>
  <c r="AJ680" i="4" s="1"/>
  <c r="AJ889" i="4" s="1"/>
  <c r="AJ890" i="4" s="1"/>
  <c r="AJ891" i="4" s="1"/>
  <c r="CN654" i="4"/>
  <c r="CN655" i="4"/>
  <c r="CN637" i="4"/>
  <c r="AN265" i="4"/>
  <c r="AN163" i="4"/>
  <c r="AN258" i="4"/>
  <c r="AN271" i="4"/>
  <c r="CL617" i="4"/>
  <c r="AJ763" i="4"/>
  <c r="AJ764" i="4"/>
  <c r="AJ762" i="4"/>
  <c r="CN142" i="4"/>
  <c r="CO17" i="67"/>
  <c r="CO23" i="67" s="1"/>
  <c r="CI17" i="67"/>
  <c r="CB25" i="67"/>
  <c r="CB37" i="67" s="1"/>
  <c r="CA33" i="67"/>
  <c r="BV25" i="67"/>
  <c r="BV37" i="67" s="1"/>
  <c r="BP13" i="67"/>
  <c r="BP23" i="67" s="1"/>
  <c r="BO17" i="67"/>
  <c r="BK13" i="67"/>
  <c r="BK25" i="67"/>
  <c r="BN13" i="67"/>
  <c r="BN23" i="67" s="1"/>
  <c r="BM25" i="67"/>
  <c r="BM37" i="67" s="1"/>
  <c r="BL33" i="67"/>
  <c r="BK17" i="67"/>
  <c r="BG25" i="67"/>
  <c r="BG37" i="67" s="1"/>
  <c r="BD25" i="67"/>
  <c r="BD37" i="67" s="1"/>
  <c r="BB25" i="67"/>
  <c r="BB37" i="67" s="1"/>
  <c r="BB39" i="67" s="1"/>
  <c r="BB40" i="67" s="1"/>
  <c r="AX25" i="67"/>
  <c r="AX37" i="67" s="1"/>
  <c r="AT17" i="67"/>
  <c r="AT23" i="67" s="1"/>
  <c r="AP25" i="67"/>
  <c r="AR13" i="67"/>
  <c r="AO13" i="67"/>
  <c r="AO23" i="67" s="1"/>
  <c r="AM33" i="67"/>
  <c r="CO1082" i="4"/>
  <c r="G1082" i="4" s="1"/>
  <c r="G1081" i="4"/>
  <c r="CO183" i="4"/>
  <c r="I296" i="3"/>
  <c r="CO186" i="4"/>
  <c r="CO195" i="4" s="1"/>
  <c r="I299" i="3"/>
  <c r="CO243" i="4"/>
  <c r="CO248" i="4" s="1"/>
  <c r="I357" i="3"/>
  <c r="CO135" i="4"/>
  <c r="CO140" i="4" s="1"/>
  <c r="I218" i="3"/>
  <c r="CN53" i="62"/>
  <c r="AL677" i="4"/>
  <c r="AL669" i="4"/>
  <c r="AL863" i="4"/>
  <c r="AL864" i="4"/>
  <c r="AL866" i="4"/>
  <c r="AL865" i="4"/>
  <c r="AL289" i="4"/>
  <c r="CM544" i="4"/>
  <c r="CM612" i="4" s="1"/>
  <c r="CM607" i="4"/>
  <c r="AF819" i="4"/>
  <c r="AF825" i="4" s="1"/>
  <c r="AF826" i="4" s="1"/>
  <c r="AM282" i="4"/>
  <c r="G158" i="15"/>
  <c r="CO33" i="67"/>
  <c r="CK17" i="67"/>
  <c r="CK23" i="67" s="1"/>
  <c r="CL33" i="67"/>
  <c r="CG17" i="67"/>
  <c r="CG23" i="67" s="1"/>
  <c r="CD25" i="67"/>
  <c r="CD37" i="67" s="1"/>
  <c r="CD39" i="67" s="1"/>
  <c r="CC17" i="67"/>
  <c r="CC23" i="67" s="1"/>
  <c r="CB23" i="67"/>
  <c r="CA17" i="67"/>
  <c r="CA13" i="67"/>
  <c r="BX25" i="67"/>
  <c r="BX37" i="67" s="1"/>
  <c r="BV13" i="67"/>
  <c r="BV17" i="67"/>
  <c r="BZ25" i="67"/>
  <c r="BZ37" i="67" s="1"/>
  <c r="BZ39" i="67" s="1"/>
  <c r="BS25" i="67"/>
  <c r="BS37" i="67" s="1"/>
  <c r="BR23" i="67"/>
  <c r="BO33" i="67"/>
  <c r="BM17" i="67"/>
  <c r="BM13" i="67"/>
  <c r="BJ25" i="67"/>
  <c r="BJ37" i="67" s="1"/>
  <c r="BJ39" i="67" s="1"/>
  <c r="BK33" i="67"/>
  <c r="BI17" i="67"/>
  <c r="BI23" i="67" s="1"/>
  <c r="BF25" i="67"/>
  <c r="BF37" i="67" s="1"/>
  <c r="BF39" i="67" s="1"/>
  <c r="BE13" i="67"/>
  <c r="BE23" i="67" s="1"/>
  <c r="AZ17" i="67"/>
  <c r="AZ13" i="67"/>
  <c r="AW17" i="67"/>
  <c r="AW23" i="67" s="1"/>
  <c r="AY17" i="67"/>
  <c r="AV13" i="67"/>
  <c r="AS17" i="67"/>
  <c r="AR17" i="67"/>
  <c r="AR25" i="67"/>
  <c r="AR37" i="67" s="1"/>
  <c r="AN33" i="67"/>
  <c r="AN37" i="67" s="1"/>
  <c r="AN39" i="67" s="1"/>
  <c r="AM13" i="67"/>
  <c r="AM23" i="67" s="1"/>
  <c r="AI33" i="67"/>
  <c r="AG25" i="67"/>
  <c r="AG37" i="67" s="1"/>
  <c r="AG39" i="67" s="1"/>
  <c r="CO1063" i="4"/>
  <c r="CO1080" i="4"/>
  <c r="G1080" i="4" s="1"/>
  <c r="G1079" i="4"/>
  <c r="CO1066" i="4"/>
  <c r="CO219" i="4"/>
  <c r="CO224" i="4" s="1"/>
  <c r="I330" i="3"/>
  <c r="CO185" i="4"/>
  <c r="CO194" i="4" s="1"/>
  <c r="I298" i="3"/>
  <c r="CO187" i="4"/>
  <c r="CO196" i="4" s="1"/>
  <c r="I300" i="3"/>
  <c r="CO133" i="4"/>
  <c r="I216" i="3"/>
  <c r="AH777" i="4"/>
  <c r="CN65" i="4"/>
  <c r="CF52" i="67" l="1"/>
  <c r="CN544" i="4"/>
  <c r="CN612" i="4" s="1"/>
  <c r="AI114" i="64"/>
  <c r="BV52" i="67"/>
  <c r="AI113" i="64"/>
  <c r="AI112" i="64"/>
  <c r="AI1215" i="4"/>
  <c r="AI1050" i="4"/>
  <c r="Q38" i="13"/>
  <c r="AL52" i="67"/>
  <c r="AM37" i="67"/>
  <c r="AM39" i="67" s="1"/>
  <c r="AN40" i="67" s="1"/>
  <c r="CC37" i="67"/>
  <c r="CC39" i="67" s="1"/>
  <c r="CD40" i="67" s="1"/>
  <c r="CL37" i="67"/>
  <c r="BN52" i="67"/>
  <c r="AI928" i="4"/>
  <c r="Q13" i="72"/>
  <c r="AI684" i="4"/>
  <c r="AI956" i="4" s="1"/>
  <c r="AI69" i="11"/>
  <c r="AI44" i="11"/>
  <c r="AI992" i="4"/>
  <c r="Q44" i="67"/>
  <c r="AI1257" i="4"/>
  <c r="AV23" i="67"/>
  <c r="AP37" i="67"/>
  <c r="AP39" i="67" s="1"/>
  <c r="AQ40" i="67" s="1"/>
  <c r="AS37" i="67"/>
  <c r="BQ39" i="67"/>
  <c r="BT39" i="67"/>
  <c r="CL23" i="67"/>
  <c r="CO9" i="4"/>
  <c r="AZ23" i="67"/>
  <c r="AX39" i="67"/>
  <c r="BY23" i="67"/>
  <c r="CL659" i="4"/>
  <c r="CO9" i="3"/>
  <c r="BS39" i="67"/>
  <c r="AK751" i="4"/>
  <c r="AK771" i="4" s="1"/>
  <c r="AK762" i="4"/>
  <c r="AK763" i="4"/>
  <c r="CG52" i="67"/>
  <c r="BX78" i="67"/>
  <c r="AG49" i="13"/>
  <c r="AM91" i="67"/>
  <c r="AK629" i="4"/>
  <c r="AK630" i="4" s="1"/>
  <c r="AK682" i="4" s="1"/>
  <c r="AK789" i="4"/>
  <c r="AK791" i="4" s="1"/>
  <c r="CM78" i="67"/>
  <c r="BA91" i="67"/>
  <c r="BB52" i="67"/>
  <c r="AG52" i="67"/>
  <c r="AZ91" i="67"/>
  <c r="BS91" i="67"/>
  <c r="CB52" i="67"/>
  <c r="AF54" i="67"/>
  <c r="I54" i="67" s="1"/>
  <c r="CE39" i="67"/>
  <c r="CE40" i="67" s="1"/>
  <c r="CE52" i="67"/>
  <c r="AR52" i="67"/>
  <c r="AJ52" i="67"/>
  <c r="CO78" i="4"/>
  <c r="CA52" i="67"/>
  <c r="AX52" i="67"/>
  <c r="CH52" i="67"/>
  <c r="AO52" i="67"/>
  <c r="AM52" i="67"/>
  <c r="BH52" i="67"/>
  <c r="CJ52" i="67"/>
  <c r="AY52" i="67"/>
  <c r="CI52" i="67"/>
  <c r="BX52" i="67"/>
  <c r="BL52" i="67"/>
  <c r="AQ91" i="67"/>
  <c r="BA52" i="67"/>
  <c r="BR52" i="67"/>
  <c r="BO52" i="67"/>
  <c r="BG52" i="67"/>
  <c r="AU52" i="67"/>
  <c r="BE52" i="67"/>
  <c r="CL91" i="67"/>
  <c r="CG78" i="67"/>
  <c r="CC91" i="67"/>
  <c r="BF91" i="67"/>
  <c r="CJ91" i="67"/>
  <c r="BN78" i="67"/>
  <c r="BO91" i="67"/>
  <c r="BR78" i="67"/>
  <c r="AJ49" i="13"/>
  <c r="BT91" i="67"/>
  <c r="BO78" i="67"/>
  <c r="AN260" i="4"/>
  <c r="AN1214" i="4" s="1"/>
  <c r="AL879" i="4"/>
  <c r="AH118" i="64"/>
  <c r="AH121" i="64" s="1"/>
  <c r="CO414" i="4"/>
  <c r="I329" i="4"/>
  <c r="CL661" i="4"/>
  <c r="CO1096" i="4"/>
  <c r="CO1100" i="4" s="1"/>
  <c r="E1299" i="4"/>
  <c r="CO22" i="4"/>
  <c r="G22" i="4" s="1"/>
  <c r="G20" i="4"/>
  <c r="CO77" i="4"/>
  <c r="CO249" i="4"/>
  <c r="I248" i="4"/>
  <c r="BK23" i="67"/>
  <c r="I193" i="4"/>
  <c r="CO335" i="4"/>
  <c r="CO287" i="4"/>
  <c r="CO324" i="4" s="1"/>
  <c r="I324" i="4" s="1"/>
  <c r="AJ771" i="4"/>
  <c r="AJ772" i="4"/>
  <c r="AJ111" i="64" s="1"/>
  <c r="AO270" i="4"/>
  <c r="AO235" i="4"/>
  <c r="AO266" i="4"/>
  <c r="AO170" i="4"/>
  <c r="CM46" i="67"/>
  <c r="CM48" i="67" s="1"/>
  <c r="CM61" i="67"/>
  <c r="CM63" i="67" s="1"/>
  <c r="CM62" i="67"/>
  <c r="CM64" i="67" s="1"/>
  <c r="CB91" i="67"/>
  <c r="BZ78" i="67"/>
  <c r="CA78" i="67"/>
  <c r="BY91" i="67"/>
  <c r="BU1452" i="4"/>
  <c r="BU1457" i="4"/>
  <c r="BR1457" i="4"/>
  <c r="BR1452" i="4"/>
  <c r="BQ1452" i="4"/>
  <c r="BQ1457" i="4"/>
  <c r="BN1457" i="4"/>
  <c r="BN1452" i="4"/>
  <c r="BL62" i="67"/>
  <c r="BL64" i="67" s="1"/>
  <c r="BL61" i="67"/>
  <c r="BL63" i="67" s="1"/>
  <c r="BL46" i="67"/>
  <c r="BL48" i="67" s="1"/>
  <c r="BL78" i="67"/>
  <c r="BL1452" i="4"/>
  <c r="BL1457" i="4"/>
  <c r="BG62" i="67"/>
  <c r="BG64" i="67" s="1"/>
  <c r="BG46" i="67"/>
  <c r="BG48" i="67" s="1"/>
  <c r="BG61" i="67"/>
  <c r="BG63" i="67" s="1"/>
  <c r="BD78" i="67"/>
  <c r="BD91" i="67"/>
  <c r="BG1452" i="4"/>
  <c r="BG1457" i="4"/>
  <c r="BC46" i="67"/>
  <c r="BC48" i="67" s="1"/>
  <c r="BC61" i="67"/>
  <c r="BC63" i="67" s="1"/>
  <c r="BC62" i="67"/>
  <c r="BC64" i="67" s="1"/>
  <c r="AZ62" i="67"/>
  <c r="AZ64" i="67" s="1"/>
  <c r="AZ61" i="67"/>
  <c r="AZ63" i="67" s="1"/>
  <c r="AZ46" i="67"/>
  <c r="AZ48" i="67" s="1"/>
  <c r="AZ1452" i="4"/>
  <c r="AZ1457" i="4"/>
  <c r="AY91" i="67"/>
  <c r="AY61" i="67"/>
  <c r="AY63" i="67" s="1"/>
  <c r="AY46" i="67"/>
  <c r="AY48" i="67" s="1"/>
  <c r="AY62" i="67"/>
  <c r="AY64" i="67" s="1"/>
  <c r="AX78" i="67"/>
  <c r="AX1452" i="4"/>
  <c r="AX1457" i="4"/>
  <c r="AT78" i="67"/>
  <c r="AS61" i="67"/>
  <c r="AS63" i="67" s="1"/>
  <c r="AS46" i="67"/>
  <c r="AS48" i="67" s="1"/>
  <c r="AS62" i="67"/>
  <c r="AS64" i="67" s="1"/>
  <c r="AQ61" i="67"/>
  <c r="AQ63" i="67" s="1"/>
  <c r="AQ62" i="67"/>
  <c r="AQ64" i="67" s="1"/>
  <c r="AQ46" i="67"/>
  <c r="AQ48" i="67" s="1"/>
  <c r="AP91" i="67"/>
  <c r="AP46" i="67"/>
  <c r="AP48" i="67" s="1"/>
  <c r="AP62" i="67"/>
  <c r="AP64" i="67" s="1"/>
  <c r="AP61" i="67"/>
  <c r="AP63" i="67" s="1"/>
  <c r="AO61" i="67"/>
  <c r="AO63" i="67" s="1"/>
  <c r="AO46" i="67"/>
  <c r="AO48" i="67" s="1"/>
  <c r="AO62" i="67"/>
  <c r="AO64" i="67" s="1"/>
  <c r="AL1457" i="4"/>
  <c r="AL1452" i="4"/>
  <c r="AO1457" i="4"/>
  <c r="AO1452" i="4"/>
  <c r="AL61" i="67"/>
  <c r="AL63" i="67" s="1"/>
  <c r="AL46" i="67"/>
  <c r="AL48" i="67" s="1"/>
  <c r="AL62" i="67"/>
  <c r="AL64" i="67" s="1"/>
  <c r="AI62" i="67"/>
  <c r="AI64" i="67" s="1"/>
  <c r="AI61" i="67"/>
  <c r="AI63" i="67" s="1"/>
  <c r="AI46" i="67"/>
  <c r="AI48" i="67" s="1"/>
  <c r="CN964" i="4"/>
  <c r="CN605" i="4"/>
  <c r="BL37" i="67"/>
  <c r="BL39" i="67" s="1"/>
  <c r="AK40" i="67"/>
  <c r="BI39" i="67"/>
  <c r="BI40" i="67" s="1"/>
  <c r="CO37" i="4"/>
  <c r="CO246" i="4"/>
  <c r="AH73" i="64"/>
  <c r="AH81" i="64"/>
  <c r="BU37" i="67"/>
  <c r="BU39" i="67" s="1"/>
  <c r="BD39" i="67"/>
  <c r="AN276" i="4"/>
  <c r="AN334" i="4"/>
  <c r="AN960" i="4" s="1"/>
  <c r="AN279" i="4"/>
  <c r="AJ18" i="13"/>
  <c r="AJ17" i="13"/>
  <c r="AK18" i="13"/>
  <c r="AK17" i="13"/>
  <c r="AH43" i="13"/>
  <c r="AH49" i="13" s="1"/>
  <c r="AH40" i="67"/>
  <c r="AJ795" i="4"/>
  <c r="AJ793" i="4"/>
  <c r="AJ791" i="4"/>
  <c r="AJ792" i="4"/>
  <c r="AJ794" i="4"/>
  <c r="AO163" i="4"/>
  <c r="AO265" i="4"/>
  <c r="CO52" i="67"/>
  <c r="CN62" i="67"/>
  <c r="CN64" i="67" s="1"/>
  <c r="CN46" i="67"/>
  <c r="CN48" i="67" s="1"/>
  <c r="CN61" i="67"/>
  <c r="CN63" i="67" s="1"/>
  <c r="CN1452" i="4"/>
  <c r="CN1457" i="4"/>
  <c r="CJ78" i="67"/>
  <c r="CJ62" i="67"/>
  <c r="CJ64" i="67" s="1"/>
  <c r="CJ61" i="67"/>
  <c r="CJ63" i="67" s="1"/>
  <c r="CJ46" i="67"/>
  <c r="CJ48" i="67" s="1"/>
  <c r="CE78" i="67"/>
  <c r="CG61" i="67"/>
  <c r="CG63" i="67" s="1"/>
  <c r="CG46" i="67"/>
  <c r="CG48" i="67" s="1"/>
  <c r="CG62" i="67"/>
  <c r="CG64" i="67" s="1"/>
  <c r="CD52" i="67"/>
  <c r="CF1457" i="4"/>
  <c r="CF1452" i="4"/>
  <c r="CD1457" i="4"/>
  <c r="CD1452" i="4"/>
  <c r="BZ91" i="67"/>
  <c r="BZ52" i="67"/>
  <c r="BX91" i="67"/>
  <c r="BW52" i="67"/>
  <c r="BU46" i="67"/>
  <c r="BU48" i="67" s="1"/>
  <c r="BU61" i="67"/>
  <c r="BU63" i="67" s="1"/>
  <c r="BU62" i="67"/>
  <c r="BU64" i="67" s="1"/>
  <c r="BQ91" i="67"/>
  <c r="BP78" i="67"/>
  <c r="BP46" i="67"/>
  <c r="BP48" i="67" s="1"/>
  <c r="BP62" i="67"/>
  <c r="BP64" i="67" s="1"/>
  <c r="BP61" i="67"/>
  <c r="BP63" i="67" s="1"/>
  <c r="BK78" i="67"/>
  <c r="BK91" i="67"/>
  <c r="BJ52" i="67"/>
  <c r="BI91" i="67"/>
  <c r="BH46" i="67"/>
  <c r="BH48" i="67" s="1"/>
  <c r="BH62" i="67"/>
  <c r="BH64" i="67" s="1"/>
  <c r="BH61" i="67"/>
  <c r="BH63" i="67" s="1"/>
  <c r="BF52" i="67"/>
  <c r="BC91" i="67"/>
  <c r="BE1457" i="4"/>
  <c r="BE1452" i="4"/>
  <c r="BB91" i="67"/>
  <c r="BC1452" i="4"/>
  <c r="BC1457" i="4"/>
  <c r="AY78" i="67"/>
  <c r="AW52" i="67"/>
  <c r="AU46" i="67"/>
  <c r="AU48" i="67" s="1"/>
  <c r="AU61" i="67"/>
  <c r="AU63" i="67" s="1"/>
  <c r="AU62" i="67"/>
  <c r="AU64" i="67" s="1"/>
  <c r="AT52" i="67"/>
  <c r="AQ52" i="67"/>
  <c r="AQ78" i="67"/>
  <c r="AS52" i="67"/>
  <c r="AR46" i="67"/>
  <c r="AR48" i="67" s="1"/>
  <c r="AR61" i="67"/>
  <c r="AR63" i="67" s="1"/>
  <c r="AR62" i="67"/>
  <c r="AR64" i="67" s="1"/>
  <c r="AQ1457" i="4"/>
  <c r="AQ1452" i="4"/>
  <c r="AT1452" i="4"/>
  <c r="AT1457" i="4"/>
  <c r="AN52" i="67"/>
  <c r="AJ61" i="67"/>
  <c r="AJ63" i="67" s="1"/>
  <c r="AJ46" i="67"/>
  <c r="AJ48" i="67" s="1"/>
  <c r="AJ62" i="67"/>
  <c r="AJ64" i="67" s="1"/>
  <c r="AL78" i="67"/>
  <c r="AI91" i="67"/>
  <c r="AJ1452" i="4"/>
  <c r="AJ1457" i="4"/>
  <c r="AG823" i="4"/>
  <c r="AG811" i="4"/>
  <c r="AG817" i="4" s="1"/>
  <c r="AG819" i="4" s="1"/>
  <c r="AG825" i="4" s="1"/>
  <c r="I62" i="4"/>
  <c r="G62" i="4"/>
  <c r="CO528" i="4"/>
  <c r="AZ39" i="67"/>
  <c r="BA40" i="67" s="1"/>
  <c r="I53" i="4"/>
  <c r="G53" i="4"/>
  <c r="CO226" i="4"/>
  <c r="I225" i="4"/>
  <c r="AK757" i="4"/>
  <c r="AK759" i="4"/>
  <c r="AK756" i="4"/>
  <c r="AK758" i="4"/>
  <c r="CO60" i="62"/>
  <c r="AN282" i="4"/>
  <c r="CM617" i="4"/>
  <c r="BG39" i="67"/>
  <c r="BG40" i="67" s="1"/>
  <c r="CN645" i="4"/>
  <c r="CN644" i="4"/>
  <c r="CN641" i="4"/>
  <c r="CN640" i="4"/>
  <c r="AK43" i="13"/>
  <c r="AK49" i="13" s="1"/>
  <c r="CO32" i="4"/>
  <c r="CO126" i="4"/>
  <c r="CO34" i="66"/>
  <c r="I34" i="66" s="1"/>
  <c r="CO78" i="67"/>
  <c r="CL78" i="67"/>
  <c r="CD46" i="67"/>
  <c r="CD48" i="67" s="1"/>
  <c r="CD62" i="67"/>
  <c r="CD64" i="67" s="1"/>
  <c r="CD61" i="67"/>
  <c r="CD63" i="67" s="1"/>
  <c r="CB1457" i="4"/>
  <c r="CB1452" i="4"/>
  <c r="BW1452" i="4"/>
  <c r="BW1457" i="4"/>
  <c r="BT52" i="67"/>
  <c r="BM46" i="67"/>
  <c r="BM48" i="67" s="1"/>
  <c r="BM61" i="67"/>
  <c r="BM63" i="67" s="1"/>
  <c r="BM62" i="67"/>
  <c r="BM64" i="67" s="1"/>
  <c r="BJ46" i="67"/>
  <c r="BJ48" i="67" s="1"/>
  <c r="BJ62" i="67"/>
  <c r="BJ64" i="67" s="1"/>
  <c r="BJ61" i="67"/>
  <c r="BJ63" i="67" s="1"/>
  <c r="BJ91" i="67"/>
  <c r="BK1457" i="4"/>
  <c r="BK1452" i="4"/>
  <c r="BE46" i="67"/>
  <c r="BE48" i="67" s="1"/>
  <c r="BE62" i="67"/>
  <c r="BE64" i="67" s="1"/>
  <c r="BE61" i="67"/>
  <c r="BE63" i="67" s="1"/>
  <c r="BE78" i="67"/>
  <c r="BF1457" i="4"/>
  <c r="BF1452" i="4"/>
  <c r="AW91" i="67"/>
  <c r="AV62" i="67"/>
  <c r="AV64" i="67" s="1"/>
  <c r="AV61" i="67"/>
  <c r="AV63" i="67" s="1"/>
  <c r="AV46" i="67"/>
  <c r="AV48" i="67" s="1"/>
  <c r="AW1457" i="4"/>
  <c r="AW1452" i="4"/>
  <c r="AT46" i="67"/>
  <c r="AT48" i="67" s="1"/>
  <c r="AT61" i="67"/>
  <c r="AT63" i="67" s="1"/>
  <c r="AT62" i="67"/>
  <c r="AT64" i="67" s="1"/>
  <c r="AR78" i="67"/>
  <c r="AN78" i="67"/>
  <c r="AK78" i="67"/>
  <c r="AG46" i="67"/>
  <c r="AG48" i="67" s="1"/>
  <c r="AG62" i="67"/>
  <c r="AG64" i="67" s="1"/>
  <c r="AG61" i="67"/>
  <c r="AG63" i="67" s="1"/>
  <c r="AI1452" i="4"/>
  <c r="AI1457" i="4"/>
  <c r="AS23" i="67"/>
  <c r="BO37" i="67"/>
  <c r="CJ39" i="67"/>
  <c r="AK766" i="4"/>
  <c r="AK767" i="4"/>
  <c r="AK765" i="4"/>
  <c r="AK768" i="4"/>
  <c r="AM749" i="4"/>
  <c r="AM609" i="4"/>
  <c r="AM627" i="4" s="1"/>
  <c r="AM810" i="4" s="1"/>
  <c r="AM815" i="4" s="1"/>
  <c r="AG118" i="64"/>
  <c r="AG121" i="64" s="1"/>
  <c r="CO540" i="4"/>
  <c r="AL23" i="67"/>
  <c r="AL39" i="67" s="1"/>
  <c r="CH37" i="67"/>
  <c r="CH39" i="67" s="1"/>
  <c r="AL755" i="4"/>
  <c r="AL754" i="4"/>
  <c r="BO23" i="67"/>
  <c r="CO36" i="4"/>
  <c r="CO223" i="4"/>
  <c r="BY37" i="67"/>
  <c r="BY39" i="67" s="1"/>
  <c r="AL628" i="4"/>
  <c r="AL685" i="4" s="1"/>
  <c r="AL750" i="4"/>
  <c r="AL622" i="4"/>
  <c r="AL623" i="4" s="1"/>
  <c r="AN281" i="4"/>
  <c r="AH823" i="4"/>
  <c r="AH811" i="4"/>
  <c r="AH817" i="4" s="1"/>
  <c r="AH819" i="4" s="1"/>
  <c r="AH825" i="4" s="1"/>
  <c r="I196" i="4"/>
  <c r="I195" i="4"/>
  <c r="AR23" i="67"/>
  <c r="AR39" i="67" s="1"/>
  <c r="AR40" i="67" s="1"/>
  <c r="AI43" i="13"/>
  <c r="AI49" i="13" s="1"/>
  <c r="AG18" i="13"/>
  <c r="AG17" i="13"/>
  <c r="AI119" i="64"/>
  <c r="AI65" i="64" s="1"/>
  <c r="AO271" i="4"/>
  <c r="AO258" i="4"/>
  <c r="CO61" i="67"/>
  <c r="CO63" i="67" s="1"/>
  <c r="CO62" i="67"/>
  <c r="CO64" i="67" s="1"/>
  <c r="CO46" i="67"/>
  <c r="CO48" i="67" s="1"/>
  <c r="CK78" i="67"/>
  <c r="CL1457" i="4"/>
  <c r="CL1452" i="4"/>
  <c r="CG91" i="67"/>
  <c r="CC1452" i="4"/>
  <c r="CC1457" i="4"/>
  <c r="BX61" i="67"/>
  <c r="BX63" i="67" s="1"/>
  <c r="BX46" i="67"/>
  <c r="BX48" i="67" s="1"/>
  <c r="BX62" i="67"/>
  <c r="BX64" i="67" s="1"/>
  <c r="BY46" i="67"/>
  <c r="BY48" i="67" s="1"/>
  <c r="BY61" i="67"/>
  <c r="BY63" i="67" s="1"/>
  <c r="BY62" i="67"/>
  <c r="BY64" i="67" s="1"/>
  <c r="BY78" i="67"/>
  <c r="BX1457" i="4"/>
  <c r="BX1452" i="4"/>
  <c r="BY1452" i="4"/>
  <c r="BY1457" i="4"/>
  <c r="BT61" i="67"/>
  <c r="BT63" i="67" s="1"/>
  <c r="BT46" i="67"/>
  <c r="BT48" i="67" s="1"/>
  <c r="BT62" i="67"/>
  <c r="BT64" i="67" s="1"/>
  <c r="BU78" i="67"/>
  <c r="BS52" i="67"/>
  <c r="BQ62" i="67"/>
  <c r="BQ64" i="67" s="1"/>
  <c r="BQ46" i="67"/>
  <c r="BQ48" i="67" s="1"/>
  <c r="BQ61" i="67"/>
  <c r="BQ63" i="67" s="1"/>
  <c r="BQ78" i="67"/>
  <c r="BN62" i="67"/>
  <c r="BN64" i="67" s="1"/>
  <c r="BN61" i="67"/>
  <c r="BN63" i="67" s="1"/>
  <c r="BN46" i="67"/>
  <c r="BN48" i="67" s="1"/>
  <c r="BM52" i="67"/>
  <c r="BK62" i="67"/>
  <c r="BK64" i="67" s="1"/>
  <c r="BK46" i="67"/>
  <c r="BK48" i="67" s="1"/>
  <c r="BK61" i="67"/>
  <c r="BK63" i="67" s="1"/>
  <c r="BI52" i="67"/>
  <c r="BF78" i="67"/>
  <c r="BE91" i="67"/>
  <c r="BG91" i="67"/>
  <c r="BC52" i="67"/>
  <c r="BA61" i="67"/>
  <c r="BA63" i="67" s="1"/>
  <c r="BA62" i="67"/>
  <c r="BA64" i="67" s="1"/>
  <c r="BA46" i="67"/>
  <c r="BA48" i="67" s="1"/>
  <c r="AZ52" i="67"/>
  <c r="AV1457" i="4"/>
  <c r="AV1452" i="4"/>
  <c r="AS1457" i="4"/>
  <c r="AS1452" i="4"/>
  <c r="AU1452" i="4"/>
  <c r="AU1457" i="4"/>
  <c r="AO91" i="67"/>
  <c r="AN91" i="67"/>
  <c r="AM61" i="67"/>
  <c r="AM63" i="67" s="1"/>
  <c r="AM62" i="67"/>
  <c r="AM64" i="67" s="1"/>
  <c r="AM46" i="67"/>
  <c r="AM48" i="67" s="1"/>
  <c r="AK1452" i="4"/>
  <c r="AK1457" i="4"/>
  <c r="AI78" i="67"/>
  <c r="AH91" i="67"/>
  <c r="AH78" i="67"/>
  <c r="AT39" i="67"/>
  <c r="CO37" i="67"/>
  <c r="CO39" i="67" s="1"/>
  <c r="AM619" i="4"/>
  <c r="AM296" i="4"/>
  <c r="AM304" i="4" s="1"/>
  <c r="AH80" i="64"/>
  <c r="AH72" i="64"/>
  <c r="CI23" i="67"/>
  <c r="CI39" i="67" s="1"/>
  <c r="CO129" i="4"/>
  <c r="I128" i="4"/>
  <c r="BC23" i="67"/>
  <c r="L1091" i="4"/>
  <c r="G1108" i="4"/>
  <c r="CF37" i="67"/>
  <c r="CF39" i="67" s="1"/>
  <c r="AN285" i="4"/>
  <c r="AH17" i="13"/>
  <c r="AH18" i="13"/>
  <c r="AV39" i="67"/>
  <c r="CO15" i="66"/>
  <c r="I1165" i="4"/>
  <c r="CM661" i="4"/>
  <c r="CO91" i="67"/>
  <c r="CM52" i="67"/>
  <c r="CE46" i="67"/>
  <c r="CE48" i="67" s="1"/>
  <c r="CE61" i="67"/>
  <c r="CE63" i="67" s="1"/>
  <c r="CE62" i="67"/>
  <c r="CE64" i="67" s="1"/>
  <c r="CI1457" i="4"/>
  <c r="CI1452" i="4"/>
  <c r="CH78" i="67"/>
  <c r="CE91" i="67"/>
  <c r="CD78" i="67"/>
  <c r="CE1457" i="4"/>
  <c r="CE1452" i="4"/>
  <c r="CC52" i="67"/>
  <c r="BW62" i="67"/>
  <c r="BW64" i="67" s="1"/>
  <c r="BW46" i="67"/>
  <c r="BW48" i="67" s="1"/>
  <c r="BW61" i="67"/>
  <c r="BW63" i="67" s="1"/>
  <c r="BU52" i="67"/>
  <c r="BV78" i="67"/>
  <c r="BT1457" i="4"/>
  <c r="BT1452" i="4"/>
  <c r="BS1452" i="4"/>
  <c r="BS1457" i="4"/>
  <c r="BP1457" i="4"/>
  <c r="BP1452" i="4"/>
  <c r="BM78" i="67"/>
  <c r="BL91" i="67"/>
  <c r="BH91" i="67"/>
  <c r="BI1452" i="4"/>
  <c r="BI1457" i="4"/>
  <c r="AY1452" i="4"/>
  <c r="AY1457" i="4"/>
  <c r="AU91" i="67"/>
  <c r="AS91" i="67"/>
  <c r="AR1457" i="4"/>
  <c r="AR1452" i="4"/>
  <c r="AP1452" i="4"/>
  <c r="AP1457" i="4"/>
  <c r="AJ78" i="67"/>
  <c r="AH1457" i="4"/>
  <c r="AH1452" i="4"/>
  <c r="AL91" i="67"/>
  <c r="AG78" i="67"/>
  <c r="AG1452" i="4"/>
  <c r="AG1457" i="4"/>
  <c r="CO83" i="4"/>
  <c r="CO84" i="4" s="1"/>
  <c r="AW39" i="67"/>
  <c r="I197" i="4"/>
  <c r="CN154" i="4"/>
  <c r="AN876" i="4"/>
  <c r="AN877" i="4"/>
  <c r="AN860" i="4"/>
  <c r="AN870" i="4"/>
  <c r="AN859" i="4"/>
  <c r="AN878" i="4"/>
  <c r="AN862" i="4"/>
  <c r="AN871" i="4"/>
  <c r="AN875" i="4"/>
  <c r="AN861" i="4"/>
  <c r="AN818" i="4"/>
  <c r="AN896" i="4" s="1"/>
  <c r="AN1032" i="4"/>
  <c r="AN1033" i="4" s="1"/>
  <c r="AN1034" i="4" s="1"/>
  <c r="AN908" i="4" s="1"/>
  <c r="AN869" i="4"/>
  <c r="AN874" i="4"/>
  <c r="AN606" i="4"/>
  <c r="AN608" i="4" s="1"/>
  <c r="AN613" i="4"/>
  <c r="AN614" i="4" s="1"/>
  <c r="AN620" i="4" s="1"/>
  <c r="AN616" i="4"/>
  <c r="AN667" i="4"/>
  <c r="AN666" i="4"/>
  <c r="AN618" i="4"/>
  <c r="AN668" i="4"/>
  <c r="AO79" i="4"/>
  <c r="AM865" i="4"/>
  <c r="AM866" i="4"/>
  <c r="AM864" i="4"/>
  <c r="AM863" i="4"/>
  <c r="AG73" i="64"/>
  <c r="AG81" i="64"/>
  <c r="G747" i="4"/>
  <c r="I747" i="4"/>
  <c r="AO39" i="67"/>
  <c r="AO40" i="67" s="1"/>
  <c r="CK39" i="67"/>
  <c r="AM289" i="4"/>
  <c r="AN284" i="4"/>
  <c r="I295" i="4"/>
  <c r="CO303" i="4"/>
  <c r="AM65" i="62"/>
  <c r="AM81" i="11"/>
  <c r="AM82" i="11" s="1"/>
  <c r="AM33" i="66"/>
  <c r="AM32" i="66" s="1"/>
  <c r="AM1041" i="4"/>
  <c r="AM1214" i="4"/>
  <c r="AM1241" i="4"/>
  <c r="I152" i="4"/>
  <c r="O1091" i="4"/>
  <c r="CM23" i="67"/>
  <c r="CM39" i="67" s="1"/>
  <c r="CO1075" i="4"/>
  <c r="I1075" i="4" s="1"/>
  <c r="I1066" i="4"/>
  <c r="E1124" i="4" s="1"/>
  <c r="CO198" i="4"/>
  <c r="I194" i="4"/>
  <c r="BV23" i="67"/>
  <c r="BV39" i="67" s="1"/>
  <c r="CN659" i="4"/>
  <c r="BM23" i="67"/>
  <c r="BM39" i="67" s="1"/>
  <c r="BX39" i="67"/>
  <c r="CN617" i="4"/>
  <c r="CO141" i="4"/>
  <c r="I140" i="4"/>
  <c r="CB39" i="67"/>
  <c r="AI17" i="13"/>
  <c r="AI18" i="13"/>
  <c r="I127" i="4"/>
  <c r="BN39" i="67"/>
  <c r="L82" i="67"/>
  <c r="CN78" i="67"/>
  <c r="CN52" i="67"/>
  <c r="CO1457" i="4"/>
  <c r="CO1452" i="4"/>
  <c r="CN91" i="67"/>
  <c r="CK52" i="67"/>
  <c r="CK1452" i="4"/>
  <c r="CK1457" i="4"/>
  <c r="CF78" i="67"/>
  <c r="CF91" i="67"/>
  <c r="CH62" i="67"/>
  <c r="CH64" i="67" s="1"/>
  <c r="CH46" i="67"/>
  <c r="CH48" i="67" s="1"/>
  <c r="CH61" i="67"/>
  <c r="CH63" i="67" s="1"/>
  <c r="CG1452" i="4"/>
  <c r="CG1457" i="4"/>
  <c r="CC46" i="67"/>
  <c r="CC48" i="67" s="1"/>
  <c r="CC61" i="67"/>
  <c r="CC63" i="67" s="1"/>
  <c r="CC62" i="67"/>
  <c r="CC64" i="67" s="1"/>
  <c r="BZ61" i="67"/>
  <c r="BZ63" i="67" s="1"/>
  <c r="BZ62" i="67"/>
  <c r="BZ64" i="67" s="1"/>
  <c r="BZ46" i="67"/>
  <c r="BZ48" i="67" s="1"/>
  <c r="CA91" i="67"/>
  <c r="BW91" i="67"/>
  <c r="BT78" i="67"/>
  <c r="BV1457" i="4"/>
  <c r="BV1452" i="4"/>
  <c r="BP52" i="67"/>
  <c r="BO1452" i="4"/>
  <c r="BO1457" i="4"/>
  <c r="BM1452" i="4"/>
  <c r="BM1457" i="4"/>
  <c r="BJ78" i="67"/>
  <c r="BI78" i="67"/>
  <c r="BI46" i="67"/>
  <c r="BI48" i="67" s="1"/>
  <c r="BI61" i="67"/>
  <c r="BI63" i="67" s="1"/>
  <c r="BI62" i="67"/>
  <c r="BI64" i="67" s="1"/>
  <c r="BD61" i="67"/>
  <c r="BD63" i="67" s="1"/>
  <c r="BD62" i="67"/>
  <c r="BD64" i="67" s="1"/>
  <c r="BD46" i="67"/>
  <c r="BD48" i="67" s="1"/>
  <c r="BD52" i="67"/>
  <c r="AX91" i="67"/>
  <c r="AV52" i="67"/>
  <c r="AV91" i="67"/>
  <c r="AO78" i="67"/>
  <c r="AN61" i="67"/>
  <c r="AN63" i="67" s="1"/>
  <c r="AN62" i="67"/>
  <c r="AN64" i="67" s="1"/>
  <c r="AN46" i="67"/>
  <c r="AN48" i="67" s="1"/>
  <c r="AK52" i="67"/>
  <c r="AK91" i="67"/>
  <c r="AJ91" i="67"/>
  <c r="CO1183" i="4"/>
  <c r="BC39" i="67"/>
  <c r="BC40" i="67" s="1"/>
  <c r="AU39" i="67"/>
  <c r="CN39" i="67"/>
  <c r="I139" i="4"/>
  <c r="CO54" i="4"/>
  <c r="I57" i="4"/>
  <c r="G57" i="4"/>
  <c r="CG39" i="67"/>
  <c r="CN200" i="4"/>
  <c r="AI777" i="4"/>
  <c r="CO33" i="4"/>
  <c r="CO138" i="4"/>
  <c r="CO35" i="4"/>
  <c r="CO192" i="4"/>
  <c r="BP39" i="67"/>
  <c r="AG80" i="64"/>
  <c r="AG72" i="64"/>
  <c r="AO177" i="4"/>
  <c r="AO267" i="4"/>
  <c r="CI62" i="67"/>
  <c r="CI64" i="67" s="1"/>
  <c r="CI46" i="67"/>
  <c r="CI48" i="67" s="1"/>
  <c r="CI61" i="67"/>
  <c r="CI63" i="67" s="1"/>
  <c r="CH1452" i="4"/>
  <c r="CH1457" i="4"/>
  <c r="CB46" i="67"/>
  <c r="CB48" i="67" s="1"/>
  <c r="CB61" i="67"/>
  <c r="CB63" i="67" s="1"/>
  <c r="CB62" i="67"/>
  <c r="CB64" i="67" s="1"/>
  <c r="CA1457" i="4"/>
  <c r="CA1452" i="4"/>
  <c r="BV61" i="67"/>
  <c r="BV63" i="67" s="1"/>
  <c r="BV46" i="67"/>
  <c r="BV48" i="67" s="1"/>
  <c r="BV62" i="67"/>
  <c r="BV64" i="67" s="1"/>
  <c r="BU91" i="67"/>
  <c r="BS78" i="67"/>
  <c r="BR61" i="67"/>
  <c r="BR63" i="67" s="1"/>
  <c r="BR62" i="67"/>
  <c r="BR64" i="67" s="1"/>
  <c r="BR46" i="67"/>
  <c r="BR48" i="67" s="1"/>
  <c r="BP91" i="67"/>
  <c r="BO46" i="67"/>
  <c r="BO48" i="67" s="1"/>
  <c r="BO61" i="67"/>
  <c r="BO63" i="67" s="1"/>
  <c r="BO62" i="67"/>
  <c r="BO64" i="67" s="1"/>
  <c r="BM91" i="67"/>
  <c r="BH78" i="67"/>
  <c r="BJ1452" i="4"/>
  <c r="BJ1457" i="4"/>
  <c r="BH1457" i="4"/>
  <c r="BH1452" i="4"/>
  <c r="BF46" i="67"/>
  <c r="BF48" i="67" s="1"/>
  <c r="BF62" i="67"/>
  <c r="BF64" i="67" s="1"/>
  <c r="BF61" i="67"/>
  <c r="BF63" i="67" s="1"/>
  <c r="BB46" i="67"/>
  <c r="BB48" i="67" s="1"/>
  <c r="BB62" i="67"/>
  <c r="BB64" i="67" s="1"/>
  <c r="BB61" i="67"/>
  <c r="BB63" i="67" s="1"/>
  <c r="BA78" i="67"/>
  <c r="AZ78" i="67"/>
  <c r="BB1452" i="4"/>
  <c r="BB1457" i="4"/>
  <c r="AW62" i="67"/>
  <c r="AW64" i="67" s="1"/>
  <c r="AW61" i="67"/>
  <c r="AW63" i="67" s="1"/>
  <c r="AW46" i="67"/>
  <c r="AW48" i="67" s="1"/>
  <c r="AS78" i="67"/>
  <c r="AK61" i="67"/>
  <c r="AK63" i="67" s="1"/>
  <c r="AK46" i="67"/>
  <c r="AK48" i="67" s="1"/>
  <c r="AK62" i="67"/>
  <c r="AK64" i="67" s="1"/>
  <c r="AM78" i="67"/>
  <c r="AM1457" i="4"/>
  <c r="AM1452" i="4"/>
  <c r="AH62" i="67"/>
  <c r="AH64" i="67" s="1"/>
  <c r="AH61" i="67"/>
  <c r="AH63" i="67" s="1"/>
  <c r="AH46" i="67"/>
  <c r="AH48" i="67" s="1"/>
  <c r="BE39" i="67"/>
  <c r="AF39" i="67"/>
  <c r="AG40" i="67" s="1"/>
  <c r="BW39" i="67"/>
  <c r="AM677" i="4"/>
  <c r="AM669" i="4"/>
  <c r="I151" i="4"/>
  <c r="AI37" i="67"/>
  <c r="AI39" i="67" s="1"/>
  <c r="AI40" i="67" s="1"/>
  <c r="G58" i="4"/>
  <c r="I58" i="4"/>
  <c r="CO318" i="4"/>
  <c r="I61" i="4"/>
  <c r="G61" i="4"/>
  <c r="N1091" i="4"/>
  <c r="BR39" i="67"/>
  <c r="AN280" i="4"/>
  <c r="CO65" i="4"/>
  <c r="G65" i="4" s="1"/>
  <c r="I224" i="4"/>
  <c r="CA23" i="67"/>
  <c r="BK37" i="67"/>
  <c r="BK39" i="67" s="1"/>
  <c r="BK40" i="67" s="1"/>
  <c r="AJ766" i="4"/>
  <c r="AJ765" i="4"/>
  <c r="AJ768" i="4"/>
  <c r="AJ767" i="4"/>
  <c r="CO34" i="4"/>
  <c r="CO150" i="4"/>
  <c r="AJ682" i="4"/>
  <c r="AJ809" i="4"/>
  <c r="AP256" i="4"/>
  <c r="AP161" i="4"/>
  <c r="AP208" i="4"/>
  <c r="AP233" i="4"/>
  <c r="AP207" i="4"/>
  <c r="AP269" i="4" s="1"/>
  <c r="AP283" i="4" s="1"/>
  <c r="AP255" i="4"/>
  <c r="AP174" i="4"/>
  <c r="AP175" i="4"/>
  <c r="AP160" i="4"/>
  <c r="AP205" i="4"/>
  <c r="AP166" i="4"/>
  <c r="AP209" i="4"/>
  <c r="AP168" i="4"/>
  <c r="AP232" i="4"/>
  <c r="AP206" i="4"/>
  <c r="AP169" i="4"/>
  <c r="AP159" i="4"/>
  <c r="AP167" i="4"/>
  <c r="AP204" i="4"/>
  <c r="AP173" i="4"/>
  <c r="AP257" i="4"/>
  <c r="AP162" i="4"/>
  <c r="AP210" i="4"/>
  <c r="AP234" i="4"/>
  <c r="AP254" i="4"/>
  <c r="AP231" i="4"/>
  <c r="AP176" i="4"/>
  <c r="AP211" i="4"/>
  <c r="AQ85" i="4"/>
  <c r="AO268" i="4"/>
  <c r="AO212" i="4"/>
  <c r="CM91" i="67"/>
  <c r="CM1452" i="4"/>
  <c r="CM1457" i="4"/>
  <c r="CK61" i="67"/>
  <c r="CK63" i="67" s="1"/>
  <c r="CK62" i="67"/>
  <c r="CK64" i="67" s="1"/>
  <c r="CK46" i="67"/>
  <c r="CK48" i="67" s="1"/>
  <c r="CL46" i="67"/>
  <c r="CL48" i="67" s="1"/>
  <c r="CL61" i="67"/>
  <c r="CL63" i="67" s="1"/>
  <c r="CL62" i="67"/>
  <c r="CL64" i="67" s="1"/>
  <c r="CL52" i="67"/>
  <c r="CK91" i="67"/>
  <c r="CI91" i="67"/>
  <c r="CI78" i="67"/>
  <c r="CH91" i="67"/>
  <c r="CJ1457" i="4"/>
  <c r="CJ1452" i="4"/>
  <c r="CF62" i="67"/>
  <c r="CF64" i="67" s="1"/>
  <c r="CF61" i="67"/>
  <c r="CF63" i="67" s="1"/>
  <c r="CF46" i="67"/>
  <c r="CF48" i="67" s="1"/>
  <c r="CD91" i="67"/>
  <c r="CB78" i="67"/>
  <c r="CC78" i="67"/>
  <c r="CA62" i="67"/>
  <c r="CA64" i="67" s="1"/>
  <c r="CA61" i="67"/>
  <c r="CA63" i="67" s="1"/>
  <c r="CA46" i="67"/>
  <c r="CA48" i="67" s="1"/>
  <c r="BY52" i="67"/>
  <c r="BW78" i="67"/>
  <c r="BZ1457" i="4"/>
  <c r="BZ1452" i="4"/>
  <c r="BV91" i="67"/>
  <c r="BR91" i="67"/>
  <c r="BS62" i="67"/>
  <c r="BS64" i="67" s="1"/>
  <c r="BS46" i="67"/>
  <c r="BS48" i="67" s="1"/>
  <c r="BS61" i="67"/>
  <c r="BS63" i="67" s="1"/>
  <c r="BQ52" i="67"/>
  <c r="BN91" i="67"/>
  <c r="BK52" i="67"/>
  <c r="BG78" i="67"/>
  <c r="BC78" i="67"/>
  <c r="BB78" i="67"/>
  <c r="BD1452" i="4"/>
  <c r="BD1457" i="4"/>
  <c r="BA1457" i="4"/>
  <c r="BA1452" i="4"/>
  <c r="AW78" i="67"/>
  <c r="AV78" i="67"/>
  <c r="AX61" i="67"/>
  <c r="AX63" i="67" s="1"/>
  <c r="AX46" i="67"/>
  <c r="AX48" i="67" s="1"/>
  <c r="AX62" i="67"/>
  <c r="AX64" i="67" s="1"/>
  <c r="AT91" i="67"/>
  <c r="AR91" i="67"/>
  <c r="AP52" i="67"/>
  <c r="AU78" i="67"/>
  <c r="AP78" i="67"/>
  <c r="AN1457" i="4"/>
  <c r="AN1452" i="4"/>
  <c r="AI52" i="67"/>
  <c r="AH52" i="67"/>
  <c r="AG91" i="67"/>
  <c r="CO610" i="3"/>
  <c r="CO965" i="4"/>
  <c r="G67" i="4"/>
  <c r="AL1310" i="4"/>
  <c r="AL1345" i="4"/>
  <c r="CA37" i="67"/>
  <c r="CA39" i="67" s="1"/>
  <c r="CA40" i="67" s="1"/>
  <c r="I63" i="4"/>
  <c r="G63" i="4"/>
  <c r="CO9" i="66"/>
  <c r="AC929" i="4"/>
  <c r="AC930" i="4" s="1"/>
  <c r="AC931" i="4" s="1"/>
  <c r="I247" i="4"/>
  <c r="M1091" i="4"/>
  <c r="AY23" i="67"/>
  <c r="AY39" i="67" s="1"/>
  <c r="CF55" i="67" l="1"/>
  <c r="CF57" i="67" s="1"/>
  <c r="CF59" i="67" s="1"/>
  <c r="BV55" i="67"/>
  <c r="BV57" i="67" s="1"/>
  <c r="BV59" i="67" s="1"/>
  <c r="AI116" i="64"/>
  <c r="AY93" i="67"/>
  <c r="AY96" i="67" s="1"/>
  <c r="AY97" i="67" s="1"/>
  <c r="AY99" i="67" s="1"/>
  <c r="AI120" i="64"/>
  <c r="AI64" i="64" s="1"/>
  <c r="AI72" i="64" s="1"/>
  <c r="AL55" i="67"/>
  <c r="AL57" i="67" s="1"/>
  <c r="AL59" i="67" s="1"/>
  <c r="BU40" i="67"/>
  <c r="BN55" i="67"/>
  <c r="BN57" i="67" s="1"/>
  <c r="BN59" i="67" s="1"/>
  <c r="CG93" i="67"/>
  <c r="CG96" i="67" s="1"/>
  <c r="CG97" i="67" s="1"/>
  <c r="CG99" i="67" s="1"/>
  <c r="CC93" i="67"/>
  <c r="CC96" i="67" s="1"/>
  <c r="CC97" i="67" s="1"/>
  <c r="CC99" i="67" s="1"/>
  <c r="CO227" i="4"/>
  <c r="I227" i="4" s="1"/>
  <c r="I228" i="4" s="1"/>
  <c r="CL39" i="67"/>
  <c r="CM40" i="67" s="1"/>
  <c r="BT40" i="67"/>
  <c r="CA55" i="67"/>
  <c r="CA57" i="67" s="1"/>
  <c r="CA59" i="67" s="1"/>
  <c r="BF93" i="67"/>
  <c r="BF96" i="67" s="1"/>
  <c r="BF97" i="67" s="1"/>
  <c r="BF99" i="67" s="1"/>
  <c r="AS39" i="67"/>
  <c r="AT40" i="67" s="1"/>
  <c r="AY40" i="67"/>
  <c r="BA93" i="67"/>
  <c r="BA96" i="67" s="1"/>
  <c r="BA97" i="67" s="1"/>
  <c r="BA99" i="67" s="1"/>
  <c r="CG55" i="67"/>
  <c r="CG57" i="67" s="1"/>
  <c r="CG59" i="67" s="1"/>
  <c r="CE55" i="67"/>
  <c r="CE57" i="67" s="1"/>
  <c r="CE59" i="67" s="1"/>
  <c r="BA55" i="67"/>
  <c r="BA57" i="67" s="1"/>
  <c r="BA59" i="67" s="1"/>
  <c r="AX40" i="67"/>
  <c r="AM55" i="67"/>
  <c r="AM57" i="67" s="1"/>
  <c r="AM59" i="67" s="1"/>
  <c r="BQ40" i="67"/>
  <c r="BN93" i="67"/>
  <c r="BN96" i="67" s="1"/>
  <c r="BN97" i="67" s="1"/>
  <c r="BN99" i="67" s="1"/>
  <c r="BS40" i="67"/>
  <c r="AR55" i="67"/>
  <c r="AR57" i="67" s="1"/>
  <c r="AR59" i="67" s="1"/>
  <c r="AK772" i="4"/>
  <c r="AK774" i="4" s="1"/>
  <c r="AK113" i="64" s="1"/>
  <c r="BH55" i="67"/>
  <c r="BH57" i="67" s="1"/>
  <c r="BH59" i="67" s="1"/>
  <c r="BR55" i="67"/>
  <c r="BR57" i="67" s="1"/>
  <c r="BR59" i="67" s="1"/>
  <c r="BB55" i="67"/>
  <c r="BB57" i="67" s="1"/>
  <c r="BB59" i="67" s="1"/>
  <c r="BO93" i="67"/>
  <c r="BO96" i="67" s="1"/>
  <c r="BO97" i="67" s="1"/>
  <c r="BO99" i="67" s="1"/>
  <c r="CN660" i="4"/>
  <c r="BI93" i="67"/>
  <c r="BI96" i="67" s="1"/>
  <c r="BI97" i="67" s="1"/>
  <c r="BI99" i="67" s="1"/>
  <c r="BB93" i="67"/>
  <c r="BB96" i="67" s="1"/>
  <c r="BB97" i="67" s="1"/>
  <c r="BB99" i="67" s="1"/>
  <c r="BR93" i="67"/>
  <c r="BR96" i="67" s="1"/>
  <c r="BR97" i="67" s="1"/>
  <c r="BR99" i="67" s="1"/>
  <c r="CB55" i="67"/>
  <c r="CB57" i="67" s="1"/>
  <c r="CB59" i="67" s="1"/>
  <c r="BX55" i="67"/>
  <c r="BX57" i="67" s="1"/>
  <c r="BX59" i="67" s="1"/>
  <c r="AX55" i="67"/>
  <c r="AX57" i="67" s="1"/>
  <c r="AX59" i="67" s="1"/>
  <c r="AW93" i="67"/>
  <c r="AW96" i="67" s="1"/>
  <c r="AW97" i="67" s="1"/>
  <c r="AW99" i="67" s="1"/>
  <c r="CB93" i="67"/>
  <c r="CB96" i="67" s="1"/>
  <c r="CB97" i="67" s="1"/>
  <c r="CB99" i="67" s="1"/>
  <c r="AZ93" i="67"/>
  <c r="AZ96" i="67" s="1"/>
  <c r="AZ97" i="67" s="1"/>
  <c r="AZ99" i="67" s="1"/>
  <c r="BX93" i="67"/>
  <c r="BX96" i="67" s="1"/>
  <c r="BX97" i="67" s="1"/>
  <c r="BX99" i="67" s="1"/>
  <c r="BE55" i="67"/>
  <c r="BE57" i="67" s="1"/>
  <c r="BE59" i="67" s="1"/>
  <c r="AT55" i="67"/>
  <c r="AT57" i="67" s="1"/>
  <c r="AT59" i="67" s="1"/>
  <c r="BJ55" i="67"/>
  <c r="BJ57" i="67" s="1"/>
  <c r="BJ59" i="67" s="1"/>
  <c r="AM93" i="67"/>
  <c r="AM96" i="67" s="1"/>
  <c r="AM97" i="67" s="1"/>
  <c r="AM99" i="67" s="1"/>
  <c r="BV40" i="67"/>
  <c r="CI55" i="67"/>
  <c r="CI57" i="67" s="1"/>
  <c r="CI59" i="67" s="1"/>
  <c r="CK40" i="67"/>
  <c r="AN55" i="67"/>
  <c r="AN57" i="67" s="1"/>
  <c r="AN59" i="67" s="1"/>
  <c r="BS93" i="67"/>
  <c r="BS96" i="67" s="1"/>
  <c r="BS97" i="67" s="1"/>
  <c r="BS99" i="67" s="1"/>
  <c r="CF40" i="67"/>
  <c r="BT93" i="67"/>
  <c r="BT96" i="67" s="1"/>
  <c r="BT97" i="67" s="1"/>
  <c r="BT99" i="67" s="1"/>
  <c r="CM93" i="67"/>
  <c r="CM96" i="67" s="1"/>
  <c r="CM97" i="67" s="1"/>
  <c r="CM99" i="67" s="1"/>
  <c r="AK792" i="4"/>
  <c r="AK793" i="4"/>
  <c r="AK795" i="4"/>
  <c r="AK794" i="4"/>
  <c r="BH93" i="67"/>
  <c r="BH96" i="67" s="1"/>
  <c r="BH97" i="67" s="1"/>
  <c r="BH99" i="67" s="1"/>
  <c r="BG93" i="67"/>
  <c r="BG96" i="67" s="1"/>
  <c r="BG97" i="67" s="1"/>
  <c r="BG99" i="67" s="1"/>
  <c r="AI93" i="67"/>
  <c r="AI96" i="67" s="1"/>
  <c r="AK809" i="4"/>
  <c r="AK814" i="4" s="1"/>
  <c r="BJ40" i="67"/>
  <c r="BH40" i="67"/>
  <c r="CO55" i="67"/>
  <c r="CO57" i="67" s="1"/>
  <c r="CO59" i="67" s="1"/>
  <c r="AS93" i="67"/>
  <c r="AS96" i="67" s="1"/>
  <c r="AS97" i="67" s="1"/>
  <c r="AS99" i="67" s="1"/>
  <c r="AU40" i="67"/>
  <c r="AV93" i="67"/>
  <c r="AV96" i="67" s="1"/>
  <c r="AV97" i="67" s="1"/>
  <c r="AV99" i="67" s="1"/>
  <c r="BZ55" i="67"/>
  <c r="BZ57" i="67" s="1"/>
  <c r="BZ59" i="67" s="1"/>
  <c r="AY55" i="67"/>
  <c r="AY57" i="67" s="1"/>
  <c r="AY59" i="67" s="1"/>
  <c r="BG55" i="67"/>
  <c r="BG57" i="67" s="1"/>
  <c r="BG59" i="67" s="1"/>
  <c r="AP93" i="67"/>
  <c r="AP96" i="67" s="1"/>
  <c r="AP97" i="67" s="1"/>
  <c r="AP99" i="67" s="1"/>
  <c r="BO55" i="67"/>
  <c r="BO57" i="67" s="1"/>
  <c r="BO59" i="67" s="1"/>
  <c r="AG55" i="67"/>
  <c r="AG57" i="67" s="1"/>
  <c r="AG59" i="67" s="1"/>
  <c r="AJ55" i="67"/>
  <c r="AJ57" i="67" s="1"/>
  <c r="AJ59" i="67" s="1"/>
  <c r="CJ93" i="67"/>
  <c r="CJ96" i="67" s="1"/>
  <c r="CJ97" i="67" s="1"/>
  <c r="CJ99" i="67" s="1"/>
  <c r="BJ93" i="67"/>
  <c r="BJ96" i="67" s="1"/>
  <c r="BJ97" i="67" s="1"/>
  <c r="BJ99" i="67" s="1"/>
  <c r="BS55" i="67"/>
  <c r="BS57" i="67" s="1"/>
  <c r="BS59" i="67" s="1"/>
  <c r="BC93" i="67"/>
  <c r="BC96" i="67" s="1"/>
  <c r="BC97" i="67" s="1"/>
  <c r="BC99" i="67" s="1"/>
  <c r="AU93" i="67"/>
  <c r="AU96" i="67" s="1"/>
  <c r="AU97" i="67" s="1"/>
  <c r="AU99" i="67" s="1"/>
  <c r="CG40" i="67"/>
  <c r="BI55" i="67"/>
  <c r="BI57" i="67" s="1"/>
  <c r="BI59" i="67" s="1"/>
  <c r="CJ55" i="67"/>
  <c r="CJ57" i="67" s="1"/>
  <c r="CJ59" i="67" s="1"/>
  <c r="BQ93" i="67"/>
  <c r="BQ96" i="67" s="1"/>
  <c r="BQ97" i="67" s="1"/>
  <c r="BQ99" i="67" s="1"/>
  <c r="CK55" i="67"/>
  <c r="CK57" i="67" s="1"/>
  <c r="CK59" i="67" s="1"/>
  <c r="AO55" i="67"/>
  <c r="AO57" i="67" s="1"/>
  <c r="AO59" i="67" s="1"/>
  <c r="CD55" i="67"/>
  <c r="CD57" i="67" s="1"/>
  <c r="CD59" i="67" s="1"/>
  <c r="BF55" i="67"/>
  <c r="BF57" i="67" s="1"/>
  <c r="BF59" i="67" s="1"/>
  <c r="CH55" i="67"/>
  <c r="CH57" i="67" s="1"/>
  <c r="CH59" i="67" s="1"/>
  <c r="BM40" i="67"/>
  <c r="CL93" i="67"/>
  <c r="CL96" i="67" s="1"/>
  <c r="CL97" i="67" s="1"/>
  <c r="CL99" i="67" s="1"/>
  <c r="BE40" i="67"/>
  <c r="BL55" i="67"/>
  <c r="BL57" i="67" s="1"/>
  <c r="BL59" i="67" s="1"/>
  <c r="BW93" i="67"/>
  <c r="BW96" i="67" s="1"/>
  <c r="BW97" i="67" s="1"/>
  <c r="BW99" i="67" s="1"/>
  <c r="AW55" i="67"/>
  <c r="AW57" i="67" s="1"/>
  <c r="AW59" i="67" s="1"/>
  <c r="CC55" i="67"/>
  <c r="CC57" i="67" s="1"/>
  <c r="CC59" i="67" s="1"/>
  <c r="BW55" i="67"/>
  <c r="BW57" i="67" s="1"/>
  <c r="BW59" i="67" s="1"/>
  <c r="AU55" i="67"/>
  <c r="AU57" i="67" s="1"/>
  <c r="AU59" i="67" s="1"/>
  <c r="AQ93" i="67"/>
  <c r="AQ96" i="67" s="1"/>
  <c r="AQ97" i="67" s="1"/>
  <c r="AQ99" i="67" s="1"/>
  <c r="AO93" i="67"/>
  <c r="AO96" i="67" s="1"/>
  <c r="AO97" i="67" s="1"/>
  <c r="AO99" i="67" s="1"/>
  <c r="BY93" i="67"/>
  <c r="BY96" i="67" s="1"/>
  <c r="BY97" i="67" s="1"/>
  <c r="BY99" i="67" s="1"/>
  <c r="AH93" i="67"/>
  <c r="AH96" i="67" s="1"/>
  <c r="AN33" i="66"/>
  <c r="AN32" i="66" s="1"/>
  <c r="AN65" i="62"/>
  <c r="AN81" i="11"/>
  <c r="AN82" i="11" s="1"/>
  <c r="AN1345" i="4" s="1"/>
  <c r="AN1041" i="4"/>
  <c r="AK55" i="67"/>
  <c r="AK57" i="67" s="1"/>
  <c r="AK59" i="67" s="1"/>
  <c r="AN1241" i="4"/>
  <c r="BT55" i="67"/>
  <c r="BT57" i="67" s="1"/>
  <c r="BT59" i="67" s="1"/>
  <c r="CF93" i="67"/>
  <c r="CF96" i="67" s="1"/>
  <c r="CF97" i="67" s="1"/>
  <c r="CF99" i="67" s="1"/>
  <c r="BK93" i="67"/>
  <c r="BK96" i="67" s="1"/>
  <c r="BK97" i="67" s="1"/>
  <c r="BK99" i="67" s="1"/>
  <c r="CL55" i="67"/>
  <c r="CL57" i="67" s="1"/>
  <c r="CL59" i="67" s="1"/>
  <c r="BD55" i="67"/>
  <c r="BD57" i="67" s="1"/>
  <c r="BD59" i="67" s="1"/>
  <c r="AH19" i="13"/>
  <c r="CN93" i="67"/>
  <c r="CN96" i="67" s="1"/>
  <c r="CN97" i="67" s="1"/>
  <c r="CN99" i="67" s="1"/>
  <c r="AM879" i="4"/>
  <c r="AN619" i="4"/>
  <c r="AN628" i="4" s="1"/>
  <c r="AJ119" i="64"/>
  <c r="AJ65" i="64" s="1"/>
  <c r="CN40" i="67"/>
  <c r="AL40" i="67"/>
  <c r="AM40" i="67"/>
  <c r="AJ816" i="4"/>
  <c r="AJ814" i="4"/>
  <c r="AJ813" i="4"/>
  <c r="CO142" i="4"/>
  <c r="I142" i="4" s="1"/>
  <c r="I138" i="4"/>
  <c r="I15" i="66"/>
  <c r="J139" i="15"/>
  <c r="G139" i="15" s="1"/>
  <c r="I129" i="4"/>
  <c r="CO40" i="67"/>
  <c r="AG19" i="13"/>
  <c r="I36" i="4"/>
  <c r="G36" i="4"/>
  <c r="CO43" i="4"/>
  <c r="CH40" i="67"/>
  <c r="BE93" i="67"/>
  <c r="BE96" i="67" s="1"/>
  <c r="BE97" i="67" s="1"/>
  <c r="BE99" i="67" s="1"/>
  <c r="AN289" i="4"/>
  <c r="AI55" i="67"/>
  <c r="AI57" i="67" s="1"/>
  <c r="AI59" i="67" s="1"/>
  <c r="BL93" i="67"/>
  <c r="BL96" i="67" s="1"/>
  <c r="BL97" i="67" s="1"/>
  <c r="BL99" i="67" s="1"/>
  <c r="CO1417" i="4"/>
  <c r="E1300" i="4"/>
  <c r="AJ1215" i="4"/>
  <c r="AJ44" i="11"/>
  <c r="AJ1050" i="4"/>
  <c r="AJ928" i="4"/>
  <c r="AJ69" i="11"/>
  <c r="AJ1257" i="4"/>
  <c r="AJ684" i="4"/>
  <c r="AJ956" i="4" s="1"/>
  <c r="AJ992" i="4"/>
  <c r="AO281" i="4"/>
  <c r="G33" i="4"/>
  <c r="I33" i="4"/>
  <c r="CO40" i="4"/>
  <c r="CO55" i="4"/>
  <c r="CN56" i="4"/>
  <c r="CO56" i="4"/>
  <c r="G54" i="4"/>
  <c r="I54" i="4"/>
  <c r="CO53" i="62"/>
  <c r="AG93" i="67"/>
  <c r="AG96" i="67" s="1"/>
  <c r="BV93" i="67"/>
  <c r="BV96" i="67" s="1"/>
  <c r="BV97" i="67" s="1"/>
  <c r="BV99" i="67" s="1"/>
  <c r="AW40" i="67"/>
  <c r="AV40" i="67"/>
  <c r="BU55" i="67"/>
  <c r="BU57" i="67" s="1"/>
  <c r="BU59" i="67" s="1"/>
  <c r="AQ55" i="67"/>
  <c r="AQ57" i="67" s="1"/>
  <c r="AQ59" i="67" s="1"/>
  <c r="AZ55" i="67"/>
  <c r="AZ57" i="67" s="1"/>
  <c r="AZ59" i="67" s="1"/>
  <c r="AO282" i="4"/>
  <c r="CO153" i="4"/>
  <c r="I150" i="4"/>
  <c r="AH55" i="67"/>
  <c r="AH57" i="67" s="1"/>
  <c r="AH59" i="67" s="1"/>
  <c r="AI823" i="4"/>
  <c r="AI811" i="4"/>
  <c r="AI817" i="4" s="1"/>
  <c r="AI819" i="4" s="1"/>
  <c r="AI825" i="4" s="1"/>
  <c r="CN661" i="4"/>
  <c r="I198" i="4"/>
  <c r="BM93" i="67"/>
  <c r="BM96" i="67" s="1"/>
  <c r="BM97" i="67" s="1"/>
  <c r="BM99" i="67" s="1"/>
  <c r="CD93" i="67"/>
  <c r="CD96" i="67" s="1"/>
  <c r="CD97" i="67" s="1"/>
  <c r="CD99" i="67" s="1"/>
  <c r="BU93" i="67"/>
  <c r="BU96" i="67" s="1"/>
  <c r="BU97" i="67" s="1"/>
  <c r="BU99" i="67" s="1"/>
  <c r="AL789" i="4"/>
  <c r="AL629" i="4"/>
  <c r="AL630" i="4" s="1"/>
  <c r="AL751" i="4"/>
  <c r="AL676" i="4"/>
  <c r="AL680" i="4" s="1"/>
  <c r="AL889" i="4" s="1"/>
  <c r="AL890" i="4" s="1"/>
  <c r="AL891" i="4" s="1"/>
  <c r="AK93" i="67"/>
  <c r="AK96" i="67" s="1"/>
  <c r="AK97" i="67" s="1"/>
  <c r="AK99" i="67" s="1"/>
  <c r="AV55" i="67"/>
  <c r="AV57" i="67" s="1"/>
  <c r="AV59" i="67" s="1"/>
  <c r="CO130" i="4"/>
  <c r="I130" i="4" s="1"/>
  <c r="I126" i="4"/>
  <c r="I226" i="4"/>
  <c r="AG826" i="4"/>
  <c r="AO334" i="4"/>
  <c r="AO960" i="4" s="1"/>
  <c r="AO276" i="4"/>
  <c r="AO279" i="4"/>
  <c r="AX93" i="67"/>
  <c r="AX96" i="67" s="1"/>
  <c r="AX97" i="67" s="1"/>
  <c r="AX99" i="67" s="1"/>
  <c r="BD93" i="67"/>
  <c r="BD96" i="67" s="1"/>
  <c r="BD97" i="67" s="1"/>
  <c r="BD99" i="67" s="1"/>
  <c r="CM55" i="67"/>
  <c r="CM57" i="67" s="1"/>
  <c r="CM59" i="67" s="1"/>
  <c r="CO959" i="4"/>
  <c r="I959" i="4" s="1"/>
  <c r="I335" i="4"/>
  <c r="AQ167" i="4"/>
  <c r="AQ174" i="4"/>
  <c r="AQ232" i="4"/>
  <c r="AQ207" i="4"/>
  <c r="AQ269" i="4" s="1"/>
  <c r="AQ283" i="4" s="1"/>
  <c r="AQ205" i="4"/>
  <c r="AQ161" i="4"/>
  <c r="AQ208" i="4"/>
  <c r="AQ256" i="4"/>
  <c r="AQ168" i="4"/>
  <c r="AQ209" i="4"/>
  <c r="AQ255" i="4"/>
  <c r="AQ175" i="4"/>
  <c r="AQ160" i="4"/>
  <c r="AQ233" i="4"/>
  <c r="AQ206" i="4"/>
  <c r="AQ166" i="4"/>
  <c r="AQ257" i="4"/>
  <c r="AQ254" i="4"/>
  <c r="AQ204" i="4"/>
  <c r="AQ210" i="4"/>
  <c r="AQ162" i="4"/>
  <c r="AQ173" i="4"/>
  <c r="AQ169" i="4"/>
  <c r="AQ159" i="4"/>
  <c r="AQ231" i="4"/>
  <c r="AQ234" i="4"/>
  <c r="AQ211" i="4"/>
  <c r="AQ176" i="4"/>
  <c r="AR85" i="4"/>
  <c r="G34" i="4"/>
  <c r="I34" i="4"/>
  <c r="CO41" i="4"/>
  <c r="AP40" i="67"/>
  <c r="L1086" i="4"/>
  <c r="L1125" i="4" s="1"/>
  <c r="AN609" i="4"/>
  <c r="AN627" i="4" s="1"/>
  <c r="AN810" i="4" s="1"/>
  <c r="AN815" i="4" s="1"/>
  <c r="AN749" i="4"/>
  <c r="AK44" i="11"/>
  <c r="AK684" i="4"/>
  <c r="AK956" i="4" s="1"/>
  <c r="AK69" i="11"/>
  <c r="AK1257" i="4"/>
  <c r="AK992" i="4"/>
  <c r="AK1215" i="4"/>
  <c r="AK928" i="4"/>
  <c r="AK1050" i="4"/>
  <c r="AO285" i="4"/>
  <c r="AL764" i="4"/>
  <c r="AL762" i="4"/>
  <c r="AL763" i="4"/>
  <c r="BR40" i="67"/>
  <c r="AN93" i="67"/>
  <c r="AN96" i="67" s="1"/>
  <c r="AN97" i="67" s="1"/>
  <c r="AN99" i="67" s="1"/>
  <c r="I32" i="4"/>
  <c r="G32" i="4"/>
  <c r="CO39" i="4"/>
  <c r="AO260" i="4"/>
  <c r="CL662" i="4"/>
  <c r="CI93" i="67"/>
  <c r="CI96" i="67" s="1"/>
  <c r="CI97" i="67" s="1"/>
  <c r="CI99" i="67" s="1"/>
  <c r="AP177" i="4"/>
  <c r="AP267" i="4"/>
  <c r="AI19" i="13"/>
  <c r="I141" i="4"/>
  <c r="AO869" i="4"/>
  <c r="AO870" i="4"/>
  <c r="AO862" i="4"/>
  <c r="AO871" i="4"/>
  <c r="AO877" i="4"/>
  <c r="AO876" i="4"/>
  <c r="AO818" i="4"/>
  <c r="AO896" i="4" s="1"/>
  <c r="AO875" i="4"/>
  <c r="AO874" i="4"/>
  <c r="AO859" i="4"/>
  <c r="AO878" i="4"/>
  <c r="AO861" i="4"/>
  <c r="AO860" i="4"/>
  <c r="AO1032" i="4"/>
  <c r="AO1033" i="4" s="1"/>
  <c r="AO1034" i="4" s="1"/>
  <c r="AO908" i="4" s="1"/>
  <c r="AO606" i="4"/>
  <c r="AO608" i="4" s="1"/>
  <c r="AO613" i="4"/>
  <c r="AO614" i="4" s="1"/>
  <c r="AO620" i="4" s="1"/>
  <c r="AO616" i="4"/>
  <c r="AO618" i="4"/>
  <c r="AO666" i="4"/>
  <c r="AO667" i="4"/>
  <c r="AO668" i="4"/>
  <c r="AP79" i="4"/>
  <c r="CH93" i="67"/>
  <c r="CH96" i="67" s="1"/>
  <c r="CH97" i="67" s="1"/>
  <c r="CH99" i="67" s="1"/>
  <c r="AH826" i="4"/>
  <c r="BO39" i="67"/>
  <c r="AR93" i="67"/>
  <c r="AR96" i="67" s="1"/>
  <c r="AR97" i="67" s="1"/>
  <c r="AR99" i="67" s="1"/>
  <c r="BM55" i="67"/>
  <c r="BM57" i="67" s="1"/>
  <c r="BM59" i="67" s="1"/>
  <c r="BP55" i="67"/>
  <c r="BP57" i="67" s="1"/>
  <c r="BP59" i="67" s="1"/>
  <c r="AK19" i="13"/>
  <c r="BD40" i="67"/>
  <c r="AO280" i="4"/>
  <c r="AP268" i="4"/>
  <c r="AP212" i="4"/>
  <c r="AP266" i="4"/>
  <c r="AP170" i="4"/>
  <c r="AN866" i="4"/>
  <c r="AN865" i="4"/>
  <c r="AN864" i="4"/>
  <c r="AN863" i="4"/>
  <c r="AJ93" i="67"/>
  <c r="AJ96" i="67" s="1"/>
  <c r="BY55" i="67"/>
  <c r="BY57" i="67" s="1"/>
  <c r="BY59" i="67" s="1"/>
  <c r="BP93" i="67"/>
  <c r="BP96" i="67" s="1"/>
  <c r="BP97" i="67" s="1"/>
  <c r="BP99" i="67" s="1"/>
  <c r="BL40" i="67"/>
  <c r="AS55" i="67"/>
  <c r="AS57" i="67" s="1"/>
  <c r="AS59" i="67" s="1"/>
  <c r="CA93" i="67"/>
  <c r="CA96" i="67" s="1"/>
  <c r="CA97" i="67" s="1"/>
  <c r="CA99" i="67" s="1"/>
  <c r="CO605" i="4"/>
  <c r="CO964" i="4"/>
  <c r="AJ40" i="67"/>
  <c r="AP235" i="4"/>
  <c r="AP270" i="4"/>
  <c r="G318" i="4"/>
  <c r="I318" i="4"/>
  <c r="BX40" i="67"/>
  <c r="BW40" i="67"/>
  <c r="CO199" i="4"/>
  <c r="I192" i="4"/>
  <c r="AM1345" i="4"/>
  <c r="R47" i="13" s="1"/>
  <c r="AM1310" i="4"/>
  <c r="CM662" i="4"/>
  <c r="CK93" i="67"/>
  <c r="CK96" i="67" s="1"/>
  <c r="CK97" i="67" s="1"/>
  <c r="CK99" i="67" s="1"/>
  <c r="AI118" i="64"/>
  <c r="BZ40" i="67"/>
  <c r="BY40" i="67"/>
  <c r="AL759" i="4"/>
  <c r="AL758" i="4"/>
  <c r="AL757" i="4"/>
  <c r="AL756" i="4"/>
  <c r="AM755" i="4"/>
  <c r="AM754" i="4"/>
  <c r="AZ40" i="67"/>
  <c r="CE93" i="67"/>
  <c r="CE96" i="67" s="1"/>
  <c r="CE97" i="67" s="1"/>
  <c r="CE99" i="67" s="1"/>
  <c r="CN55" i="67"/>
  <c r="CN57" i="67" s="1"/>
  <c r="CN59" i="67" s="1"/>
  <c r="AJ796" i="4"/>
  <c r="AJ824" i="4" s="1"/>
  <c r="AJ19" i="13"/>
  <c r="CO250" i="4"/>
  <c r="I250" i="4" s="1"/>
  <c r="I251" i="4" s="1"/>
  <c r="I246" i="4"/>
  <c r="BC55" i="67"/>
  <c r="BC57" i="67" s="1"/>
  <c r="BC59" i="67" s="1"/>
  <c r="BZ93" i="67"/>
  <c r="BZ96" i="67" s="1"/>
  <c r="BZ97" i="67" s="1"/>
  <c r="BZ99" i="67" s="1"/>
  <c r="AO284" i="4"/>
  <c r="I414" i="4"/>
  <c r="CO415" i="4"/>
  <c r="AD927" i="4"/>
  <c r="AC19" i="11"/>
  <c r="AP271" i="4"/>
  <c r="AP258" i="4"/>
  <c r="AP163" i="4"/>
  <c r="AP265" i="4"/>
  <c r="CJ40" i="67"/>
  <c r="CI40" i="67"/>
  <c r="I35" i="4"/>
  <c r="G35" i="4"/>
  <c r="CO42" i="4"/>
  <c r="BN40" i="67"/>
  <c r="CC40" i="67"/>
  <c r="CB40" i="67"/>
  <c r="AN669" i="4"/>
  <c r="AN677" i="4"/>
  <c r="AN296" i="4"/>
  <c r="AN304" i="4" s="1"/>
  <c r="AM628" i="4"/>
  <c r="AM685" i="4" s="1"/>
  <c r="AM750" i="4"/>
  <c r="AM622" i="4"/>
  <c r="AM623" i="4" s="1"/>
  <c r="AM789" i="4" s="1"/>
  <c r="BK55" i="67"/>
  <c r="BK57" i="67" s="1"/>
  <c r="BK59" i="67" s="1"/>
  <c r="BQ55" i="67"/>
  <c r="BQ57" i="67" s="1"/>
  <c r="BQ59" i="67" s="1"/>
  <c r="AI73" i="64"/>
  <c r="AI81" i="64"/>
  <c r="I223" i="4"/>
  <c r="CO328" i="4"/>
  <c r="I328" i="4" s="1"/>
  <c r="CO93" i="67"/>
  <c r="CO96" i="67" s="1"/>
  <c r="CO97" i="67" s="1"/>
  <c r="CO99" i="67" s="1"/>
  <c r="CO542" i="4"/>
  <c r="AL93" i="67"/>
  <c r="AL96" i="67" s="1"/>
  <c r="AL97" i="67" s="1"/>
  <c r="AL99" i="67" s="1"/>
  <c r="BF40" i="67"/>
  <c r="G37" i="4"/>
  <c r="I37" i="4"/>
  <c r="CO44" i="4"/>
  <c r="AP55" i="67"/>
  <c r="AP57" i="67" s="1"/>
  <c r="AP59" i="67" s="1"/>
  <c r="AT93" i="67"/>
  <c r="AT96" i="67" s="1"/>
  <c r="AT97" i="67" s="1"/>
  <c r="AT99" i="67" s="1"/>
  <c r="AJ776" i="4"/>
  <c r="AJ115" i="64" s="1"/>
  <c r="AJ775" i="4"/>
  <c r="AJ114" i="64" s="1"/>
  <c r="AJ773" i="4"/>
  <c r="AJ112" i="64" s="1"/>
  <c r="AJ774" i="4"/>
  <c r="AJ113" i="64" s="1"/>
  <c r="I249" i="4"/>
  <c r="AI80" i="64" l="1"/>
  <c r="AI121" i="64"/>
  <c r="AS40" i="67"/>
  <c r="CL40" i="67"/>
  <c r="AK775" i="4"/>
  <c r="AK114" i="64" s="1"/>
  <c r="AK773" i="4"/>
  <c r="AK112" i="64" s="1"/>
  <c r="AK111" i="64"/>
  <c r="AK119" i="64" s="1"/>
  <c r="AK65" i="64" s="1"/>
  <c r="AK776" i="4"/>
  <c r="AK115" i="64" s="1"/>
  <c r="AK796" i="4"/>
  <c r="AK824" i="4" s="1"/>
  <c r="AK813" i="4"/>
  <c r="AK816" i="4"/>
  <c r="AN1310" i="4"/>
  <c r="R12" i="13"/>
  <c r="AN622" i="4"/>
  <c r="AN623" i="4" s="1"/>
  <c r="AN676" i="4" s="1"/>
  <c r="AN680" i="4" s="1"/>
  <c r="AN889" i="4" s="1"/>
  <c r="AN890" i="4" s="1"/>
  <c r="AN891" i="4" s="1"/>
  <c r="AN750" i="4"/>
  <c r="AN764" i="4" s="1"/>
  <c r="L1129" i="4"/>
  <c r="L1147" i="4" s="1"/>
  <c r="L1149" i="4" s="1"/>
  <c r="L297" i="4" s="1"/>
  <c r="AJ118" i="64"/>
  <c r="AI826" i="4"/>
  <c r="AJ120" i="64"/>
  <c r="AJ64" i="64" s="1"/>
  <c r="AJ72" i="64" s="1"/>
  <c r="AN879" i="4"/>
  <c r="AM794" i="4"/>
  <c r="AM793" i="4"/>
  <c r="AM791" i="4"/>
  <c r="AM795" i="4"/>
  <c r="AM792" i="4"/>
  <c r="CO200" i="4"/>
  <c r="I200" i="4" s="1"/>
  <c r="I201" i="4" s="1"/>
  <c r="I199" i="4"/>
  <c r="AQ270" i="4"/>
  <c r="AQ235" i="4"/>
  <c r="AL809" i="4"/>
  <c r="AL682" i="4"/>
  <c r="G56" i="4"/>
  <c r="I56" i="4"/>
  <c r="CO49" i="4"/>
  <c r="G42" i="4"/>
  <c r="I42" i="4"/>
  <c r="AP285" i="4"/>
  <c r="AP280" i="4"/>
  <c r="BP40" i="67"/>
  <c r="BO40" i="67"/>
  <c r="AP281" i="4"/>
  <c r="AQ163" i="4"/>
  <c r="AQ265" i="4"/>
  <c r="AQ266" i="4"/>
  <c r="AQ170" i="4"/>
  <c r="AO289" i="4"/>
  <c r="AL792" i="4"/>
  <c r="AL793" i="4"/>
  <c r="AL795" i="4"/>
  <c r="AL791" i="4"/>
  <c r="AL794" i="4"/>
  <c r="AM757" i="4"/>
  <c r="AM756" i="4"/>
  <c r="AM759" i="4"/>
  <c r="AM758" i="4"/>
  <c r="AP284" i="4"/>
  <c r="AO677" i="4"/>
  <c r="AO669" i="4"/>
  <c r="G55" i="4"/>
  <c r="I55" i="4"/>
  <c r="G43" i="4"/>
  <c r="I43" i="4"/>
  <c r="CO50" i="4"/>
  <c r="AJ116" i="64"/>
  <c r="AP282" i="4"/>
  <c r="AO863" i="4"/>
  <c r="AO864" i="4"/>
  <c r="AO865" i="4"/>
  <c r="AO866" i="4"/>
  <c r="AQ267" i="4"/>
  <c r="AQ177" i="4"/>
  <c r="I131" i="4"/>
  <c r="E712" i="4"/>
  <c r="I40" i="4"/>
  <c r="CO47" i="4"/>
  <c r="G40" i="4"/>
  <c r="AJ777" i="4"/>
  <c r="AJ73" i="64"/>
  <c r="AJ81" i="64"/>
  <c r="CO544" i="4"/>
  <c r="CO612" i="4" s="1"/>
  <c r="CO607" i="4"/>
  <c r="AO619" i="4"/>
  <c r="AN754" i="4"/>
  <c r="AN755" i="4"/>
  <c r="L1136" i="4"/>
  <c r="L1101" i="4"/>
  <c r="AR207" i="4"/>
  <c r="AR269" i="4" s="1"/>
  <c r="AR283" i="4" s="1"/>
  <c r="AR233" i="4"/>
  <c r="AR160" i="4"/>
  <c r="AR175" i="4"/>
  <c r="AR168" i="4"/>
  <c r="AR232" i="4"/>
  <c r="AR161" i="4"/>
  <c r="AR209" i="4"/>
  <c r="AR206" i="4"/>
  <c r="AR208" i="4"/>
  <c r="AR174" i="4"/>
  <c r="AR255" i="4"/>
  <c r="AR205" i="4"/>
  <c r="AR256" i="4"/>
  <c r="AR167" i="4"/>
  <c r="AR231" i="4"/>
  <c r="AR254" i="4"/>
  <c r="AR204" i="4"/>
  <c r="AR162" i="4"/>
  <c r="AR169" i="4"/>
  <c r="AR234" i="4"/>
  <c r="AR173" i="4"/>
  <c r="AR257" i="4"/>
  <c r="AR159" i="4"/>
  <c r="AR210" i="4"/>
  <c r="AR166" i="4"/>
  <c r="AR211" i="4"/>
  <c r="AR176" i="4"/>
  <c r="AS85" i="4"/>
  <c r="AN685" i="4"/>
  <c r="CN662" i="4"/>
  <c r="CO154" i="4"/>
  <c r="I154" i="4" s="1"/>
  <c r="I153" i="4"/>
  <c r="AM676" i="4"/>
  <c r="AM680" i="4" s="1"/>
  <c r="AM889" i="4" s="1"/>
  <c r="AM890" i="4" s="1"/>
  <c r="AM891" i="4" s="1"/>
  <c r="AM629" i="4"/>
  <c r="AM630" i="4" s="1"/>
  <c r="AM751" i="4"/>
  <c r="AP276" i="4"/>
  <c r="AP334" i="4"/>
  <c r="AP960" i="4" s="1"/>
  <c r="AP279" i="4"/>
  <c r="AD929" i="4"/>
  <c r="AD930" i="4" s="1"/>
  <c r="AD931" i="4" s="1"/>
  <c r="AO609" i="4"/>
  <c r="AO627" i="4" s="1"/>
  <c r="AO810" i="4" s="1"/>
  <c r="AO815" i="4" s="1"/>
  <c r="AO749" i="4"/>
  <c r="AO296" i="4"/>
  <c r="AO304" i="4" s="1"/>
  <c r="AO1241" i="4"/>
  <c r="AO33" i="66"/>
  <c r="AO32" i="66" s="1"/>
  <c r="AO1214" i="4"/>
  <c r="AO1041" i="4"/>
  <c r="AO81" i="11"/>
  <c r="AO82" i="11" s="1"/>
  <c r="AO65" i="62"/>
  <c r="AL766" i="4"/>
  <c r="AL768" i="4"/>
  <c r="AL765" i="4"/>
  <c r="AL767" i="4"/>
  <c r="G41" i="4"/>
  <c r="CO48" i="4"/>
  <c r="I41" i="4"/>
  <c r="AQ212" i="4"/>
  <c r="AQ268" i="4"/>
  <c r="E713" i="4"/>
  <c r="I143" i="4"/>
  <c r="G44" i="4"/>
  <c r="CO51" i="4"/>
  <c r="I44" i="4"/>
  <c r="AM762" i="4"/>
  <c r="AM764" i="4"/>
  <c r="AM763" i="4"/>
  <c r="AP260" i="4"/>
  <c r="AP878" i="4"/>
  <c r="AP861" i="4"/>
  <c r="AP877" i="4"/>
  <c r="AP859" i="4"/>
  <c r="AP860" i="4"/>
  <c r="AP1032" i="4"/>
  <c r="AP1033" i="4" s="1"/>
  <c r="AP1034" i="4" s="1"/>
  <c r="AP908" i="4" s="1"/>
  <c r="AP874" i="4"/>
  <c r="AP870" i="4"/>
  <c r="AP818" i="4"/>
  <c r="AP896" i="4" s="1"/>
  <c r="AP871" i="4"/>
  <c r="AP876" i="4"/>
  <c r="AP862" i="4"/>
  <c r="AP869" i="4"/>
  <c r="AP875" i="4"/>
  <c r="AP606" i="4"/>
  <c r="AP608" i="4" s="1"/>
  <c r="AP613" i="4"/>
  <c r="AP614" i="4" s="1"/>
  <c r="AP620" i="4" s="1"/>
  <c r="AP616" i="4"/>
  <c r="AP666" i="4"/>
  <c r="AP667" i="4"/>
  <c r="AP618" i="4"/>
  <c r="AP668" i="4"/>
  <c r="AQ79" i="4"/>
  <c r="I39" i="4"/>
  <c r="CO46" i="4"/>
  <c r="G39" i="4"/>
  <c r="AQ271" i="4"/>
  <c r="AQ258" i="4"/>
  <c r="AL771" i="4"/>
  <c r="AL772" i="4"/>
  <c r="AK777" i="4" l="1"/>
  <c r="AK823" i="4" s="1"/>
  <c r="AK120" i="64"/>
  <c r="AK64" i="64" s="1"/>
  <c r="AK72" i="64" s="1"/>
  <c r="AN763" i="4"/>
  <c r="L999" i="4"/>
  <c r="L72" i="11"/>
  <c r="L1045" i="4"/>
  <c r="L37" i="66"/>
  <c r="L1218" i="4"/>
  <c r="L50" i="11"/>
  <c r="L49" i="11" s="1"/>
  <c r="L1249" i="4"/>
  <c r="AN751" i="4"/>
  <c r="AN771" i="4" s="1"/>
  <c r="AN789" i="4"/>
  <c r="AN793" i="4" s="1"/>
  <c r="AN629" i="4"/>
  <c r="AN630" i="4" s="1"/>
  <c r="AN809" i="4" s="1"/>
  <c r="AJ80" i="64"/>
  <c r="AJ121" i="64"/>
  <c r="AN762" i="4"/>
  <c r="AO879" i="4"/>
  <c r="AM796" i="4"/>
  <c r="AM824" i="4" s="1"/>
  <c r="AP619" i="4"/>
  <c r="AP628" i="4" s="1"/>
  <c r="AK118" i="64"/>
  <c r="AP609" i="4"/>
  <c r="AP627" i="4" s="1"/>
  <c r="AP810" i="4" s="1"/>
  <c r="AP815" i="4" s="1"/>
  <c r="AP749" i="4"/>
  <c r="O717" i="4"/>
  <c r="R717" i="4"/>
  <c r="M717" i="4"/>
  <c r="Q717" i="4"/>
  <c r="N717" i="4"/>
  <c r="P717" i="4"/>
  <c r="S717" i="4"/>
  <c r="L717" i="4"/>
  <c r="T717" i="4"/>
  <c r="U717" i="4"/>
  <c r="V717" i="4"/>
  <c r="W717" i="4"/>
  <c r="X717" i="4"/>
  <c r="Y717" i="4"/>
  <c r="Z717" i="4"/>
  <c r="AA717" i="4"/>
  <c r="AB717" i="4"/>
  <c r="AC717" i="4"/>
  <c r="AD717" i="4"/>
  <c r="AE717" i="4"/>
  <c r="AF717" i="4"/>
  <c r="AG717" i="4"/>
  <c r="AH717" i="4"/>
  <c r="AI717" i="4"/>
  <c r="AJ717" i="4"/>
  <c r="AK717" i="4"/>
  <c r="AL717" i="4"/>
  <c r="AM717" i="4"/>
  <c r="AN717" i="4"/>
  <c r="AO717" i="4"/>
  <c r="AP717" i="4"/>
  <c r="AQ717" i="4"/>
  <c r="G48" i="4"/>
  <c r="I48" i="4"/>
  <c r="AO1345" i="4"/>
  <c r="AO1310" i="4"/>
  <c r="AO754" i="4"/>
  <c r="AO755" i="4"/>
  <c r="AO628" i="4"/>
  <c r="AO685" i="4" s="1"/>
  <c r="AO750" i="4"/>
  <c r="AO622" i="4"/>
  <c r="AO623" i="4" s="1"/>
  <c r="I47" i="4"/>
  <c r="G47" i="4"/>
  <c r="AQ260" i="4"/>
  <c r="AQ284" i="4"/>
  <c r="AQ285" i="4"/>
  <c r="AQ870" i="4"/>
  <c r="AQ862" i="4"/>
  <c r="AQ871" i="4"/>
  <c r="AQ859" i="4"/>
  <c r="AQ876" i="4"/>
  <c r="AQ875" i="4"/>
  <c r="AQ874" i="4"/>
  <c r="AQ860" i="4"/>
  <c r="AQ818" i="4"/>
  <c r="AQ896" i="4" s="1"/>
  <c r="AQ861" i="4"/>
  <c r="AQ1032" i="4"/>
  <c r="AQ1033" i="4" s="1"/>
  <c r="AQ1034" i="4" s="1"/>
  <c r="AQ908" i="4" s="1"/>
  <c r="AQ878" i="4"/>
  <c r="AQ877" i="4"/>
  <c r="AQ869" i="4"/>
  <c r="AQ613" i="4"/>
  <c r="AQ614" i="4" s="1"/>
  <c r="AQ620" i="4" s="1"/>
  <c r="AQ616" i="4"/>
  <c r="AQ606" i="4"/>
  <c r="AQ608" i="4" s="1"/>
  <c r="AQ667" i="4"/>
  <c r="AQ618" i="4"/>
  <c r="AQ666" i="4"/>
  <c r="AQ668" i="4"/>
  <c r="AR79" i="4"/>
  <c r="AR717" i="4" s="1"/>
  <c r="AM766" i="4"/>
  <c r="AM768" i="4"/>
  <c r="AM765" i="4"/>
  <c r="AM767" i="4"/>
  <c r="AP289" i="4"/>
  <c r="AR170" i="4"/>
  <c r="AR266" i="4"/>
  <c r="AR212" i="4"/>
  <c r="AR268" i="4"/>
  <c r="AQ281" i="4"/>
  <c r="AL776" i="4"/>
  <c r="AL115" i="64" s="1"/>
  <c r="AL774" i="4"/>
  <c r="AL113" i="64" s="1"/>
  <c r="AL773" i="4"/>
  <c r="AL112" i="64" s="1"/>
  <c r="AL775" i="4"/>
  <c r="AL114" i="64" s="1"/>
  <c r="AL111" i="64"/>
  <c r="AR258" i="4"/>
  <c r="AR271" i="4"/>
  <c r="AR265" i="4"/>
  <c r="AR163" i="4"/>
  <c r="AR235" i="4"/>
  <c r="AR270" i="4"/>
  <c r="L1102" i="4"/>
  <c r="L1112" i="4"/>
  <c r="L1141" i="4" s="1"/>
  <c r="L1103" i="4"/>
  <c r="L1092" i="4" s="1"/>
  <c r="L1093" i="4" s="1"/>
  <c r="L1111" i="4" s="1"/>
  <c r="CO617" i="4"/>
  <c r="I49" i="4"/>
  <c r="G49" i="4"/>
  <c r="AP863" i="4"/>
  <c r="AP865" i="4"/>
  <c r="AP866" i="4"/>
  <c r="AP864" i="4"/>
  <c r="AD19" i="11"/>
  <c r="AE927" i="4"/>
  <c r="I51" i="4"/>
  <c r="G51" i="4"/>
  <c r="AN765" i="4"/>
  <c r="AN766" i="4"/>
  <c r="AN767" i="4"/>
  <c r="AN768" i="4"/>
  <c r="L305" i="4"/>
  <c r="AL1215" i="4"/>
  <c r="AL69" i="11"/>
  <c r="AL1050" i="4"/>
  <c r="AL44" i="11"/>
  <c r="AL1257" i="4"/>
  <c r="AL684" i="4"/>
  <c r="AL956" i="4" s="1"/>
  <c r="AL992" i="4"/>
  <c r="AL928" i="4"/>
  <c r="AP677" i="4"/>
  <c r="AP669" i="4"/>
  <c r="AQ282" i="4"/>
  <c r="AM771" i="4"/>
  <c r="AM772" i="4"/>
  <c r="AM111" i="64" s="1"/>
  <c r="E714" i="4"/>
  <c r="I155" i="4"/>
  <c r="AR177" i="4"/>
  <c r="AR267" i="4"/>
  <c r="L1233" i="4"/>
  <c r="L87" i="11"/>
  <c r="L18" i="66"/>
  <c r="L1259" i="4"/>
  <c r="L1346" i="4"/>
  <c r="CO636" i="4"/>
  <c r="I50" i="4"/>
  <c r="G50" i="4"/>
  <c r="AK116" i="64"/>
  <c r="AL814" i="4"/>
  <c r="AL816" i="4"/>
  <c r="AL813" i="4"/>
  <c r="AP296" i="4"/>
  <c r="AP304" i="4" s="1"/>
  <c r="AM809" i="4"/>
  <c r="AM682" i="4"/>
  <c r="R44" i="67" s="1"/>
  <c r="AS256" i="4"/>
  <c r="AS205" i="4"/>
  <c r="AS206" i="4"/>
  <c r="AS160" i="4"/>
  <c r="AS233" i="4"/>
  <c r="AS168" i="4"/>
  <c r="AS167" i="4"/>
  <c r="AS208" i="4"/>
  <c r="AS161" i="4"/>
  <c r="AS173" i="4"/>
  <c r="AS207" i="4"/>
  <c r="AS269" i="4" s="1"/>
  <c r="AS283" i="4" s="1"/>
  <c r="AS174" i="4"/>
  <c r="AS209" i="4"/>
  <c r="AS232" i="4"/>
  <c r="AS255" i="4"/>
  <c r="AS175" i="4"/>
  <c r="AS162" i="4"/>
  <c r="AS234" i="4"/>
  <c r="AS169" i="4"/>
  <c r="AS231" i="4"/>
  <c r="AS204" i="4"/>
  <c r="AS254" i="4"/>
  <c r="AS210" i="4"/>
  <c r="AS257" i="4"/>
  <c r="AS166" i="4"/>
  <c r="AS159" i="4"/>
  <c r="AS176" i="4"/>
  <c r="AS211" i="4"/>
  <c r="AT85" i="4"/>
  <c r="AN759" i="4"/>
  <c r="AN756" i="4"/>
  <c r="AN757" i="4"/>
  <c r="AN758" i="4"/>
  <c r="AJ823" i="4"/>
  <c r="AJ811" i="4"/>
  <c r="AJ817" i="4" s="1"/>
  <c r="AJ819" i="4" s="1"/>
  <c r="AJ825" i="4" s="1"/>
  <c r="R716" i="4"/>
  <c r="S716" i="4"/>
  <c r="O716" i="4"/>
  <c r="N716" i="4"/>
  <c r="Q716" i="4"/>
  <c r="T716" i="4"/>
  <c r="P716" i="4"/>
  <c r="L716" i="4"/>
  <c r="M716" i="4"/>
  <c r="U716" i="4"/>
  <c r="V716" i="4"/>
  <c r="W716" i="4"/>
  <c r="X716" i="4"/>
  <c r="Y716" i="4"/>
  <c r="Z716" i="4"/>
  <c r="AA716" i="4"/>
  <c r="AB716" i="4"/>
  <c r="AC716" i="4"/>
  <c r="AD716" i="4"/>
  <c r="AE716" i="4"/>
  <c r="AF716" i="4"/>
  <c r="AG716" i="4"/>
  <c r="AH716" i="4"/>
  <c r="AI716" i="4"/>
  <c r="AJ716" i="4"/>
  <c r="AK716" i="4"/>
  <c r="AL716" i="4"/>
  <c r="AM716" i="4"/>
  <c r="AN716" i="4"/>
  <c r="AO716" i="4"/>
  <c r="AP716" i="4"/>
  <c r="AQ716" i="4"/>
  <c r="AQ280" i="4"/>
  <c r="G46" i="4"/>
  <c r="I46" i="4"/>
  <c r="AP1041" i="4"/>
  <c r="AP65" i="62"/>
  <c r="AP81" i="11"/>
  <c r="AP82" i="11" s="1"/>
  <c r="AP1214" i="4"/>
  <c r="AP33" i="66"/>
  <c r="AP32" i="66" s="1"/>
  <c r="AP1241" i="4"/>
  <c r="AL796" i="4"/>
  <c r="AL824" i="4" s="1"/>
  <c r="AQ334" i="4"/>
  <c r="AQ960" i="4" s="1"/>
  <c r="S16" i="72" s="1"/>
  <c r="AQ276" i="4"/>
  <c r="AQ279" i="4"/>
  <c r="AK81" i="64"/>
  <c r="AK73" i="64"/>
  <c r="AK811" i="4" l="1"/>
  <c r="AK817" i="4" s="1"/>
  <c r="AK819" i="4" s="1"/>
  <c r="AK825" i="4" s="1"/>
  <c r="AK826" i="4" s="1"/>
  <c r="AK80" i="64"/>
  <c r="AK121" i="64"/>
  <c r="AN794" i="4"/>
  <c r="AN792" i="4"/>
  <c r="AN682" i="4"/>
  <c r="AN1215" i="4" s="1"/>
  <c r="AN772" i="4"/>
  <c r="AN111" i="64" s="1"/>
  <c r="AN795" i="4"/>
  <c r="AN791" i="4"/>
  <c r="AR716" i="4"/>
  <c r="AP685" i="4"/>
  <c r="AP622" i="4"/>
  <c r="AP623" i="4" s="1"/>
  <c r="AP676" i="4" s="1"/>
  <c r="AP680" i="4" s="1"/>
  <c r="AP889" i="4" s="1"/>
  <c r="AP890" i="4" s="1"/>
  <c r="AP891" i="4" s="1"/>
  <c r="AP750" i="4"/>
  <c r="AP764" i="4" s="1"/>
  <c r="L1104" i="4"/>
  <c r="L1113" i="4" s="1"/>
  <c r="L1144" i="4" s="1"/>
  <c r="R13" i="72"/>
  <c r="AP879" i="4"/>
  <c r="R69" i="67"/>
  <c r="AJ826" i="4"/>
  <c r="CO655" i="4"/>
  <c r="CO654" i="4"/>
  <c r="CO637" i="4"/>
  <c r="R38" i="13"/>
  <c r="AM1257" i="4"/>
  <c r="AM992" i="4"/>
  <c r="AM684" i="4"/>
  <c r="AM956" i="4" s="1"/>
  <c r="AM44" i="11"/>
  <c r="AM1050" i="4"/>
  <c r="AM928" i="4"/>
  <c r="AM1215" i="4"/>
  <c r="AM69" i="11"/>
  <c r="AR281" i="4"/>
  <c r="AQ1241" i="4"/>
  <c r="AQ65" i="62"/>
  <c r="AQ33" i="66"/>
  <c r="AQ32" i="66" s="1"/>
  <c r="AQ1214" i="4"/>
  <c r="AQ81" i="11"/>
  <c r="AQ82" i="11" s="1"/>
  <c r="AQ1041" i="4"/>
  <c r="AM814" i="4"/>
  <c r="AM813" i="4"/>
  <c r="AM816" i="4"/>
  <c r="AR260" i="4"/>
  <c r="AN814" i="4"/>
  <c r="AN816" i="4"/>
  <c r="AN813" i="4"/>
  <c r="AQ669" i="4"/>
  <c r="AQ677" i="4"/>
  <c r="AQ866" i="4"/>
  <c r="AQ863" i="4"/>
  <c r="AQ865" i="4"/>
  <c r="AQ864" i="4"/>
  <c r="AS258" i="4"/>
  <c r="AS271" i="4"/>
  <c r="AR276" i="4"/>
  <c r="AR334" i="4"/>
  <c r="AR960" i="4" s="1"/>
  <c r="AR279" i="4"/>
  <c r="AL119" i="64"/>
  <c r="AL65" i="64" s="1"/>
  <c r="AL116" i="64"/>
  <c r="AS268" i="4"/>
  <c r="AS212" i="4"/>
  <c r="AO676" i="4"/>
  <c r="AO680" i="4" s="1"/>
  <c r="AO889" i="4" s="1"/>
  <c r="AO890" i="4" s="1"/>
  <c r="AO891" i="4" s="1"/>
  <c r="AO751" i="4"/>
  <c r="AO629" i="4"/>
  <c r="AO630" i="4" s="1"/>
  <c r="AO789" i="4"/>
  <c r="AQ289" i="4"/>
  <c r="AT167" i="4"/>
  <c r="AT206" i="4"/>
  <c r="AT161" i="4"/>
  <c r="AT209" i="4"/>
  <c r="AT208" i="4"/>
  <c r="AT256" i="4"/>
  <c r="AT160" i="4"/>
  <c r="AT205" i="4"/>
  <c r="AT255" i="4"/>
  <c r="AT232" i="4"/>
  <c r="AT233" i="4"/>
  <c r="AT174" i="4"/>
  <c r="AT168" i="4"/>
  <c r="AT207" i="4"/>
  <c r="AT269" i="4" s="1"/>
  <c r="AT283" i="4" s="1"/>
  <c r="AT175" i="4"/>
  <c r="AT173" i="4"/>
  <c r="AT234" i="4"/>
  <c r="AT159" i="4"/>
  <c r="AT210" i="4"/>
  <c r="AT169" i="4"/>
  <c r="AT254" i="4"/>
  <c r="AT166" i="4"/>
  <c r="AT257" i="4"/>
  <c r="AT162" i="4"/>
  <c r="AT204" i="4"/>
  <c r="AT231" i="4"/>
  <c r="AT211" i="4"/>
  <c r="AT176" i="4"/>
  <c r="AU85" i="4"/>
  <c r="S718" i="4"/>
  <c r="S719" i="4" s="1"/>
  <c r="Q718" i="4"/>
  <c r="Q719" i="4" s="1"/>
  <c r="R718" i="4"/>
  <c r="R719" i="4" s="1"/>
  <c r="O718" i="4"/>
  <c r="O719" i="4" s="1"/>
  <c r="T718" i="4"/>
  <c r="T719" i="4" s="1"/>
  <c r="L718" i="4"/>
  <c r="L719" i="4" s="1"/>
  <c r="P718" i="4"/>
  <c r="P719" i="4" s="1"/>
  <c r="M718" i="4"/>
  <c r="M719" i="4" s="1"/>
  <c r="N718" i="4"/>
  <c r="N719" i="4" s="1"/>
  <c r="U718" i="4"/>
  <c r="U719" i="4" s="1"/>
  <c r="V718" i="4"/>
  <c r="V719" i="4" s="1"/>
  <c r="W718" i="4"/>
  <c r="W719" i="4" s="1"/>
  <c r="X718" i="4"/>
  <c r="X719" i="4" s="1"/>
  <c r="Y718" i="4"/>
  <c r="Y719" i="4" s="1"/>
  <c r="Z718" i="4"/>
  <c r="Z719" i="4" s="1"/>
  <c r="AA718" i="4"/>
  <c r="AA719" i="4" s="1"/>
  <c r="AB718" i="4"/>
  <c r="AB719" i="4" s="1"/>
  <c r="AC718" i="4"/>
  <c r="AC719" i="4" s="1"/>
  <c r="AD718" i="4"/>
  <c r="AD719" i="4" s="1"/>
  <c r="AE718" i="4"/>
  <c r="AE719" i="4" s="1"/>
  <c r="AF718" i="4"/>
  <c r="AF719" i="4" s="1"/>
  <c r="AG718" i="4"/>
  <c r="AG719" i="4" s="1"/>
  <c r="AH718" i="4"/>
  <c r="AH719" i="4" s="1"/>
  <c r="AI718" i="4"/>
  <c r="AI719" i="4" s="1"/>
  <c r="AJ718" i="4"/>
  <c r="AJ719" i="4" s="1"/>
  <c r="AJ895" i="4" s="1"/>
  <c r="AJ957" i="4" s="1"/>
  <c r="AK718" i="4"/>
  <c r="AK719" i="4" s="1"/>
  <c r="AL718" i="4"/>
  <c r="AL719" i="4" s="1"/>
  <c r="AM718" i="4"/>
  <c r="AM719" i="4" s="1"/>
  <c r="AN718" i="4"/>
  <c r="AN719" i="4" s="1"/>
  <c r="AO718" i="4"/>
  <c r="AO719" i="4" s="1"/>
  <c r="AP718" i="4"/>
  <c r="AP719" i="4" s="1"/>
  <c r="AQ718" i="4"/>
  <c r="AQ719" i="4" s="1"/>
  <c r="AR718" i="4"/>
  <c r="AM119" i="64"/>
  <c r="AM65" i="64" s="1"/>
  <c r="AS270" i="4"/>
  <c r="AS235" i="4"/>
  <c r="AM774" i="4"/>
  <c r="AM113" i="64" s="1"/>
  <c r="AM776" i="4"/>
  <c r="AM115" i="64" s="1"/>
  <c r="AM775" i="4"/>
  <c r="AM114" i="64" s="1"/>
  <c r="AM773" i="4"/>
  <c r="AM112" i="64" s="1"/>
  <c r="AL120" i="64"/>
  <c r="AL64" i="64" s="1"/>
  <c r="AQ609" i="4"/>
  <c r="AQ627" i="4" s="1"/>
  <c r="AQ810" i="4" s="1"/>
  <c r="AQ815" i="4" s="1"/>
  <c r="AQ749" i="4"/>
  <c r="AQ296" i="4"/>
  <c r="AQ304" i="4" s="1"/>
  <c r="AO762" i="4"/>
  <c r="AO764" i="4"/>
  <c r="AO763" i="4"/>
  <c r="AP1345" i="4"/>
  <c r="AP1310" i="4"/>
  <c r="L1143" i="4"/>
  <c r="L1142" i="4"/>
  <c r="L294" i="4" s="1"/>
  <c r="L997" i="4"/>
  <c r="AR285" i="4"/>
  <c r="AR282" i="4"/>
  <c r="AQ619" i="4"/>
  <c r="AL777" i="4"/>
  <c r="AS265" i="4"/>
  <c r="AS163" i="4"/>
  <c r="AS177" i="4"/>
  <c r="AS267" i="4"/>
  <c r="AE929" i="4"/>
  <c r="AE930" i="4" s="1"/>
  <c r="AE931" i="4" s="1"/>
  <c r="AO757" i="4"/>
  <c r="AO759" i="4"/>
  <c r="AO756" i="4"/>
  <c r="AO758" i="4"/>
  <c r="AS170" i="4"/>
  <c r="AS266" i="4"/>
  <c r="AR284" i="4"/>
  <c r="AR280" i="4"/>
  <c r="AR877" i="4"/>
  <c r="AR871" i="4"/>
  <c r="AR861" i="4"/>
  <c r="AR862" i="4"/>
  <c r="AR876" i="4"/>
  <c r="AR869" i="4"/>
  <c r="AR860" i="4"/>
  <c r="AR878" i="4"/>
  <c r="AR870" i="4"/>
  <c r="AR875" i="4"/>
  <c r="AR859" i="4"/>
  <c r="AR818" i="4"/>
  <c r="AR896" i="4" s="1"/>
  <c r="AR874" i="4"/>
  <c r="AR1032" i="4"/>
  <c r="AR1033" i="4" s="1"/>
  <c r="AR1034" i="4" s="1"/>
  <c r="AR908" i="4" s="1"/>
  <c r="AR606" i="4"/>
  <c r="AR608" i="4" s="1"/>
  <c r="AR613" i="4"/>
  <c r="AR614" i="4" s="1"/>
  <c r="AR620" i="4" s="1"/>
  <c r="AR616" i="4"/>
  <c r="AR667" i="4"/>
  <c r="AR666" i="4"/>
  <c r="AR618" i="4"/>
  <c r="AR668" i="4"/>
  <c r="AS79" i="4"/>
  <c r="AS718" i="4" s="1"/>
  <c r="AP755" i="4"/>
  <c r="AP754" i="4"/>
  <c r="L1120" i="4" l="1"/>
  <c r="AN684" i="4"/>
  <c r="AN956" i="4" s="1"/>
  <c r="AR719" i="4"/>
  <c r="AN774" i="4"/>
  <c r="AN113" i="64" s="1"/>
  <c r="AN776" i="4"/>
  <c r="AN115" i="64" s="1"/>
  <c r="AN69" i="11"/>
  <c r="AN44" i="11"/>
  <c r="AN1257" i="4"/>
  <c r="AN992" i="4"/>
  <c r="AN928" i="4"/>
  <c r="AN1050" i="4"/>
  <c r="AN775" i="4"/>
  <c r="AN114" i="64" s="1"/>
  <c r="AN773" i="4"/>
  <c r="AN112" i="64" s="1"/>
  <c r="AP789" i="4"/>
  <c r="AP791" i="4" s="1"/>
  <c r="AP629" i="4"/>
  <c r="AP630" i="4" s="1"/>
  <c r="AP809" i="4" s="1"/>
  <c r="AN796" i="4"/>
  <c r="AN824" i="4" s="1"/>
  <c r="AP751" i="4"/>
  <c r="AP772" i="4" s="1"/>
  <c r="AP763" i="4"/>
  <c r="AP762" i="4"/>
  <c r="AM118" i="64"/>
  <c r="AM116" i="64"/>
  <c r="AK895" i="4"/>
  <c r="AK957" i="4" s="1"/>
  <c r="AK980" i="4" s="1"/>
  <c r="AK893" i="4"/>
  <c r="AK1242" i="4" s="1"/>
  <c r="AQ879" i="4"/>
  <c r="N895" i="4"/>
  <c r="N957" i="4" s="1"/>
  <c r="N893" i="4"/>
  <c r="AH895" i="4"/>
  <c r="AH957" i="4" s="1"/>
  <c r="AH893" i="4"/>
  <c r="Z895" i="4"/>
  <c r="Z957" i="4" s="1"/>
  <c r="Z893" i="4"/>
  <c r="P895" i="4"/>
  <c r="P957" i="4" s="1"/>
  <c r="P893" i="4"/>
  <c r="Y895" i="4"/>
  <c r="Y957" i="4" s="1"/>
  <c r="Y893" i="4"/>
  <c r="X895" i="4"/>
  <c r="X957" i="4" s="1"/>
  <c r="X893" i="4"/>
  <c r="AE895" i="4"/>
  <c r="AE957" i="4" s="1"/>
  <c r="AE893" i="4"/>
  <c r="W895" i="4"/>
  <c r="W957" i="4" s="1"/>
  <c r="W893" i="4"/>
  <c r="O895" i="4"/>
  <c r="O957" i="4" s="1"/>
  <c r="O893" i="4"/>
  <c r="AG895" i="4"/>
  <c r="AG957" i="4" s="1"/>
  <c r="AG893" i="4"/>
  <c r="AF895" i="4"/>
  <c r="AF957" i="4" s="1"/>
  <c r="AF893" i="4"/>
  <c r="T895" i="4"/>
  <c r="T957" i="4" s="1"/>
  <c r="T893" i="4"/>
  <c r="Q895" i="4"/>
  <c r="Q957" i="4" s="1"/>
  <c r="Q893" i="4"/>
  <c r="AI895" i="4"/>
  <c r="AI957" i="4" s="1"/>
  <c r="AI893" i="4"/>
  <c r="AE19" i="11"/>
  <c r="AF927" i="4"/>
  <c r="P19" i="67"/>
  <c r="AR619" i="4"/>
  <c r="L895" i="4"/>
  <c r="L893" i="4"/>
  <c r="AS281" i="4"/>
  <c r="AJ961" i="4"/>
  <c r="AJ980" i="4"/>
  <c r="AO682" i="4"/>
  <c r="AO809" i="4"/>
  <c r="AL118" i="64"/>
  <c r="AL121" i="64" s="1"/>
  <c r="AJ893" i="4"/>
  <c r="AA895" i="4"/>
  <c r="AA957" i="4" s="1"/>
  <c r="AA893" i="4"/>
  <c r="AQ754" i="4"/>
  <c r="AQ755" i="4"/>
  <c r="AT270" i="4"/>
  <c r="AT235" i="4"/>
  <c r="AT163" i="4"/>
  <c r="AT265" i="4"/>
  <c r="AO771" i="4"/>
  <c r="AO772" i="4"/>
  <c r="AN119" i="64"/>
  <c r="AN65" i="64" s="1"/>
  <c r="AS260" i="4"/>
  <c r="V895" i="4"/>
  <c r="V957" i="4" s="1"/>
  <c r="V893" i="4"/>
  <c r="AT268" i="4"/>
  <c r="AT212" i="4"/>
  <c r="AL81" i="64"/>
  <c r="AL73" i="64"/>
  <c r="AS878" i="4"/>
  <c r="AS861" i="4"/>
  <c r="AS871" i="4"/>
  <c r="AS877" i="4"/>
  <c r="AS875" i="4"/>
  <c r="AS869" i="4"/>
  <c r="AS818" i="4"/>
  <c r="AS896" i="4" s="1"/>
  <c r="AS876" i="4"/>
  <c r="AS870" i="4"/>
  <c r="AS874" i="4"/>
  <c r="AS862" i="4"/>
  <c r="AS859" i="4"/>
  <c r="AS860" i="4"/>
  <c r="AS1032" i="4"/>
  <c r="AS1033" i="4" s="1"/>
  <c r="AS1034" i="4" s="1"/>
  <c r="AS908" i="4" s="1"/>
  <c r="AS606" i="4"/>
  <c r="AS608" i="4" s="1"/>
  <c r="AS613" i="4"/>
  <c r="AS614" i="4" s="1"/>
  <c r="AS620" i="4" s="1"/>
  <c r="AS616" i="4"/>
  <c r="AS618" i="4"/>
  <c r="AS667" i="4"/>
  <c r="AS666" i="4"/>
  <c r="AS668" i="4"/>
  <c r="AT79" i="4"/>
  <c r="AS716" i="4"/>
  <c r="AS717" i="4"/>
  <c r="AS334" i="4"/>
  <c r="AS960" i="4" s="1"/>
  <c r="AS276" i="4"/>
  <c r="AS279" i="4"/>
  <c r="AL823" i="4"/>
  <c r="AL811" i="4"/>
  <c r="AL817" i="4" s="1"/>
  <c r="AL819" i="4" s="1"/>
  <c r="AL825" i="4" s="1"/>
  <c r="L53" i="11"/>
  <c r="L52" i="11" s="1"/>
  <c r="AO765" i="4"/>
  <c r="AO766" i="4"/>
  <c r="AO768" i="4"/>
  <c r="AO767" i="4"/>
  <c r="AD895" i="4"/>
  <c r="AD957" i="4" s="1"/>
  <c r="AD893" i="4"/>
  <c r="AT267" i="4"/>
  <c r="AT177" i="4"/>
  <c r="AR609" i="4"/>
  <c r="AR627" i="4" s="1"/>
  <c r="AR810" i="4" s="1"/>
  <c r="AR815" i="4" s="1"/>
  <c r="AR749" i="4"/>
  <c r="L302" i="4"/>
  <c r="AS280" i="4"/>
  <c r="L73" i="11"/>
  <c r="L1248" i="4"/>
  <c r="L1224" i="4"/>
  <c r="L1044" i="4"/>
  <c r="L1067" i="4" s="1"/>
  <c r="AQ750" i="4"/>
  <c r="AQ622" i="4"/>
  <c r="AQ623" i="4" s="1"/>
  <c r="AQ789" i="4" s="1"/>
  <c r="AQ628" i="4"/>
  <c r="AQ685" i="4" s="1"/>
  <c r="S895" i="4"/>
  <c r="S957" i="4" s="1"/>
  <c r="S893" i="4"/>
  <c r="AL72" i="64"/>
  <c r="AL80" i="64"/>
  <c r="AQ1310" i="4"/>
  <c r="AQ1345" i="4"/>
  <c r="S12" i="13" s="1"/>
  <c r="CO644" i="4"/>
  <c r="CO645" i="4"/>
  <c r="CO640" i="4"/>
  <c r="CO641" i="4"/>
  <c r="U895" i="4"/>
  <c r="U957" i="4" s="1"/>
  <c r="U893" i="4"/>
  <c r="AT266" i="4"/>
  <c r="AT170" i="4"/>
  <c r="AS285" i="4"/>
  <c r="CO659" i="4"/>
  <c r="AU159" i="4"/>
  <c r="AU160" i="4"/>
  <c r="AU233" i="4"/>
  <c r="AU232" i="4"/>
  <c r="AU167" i="4"/>
  <c r="AU175" i="4"/>
  <c r="AU205" i="4"/>
  <c r="AU208" i="4"/>
  <c r="AU206" i="4"/>
  <c r="AU207" i="4"/>
  <c r="AU269" i="4" s="1"/>
  <c r="AU283" i="4" s="1"/>
  <c r="AU255" i="4"/>
  <c r="AU168" i="4"/>
  <c r="AU209" i="4"/>
  <c r="AU174" i="4"/>
  <c r="AU256" i="4"/>
  <c r="AU166" i="4"/>
  <c r="AU231" i="4"/>
  <c r="AU234" i="4"/>
  <c r="AU204" i="4"/>
  <c r="AU254" i="4"/>
  <c r="AU169" i="4"/>
  <c r="AU210" i="4"/>
  <c r="AU257" i="4"/>
  <c r="AU161" i="4"/>
  <c r="AU173" i="4"/>
  <c r="AU162" i="4"/>
  <c r="AU211" i="4"/>
  <c r="AU176" i="4"/>
  <c r="AV85" i="4"/>
  <c r="AT271" i="4"/>
  <c r="AT258" i="4"/>
  <c r="AS282" i="4"/>
  <c r="CO660" i="4"/>
  <c r="AR296" i="4"/>
  <c r="AR304" i="4" s="1"/>
  <c r="AR677" i="4"/>
  <c r="AR669" i="4"/>
  <c r="AR864" i="4"/>
  <c r="AR866" i="4"/>
  <c r="AR865" i="4"/>
  <c r="AR863" i="4"/>
  <c r="M895" i="4"/>
  <c r="M957" i="4" s="1"/>
  <c r="M893" i="4"/>
  <c r="AC895" i="4"/>
  <c r="AC957" i="4" s="1"/>
  <c r="AC893" i="4"/>
  <c r="AP759" i="4"/>
  <c r="AP757" i="4"/>
  <c r="AP758" i="4"/>
  <c r="AP756" i="4"/>
  <c r="AB895" i="4"/>
  <c r="AB957" i="4" s="1"/>
  <c r="AB893" i="4"/>
  <c r="AP765" i="4"/>
  <c r="AP767" i="4"/>
  <c r="AP766" i="4"/>
  <c r="AP768" i="4"/>
  <c r="AM120" i="64"/>
  <c r="AM64" i="64" s="1"/>
  <c r="AS284" i="4"/>
  <c r="AM73" i="64"/>
  <c r="AM81" i="64"/>
  <c r="R895" i="4"/>
  <c r="R957" i="4" s="1"/>
  <c r="R893" i="4"/>
  <c r="AO792" i="4"/>
  <c r="AO795" i="4"/>
  <c r="AO791" i="4"/>
  <c r="AO793" i="4"/>
  <c r="AO794" i="4"/>
  <c r="AR289" i="4"/>
  <c r="AR65" i="62"/>
  <c r="AR33" i="66"/>
  <c r="AR32" i="66" s="1"/>
  <c r="AR81" i="11"/>
  <c r="AR82" i="11" s="1"/>
  <c r="AR1041" i="4"/>
  <c r="AR1241" i="4"/>
  <c r="AR1214" i="4"/>
  <c r="AM777" i="4"/>
  <c r="AN120" i="64" l="1"/>
  <c r="AN64" i="64" s="1"/>
  <c r="AN72" i="64" s="1"/>
  <c r="AP682" i="4"/>
  <c r="AP928" i="4" s="1"/>
  <c r="AP771" i="4"/>
  <c r="AK1216" i="4"/>
  <c r="AP792" i="4"/>
  <c r="AP795" i="4"/>
  <c r="AP793" i="4"/>
  <c r="AP794" i="4"/>
  <c r="AN777" i="4"/>
  <c r="AN823" i="4" s="1"/>
  <c r="AK961" i="4"/>
  <c r="AK969" i="4" s="1"/>
  <c r="AK1042" i="4"/>
  <c r="AK897" i="4"/>
  <c r="AK45" i="11" s="1"/>
  <c r="AK46" i="11" s="1"/>
  <c r="AK936" i="4"/>
  <c r="AK944" i="4"/>
  <c r="AK70" i="11"/>
  <c r="AS619" i="4"/>
  <c r="AS622" i="4" s="1"/>
  <c r="AS623" i="4" s="1"/>
  <c r="AS676" i="4" s="1"/>
  <c r="AR879" i="4"/>
  <c r="AL895" i="4"/>
  <c r="AL957" i="4" s="1"/>
  <c r="AL961" i="4" s="1"/>
  <c r="AQ794" i="4"/>
  <c r="AQ792" i="4"/>
  <c r="AQ793" i="4"/>
  <c r="AQ791" i="4"/>
  <c r="AQ795" i="4"/>
  <c r="AO796" i="4"/>
  <c r="AO824" i="4" s="1"/>
  <c r="AB1216" i="4"/>
  <c r="AB70" i="11"/>
  <c r="AB897" i="4"/>
  <c r="AB1042" i="4"/>
  <c r="AB936" i="4"/>
  <c r="AB1242" i="4"/>
  <c r="AB944" i="4"/>
  <c r="P39" i="13"/>
  <c r="P70" i="67"/>
  <c r="M936" i="4"/>
  <c r="M944" i="4"/>
  <c r="M1216" i="4"/>
  <c r="M70" i="11"/>
  <c r="M1242" i="4"/>
  <c r="M897" i="4"/>
  <c r="M1042" i="4"/>
  <c r="AU258" i="4"/>
  <c r="AU271" i="4"/>
  <c r="AQ763" i="4"/>
  <c r="AQ764" i="4"/>
  <c r="AQ762" i="4"/>
  <c r="AR755" i="4"/>
  <c r="AR754" i="4"/>
  <c r="AT282" i="4"/>
  <c r="AO775" i="4"/>
  <c r="AO114" i="64" s="1"/>
  <c r="AO774" i="4"/>
  <c r="AO113" i="64" s="1"/>
  <c r="AO773" i="4"/>
  <c r="AO112" i="64" s="1"/>
  <c r="AO776" i="4"/>
  <c r="AO115" i="64" s="1"/>
  <c r="AO111" i="64"/>
  <c r="L936" i="4"/>
  <c r="L937" i="4" s="1"/>
  <c r="L938" i="4" s="1"/>
  <c r="L944" i="4"/>
  <c r="L945" i="4" s="1"/>
  <c r="L946" i="4" s="1"/>
  <c r="L897" i="4"/>
  <c r="L70" i="11"/>
  <c r="L1042" i="4"/>
  <c r="L1216" i="4"/>
  <c r="L1242" i="4"/>
  <c r="L39" i="13"/>
  <c r="T936" i="4"/>
  <c r="T1242" i="4"/>
  <c r="T944" i="4"/>
  <c r="T1042" i="4"/>
  <c r="T897" i="4"/>
  <c r="T1216" i="4"/>
  <c r="T70" i="11"/>
  <c r="N39" i="13"/>
  <c r="N70" i="67"/>
  <c r="X980" i="4"/>
  <c r="X961" i="4"/>
  <c r="Z980" i="4"/>
  <c r="Z961" i="4"/>
  <c r="AM72" i="64"/>
  <c r="AM80" i="64"/>
  <c r="AB961" i="4"/>
  <c r="AB980" i="4"/>
  <c r="M961" i="4"/>
  <c r="M980" i="4"/>
  <c r="AU212" i="4"/>
  <c r="AU268" i="4"/>
  <c r="AP814" i="4"/>
  <c r="AP816" i="4"/>
  <c r="AP813" i="4"/>
  <c r="AD70" i="11"/>
  <c r="AD1042" i="4"/>
  <c r="AD936" i="4"/>
  <c r="AD1242" i="4"/>
  <c r="AD944" i="4"/>
  <c r="AD897" i="4"/>
  <c r="AD1216" i="4"/>
  <c r="V1242" i="4"/>
  <c r="V936" i="4"/>
  <c r="V1042" i="4"/>
  <c r="V944" i="4"/>
  <c r="V70" i="11"/>
  <c r="V1216" i="4"/>
  <c r="V897" i="4"/>
  <c r="AA1042" i="4"/>
  <c r="AA70" i="11"/>
  <c r="AA1242" i="4"/>
  <c r="AA944" i="4"/>
  <c r="AA1216" i="4"/>
  <c r="AA936" i="4"/>
  <c r="AA897" i="4"/>
  <c r="AJ969" i="4"/>
  <c r="AK970" i="4"/>
  <c r="T961" i="4"/>
  <c r="T980" i="4"/>
  <c r="L70" i="67"/>
  <c r="O897" i="4"/>
  <c r="O1216" i="4"/>
  <c r="O944" i="4"/>
  <c r="O1042" i="4"/>
  <c r="O1242" i="4"/>
  <c r="O936" i="4"/>
  <c r="O70" i="11"/>
  <c r="AH70" i="11"/>
  <c r="AH1242" i="4"/>
  <c r="AH944" i="4"/>
  <c r="AH1042" i="4"/>
  <c r="AH1216" i="4"/>
  <c r="AH936" i="4"/>
  <c r="AH897" i="4"/>
  <c r="AD980" i="4"/>
  <c r="AD961" i="4"/>
  <c r="V980" i="4"/>
  <c r="V961" i="4"/>
  <c r="AT276" i="4"/>
  <c r="AT334" i="4"/>
  <c r="AT960" i="4" s="1"/>
  <c r="AT279" i="4"/>
  <c r="AA961" i="4"/>
  <c r="AA980" i="4"/>
  <c r="L957" i="4"/>
  <c r="AF1216" i="4"/>
  <c r="AF897" i="4"/>
  <c r="AF1042" i="4"/>
  <c r="AF70" i="11"/>
  <c r="AF936" i="4"/>
  <c r="AF944" i="4"/>
  <c r="AF1242" i="4"/>
  <c r="Q70" i="67"/>
  <c r="O961" i="4"/>
  <c r="O980" i="4"/>
  <c r="AH980" i="4"/>
  <c r="AH961" i="4"/>
  <c r="R936" i="4"/>
  <c r="R944" i="4"/>
  <c r="R1216" i="4"/>
  <c r="R70" i="11"/>
  <c r="R897" i="4"/>
  <c r="R1042" i="4"/>
  <c r="R1242" i="4"/>
  <c r="I660" i="4"/>
  <c r="AU267" i="4"/>
  <c r="AU177" i="4"/>
  <c r="AU235" i="4"/>
  <c r="AU270" i="4"/>
  <c r="AU265" i="4"/>
  <c r="AU163" i="4"/>
  <c r="U1042" i="4"/>
  <c r="U936" i="4"/>
  <c r="U1216" i="4"/>
  <c r="U70" i="11"/>
  <c r="U1242" i="4"/>
  <c r="U944" i="4"/>
  <c r="U897" i="4"/>
  <c r="L1157" i="4"/>
  <c r="L1068" i="4"/>
  <c r="L1158" i="4"/>
  <c r="L1174" i="4" s="1"/>
  <c r="AP111" i="64"/>
  <c r="AP774" i="4"/>
  <c r="AP113" i="64" s="1"/>
  <c r="AP776" i="4"/>
  <c r="AP115" i="64" s="1"/>
  <c r="AP773" i="4"/>
  <c r="AP112" i="64" s="1"/>
  <c r="AP775" i="4"/>
  <c r="AP114" i="64" s="1"/>
  <c r="AL826" i="4"/>
  <c r="AL893" i="4" s="1"/>
  <c r="AS81" i="11"/>
  <c r="AS82" i="11" s="1"/>
  <c r="AS1041" i="4"/>
  <c r="AS65" i="62"/>
  <c r="AS1214" i="4"/>
  <c r="AS1241" i="4"/>
  <c r="AS33" i="66"/>
  <c r="AS32" i="66" s="1"/>
  <c r="AT260" i="4"/>
  <c r="AJ897" i="4"/>
  <c r="AJ944" i="4"/>
  <c r="AJ1242" i="4"/>
  <c r="AJ936" i="4"/>
  <c r="AJ1042" i="4"/>
  <c r="AJ70" i="11"/>
  <c r="AJ1216" i="4"/>
  <c r="AR622" i="4"/>
  <c r="AR623" i="4" s="1"/>
  <c r="AR628" i="4"/>
  <c r="AR685" i="4" s="1"/>
  <c r="AR750" i="4"/>
  <c r="Q39" i="13"/>
  <c r="AI1242" i="4"/>
  <c r="AI1042" i="4"/>
  <c r="AI1216" i="4"/>
  <c r="AI70" i="11"/>
  <c r="AI944" i="4"/>
  <c r="AI897" i="4"/>
  <c r="AI936" i="4"/>
  <c r="AF961" i="4"/>
  <c r="AF980" i="4"/>
  <c r="W1216" i="4"/>
  <c r="W1042" i="4"/>
  <c r="W897" i="4"/>
  <c r="W936" i="4"/>
  <c r="W944" i="4"/>
  <c r="W1242" i="4"/>
  <c r="W70" i="11"/>
  <c r="Y1042" i="4"/>
  <c r="Y1242" i="4"/>
  <c r="Y70" i="11"/>
  <c r="Y897" i="4"/>
  <c r="Y1216" i="4"/>
  <c r="Y944" i="4"/>
  <c r="Y936" i="4"/>
  <c r="R961" i="4"/>
  <c r="R980" i="4"/>
  <c r="AU170" i="4"/>
  <c r="AU266" i="4"/>
  <c r="U980" i="4"/>
  <c r="U961" i="4"/>
  <c r="S1042" i="4"/>
  <c r="S1216" i="4"/>
  <c r="S944" i="4"/>
  <c r="S70" i="11"/>
  <c r="S897" i="4"/>
  <c r="S936" i="4"/>
  <c r="S1242" i="4"/>
  <c r="AS719" i="4"/>
  <c r="AS749" i="4"/>
  <c r="AS609" i="4"/>
  <c r="AS627" i="4" s="1"/>
  <c r="AS810" i="4" s="1"/>
  <c r="AS815" i="4" s="1"/>
  <c r="AS296" i="4"/>
  <c r="AS304" i="4" s="1"/>
  <c r="AN118" i="64"/>
  <c r="AI980" i="4"/>
  <c r="AI961" i="4"/>
  <c r="W961" i="4"/>
  <c r="W980" i="4"/>
  <c r="Y980" i="4"/>
  <c r="Y961" i="4"/>
  <c r="AT285" i="4"/>
  <c r="CO662" i="4"/>
  <c r="I662" i="4" s="1"/>
  <c r="CO661" i="4"/>
  <c r="I659" i="4"/>
  <c r="AT280" i="4"/>
  <c r="S980" i="4"/>
  <c r="S961" i="4"/>
  <c r="AT870" i="4"/>
  <c r="AT860" i="4"/>
  <c r="AT1032" i="4"/>
  <c r="AT1033" i="4" s="1"/>
  <c r="AT1034" i="4" s="1"/>
  <c r="AT908" i="4" s="1"/>
  <c r="AT871" i="4"/>
  <c r="AT862" i="4"/>
  <c r="AT874" i="4"/>
  <c r="AT878" i="4"/>
  <c r="AT877" i="4"/>
  <c r="AT859" i="4"/>
  <c r="AT876" i="4"/>
  <c r="AT875" i="4"/>
  <c r="AT869" i="4"/>
  <c r="AT818" i="4"/>
  <c r="AT896" i="4" s="1"/>
  <c r="AT861" i="4"/>
  <c r="AT613" i="4"/>
  <c r="AT614" i="4" s="1"/>
  <c r="AT620" i="4" s="1"/>
  <c r="AT616" i="4"/>
  <c r="AT606" i="4"/>
  <c r="AT608" i="4" s="1"/>
  <c r="AT618" i="4"/>
  <c r="AT666" i="4"/>
  <c r="AT667" i="4"/>
  <c r="AT668" i="4"/>
  <c r="AU79" i="4"/>
  <c r="AT716" i="4"/>
  <c r="AT717" i="4"/>
  <c r="AT718" i="4"/>
  <c r="AN116" i="64"/>
  <c r="AT284" i="4"/>
  <c r="AO814" i="4"/>
  <c r="AO816" i="4"/>
  <c r="AO813" i="4"/>
  <c r="Q944" i="4"/>
  <c r="Q1242" i="4"/>
  <c r="Q70" i="11"/>
  <c r="Q897" i="4"/>
  <c r="Q1216" i="4"/>
  <c r="Q936" i="4"/>
  <c r="Q1042" i="4"/>
  <c r="AG1042" i="4"/>
  <c r="AG936" i="4"/>
  <c r="AG70" i="11"/>
  <c r="AG1242" i="4"/>
  <c r="AG897" i="4"/>
  <c r="AG1216" i="4"/>
  <c r="AG944" i="4"/>
  <c r="AE944" i="4"/>
  <c r="AE1042" i="4"/>
  <c r="AE1216" i="4"/>
  <c r="AE897" i="4"/>
  <c r="AE1242" i="4"/>
  <c r="AE70" i="11"/>
  <c r="AE936" i="4"/>
  <c r="P70" i="11"/>
  <c r="P936" i="4"/>
  <c r="P897" i="4"/>
  <c r="P944" i="4"/>
  <c r="P1042" i="4"/>
  <c r="P1242" i="4"/>
  <c r="P1216" i="4"/>
  <c r="M39" i="13"/>
  <c r="M70" i="67"/>
  <c r="L331" i="4"/>
  <c r="AN81" i="64"/>
  <c r="AN73" i="64"/>
  <c r="AQ756" i="4"/>
  <c r="AQ758" i="4"/>
  <c r="AQ757" i="4"/>
  <c r="AQ759" i="4"/>
  <c r="AO992" i="4"/>
  <c r="AO69" i="11"/>
  <c r="AO44" i="11"/>
  <c r="AO1257" i="4"/>
  <c r="AO1050" i="4"/>
  <c r="AO684" i="4"/>
  <c r="AO956" i="4" s="1"/>
  <c r="AO928" i="4"/>
  <c r="AO1215" i="4"/>
  <c r="AF929" i="4"/>
  <c r="AF930" i="4" s="1"/>
  <c r="AF931" i="4" s="1"/>
  <c r="Q961" i="4"/>
  <c r="Q980" i="4"/>
  <c r="AG980" i="4"/>
  <c r="AG961" i="4"/>
  <c r="AE961" i="4"/>
  <c r="AE980" i="4"/>
  <c r="P980" i="4"/>
  <c r="P961" i="4"/>
  <c r="N897" i="4"/>
  <c r="N936" i="4"/>
  <c r="N1216" i="4"/>
  <c r="N1242" i="4"/>
  <c r="N1042" i="4"/>
  <c r="N944" i="4"/>
  <c r="N70" i="11"/>
  <c r="AC1042" i="4"/>
  <c r="AC1242" i="4"/>
  <c r="AC1216" i="4"/>
  <c r="AC897" i="4"/>
  <c r="AC944" i="4"/>
  <c r="AC936" i="4"/>
  <c r="AC70" i="11"/>
  <c r="AM823" i="4"/>
  <c r="AM811" i="4"/>
  <c r="AM817" i="4" s="1"/>
  <c r="AR1310" i="4"/>
  <c r="AR1345" i="4"/>
  <c r="AC961" i="4"/>
  <c r="AC980" i="4"/>
  <c r="AV207" i="4"/>
  <c r="AV269" i="4" s="1"/>
  <c r="AV283" i="4" s="1"/>
  <c r="AV233" i="4"/>
  <c r="AV256" i="4"/>
  <c r="AV208" i="4"/>
  <c r="AV175" i="4"/>
  <c r="AV209" i="4"/>
  <c r="AV255" i="4"/>
  <c r="AV161" i="4"/>
  <c r="AV160" i="4"/>
  <c r="AV232" i="4"/>
  <c r="AV167" i="4"/>
  <c r="AV168" i="4"/>
  <c r="AV174" i="4"/>
  <c r="AV206" i="4"/>
  <c r="AV205" i="4"/>
  <c r="AV257" i="4"/>
  <c r="AV231" i="4"/>
  <c r="AV254" i="4"/>
  <c r="AV210" i="4"/>
  <c r="AV173" i="4"/>
  <c r="AV162" i="4"/>
  <c r="AV169" i="4"/>
  <c r="AV204" i="4"/>
  <c r="AV234" i="4"/>
  <c r="AV166" i="4"/>
  <c r="AV159" i="4"/>
  <c r="AV211" i="4"/>
  <c r="AV176" i="4"/>
  <c r="AW85" i="4"/>
  <c r="AM121" i="64"/>
  <c r="AQ676" i="4"/>
  <c r="AQ680" i="4" s="1"/>
  <c r="AQ889" i="4" s="1"/>
  <c r="AQ890" i="4" s="1"/>
  <c r="AQ891" i="4" s="1"/>
  <c r="AQ751" i="4"/>
  <c r="AQ629" i="4"/>
  <c r="AQ630" i="4" s="1"/>
  <c r="AT281" i="4"/>
  <c r="AS289" i="4"/>
  <c r="AS677" i="4"/>
  <c r="AS669" i="4"/>
  <c r="AS864" i="4"/>
  <c r="AS865" i="4"/>
  <c r="AS866" i="4"/>
  <c r="AS863" i="4"/>
  <c r="X1216" i="4"/>
  <c r="X944" i="4"/>
  <c r="X1042" i="4"/>
  <c r="X1242" i="4"/>
  <c r="X70" i="11"/>
  <c r="X897" i="4"/>
  <c r="X936" i="4"/>
  <c r="O70" i="67"/>
  <c r="O39" i="13"/>
  <c r="Z897" i="4"/>
  <c r="Z944" i="4"/>
  <c r="Z936" i="4"/>
  <c r="Z1242" i="4"/>
  <c r="Z1042" i="4"/>
  <c r="Z1216" i="4"/>
  <c r="Z70" i="11"/>
  <c r="N961" i="4"/>
  <c r="N980" i="4"/>
  <c r="AN121" i="64" l="1"/>
  <c r="AN811" i="4"/>
  <c r="AN817" i="4" s="1"/>
  <c r="AN895" i="4" s="1"/>
  <c r="AN957" i="4" s="1"/>
  <c r="AN80" i="64"/>
  <c r="AP992" i="4"/>
  <c r="AP1050" i="4"/>
  <c r="AP44" i="11"/>
  <c r="AP684" i="4"/>
  <c r="AP956" i="4" s="1"/>
  <c r="AP1215" i="4"/>
  <c r="AP69" i="11"/>
  <c r="AP1257" i="4"/>
  <c r="AP796" i="4"/>
  <c r="AP824" i="4" s="1"/>
  <c r="AL970" i="4"/>
  <c r="AS628" i="4"/>
  <c r="AS685" i="4" s="1"/>
  <c r="AK993" i="4"/>
  <c r="AS750" i="4"/>
  <c r="AS764" i="4" s="1"/>
  <c r="AL980" i="4"/>
  <c r="AS879" i="4"/>
  <c r="AT619" i="4"/>
  <c r="AT628" i="4" s="1"/>
  <c r="AP120" i="64"/>
  <c r="AP64" i="64" s="1"/>
  <c r="AP72" i="64" s="1"/>
  <c r="AL969" i="4"/>
  <c r="AM970" i="4"/>
  <c r="AH970" i="4"/>
  <c r="AG969" i="4"/>
  <c r="AG45" i="11"/>
  <c r="AG46" i="11" s="1"/>
  <c r="AG993" i="4"/>
  <c r="Q45" i="11"/>
  <c r="Q46" i="11" s="1"/>
  <c r="Q993" i="4"/>
  <c r="AT609" i="4"/>
  <c r="AT627" i="4" s="1"/>
  <c r="AT810" i="4" s="1"/>
  <c r="AT815" i="4" s="1"/>
  <c r="AT749" i="4"/>
  <c r="AT866" i="4"/>
  <c r="AT863" i="4"/>
  <c r="AT864" i="4"/>
  <c r="AT865" i="4"/>
  <c r="Z970" i="4"/>
  <c r="Y969" i="4"/>
  <c r="S993" i="4"/>
  <c r="S45" i="11"/>
  <c r="S46" i="11" s="1"/>
  <c r="R969" i="4"/>
  <c r="S970" i="4"/>
  <c r="AT65" i="62"/>
  <c r="AT81" i="11"/>
  <c r="AT82" i="11" s="1"/>
  <c r="AT1041" i="4"/>
  <c r="AT1241" i="4"/>
  <c r="AT1214" i="4"/>
  <c r="AT33" i="66"/>
  <c r="AT32" i="66" s="1"/>
  <c r="L1159" i="4"/>
  <c r="L1164" i="4"/>
  <c r="W970" i="4"/>
  <c r="V969" i="4"/>
  <c r="V45" i="11"/>
  <c r="V46" i="11" s="1"/>
  <c r="V993" i="4"/>
  <c r="AD993" i="4"/>
  <c r="AD45" i="11"/>
  <c r="AD46" i="11" s="1"/>
  <c r="AV268" i="4"/>
  <c r="AV212" i="4"/>
  <c r="AC969" i="4"/>
  <c r="AD970" i="4"/>
  <c r="AS680" i="4"/>
  <c r="AS889" i="4" s="1"/>
  <c r="AS890" i="4" s="1"/>
  <c r="AS891" i="4" s="1"/>
  <c r="AU260" i="4"/>
  <c r="AA969" i="4"/>
  <c r="AB970" i="4"/>
  <c r="AA993" i="4"/>
  <c r="AA45" i="11"/>
  <c r="AA46" i="11" s="1"/>
  <c r="AO119" i="64"/>
  <c r="AO65" i="64" s="1"/>
  <c r="AO116" i="64"/>
  <c r="AC45" i="11"/>
  <c r="AC46" i="11" s="1"/>
  <c r="AC993" i="4"/>
  <c r="AE993" i="4"/>
  <c r="AE45" i="11"/>
  <c r="AE46" i="11" s="1"/>
  <c r="AT719" i="4"/>
  <c r="S969" i="4"/>
  <c r="T970" i="4"/>
  <c r="I661" i="4"/>
  <c r="AN819" i="4"/>
  <c r="AN825" i="4" s="1"/>
  <c r="AN826" i="4" s="1"/>
  <c r="AN893" i="4" s="1"/>
  <c r="U45" i="11"/>
  <c r="U46" i="11" s="1"/>
  <c r="U993" i="4"/>
  <c r="AU334" i="4"/>
  <c r="AU960" i="4" s="1"/>
  <c r="AU276" i="4"/>
  <c r="AU279" i="4"/>
  <c r="AH969" i="4"/>
  <c r="AI970" i="4"/>
  <c r="AT289" i="4"/>
  <c r="AU282" i="4"/>
  <c r="Z969" i="4"/>
  <c r="AA970" i="4"/>
  <c r="T45" i="11"/>
  <c r="T46" i="11" s="1"/>
  <c r="T993" i="4"/>
  <c r="N45" i="67"/>
  <c r="N46" i="67" s="1"/>
  <c r="AR759" i="4"/>
  <c r="AR757" i="4"/>
  <c r="AR756" i="4"/>
  <c r="AR758" i="4"/>
  <c r="M993" i="4"/>
  <c r="M45" i="11"/>
  <c r="M46" i="11" s="1"/>
  <c r="Z45" i="11"/>
  <c r="Z46" i="11" s="1"/>
  <c r="Z993" i="4"/>
  <c r="AW207" i="4"/>
  <c r="AW269" i="4" s="1"/>
  <c r="AW283" i="4" s="1"/>
  <c r="AW161" i="4"/>
  <c r="AW208" i="4"/>
  <c r="AW160" i="4"/>
  <c r="AW209" i="4"/>
  <c r="AW174" i="4"/>
  <c r="AW233" i="4"/>
  <c r="AW168" i="4"/>
  <c r="AW255" i="4"/>
  <c r="AW167" i="4"/>
  <c r="AW256" i="4"/>
  <c r="AW232" i="4"/>
  <c r="AW205" i="4"/>
  <c r="AW206" i="4"/>
  <c r="AW175" i="4"/>
  <c r="AW257" i="4"/>
  <c r="AW159" i="4"/>
  <c r="AW204" i="4"/>
  <c r="AW173" i="4"/>
  <c r="AW169" i="4"/>
  <c r="AW254" i="4"/>
  <c r="AW234" i="4"/>
  <c r="AW162" i="4"/>
  <c r="AW231" i="4"/>
  <c r="AW166" i="4"/>
  <c r="AW210" i="4"/>
  <c r="AW176" i="4"/>
  <c r="AW211" i="4"/>
  <c r="AX85" i="4"/>
  <c r="N45" i="11"/>
  <c r="N46" i="11" s="1"/>
  <c r="N993" i="4"/>
  <c r="R970" i="4"/>
  <c r="Q969" i="4"/>
  <c r="AU871" i="4"/>
  <c r="AU869" i="4"/>
  <c r="AU818" i="4"/>
  <c r="AU896" i="4" s="1"/>
  <c r="AU862" i="4"/>
  <c r="AU878" i="4"/>
  <c r="AU870" i="4"/>
  <c r="AU874" i="4"/>
  <c r="AU1032" i="4"/>
  <c r="AU1033" i="4" s="1"/>
  <c r="AU1034" i="4" s="1"/>
  <c r="AU908" i="4" s="1"/>
  <c r="AU859" i="4"/>
  <c r="AU875" i="4"/>
  <c r="AU861" i="4"/>
  <c r="AU860" i="4"/>
  <c r="AU877" i="4"/>
  <c r="AU876" i="4"/>
  <c r="AU616" i="4"/>
  <c r="AU606" i="4"/>
  <c r="AU608" i="4" s="1"/>
  <c r="AU613" i="4"/>
  <c r="AU614" i="4" s="1"/>
  <c r="AU620" i="4" s="1"/>
  <c r="AU666" i="4"/>
  <c r="AU667" i="4"/>
  <c r="AU668" i="4"/>
  <c r="AU618" i="4"/>
  <c r="AV79" i="4"/>
  <c r="AU717" i="4"/>
  <c r="AU716" i="4"/>
  <c r="AU718" i="4"/>
  <c r="X970" i="4"/>
  <c r="W969" i="4"/>
  <c r="AS755" i="4"/>
  <c r="AS754" i="4"/>
  <c r="AF969" i="4"/>
  <c r="AG970" i="4"/>
  <c r="AU284" i="4"/>
  <c r="R993" i="4"/>
  <c r="R45" i="11"/>
  <c r="R46" i="11" s="1"/>
  <c r="L45" i="67"/>
  <c r="O993" i="4"/>
  <c r="O45" i="11"/>
  <c r="O46" i="11" s="1"/>
  <c r="AO120" i="64"/>
  <c r="AO64" i="64" s="1"/>
  <c r="AO777" i="4"/>
  <c r="O970" i="4"/>
  <c r="N969" i="4"/>
  <c r="AQ682" i="4"/>
  <c r="AQ809" i="4"/>
  <c r="AV177" i="4"/>
  <c r="AV267" i="4"/>
  <c r="AM819" i="4"/>
  <c r="AM825" i="4" s="1"/>
  <c r="AM826" i="4" s="1"/>
  <c r="AM893" i="4" s="1"/>
  <c r="AM895" i="4"/>
  <c r="Q970" i="4"/>
  <c r="P969" i="4"/>
  <c r="P45" i="11"/>
  <c r="P46" i="11" s="1"/>
  <c r="P993" i="4"/>
  <c r="M45" i="67"/>
  <c r="M46" i="67" s="1"/>
  <c r="AT296" i="4"/>
  <c r="AT304" i="4" s="1"/>
  <c r="AI969" i="4"/>
  <c r="AJ970" i="4"/>
  <c r="AR762" i="4"/>
  <c r="AR764" i="4"/>
  <c r="AR763" i="4"/>
  <c r="AP119" i="64"/>
  <c r="AP65" i="64" s="1"/>
  <c r="AP116" i="64"/>
  <c r="AF45" i="11"/>
  <c r="AF46" i="11" s="1"/>
  <c r="AF993" i="4"/>
  <c r="Q45" i="67"/>
  <c r="Q46" i="67" s="1"/>
  <c r="AS789" i="4"/>
  <c r="AS751" i="4"/>
  <c r="AS629" i="4"/>
  <c r="Y970" i="4"/>
  <c r="X969" i="4"/>
  <c r="AQ767" i="4"/>
  <c r="AQ765" i="4"/>
  <c r="AQ766" i="4"/>
  <c r="AQ768" i="4"/>
  <c r="AV163" i="4"/>
  <c r="AV265" i="4"/>
  <c r="AQ771" i="4"/>
  <c r="AQ772" i="4"/>
  <c r="AF19" i="11"/>
  <c r="AG927" i="4"/>
  <c r="U969" i="4"/>
  <c r="V970" i="4"/>
  <c r="AU280" i="4"/>
  <c r="AI45" i="11"/>
  <c r="AI46" i="11" s="1"/>
  <c r="AI993" i="4"/>
  <c r="P970" i="4"/>
  <c r="O969" i="4"/>
  <c r="AE970" i="4"/>
  <c r="AD969" i="4"/>
  <c r="N970" i="4"/>
  <c r="M969" i="4"/>
  <c r="L45" i="11"/>
  <c r="L993" i="4"/>
  <c r="AV258" i="4"/>
  <c r="AV271" i="4"/>
  <c r="AT677" i="4"/>
  <c r="AT669" i="4"/>
  <c r="AR789" i="4"/>
  <c r="AR751" i="4"/>
  <c r="AR629" i="4"/>
  <c r="AR630" i="4" s="1"/>
  <c r="AR676" i="4"/>
  <c r="AR680" i="4" s="1"/>
  <c r="AR889" i="4" s="1"/>
  <c r="AR890" i="4" s="1"/>
  <c r="AR891" i="4" s="1"/>
  <c r="AS1310" i="4"/>
  <c r="AS1345" i="4"/>
  <c r="AU281" i="4"/>
  <c r="AH993" i="4"/>
  <c r="AH45" i="11"/>
  <c r="AH46" i="11" s="1"/>
  <c r="U970" i="4"/>
  <c r="T969" i="4"/>
  <c r="M943" i="4"/>
  <c r="L947" i="4"/>
  <c r="L34" i="11"/>
  <c r="AB45" i="11"/>
  <c r="AB46" i="11" s="1"/>
  <c r="AB993" i="4"/>
  <c r="P45" i="67"/>
  <c r="P46" i="67" s="1"/>
  <c r="AQ796" i="4"/>
  <c r="AQ824" i="4" s="1"/>
  <c r="AP777" i="4"/>
  <c r="X993" i="4"/>
  <c r="X45" i="11"/>
  <c r="X46" i="11" s="1"/>
  <c r="O45" i="67"/>
  <c r="O46" i="67" s="1"/>
  <c r="AV170" i="4"/>
  <c r="AV266" i="4"/>
  <c r="AV235" i="4"/>
  <c r="AV270" i="4"/>
  <c r="AF970" i="4"/>
  <c r="AE969" i="4"/>
  <c r="Y45" i="11"/>
  <c r="Y46" i="11" s="1"/>
  <c r="Y993" i="4"/>
  <c r="W993" i="4"/>
  <c r="W45" i="11"/>
  <c r="W46" i="11" s="1"/>
  <c r="AJ993" i="4"/>
  <c r="AJ45" i="11"/>
  <c r="AJ46" i="11" s="1"/>
  <c r="AL1042" i="4"/>
  <c r="AL897" i="4"/>
  <c r="AL944" i="4"/>
  <c r="AL936" i="4"/>
  <c r="AL1242" i="4"/>
  <c r="AL1216" i="4"/>
  <c r="AL70" i="11"/>
  <c r="L961" i="4"/>
  <c r="L980" i="4"/>
  <c r="AB969" i="4"/>
  <c r="AC970" i="4"/>
  <c r="M935" i="4"/>
  <c r="L18" i="11"/>
  <c r="L939" i="4"/>
  <c r="L950" i="4"/>
  <c r="AU285" i="4"/>
  <c r="AS763" i="4" l="1"/>
  <c r="AS762" i="4"/>
  <c r="AS630" i="4"/>
  <c r="AS809" i="4" s="1"/>
  <c r="AP80" i="64"/>
  <c r="L951" i="4"/>
  <c r="L43" i="66" s="1"/>
  <c r="AT685" i="4"/>
  <c r="AT622" i="4"/>
  <c r="AT623" i="4" s="1"/>
  <c r="AT676" i="4" s="1"/>
  <c r="AT680" i="4" s="1"/>
  <c r="AT889" i="4" s="1"/>
  <c r="AT890" i="4" s="1"/>
  <c r="AT891" i="4" s="1"/>
  <c r="AT750" i="4"/>
  <c r="AT762" i="4" s="1"/>
  <c r="AT879" i="4"/>
  <c r="AU619" i="4"/>
  <c r="AU628" i="4" s="1"/>
  <c r="AO118" i="64"/>
  <c r="AO121" i="64" s="1"/>
  <c r="AV334" i="4"/>
  <c r="AV960" i="4" s="1"/>
  <c r="AV276" i="4"/>
  <c r="AV279" i="4"/>
  <c r="L46" i="67"/>
  <c r="AS757" i="4"/>
  <c r="AS759" i="4"/>
  <c r="AS756" i="4"/>
  <c r="AS758" i="4"/>
  <c r="AO81" i="64"/>
  <c r="AO73" i="64"/>
  <c r="AV260" i="4"/>
  <c r="AP118" i="64"/>
  <c r="AP121" i="64" s="1"/>
  <c r="AV280" i="4"/>
  <c r="AL993" i="4"/>
  <c r="AL45" i="11"/>
  <c r="AL46" i="11" s="1"/>
  <c r="AV285" i="4"/>
  <c r="AS771" i="4"/>
  <c r="AS772" i="4"/>
  <c r="AP81" i="64"/>
  <c r="AP73" i="64"/>
  <c r="AM957" i="4"/>
  <c r="AO823" i="4"/>
  <c r="AO811" i="4"/>
  <c r="AO817" i="4" s="1"/>
  <c r="AU296" i="4"/>
  <c r="AU304" i="4" s="1"/>
  <c r="AX159" i="4"/>
  <c r="AX256" i="4"/>
  <c r="AX167" i="4"/>
  <c r="AX207" i="4"/>
  <c r="AX269" i="4" s="1"/>
  <c r="AX283" i="4" s="1"/>
  <c r="AX233" i="4"/>
  <c r="AX161" i="4"/>
  <c r="AX209" i="4"/>
  <c r="AX232" i="4"/>
  <c r="AX255" i="4"/>
  <c r="AX208" i="4"/>
  <c r="AX206" i="4"/>
  <c r="AX175" i="4"/>
  <c r="AX168" i="4"/>
  <c r="AX205" i="4"/>
  <c r="AX174" i="4"/>
  <c r="AX160" i="4"/>
  <c r="AX166" i="4"/>
  <c r="AX234" i="4"/>
  <c r="AX204" i="4"/>
  <c r="AX257" i="4"/>
  <c r="AX169" i="4"/>
  <c r="AX210" i="4"/>
  <c r="AX231" i="4"/>
  <c r="AX254" i="4"/>
  <c r="AX173" i="4"/>
  <c r="AX162" i="4"/>
  <c r="AX211" i="4"/>
  <c r="AX176" i="4"/>
  <c r="AY85" i="4"/>
  <c r="AW271" i="4"/>
  <c r="AW258" i="4"/>
  <c r="AT1310" i="4"/>
  <c r="AT1345" i="4"/>
  <c r="AT755" i="4"/>
  <c r="AT754" i="4"/>
  <c r="L982" i="4"/>
  <c r="N981" i="4"/>
  <c r="M970" i="4"/>
  <c r="L969" i="4"/>
  <c r="AR682" i="4"/>
  <c r="AR809" i="4"/>
  <c r="AG929" i="4"/>
  <c r="AG930" i="4" s="1"/>
  <c r="AG931" i="4" s="1"/>
  <c r="AS794" i="4"/>
  <c r="AS795" i="4"/>
  <c r="AS792" i="4"/>
  <c r="AS793" i="4"/>
  <c r="AS791" i="4"/>
  <c r="R70" i="67"/>
  <c r="AM944" i="4"/>
  <c r="AM1242" i="4"/>
  <c r="AM897" i="4"/>
  <c r="AM936" i="4"/>
  <c r="AM1216" i="4"/>
  <c r="AM70" i="11"/>
  <c r="AM1042" i="4"/>
  <c r="R39" i="13"/>
  <c r="AS768" i="4"/>
  <c r="AS766" i="4"/>
  <c r="AS765" i="4"/>
  <c r="AS767" i="4"/>
  <c r="AU669" i="4"/>
  <c r="AU677" i="4"/>
  <c r="AV282" i="4"/>
  <c r="AR772" i="4"/>
  <c r="AR111" i="64" s="1"/>
  <c r="AR771" i="4"/>
  <c r="AR765" i="4"/>
  <c r="AR766" i="4"/>
  <c r="AR768" i="4"/>
  <c r="AR767" i="4"/>
  <c r="AV281" i="4"/>
  <c r="AO72" i="64"/>
  <c r="AO80" i="64"/>
  <c r="AU866" i="4"/>
  <c r="AU864" i="4"/>
  <c r="AU863" i="4"/>
  <c r="AU865" i="4"/>
  <c r="AW177" i="4"/>
  <c r="AW267" i="4"/>
  <c r="AN980" i="4"/>
  <c r="AN961" i="4"/>
  <c r="L42" i="62"/>
  <c r="L1167" i="4"/>
  <c r="L1168" i="4" s="1"/>
  <c r="L1231" i="4"/>
  <c r="L85" i="11"/>
  <c r="L1260" i="4"/>
  <c r="AR794" i="4"/>
  <c r="AR795" i="4"/>
  <c r="AR791" i="4"/>
  <c r="AR793" i="4"/>
  <c r="AR792" i="4"/>
  <c r="AU719" i="4"/>
  <c r="AU609" i="4"/>
  <c r="AU627" i="4" s="1"/>
  <c r="AU810" i="4" s="1"/>
  <c r="AU815" i="4" s="1"/>
  <c r="AU749" i="4"/>
  <c r="AW212" i="4"/>
  <c r="AW268" i="4"/>
  <c r="AU289" i="4"/>
  <c r="AN70" i="11"/>
  <c r="AN897" i="4"/>
  <c r="AN1242" i="4"/>
  <c r="AN1042" i="4"/>
  <c r="AN1216" i="4"/>
  <c r="AN944" i="4"/>
  <c r="AN936" i="4"/>
  <c r="M937" i="4"/>
  <c r="M938" i="4" s="1"/>
  <c r="M939" i="4" s="1"/>
  <c r="M945" i="4"/>
  <c r="M946" i="4" s="1"/>
  <c r="M947" i="4" s="1"/>
  <c r="AQ111" i="64"/>
  <c r="AQ775" i="4"/>
  <c r="AQ114" i="64" s="1"/>
  <c r="AQ776" i="4"/>
  <c r="AQ115" i="64" s="1"/>
  <c r="AQ774" i="4"/>
  <c r="AQ113" i="64" s="1"/>
  <c r="AQ773" i="4"/>
  <c r="AQ112" i="64" s="1"/>
  <c r="AQ813" i="4"/>
  <c r="AQ814" i="4"/>
  <c r="AQ816" i="4"/>
  <c r="AW266" i="4"/>
  <c r="AW170" i="4"/>
  <c r="AW265" i="4"/>
  <c r="AW163" i="4"/>
  <c r="T81" i="67"/>
  <c r="T82" i="67" s="1"/>
  <c r="AU1214" i="4"/>
  <c r="AU33" i="66"/>
  <c r="AU32" i="66" s="1"/>
  <c r="AU1241" i="4"/>
  <c r="AU81" i="11"/>
  <c r="AU82" i="11" s="1"/>
  <c r="AU1041" i="4"/>
  <c r="AU65" i="62"/>
  <c r="AV284" i="4"/>
  <c r="AP823" i="4"/>
  <c r="AP811" i="4"/>
  <c r="AP817" i="4" s="1"/>
  <c r="L46" i="11"/>
  <c r="S38" i="13"/>
  <c r="AQ69" i="11"/>
  <c r="AQ1257" i="4"/>
  <c r="AQ684" i="4"/>
  <c r="AQ956" i="4" s="1"/>
  <c r="AQ44" i="11"/>
  <c r="AQ1215" i="4"/>
  <c r="AQ928" i="4"/>
  <c r="AQ992" i="4"/>
  <c r="AQ1050" i="4"/>
  <c r="S69" i="67"/>
  <c r="S44" i="67"/>
  <c r="S13" i="72"/>
  <c r="AV862" i="4"/>
  <c r="AV871" i="4"/>
  <c r="AV818" i="4"/>
  <c r="AV896" i="4" s="1"/>
  <c r="AV875" i="4"/>
  <c r="AV860" i="4"/>
  <c r="AV878" i="4"/>
  <c r="AV861" i="4"/>
  <c r="AV1032" i="4"/>
  <c r="AV1033" i="4" s="1"/>
  <c r="AV1034" i="4" s="1"/>
  <c r="AV908" i="4" s="1"/>
  <c r="AV870" i="4"/>
  <c r="AV876" i="4"/>
  <c r="AV877" i="4"/>
  <c r="AV869" i="4"/>
  <c r="AV859" i="4"/>
  <c r="AV874" i="4"/>
  <c r="AV616" i="4"/>
  <c r="AV606" i="4"/>
  <c r="AV608" i="4" s="1"/>
  <c r="AV613" i="4"/>
  <c r="AV614" i="4" s="1"/>
  <c r="AV620" i="4" s="1"/>
  <c r="AV667" i="4"/>
  <c r="AV666" i="4"/>
  <c r="AV668" i="4"/>
  <c r="AV618" i="4"/>
  <c r="AW79" i="4"/>
  <c r="AV716" i="4"/>
  <c r="AV717" i="4"/>
  <c r="AV718" i="4"/>
  <c r="AW235" i="4"/>
  <c r="AW270" i="4"/>
  <c r="L1220" i="4" l="1"/>
  <c r="AS682" i="4"/>
  <c r="AS1257" i="4" s="1"/>
  <c r="AT763" i="4"/>
  <c r="AT764" i="4"/>
  <c r="AT765" i="4" s="1"/>
  <c r="AT751" i="4"/>
  <c r="AT771" i="4" s="1"/>
  <c r="AT789" i="4"/>
  <c r="AT795" i="4" s="1"/>
  <c r="L77" i="11"/>
  <c r="L1048" i="4"/>
  <c r="L23" i="66"/>
  <c r="L1262" i="4"/>
  <c r="L1245" i="4"/>
  <c r="AU750" i="4"/>
  <c r="AU763" i="4" s="1"/>
  <c r="AT629" i="4"/>
  <c r="AT630" i="4" s="1"/>
  <c r="AT809" i="4" s="1"/>
  <c r="AU622" i="4"/>
  <c r="AU623" i="4" s="1"/>
  <c r="AU789" i="4" s="1"/>
  <c r="AU791" i="4" s="1"/>
  <c r="AQ120" i="64"/>
  <c r="AQ64" i="64" s="1"/>
  <c r="AQ72" i="64" s="1"/>
  <c r="AV619" i="4"/>
  <c r="AV628" i="4" s="1"/>
  <c r="AV719" i="4"/>
  <c r="AU879" i="4"/>
  <c r="AR119" i="64"/>
  <c r="AR65" i="64" s="1"/>
  <c r="AU685" i="4"/>
  <c r="AM45" i="11"/>
  <c r="AM993" i="4"/>
  <c r="R45" i="67"/>
  <c r="AX267" i="4"/>
  <c r="AX177" i="4"/>
  <c r="AX170" i="4"/>
  <c r="AX266" i="4"/>
  <c r="AX265" i="4"/>
  <c r="AX163" i="4"/>
  <c r="AW818" i="4"/>
  <c r="AW896" i="4" s="1"/>
  <c r="AW878" i="4"/>
  <c r="AW860" i="4"/>
  <c r="AW870" i="4"/>
  <c r="AW877" i="4"/>
  <c r="AW859" i="4"/>
  <c r="AW874" i="4"/>
  <c r="AW871" i="4"/>
  <c r="AW861" i="4"/>
  <c r="AW876" i="4"/>
  <c r="AW875" i="4"/>
  <c r="AW1032" i="4"/>
  <c r="AW1033" i="4" s="1"/>
  <c r="AW1034" i="4" s="1"/>
  <c r="AW908" i="4" s="1"/>
  <c r="AW862" i="4"/>
  <c r="AW869" i="4"/>
  <c r="AW606" i="4"/>
  <c r="AW608" i="4" s="1"/>
  <c r="AW613" i="4"/>
  <c r="AW614" i="4" s="1"/>
  <c r="AW620" i="4" s="1"/>
  <c r="AW616" i="4"/>
  <c r="AW667" i="4"/>
  <c r="AW666" i="4"/>
  <c r="AW668" i="4"/>
  <c r="AW618" i="4"/>
  <c r="AX79" i="4"/>
  <c r="AW716" i="4"/>
  <c r="AW717" i="4"/>
  <c r="AW718" i="4"/>
  <c r="AW284" i="4"/>
  <c r="AV669" i="4"/>
  <c r="AV677" i="4"/>
  <c r="AV296" i="4"/>
  <c r="AV304" i="4" s="1"/>
  <c r="AQ119" i="64"/>
  <c r="AQ65" i="64" s="1"/>
  <c r="AQ116" i="64"/>
  <c r="AR796" i="4"/>
  <c r="AR824" i="4" s="1"/>
  <c r="AX271" i="4"/>
  <c r="AX258" i="4"/>
  <c r="AS774" i="4"/>
  <c r="AS113" i="64" s="1"/>
  <c r="AS776" i="4"/>
  <c r="AS115" i="64" s="1"/>
  <c r="AS775" i="4"/>
  <c r="AS114" i="64" s="1"/>
  <c r="AS773" i="4"/>
  <c r="AS814" i="4"/>
  <c r="AS816" i="4"/>
  <c r="AS813" i="4"/>
  <c r="AU1310" i="4"/>
  <c r="AU1345" i="4"/>
  <c r="T47" i="13" s="1"/>
  <c r="AW260" i="4"/>
  <c r="AU755" i="4"/>
  <c r="AU754" i="4"/>
  <c r="AW281" i="4"/>
  <c r="AG19" i="11"/>
  <c r="AH927" i="4"/>
  <c r="AX270" i="4"/>
  <c r="AX235" i="4"/>
  <c r="AV33" i="66"/>
  <c r="AV32" i="66" s="1"/>
  <c r="AV1214" i="4"/>
  <c r="AV1241" i="4"/>
  <c r="AV65" i="62"/>
  <c r="AV81" i="11"/>
  <c r="AV82" i="11" s="1"/>
  <c r="AV1041" i="4"/>
  <c r="AP895" i="4"/>
  <c r="AP957" i="4" s="1"/>
  <c r="AP819" i="4"/>
  <c r="AP825" i="4" s="1"/>
  <c r="AP826" i="4" s="1"/>
  <c r="AP893" i="4" s="1"/>
  <c r="AW334" i="4"/>
  <c r="AW960" i="4" s="1"/>
  <c r="AW276" i="4"/>
  <c r="AW279" i="4"/>
  <c r="AN45" i="11"/>
  <c r="AN46" i="11" s="1"/>
  <c r="AN993" i="4"/>
  <c r="L26" i="11"/>
  <c r="M1163" i="4"/>
  <c r="AW285" i="4"/>
  <c r="AO895" i="4"/>
  <c r="AO819" i="4"/>
  <c r="AO825" i="4" s="1"/>
  <c r="AO826" i="4" s="1"/>
  <c r="AO893" i="4" s="1"/>
  <c r="AV749" i="4"/>
  <c r="AV609" i="4"/>
  <c r="AV627" i="4" s="1"/>
  <c r="AV810" i="4" s="1"/>
  <c r="AV815" i="4" s="1"/>
  <c r="M34" i="11"/>
  <c r="N943" i="4"/>
  <c r="L52" i="62"/>
  <c r="L43" i="62"/>
  <c r="L23" i="62" s="1"/>
  <c r="L16" i="66" s="1"/>
  <c r="AS796" i="4"/>
  <c r="AS824" i="4" s="1"/>
  <c r="AR813" i="4"/>
  <c r="AR816" i="4"/>
  <c r="AR814" i="4"/>
  <c r="AY209" i="4"/>
  <c r="AY208" i="4"/>
  <c r="AY174" i="4"/>
  <c r="AY160" i="4"/>
  <c r="AY205" i="4"/>
  <c r="AY255" i="4"/>
  <c r="AY207" i="4"/>
  <c r="AY269" i="4" s="1"/>
  <c r="AY283" i="4" s="1"/>
  <c r="AY161" i="4"/>
  <c r="AY256" i="4"/>
  <c r="AY233" i="4"/>
  <c r="AY175" i="4"/>
  <c r="AY232" i="4"/>
  <c r="AY168" i="4"/>
  <c r="AY206" i="4"/>
  <c r="AY167" i="4"/>
  <c r="AY210" i="4"/>
  <c r="AY169" i="4"/>
  <c r="AY204" i="4"/>
  <c r="AY166" i="4"/>
  <c r="AY254" i="4"/>
  <c r="AY231" i="4"/>
  <c r="AY162" i="4"/>
  <c r="AY173" i="4"/>
  <c r="AY234" i="4"/>
  <c r="AY257" i="4"/>
  <c r="AY159" i="4"/>
  <c r="AY176" i="4"/>
  <c r="AY211" i="4"/>
  <c r="AZ85" i="4"/>
  <c r="AW280" i="4"/>
  <c r="AN969" i="4"/>
  <c r="AO970" i="4"/>
  <c r="AQ777" i="4"/>
  <c r="AR928" i="4"/>
  <c r="AR44" i="11"/>
  <c r="AR1050" i="4"/>
  <c r="AR992" i="4"/>
  <c r="AR1257" i="4"/>
  <c r="AR684" i="4"/>
  <c r="AR956" i="4" s="1"/>
  <c r="AR69" i="11"/>
  <c r="AR1215" i="4"/>
  <c r="L983" i="4"/>
  <c r="L106" i="64"/>
  <c r="L21" i="66"/>
  <c r="AS111" i="64"/>
  <c r="M951" i="4"/>
  <c r="AX268" i="4"/>
  <c r="AX212" i="4"/>
  <c r="AM980" i="4"/>
  <c r="AM961" i="4"/>
  <c r="AV863" i="4"/>
  <c r="AV866" i="4"/>
  <c r="AV865" i="4"/>
  <c r="AV864" i="4"/>
  <c r="M18" i="11"/>
  <c r="N935" i="4"/>
  <c r="M950" i="4"/>
  <c r="AW282" i="4"/>
  <c r="AR775" i="4"/>
  <c r="AR114" i="64" s="1"/>
  <c r="AR774" i="4"/>
  <c r="AR113" i="64" s="1"/>
  <c r="AR773" i="4"/>
  <c r="AR112" i="64" s="1"/>
  <c r="AR776" i="4"/>
  <c r="AR115" i="64" s="1"/>
  <c r="L971" i="4"/>
  <c r="L105" i="64" s="1"/>
  <c r="L63" i="64" s="1"/>
  <c r="AT757" i="4"/>
  <c r="AT758" i="4"/>
  <c r="AT756" i="4"/>
  <c r="AT759" i="4"/>
  <c r="AV289" i="4"/>
  <c r="AS684" i="4" l="1"/>
  <c r="AS956" i="4" s="1"/>
  <c r="AS992" i="4"/>
  <c r="AT793" i="4"/>
  <c r="AT772" i="4"/>
  <c r="AT111" i="64" s="1"/>
  <c r="AT119" i="64" s="1"/>
  <c r="AT65" i="64" s="1"/>
  <c r="AT791" i="4"/>
  <c r="AT794" i="4"/>
  <c r="AT792" i="4"/>
  <c r="AQ80" i="64"/>
  <c r="AS928" i="4"/>
  <c r="AS1050" i="4"/>
  <c r="AS69" i="11"/>
  <c r="AS44" i="11"/>
  <c r="AS1215" i="4"/>
  <c r="AT766" i="4"/>
  <c r="AT767" i="4"/>
  <c r="AT768" i="4"/>
  <c r="AV750" i="4"/>
  <c r="AV764" i="4" s="1"/>
  <c r="AU762" i="4"/>
  <c r="AU764" i="4"/>
  <c r="AU766" i="4" s="1"/>
  <c r="AU751" i="4"/>
  <c r="AU772" i="4" s="1"/>
  <c r="AU629" i="4"/>
  <c r="AU630" i="4" s="1"/>
  <c r="AU809" i="4" s="1"/>
  <c r="AT682" i="4"/>
  <c r="AT684" i="4" s="1"/>
  <c r="AT956" i="4" s="1"/>
  <c r="AV622" i="4"/>
  <c r="AV623" i="4" s="1"/>
  <c r="AV789" i="4" s="1"/>
  <c r="AV792" i="4" s="1"/>
  <c r="AU793" i="4"/>
  <c r="AU676" i="4"/>
  <c r="AU680" i="4" s="1"/>
  <c r="AU889" i="4" s="1"/>
  <c r="AU890" i="4" s="1"/>
  <c r="AU891" i="4" s="1"/>
  <c r="AU795" i="4"/>
  <c r="AU792" i="4"/>
  <c r="AU794" i="4"/>
  <c r="AW619" i="4"/>
  <c r="AW622" i="4" s="1"/>
  <c r="AW623" i="4" s="1"/>
  <c r="AV879" i="4"/>
  <c r="AM969" i="4"/>
  <c r="AN970" i="4"/>
  <c r="N937" i="4"/>
  <c r="N938" i="4" s="1"/>
  <c r="N939" i="4" s="1"/>
  <c r="L972" i="4"/>
  <c r="M968" i="4" s="1"/>
  <c r="AX282" i="4"/>
  <c r="AY163" i="4"/>
  <c r="AY265" i="4"/>
  <c r="AY268" i="4"/>
  <c r="AY212" i="4"/>
  <c r="N945" i="4"/>
  <c r="N946" i="4" s="1"/>
  <c r="N947" i="4" s="1"/>
  <c r="AV685" i="4"/>
  <c r="AV1310" i="4"/>
  <c r="AV1345" i="4"/>
  <c r="AX284" i="4"/>
  <c r="AW719" i="4"/>
  <c r="AW749" i="4"/>
  <c r="AW609" i="4"/>
  <c r="AW627" i="4" s="1"/>
  <c r="AW810" i="4" s="1"/>
  <c r="AW815" i="4" s="1"/>
  <c r="AX260" i="4"/>
  <c r="AM46" i="11"/>
  <c r="L79" i="64"/>
  <c r="L71" i="64"/>
  <c r="L36" i="64"/>
  <c r="L35" i="64"/>
  <c r="AW33" i="66"/>
  <c r="AW32" i="66" s="1"/>
  <c r="AW1214" i="4"/>
  <c r="AW65" i="62"/>
  <c r="AW1041" i="4"/>
  <c r="AW1241" i="4"/>
  <c r="AW81" i="11"/>
  <c r="AW82" i="11" s="1"/>
  <c r="AS112" i="64"/>
  <c r="AS120" i="64" s="1"/>
  <c r="AS64" i="64" s="1"/>
  <c r="AS777" i="4"/>
  <c r="AX859" i="4"/>
  <c r="AX870" i="4"/>
  <c r="AX818" i="4"/>
  <c r="AX896" i="4" s="1"/>
  <c r="AX869" i="4"/>
  <c r="AX862" i="4"/>
  <c r="AX877" i="4"/>
  <c r="AX860" i="4"/>
  <c r="AX876" i="4"/>
  <c r="AX878" i="4"/>
  <c r="AX875" i="4"/>
  <c r="AX1032" i="4"/>
  <c r="AX1033" i="4" s="1"/>
  <c r="AX1034" i="4" s="1"/>
  <c r="AX908" i="4" s="1"/>
  <c r="AX871" i="4"/>
  <c r="AX874" i="4"/>
  <c r="AX861" i="4"/>
  <c r="AX613" i="4"/>
  <c r="AX614" i="4" s="1"/>
  <c r="AX620" i="4" s="1"/>
  <c r="AX606" i="4"/>
  <c r="AX608" i="4" s="1"/>
  <c r="AX616" i="4"/>
  <c r="AX618" i="4"/>
  <c r="AX666" i="4"/>
  <c r="AX667" i="4"/>
  <c r="AX668" i="4"/>
  <c r="AY79" i="4"/>
  <c r="AX717" i="4"/>
  <c r="AX716" i="4"/>
  <c r="AX718" i="4"/>
  <c r="AW863" i="4"/>
  <c r="AW866" i="4"/>
  <c r="AW864" i="4"/>
  <c r="AW865" i="4"/>
  <c r="AX276" i="4"/>
  <c r="AX334" i="4"/>
  <c r="AX960" i="4" s="1"/>
  <c r="AX279" i="4"/>
  <c r="AP1242" i="4"/>
  <c r="AP936" i="4"/>
  <c r="AP70" i="11"/>
  <c r="AP1216" i="4"/>
  <c r="AP897" i="4"/>
  <c r="AP944" i="4"/>
  <c r="AP1042" i="4"/>
  <c r="AT816" i="4"/>
  <c r="AT814" i="4"/>
  <c r="AT813" i="4"/>
  <c r="AX280" i="4"/>
  <c r="AR777" i="4"/>
  <c r="M979" i="4"/>
  <c r="AR120" i="64"/>
  <c r="AR64" i="64" s="1"/>
  <c r="AY267" i="4"/>
  <c r="AY177" i="4"/>
  <c r="AO1216" i="4"/>
  <c r="AO897" i="4"/>
  <c r="AO1042" i="4"/>
  <c r="AO936" i="4"/>
  <c r="AO944" i="4"/>
  <c r="AO70" i="11"/>
  <c r="AO1242" i="4"/>
  <c r="AP980" i="4"/>
  <c r="AP961" i="4"/>
  <c r="AS119" i="64"/>
  <c r="AS65" i="64" s="1"/>
  <c r="AO957" i="4"/>
  <c r="AW669" i="4"/>
  <c r="AW677" i="4"/>
  <c r="AR118" i="64"/>
  <c r="AZ161" i="4"/>
  <c r="AZ207" i="4"/>
  <c r="AZ269" i="4" s="1"/>
  <c r="AZ283" i="4" s="1"/>
  <c r="AZ256" i="4"/>
  <c r="AZ255" i="4"/>
  <c r="AZ205" i="4"/>
  <c r="AZ168" i="4"/>
  <c r="AZ173" i="4"/>
  <c r="AZ206" i="4"/>
  <c r="AZ232" i="4"/>
  <c r="AZ209" i="4"/>
  <c r="AZ233" i="4"/>
  <c r="AZ160" i="4"/>
  <c r="AZ167" i="4"/>
  <c r="AZ208" i="4"/>
  <c r="AZ174" i="4"/>
  <c r="AZ210" i="4"/>
  <c r="AZ175" i="4"/>
  <c r="AZ204" i="4"/>
  <c r="AZ162" i="4"/>
  <c r="AZ159" i="4"/>
  <c r="AZ234" i="4"/>
  <c r="AZ231" i="4"/>
  <c r="AZ254" i="4"/>
  <c r="AZ166" i="4"/>
  <c r="AZ176" i="4"/>
  <c r="AZ257" i="4"/>
  <c r="AZ169" i="4"/>
  <c r="AZ211" i="4"/>
  <c r="BA85" i="4"/>
  <c r="AY235" i="4"/>
  <c r="AY270" i="4"/>
  <c r="L14" i="66"/>
  <c r="AV754" i="4"/>
  <c r="AV755" i="4"/>
  <c r="AH929" i="4"/>
  <c r="AH930" i="4" s="1"/>
  <c r="AQ118" i="64"/>
  <c r="AQ121" i="64" s="1"/>
  <c r="AX281" i="4"/>
  <c r="AR116" i="64"/>
  <c r="AY271" i="4"/>
  <c r="AY258" i="4"/>
  <c r="AW289" i="4"/>
  <c r="AX285" i="4"/>
  <c r="AQ73" i="64"/>
  <c r="AQ81" i="64"/>
  <c r="AW296" i="4"/>
  <c r="AW304" i="4" s="1"/>
  <c r="R46" i="67"/>
  <c r="AR73" i="64"/>
  <c r="AR81" i="64"/>
  <c r="M1220" i="4"/>
  <c r="M77" i="11"/>
  <c r="M1245" i="4"/>
  <c r="M43" i="66"/>
  <c r="M1048" i="4"/>
  <c r="M23" i="66"/>
  <c r="M1262" i="4"/>
  <c r="AU758" i="4"/>
  <c r="AU756" i="4"/>
  <c r="AU759" i="4"/>
  <c r="AU757" i="4"/>
  <c r="AQ823" i="4"/>
  <c r="AQ811" i="4"/>
  <c r="AQ817" i="4" s="1"/>
  <c r="AY266" i="4"/>
  <c r="AY170" i="4"/>
  <c r="AT773" i="4" l="1"/>
  <c r="AT112" i="64" s="1"/>
  <c r="AT776" i="4"/>
  <c r="AT775" i="4"/>
  <c r="AT114" i="64" s="1"/>
  <c r="AT774" i="4"/>
  <c r="AT113" i="64" s="1"/>
  <c r="AT796" i="4"/>
  <c r="AT824" i="4" s="1"/>
  <c r="AT928" i="4"/>
  <c r="AU771" i="4"/>
  <c r="AW628" i="4"/>
  <c r="AW685" i="4" s="1"/>
  <c r="AT44" i="11"/>
  <c r="AV763" i="4"/>
  <c r="AV762" i="4"/>
  <c r="AT1257" i="4"/>
  <c r="AU765" i="4"/>
  <c r="AU768" i="4"/>
  <c r="AU111" i="64"/>
  <c r="AU119" i="64" s="1"/>
  <c r="AU65" i="64" s="1"/>
  <c r="AU767" i="4"/>
  <c r="AV795" i="4"/>
  <c r="AT992" i="4"/>
  <c r="AT1050" i="4"/>
  <c r="AU682" i="4"/>
  <c r="AU44" i="11" s="1"/>
  <c r="AV676" i="4"/>
  <c r="AV680" i="4" s="1"/>
  <c r="AV889" i="4" s="1"/>
  <c r="AV890" i="4" s="1"/>
  <c r="AV891" i="4" s="1"/>
  <c r="AT69" i="11"/>
  <c r="AT1215" i="4"/>
  <c r="AV791" i="4"/>
  <c r="AV794" i="4"/>
  <c r="AV751" i="4"/>
  <c r="AV772" i="4" s="1"/>
  <c r="AV793" i="4"/>
  <c r="AV629" i="4"/>
  <c r="AV630" i="4" s="1"/>
  <c r="AV809" i="4" s="1"/>
  <c r="AW750" i="4"/>
  <c r="AW764" i="4" s="1"/>
  <c r="AU796" i="4"/>
  <c r="AU824" i="4" s="1"/>
  <c r="L985" i="4"/>
  <c r="L987" i="4" s="1"/>
  <c r="AS116" i="64"/>
  <c r="AX619" i="4"/>
  <c r="AX622" i="4" s="1"/>
  <c r="AX623" i="4" s="1"/>
  <c r="AX789" i="4" s="1"/>
  <c r="AW879" i="4"/>
  <c r="L37" i="64"/>
  <c r="L51" i="64" s="1"/>
  <c r="AR121" i="64"/>
  <c r="AS118" i="64"/>
  <c r="AS121" i="64" s="1"/>
  <c r="N951" i="4"/>
  <c r="N43" i="66" s="1"/>
  <c r="AW751" i="4"/>
  <c r="AW629" i="4"/>
  <c r="AH19" i="11"/>
  <c r="AI927" i="4"/>
  <c r="AZ266" i="4"/>
  <c r="AZ170" i="4"/>
  <c r="AO45" i="11"/>
  <c r="AO993" i="4"/>
  <c r="AX289" i="4"/>
  <c r="AU813" i="4"/>
  <c r="AU816" i="4"/>
  <c r="AU814" i="4"/>
  <c r="AW789" i="4"/>
  <c r="AV757" i="4"/>
  <c r="AV759" i="4"/>
  <c r="AV756" i="4"/>
  <c r="AV758" i="4"/>
  <c r="AY284" i="4"/>
  <c r="AZ258" i="4"/>
  <c r="AZ271" i="4"/>
  <c r="AZ267" i="4"/>
  <c r="AZ177" i="4"/>
  <c r="AT73" i="64"/>
  <c r="AT81" i="64"/>
  <c r="AX863" i="4"/>
  <c r="AX865" i="4"/>
  <c r="AX866" i="4"/>
  <c r="AX864" i="4"/>
  <c r="AZ270" i="4"/>
  <c r="AZ235" i="4"/>
  <c r="AX719" i="4"/>
  <c r="AX749" i="4"/>
  <c r="AX609" i="4"/>
  <c r="AX627" i="4" s="1"/>
  <c r="AX810" i="4" s="1"/>
  <c r="AX815" i="4" s="1"/>
  <c r="AS823" i="4"/>
  <c r="AS811" i="4"/>
  <c r="AS817" i="4" s="1"/>
  <c r="AW754" i="4"/>
  <c r="AW755" i="4"/>
  <c r="O943" i="4"/>
  <c r="O945" i="4" s="1"/>
  <c r="O946" i="4" s="1"/>
  <c r="N34" i="11"/>
  <c r="AV767" i="4"/>
  <c r="AV765" i="4"/>
  <c r="AV768" i="4"/>
  <c r="AV766" i="4"/>
  <c r="L13" i="66"/>
  <c r="BA168" i="4"/>
  <c r="BA174" i="4"/>
  <c r="BA160" i="4"/>
  <c r="BA205" i="4"/>
  <c r="BA175" i="4"/>
  <c r="BA167" i="4"/>
  <c r="BA256" i="4"/>
  <c r="BA209" i="4"/>
  <c r="BA255" i="4"/>
  <c r="BA233" i="4"/>
  <c r="BA206" i="4"/>
  <c r="BA232" i="4"/>
  <c r="BA161" i="4"/>
  <c r="BA208" i="4"/>
  <c r="BA207" i="4"/>
  <c r="BA269" i="4" s="1"/>
  <c r="BA283" i="4" s="1"/>
  <c r="BA169" i="4"/>
  <c r="BA231" i="4"/>
  <c r="BA254" i="4"/>
  <c r="BA257" i="4"/>
  <c r="BA173" i="4"/>
  <c r="BA234" i="4"/>
  <c r="BA166" i="4"/>
  <c r="BA204" i="4"/>
  <c r="BA210" i="4"/>
  <c r="BA159" i="4"/>
  <c r="BA162" i="4"/>
  <c r="BA176" i="4"/>
  <c r="BA211" i="4"/>
  <c r="BB85" i="4"/>
  <c r="M982" i="4"/>
  <c r="M983" i="4" s="1"/>
  <c r="O981" i="4"/>
  <c r="AP993" i="4"/>
  <c r="AP45" i="11"/>
  <c r="AP46" i="11" s="1"/>
  <c r="AS72" i="64"/>
  <c r="AS80" i="64"/>
  <c r="AZ265" i="4"/>
  <c r="AZ163" i="4"/>
  <c r="AO961" i="4"/>
  <c r="AO980" i="4"/>
  <c r="AY281" i="4"/>
  <c r="AR823" i="4"/>
  <c r="AR811" i="4"/>
  <c r="AR817" i="4" s="1"/>
  <c r="AY862" i="4"/>
  <c r="AY869" i="4"/>
  <c r="AY861" i="4"/>
  <c r="AY877" i="4"/>
  <c r="AY818" i="4"/>
  <c r="AY896" i="4" s="1"/>
  <c r="AY871" i="4"/>
  <c r="AY878" i="4"/>
  <c r="AY875" i="4"/>
  <c r="AY870" i="4"/>
  <c r="AY874" i="4"/>
  <c r="AY1032" i="4"/>
  <c r="AY1033" i="4" s="1"/>
  <c r="AY1034" i="4" s="1"/>
  <c r="AY908" i="4" s="1"/>
  <c r="AY860" i="4"/>
  <c r="AY876" i="4"/>
  <c r="AY859" i="4"/>
  <c r="AY613" i="4"/>
  <c r="AY614" i="4" s="1"/>
  <c r="AY620" i="4" s="1"/>
  <c r="AY606" i="4"/>
  <c r="AY608" i="4" s="1"/>
  <c r="AY616" i="4"/>
  <c r="AY666" i="4"/>
  <c r="AY667" i="4"/>
  <c r="AY618" i="4"/>
  <c r="AY668" i="4"/>
  <c r="AZ79" i="4"/>
  <c r="AY717" i="4"/>
  <c r="AY716" i="4"/>
  <c r="AY718" i="4"/>
  <c r="AW1345" i="4"/>
  <c r="AW1310" i="4"/>
  <c r="AY282" i="4"/>
  <c r="O935" i="4"/>
  <c r="N18" i="11"/>
  <c r="N950" i="4"/>
  <c r="AP969" i="4"/>
  <c r="AQ970" i="4"/>
  <c r="AY334" i="4"/>
  <c r="AY960" i="4" s="1"/>
  <c r="AY276" i="4"/>
  <c r="AY279" i="4"/>
  <c r="AY285" i="4"/>
  <c r="AZ268" i="4"/>
  <c r="AZ212" i="4"/>
  <c r="AR80" i="64"/>
  <c r="AR72" i="64"/>
  <c r="AX1041" i="4"/>
  <c r="AX65" i="62"/>
  <c r="AX1241" i="4"/>
  <c r="AX81" i="11"/>
  <c r="AX82" i="11" s="1"/>
  <c r="AX33" i="66"/>
  <c r="AX32" i="66" s="1"/>
  <c r="AX1214" i="4"/>
  <c r="AY260" i="4"/>
  <c r="U81" i="67" s="1"/>
  <c r="U82" i="67" s="1"/>
  <c r="M971" i="4"/>
  <c r="M105" i="64" s="1"/>
  <c r="M63" i="64" s="1"/>
  <c r="AY280" i="4"/>
  <c r="AQ895" i="4"/>
  <c r="AQ819" i="4"/>
  <c r="AQ825" i="4" s="1"/>
  <c r="AQ826" i="4" s="1"/>
  <c r="AQ893" i="4" s="1"/>
  <c r="AH931" i="4"/>
  <c r="AS73" i="64"/>
  <c r="AS81" i="64"/>
  <c r="AT118" i="64"/>
  <c r="AX677" i="4"/>
  <c r="AX669" i="4"/>
  <c r="AX296" i="4"/>
  <c r="AX304" i="4" s="1"/>
  <c r="AW676" i="4"/>
  <c r="AW680" i="4" s="1"/>
  <c r="AW889" i="4" s="1"/>
  <c r="AW890" i="4" s="1"/>
  <c r="AW891" i="4" s="1"/>
  <c r="AU773" i="4"/>
  <c r="AU774" i="4"/>
  <c r="AU113" i="64" s="1"/>
  <c r="AU775" i="4"/>
  <c r="AU776" i="4"/>
  <c r="AT777" i="4" l="1"/>
  <c r="AT823" i="4" s="1"/>
  <c r="AT115" i="64"/>
  <c r="AT116" i="64" s="1"/>
  <c r="AU1257" i="4"/>
  <c r="AW630" i="4"/>
  <c r="AW809" i="4" s="1"/>
  <c r="AU112" i="64"/>
  <c r="AU114" i="64"/>
  <c r="AU115" i="64"/>
  <c r="T69" i="67"/>
  <c r="T38" i="13"/>
  <c r="AU684" i="4"/>
  <c r="AU956" i="4" s="1"/>
  <c r="AU992" i="4"/>
  <c r="AU69" i="11"/>
  <c r="AU1050" i="4"/>
  <c r="AU928" i="4"/>
  <c r="T44" i="67"/>
  <c r="AU1215" i="4"/>
  <c r="T13" i="72"/>
  <c r="AV796" i="4"/>
  <c r="AV824" i="4" s="1"/>
  <c r="AW763" i="4"/>
  <c r="AV682" i="4"/>
  <c r="AV1050" i="4" s="1"/>
  <c r="L20" i="11"/>
  <c r="AV771" i="4"/>
  <c r="AW762" i="4"/>
  <c r="L35" i="11"/>
  <c r="L33" i="11" s="1"/>
  <c r="L1387" i="4" s="1"/>
  <c r="AX750" i="4"/>
  <c r="AX763" i="4" s="1"/>
  <c r="AX628" i="4"/>
  <c r="AX685" i="4" s="1"/>
  <c r="AX879" i="4"/>
  <c r="N23" i="66"/>
  <c r="N1245" i="4"/>
  <c r="N77" i="11"/>
  <c r="N1262" i="4"/>
  <c r="N1048" i="4"/>
  <c r="N1220" i="4"/>
  <c r="AY619" i="4"/>
  <c r="AY622" i="4" s="1"/>
  <c r="AY623" i="4" s="1"/>
  <c r="AY789" i="4" s="1"/>
  <c r="AU118" i="64"/>
  <c r="N979" i="4"/>
  <c r="AZ334" i="4"/>
  <c r="AZ960" i="4" s="1"/>
  <c r="AZ276" i="4"/>
  <c r="AZ279" i="4"/>
  <c r="AZ281" i="4"/>
  <c r="AY719" i="4"/>
  <c r="AY609" i="4"/>
  <c r="AY627" i="4" s="1"/>
  <c r="AY810" i="4" s="1"/>
  <c r="AY815" i="4" s="1"/>
  <c r="AY749" i="4"/>
  <c r="AR895" i="4"/>
  <c r="AR957" i="4" s="1"/>
  <c r="AR819" i="4"/>
  <c r="AR825" i="4" s="1"/>
  <c r="AR826" i="4" s="1"/>
  <c r="AR893" i="4" s="1"/>
  <c r="BA212" i="4"/>
  <c r="BA268" i="4"/>
  <c r="L28" i="66"/>
  <c r="L27" i="66" s="1"/>
  <c r="AV111" i="64"/>
  <c r="AV775" i="4"/>
  <c r="AV114" i="64" s="1"/>
  <c r="AV776" i="4"/>
  <c r="AV115" i="64" s="1"/>
  <c r="AV773" i="4"/>
  <c r="AV112" i="64" s="1"/>
  <c r="AV774" i="4"/>
  <c r="AV113" i="64" s="1"/>
  <c r="AZ285" i="4"/>
  <c r="AW772" i="4"/>
  <c r="AW771" i="4"/>
  <c r="M21" i="66"/>
  <c r="M106" i="64"/>
  <c r="BA170" i="4"/>
  <c r="BA266" i="4"/>
  <c r="AS895" i="4"/>
  <c r="AS957" i="4" s="1"/>
  <c r="AS819" i="4"/>
  <c r="AS825" i="4" s="1"/>
  <c r="AS826" i="4" s="1"/>
  <c r="AS893" i="4" s="1"/>
  <c r="AO46" i="11"/>
  <c r="AQ1216" i="4"/>
  <c r="AQ936" i="4"/>
  <c r="AQ944" i="4"/>
  <c r="AQ1242" i="4"/>
  <c r="AQ897" i="4"/>
  <c r="AQ1042" i="4"/>
  <c r="AQ70" i="11"/>
  <c r="S39" i="13"/>
  <c r="S70" i="67"/>
  <c r="AX1310" i="4"/>
  <c r="AX1345" i="4"/>
  <c r="AZ818" i="4"/>
  <c r="AZ896" i="4" s="1"/>
  <c r="AZ878" i="4"/>
  <c r="AZ871" i="4"/>
  <c r="AZ862" i="4"/>
  <c r="AZ869" i="4"/>
  <c r="AZ1032" i="4"/>
  <c r="AZ1033" i="4" s="1"/>
  <c r="AZ1034" i="4" s="1"/>
  <c r="AZ908" i="4" s="1"/>
  <c r="AZ860" i="4"/>
  <c r="AZ875" i="4"/>
  <c r="AZ861" i="4"/>
  <c r="AZ874" i="4"/>
  <c r="AZ870" i="4"/>
  <c r="AZ876" i="4"/>
  <c r="AZ859" i="4"/>
  <c r="AZ877" i="4"/>
  <c r="AZ613" i="4"/>
  <c r="AZ614" i="4" s="1"/>
  <c r="AZ620" i="4" s="1"/>
  <c r="AZ606" i="4"/>
  <c r="AZ608" i="4" s="1"/>
  <c r="AZ616" i="4"/>
  <c r="AZ666" i="4"/>
  <c r="AZ667" i="4"/>
  <c r="AZ618" i="4"/>
  <c r="AZ668" i="4"/>
  <c r="BA79" i="4"/>
  <c r="AZ716" i="4"/>
  <c r="AZ717" i="4"/>
  <c r="AZ718" i="4"/>
  <c r="AY864" i="4"/>
  <c r="AY866" i="4"/>
  <c r="AY865" i="4"/>
  <c r="AY863" i="4"/>
  <c r="BB207" i="4"/>
  <c r="BB269" i="4" s="1"/>
  <c r="BB283" i="4" s="1"/>
  <c r="BB174" i="4"/>
  <c r="BB175" i="4"/>
  <c r="BB167" i="4"/>
  <c r="BB255" i="4"/>
  <c r="BB205" i="4"/>
  <c r="BB233" i="4"/>
  <c r="BB256" i="4"/>
  <c r="BB168" i="4"/>
  <c r="BB206" i="4"/>
  <c r="BB161" i="4"/>
  <c r="BB232" i="4"/>
  <c r="BB209" i="4"/>
  <c r="BB160" i="4"/>
  <c r="BB208" i="4"/>
  <c r="BB231" i="4"/>
  <c r="BB234" i="4"/>
  <c r="BB159" i="4"/>
  <c r="BB173" i="4"/>
  <c r="BB254" i="4"/>
  <c r="BB210" i="4"/>
  <c r="BB166" i="4"/>
  <c r="BB257" i="4"/>
  <c r="BB169" i="4"/>
  <c r="BB162" i="4"/>
  <c r="BB204" i="4"/>
  <c r="BB211" i="4"/>
  <c r="BB176" i="4"/>
  <c r="BC85" i="4"/>
  <c r="AU73" i="64"/>
  <c r="AU81" i="64"/>
  <c r="AW756" i="4"/>
  <c r="AW757" i="4"/>
  <c r="AW758" i="4"/>
  <c r="AW759" i="4"/>
  <c r="AQ957" i="4"/>
  <c r="M972" i="4"/>
  <c r="N968" i="4" s="1"/>
  <c r="AY296" i="4"/>
  <c r="AY304" i="4" s="1"/>
  <c r="BA267" i="4"/>
  <c r="BA177" i="4"/>
  <c r="AV816" i="4"/>
  <c r="AV813" i="4"/>
  <c r="AV814" i="4"/>
  <c r="AX792" i="4"/>
  <c r="AX794" i="4"/>
  <c r="AX795" i="4"/>
  <c r="AX793" i="4"/>
  <c r="AX791" i="4"/>
  <c r="L41" i="66"/>
  <c r="L1219" i="4"/>
  <c r="L1049" i="4"/>
  <c r="L1258" i="4"/>
  <c r="L76" i="11"/>
  <c r="L1047" i="4"/>
  <c r="L1244" i="4"/>
  <c r="L66" i="62"/>
  <c r="AX676" i="4"/>
  <c r="AX680" i="4" s="1"/>
  <c r="AX889" i="4" s="1"/>
  <c r="AX890" i="4" s="1"/>
  <c r="AX891" i="4" s="1"/>
  <c r="AX629" i="4"/>
  <c r="AX751" i="4"/>
  <c r="AW767" i="4"/>
  <c r="AW766" i="4"/>
  <c r="AW765" i="4"/>
  <c r="AW768" i="4"/>
  <c r="AZ280" i="4"/>
  <c r="AU777" i="4"/>
  <c r="M71" i="64"/>
  <c r="M79" i="64"/>
  <c r="AY289" i="4"/>
  <c r="AY33" i="66"/>
  <c r="AY32" i="66" s="1"/>
  <c r="AY1214" i="4"/>
  <c r="AY1041" i="4"/>
  <c r="AY1241" i="4"/>
  <c r="AY81" i="11"/>
  <c r="AY82" i="11" s="1"/>
  <c r="AY65" i="62"/>
  <c r="O937" i="4"/>
  <c r="O938" i="4" s="1"/>
  <c r="O939" i="4" s="1"/>
  <c r="AO969" i="4"/>
  <c r="AP970" i="4"/>
  <c r="BA271" i="4"/>
  <c r="BA258" i="4"/>
  <c r="AX754" i="4"/>
  <c r="AX755" i="4"/>
  <c r="AZ284" i="4"/>
  <c r="AI929" i="4"/>
  <c r="AI930" i="4" s="1"/>
  <c r="AI931" i="4" s="1"/>
  <c r="AZ282" i="4"/>
  <c r="AY669" i="4"/>
  <c r="AY677" i="4"/>
  <c r="AZ260" i="4"/>
  <c r="BA265" i="4"/>
  <c r="BA163" i="4"/>
  <c r="BA235" i="4"/>
  <c r="BA270" i="4"/>
  <c r="O947" i="4"/>
  <c r="P943" i="4"/>
  <c r="O34" i="11"/>
  <c r="L34" i="67"/>
  <c r="AW792" i="4"/>
  <c r="AW793" i="4"/>
  <c r="AW795" i="4"/>
  <c r="AW791" i="4"/>
  <c r="AW794" i="4"/>
  <c r="AT811" i="4" l="1"/>
  <c r="AT817" i="4" s="1"/>
  <c r="AT819" i="4" s="1"/>
  <c r="AT825" i="4" s="1"/>
  <c r="AT826" i="4" s="1"/>
  <c r="AT893" i="4" s="1"/>
  <c r="AT120" i="64"/>
  <c r="AT64" i="64" s="1"/>
  <c r="AW682" i="4"/>
  <c r="AW69" i="11" s="1"/>
  <c r="AV69" i="11"/>
  <c r="AU120" i="64"/>
  <c r="AU64" i="64" s="1"/>
  <c r="AU80" i="64" s="1"/>
  <c r="AU116" i="64"/>
  <c r="AV684" i="4"/>
  <c r="AV956" i="4" s="1"/>
  <c r="AV1215" i="4"/>
  <c r="AV928" i="4"/>
  <c r="AV1257" i="4"/>
  <c r="AV44" i="11"/>
  <c r="AV992" i="4"/>
  <c r="AX630" i="4"/>
  <c r="AX682" i="4" s="1"/>
  <c r="AX764" i="4"/>
  <c r="AX765" i="4" s="1"/>
  <c r="AX762" i="4"/>
  <c r="AY879" i="4"/>
  <c r="AY628" i="4"/>
  <c r="AY685" i="4" s="1"/>
  <c r="AY750" i="4"/>
  <c r="AY764" i="4" s="1"/>
  <c r="AV120" i="64"/>
  <c r="AV64" i="64" s="1"/>
  <c r="AV80" i="64" s="1"/>
  <c r="AX771" i="4"/>
  <c r="AX772" i="4"/>
  <c r="BA281" i="4"/>
  <c r="BB235" i="4"/>
  <c r="BB270" i="4"/>
  <c r="BA874" i="4"/>
  <c r="BA871" i="4"/>
  <c r="BA1032" i="4"/>
  <c r="BA1033" i="4" s="1"/>
  <c r="BA1034" i="4" s="1"/>
  <c r="BA908" i="4" s="1"/>
  <c r="BA860" i="4"/>
  <c r="BA878" i="4"/>
  <c r="BA861" i="4"/>
  <c r="BA869" i="4"/>
  <c r="BA818" i="4"/>
  <c r="BA896" i="4" s="1"/>
  <c r="BA862" i="4"/>
  <c r="BA875" i="4"/>
  <c r="BA877" i="4"/>
  <c r="BA876" i="4"/>
  <c r="BA859" i="4"/>
  <c r="BA870" i="4"/>
  <c r="BA606" i="4"/>
  <c r="BA608" i="4" s="1"/>
  <c r="BA613" i="4"/>
  <c r="BA614" i="4" s="1"/>
  <c r="BA620" i="4" s="1"/>
  <c r="BA616" i="4"/>
  <c r="BA667" i="4"/>
  <c r="BA666" i="4"/>
  <c r="BA668" i="4"/>
  <c r="BA618" i="4"/>
  <c r="BB79" i="4"/>
  <c r="BA716" i="4"/>
  <c r="BA717" i="4"/>
  <c r="BA718" i="4"/>
  <c r="M35" i="64"/>
  <c r="M36" i="64"/>
  <c r="AY792" i="4"/>
  <c r="AY795" i="4"/>
  <c r="AY791" i="4"/>
  <c r="AY793" i="4"/>
  <c r="AY794" i="4"/>
  <c r="AZ863" i="4"/>
  <c r="AZ864" i="4"/>
  <c r="AZ866" i="4"/>
  <c r="AZ865" i="4"/>
  <c r="AY754" i="4"/>
  <c r="AY755" i="4"/>
  <c r="AY676" i="4"/>
  <c r="AY680" i="4" s="1"/>
  <c r="AY889" i="4" s="1"/>
  <c r="AY890" i="4" s="1"/>
  <c r="AY891" i="4" s="1"/>
  <c r="AY751" i="4"/>
  <c r="AY629" i="4"/>
  <c r="AU823" i="4"/>
  <c r="AU811" i="4"/>
  <c r="AU817" i="4" s="1"/>
  <c r="BB266" i="4"/>
  <c r="BB170" i="4"/>
  <c r="AS944" i="4"/>
  <c r="AS1216" i="4"/>
  <c r="AS1242" i="4"/>
  <c r="AS1042" i="4"/>
  <c r="AS70" i="11"/>
  <c r="AS936" i="4"/>
  <c r="AS897" i="4"/>
  <c r="BA260" i="4"/>
  <c r="L18" i="67"/>
  <c r="O18" i="11"/>
  <c r="P935" i="4"/>
  <c r="O950" i="4"/>
  <c r="BC161" i="4"/>
  <c r="BC206" i="4"/>
  <c r="BC160" i="4"/>
  <c r="BC209" i="4"/>
  <c r="BC255" i="4"/>
  <c r="BC232" i="4"/>
  <c r="BC174" i="4"/>
  <c r="BC208" i="4"/>
  <c r="BC167" i="4"/>
  <c r="BC256" i="4"/>
  <c r="BC205" i="4"/>
  <c r="BC168" i="4"/>
  <c r="BC233" i="4"/>
  <c r="BC175" i="4"/>
  <c r="BC207" i="4"/>
  <c r="BC269" i="4" s="1"/>
  <c r="BC283" i="4" s="1"/>
  <c r="BC173" i="4"/>
  <c r="BC162" i="4"/>
  <c r="BC159" i="4"/>
  <c r="BC254" i="4"/>
  <c r="BC234" i="4"/>
  <c r="BC231" i="4"/>
  <c r="BC204" i="4"/>
  <c r="BC169" i="4"/>
  <c r="BC166" i="4"/>
  <c r="BC210" i="4"/>
  <c r="BC257" i="4"/>
  <c r="BC176" i="4"/>
  <c r="BC211" i="4"/>
  <c r="BD85" i="4"/>
  <c r="AS961" i="4"/>
  <c r="AS980" i="4"/>
  <c r="AX757" i="4"/>
  <c r="AX756" i="4"/>
  <c r="AX759" i="4"/>
  <c r="AX758" i="4"/>
  <c r="O951" i="4"/>
  <c r="BA334" i="4"/>
  <c r="BA960" i="4" s="1"/>
  <c r="BA276" i="4"/>
  <c r="BA279" i="4"/>
  <c r="AX796" i="4"/>
  <c r="AX824" i="4" s="1"/>
  <c r="N971" i="4"/>
  <c r="N105" i="64" s="1"/>
  <c r="N63" i="64" s="1"/>
  <c r="BB271" i="4"/>
  <c r="BB258" i="4"/>
  <c r="AZ677" i="4"/>
  <c r="AZ669" i="4"/>
  <c r="BA282" i="4"/>
  <c r="AZ289" i="4"/>
  <c r="AV777" i="4"/>
  <c r="AZ1041" i="4"/>
  <c r="AZ1214" i="4"/>
  <c r="AZ65" i="62"/>
  <c r="AZ33" i="66"/>
  <c r="AZ32" i="66" s="1"/>
  <c r="AZ1241" i="4"/>
  <c r="AZ81" i="11"/>
  <c r="AZ82" i="11" s="1"/>
  <c r="AJ927" i="4"/>
  <c r="AJ929" i="4" s="1"/>
  <c r="AJ930" i="4" s="1"/>
  <c r="AI19" i="11"/>
  <c r="Q19" i="67"/>
  <c r="BB267" i="4"/>
  <c r="BB177" i="4"/>
  <c r="AZ619" i="4"/>
  <c r="AZ296" i="4"/>
  <c r="AZ304" i="4" s="1"/>
  <c r="AQ45" i="11"/>
  <c r="AQ993" i="4"/>
  <c r="S45" i="67"/>
  <c r="BA280" i="4"/>
  <c r="M985" i="4"/>
  <c r="BA285" i="4"/>
  <c r="AY1310" i="4"/>
  <c r="AY1345" i="4"/>
  <c r="U47" i="13" s="1"/>
  <c r="AQ980" i="4"/>
  <c r="AQ961" i="4"/>
  <c r="BB268" i="4"/>
  <c r="BB212" i="4"/>
  <c r="BB265" i="4"/>
  <c r="BB163" i="4"/>
  <c r="AZ609" i="4"/>
  <c r="AZ627" i="4" s="1"/>
  <c r="AZ810" i="4" s="1"/>
  <c r="AZ815" i="4" s="1"/>
  <c r="AZ749" i="4"/>
  <c r="AW111" i="64"/>
  <c r="AW776" i="4"/>
  <c r="AW115" i="64" s="1"/>
  <c r="AW774" i="4"/>
  <c r="AW113" i="64" s="1"/>
  <c r="AW773" i="4"/>
  <c r="AW775" i="4"/>
  <c r="AW114" i="64" s="1"/>
  <c r="AR1216" i="4"/>
  <c r="AR1042" i="4"/>
  <c r="AR897" i="4"/>
  <c r="AR936" i="4"/>
  <c r="AR70" i="11"/>
  <c r="AR1242" i="4"/>
  <c r="AR944" i="4"/>
  <c r="AW816" i="4"/>
  <c r="AW813" i="4"/>
  <c r="AW814" i="4"/>
  <c r="N982" i="4"/>
  <c r="N983" i="4" s="1"/>
  <c r="P981" i="4"/>
  <c r="BA284" i="4"/>
  <c r="AW796" i="4"/>
  <c r="AW824" i="4" s="1"/>
  <c r="P945" i="4"/>
  <c r="P946" i="4" s="1"/>
  <c r="P947" i="4" s="1"/>
  <c r="AZ719" i="4"/>
  <c r="AV119" i="64"/>
  <c r="AV65" i="64" s="1"/>
  <c r="AV116" i="64"/>
  <c r="AR980" i="4"/>
  <c r="AR961" i="4"/>
  <c r="AT895" i="4" l="1"/>
  <c r="AT957" i="4" s="1"/>
  <c r="AW44" i="11"/>
  <c r="AW928" i="4"/>
  <c r="AT121" i="64"/>
  <c r="AT72" i="64"/>
  <c r="AT80" i="64"/>
  <c r="AW992" i="4"/>
  <c r="AW684" i="4"/>
  <c r="AW956" i="4" s="1"/>
  <c r="AW1215" i="4"/>
  <c r="AW1050" i="4"/>
  <c r="AW1257" i="4"/>
  <c r="AU121" i="64"/>
  <c r="AX809" i="4"/>
  <c r="AX813" i="4" s="1"/>
  <c r="AU72" i="64"/>
  <c r="AX766" i="4"/>
  <c r="AX767" i="4"/>
  <c r="AX768" i="4"/>
  <c r="AX111" i="64"/>
  <c r="AX119" i="64" s="1"/>
  <c r="AX65" i="64" s="1"/>
  <c r="AV72" i="64"/>
  <c r="AY630" i="4"/>
  <c r="AY809" i="4" s="1"/>
  <c r="AY763" i="4"/>
  <c r="AY762" i="4"/>
  <c r="AZ879" i="4"/>
  <c r="BB260" i="4"/>
  <c r="BB81" i="11" s="1"/>
  <c r="BB82" i="11" s="1"/>
  <c r="U12" i="13"/>
  <c r="AY796" i="4"/>
  <c r="AY824" i="4" s="1"/>
  <c r="AV118" i="64"/>
  <c r="AV121" i="64" s="1"/>
  <c r="AQ46" i="11"/>
  <c r="N972" i="4"/>
  <c r="O968" i="4" s="1"/>
  <c r="AT897" i="4"/>
  <c r="AT936" i="4"/>
  <c r="AT1242" i="4"/>
  <c r="AT1216" i="4"/>
  <c r="AT70" i="11"/>
  <c r="AT1042" i="4"/>
  <c r="AT944" i="4"/>
  <c r="AV73" i="64"/>
  <c r="AV81" i="64"/>
  <c r="AW119" i="64"/>
  <c r="AW65" i="64" s="1"/>
  <c r="BB282" i="4"/>
  <c r="N71" i="64"/>
  <c r="N79" i="64"/>
  <c r="O43" i="66"/>
  <c r="H170" i="15" s="1"/>
  <c r="O77" i="11"/>
  <c r="O1245" i="4"/>
  <c r="O1048" i="4"/>
  <c r="O1262" i="4"/>
  <c r="O1220" i="4"/>
  <c r="O23" i="66"/>
  <c r="H149" i="15" s="1"/>
  <c r="L77" i="67"/>
  <c r="AS969" i="4"/>
  <c r="AT970" i="4"/>
  <c r="BC268" i="4"/>
  <c r="BC212" i="4"/>
  <c r="AY771" i="4"/>
  <c r="AY772" i="4"/>
  <c r="AY111" i="64" s="1"/>
  <c r="BA619" i="4"/>
  <c r="AR45" i="11"/>
  <c r="AR46" i="11" s="1"/>
  <c r="AR993" i="4"/>
  <c r="BD256" i="4"/>
  <c r="BD233" i="4"/>
  <c r="BD161" i="4"/>
  <c r="BD232" i="4"/>
  <c r="BD208" i="4"/>
  <c r="BD207" i="4"/>
  <c r="BD269" i="4" s="1"/>
  <c r="BD283" i="4" s="1"/>
  <c r="BD209" i="4"/>
  <c r="BD206" i="4"/>
  <c r="BD255" i="4"/>
  <c r="BD167" i="4"/>
  <c r="BD175" i="4"/>
  <c r="BD168" i="4"/>
  <c r="BD160" i="4"/>
  <c r="BD205" i="4"/>
  <c r="BD174" i="4"/>
  <c r="BD210" i="4"/>
  <c r="BD169" i="4"/>
  <c r="BD162" i="4"/>
  <c r="BD254" i="4"/>
  <c r="BD204" i="4"/>
  <c r="BD159" i="4"/>
  <c r="BD173" i="4"/>
  <c r="BD166" i="4"/>
  <c r="BD234" i="4"/>
  <c r="BD257" i="4"/>
  <c r="BD231" i="4"/>
  <c r="BD176" i="4"/>
  <c r="BD211" i="4"/>
  <c r="BE85" i="4"/>
  <c r="BC270" i="4"/>
  <c r="BC235" i="4"/>
  <c r="BA296" i="4"/>
  <c r="BA304" i="4" s="1"/>
  <c r="BB284" i="4"/>
  <c r="AX775" i="4"/>
  <c r="AX776" i="4"/>
  <c r="AX774" i="4"/>
  <c r="AX773" i="4"/>
  <c r="AX112" i="64" s="1"/>
  <c r="AQ969" i="4"/>
  <c r="AR970" i="4"/>
  <c r="AZ750" i="4"/>
  <c r="AZ622" i="4"/>
  <c r="AZ623" i="4" s="1"/>
  <c r="AZ628" i="4"/>
  <c r="AZ685" i="4" s="1"/>
  <c r="AV823" i="4"/>
  <c r="AV811" i="4"/>
  <c r="AV817" i="4" s="1"/>
  <c r="P937" i="4"/>
  <c r="P938" i="4" s="1"/>
  <c r="P939" i="4" s="1"/>
  <c r="P951" i="4" s="1"/>
  <c r="BA719" i="4"/>
  <c r="BA749" i="4"/>
  <c r="BA609" i="4"/>
  <c r="BA627" i="4" s="1"/>
  <c r="BA810" i="4" s="1"/>
  <c r="BA815" i="4" s="1"/>
  <c r="AZ755" i="4"/>
  <c r="AZ754" i="4"/>
  <c r="AJ931" i="4"/>
  <c r="AK927" i="4"/>
  <c r="AJ19" i="11"/>
  <c r="BA289" i="4"/>
  <c r="BC271" i="4"/>
  <c r="BC258" i="4"/>
  <c r="AS993" i="4"/>
  <c r="AS45" i="11"/>
  <c r="AS46" i="11" s="1"/>
  <c r="BB280" i="4"/>
  <c r="AX992" i="4"/>
  <c r="AX928" i="4"/>
  <c r="AX69" i="11"/>
  <c r="AX1257" i="4"/>
  <c r="AX1215" i="4"/>
  <c r="AX44" i="11"/>
  <c r="AX684" i="4"/>
  <c r="AX956" i="4" s="1"/>
  <c r="AX1050" i="4"/>
  <c r="BB876" i="4"/>
  <c r="BB874" i="4"/>
  <c r="BB1032" i="4"/>
  <c r="BB1033" i="4" s="1"/>
  <c r="BB1034" i="4" s="1"/>
  <c r="BB908" i="4" s="1"/>
  <c r="BB875" i="4"/>
  <c r="BB869" i="4"/>
  <c r="BB870" i="4"/>
  <c r="BB862" i="4"/>
  <c r="BB859" i="4"/>
  <c r="BB860" i="4"/>
  <c r="BB878" i="4"/>
  <c r="BB871" i="4"/>
  <c r="BB818" i="4"/>
  <c r="BB896" i="4" s="1"/>
  <c r="BB877" i="4"/>
  <c r="BB861" i="4"/>
  <c r="BB606" i="4"/>
  <c r="BB608" i="4" s="1"/>
  <c r="BB613" i="4"/>
  <c r="BB614" i="4" s="1"/>
  <c r="BB620" i="4" s="1"/>
  <c r="BB616" i="4"/>
  <c r="BB667" i="4"/>
  <c r="BB666" i="4"/>
  <c r="BB618" i="4"/>
  <c r="BB668" i="4"/>
  <c r="BC79" i="4"/>
  <c r="BB716" i="4"/>
  <c r="BB717" i="4"/>
  <c r="BB718" i="4"/>
  <c r="AR969" i="4"/>
  <c r="AS970" i="4"/>
  <c r="S46" i="67"/>
  <c r="BB281" i="4"/>
  <c r="AZ1310" i="4"/>
  <c r="AZ1345" i="4"/>
  <c r="BC265" i="4"/>
  <c r="BC163" i="4"/>
  <c r="AY758" i="4"/>
  <c r="AY757" i="4"/>
  <c r="AY756" i="4"/>
  <c r="AY759" i="4"/>
  <c r="BA864" i="4"/>
  <c r="BA863" i="4"/>
  <c r="BA865" i="4"/>
  <c r="BA866" i="4"/>
  <c r="Q943" i="4"/>
  <c r="Q945" i="4" s="1"/>
  <c r="Q946" i="4" s="1"/>
  <c r="P34" i="11"/>
  <c r="M20" i="11"/>
  <c r="M35" i="11"/>
  <c r="M33" i="11" s="1"/>
  <c r="M1387" i="4" s="1"/>
  <c r="M987" i="4"/>
  <c r="BA1241" i="4"/>
  <c r="BA1041" i="4"/>
  <c r="BA1214" i="4"/>
  <c r="BA65" i="62"/>
  <c r="BA33" i="66"/>
  <c r="BA32" i="66" s="1"/>
  <c r="BA81" i="11"/>
  <c r="BA82" i="11" s="1"/>
  <c r="AU895" i="4"/>
  <c r="AU957" i="4" s="1"/>
  <c r="AU819" i="4"/>
  <c r="AU825" i="4" s="1"/>
  <c r="AU826" i="4" s="1"/>
  <c r="AU893" i="4" s="1"/>
  <c r="M37" i="64"/>
  <c r="M51" i="64" s="1"/>
  <c r="O979" i="4"/>
  <c r="AW112" i="64"/>
  <c r="AW120" i="64" s="1"/>
  <c r="AW64" i="64" s="1"/>
  <c r="AW777" i="4"/>
  <c r="N106" i="64"/>
  <c r="N21" i="66"/>
  <c r="BB334" i="4"/>
  <c r="BB960" i="4" s="1"/>
  <c r="BB276" i="4"/>
  <c r="BB279" i="4"/>
  <c r="BB285" i="4"/>
  <c r="BC266" i="4"/>
  <c r="BC170" i="4"/>
  <c r="BC177" i="4"/>
  <c r="BC267" i="4"/>
  <c r="AY767" i="4"/>
  <c r="AY768" i="4"/>
  <c r="AY765" i="4"/>
  <c r="AY766" i="4"/>
  <c r="BA669" i="4"/>
  <c r="BA677" i="4"/>
  <c r="AX814" i="4" l="1"/>
  <c r="AX816" i="4"/>
  <c r="AX113" i="64"/>
  <c r="AX114" i="64"/>
  <c r="AX115" i="64"/>
  <c r="BB33" i="66"/>
  <c r="BB32" i="66" s="1"/>
  <c r="BB1214" i="4"/>
  <c r="AY682" i="4"/>
  <c r="AY992" i="4" s="1"/>
  <c r="BB65" i="62"/>
  <c r="BB1041" i="4"/>
  <c r="BB1241" i="4"/>
  <c r="AW118" i="64"/>
  <c r="AW121" i="64" s="1"/>
  <c r="BB719" i="4"/>
  <c r="N985" i="4"/>
  <c r="N987" i="4" s="1"/>
  <c r="BA879" i="4"/>
  <c r="P1048" i="4"/>
  <c r="P43" i="66"/>
  <c r="P23" i="66"/>
  <c r="P77" i="11"/>
  <c r="P1262" i="4"/>
  <c r="P1220" i="4"/>
  <c r="P1245" i="4"/>
  <c r="BC276" i="4"/>
  <c r="BC334" i="4"/>
  <c r="BC960" i="4" s="1"/>
  <c r="V16" i="72" s="1"/>
  <c r="BC279" i="4"/>
  <c r="BA754" i="4"/>
  <c r="BA755" i="4"/>
  <c r="AV895" i="4"/>
  <c r="AV957" i="4" s="1"/>
  <c r="AV819" i="4"/>
  <c r="AV825" i="4" s="1"/>
  <c r="AV826" i="4" s="1"/>
  <c r="AV893" i="4" s="1"/>
  <c r="BD212" i="4"/>
  <c r="BD268" i="4"/>
  <c r="AW116" i="64"/>
  <c r="N35" i="64"/>
  <c r="N36" i="64"/>
  <c r="BB619" i="4"/>
  <c r="AK929" i="4"/>
  <c r="AK930" i="4" s="1"/>
  <c r="AK931" i="4" s="1"/>
  <c r="BD258" i="4"/>
  <c r="BD271" i="4"/>
  <c r="BA750" i="4"/>
  <c r="BA622" i="4"/>
  <c r="BA623" i="4" s="1"/>
  <c r="BA628" i="4"/>
  <c r="BA685" i="4" s="1"/>
  <c r="BC281" i="4"/>
  <c r="AW823" i="4"/>
  <c r="AW811" i="4"/>
  <c r="AW817" i="4" s="1"/>
  <c r="BB1310" i="4"/>
  <c r="BB1345" i="4"/>
  <c r="AY119" i="64"/>
  <c r="AY65" i="64" s="1"/>
  <c r="BB866" i="4"/>
  <c r="BB863" i="4"/>
  <c r="BB865" i="4"/>
  <c r="BB864" i="4"/>
  <c r="BD235" i="4"/>
  <c r="BD270" i="4"/>
  <c r="AY775" i="4"/>
  <c r="AY114" i="64" s="1"/>
  <c r="AY774" i="4"/>
  <c r="AY113" i="64" s="1"/>
  <c r="AY776" i="4"/>
  <c r="AY115" i="64" s="1"/>
  <c r="AY773" i="4"/>
  <c r="AY112" i="64" s="1"/>
  <c r="AX118" i="64"/>
  <c r="AW81" i="64"/>
  <c r="AW73" i="64"/>
  <c r="AT961" i="4"/>
  <c r="AT980" i="4"/>
  <c r="BB289" i="4"/>
  <c r="AW72" i="64"/>
  <c r="AW80" i="64"/>
  <c r="AU70" i="11"/>
  <c r="AU897" i="4"/>
  <c r="AU1216" i="4"/>
  <c r="AU1042" i="4"/>
  <c r="AU1242" i="4"/>
  <c r="AU936" i="4"/>
  <c r="AU944" i="4"/>
  <c r="T39" i="13"/>
  <c r="T70" i="67"/>
  <c r="M1244" i="4"/>
  <c r="M41" i="66"/>
  <c r="M1049" i="4"/>
  <c r="M1219" i="4"/>
  <c r="M1258" i="4"/>
  <c r="M1047" i="4"/>
  <c r="M76" i="11"/>
  <c r="M66" i="62"/>
  <c r="BB749" i="4"/>
  <c r="BB609" i="4"/>
  <c r="BB627" i="4" s="1"/>
  <c r="BB810" i="4" s="1"/>
  <c r="BB815" i="4" s="1"/>
  <c r="BC285" i="4"/>
  <c r="AZ789" i="4"/>
  <c r="AZ751" i="4"/>
  <c r="AZ629" i="4"/>
  <c r="AZ630" i="4" s="1"/>
  <c r="AZ676" i="4"/>
  <c r="AZ680" i="4" s="1"/>
  <c r="AZ889" i="4" s="1"/>
  <c r="AZ890" i="4" s="1"/>
  <c r="AZ891" i="4" s="1"/>
  <c r="BC874" i="4"/>
  <c r="BC861" i="4"/>
  <c r="BC860" i="4"/>
  <c r="BC859" i="4"/>
  <c r="BC869" i="4"/>
  <c r="BC878" i="4"/>
  <c r="BC876" i="4"/>
  <c r="BC818" i="4"/>
  <c r="BC896" i="4" s="1"/>
  <c r="BC862" i="4"/>
  <c r="BC875" i="4"/>
  <c r="BC877" i="4"/>
  <c r="BC870" i="4"/>
  <c r="BC1032" i="4"/>
  <c r="BC1033" i="4" s="1"/>
  <c r="BC1034" i="4" s="1"/>
  <c r="BC908" i="4" s="1"/>
  <c r="BC871" i="4"/>
  <c r="BC606" i="4"/>
  <c r="BC608" i="4" s="1"/>
  <c r="BC613" i="4"/>
  <c r="BC614" i="4" s="1"/>
  <c r="BC620" i="4" s="1"/>
  <c r="BC616" i="4"/>
  <c r="BC618" i="4"/>
  <c r="BC666" i="4"/>
  <c r="BC667" i="4"/>
  <c r="BC668" i="4"/>
  <c r="BD79" i="4"/>
  <c r="BC716" i="4"/>
  <c r="BC717" i="4"/>
  <c r="BC718" i="4"/>
  <c r="Q935" i="4"/>
  <c r="P18" i="11"/>
  <c r="P950" i="4"/>
  <c r="AZ763" i="4"/>
  <c r="AZ762" i="4"/>
  <c r="AZ764" i="4"/>
  <c r="AX73" i="64"/>
  <c r="AX81" i="64"/>
  <c r="AU980" i="4"/>
  <c r="AU961" i="4"/>
  <c r="BC280" i="4"/>
  <c r="O982" i="4"/>
  <c r="Q981" i="4"/>
  <c r="BA1345" i="4"/>
  <c r="BA1310" i="4"/>
  <c r="AZ756" i="4"/>
  <c r="AZ758" i="4"/>
  <c r="AZ757" i="4"/>
  <c r="AZ759" i="4"/>
  <c r="BD266" i="4"/>
  <c r="BD170" i="4"/>
  <c r="AT993" i="4"/>
  <c r="AT45" i="11"/>
  <c r="AT46" i="11" s="1"/>
  <c r="O971" i="4"/>
  <c r="O105" i="64" s="1"/>
  <c r="O63" i="64" s="1"/>
  <c r="Q947" i="4"/>
  <c r="R943" i="4"/>
  <c r="Q34" i="11"/>
  <c r="BB296" i="4"/>
  <c r="BB304" i="4" s="1"/>
  <c r="BC284" i="4"/>
  <c r="BD267" i="4"/>
  <c r="BD177" i="4"/>
  <c r="AX777" i="4"/>
  <c r="BC260" i="4"/>
  <c r="BB677" i="4"/>
  <c r="BB669" i="4"/>
  <c r="BE256" i="4"/>
  <c r="BE208" i="4"/>
  <c r="BE205" i="4"/>
  <c r="BE206" i="4"/>
  <c r="BE209" i="4"/>
  <c r="BE174" i="4"/>
  <c r="BE161" i="4"/>
  <c r="BE168" i="4"/>
  <c r="BE207" i="4"/>
  <c r="BE269" i="4" s="1"/>
  <c r="BE283" i="4" s="1"/>
  <c r="BE255" i="4"/>
  <c r="BE232" i="4"/>
  <c r="BE167" i="4"/>
  <c r="BE160" i="4"/>
  <c r="BE233" i="4"/>
  <c r="BE175" i="4"/>
  <c r="BE210" i="4"/>
  <c r="BE257" i="4"/>
  <c r="BE166" i="4"/>
  <c r="BE159" i="4"/>
  <c r="BE162" i="4"/>
  <c r="BE231" i="4"/>
  <c r="BE204" i="4"/>
  <c r="BE234" i="4"/>
  <c r="BE254" i="4"/>
  <c r="BE173" i="4"/>
  <c r="BE169" i="4"/>
  <c r="BE211" i="4"/>
  <c r="BE176" i="4"/>
  <c r="BF85" i="4"/>
  <c r="BD163" i="4"/>
  <c r="BD265" i="4"/>
  <c r="BC282" i="4"/>
  <c r="AY814" i="4"/>
  <c r="AY816" i="4"/>
  <c r="AY813" i="4"/>
  <c r="AX120" i="64" l="1"/>
  <c r="AX64" i="64" s="1"/>
  <c r="AX80" i="64" s="1"/>
  <c r="AY684" i="4"/>
  <c r="AY956" i="4" s="1"/>
  <c r="AX116" i="64"/>
  <c r="AY1215" i="4"/>
  <c r="AY1050" i="4"/>
  <c r="AY928" i="4"/>
  <c r="AY69" i="11"/>
  <c r="AY1257" i="4"/>
  <c r="U38" i="13"/>
  <c r="AY44" i="11"/>
  <c r="U44" i="67"/>
  <c r="N35" i="11"/>
  <c r="N33" i="11" s="1"/>
  <c r="N1387" i="4" s="1"/>
  <c r="N20" i="11"/>
  <c r="U69" i="67"/>
  <c r="U13" i="72"/>
  <c r="AY118" i="64"/>
  <c r="BC619" i="4"/>
  <c r="BC750" i="4" s="1"/>
  <c r="AY116" i="64"/>
  <c r="BB879" i="4"/>
  <c r="N37" i="64"/>
  <c r="N51" i="64" s="1"/>
  <c r="BD260" i="4"/>
  <c r="BD1041" i="4" s="1"/>
  <c r="BD276" i="4"/>
  <c r="BD334" i="4"/>
  <c r="BD960" i="4" s="1"/>
  <c r="BD279" i="4"/>
  <c r="R945" i="4"/>
  <c r="R946" i="4" s="1"/>
  <c r="R947" i="4" s="1"/>
  <c r="O79" i="64"/>
  <c r="O71" i="64"/>
  <c r="O106" i="64"/>
  <c r="O21" i="66"/>
  <c r="H147" i="15" s="1"/>
  <c r="N1219" i="4"/>
  <c r="N1049" i="4"/>
  <c r="N1047" i="4"/>
  <c r="N41" i="66"/>
  <c r="N1258" i="4"/>
  <c r="N76" i="11"/>
  <c r="N1244" i="4"/>
  <c r="N66" i="62"/>
  <c r="BC864" i="4"/>
  <c r="BC866" i="4"/>
  <c r="BC863" i="4"/>
  <c r="BC865" i="4"/>
  <c r="AW819" i="4"/>
  <c r="AW825" i="4" s="1"/>
  <c r="AW826" i="4" s="1"/>
  <c r="AW893" i="4" s="1"/>
  <c r="AW895" i="4"/>
  <c r="AW957" i="4" s="1"/>
  <c r="BE212" i="4"/>
  <c r="BE268" i="4"/>
  <c r="AU969" i="4"/>
  <c r="AV970" i="4"/>
  <c r="Q937" i="4"/>
  <c r="Q938" i="4" s="1"/>
  <c r="Q939" i="4" s="1"/>
  <c r="Q951" i="4" s="1"/>
  <c r="BC677" i="4"/>
  <c r="BC669" i="4"/>
  <c r="AZ809" i="4"/>
  <c r="AZ682" i="4"/>
  <c r="AU45" i="11"/>
  <c r="AU46" i="11" s="1"/>
  <c r="AU993" i="4"/>
  <c r="T45" i="67"/>
  <c r="AT969" i="4"/>
  <c r="AU970" i="4"/>
  <c r="AK19" i="11"/>
  <c r="AL927" i="4"/>
  <c r="AL929" i="4" s="1"/>
  <c r="AL930" i="4" s="1"/>
  <c r="AV1042" i="4"/>
  <c r="AV70" i="11"/>
  <c r="AV1216" i="4"/>
  <c r="AV897" i="4"/>
  <c r="AV944" i="4"/>
  <c r="AV936" i="4"/>
  <c r="AV1242" i="4"/>
  <c r="BF160" i="4"/>
  <c r="BF205" i="4"/>
  <c r="BF206" i="4"/>
  <c r="BF209" i="4"/>
  <c r="BF256" i="4"/>
  <c r="BF255" i="4"/>
  <c r="BF161" i="4"/>
  <c r="BF208" i="4"/>
  <c r="BF167" i="4"/>
  <c r="BF233" i="4"/>
  <c r="BF207" i="4"/>
  <c r="BF269" i="4" s="1"/>
  <c r="BF283" i="4" s="1"/>
  <c r="BF175" i="4"/>
  <c r="BF232" i="4"/>
  <c r="BF174" i="4"/>
  <c r="BF168" i="4"/>
  <c r="BF169" i="4"/>
  <c r="BF173" i="4"/>
  <c r="BF159" i="4"/>
  <c r="BF162" i="4"/>
  <c r="BF234" i="4"/>
  <c r="BF231" i="4"/>
  <c r="BF204" i="4"/>
  <c r="BF166" i="4"/>
  <c r="BF254" i="4"/>
  <c r="BF210" i="4"/>
  <c r="BF257" i="4"/>
  <c r="BF176" i="4"/>
  <c r="BF211" i="4"/>
  <c r="BG85" i="4"/>
  <c r="BE235" i="4"/>
  <c r="BE270" i="4"/>
  <c r="AZ771" i="4"/>
  <c r="AZ772" i="4"/>
  <c r="BD284" i="4"/>
  <c r="BB628" i="4"/>
  <c r="BB685" i="4" s="1"/>
  <c r="BB750" i="4"/>
  <c r="BB622" i="4"/>
  <c r="BB623" i="4" s="1"/>
  <c r="AV980" i="4"/>
  <c r="AV961" i="4"/>
  <c r="V81" i="67"/>
  <c r="V82" i="67" s="1"/>
  <c r="BC33" i="66"/>
  <c r="BC32" i="66" s="1"/>
  <c r="BC1241" i="4"/>
  <c r="BC81" i="11"/>
  <c r="BC82" i="11" s="1"/>
  <c r="BC1214" i="4"/>
  <c r="BC65" i="62"/>
  <c r="BC1041" i="4"/>
  <c r="AX72" i="64"/>
  <c r="AZ794" i="4"/>
  <c r="AZ791" i="4"/>
  <c r="AZ792" i="4"/>
  <c r="AZ793" i="4"/>
  <c r="AZ795" i="4"/>
  <c r="BA789" i="4"/>
  <c r="BA751" i="4"/>
  <c r="BA629" i="4"/>
  <c r="BA630" i="4" s="1"/>
  <c r="BA676" i="4"/>
  <c r="BA680" i="4" s="1"/>
  <c r="BA889" i="4" s="1"/>
  <c r="BA890" i="4" s="1"/>
  <c r="BA891" i="4" s="1"/>
  <c r="BA757" i="4"/>
  <c r="BA758" i="4"/>
  <c r="BA756" i="4"/>
  <c r="BA759" i="4"/>
  <c r="BE265" i="4"/>
  <c r="BE163" i="4"/>
  <c r="BD281" i="4"/>
  <c r="BD280" i="4"/>
  <c r="AZ765" i="4"/>
  <c r="AZ767" i="4"/>
  <c r="AZ768" i="4"/>
  <c r="AZ766" i="4"/>
  <c r="BC296" i="4"/>
  <c r="BC304" i="4" s="1"/>
  <c r="BA763" i="4"/>
  <c r="BA762" i="4"/>
  <c r="BA764" i="4"/>
  <c r="BC719" i="4"/>
  <c r="BC749" i="4"/>
  <c r="BC609" i="4"/>
  <c r="BC627" i="4" s="1"/>
  <c r="BC810" i="4" s="1"/>
  <c r="BC815" i="4" s="1"/>
  <c r="AY73" i="64"/>
  <c r="AY81" i="64"/>
  <c r="BD285" i="4"/>
  <c r="BE267" i="4"/>
  <c r="BE177" i="4"/>
  <c r="AX823" i="4"/>
  <c r="AX811" i="4"/>
  <c r="AX817" i="4" s="1"/>
  <c r="BD869" i="4"/>
  <c r="BD859" i="4"/>
  <c r="BD860" i="4"/>
  <c r="BD870" i="4"/>
  <c r="BD861" i="4"/>
  <c r="BD1032" i="4"/>
  <c r="BD1033" i="4" s="1"/>
  <c r="BD1034" i="4" s="1"/>
  <c r="BD908" i="4" s="1"/>
  <c r="BD871" i="4"/>
  <c r="BD874" i="4"/>
  <c r="BD818" i="4"/>
  <c r="BD896" i="4" s="1"/>
  <c r="BD876" i="4"/>
  <c r="BD875" i="4"/>
  <c r="BD877" i="4"/>
  <c r="BD862" i="4"/>
  <c r="BD878" i="4"/>
  <c r="BD613" i="4"/>
  <c r="BD614" i="4" s="1"/>
  <c r="BD620" i="4" s="1"/>
  <c r="BD606" i="4"/>
  <c r="BD608" i="4" s="1"/>
  <c r="BD616" i="4"/>
  <c r="BD618" i="4"/>
  <c r="BD666" i="4"/>
  <c r="BD667" i="4"/>
  <c r="BD668" i="4"/>
  <c r="BE79" i="4"/>
  <c r="BD716" i="4"/>
  <c r="BD717" i="4"/>
  <c r="BD718" i="4"/>
  <c r="BB755" i="4"/>
  <c r="BB754" i="4"/>
  <c r="AY120" i="64"/>
  <c r="AY64" i="64" s="1"/>
  <c r="BD282" i="4"/>
  <c r="BC289" i="4"/>
  <c r="AY777" i="4"/>
  <c r="BE170" i="4"/>
  <c r="BE266" i="4"/>
  <c r="BE258" i="4"/>
  <c r="BE271" i="4"/>
  <c r="O972" i="4"/>
  <c r="P968" i="4" s="1"/>
  <c r="O983" i="4"/>
  <c r="AX121" i="64" l="1"/>
  <c r="BD81" i="11"/>
  <c r="BD82" i="11" s="1"/>
  <c r="BD1345" i="4" s="1"/>
  <c r="BD65" i="62"/>
  <c r="BD33" i="66"/>
  <c r="BD32" i="66" s="1"/>
  <c r="BD1214" i="4"/>
  <c r="BC628" i="4"/>
  <c r="BC685" i="4" s="1"/>
  <c r="BC622" i="4"/>
  <c r="BC623" i="4" s="1"/>
  <c r="BC789" i="4" s="1"/>
  <c r="BC795" i="4" s="1"/>
  <c r="BD619" i="4"/>
  <c r="BD622" i="4" s="1"/>
  <c r="BD623" i="4" s="1"/>
  <c r="BD676" i="4" s="1"/>
  <c r="BD1241" i="4"/>
  <c r="AY121" i="64"/>
  <c r="BC879" i="4"/>
  <c r="P979" i="4"/>
  <c r="O985" i="4"/>
  <c r="AZ796" i="4"/>
  <c r="BG208" i="4"/>
  <c r="BG233" i="4"/>
  <c r="BG206" i="4"/>
  <c r="BG175" i="4"/>
  <c r="BG174" i="4"/>
  <c r="BG161" i="4"/>
  <c r="BG168" i="4"/>
  <c r="BG205" i="4"/>
  <c r="BG232" i="4"/>
  <c r="BG167" i="4"/>
  <c r="BG160" i="4"/>
  <c r="BG209" i="4"/>
  <c r="BG256" i="4"/>
  <c r="BG207" i="4"/>
  <c r="BG269" i="4" s="1"/>
  <c r="BG283" i="4" s="1"/>
  <c r="BG255" i="4"/>
  <c r="BG204" i="4"/>
  <c r="BG159" i="4"/>
  <c r="BG257" i="4"/>
  <c r="BG162" i="4"/>
  <c r="BG234" i="4"/>
  <c r="BG231" i="4"/>
  <c r="BG166" i="4"/>
  <c r="BG169" i="4"/>
  <c r="BG173" i="4"/>
  <c r="BG210" i="4"/>
  <c r="BG254" i="4"/>
  <c r="BG176" i="4"/>
  <c r="BG211" i="4"/>
  <c r="BH85" i="4"/>
  <c r="BF235" i="4"/>
  <c r="BF270" i="4"/>
  <c r="AZ928" i="4"/>
  <c r="AZ1050" i="4"/>
  <c r="AZ992" i="4"/>
  <c r="AZ684" i="4"/>
  <c r="AZ956" i="4" s="1"/>
  <c r="AZ1257" i="4"/>
  <c r="AZ44" i="11"/>
  <c r="AZ69" i="11"/>
  <c r="AZ1215" i="4"/>
  <c r="P971" i="4"/>
  <c r="P105" i="64" s="1"/>
  <c r="P63" i="64" s="1"/>
  <c r="AY72" i="64"/>
  <c r="AY80" i="64"/>
  <c r="BA809" i="4"/>
  <c r="BA682" i="4"/>
  <c r="AZ774" i="4"/>
  <c r="AZ113" i="64" s="1"/>
  <c r="AZ776" i="4"/>
  <c r="AZ115" i="64" s="1"/>
  <c r="AZ775" i="4"/>
  <c r="AZ114" i="64" s="1"/>
  <c r="AZ773" i="4"/>
  <c r="AZ112" i="64" s="1"/>
  <c r="AZ111" i="64"/>
  <c r="AZ814" i="4"/>
  <c r="AZ816" i="4"/>
  <c r="AZ813" i="4"/>
  <c r="BD669" i="4"/>
  <c r="BD677" i="4"/>
  <c r="BA771" i="4"/>
  <c r="BA772" i="4"/>
  <c r="BC1310" i="4"/>
  <c r="BC1345" i="4"/>
  <c r="V12" i="13" s="1"/>
  <c r="AV993" i="4"/>
  <c r="AV45" i="11"/>
  <c r="AV46" i="11" s="1"/>
  <c r="BE285" i="4"/>
  <c r="BB758" i="4"/>
  <c r="BB756" i="4"/>
  <c r="BB757" i="4"/>
  <c r="BB759" i="4"/>
  <c r="BD864" i="4"/>
  <c r="BD865" i="4"/>
  <c r="BD863" i="4"/>
  <c r="BD866" i="4"/>
  <c r="BE281" i="4"/>
  <c r="BA795" i="4"/>
  <c r="BA792" i="4"/>
  <c r="BA791" i="4"/>
  <c r="BA793" i="4"/>
  <c r="BA794" i="4"/>
  <c r="BB789" i="4"/>
  <c r="BB751" i="4"/>
  <c r="BB629" i="4"/>
  <c r="BB630" i="4" s="1"/>
  <c r="BB676" i="4"/>
  <c r="BB680" i="4" s="1"/>
  <c r="BB889" i="4" s="1"/>
  <c r="BB890" i="4" s="1"/>
  <c r="BB891" i="4" s="1"/>
  <c r="BF163" i="4"/>
  <c r="BF265" i="4"/>
  <c r="BE282" i="4"/>
  <c r="S943" i="4"/>
  <c r="R34" i="11"/>
  <c r="BD296" i="4"/>
  <c r="BD304" i="4" s="1"/>
  <c r="BE260" i="4"/>
  <c r="BC764" i="4"/>
  <c r="BC763" i="4"/>
  <c r="BC762" i="4"/>
  <c r="BB763" i="4"/>
  <c r="BB762" i="4"/>
  <c r="BB764" i="4"/>
  <c r="BF177" i="4"/>
  <c r="BF267" i="4"/>
  <c r="T46" i="67"/>
  <c r="Q43" i="66"/>
  <c r="Q1262" i="4"/>
  <c r="Q1048" i="4"/>
  <c r="Q77" i="11"/>
  <c r="Q1245" i="4"/>
  <c r="Q1220" i="4"/>
  <c r="Q23" i="66"/>
  <c r="BE280" i="4"/>
  <c r="BD609" i="4"/>
  <c r="BD627" i="4" s="1"/>
  <c r="BD810" i="4" s="1"/>
  <c r="BD815" i="4" s="1"/>
  <c r="BD749" i="4"/>
  <c r="BA768" i="4"/>
  <c r="BA765" i="4"/>
  <c r="BA767" i="4"/>
  <c r="BA766" i="4"/>
  <c r="BE334" i="4"/>
  <c r="BE960" i="4" s="1"/>
  <c r="BE276" i="4"/>
  <c r="BE279" i="4"/>
  <c r="BF258" i="4"/>
  <c r="BF271" i="4"/>
  <c r="R935" i="4"/>
  <c r="Q18" i="11"/>
  <c r="Q950" i="4"/>
  <c r="AW980" i="4"/>
  <c r="AW961" i="4"/>
  <c r="BD719" i="4"/>
  <c r="AW970" i="4"/>
  <c r="AV969" i="4"/>
  <c r="BE284" i="4"/>
  <c r="BF266" i="4"/>
  <c r="BF170" i="4"/>
  <c r="AW70" i="11"/>
  <c r="AW936" i="4"/>
  <c r="AW944" i="4"/>
  <c r="AW897" i="4"/>
  <c r="AW1042" i="4"/>
  <c r="AW1216" i="4"/>
  <c r="AW1242" i="4"/>
  <c r="BD289" i="4"/>
  <c r="AY823" i="4"/>
  <c r="AY811" i="4"/>
  <c r="AY817" i="4" s="1"/>
  <c r="BE860" i="4"/>
  <c r="BE870" i="4"/>
  <c r="BE861" i="4"/>
  <c r="BE875" i="4"/>
  <c r="BE877" i="4"/>
  <c r="BE859" i="4"/>
  <c r="BE862" i="4"/>
  <c r="BE869" i="4"/>
  <c r="BE871" i="4"/>
  <c r="BE876" i="4"/>
  <c r="BE818" i="4"/>
  <c r="BE896" i="4" s="1"/>
  <c r="BE1032" i="4"/>
  <c r="BE1033" i="4" s="1"/>
  <c r="BE1034" i="4" s="1"/>
  <c r="BE908" i="4" s="1"/>
  <c r="BE878" i="4"/>
  <c r="BE874" i="4"/>
  <c r="BE613" i="4"/>
  <c r="BE614" i="4" s="1"/>
  <c r="BE620" i="4" s="1"/>
  <c r="BE606" i="4"/>
  <c r="BE608" i="4" s="1"/>
  <c r="BE616" i="4"/>
  <c r="BE618" i="4"/>
  <c r="BE666" i="4"/>
  <c r="BE667" i="4"/>
  <c r="BE668" i="4"/>
  <c r="BF79" i="4"/>
  <c r="BE716" i="4"/>
  <c r="BE717" i="4"/>
  <c r="BE718" i="4"/>
  <c r="AX895" i="4"/>
  <c r="AX957" i="4" s="1"/>
  <c r="AX819" i="4"/>
  <c r="AX825" i="4" s="1"/>
  <c r="AX826" i="4" s="1"/>
  <c r="AX893" i="4" s="1"/>
  <c r="BC754" i="4"/>
  <c r="BC755" i="4"/>
  <c r="BF212" i="4"/>
  <c r="BF268" i="4"/>
  <c r="AL931" i="4"/>
  <c r="AL19" i="11"/>
  <c r="AM927" i="4"/>
  <c r="AM929" i="4" s="1"/>
  <c r="AM930" i="4" s="1"/>
  <c r="O36" i="64"/>
  <c r="O35" i="64"/>
  <c r="BC676" i="4" l="1"/>
  <c r="BC680" i="4" s="1"/>
  <c r="BC889" i="4" s="1"/>
  <c r="BC890" i="4" s="1"/>
  <c r="BC891" i="4" s="1"/>
  <c r="BD1310" i="4"/>
  <c r="BD628" i="4"/>
  <c r="BD685" i="4" s="1"/>
  <c r="BD750" i="4"/>
  <c r="BD763" i="4" s="1"/>
  <c r="BC793" i="4"/>
  <c r="BC792" i="4"/>
  <c r="BC751" i="4"/>
  <c r="BC772" i="4" s="1"/>
  <c r="BC111" i="64" s="1"/>
  <c r="BC791" i="4"/>
  <c r="BC794" i="4"/>
  <c r="BC629" i="4"/>
  <c r="BC630" i="4" s="1"/>
  <c r="BD680" i="4"/>
  <c r="BD889" i="4" s="1"/>
  <c r="BD890" i="4" s="1"/>
  <c r="BD891" i="4" s="1"/>
  <c r="O37" i="64"/>
  <c r="O51" i="64" s="1"/>
  <c r="BD879" i="4"/>
  <c r="AY819" i="4"/>
  <c r="AY825" i="4" s="1"/>
  <c r="AY826" i="4" s="1"/>
  <c r="AY893" i="4" s="1"/>
  <c r="U39" i="13" s="1"/>
  <c r="AY895" i="4"/>
  <c r="AY957" i="4" s="1"/>
  <c r="BC756" i="4"/>
  <c r="BC757" i="4"/>
  <c r="BC759" i="4"/>
  <c r="BC758" i="4"/>
  <c r="BB793" i="4"/>
  <c r="BB794" i="4"/>
  <c r="BB795" i="4"/>
  <c r="BB792" i="4"/>
  <c r="BB791" i="4"/>
  <c r="BG177" i="4"/>
  <c r="BG267" i="4"/>
  <c r="BG212" i="4"/>
  <c r="BG268" i="4"/>
  <c r="O35" i="11"/>
  <c r="O20" i="11"/>
  <c r="L20" i="67" s="1"/>
  <c r="O987" i="4"/>
  <c r="AW969" i="4"/>
  <c r="AX970" i="4"/>
  <c r="BD754" i="4"/>
  <c r="BD755" i="4"/>
  <c r="AZ119" i="64"/>
  <c r="AZ65" i="64" s="1"/>
  <c r="AZ116" i="64"/>
  <c r="BF284" i="4"/>
  <c r="P982" i="4"/>
  <c r="R981" i="4"/>
  <c r="AX1042" i="4"/>
  <c r="AX936" i="4"/>
  <c r="AX1216" i="4"/>
  <c r="AX897" i="4"/>
  <c r="AX70" i="11"/>
  <c r="AX1242" i="4"/>
  <c r="AX944" i="4"/>
  <c r="BE669" i="4"/>
  <c r="BE677" i="4"/>
  <c r="BE296" i="4"/>
  <c r="BE304" i="4" s="1"/>
  <c r="BD789" i="4"/>
  <c r="BD751" i="4"/>
  <c r="BD629" i="4"/>
  <c r="AZ120" i="64"/>
  <c r="AZ64" i="64" s="1"/>
  <c r="P972" i="4"/>
  <c r="Q968" i="4" s="1"/>
  <c r="BG170" i="4"/>
  <c r="BG266" i="4"/>
  <c r="AX961" i="4"/>
  <c r="AX980" i="4"/>
  <c r="BE289" i="4"/>
  <c r="BF334" i="4"/>
  <c r="BF960" i="4" s="1"/>
  <c r="BF276" i="4"/>
  <c r="BF279" i="4"/>
  <c r="P79" i="64"/>
  <c r="P71" i="64"/>
  <c r="BH232" i="4"/>
  <c r="BH166" i="4"/>
  <c r="BH208" i="4"/>
  <c r="BH209" i="4"/>
  <c r="BH207" i="4"/>
  <c r="BH269" i="4" s="1"/>
  <c r="BH283" i="4" s="1"/>
  <c r="BH255" i="4"/>
  <c r="BH174" i="4"/>
  <c r="BH175" i="4"/>
  <c r="BH206" i="4"/>
  <c r="BH256" i="4"/>
  <c r="BH205" i="4"/>
  <c r="BH167" i="4"/>
  <c r="BH160" i="4"/>
  <c r="BH161" i="4"/>
  <c r="BH233" i="4"/>
  <c r="BH231" i="4"/>
  <c r="BH234" i="4"/>
  <c r="BH162" i="4"/>
  <c r="BH168" i="4"/>
  <c r="BH204" i="4"/>
  <c r="BH257" i="4"/>
  <c r="BH159" i="4"/>
  <c r="BH173" i="4"/>
  <c r="BH210" i="4"/>
  <c r="BH254" i="4"/>
  <c r="BH176" i="4"/>
  <c r="BH211" i="4"/>
  <c r="BH169" i="4"/>
  <c r="BI85" i="4"/>
  <c r="BG235" i="4"/>
  <c r="BG270" i="4"/>
  <c r="AM931" i="4"/>
  <c r="AN927" i="4"/>
  <c r="AM19" i="11"/>
  <c r="R19" i="67"/>
  <c r="BF282" i="4"/>
  <c r="BE619" i="4"/>
  <c r="BF280" i="4"/>
  <c r="BC766" i="4"/>
  <c r="BC767" i="4"/>
  <c r="BC765" i="4"/>
  <c r="BC768" i="4"/>
  <c r="S945" i="4"/>
  <c r="S946" i="4" s="1"/>
  <c r="S947" i="4" s="1"/>
  <c r="BF260" i="4"/>
  <c r="BA796" i="4"/>
  <c r="BA824" i="4" s="1"/>
  <c r="R937" i="4"/>
  <c r="R938" i="4" s="1"/>
  <c r="R939" i="4" s="1"/>
  <c r="R951" i="4" s="1"/>
  <c r="BF281" i="4"/>
  <c r="BE65" i="62"/>
  <c r="BE81" i="11"/>
  <c r="BE82" i="11" s="1"/>
  <c r="BE1241" i="4"/>
  <c r="BE1041" i="4"/>
  <c r="BE33" i="66"/>
  <c r="BE32" i="66" s="1"/>
  <c r="BE1214" i="4"/>
  <c r="AW45" i="11"/>
  <c r="AW46" i="11" s="1"/>
  <c r="AW993" i="4"/>
  <c r="BE719" i="4"/>
  <c r="BF285" i="4"/>
  <c r="BB682" i="4"/>
  <c r="BB809" i="4"/>
  <c r="BA111" i="64"/>
  <c r="BA774" i="4"/>
  <c r="BA113" i="64" s="1"/>
  <c r="BA773" i="4"/>
  <c r="BA112" i="64" s="1"/>
  <c r="BA776" i="4"/>
  <c r="BA115" i="64" s="1"/>
  <c r="BA775" i="4"/>
  <c r="BA114" i="64" s="1"/>
  <c r="BA684" i="4"/>
  <c r="BA956" i="4" s="1"/>
  <c r="BA992" i="4"/>
  <c r="BA44" i="11"/>
  <c r="BA1215" i="4"/>
  <c r="BA69" i="11"/>
  <c r="BA1050" i="4"/>
  <c r="BA1257" i="4"/>
  <c r="BA928" i="4"/>
  <c r="BG258" i="4"/>
  <c r="BG271" i="4"/>
  <c r="BE609" i="4"/>
  <c r="BE627" i="4" s="1"/>
  <c r="BE810" i="4" s="1"/>
  <c r="BE815" i="4" s="1"/>
  <c r="BE749" i="4"/>
  <c r="BF859" i="4"/>
  <c r="BF878" i="4"/>
  <c r="BF871" i="4"/>
  <c r="BF875" i="4"/>
  <c r="BF876" i="4"/>
  <c r="BF1032" i="4"/>
  <c r="BF1033" i="4" s="1"/>
  <c r="BF1034" i="4" s="1"/>
  <c r="BF908" i="4" s="1"/>
  <c r="BF877" i="4"/>
  <c r="BF870" i="4"/>
  <c r="BF869" i="4"/>
  <c r="BF860" i="4"/>
  <c r="BF862" i="4"/>
  <c r="BF874" i="4"/>
  <c r="BF818" i="4"/>
  <c r="BF896" i="4" s="1"/>
  <c r="BF861" i="4"/>
  <c r="BF613" i="4"/>
  <c r="BF614" i="4" s="1"/>
  <c r="BF620" i="4" s="1"/>
  <c r="BF606" i="4"/>
  <c r="BF608" i="4" s="1"/>
  <c r="BF616" i="4"/>
  <c r="BF667" i="4"/>
  <c r="BF666" i="4"/>
  <c r="BF618" i="4"/>
  <c r="BF668" i="4"/>
  <c r="BG79" i="4"/>
  <c r="BF717" i="4"/>
  <c r="BF716" i="4"/>
  <c r="BF718" i="4"/>
  <c r="BE866" i="4"/>
  <c r="BE864" i="4"/>
  <c r="BE863" i="4"/>
  <c r="BE865" i="4"/>
  <c r="BB768" i="4"/>
  <c r="BB766" i="4"/>
  <c r="BB767" i="4"/>
  <c r="BB765" i="4"/>
  <c r="BB772" i="4"/>
  <c r="BB111" i="64" s="1"/>
  <c r="BB771" i="4"/>
  <c r="BA814" i="4"/>
  <c r="BA813" i="4"/>
  <c r="BA816" i="4"/>
  <c r="BG163" i="4"/>
  <c r="BG265" i="4"/>
  <c r="AZ824" i="4"/>
  <c r="AZ777" i="4"/>
  <c r="BD764" i="4" l="1"/>
  <c r="BD766" i="4" s="1"/>
  <c r="BD630" i="4"/>
  <c r="BD682" i="4" s="1"/>
  <c r="BD762" i="4"/>
  <c r="BC796" i="4"/>
  <c r="BC824" i="4" s="1"/>
  <c r="BC771" i="4"/>
  <c r="BC682" i="4"/>
  <c r="BC69" i="11" s="1"/>
  <c r="BC809" i="4"/>
  <c r="BC814" i="4" s="1"/>
  <c r="U70" i="67"/>
  <c r="BE879" i="4"/>
  <c r="BC119" i="64"/>
  <c r="BC65" i="64" s="1"/>
  <c r="BB119" i="64"/>
  <c r="BB65" i="64" s="1"/>
  <c r="R1245" i="4"/>
  <c r="R43" i="66"/>
  <c r="R77" i="11"/>
  <c r="R23" i="66"/>
  <c r="R1220" i="4"/>
  <c r="R1048" i="4"/>
  <c r="R1262" i="4"/>
  <c r="BH170" i="4"/>
  <c r="BH266" i="4"/>
  <c r="BF289" i="4"/>
  <c r="P21" i="66"/>
  <c r="P106" i="64"/>
  <c r="BD759" i="4"/>
  <c r="BD756" i="4"/>
  <c r="BD757" i="4"/>
  <c r="BD758" i="4"/>
  <c r="BB796" i="4"/>
  <c r="BB824" i="4" s="1"/>
  <c r="BG276" i="4"/>
  <c r="BG334" i="4"/>
  <c r="BG960" i="4" s="1"/>
  <c r="W16" i="72" s="1"/>
  <c r="BG279" i="4"/>
  <c r="BF677" i="4"/>
  <c r="BF669" i="4"/>
  <c r="AN929" i="4"/>
  <c r="AN930" i="4" s="1"/>
  <c r="AN931" i="4" s="1"/>
  <c r="BH258" i="4"/>
  <c r="BH271" i="4"/>
  <c r="BG280" i="4"/>
  <c r="AX45" i="11"/>
  <c r="AX46" i="11" s="1"/>
  <c r="AX993" i="4"/>
  <c r="AZ823" i="4"/>
  <c r="AZ811" i="4"/>
  <c r="AZ817" i="4" s="1"/>
  <c r="BG260" i="4"/>
  <c r="BH235" i="4"/>
  <c r="BH270" i="4"/>
  <c r="BF619" i="4"/>
  <c r="BF864" i="4"/>
  <c r="BF863" i="4"/>
  <c r="BF866" i="4"/>
  <c r="BF865" i="4"/>
  <c r="BA120" i="64"/>
  <c r="BA64" i="64" s="1"/>
  <c r="BG284" i="4"/>
  <c r="BH267" i="4"/>
  <c r="BH177" i="4"/>
  <c r="Q971" i="4"/>
  <c r="Q105" i="64" s="1"/>
  <c r="Q63" i="64" s="1"/>
  <c r="BG282" i="4"/>
  <c r="BF719" i="4"/>
  <c r="BF609" i="4"/>
  <c r="BF627" i="4" s="1"/>
  <c r="BF810" i="4" s="1"/>
  <c r="BF815" i="4" s="1"/>
  <c r="BF749" i="4"/>
  <c r="BH163" i="4"/>
  <c r="BH265" i="4"/>
  <c r="AZ72" i="64"/>
  <c r="AZ80" i="64"/>
  <c r="AZ118" i="64"/>
  <c r="AZ121" i="64" s="1"/>
  <c r="O1244" i="4"/>
  <c r="O76" i="11"/>
  <c r="O1258" i="4"/>
  <c r="O1047" i="4"/>
  <c r="O1049" i="4"/>
  <c r="O1219" i="4"/>
  <c r="O41" i="66"/>
  <c r="H168" i="15" s="1"/>
  <c r="O66" i="62"/>
  <c r="L76" i="67"/>
  <c r="BA777" i="4"/>
  <c r="BB774" i="4"/>
  <c r="BB113" i="64" s="1"/>
  <c r="BB773" i="4"/>
  <c r="BB112" i="64" s="1"/>
  <c r="BB776" i="4"/>
  <c r="BB115" i="64" s="1"/>
  <c r="BB775" i="4"/>
  <c r="BB114" i="64" s="1"/>
  <c r="BE755" i="4"/>
  <c r="BE754" i="4"/>
  <c r="BG285" i="4"/>
  <c r="BA119" i="64"/>
  <c r="BA65" i="64" s="1"/>
  <c r="BA116" i="64"/>
  <c r="R18" i="11"/>
  <c r="S935" i="4"/>
  <c r="S937" i="4" s="1"/>
  <c r="S938" i="4" s="1"/>
  <c r="R950" i="4"/>
  <c r="BF65" i="62"/>
  <c r="BF1041" i="4"/>
  <c r="BF1214" i="4"/>
  <c r="BF81" i="11"/>
  <c r="BF82" i="11" s="1"/>
  <c r="BF1241" i="4"/>
  <c r="BF33" i="66"/>
  <c r="BF32" i="66" s="1"/>
  <c r="BI175" i="4"/>
  <c r="BI256" i="4"/>
  <c r="BI207" i="4"/>
  <c r="BI269" i="4" s="1"/>
  <c r="BI283" i="4" s="1"/>
  <c r="BI161" i="4"/>
  <c r="BI206" i="4"/>
  <c r="BI160" i="4"/>
  <c r="BI174" i="4"/>
  <c r="BI205" i="4"/>
  <c r="BI167" i="4"/>
  <c r="BI168" i="4"/>
  <c r="BI208" i="4"/>
  <c r="BI255" i="4"/>
  <c r="BI233" i="4"/>
  <c r="BI232" i="4"/>
  <c r="BI209" i="4"/>
  <c r="BI234" i="4"/>
  <c r="BI162" i="4"/>
  <c r="BI204" i="4"/>
  <c r="BI159" i="4"/>
  <c r="BI166" i="4"/>
  <c r="BI210" i="4"/>
  <c r="BI173" i="4"/>
  <c r="BI231" i="4"/>
  <c r="BI254" i="4"/>
  <c r="BI169" i="4"/>
  <c r="BI257" i="4"/>
  <c r="BI176" i="4"/>
  <c r="BI211" i="4"/>
  <c r="BJ85" i="4"/>
  <c r="BC773" i="4"/>
  <c r="BC112" i="64" s="1"/>
  <c r="BC774" i="4"/>
  <c r="BC113" i="64" s="1"/>
  <c r="BC776" i="4"/>
  <c r="BC115" i="64" s="1"/>
  <c r="BC775" i="4"/>
  <c r="BC114" i="64" s="1"/>
  <c r="BG281" i="4"/>
  <c r="BG861" i="4"/>
  <c r="BG869" i="4"/>
  <c r="BG871" i="4"/>
  <c r="BG875" i="4"/>
  <c r="BG859" i="4"/>
  <c r="BG876" i="4"/>
  <c r="BG878" i="4"/>
  <c r="BG874" i="4"/>
  <c r="BG1032" i="4"/>
  <c r="BG1033" i="4" s="1"/>
  <c r="BG1034" i="4" s="1"/>
  <c r="BG908" i="4" s="1"/>
  <c r="BG860" i="4"/>
  <c r="BG877" i="4"/>
  <c r="BG862" i="4"/>
  <c r="BG870" i="4"/>
  <c r="BG818" i="4"/>
  <c r="BG896" i="4" s="1"/>
  <c r="BG613" i="4"/>
  <c r="BG614" i="4" s="1"/>
  <c r="BG620" i="4" s="1"/>
  <c r="BG616" i="4"/>
  <c r="BG606" i="4"/>
  <c r="BG608" i="4" s="1"/>
  <c r="BG666" i="4"/>
  <c r="BG667" i="4"/>
  <c r="BG668" i="4"/>
  <c r="BG618" i="4"/>
  <c r="BH79" i="4"/>
  <c r="BG717" i="4"/>
  <c r="BG716" i="4"/>
  <c r="BG718" i="4"/>
  <c r="BB813" i="4"/>
  <c r="BB816" i="4"/>
  <c r="BB814" i="4"/>
  <c r="BH212" i="4"/>
  <c r="BH268" i="4"/>
  <c r="BD772" i="4"/>
  <c r="BD771" i="4"/>
  <c r="AZ73" i="64"/>
  <c r="AZ81" i="64"/>
  <c r="AY961" i="4"/>
  <c r="AY980" i="4"/>
  <c r="BF296" i="4"/>
  <c r="BF304" i="4" s="1"/>
  <c r="BB1050" i="4"/>
  <c r="BB69" i="11"/>
  <c r="BB1215" i="4"/>
  <c r="BB44" i="11"/>
  <c r="BB1257" i="4"/>
  <c r="BB684" i="4"/>
  <c r="BB956" i="4" s="1"/>
  <c r="BB992" i="4"/>
  <c r="BB928" i="4"/>
  <c r="BE1310" i="4"/>
  <c r="BE1345" i="4"/>
  <c r="S34" i="11"/>
  <c r="M34" i="67"/>
  <c r="T943" i="4"/>
  <c r="T945" i="4" s="1"/>
  <c r="T946" i="4" s="1"/>
  <c r="BE628" i="4"/>
  <c r="BE685" i="4" s="1"/>
  <c r="BE750" i="4"/>
  <c r="BE622" i="4"/>
  <c r="BE623" i="4" s="1"/>
  <c r="AX969" i="4"/>
  <c r="AY970" i="4"/>
  <c r="BD792" i="4"/>
  <c r="BD794" i="4"/>
  <c r="BD793" i="4"/>
  <c r="BD791" i="4"/>
  <c r="BD795" i="4"/>
  <c r="P983" i="4"/>
  <c r="L35" i="67"/>
  <c r="L33" i="67" s="1"/>
  <c r="O33" i="11"/>
  <c r="O1387" i="4" s="1"/>
  <c r="AY897" i="4"/>
  <c r="AY70" i="11"/>
  <c r="AY944" i="4"/>
  <c r="AY1216" i="4"/>
  <c r="AY1242" i="4"/>
  <c r="AY936" i="4"/>
  <c r="AY1042" i="4"/>
  <c r="BD765" i="4" l="1"/>
  <c r="BD767" i="4"/>
  <c r="BD768" i="4"/>
  <c r="BD809" i="4"/>
  <c r="BD816" i="4" s="1"/>
  <c r="V69" i="67"/>
  <c r="BC44" i="11"/>
  <c r="BC928" i="4"/>
  <c r="V38" i="13"/>
  <c r="BC1215" i="4"/>
  <c r="BC1257" i="4"/>
  <c r="V44" i="67"/>
  <c r="V13" i="72"/>
  <c r="BC1050" i="4"/>
  <c r="BC992" i="4"/>
  <c r="BC684" i="4"/>
  <c r="BC956" i="4" s="1"/>
  <c r="BC813" i="4"/>
  <c r="BC816" i="4"/>
  <c r="BC118" i="64"/>
  <c r="BB118" i="64"/>
  <c r="BC116" i="64"/>
  <c r="BG719" i="4"/>
  <c r="BB120" i="64"/>
  <c r="BB64" i="64" s="1"/>
  <c r="BB72" i="64" s="1"/>
  <c r="Q972" i="4"/>
  <c r="R968" i="4" s="1"/>
  <c r="R971" i="4" s="1"/>
  <c r="R105" i="64" s="1"/>
  <c r="R63" i="64" s="1"/>
  <c r="BF879" i="4"/>
  <c r="Q979" i="4"/>
  <c r="P985" i="4"/>
  <c r="BD796" i="4"/>
  <c r="BD824" i="4" s="1"/>
  <c r="BI267" i="4"/>
  <c r="BI177" i="4"/>
  <c r="BF1345" i="4"/>
  <c r="BF1310" i="4"/>
  <c r="BA118" i="64"/>
  <c r="BA121" i="64" s="1"/>
  <c r="BC777" i="4"/>
  <c r="T947" i="4"/>
  <c r="T34" i="11"/>
  <c r="U943" i="4"/>
  <c r="BH878" i="4"/>
  <c r="BH861" i="4"/>
  <c r="BH860" i="4"/>
  <c r="BH871" i="4"/>
  <c r="BH869" i="4"/>
  <c r="BH874" i="4"/>
  <c r="BH877" i="4"/>
  <c r="BH1032" i="4"/>
  <c r="BH1033" i="4" s="1"/>
  <c r="BH1034" i="4" s="1"/>
  <c r="BH908" i="4" s="1"/>
  <c r="BH859" i="4"/>
  <c r="BH870" i="4"/>
  <c r="BH818" i="4"/>
  <c r="BH896" i="4" s="1"/>
  <c r="BH862" i="4"/>
  <c r="BH875" i="4"/>
  <c r="BH876" i="4"/>
  <c r="BH606" i="4"/>
  <c r="BH608" i="4" s="1"/>
  <c r="BH616" i="4"/>
  <c r="BH613" i="4"/>
  <c r="BH614" i="4" s="1"/>
  <c r="BH620" i="4" s="1"/>
  <c r="BH618" i="4"/>
  <c r="BH666" i="4"/>
  <c r="BH667" i="4"/>
  <c r="BH668" i="4"/>
  <c r="BI79" i="4"/>
  <c r="BH716" i="4"/>
  <c r="BH717" i="4"/>
  <c r="BH718" i="4"/>
  <c r="BG296" i="4"/>
  <c r="BG304" i="4" s="1"/>
  <c r="BJ207" i="4"/>
  <c r="BJ269" i="4" s="1"/>
  <c r="BJ283" i="4" s="1"/>
  <c r="BJ233" i="4"/>
  <c r="BJ255" i="4"/>
  <c r="BJ256" i="4"/>
  <c r="BJ232" i="4"/>
  <c r="BJ209" i="4"/>
  <c r="BJ167" i="4"/>
  <c r="BJ208" i="4"/>
  <c r="BJ174" i="4"/>
  <c r="BJ175" i="4"/>
  <c r="BJ206" i="4"/>
  <c r="BJ160" i="4"/>
  <c r="BJ161" i="4"/>
  <c r="BJ168" i="4"/>
  <c r="BJ205" i="4"/>
  <c r="BJ162" i="4"/>
  <c r="BJ210" i="4"/>
  <c r="BJ254" i="4"/>
  <c r="BJ159" i="4"/>
  <c r="BJ257" i="4"/>
  <c r="BJ166" i="4"/>
  <c r="BJ234" i="4"/>
  <c r="BJ173" i="4"/>
  <c r="BJ204" i="4"/>
  <c r="BJ169" i="4"/>
  <c r="BJ231" i="4"/>
  <c r="BJ211" i="4"/>
  <c r="BJ176" i="4"/>
  <c r="BK85" i="4"/>
  <c r="BG866" i="4"/>
  <c r="BG864" i="4"/>
  <c r="BG865" i="4"/>
  <c r="BG863" i="4"/>
  <c r="BI266" i="4"/>
  <c r="BI170" i="4"/>
  <c r="BA81" i="64"/>
  <c r="BA73" i="64"/>
  <c r="BG289" i="4"/>
  <c r="BB116" i="64"/>
  <c r="AY993" i="4"/>
  <c r="AY45" i="11"/>
  <c r="AY46" i="11" s="1"/>
  <c r="BD44" i="11"/>
  <c r="BD928" i="4"/>
  <c r="BD684" i="4"/>
  <c r="BD956" i="4" s="1"/>
  <c r="BD1215" i="4"/>
  <c r="BD69" i="11"/>
  <c r="BD992" i="4"/>
  <c r="BD1257" i="4"/>
  <c r="BD1050" i="4"/>
  <c r="BI163" i="4"/>
  <c r="BI265" i="4"/>
  <c r="BF754" i="4"/>
  <c r="BF755" i="4"/>
  <c r="Q79" i="64"/>
  <c r="Q71" i="64"/>
  <c r="BF622" i="4"/>
  <c r="BF623" i="4" s="1"/>
  <c r="BF750" i="4"/>
  <c r="BF628" i="4"/>
  <c r="BF685" i="4" s="1"/>
  <c r="P36" i="64"/>
  <c r="P35" i="64"/>
  <c r="BB73" i="64"/>
  <c r="BB81" i="64"/>
  <c r="AZ970" i="4"/>
  <c r="AY969" i="4"/>
  <c r="BD775" i="4"/>
  <c r="BD773" i="4"/>
  <c r="BD776" i="4"/>
  <c r="BD774" i="4"/>
  <c r="BD113" i="64" s="1"/>
  <c r="BI268" i="4"/>
  <c r="BI212" i="4"/>
  <c r="BA823" i="4"/>
  <c r="BA811" i="4"/>
  <c r="BA817" i="4" s="1"/>
  <c r="W81" i="67"/>
  <c r="W82" i="67" s="1"/>
  <c r="BG81" i="11"/>
  <c r="BG82" i="11" s="1"/>
  <c r="BG1241" i="4"/>
  <c r="BG1214" i="4"/>
  <c r="BG33" i="66"/>
  <c r="BG32" i="66" s="1"/>
  <c r="BG65" i="62"/>
  <c r="BG1041" i="4"/>
  <c r="BH285" i="4"/>
  <c r="BG677" i="4"/>
  <c r="BG669" i="4"/>
  <c r="S939" i="4"/>
  <c r="S951" i="4" s="1"/>
  <c r="M18" i="67"/>
  <c r="S18" i="11"/>
  <c r="T935" i="4"/>
  <c r="S950" i="4"/>
  <c r="BH281" i="4"/>
  <c r="BA80" i="64"/>
  <c r="BA72" i="64"/>
  <c r="AZ895" i="4"/>
  <c r="AZ957" i="4" s="1"/>
  <c r="AZ819" i="4"/>
  <c r="AZ825" i="4" s="1"/>
  <c r="AZ826" i="4" s="1"/>
  <c r="AZ893" i="4" s="1"/>
  <c r="BD111" i="64"/>
  <c r="BE676" i="4"/>
  <c r="BE680" i="4" s="1"/>
  <c r="BE889" i="4" s="1"/>
  <c r="BE890" i="4" s="1"/>
  <c r="BE891" i="4" s="1"/>
  <c r="BE629" i="4"/>
  <c r="BE630" i="4" s="1"/>
  <c r="BE751" i="4"/>
  <c r="BE789" i="4"/>
  <c r="BG609" i="4"/>
  <c r="BG627" i="4" s="1"/>
  <c r="BG810" i="4" s="1"/>
  <c r="BG815" i="4" s="1"/>
  <c r="BG749" i="4"/>
  <c r="BI271" i="4"/>
  <c r="BI258" i="4"/>
  <c r="BH334" i="4"/>
  <c r="BH960" i="4" s="1"/>
  <c r="BH276" i="4"/>
  <c r="BH279" i="4"/>
  <c r="BB777" i="4"/>
  <c r="BE764" i="4"/>
  <c r="BE763" i="4"/>
  <c r="BE762" i="4"/>
  <c r="BH282" i="4"/>
  <c r="BG619" i="4"/>
  <c r="BC120" i="64"/>
  <c r="BC64" i="64" s="1"/>
  <c r="BI235" i="4"/>
  <c r="BI270" i="4"/>
  <c r="BE759" i="4"/>
  <c r="BE758" i="4"/>
  <c r="BE756" i="4"/>
  <c r="BE757" i="4"/>
  <c r="BH260" i="4"/>
  <c r="BH284" i="4"/>
  <c r="AN19" i="11"/>
  <c r="AO927" i="4"/>
  <c r="AO929" i="4" s="1"/>
  <c r="AO930" i="4" s="1"/>
  <c r="BH280" i="4"/>
  <c r="BC73" i="64"/>
  <c r="BC81" i="64"/>
  <c r="BD115" i="64" l="1"/>
  <c r="BD114" i="64"/>
  <c r="BD112" i="64"/>
  <c r="BD813" i="4"/>
  <c r="BD814" i="4"/>
  <c r="BB80" i="64"/>
  <c r="BB121" i="64"/>
  <c r="BH719" i="4"/>
  <c r="BG879" i="4"/>
  <c r="BC121" i="64"/>
  <c r="BE771" i="4"/>
  <c r="BE772" i="4"/>
  <c r="BE111" i="64" s="1"/>
  <c r="BJ212" i="4"/>
  <c r="BJ268" i="4"/>
  <c r="BH677" i="4"/>
  <c r="BH669" i="4"/>
  <c r="BH296" i="4"/>
  <c r="BH304" i="4" s="1"/>
  <c r="BC823" i="4"/>
  <c r="BC811" i="4"/>
  <c r="BC817" i="4" s="1"/>
  <c r="BE768" i="4"/>
  <c r="BE766" i="4"/>
  <c r="BE767" i="4"/>
  <c r="BE765" i="4"/>
  <c r="BE809" i="4"/>
  <c r="BE682" i="4"/>
  <c r="BJ177" i="4"/>
  <c r="BJ267" i="4"/>
  <c r="P20" i="11"/>
  <c r="P35" i="11"/>
  <c r="P33" i="11" s="1"/>
  <c r="P1387" i="4" s="1"/>
  <c r="P987" i="4"/>
  <c r="BB823" i="4"/>
  <c r="BB811" i="4"/>
  <c r="BB817" i="4" s="1"/>
  <c r="T937" i="4"/>
  <c r="T938" i="4" s="1"/>
  <c r="T939" i="4" s="1"/>
  <c r="T951" i="4" s="1"/>
  <c r="BA895" i="4"/>
  <c r="BA957" i="4" s="1"/>
  <c r="BA819" i="4"/>
  <c r="BA825" i="4" s="1"/>
  <c r="BA826" i="4" s="1"/>
  <c r="BA893" i="4" s="1"/>
  <c r="BF759" i="4"/>
  <c r="BF756" i="4"/>
  <c r="BF758" i="4"/>
  <c r="BF757" i="4"/>
  <c r="BH864" i="4"/>
  <c r="BH866" i="4"/>
  <c r="BH863" i="4"/>
  <c r="BH865" i="4"/>
  <c r="Q982" i="4"/>
  <c r="Q983" i="4" s="1"/>
  <c r="S981" i="4"/>
  <c r="BI285" i="4"/>
  <c r="BG1310" i="4"/>
  <c r="BG1345" i="4"/>
  <c r="W12" i="13" s="1"/>
  <c r="R972" i="4"/>
  <c r="S968" i="4" s="1"/>
  <c r="BK256" i="4"/>
  <c r="BK166" i="4"/>
  <c r="BK208" i="4"/>
  <c r="BK255" i="4"/>
  <c r="BK233" i="4"/>
  <c r="BK160" i="4"/>
  <c r="BK205" i="4"/>
  <c r="BK232" i="4"/>
  <c r="BK175" i="4"/>
  <c r="BK206" i="4"/>
  <c r="BK174" i="4"/>
  <c r="BK168" i="4"/>
  <c r="BK209" i="4"/>
  <c r="BK161" i="4"/>
  <c r="BK207" i="4"/>
  <c r="BK269" i="4" s="1"/>
  <c r="BK283" i="4" s="1"/>
  <c r="BK167" i="4"/>
  <c r="BK234" i="4"/>
  <c r="BK162" i="4"/>
  <c r="BK210" i="4"/>
  <c r="BK173" i="4"/>
  <c r="BK254" i="4"/>
  <c r="BK159" i="4"/>
  <c r="BK257" i="4"/>
  <c r="BK231" i="4"/>
  <c r="BK204" i="4"/>
  <c r="BK169" i="4"/>
  <c r="BK211" i="4"/>
  <c r="BK176" i="4"/>
  <c r="BL85" i="4"/>
  <c r="BJ266" i="4"/>
  <c r="BJ170" i="4"/>
  <c r="BH619" i="4"/>
  <c r="R71" i="64"/>
  <c r="R79" i="64"/>
  <c r="BH609" i="4"/>
  <c r="BH627" i="4" s="1"/>
  <c r="BH810" i="4" s="1"/>
  <c r="BH815" i="4" s="1"/>
  <c r="BH749" i="4"/>
  <c r="BD777" i="4"/>
  <c r="BH1041" i="4"/>
  <c r="BH1241" i="4"/>
  <c r="BH33" i="66"/>
  <c r="BH32" i="66" s="1"/>
  <c r="BH1214" i="4"/>
  <c r="BH65" i="62"/>
  <c r="BH81" i="11"/>
  <c r="BH82" i="11" s="1"/>
  <c r="BC72" i="64"/>
  <c r="BC80" i="64"/>
  <c r="BH289" i="4"/>
  <c r="BG754" i="4"/>
  <c r="BG755" i="4"/>
  <c r="BD119" i="64"/>
  <c r="BD65" i="64" s="1"/>
  <c r="S23" i="66"/>
  <c r="I149" i="15" s="1"/>
  <c r="S1220" i="4"/>
  <c r="S1245" i="4"/>
  <c r="S1262" i="4"/>
  <c r="S77" i="11"/>
  <c r="S1048" i="4"/>
  <c r="S43" i="66"/>
  <c r="I170" i="15" s="1"/>
  <c r="M77" i="67"/>
  <c r="BI282" i="4"/>
  <c r="BI334" i="4"/>
  <c r="BI960" i="4" s="1"/>
  <c r="BI276" i="4"/>
  <c r="BI279" i="4"/>
  <c r="BJ163" i="4"/>
  <c r="BJ265" i="4"/>
  <c r="BI876" i="4"/>
  <c r="BI862" i="4"/>
  <c r="BI869" i="4"/>
  <c r="BI878" i="4"/>
  <c r="BI877" i="4"/>
  <c r="BI859" i="4"/>
  <c r="BI860" i="4"/>
  <c r="BI871" i="4"/>
  <c r="BI818" i="4"/>
  <c r="BI896" i="4" s="1"/>
  <c r="BI861" i="4"/>
  <c r="BI1032" i="4"/>
  <c r="BI1033" i="4" s="1"/>
  <c r="BI1034" i="4" s="1"/>
  <c r="BI908" i="4" s="1"/>
  <c r="BI870" i="4"/>
  <c r="BI874" i="4"/>
  <c r="BI875" i="4"/>
  <c r="BI613" i="4"/>
  <c r="BI614" i="4" s="1"/>
  <c r="BI620" i="4" s="1"/>
  <c r="BI606" i="4"/>
  <c r="BI608" i="4" s="1"/>
  <c r="BI616" i="4"/>
  <c r="BI667" i="4"/>
  <c r="BI618" i="4"/>
  <c r="BI666" i="4"/>
  <c r="BI668" i="4"/>
  <c r="BJ79" i="4"/>
  <c r="BI716" i="4"/>
  <c r="BI717" i="4"/>
  <c r="BI718" i="4"/>
  <c r="U945" i="4"/>
  <c r="U946" i="4" s="1"/>
  <c r="U947" i="4" s="1"/>
  <c r="AZ1242" i="4"/>
  <c r="AZ70" i="11"/>
  <c r="AZ944" i="4"/>
  <c r="AZ1042" i="4"/>
  <c r="AZ1216" i="4"/>
  <c r="AZ936" i="4"/>
  <c r="AZ897" i="4"/>
  <c r="BF763" i="4"/>
  <c r="BF764" i="4"/>
  <c r="BF762" i="4"/>
  <c r="BI260" i="4"/>
  <c r="BJ270" i="4"/>
  <c r="BJ235" i="4"/>
  <c r="BJ271" i="4"/>
  <c r="BJ258" i="4"/>
  <c r="BI281" i="4"/>
  <c r="BI284" i="4"/>
  <c r="AO931" i="4"/>
  <c r="AP927" i="4"/>
  <c r="AO19" i="11"/>
  <c r="BG750" i="4"/>
  <c r="BG622" i="4"/>
  <c r="BG623" i="4" s="1"/>
  <c r="BG628" i="4"/>
  <c r="BG685" i="4" s="1"/>
  <c r="BE793" i="4"/>
  <c r="BE795" i="4"/>
  <c r="BE794" i="4"/>
  <c r="BE791" i="4"/>
  <c r="BE792" i="4"/>
  <c r="AZ980" i="4"/>
  <c r="AZ961" i="4"/>
  <c r="P37" i="64"/>
  <c r="P51" i="64" s="1"/>
  <c r="BF789" i="4"/>
  <c r="BF629" i="4"/>
  <c r="BF630" i="4" s="1"/>
  <c r="BF751" i="4"/>
  <c r="BF676" i="4"/>
  <c r="BF680" i="4" s="1"/>
  <c r="BF889" i="4" s="1"/>
  <c r="BF890" i="4" s="1"/>
  <c r="BF891" i="4" s="1"/>
  <c r="BI280" i="4"/>
  <c r="BD120" i="64" l="1"/>
  <c r="BD64" i="64" s="1"/>
  <c r="BD72" i="64" s="1"/>
  <c r="BD116" i="64"/>
  <c r="BH879" i="4"/>
  <c r="Q985" i="4"/>
  <c r="R979" i="4"/>
  <c r="T1048" i="4"/>
  <c r="T23" i="66"/>
  <c r="T77" i="11"/>
  <c r="T1262" i="4"/>
  <c r="T1220" i="4"/>
  <c r="T43" i="66"/>
  <c r="T1245" i="4"/>
  <c r="AP929" i="4"/>
  <c r="AP930" i="4" s="1"/>
  <c r="BJ284" i="4"/>
  <c r="BI33" i="66"/>
  <c r="BI32" i="66" s="1"/>
  <c r="BI1241" i="4"/>
  <c r="BI81" i="11"/>
  <c r="BI82" i="11" s="1"/>
  <c r="BI1041" i="4"/>
  <c r="BI65" i="62"/>
  <c r="BI1214" i="4"/>
  <c r="U34" i="11"/>
  <c r="V943" i="4"/>
  <c r="V945" i="4" s="1"/>
  <c r="V946" i="4" s="1"/>
  <c r="BI289" i="4"/>
  <c r="BD118" i="64"/>
  <c r="BH628" i="4"/>
  <c r="BH685" i="4" s="1"/>
  <c r="BH750" i="4"/>
  <c r="BH622" i="4"/>
  <c r="BH623" i="4" s="1"/>
  <c r="BK270" i="4"/>
  <c r="BK235" i="4"/>
  <c r="P1049" i="4"/>
  <c r="P1047" i="4"/>
  <c r="P41" i="66"/>
  <c r="P76" i="11"/>
  <c r="P1244" i="4"/>
  <c r="P1258" i="4"/>
  <c r="P1219" i="4"/>
  <c r="P66" i="62"/>
  <c r="BE1257" i="4"/>
  <c r="BE684" i="4"/>
  <c r="BE956" i="4" s="1"/>
  <c r="BE69" i="11"/>
  <c r="BE992" i="4"/>
  <c r="BE1215" i="4"/>
  <c r="BE928" i="4"/>
  <c r="BE1050" i="4"/>
  <c r="BE44" i="11"/>
  <c r="BI619" i="4"/>
  <c r="BI296" i="4"/>
  <c r="BI304" i="4" s="1"/>
  <c r="BD81" i="64"/>
  <c r="BD73" i="64"/>
  <c r="BD823" i="4"/>
  <c r="BD811" i="4"/>
  <c r="BD817" i="4" s="1"/>
  <c r="S971" i="4"/>
  <c r="S105" i="64" s="1"/>
  <c r="S63" i="64" s="1"/>
  <c r="BE816" i="4"/>
  <c r="BE814" i="4"/>
  <c r="BE813" i="4"/>
  <c r="BI609" i="4"/>
  <c r="BI627" i="4" s="1"/>
  <c r="BI810" i="4" s="1"/>
  <c r="BI815" i="4" s="1"/>
  <c r="BI749" i="4"/>
  <c r="BJ276" i="4"/>
  <c r="BJ334" i="4"/>
  <c r="BJ960" i="4" s="1"/>
  <c r="BJ279" i="4"/>
  <c r="BJ280" i="4"/>
  <c r="BK265" i="4"/>
  <c r="BK163" i="4"/>
  <c r="BA1242" i="4"/>
  <c r="BA897" i="4"/>
  <c r="BA1216" i="4"/>
  <c r="BA936" i="4"/>
  <c r="BA944" i="4"/>
  <c r="BA70" i="11"/>
  <c r="BA1042" i="4"/>
  <c r="BE773" i="4"/>
  <c r="BE112" i="64" s="1"/>
  <c r="BE775" i="4"/>
  <c r="BE114" i="64" s="1"/>
  <c r="BE776" i="4"/>
  <c r="BE115" i="64" s="1"/>
  <c r="BE774" i="4"/>
  <c r="BE113" i="64" s="1"/>
  <c r="BG676" i="4"/>
  <c r="BG680" i="4" s="1"/>
  <c r="BG889" i="4" s="1"/>
  <c r="BG890" i="4" s="1"/>
  <c r="BG891" i="4" s="1"/>
  <c r="BG629" i="4"/>
  <c r="BG630" i="4" s="1"/>
  <c r="BG751" i="4"/>
  <c r="BG789" i="4"/>
  <c r="BI719" i="4"/>
  <c r="BJ260" i="4"/>
  <c r="BG756" i="4"/>
  <c r="BG759" i="4"/>
  <c r="BG758" i="4"/>
  <c r="BG757" i="4"/>
  <c r="BH1310" i="4"/>
  <c r="BH1345" i="4"/>
  <c r="BH754" i="4"/>
  <c r="BH755" i="4"/>
  <c r="BL232" i="4"/>
  <c r="BL205" i="4"/>
  <c r="BL208" i="4"/>
  <c r="BL174" i="4"/>
  <c r="BL256" i="4"/>
  <c r="BL255" i="4"/>
  <c r="BL167" i="4"/>
  <c r="BL168" i="4"/>
  <c r="BL207" i="4"/>
  <c r="BL269" i="4" s="1"/>
  <c r="BL283" i="4" s="1"/>
  <c r="BL206" i="4"/>
  <c r="BL209" i="4"/>
  <c r="BL233" i="4"/>
  <c r="BL161" i="4"/>
  <c r="BL160" i="4"/>
  <c r="BL175" i="4"/>
  <c r="BL169" i="4"/>
  <c r="BL210" i="4"/>
  <c r="BL254" i="4"/>
  <c r="BL231" i="4"/>
  <c r="BL234" i="4"/>
  <c r="BL173" i="4"/>
  <c r="BL166" i="4"/>
  <c r="BL162" i="4"/>
  <c r="BL204" i="4"/>
  <c r="BL159" i="4"/>
  <c r="BL257" i="4"/>
  <c r="BL211" i="4"/>
  <c r="BL176" i="4"/>
  <c r="BM85" i="4"/>
  <c r="BK271" i="4"/>
  <c r="BK258" i="4"/>
  <c r="BA961" i="4"/>
  <c r="BA980" i="4"/>
  <c r="AZ969" i="4"/>
  <c r="BA970" i="4"/>
  <c r="BF765" i="4"/>
  <c r="BF766" i="4"/>
  <c r="BF768" i="4"/>
  <c r="BF767" i="4"/>
  <c r="BF771" i="4"/>
  <c r="BF772" i="4"/>
  <c r="BF111" i="64" s="1"/>
  <c r="BG762" i="4"/>
  <c r="BG763" i="4"/>
  <c r="BG764" i="4"/>
  <c r="BJ875" i="4"/>
  <c r="BJ859" i="4"/>
  <c r="BJ876" i="4"/>
  <c r="BJ869" i="4"/>
  <c r="BJ862" i="4"/>
  <c r="BJ874" i="4"/>
  <c r="BJ1032" i="4"/>
  <c r="BJ1033" i="4" s="1"/>
  <c r="BJ1034" i="4" s="1"/>
  <c r="BJ908" i="4" s="1"/>
  <c r="BJ818" i="4"/>
  <c r="BJ896" i="4" s="1"/>
  <c r="BJ877" i="4"/>
  <c r="BJ878" i="4"/>
  <c r="BJ871" i="4"/>
  <c r="BJ870" i="4"/>
  <c r="BJ861" i="4"/>
  <c r="BJ860" i="4"/>
  <c r="BJ613" i="4"/>
  <c r="BJ614" i="4" s="1"/>
  <c r="BJ620" i="4" s="1"/>
  <c r="BJ606" i="4"/>
  <c r="BJ608" i="4" s="1"/>
  <c r="BJ616" i="4"/>
  <c r="BJ666" i="4"/>
  <c r="BJ667" i="4"/>
  <c r="BJ618" i="4"/>
  <c r="BJ668" i="4"/>
  <c r="BK79" i="4"/>
  <c r="BJ716" i="4"/>
  <c r="BJ717" i="4"/>
  <c r="BJ718" i="4"/>
  <c r="BI863" i="4"/>
  <c r="BI866" i="4"/>
  <c r="BI864" i="4"/>
  <c r="BI865" i="4"/>
  <c r="BK267" i="4"/>
  <c r="BK177" i="4"/>
  <c r="BJ281" i="4"/>
  <c r="BJ282" i="4"/>
  <c r="BF682" i="4"/>
  <c r="BF809" i="4"/>
  <c r="BE796" i="4"/>
  <c r="BJ285" i="4"/>
  <c r="U935" i="4"/>
  <c r="U937" i="4" s="1"/>
  <c r="U938" i="4" s="1"/>
  <c r="T18" i="11"/>
  <c r="T950" i="4"/>
  <c r="BF794" i="4"/>
  <c r="BF791" i="4"/>
  <c r="BF793" i="4"/>
  <c r="BF795" i="4"/>
  <c r="BF792" i="4"/>
  <c r="BE119" i="64"/>
  <c r="BE65" i="64" s="1"/>
  <c r="BI677" i="4"/>
  <c r="BI669" i="4"/>
  <c r="BK266" i="4"/>
  <c r="BK170" i="4"/>
  <c r="BB895" i="4"/>
  <c r="BB957" i="4" s="1"/>
  <c r="BB819" i="4"/>
  <c r="BB825" i="4" s="1"/>
  <c r="BB826" i="4" s="1"/>
  <c r="BB893" i="4" s="1"/>
  <c r="BC895" i="4"/>
  <c r="BC957" i="4" s="1"/>
  <c r="BC819" i="4"/>
  <c r="BC825" i="4" s="1"/>
  <c r="BC826" i="4" s="1"/>
  <c r="BC893" i="4" s="1"/>
  <c r="AZ45" i="11"/>
  <c r="AZ46" i="11" s="1"/>
  <c r="AZ993" i="4"/>
  <c r="BK268" i="4"/>
  <c r="BK212" i="4"/>
  <c r="Q106" i="64"/>
  <c r="Q21" i="66"/>
  <c r="BD121" i="64" l="1"/>
  <c r="BD80" i="64"/>
  <c r="BE116" i="64"/>
  <c r="BJ619" i="4"/>
  <c r="BJ628" i="4" s="1"/>
  <c r="BI879" i="4"/>
  <c r="BB980" i="4"/>
  <c r="BB961" i="4"/>
  <c r="BE81" i="64"/>
  <c r="BE73" i="64"/>
  <c r="BL235" i="4"/>
  <c r="BL270" i="4"/>
  <c r="BG772" i="4"/>
  <c r="BG111" i="64" s="1"/>
  <c r="BG771" i="4"/>
  <c r="S972" i="4"/>
  <c r="T968" i="4" s="1"/>
  <c r="BI1310" i="4"/>
  <c r="BI1345" i="4"/>
  <c r="AP19" i="11"/>
  <c r="AQ927" i="4"/>
  <c r="BK282" i="4"/>
  <c r="U939" i="4"/>
  <c r="U951" i="4" s="1"/>
  <c r="U18" i="11"/>
  <c r="V935" i="4"/>
  <c r="U950" i="4"/>
  <c r="BK281" i="4"/>
  <c r="BJ677" i="4"/>
  <c r="BJ669" i="4"/>
  <c r="BJ865" i="4"/>
  <c r="BJ864" i="4"/>
  <c r="BJ863" i="4"/>
  <c r="BJ866" i="4"/>
  <c r="BL258" i="4"/>
  <c r="BL271" i="4"/>
  <c r="BG682" i="4"/>
  <c r="W13" i="72" s="1"/>
  <c r="BG809" i="4"/>
  <c r="BK260" i="4"/>
  <c r="X81" i="67" s="1"/>
  <c r="X82" i="67" s="1"/>
  <c r="BJ289" i="4"/>
  <c r="S79" i="64"/>
  <c r="S71" i="64"/>
  <c r="BI622" i="4"/>
  <c r="BI623" i="4" s="1"/>
  <c r="BI628" i="4"/>
  <c r="BI685" i="4" s="1"/>
  <c r="BI750" i="4"/>
  <c r="BK280" i="4"/>
  <c r="BF119" i="64"/>
  <c r="BF65" i="64" s="1"/>
  <c r="BE824" i="4"/>
  <c r="BL265" i="4"/>
  <c r="BL163" i="4"/>
  <c r="BK334" i="4"/>
  <c r="BK960" i="4" s="1"/>
  <c r="X16" i="72" s="1"/>
  <c r="BK276" i="4"/>
  <c r="BK279" i="4"/>
  <c r="BF814" i="4"/>
  <c r="BF816" i="4"/>
  <c r="BF813" i="4"/>
  <c r="BJ749" i="4"/>
  <c r="BJ609" i="4"/>
  <c r="BJ627" i="4" s="1"/>
  <c r="BJ810" i="4" s="1"/>
  <c r="BJ815" i="4" s="1"/>
  <c r="BJ296" i="4"/>
  <c r="BJ304" i="4" s="1"/>
  <c r="BA969" i="4"/>
  <c r="BB970" i="4"/>
  <c r="BL212" i="4"/>
  <c r="BL268" i="4"/>
  <c r="BH758" i="4"/>
  <c r="BH757" i="4"/>
  <c r="BH756" i="4"/>
  <c r="BH759" i="4"/>
  <c r="BD895" i="4"/>
  <c r="BD957" i="4" s="1"/>
  <c r="BD819" i="4"/>
  <c r="BD825" i="4" s="1"/>
  <c r="BD826" i="4" s="1"/>
  <c r="BD893" i="4" s="1"/>
  <c r="V947" i="4"/>
  <c r="W943" i="4"/>
  <c r="V34" i="11"/>
  <c r="BF1050" i="4"/>
  <c r="BF44" i="11"/>
  <c r="BF1215" i="4"/>
  <c r="BF69" i="11"/>
  <c r="BF1257" i="4"/>
  <c r="BF928" i="4"/>
  <c r="BF684" i="4"/>
  <c r="BF956" i="4" s="1"/>
  <c r="BF992" i="4"/>
  <c r="BJ719" i="4"/>
  <c r="BG766" i="4"/>
  <c r="BG768" i="4"/>
  <c r="BG767" i="4"/>
  <c r="BG765" i="4"/>
  <c r="BJ81" i="11"/>
  <c r="BJ82" i="11" s="1"/>
  <c r="BJ1241" i="4"/>
  <c r="BJ1214" i="4"/>
  <c r="BJ65" i="62"/>
  <c r="BJ33" i="66"/>
  <c r="BJ32" i="66" s="1"/>
  <c r="BJ1041" i="4"/>
  <c r="BK284" i="4"/>
  <c r="BC1042" i="4"/>
  <c r="BC936" i="4"/>
  <c r="BC897" i="4"/>
  <c r="BC944" i="4"/>
  <c r="BC1242" i="4"/>
  <c r="BC1216" i="4"/>
  <c r="BC70" i="11"/>
  <c r="BF796" i="4"/>
  <c r="BF824" i="4" s="1"/>
  <c r="BK877" i="4"/>
  <c r="BK869" i="4"/>
  <c r="BK1032" i="4"/>
  <c r="BK1033" i="4" s="1"/>
  <c r="BK1034" i="4" s="1"/>
  <c r="BK908" i="4" s="1"/>
  <c r="BK870" i="4"/>
  <c r="BK862" i="4"/>
  <c r="BK874" i="4"/>
  <c r="BK859" i="4"/>
  <c r="BK861" i="4"/>
  <c r="BK875" i="4"/>
  <c r="BK871" i="4"/>
  <c r="BK860" i="4"/>
  <c r="BK818" i="4"/>
  <c r="BK896" i="4" s="1"/>
  <c r="BK876" i="4"/>
  <c r="BK878" i="4"/>
  <c r="BK606" i="4"/>
  <c r="BK608" i="4" s="1"/>
  <c r="BK613" i="4"/>
  <c r="BK614" i="4" s="1"/>
  <c r="BK620" i="4" s="1"/>
  <c r="BK616" i="4"/>
  <c r="BK666" i="4"/>
  <c r="BK667" i="4"/>
  <c r="BK668" i="4"/>
  <c r="BK618" i="4"/>
  <c r="BL79" i="4"/>
  <c r="BK716" i="4"/>
  <c r="BK717" i="4"/>
  <c r="BK718" i="4"/>
  <c r="BK285" i="4"/>
  <c r="BL266" i="4"/>
  <c r="BL170" i="4"/>
  <c r="BA993" i="4"/>
  <c r="BA45" i="11"/>
  <c r="BA46" i="11" s="1"/>
  <c r="BH789" i="4"/>
  <c r="BH629" i="4"/>
  <c r="BH630" i="4" s="1"/>
  <c r="BH751" i="4"/>
  <c r="BH676" i="4"/>
  <c r="BH680" i="4" s="1"/>
  <c r="BH889" i="4" s="1"/>
  <c r="BH890" i="4" s="1"/>
  <c r="BH891" i="4" s="1"/>
  <c r="R982" i="4"/>
  <c r="R983" i="4" s="1"/>
  <c r="T981" i="4"/>
  <c r="BM205" i="4"/>
  <c r="BM256" i="4"/>
  <c r="BM206" i="4"/>
  <c r="BM175" i="4"/>
  <c r="BM207" i="4"/>
  <c r="BM269" i="4" s="1"/>
  <c r="BM283" i="4" s="1"/>
  <c r="BM209" i="4"/>
  <c r="BM255" i="4"/>
  <c r="BM160" i="4"/>
  <c r="BM233" i="4"/>
  <c r="BM232" i="4"/>
  <c r="BM208" i="4"/>
  <c r="BM167" i="4"/>
  <c r="BM168" i="4"/>
  <c r="BM174" i="4"/>
  <c r="BM161" i="4"/>
  <c r="BM204" i="4"/>
  <c r="BM234" i="4"/>
  <c r="BM166" i="4"/>
  <c r="BM210" i="4"/>
  <c r="BM169" i="4"/>
  <c r="BM257" i="4"/>
  <c r="BM254" i="4"/>
  <c r="BM162" i="4"/>
  <c r="BM231" i="4"/>
  <c r="BM159" i="4"/>
  <c r="BM173" i="4"/>
  <c r="BM211" i="4"/>
  <c r="BM176" i="4"/>
  <c r="BN85" i="4"/>
  <c r="BL177" i="4"/>
  <c r="BL267" i="4"/>
  <c r="BI755" i="4"/>
  <c r="BI754" i="4"/>
  <c r="BH762" i="4"/>
  <c r="BH763" i="4"/>
  <c r="BH764" i="4"/>
  <c r="Q35" i="11"/>
  <c r="Q33" i="11" s="1"/>
  <c r="Q1387" i="4" s="1"/>
  <c r="Q20" i="11"/>
  <c r="Q987" i="4"/>
  <c r="BC961" i="4"/>
  <c r="BC980" i="4"/>
  <c r="Q36" i="64"/>
  <c r="Q35" i="64"/>
  <c r="BB936" i="4"/>
  <c r="BB1216" i="4"/>
  <c r="BB70" i="11"/>
  <c r="BB1042" i="4"/>
  <c r="BB944" i="4"/>
  <c r="BB1242" i="4"/>
  <c r="BB897" i="4"/>
  <c r="V70" i="67"/>
  <c r="V39" i="13"/>
  <c r="BE118" i="64"/>
  <c r="BF776" i="4"/>
  <c r="BF115" i="64" s="1"/>
  <c r="BF775" i="4"/>
  <c r="BF114" i="64" s="1"/>
  <c r="BF774" i="4"/>
  <c r="BF113" i="64" s="1"/>
  <c r="BF773" i="4"/>
  <c r="BF112" i="64" s="1"/>
  <c r="BG794" i="4"/>
  <c r="BG793" i="4"/>
  <c r="BG791" i="4"/>
  <c r="BG795" i="4"/>
  <c r="BG792" i="4"/>
  <c r="BE120" i="64"/>
  <c r="BE64" i="64" s="1"/>
  <c r="AP931" i="4"/>
  <c r="BE777" i="4"/>
  <c r="W69" i="67" l="1"/>
  <c r="W44" i="67"/>
  <c r="BJ750" i="4"/>
  <c r="BJ764" i="4" s="1"/>
  <c r="BJ622" i="4"/>
  <c r="BJ623" i="4" s="1"/>
  <c r="BJ789" i="4" s="1"/>
  <c r="BF116" i="64"/>
  <c r="BK619" i="4"/>
  <c r="BK628" i="4" s="1"/>
  <c r="BJ879" i="4"/>
  <c r="S979" i="4"/>
  <c r="R985" i="4"/>
  <c r="BN255" i="4"/>
  <c r="BN232" i="4"/>
  <c r="BN175" i="4"/>
  <c r="BN206" i="4"/>
  <c r="BN168" i="4"/>
  <c r="BN160" i="4"/>
  <c r="BN205" i="4"/>
  <c r="BN174" i="4"/>
  <c r="BN167" i="4"/>
  <c r="BN209" i="4"/>
  <c r="BN161" i="4"/>
  <c r="BN208" i="4"/>
  <c r="BN256" i="4"/>
  <c r="BN207" i="4"/>
  <c r="BN269" i="4" s="1"/>
  <c r="BN283" i="4" s="1"/>
  <c r="BN233" i="4"/>
  <c r="BN231" i="4"/>
  <c r="BN254" i="4"/>
  <c r="BN234" i="4"/>
  <c r="BN169" i="4"/>
  <c r="BN173" i="4"/>
  <c r="BN166" i="4"/>
  <c r="BN162" i="4"/>
  <c r="BN204" i="4"/>
  <c r="BN159" i="4"/>
  <c r="BN257" i="4"/>
  <c r="BN210" i="4"/>
  <c r="BN176" i="4"/>
  <c r="BN211" i="4"/>
  <c r="BO85" i="4"/>
  <c r="U1048" i="4"/>
  <c r="U43" i="66"/>
  <c r="U1220" i="4"/>
  <c r="U23" i="66"/>
  <c r="U1262" i="4"/>
  <c r="U1245" i="4"/>
  <c r="U77" i="11"/>
  <c r="T971" i="4"/>
  <c r="T105" i="64" s="1"/>
  <c r="T63" i="64" s="1"/>
  <c r="BB969" i="4"/>
  <c r="BC970" i="4"/>
  <c r="BC969" i="4"/>
  <c r="BD970" i="4"/>
  <c r="R106" i="64"/>
  <c r="R21" i="66"/>
  <c r="BK669" i="4"/>
  <c r="BK677" i="4"/>
  <c r="BL260" i="4"/>
  <c r="BE823" i="4"/>
  <c r="BE811" i="4"/>
  <c r="BE817" i="4" s="1"/>
  <c r="BG796" i="4"/>
  <c r="BG824" i="4" s="1"/>
  <c r="Q1258" i="4"/>
  <c r="Q1047" i="4"/>
  <c r="Q1219" i="4"/>
  <c r="Q76" i="11"/>
  <c r="Q41" i="66"/>
  <c r="Q1244" i="4"/>
  <c r="Q1049" i="4"/>
  <c r="Q66" i="62"/>
  <c r="BL276" i="4"/>
  <c r="BL334" i="4"/>
  <c r="BL960" i="4" s="1"/>
  <c r="BL279" i="4"/>
  <c r="BG774" i="4"/>
  <c r="BG113" i="64" s="1"/>
  <c r="BG776" i="4"/>
  <c r="BG115" i="64" s="1"/>
  <c r="BG773" i="4"/>
  <c r="BG112" i="64" s="1"/>
  <c r="BG775" i="4"/>
  <c r="BG114" i="64" s="1"/>
  <c r="BM267" i="4"/>
  <c r="BM177" i="4"/>
  <c r="BM266" i="4"/>
  <c r="BM170" i="4"/>
  <c r="BH772" i="4"/>
  <c r="BH111" i="64" s="1"/>
  <c r="BH771" i="4"/>
  <c r="BJ1345" i="4"/>
  <c r="BJ1310" i="4"/>
  <c r="BF118" i="64"/>
  <c r="BK33" i="66"/>
  <c r="BK32" i="66" s="1"/>
  <c r="BK81" i="11"/>
  <c r="BK82" i="11" s="1"/>
  <c r="BK1041" i="4"/>
  <c r="BK1214" i="4"/>
  <c r="BK1241" i="4"/>
  <c r="BK65" i="62"/>
  <c r="BL284" i="4"/>
  <c r="BE121" i="64"/>
  <c r="BI759" i="4"/>
  <c r="BI757" i="4"/>
  <c r="BI756" i="4"/>
  <c r="BI758" i="4"/>
  <c r="BM163" i="4"/>
  <c r="BM265" i="4"/>
  <c r="BH809" i="4"/>
  <c r="BH682" i="4"/>
  <c r="BK719" i="4"/>
  <c r="BK609" i="4"/>
  <c r="BK627" i="4" s="1"/>
  <c r="BK810" i="4" s="1"/>
  <c r="BK815" i="4" s="1"/>
  <c r="BK749" i="4"/>
  <c r="BK866" i="4"/>
  <c r="BK864" i="4"/>
  <c r="BK863" i="4"/>
  <c r="BK865" i="4"/>
  <c r="V45" i="67"/>
  <c r="V46" i="67" s="1"/>
  <c r="BC45" i="11"/>
  <c r="BC46" i="11" s="1"/>
  <c r="BC993" i="4"/>
  <c r="W945" i="4"/>
  <c r="W946" i="4" s="1"/>
  <c r="W947" i="4" s="1"/>
  <c r="BK289" i="4"/>
  <c r="BI762" i="4"/>
  <c r="BI763" i="4"/>
  <c r="BI764" i="4"/>
  <c r="BG813" i="4"/>
  <c r="BG816" i="4"/>
  <c r="BG814" i="4"/>
  <c r="BM235" i="4"/>
  <c r="BM270" i="4"/>
  <c r="BM212" i="4"/>
  <c r="BM268" i="4"/>
  <c r="BH791" i="4"/>
  <c r="BH794" i="4"/>
  <c r="BH792" i="4"/>
  <c r="BH793" i="4"/>
  <c r="BH795" i="4"/>
  <c r="BL876" i="4"/>
  <c r="BL877" i="4"/>
  <c r="BL818" i="4"/>
  <c r="BL896" i="4" s="1"/>
  <c r="BL878" i="4"/>
  <c r="BL871" i="4"/>
  <c r="BL862" i="4"/>
  <c r="BL1032" i="4"/>
  <c r="BL1033" i="4" s="1"/>
  <c r="BL1034" i="4" s="1"/>
  <c r="BL908" i="4" s="1"/>
  <c r="BL874" i="4"/>
  <c r="BL859" i="4"/>
  <c r="BL860" i="4"/>
  <c r="BL870" i="4"/>
  <c r="BL861" i="4"/>
  <c r="BL869" i="4"/>
  <c r="BL875" i="4"/>
  <c r="BL606" i="4"/>
  <c r="BL608" i="4" s="1"/>
  <c r="BL613" i="4"/>
  <c r="BL614" i="4" s="1"/>
  <c r="BL620" i="4" s="1"/>
  <c r="BL616" i="4"/>
  <c r="BL667" i="4"/>
  <c r="BL666" i="4"/>
  <c r="BL668" i="4"/>
  <c r="BL618" i="4"/>
  <c r="BM79" i="4"/>
  <c r="BL716" i="4"/>
  <c r="BL717" i="4"/>
  <c r="BL718" i="4"/>
  <c r="BF73" i="64"/>
  <c r="BF81" i="64"/>
  <c r="BG1257" i="4"/>
  <c r="BG928" i="4"/>
  <c r="BG684" i="4"/>
  <c r="BG956" i="4" s="1"/>
  <c r="BG44" i="11"/>
  <c r="BG1050" i="4"/>
  <c r="BG992" i="4"/>
  <c r="BG69" i="11"/>
  <c r="BG1215" i="4"/>
  <c r="AQ929" i="4"/>
  <c r="AQ930" i="4" s="1"/>
  <c r="BF777" i="4"/>
  <c r="BG119" i="64"/>
  <c r="BG65" i="64" s="1"/>
  <c r="BF120" i="64"/>
  <c r="BF64" i="64" s="1"/>
  <c r="Q37" i="64"/>
  <c r="Q51" i="64" s="1"/>
  <c r="BL281" i="4"/>
  <c r="BD897" i="4"/>
  <c r="BD944" i="4"/>
  <c r="BD936" i="4"/>
  <c r="BD70" i="11"/>
  <c r="BD1242" i="4"/>
  <c r="BD1042" i="4"/>
  <c r="BD1216" i="4"/>
  <c r="BL282" i="4"/>
  <c r="BJ754" i="4"/>
  <c r="BJ755" i="4"/>
  <c r="BJ685" i="4"/>
  <c r="BI789" i="4"/>
  <c r="BI629" i="4"/>
  <c r="BI630" i="4" s="1"/>
  <c r="BI751" i="4"/>
  <c r="BI676" i="4"/>
  <c r="BI680" i="4" s="1"/>
  <c r="BI889" i="4" s="1"/>
  <c r="BI890" i="4" s="1"/>
  <c r="BI891" i="4" s="1"/>
  <c r="BL285" i="4"/>
  <c r="V937" i="4"/>
  <c r="V938" i="4" s="1"/>
  <c r="V939" i="4" s="1"/>
  <c r="V951" i="4" s="1"/>
  <c r="BE80" i="64"/>
  <c r="BE72" i="64"/>
  <c r="BB993" i="4"/>
  <c r="BB45" i="11"/>
  <c r="BB46" i="11" s="1"/>
  <c r="BH765" i="4"/>
  <c r="BH767" i="4"/>
  <c r="BH768" i="4"/>
  <c r="BH766" i="4"/>
  <c r="BM271" i="4"/>
  <c r="BM258" i="4"/>
  <c r="BL280" i="4"/>
  <c r="BK296" i="4"/>
  <c r="BK304" i="4" s="1"/>
  <c r="BD961" i="4"/>
  <c r="BD980" i="4"/>
  <c r="BJ763" i="4" l="1"/>
  <c r="BJ762" i="4"/>
  <c r="BJ751" i="4"/>
  <c r="BJ771" i="4" s="1"/>
  <c r="BJ629" i="4"/>
  <c r="BJ630" i="4" s="1"/>
  <c r="BJ676" i="4"/>
  <c r="BJ680" i="4" s="1"/>
  <c r="BJ889" i="4" s="1"/>
  <c r="BJ890" i="4" s="1"/>
  <c r="BJ891" i="4" s="1"/>
  <c r="BK622" i="4"/>
  <c r="BK623" i="4" s="1"/>
  <c r="BK676" i="4" s="1"/>
  <c r="BK680" i="4" s="1"/>
  <c r="BK889" i="4" s="1"/>
  <c r="BK890" i="4" s="1"/>
  <c r="BK891" i="4" s="1"/>
  <c r="BK750" i="4"/>
  <c r="BK762" i="4" s="1"/>
  <c r="BG116" i="64"/>
  <c r="BJ794" i="4"/>
  <c r="BJ795" i="4"/>
  <c r="BJ793" i="4"/>
  <c r="BJ791" i="4"/>
  <c r="BJ792" i="4"/>
  <c r="BK879" i="4"/>
  <c r="BL719" i="4"/>
  <c r="BG777" i="4"/>
  <c r="BG120" i="64"/>
  <c r="BG64" i="64" s="1"/>
  <c r="BG80" i="64" s="1"/>
  <c r="T972" i="4"/>
  <c r="U968" i="4" s="1"/>
  <c r="U971" i="4" s="1"/>
  <c r="U105" i="64" s="1"/>
  <c r="U63" i="64" s="1"/>
  <c r="BH119" i="64"/>
  <c r="BH65" i="64" s="1"/>
  <c r="BI772" i="4"/>
  <c r="BI771" i="4"/>
  <c r="BG118" i="64"/>
  <c r="AQ19" i="11"/>
  <c r="S19" i="67"/>
  <c r="AR927" i="4"/>
  <c r="AR929" i="4" s="1"/>
  <c r="AR930" i="4" s="1"/>
  <c r="BL669" i="4"/>
  <c r="BL677" i="4"/>
  <c r="BL296" i="4"/>
  <c r="BL304" i="4" s="1"/>
  <c r="BM282" i="4"/>
  <c r="BI765" i="4"/>
  <c r="BI766" i="4"/>
  <c r="BI768" i="4"/>
  <c r="BI767" i="4"/>
  <c r="BH928" i="4"/>
  <c r="BH1215" i="4"/>
  <c r="BH1257" i="4"/>
  <c r="BH69" i="11"/>
  <c r="BH992" i="4"/>
  <c r="BH1050" i="4"/>
  <c r="BH44" i="11"/>
  <c r="BH684" i="4"/>
  <c r="BH956" i="4" s="1"/>
  <c r="BM281" i="4"/>
  <c r="BK685" i="4"/>
  <c r="BN212" i="4"/>
  <c r="BN268" i="4"/>
  <c r="BG73" i="64"/>
  <c r="BG81" i="64"/>
  <c r="BH813" i="4"/>
  <c r="BH816" i="4"/>
  <c r="BH814" i="4"/>
  <c r="BL1041" i="4"/>
  <c r="BL65" i="62"/>
  <c r="BL81" i="11"/>
  <c r="BL82" i="11" s="1"/>
  <c r="BL1241" i="4"/>
  <c r="BL1214" i="4"/>
  <c r="BL33" i="66"/>
  <c r="BL32" i="66" s="1"/>
  <c r="BM285" i="4"/>
  <c r="BJ758" i="4"/>
  <c r="BJ756" i="4"/>
  <c r="BJ759" i="4"/>
  <c r="BJ757" i="4"/>
  <c r="BL619" i="4"/>
  <c r="BL866" i="4"/>
  <c r="BL865" i="4"/>
  <c r="BL864" i="4"/>
  <c r="BL863" i="4"/>
  <c r="BM284" i="4"/>
  <c r="BM276" i="4"/>
  <c r="BM334" i="4"/>
  <c r="BM960" i="4" s="1"/>
  <c r="BM279" i="4"/>
  <c r="BL289" i="4"/>
  <c r="BO233" i="4"/>
  <c r="BO208" i="4"/>
  <c r="BO232" i="4"/>
  <c r="BO161" i="4"/>
  <c r="BO209" i="4"/>
  <c r="BO205" i="4"/>
  <c r="BO175" i="4"/>
  <c r="BO168" i="4"/>
  <c r="BO255" i="4"/>
  <c r="BO256" i="4"/>
  <c r="BO167" i="4"/>
  <c r="BO160" i="4"/>
  <c r="BO207" i="4"/>
  <c r="BO269" i="4" s="1"/>
  <c r="BO283" i="4" s="1"/>
  <c r="BO174" i="4"/>
  <c r="BO206" i="4"/>
  <c r="BO257" i="4"/>
  <c r="BO231" i="4"/>
  <c r="BO159" i="4"/>
  <c r="BO234" i="4"/>
  <c r="BO166" i="4"/>
  <c r="BO254" i="4"/>
  <c r="BO173" i="4"/>
  <c r="BO210" i="4"/>
  <c r="BO162" i="4"/>
  <c r="BO204" i="4"/>
  <c r="BO169" i="4"/>
  <c r="BO211" i="4"/>
  <c r="BO176" i="4"/>
  <c r="BP85" i="4"/>
  <c r="BN170" i="4"/>
  <c r="BN266" i="4"/>
  <c r="BD969" i="4"/>
  <c r="BE970" i="4"/>
  <c r="BF823" i="4"/>
  <c r="BF811" i="4"/>
  <c r="BF817" i="4" s="1"/>
  <c r="BJ766" i="4"/>
  <c r="BJ767" i="4"/>
  <c r="BJ768" i="4"/>
  <c r="BJ765" i="4"/>
  <c r="BM260" i="4"/>
  <c r="BE895" i="4"/>
  <c r="BE957" i="4" s="1"/>
  <c r="BE819" i="4"/>
  <c r="BE825" i="4" s="1"/>
  <c r="BE826" i="4" s="1"/>
  <c r="BE893" i="4" s="1"/>
  <c r="T79" i="64"/>
  <c r="T71" i="64"/>
  <c r="BN267" i="4"/>
  <c r="BN177" i="4"/>
  <c r="R35" i="11"/>
  <c r="R33" i="11" s="1"/>
  <c r="R1387" i="4" s="1"/>
  <c r="R20" i="11"/>
  <c r="R987" i="4"/>
  <c r="BL749" i="4"/>
  <c r="BL609" i="4"/>
  <c r="BL627" i="4" s="1"/>
  <c r="BL810" i="4" s="1"/>
  <c r="BL815" i="4" s="1"/>
  <c r="BK1345" i="4"/>
  <c r="X12" i="13" s="1"/>
  <c r="BK1310" i="4"/>
  <c r="BH776" i="4"/>
  <c r="BH115" i="64" s="1"/>
  <c r="BH774" i="4"/>
  <c r="BH113" i="64" s="1"/>
  <c r="BH773" i="4"/>
  <c r="BH112" i="64" s="1"/>
  <c r="BH775" i="4"/>
  <c r="BH114" i="64" s="1"/>
  <c r="S982" i="4"/>
  <c r="U981" i="4"/>
  <c r="BM874" i="4"/>
  <c r="BM1032" i="4"/>
  <c r="BM1033" i="4" s="1"/>
  <c r="BM1034" i="4" s="1"/>
  <c r="BM908" i="4" s="1"/>
  <c r="BM861" i="4"/>
  <c r="BM862" i="4"/>
  <c r="BM876" i="4"/>
  <c r="BM875" i="4"/>
  <c r="BM877" i="4"/>
  <c r="BM869" i="4"/>
  <c r="BM818" i="4"/>
  <c r="BM896" i="4" s="1"/>
  <c r="BM860" i="4"/>
  <c r="BM859" i="4"/>
  <c r="BM870" i="4"/>
  <c r="BM871" i="4"/>
  <c r="BM878" i="4"/>
  <c r="BM613" i="4"/>
  <c r="BM614" i="4" s="1"/>
  <c r="BM620" i="4" s="1"/>
  <c r="BM606" i="4"/>
  <c r="BM608" i="4" s="1"/>
  <c r="BM616" i="4"/>
  <c r="BM618" i="4"/>
  <c r="BM667" i="4"/>
  <c r="BM666" i="4"/>
  <c r="BM668" i="4"/>
  <c r="BN79" i="4"/>
  <c r="BM716" i="4"/>
  <c r="BM717" i="4"/>
  <c r="BM718" i="4"/>
  <c r="BK755" i="4"/>
  <c r="BK754" i="4"/>
  <c r="R35" i="64"/>
  <c r="R36" i="64"/>
  <c r="V77" i="11"/>
  <c r="V1262" i="4"/>
  <c r="V1048" i="4"/>
  <c r="V23" i="66"/>
  <c r="V1220" i="4"/>
  <c r="V1245" i="4"/>
  <c r="V43" i="66"/>
  <c r="BI809" i="4"/>
  <c r="BI682" i="4"/>
  <c r="BD45" i="11"/>
  <c r="BD46" i="11" s="1"/>
  <c r="BD993" i="4"/>
  <c r="N34" i="67"/>
  <c r="X943" i="4"/>
  <c r="W34" i="11"/>
  <c r="BM280" i="4"/>
  <c r="BN271" i="4"/>
  <c r="BN258" i="4"/>
  <c r="V18" i="11"/>
  <c r="W935" i="4"/>
  <c r="V950" i="4"/>
  <c r="BI794" i="4"/>
  <c r="BI795" i="4"/>
  <c r="BI792" i="4"/>
  <c r="BI791" i="4"/>
  <c r="BI793" i="4"/>
  <c r="BF72" i="64"/>
  <c r="BF80" i="64"/>
  <c r="AQ931" i="4"/>
  <c r="BH796" i="4"/>
  <c r="BH824" i="4" s="1"/>
  <c r="BF121" i="64"/>
  <c r="BN265" i="4"/>
  <c r="BN163" i="4"/>
  <c r="BN235" i="4"/>
  <c r="BN270" i="4"/>
  <c r="BK764" i="4" l="1"/>
  <c r="BK766" i="4" s="1"/>
  <c r="BK751" i="4"/>
  <c r="BK771" i="4" s="1"/>
  <c r="BK789" i="4"/>
  <c r="BK793" i="4" s="1"/>
  <c r="BK629" i="4"/>
  <c r="BK630" i="4" s="1"/>
  <c r="BK682" i="4" s="1"/>
  <c r="BJ772" i="4"/>
  <c r="BJ774" i="4" s="1"/>
  <c r="BJ113" i="64" s="1"/>
  <c r="BK763" i="4"/>
  <c r="BG72" i="64"/>
  <c r="BJ682" i="4"/>
  <c r="BJ69" i="11" s="1"/>
  <c r="BJ809" i="4"/>
  <c r="BJ814" i="4" s="1"/>
  <c r="R37" i="64"/>
  <c r="R51" i="64" s="1"/>
  <c r="BG121" i="64"/>
  <c r="BJ796" i="4"/>
  <c r="BJ824" i="4" s="1"/>
  <c r="BH118" i="64"/>
  <c r="U972" i="4"/>
  <c r="V968" i="4" s="1"/>
  <c r="V971" i="4" s="1"/>
  <c r="V105" i="64" s="1"/>
  <c r="V63" i="64" s="1"/>
  <c r="BL879" i="4"/>
  <c r="BG823" i="4"/>
  <c r="BG811" i="4"/>
  <c r="BG817" i="4" s="1"/>
  <c r="BN260" i="4"/>
  <c r="BI796" i="4"/>
  <c r="BI824" i="4" s="1"/>
  <c r="BH120" i="64"/>
  <c r="BH64" i="64" s="1"/>
  <c r="BL628" i="4"/>
  <c r="BL685" i="4" s="1"/>
  <c r="BL750" i="4"/>
  <c r="BL622" i="4"/>
  <c r="BL623" i="4" s="1"/>
  <c r="BH777" i="4"/>
  <c r="BN285" i="4"/>
  <c r="BM669" i="4"/>
  <c r="BM677" i="4"/>
  <c r="BN281" i="4"/>
  <c r="BO265" i="4"/>
  <c r="BO163" i="4"/>
  <c r="BM289" i="4"/>
  <c r="X47" i="13"/>
  <c r="BN276" i="4"/>
  <c r="BN334" i="4"/>
  <c r="BN960" i="4" s="1"/>
  <c r="BN279" i="4"/>
  <c r="BM863" i="4"/>
  <c r="BM866" i="4"/>
  <c r="BM864" i="4"/>
  <c r="BM865" i="4"/>
  <c r="BL754" i="4"/>
  <c r="BL755" i="4"/>
  <c r="BO212" i="4"/>
  <c r="BO268" i="4"/>
  <c r="BO235" i="4"/>
  <c r="BO270" i="4"/>
  <c r="BH116" i="64"/>
  <c r="BH73" i="64"/>
  <c r="BH81" i="64"/>
  <c r="X945" i="4"/>
  <c r="X946" i="4" s="1"/>
  <c r="X947" i="4" s="1"/>
  <c r="BI1215" i="4"/>
  <c r="BI684" i="4"/>
  <c r="BI956" i="4" s="1"/>
  <c r="BI1050" i="4"/>
  <c r="BI44" i="11"/>
  <c r="BI992" i="4"/>
  <c r="BI928" i="4"/>
  <c r="BI69" i="11"/>
  <c r="BI1257" i="4"/>
  <c r="BM619" i="4"/>
  <c r="BM296" i="4"/>
  <c r="BM304" i="4" s="1"/>
  <c r="R1047" i="4"/>
  <c r="R76" i="11"/>
  <c r="R1049" i="4"/>
  <c r="R41" i="66"/>
  <c r="R1244" i="4"/>
  <c r="R1258" i="4"/>
  <c r="R1219" i="4"/>
  <c r="R66" i="62"/>
  <c r="BE70" i="11"/>
  <c r="BE936" i="4"/>
  <c r="BE1242" i="4"/>
  <c r="BE897" i="4"/>
  <c r="BE1042" i="4"/>
  <c r="BE1216" i="4"/>
  <c r="BE944" i="4"/>
  <c r="BN280" i="4"/>
  <c r="U71" i="64"/>
  <c r="U79" i="64"/>
  <c r="AR931" i="4"/>
  <c r="AR19" i="11"/>
  <c r="AS927" i="4"/>
  <c r="BI814" i="4"/>
  <c r="BI813" i="4"/>
  <c r="BI816" i="4"/>
  <c r="BK759" i="4"/>
  <c r="BK758" i="4"/>
  <c r="BK757" i="4"/>
  <c r="BK756" i="4"/>
  <c r="BM749" i="4"/>
  <c r="BM609" i="4"/>
  <c r="BM627" i="4" s="1"/>
  <c r="BM810" i="4" s="1"/>
  <c r="BM815" i="4" s="1"/>
  <c r="BE961" i="4"/>
  <c r="BE980" i="4"/>
  <c r="BO177" i="4"/>
  <c r="BO267" i="4"/>
  <c r="BN282" i="4"/>
  <c r="BI111" i="64"/>
  <c r="BI776" i="4"/>
  <c r="BI115" i="64" s="1"/>
  <c r="BI775" i="4"/>
  <c r="BI114" i="64" s="1"/>
  <c r="BI774" i="4"/>
  <c r="BI113" i="64" s="1"/>
  <c r="BI773" i="4"/>
  <c r="BI112" i="64" s="1"/>
  <c r="BN284" i="4"/>
  <c r="BM719" i="4"/>
  <c r="S983" i="4"/>
  <c r="S21" i="66"/>
  <c r="I147" i="15" s="1"/>
  <c r="S106" i="64"/>
  <c r="BF819" i="4"/>
  <c r="BF825" i="4" s="1"/>
  <c r="BF826" i="4" s="1"/>
  <c r="BF893" i="4" s="1"/>
  <c r="BF895" i="4"/>
  <c r="BF957" i="4" s="1"/>
  <c r="BP161" i="4"/>
  <c r="BP233" i="4"/>
  <c r="BP255" i="4"/>
  <c r="BP207" i="4"/>
  <c r="BP269" i="4" s="1"/>
  <c r="BP283" i="4" s="1"/>
  <c r="BP168" i="4"/>
  <c r="BP175" i="4"/>
  <c r="BP160" i="4"/>
  <c r="BP173" i="4"/>
  <c r="BP232" i="4"/>
  <c r="BP205" i="4"/>
  <c r="BP206" i="4"/>
  <c r="BP167" i="4"/>
  <c r="BP256" i="4"/>
  <c r="BP209" i="4"/>
  <c r="BP208" i="4"/>
  <c r="BP210" i="4"/>
  <c r="BP169" i="4"/>
  <c r="BP176" i="4"/>
  <c r="BP257" i="4"/>
  <c r="BP204" i="4"/>
  <c r="BP254" i="4"/>
  <c r="BP234" i="4"/>
  <c r="BP162" i="4"/>
  <c r="BP166" i="4"/>
  <c r="BP159" i="4"/>
  <c r="BP174" i="4"/>
  <c r="BP231" i="4"/>
  <c r="BP211" i="4"/>
  <c r="BQ85" i="4"/>
  <c r="BO258" i="4"/>
  <c r="BO271" i="4"/>
  <c r="BL1345" i="4"/>
  <c r="BL1310" i="4"/>
  <c r="W937" i="4"/>
  <c r="W938" i="4" s="1"/>
  <c r="W939" i="4" s="1"/>
  <c r="W951" i="4" s="1"/>
  <c r="BN875" i="4"/>
  <c r="BN876" i="4"/>
  <c r="BN877" i="4"/>
  <c r="BN1032" i="4"/>
  <c r="BN1033" i="4" s="1"/>
  <c r="BN1034" i="4" s="1"/>
  <c r="BN908" i="4" s="1"/>
  <c r="BN874" i="4"/>
  <c r="BN818" i="4"/>
  <c r="BN896" i="4" s="1"/>
  <c r="BN859" i="4"/>
  <c r="BN862" i="4"/>
  <c r="BN861" i="4"/>
  <c r="BN860" i="4"/>
  <c r="BN869" i="4"/>
  <c r="BN870" i="4"/>
  <c r="BN871" i="4"/>
  <c r="BN878" i="4"/>
  <c r="BN616" i="4"/>
  <c r="BN613" i="4"/>
  <c r="BN614" i="4" s="1"/>
  <c r="BN620" i="4" s="1"/>
  <c r="BN606" i="4"/>
  <c r="BN608" i="4" s="1"/>
  <c r="BN666" i="4"/>
  <c r="BN667" i="4"/>
  <c r="BN618" i="4"/>
  <c r="BN668" i="4"/>
  <c r="BO79" i="4"/>
  <c r="BN717" i="4"/>
  <c r="BN716" i="4"/>
  <c r="BN718" i="4"/>
  <c r="BM1041" i="4"/>
  <c r="BM1241" i="4"/>
  <c r="BM65" i="62"/>
  <c r="BM1214" i="4"/>
  <c r="BM81" i="11"/>
  <c r="BM82" i="11" s="1"/>
  <c r="BM33" i="66"/>
  <c r="BM32" i="66" s="1"/>
  <c r="BO266" i="4"/>
  <c r="BO170" i="4"/>
  <c r="BK794" i="4" l="1"/>
  <c r="BK795" i="4"/>
  <c r="BK772" i="4"/>
  <c r="BK776" i="4" s="1"/>
  <c r="BK791" i="4"/>
  <c r="BK792" i="4"/>
  <c r="BK765" i="4"/>
  <c r="BK768" i="4"/>
  <c r="BK767" i="4"/>
  <c r="BK809" i="4"/>
  <c r="BK814" i="4" s="1"/>
  <c r="BJ928" i="4"/>
  <c r="BJ684" i="4"/>
  <c r="BJ956" i="4" s="1"/>
  <c r="BJ1215" i="4"/>
  <c r="BJ1050" i="4"/>
  <c r="BJ111" i="64"/>
  <c r="BJ119" i="64" s="1"/>
  <c r="BJ65" i="64" s="1"/>
  <c r="BJ776" i="4"/>
  <c r="BJ115" i="64" s="1"/>
  <c r="BJ773" i="4"/>
  <c r="BJ112" i="64" s="1"/>
  <c r="BJ775" i="4"/>
  <c r="BJ114" i="64" s="1"/>
  <c r="BJ44" i="11"/>
  <c r="BJ1257" i="4"/>
  <c r="BJ992" i="4"/>
  <c r="X13" i="72"/>
  <c r="BJ816" i="4"/>
  <c r="BJ813" i="4"/>
  <c r="X69" i="67"/>
  <c r="BH121" i="64"/>
  <c r="BG819" i="4"/>
  <c r="BG825" i="4" s="1"/>
  <c r="BG826" i="4" s="1"/>
  <c r="BG893" i="4" s="1"/>
  <c r="BG895" i="4"/>
  <c r="BG957" i="4" s="1"/>
  <c r="V972" i="4"/>
  <c r="W968" i="4" s="1"/>
  <c r="W971" i="4" s="1"/>
  <c r="W105" i="64" s="1"/>
  <c r="W63" i="64" s="1"/>
  <c r="BM879" i="4"/>
  <c r="W1245" i="4"/>
  <c r="W77" i="11"/>
  <c r="W1048" i="4"/>
  <c r="W1262" i="4"/>
  <c r="W43" i="66"/>
  <c r="W1220" i="4"/>
  <c r="W23" i="66"/>
  <c r="N77" i="67"/>
  <c r="BO281" i="4"/>
  <c r="BM755" i="4"/>
  <c r="BM754" i="4"/>
  <c r="BN289" i="4"/>
  <c r="BP170" i="4"/>
  <c r="BP266" i="4"/>
  <c r="BP267" i="4"/>
  <c r="BP177" i="4"/>
  <c r="BN609" i="4"/>
  <c r="BN627" i="4" s="1"/>
  <c r="BN810" i="4" s="1"/>
  <c r="BN815" i="4" s="1"/>
  <c r="BN749" i="4"/>
  <c r="BO285" i="4"/>
  <c r="BF1216" i="4"/>
  <c r="BF944" i="4"/>
  <c r="BF936" i="4"/>
  <c r="BF897" i="4"/>
  <c r="BF70" i="11"/>
  <c r="BF1042" i="4"/>
  <c r="BF1242" i="4"/>
  <c r="T979" i="4"/>
  <c r="S985" i="4"/>
  <c r="BI119" i="64"/>
  <c r="BI65" i="64" s="1"/>
  <c r="BI116" i="64"/>
  <c r="BM622" i="4"/>
  <c r="BM623" i="4" s="1"/>
  <c r="BM628" i="4"/>
  <c r="BM685" i="4" s="1"/>
  <c r="BM750" i="4"/>
  <c r="BO282" i="4"/>
  <c r="BF980" i="4"/>
  <c r="BF961" i="4"/>
  <c r="BO280" i="4"/>
  <c r="BN719" i="4"/>
  <c r="BE993" i="4"/>
  <c r="BE45" i="11"/>
  <c r="BE46" i="11" s="1"/>
  <c r="BO260" i="4"/>
  <c r="BN677" i="4"/>
  <c r="BN669" i="4"/>
  <c r="BN619" i="4"/>
  <c r="N18" i="67"/>
  <c r="W18" i="11"/>
  <c r="X935" i="4"/>
  <c r="W950" i="4"/>
  <c r="BQ175" i="4"/>
  <c r="BQ161" i="4"/>
  <c r="BQ209" i="4"/>
  <c r="BQ205" i="4"/>
  <c r="BQ167" i="4"/>
  <c r="BQ160" i="4"/>
  <c r="BQ206" i="4"/>
  <c r="BQ207" i="4"/>
  <c r="BQ269" i="4" s="1"/>
  <c r="BQ283" i="4" s="1"/>
  <c r="BQ174" i="4"/>
  <c r="BQ208" i="4"/>
  <c r="BQ168" i="4"/>
  <c r="BQ256" i="4"/>
  <c r="BQ255" i="4"/>
  <c r="BQ232" i="4"/>
  <c r="BQ233" i="4"/>
  <c r="BQ173" i="4"/>
  <c r="BQ166" i="4"/>
  <c r="BQ169" i="4"/>
  <c r="BQ204" i="4"/>
  <c r="BQ210" i="4"/>
  <c r="BQ231" i="4"/>
  <c r="BQ234" i="4"/>
  <c r="BQ159" i="4"/>
  <c r="BQ162" i="4"/>
  <c r="BQ257" i="4"/>
  <c r="BQ254" i="4"/>
  <c r="BQ176" i="4"/>
  <c r="BQ211" i="4"/>
  <c r="BR85" i="4"/>
  <c r="BP271" i="4"/>
  <c r="BP258" i="4"/>
  <c r="BE969" i="4"/>
  <c r="BF970" i="4"/>
  <c r="AS929" i="4"/>
  <c r="AS930" i="4" s="1"/>
  <c r="AS931" i="4" s="1"/>
  <c r="BL758" i="4"/>
  <c r="BL759" i="4"/>
  <c r="BL757" i="4"/>
  <c r="BL756" i="4"/>
  <c r="BO276" i="4"/>
  <c r="BO334" i="4"/>
  <c r="BO960" i="4" s="1"/>
  <c r="Y16" i="72" s="1"/>
  <c r="BO279" i="4"/>
  <c r="BM1345" i="4"/>
  <c r="BM1310" i="4"/>
  <c r="BO876" i="4"/>
  <c r="BO875" i="4"/>
  <c r="BO862" i="4"/>
  <c r="BO859" i="4"/>
  <c r="BO860" i="4"/>
  <c r="BO871" i="4"/>
  <c r="BO818" i="4"/>
  <c r="BO896" i="4" s="1"/>
  <c r="BO877" i="4"/>
  <c r="BO870" i="4"/>
  <c r="BO869" i="4"/>
  <c r="BO1032" i="4"/>
  <c r="BO1033" i="4" s="1"/>
  <c r="BO1034" i="4" s="1"/>
  <c r="BO908" i="4" s="1"/>
  <c r="BO861" i="4"/>
  <c r="BO874" i="4"/>
  <c r="BO878" i="4"/>
  <c r="BO606" i="4"/>
  <c r="BO608" i="4" s="1"/>
  <c r="BO613" i="4"/>
  <c r="BO614" i="4" s="1"/>
  <c r="BO620" i="4" s="1"/>
  <c r="BO616" i="4"/>
  <c r="BO618" i="4"/>
  <c r="BO667" i="4"/>
  <c r="BO666" i="4"/>
  <c r="BO668" i="4"/>
  <c r="BP79" i="4"/>
  <c r="BO716" i="4"/>
  <c r="BO717" i="4"/>
  <c r="BO718" i="4"/>
  <c r="BN296" i="4"/>
  <c r="BN304" i="4" s="1"/>
  <c r="BP212" i="4"/>
  <c r="BP268" i="4"/>
  <c r="X34" i="11"/>
  <c r="Y943" i="4"/>
  <c r="BL676" i="4"/>
  <c r="BL680" i="4" s="1"/>
  <c r="BL889" i="4" s="1"/>
  <c r="BL890" i="4" s="1"/>
  <c r="BL891" i="4" s="1"/>
  <c r="BL629" i="4"/>
  <c r="BL630" i="4" s="1"/>
  <c r="BL751" i="4"/>
  <c r="BL789" i="4"/>
  <c r="BN864" i="4"/>
  <c r="BN865" i="4"/>
  <c r="BN866" i="4"/>
  <c r="BN863" i="4"/>
  <c r="BP270" i="4"/>
  <c r="BP235" i="4"/>
  <c r="BI120" i="64"/>
  <c r="BI64" i="64" s="1"/>
  <c r="V71" i="64"/>
  <c r="V79" i="64"/>
  <c r="BL763" i="4"/>
  <c r="BL762" i="4"/>
  <c r="BL764" i="4"/>
  <c r="BH72" i="64"/>
  <c r="BH80" i="64"/>
  <c r="X44" i="67"/>
  <c r="BK1215" i="4"/>
  <c r="BK992" i="4"/>
  <c r="BK928" i="4"/>
  <c r="BK1050" i="4"/>
  <c r="BK1257" i="4"/>
  <c r="BK684" i="4"/>
  <c r="BK956" i="4" s="1"/>
  <c r="BK44" i="11"/>
  <c r="BK69" i="11"/>
  <c r="BN1041" i="4"/>
  <c r="BN65" i="62"/>
  <c r="BN1214" i="4"/>
  <c r="BN1241" i="4"/>
  <c r="BN33" i="66"/>
  <c r="BN32" i="66" s="1"/>
  <c r="BN81" i="11"/>
  <c r="BN82" i="11" s="1"/>
  <c r="BI777" i="4"/>
  <c r="BP265" i="4"/>
  <c r="BP163" i="4"/>
  <c r="S36" i="64"/>
  <c r="S35" i="64"/>
  <c r="BO284" i="4"/>
  <c r="BH823" i="4"/>
  <c r="BH811" i="4"/>
  <c r="BH817" i="4" s="1"/>
  <c r="X38" i="13"/>
  <c r="BK775" i="4" l="1"/>
  <c r="BK114" i="64" s="1"/>
  <c r="BK111" i="64"/>
  <c r="BK119" i="64" s="1"/>
  <c r="BK65" i="64" s="1"/>
  <c r="BK774" i="4"/>
  <c r="BK113" i="64" s="1"/>
  <c r="BK773" i="4"/>
  <c r="BK112" i="64" s="1"/>
  <c r="BK813" i="4"/>
  <c r="BK816" i="4"/>
  <c r="BK796" i="4"/>
  <c r="BK824" i="4" s="1"/>
  <c r="BK115" i="64"/>
  <c r="BJ116" i="64"/>
  <c r="BJ777" i="4"/>
  <c r="BJ823" i="4" s="1"/>
  <c r="BJ120" i="64"/>
  <c r="BJ64" i="64" s="1"/>
  <c r="BJ80" i="64" s="1"/>
  <c r="BI118" i="64"/>
  <c r="BI121" i="64" s="1"/>
  <c r="BJ118" i="64"/>
  <c r="BN879" i="4"/>
  <c r="BP260" i="4"/>
  <c r="BP1241" i="4" s="1"/>
  <c r="BG980" i="4"/>
  <c r="BG961" i="4"/>
  <c r="BG1216" i="4"/>
  <c r="W39" i="13"/>
  <c r="BG70" i="11"/>
  <c r="BG944" i="4"/>
  <c r="BG1042" i="4"/>
  <c r="BG897" i="4"/>
  <c r="BG1242" i="4"/>
  <c r="BG936" i="4"/>
  <c r="BL768" i="4"/>
  <c r="BL766" i="4"/>
  <c r="BL767" i="4"/>
  <c r="BL765" i="4"/>
  <c r="BL791" i="4"/>
  <c r="BL793" i="4"/>
  <c r="BL794" i="4"/>
  <c r="BL795" i="4"/>
  <c r="BL792" i="4"/>
  <c r="W71" i="64"/>
  <c r="W79" i="64"/>
  <c r="BQ271" i="4"/>
  <c r="BQ258" i="4"/>
  <c r="BN628" i="4"/>
  <c r="BN685" i="4" s="1"/>
  <c r="BN750" i="4"/>
  <c r="BN622" i="4"/>
  <c r="BN623" i="4" s="1"/>
  <c r="BN789" i="4" s="1"/>
  <c r="BF969" i="4"/>
  <c r="BG970" i="4"/>
  <c r="BM789" i="4"/>
  <c r="BM629" i="4"/>
  <c r="BM630" i="4" s="1"/>
  <c r="BM751" i="4"/>
  <c r="BM676" i="4"/>
  <c r="BM680" i="4" s="1"/>
  <c r="BM889" i="4" s="1"/>
  <c r="BM890" i="4" s="1"/>
  <c r="BM891" i="4" s="1"/>
  <c r="BN754" i="4"/>
  <c r="BN755" i="4"/>
  <c r="BL772" i="4"/>
  <c r="BL111" i="64" s="1"/>
  <c r="BL771" i="4"/>
  <c r="Y945" i="4"/>
  <c r="Y946" i="4" s="1"/>
  <c r="Y947" i="4" s="1"/>
  <c r="BO619" i="4"/>
  <c r="AS19" i="11"/>
  <c r="AT927" i="4"/>
  <c r="AT929" i="4" s="1"/>
  <c r="AT930" i="4" s="1"/>
  <c r="BQ170" i="4"/>
  <c r="BQ266" i="4"/>
  <c r="BF993" i="4"/>
  <c r="BF45" i="11"/>
  <c r="BF46" i="11" s="1"/>
  <c r="BL682" i="4"/>
  <c r="BL809" i="4"/>
  <c r="BQ177" i="4"/>
  <c r="BQ267" i="4"/>
  <c r="BH819" i="4"/>
  <c r="BH825" i="4" s="1"/>
  <c r="BH826" i="4" s="1"/>
  <c r="BH893" i="4" s="1"/>
  <c r="BH895" i="4"/>
  <c r="BH957" i="4" s="1"/>
  <c r="BN1345" i="4"/>
  <c r="BN1310" i="4"/>
  <c r="BO719" i="4"/>
  <c r="BO749" i="4"/>
  <c r="BO609" i="4"/>
  <c r="BO627" i="4" s="1"/>
  <c r="BO810" i="4" s="1"/>
  <c r="BO815" i="4" s="1"/>
  <c r="BO296" i="4"/>
  <c r="BO304" i="4" s="1"/>
  <c r="BQ163" i="4"/>
  <c r="BQ265" i="4"/>
  <c r="BI73" i="64"/>
  <c r="BI81" i="64"/>
  <c r="BP281" i="4"/>
  <c r="S37" i="64"/>
  <c r="S51" i="64" s="1"/>
  <c r="BP859" i="4"/>
  <c r="BP878" i="4"/>
  <c r="BP869" i="4"/>
  <c r="BP874" i="4"/>
  <c r="BP870" i="4"/>
  <c r="BP862" i="4"/>
  <c r="BP861" i="4"/>
  <c r="BP1032" i="4"/>
  <c r="BP1033" i="4" s="1"/>
  <c r="BP1034" i="4" s="1"/>
  <c r="BP908" i="4" s="1"/>
  <c r="BP871" i="4"/>
  <c r="BP860" i="4"/>
  <c r="BP875" i="4"/>
  <c r="BP877" i="4"/>
  <c r="BP818" i="4"/>
  <c r="BP896" i="4" s="1"/>
  <c r="BP876" i="4"/>
  <c r="BP606" i="4"/>
  <c r="BP608" i="4" s="1"/>
  <c r="BP613" i="4"/>
  <c r="BP614" i="4" s="1"/>
  <c r="BP620" i="4" s="1"/>
  <c r="BP616" i="4"/>
  <c r="BQ79" i="4"/>
  <c r="BP666" i="4"/>
  <c r="BP667" i="4"/>
  <c r="BP618" i="4"/>
  <c r="BP668" i="4"/>
  <c r="BP716" i="4"/>
  <c r="BP717" i="4"/>
  <c r="BP718" i="4"/>
  <c r="BP285" i="4"/>
  <c r="S35" i="11"/>
  <c r="S20" i="11"/>
  <c r="M20" i="67" s="1"/>
  <c r="S987" i="4"/>
  <c r="BP280" i="4"/>
  <c r="BI823" i="4"/>
  <c r="BI811" i="4"/>
  <c r="BI817" i="4" s="1"/>
  <c r="BI80" i="64"/>
  <c r="BI72" i="64"/>
  <c r="BP282" i="4"/>
  <c r="BR233" i="4"/>
  <c r="BR168" i="4"/>
  <c r="BR160" i="4"/>
  <c r="BR161" i="4"/>
  <c r="BR175" i="4"/>
  <c r="BR232" i="4"/>
  <c r="BR256" i="4"/>
  <c r="BR255" i="4"/>
  <c r="BR167" i="4"/>
  <c r="BR207" i="4"/>
  <c r="BR269" i="4" s="1"/>
  <c r="BR283" i="4" s="1"/>
  <c r="BR205" i="4"/>
  <c r="BR209" i="4"/>
  <c r="BR208" i="4"/>
  <c r="BR174" i="4"/>
  <c r="BR206" i="4"/>
  <c r="BR204" i="4"/>
  <c r="BR254" i="4"/>
  <c r="BR162" i="4"/>
  <c r="BR159" i="4"/>
  <c r="BR210" i="4"/>
  <c r="BR173" i="4"/>
  <c r="BR169" i="4"/>
  <c r="BR231" i="4"/>
  <c r="BR257" i="4"/>
  <c r="BR234" i="4"/>
  <c r="BR166" i="4"/>
  <c r="BS85" i="4"/>
  <c r="BR211" i="4"/>
  <c r="BR176" i="4"/>
  <c r="BQ270" i="4"/>
  <c r="BQ235" i="4"/>
  <c r="X937" i="4"/>
  <c r="X938" i="4" s="1"/>
  <c r="X939" i="4" s="1"/>
  <c r="X951" i="4" s="1"/>
  <c r="Y81" i="67"/>
  <c r="Y82" i="67" s="1"/>
  <c r="BO33" i="66"/>
  <c r="BO32" i="66" s="1"/>
  <c r="BO1214" i="4"/>
  <c r="BO65" i="62"/>
  <c r="BO1041" i="4"/>
  <c r="BO1241" i="4"/>
  <c r="BO81" i="11"/>
  <c r="BO82" i="11" s="1"/>
  <c r="T982" i="4"/>
  <c r="T983" i="4" s="1"/>
  <c r="V981" i="4"/>
  <c r="BM759" i="4"/>
  <c r="BM757" i="4"/>
  <c r="BM756" i="4"/>
  <c r="BM758" i="4"/>
  <c r="BO669" i="4"/>
  <c r="BO677" i="4"/>
  <c r="BO863" i="4"/>
  <c r="BO865" i="4"/>
  <c r="BO866" i="4"/>
  <c r="BO864" i="4"/>
  <c r="BO289" i="4"/>
  <c r="BM762" i="4"/>
  <c r="BM764" i="4"/>
  <c r="BM763" i="4"/>
  <c r="BP334" i="4"/>
  <c r="BP960" i="4" s="1"/>
  <c r="BP276" i="4"/>
  <c r="BP279" i="4"/>
  <c r="BP284" i="4"/>
  <c r="BJ73" i="64"/>
  <c r="BJ81" i="64"/>
  <c r="W972" i="4"/>
  <c r="X968" i="4" s="1"/>
  <c r="BQ268" i="4"/>
  <c r="BQ212" i="4"/>
  <c r="BK777" i="4" l="1"/>
  <c r="BK823" i="4" s="1"/>
  <c r="BK120" i="64"/>
  <c r="BK64" i="64" s="1"/>
  <c r="BK80" i="64" s="1"/>
  <c r="BK116" i="64"/>
  <c r="BJ811" i="4"/>
  <c r="BJ817" i="4" s="1"/>
  <c r="BJ895" i="4" s="1"/>
  <c r="BJ957" i="4" s="1"/>
  <c r="BJ72" i="64"/>
  <c r="BJ121" i="64"/>
  <c r="BP1041" i="4"/>
  <c r="BP1214" i="4"/>
  <c r="BP33" i="66"/>
  <c r="BP32" i="66" s="1"/>
  <c r="BP65" i="62"/>
  <c r="BP81" i="11"/>
  <c r="BP82" i="11" s="1"/>
  <c r="BP1310" i="4" s="1"/>
  <c r="BH970" i="4"/>
  <c r="BG969" i="4"/>
  <c r="BP719" i="4"/>
  <c r="W45" i="67"/>
  <c r="W46" i="67" s="1"/>
  <c r="BG993" i="4"/>
  <c r="BG45" i="11"/>
  <c r="BG46" i="11" s="1"/>
  <c r="BO879" i="4"/>
  <c r="BL119" i="64"/>
  <c r="BL65" i="64" s="1"/>
  <c r="X1262" i="4"/>
  <c r="X1220" i="4"/>
  <c r="X23" i="66"/>
  <c r="X43" i="66"/>
  <c r="X1245" i="4"/>
  <c r="X1048" i="4"/>
  <c r="X77" i="11"/>
  <c r="BS255" i="4"/>
  <c r="BS233" i="4"/>
  <c r="BS207" i="4"/>
  <c r="BS269" i="4" s="1"/>
  <c r="BS283" i="4" s="1"/>
  <c r="BS174" i="4"/>
  <c r="BS206" i="4"/>
  <c r="BS175" i="4"/>
  <c r="BS168" i="4"/>
  <c r="BS256" i="4"/>
  <c r="BS160" i="4"/>
  <c r="BS232" i="4"/>
  <c r="BS205" i="4"/>
  <c r="BS167" i="4"/>
  <c r="BS161" i="4"/>
  <c r="BS208" i="4"/>
  <c r="BS209" i="4"/>
  <c r="BS162" i="4"/>
  <c r="BS210" i="4"/>
  <c r="BS166" i="4"/>
  <c r="BS159" i="4"/>
  <c r="BS257" i="4"/>
  <c r="BS169" i="4"/>
  <c r="BS254" i="4"/>
  <c r="BS204" i="4"/>
  <c r="BS231" i="4"/>
  <c r="BS173" i="4"/>
  <c r="BS234" i="4"/>
  <c r="BS176" i="4"/>
  <c r="BS211" i="4"/>
  <c r="BT85" i="4"/>
  <c r="BM766" i="4"/>
  <c r="BM767" i="4"/>
  <c r="BM765" i="4"/>
  <c r="BM768" i="4"/>
  <c r="BR266" i="4"/>
  <c r="BR170" i="4"/>
  <c r="M35" i="67"/>
  <c r="M33" i="67" s="1"/>
  <c r="S33" i="11"/>
  <c r="S1387" i="4" s="1"/>
  <c r="AT931" i="4"/>
  <c r="AU927" i="4"/>
  <c r="AT19" i="11"/>
  <c r="BN757" i="4"/>
  <c r="BN759" i="4"/>
  <c r="BN758" i="4"/>
  <c r="BN756" i="4"/>
  <c r="BN676" i="4"/>
  <c r="BN680" i="4" s="1"/>
  <c r="BN889" i="4" s="1"/>
  <c r="BN890" i="4" s="1"/>
  <c r="BN891" i="4" s="1"/>
  <c r="BN629" i="4"/>
  <c r="BN630" i="4" s="1"/>
  <c r="BN751" i="4"/>
  <c r="T106" i="64"/>
  <c r="T21" i="66"/>
  <c r="BR271" i="4"/>
  <c r="BR258" i="4"/>
  <c r="BP296" i="4"/>
  <c r="BP304" i="4" s="1"/>
  <c r="BH980" i="4"/>
  <c r="BH961" i="4"/>
  <c r="BL813" i="4"/>
  <c r="BL814" i="4"/>
  <c r="BL816" i="4"/>
  <c r="BN764" i="4"/>
  <c r="BN762" i="4"/>
  <c r="BN763" i="4"/>
  <c r="BP289" i="4"/>
  <c r="BN793" i="4"/>
  <c r="BN791" i="4"/>
  <c r="BN794" i="4"/>
  <c r="BN795" i="4"/>
  <c r="BN792" i="4"/>
  <c r="X971" i="4"/>
  <c r="X105" i="64" s="1"/>
  <c r="X63" i="64" s="1"/>
  <c r="BO1345" i="4"/>
  <c r="Y12" i="13" s="1"/>
  <c r="BO1310" i="4"/>
  <c r="Y935" i="4"/>
  <c r="Y937" i="4" s="1"/>
  <c r="Y938" i="4" s="1"/>
  <c r="X18" i="11"/>
  <c r="X950" i="4"/>
  <c r="BR212" i="4"/>
  <c r="BR268" i="4"/>
  <c r="BH944" i="4"/>
  <c r="BH936" i="4"/>
  <c r="BH1042" i="4"/>
  <c r="BH1216" i="4"/>
  <c r="BH897" i="4"/>
  <c r="BH70" i="11"/>
  <c r="BH1242" i="4"/>
  <c r="BL69" i="11"/>
  <c r="BL928" i="4"/>
  <c r="BL44" i="11"/>
  <c r="BL992" i="4"/>
  <c r="BL1215" i="4"/>
  <c r="BL1257" i="4"/>
  <c r="BL1050" i="4"/>
  <c r="BL684" i="4"/>
  <c r="BL956" i="4" s="1"/>
  <c r="BR270" i="4"/>
  <c r="BR235" i="4"/>
  <c r="BP677" i="4"/>
  <c r="BP669" i="4"/>
  <c r="BO754" i="4"/>
  <c r="BO755" i="4"/>
  <c r="BO750" i="4"/>
  <c r="BO622" i="4"/>
  <c r="BO623" i="4" s="1"/>
  <c r="BO628" i="4"/>
  <c r="BO685" i="4" s="1"/>
  <c r="BM771" i="4"/>
  <c r="BM772" i="4"/>
  <c r="BR265" i="4"/>
  <c r="BR163" i="4"/>
  <c r="BQ282" i="4"/>
  <c r="BQ284" i="4"/>
  <c r="BQ861" i="4"/>
  <c r="BQ870" i="4"/>
  <c r="BQ878" i="4"/>
  <c r="BQ818" i="4"/>
  <c r="BQ896" i="4" s="1"/>
  <c r="BQ876" i="4"/>
  <c r="BQ871" i="4"/>
  <c r="BQ860" i="4"/>
  <c r="BQ875" i="4"/>
  <c r="BQ859" i="4"/>
  <c r="BQ869" i="4"/>
  <c r="BQ862" i="4"/>
  <c r="BQ874" i="4"/>
  <c r="BQ1032" i="4"/>
  <c r="BQ1033" i="4" s="1"/>
  <c r="BQ1034" i="4" s="1"/>
  <c r="BQ908" i="4" s="1"/>
  <c r="BQ877" i="4"/>
  <c r="BQ613" i="4"/>
  <c r="BQ614" i="4" s="1"/>
  <c r="BQ620" i="4" s="1"/>
  <c r="BQ616" i="4"/>
  <c r="BQ606" i="4"/>
  <c r="BQ608" i="4" s="1"/>
  <c r="BR79" i="4"/>
  <c r="BQ666" i="4"/>
  <c r="BQ667" i="4"/>
  <c r="BQ618" i="4"/>
  <c r="BQ668" i="4"/>
  <c r="BQ716" i="4"/>
  <c r="BQ717" i="4"/>
  <c r="BQ718" i="4"/>
  <c r="BM809" i="4"/>
  <c r="BM682" i="4"/>
  <c r="BQ285" i="4"/>
  <c r="BR177" i="4"/>
  <c r="BR267" i="4"/>
  <c r="S1258" i="4"/>
  <c r="S1244" i="4"/>
  <c r="S1049" i="4"/>
  <c r="S1219" i="4"/>
  <c r="S1047" i="4"/>
  <c r="S41" i="66"/>
  <c r="I168" i="15" s="1"/>
  <c r="S76" i="11"/>
  <c r="S66" i="62"/>
  <c r="M76" i="67"/>
  <c r="BP619" i="4"/>
  <c r="BP863" i="4"/>
  <c r="BP865" i="4"/>
  <c r="BP864" i="4"/>
  <c r="BP866" i="4"/>
  <c r="BQ334" i="4"/>
  <c r="BQ960" i="4" s="1"/>
  <c r="BQ276" i="4"/>
  <c r="BQ279" i="4"/>
  <c r="BQ280" i="4"/>
  <c r="Y34" i="11"/>
  <c r="Z943" i="4"/>
  <c r="BM794" i="4"/>
  <c r="BM793" i="4"/>
  <c r="BM795" i="4"/>
  <c r="BM791" i="4"/>
  <c r="BM792" i="4"/>
  <c r="BK118" i="64"/>
  <c r="T985" i="4"/>
  <c r="U979" i="4"/>
  <c r="BQ260" i="4"/>
  <c r="BQ281" i="4"/>
  <c r="BL796" i="4"/>
  <c r="BL824" i="4" s="1"/>
  <c r="BI895" i="4"/>
  <c r="BI957" i="4" s="1"/>
  <c r="BI819" i="4"/>
  <c r="BI825" i="4" s="1"/>
  <c r="BI826" i="4" s="1"/>
  <c r="BI893" i="4" s="1"/>
  <c r="BP609" i="4"/>
  <c r="BP627" i="4" s="1"/>
  <c r="BP810" i="4" s="1"/>
  <c r="BP815" i="4" s="1"/>
  <c r="BP749" i="4"/>
  <c r="BL775" i="4"/>
  <c r="BL114" i="64" s="1"/>
  <c r="BL773" i="4"/>
  <c r="BL112" i="64" s="1"/>
  <c r="BL774" i="4"/>
  <c r="BL113" i="64" s="1"/>
  <c r="BL776" i="4"/>
  <c r="BL115" i="64" s="1"/>
  <c r="BK81" i="64"/>
  <c r="BK73" i="64"/>
  <c r="BK72" i="64" l="1"/>
  <c r="BK121" i="64"/>
  <c r="BJ819" i="4"/>
  <c r="BJ825" i="4" s="1"/>
  <c r="BJ826" i="4" s="1"/>
  <c r="BJ893" i="4" s="1"/>
  <c r="BJ70" i="11" s="1"/>
  <c r="BK811" i="4"/>
  <c r="BK817" i="4" s="1"/>
  <c r="BK819" i="4" s="1"/>
  <c r="BK825" i="4" s="1"/>
  <c r="BK826" i="4" s="1"/>
  <c r="BK893" i="4" s="1"/>
  <c r="BP1345" i="4"/>
  <c r="BP879" i="4"/>
  <c r="BL118" i="64"/>
  <c r="BL120" i="64"/>
  <c r="BL64" i="64" s="1"/>
  <c r="BM796" i="4"/>
  <c r="BM824" i="4" s="1"/>
  <c r="BP750" i="4"/>
  <c r="BP622" i="4"/>
  <c r="BP623" i="4" s="1"/>
  <c r="BP628" i="4"/>
  <c r="BP685" i="4" s="1"/>
  <c r="BQ609" i="4"/>
  <c r="BQ627" i="4" s="1"/>
  <c r="BQ810" i="4" s="1"/>
  <c r="BQ815" i="4" s="1"/>
  <c r="BQ749" i="4"/>
  <c r="BQ863" i="4"/>
  <c r="BQ866" i="4"/>
  <c r="BQ864" i="4"/>
  <c r="BQ865" i="4"/>
  <c r="BH969" i="4"/>
  <c r="BI970" i="4"/>
  <c r="BR285" i="4"/>
  <c r="BS267" i="4"/>
  <c r="BS177" i="4"/>
  <c r="BQ619" i="4"/>
  <c r="BR260" i="4"/>
  <c r="BH45" i="11"/>
  <c r="BH46" i="11" s="1"/>
  <c r="BH993" i="4"/>
  <c r="BS270" i="4"/>
  <c r="BS235" i="4"/>
  <c r="U982" i="4"/>
  <c r="U983" i="4" s="1"/>
  <c r="W981" i="4"/>
  <c r="BR281" i="4"/>
  <c r="BQ719" i="4"/>
  <c r="BR334" i="4"/>
  <c r="BR960" i="4" s="1"/>
  <c r="BR276" i="4"/>
  <c r="BR279" i="4"/>
  <c r="Y939" i="4"/>
  <c r="Y951" i="4" s="1"/>
  <c r="Z935" i="4"/>
  <c r="Y18" i="11"/>
  <c r="Y950" i="4"/>
  <c r="BN796" i="4"/>
  <c r="BN824" i="4" s="1"/>
  <c r="BN765" i="4"/>
  <c r="BN766" i="4"/>
  <c r="BN767" i="4"/>
  <c r="BN768" i="4"/>
  <c r="T35" i="64"/>
  <c r="T36" i="64"/>
  <c r="BS212" i="4"/>
  <c r="BS268" i="4"/>
  <c r="BP755" i="4"/>
  <c r="BP754" i="4"/>
  <c r="T20" i="11"/>
  <c r="T35" i="11"/>
  <c r="T33" i="11" s="1"/>
  <c r="T1387" i="4" s="1"/>
  <c r="T987" i="4"/>
  <c r="BM111" i="64"/>
  <c r="BM774" i="4"/>
  <c r="BM113" i="64" s="1"/>
  <c r="BM773" i="4"/>
  <c r="BM112" i="64" s="1"/>
  <c r="BM776" i="4"/>
  <c r="BM115" i="64" s="1"/>
  <c r="BM775" i="4"/>
  <c r="BM114" i="64" s="1"/>
  <c r="BO676" i="4"/>
  <c r="BO680" i="4" s="1"/>
  <c r="BO889" i="4" s="1"/>
  <c r="BO890" i="4" s="1"/>
  <c r="BO891" i="4" s="1"/>
  <c r="BO629" i="4"/>
  <c r="BO630" i="4" s="1"/>
  <c r="BO751" i="4"/>
  <c r="BO789" i="4"/>
  <c r="BR284" i="4"/>
  <c r="BS271" i="4"/>
  <c r="BS258" i="4"/>
  <c r="BL777" i="4"/>
  <c r="Z945" i="4"/>
  <c r="Z946" i="4" s="1"/>
  <c r="Z947" i="4" s="1"/>
  <c r="BO763" i="4"/>
  <c r="BO764" i="4"/>
  <c r="BO762" i="4"/>
  <c r="BN772" i="4"/>
  <c r="BN111" i="64" s="1"/>
  <c r="BN771" i="4"/>
  <c r="BT256" i="4"/>
  <c r="BT233" i="4"/>
  <c r="BT206" i="4"/>
  <c r="BT205" i="4"/>
  <c r="BT174" i="4"/>
  <c r="BT161" i="4"/>
  <c r="BT207" i="4"/>
  <c r="BT269" i="4" s="1"/>
  <c r="BT283" i="4" s="1"/>
  <c r="BT209" i="4"/>
  <c r="BT175" i="4"/>
  <c r="BT255" i="4"/>
  <c r="BT160" i="4"/>
  <c r="BT208" i="4"/>
  <c r="BT168" i="4"/>
  <c r="BT232" i="4"/>
  <c r="BT167" i="4"/>
  <c r="BT173" i="4"/>
  <c r="BT204" i="4"/>
  <c r="BT231" i="4"/>
  <c r="BT159" i="4"/>
  <c r="BT234" i="4"/>
  <c r="BT254" i="4"/>
  <c r="BT162" i="4"/>
  <c r="BT210" i="4"/>
  <c r="BT257" i="4"/>
  <c r="BT169" i="4"/>
  <c r="BT166" i="4"/>
  <c r="BT176" i="4"/>
  <c r="BT211" i="4"/>
  <c r="BU85" i="4"/>
  <c r="BI897" i="4"/>
  <c r="BI70" i="11"/>
  <c r="BI1042" i="4"/>
  <c r="BI1216" i="4"/>
  <c r="BI1242" i="4"/>
  <c r="BI944" i="4"/>
  <c r="BI936" i="4"/>
  <c r="BQ65" i="62"/>
  <c r="BQ33" i="66"/>
  <c r="BQ32" i="66" s="1"/>
  <c r="BQ1241" i="4"/>
  <c r="BQ1214" i="4"/>
  <c r="BQ1041" i="4"/>
  <c r="BQ81" i="11"/>
  <c r="BQ82" i="11" s="1"/>
  <c r="BM816" i="4"/>
  <c r="BM813" i="4"/>
  <c r="BM814" i="4"/>
  <c r="BQ296" i="4"/>
  <c r="BQ304" i="4" s="1"/>
  <c r="BO756" i="4"/>
  <c r="BO758" i="4"/>
  <c r="BO759" i="4"/>
  <c r="BO757" i="4"/>
  <c r="X972" i="4"/>
  <c r="Y968" i="4" s="1"/>
  <c r="BN809" i="4"/>
  <c r="BN682" i="4"/>
  <c r="BM1257" i="4"/>
  <c r="BM69" i="11"/>
  <c r="BM1215" i="4"/>
  <c r="BM1050" i="4"/>
  <c r="BM928" i="4"/>
  <c r="BM992" i="4"/>
  <c r="BM684" i="4"/>
  <c r="BM956" i="4" s="1"/>
  <c r="BM44" i="11"/>
  <c r="BJ961" i="4"/>
  <c r="BJ980" i="4"/>
  <c r="BQ669" i="4"/>
  <c r="BQ677" i="4"/>
  <c r="BR282" i="4"/>
  <c r="X79" i="64"/>
  <c r="X71" i="64"/>
  <c r="AU929" i="4"/>
  <c r="AU930" i="4" s="1"/>
  <c r="BS265" i="4"/>
  <c r="BS163" i="4"/>
  <c r="BL116" i="64"/>
  <c r="BI961" i="4"/>
  <c r="BI980" i="4"/>
  <c r="BQ289" i="4"/>
  <c r="BR861" i="4"/>
  <c r="BR860" i="4"/>
  <c r="BR818" i="4"/>
  <c r="BR896" i="4" s="1"/>
  <c r="BR877" i="4"/>
  <c r="BR862" i="4"/>
  <c r="BR875" i="4"/>
  <c r="BR871" i="4"/>
  <c r="BR1032" i="4"/>
  <c r="BR1033" i="4" s="1"/>
  <c r="BR1034" i="4" s="1"/>
  <c r="BR908" i="4" s="1"/>
  <c r="BR869" i="4"/>
  <c r="BR876" i="4"/>
  <c r="BR859" i="4"/>
  <c r="BR874" i="4"/>
  <c r="BR878" i="4"/>
  <c r="BR870" i="4"/>
  <c r="BR613" i="4"/>
  <c r="BR614" i="4" s="1"/>
  <c r="BR620" i="4" s="1"/>
  <c r="BR606" i="4"/>
  <c r="BR608" i="4" s="1"/>
  <c r="BR616" i="4"/>
  <c r="BS79" i="4"/>
  <c r="BR618" i="4"/>
  <c r="BR666" i="4"/>
  <c r="BR667" i="4"/>
  <c r="BR668" i="4"/>
  <c r="BR716" i="4"/>
  <c r="BR717" i="4"/>
  <c r="BR718" i="4"/>
  <c r="BR280" i="4"/>
  <c r="BS170" i="4"/>
  <c r="BS266" i="4"/>
  <c r="BL73" i="64"/>
  <c r="BL81" i="64"/>
  <c r="BJ1042" i="4" l="1"/>
  <c r="BJ944" i="4"/>
  <c r="BJ936" i="4"/>
  <c r="BJ1216" i="4"/>
  <c r="BJ1242" i="4"/>
  <c r="BJ897" i="4"/>
  <c r="BJ993" i="4" s="1"/>
  <c r="BK895" i="4"/>
  <c r="BK957" i="4" s="1"/>
  <c r="BK961" i="4" s="1"/>
  <c r="BL121" i="64"/>
  <c r="BM120" i="64"/>
  <c r="BM64" i="64" s="1"/>
  <c r="BM80" i="64" s="1"/>
  <c r="BR619" i="4"/>
  <c r="BR628" i="4" s="1"/>
  <c r="BQ879" i="4"/>
  <c r="V979" i="4"/>
  <c r="U985" i="4"/>
  <c r="AU19" i="11"/>
  <c r="T19" i="67"/>
  <c r="AV927" i="4"/>
  <c r="AV929" i="4" s="1"/>
  <c r="AV930" i="4" s="1"/>
  <c r="BP764" i="4"/>
  <c r="BP763" i="4"/>
  <c r="BP762" i="4"/>
  <c r="BN928" i="4"/>
  <c r="BN992" i="4"/>
  <c r="BN1215" i="4"/>
  <c r="BN69" i="11"/>
  <c r="BN684" i="4"/>
  <c r="BN956" i="4" s="1"/>
  <c r="BN1257" i="4"/>
  <c r="BN1050" i="4"/>
  <c r="BN44" i="11"/>
  <c r="BT265" i="4"/>
  <c r="BT163" i="4"/>
  <c r="BO766" i="4"/>
  <c r="BO767" i="4"/>
  <c r="BO765" i="4"/>
  <c r="BO768" i="4"/>
  <c r="T37" i="64"/>
  <c r="T51" i="64" s="1"/>
  <c r="Z937" i="4"/>
  <c r="Z938" i="4" s="1"/>
  <c r="Z939" i="4" s="1"/>
  <c r="Z951" i="4" s="1"/>
  <c r="BS281" i="4"/>
  <c r="BS280" i="4"/>
  <c r="BR719" i="4"/>
  <c r="BI969" i="4"/>
  <c r="BJ970" i="4"/>
  <c r="BN816" i="4"/>
  <c r="BN813" i="4"/>
  <c r="BN814" i="4"/>
  <c r="BQ1310" i="4"/>
  <c r="BQ1345" i="4"/>
  <c r="BT266" i="4"/>
  <c r="BT170" i="4"/>
  <c r="BT235" i="4"/>
  <c r="BT270" i="4"/>
  <c r="Y43" i="66"/>
  <c r="Y1245" i="4"/>
  <c r="Y77" i="11"/>
  <c r="Y1262" i="4"/>
  <c r="Y23" i="66"/>
  <c r="Y1048" i="4"/>
  <c r="Y1220" i="4"/>
  <c r="BR289" i="4"/>
  <c r="BL72" i="64"/>
  <c r="BL80" i="64"/>
  <c r="Y971" i="4"/>
  <c r="Y105" i="64" s="1"/>
  <c r="Y63" i="64" s="1"/>
  <c r="BT268" i="4"/>
  <c r="BT212" i="4"/>
  <c r="BM777" i="4"/>
  <c r="BK1242" i="4"/>
  <c r="BK936" i="4"/>
  <c r="BK1216" i="4"/>
  <c r="BK70" i="11"/>
  <c r="BK1042" i="4"/>
  <c r="BK944" i="4"/>
  <c r="BK897" i="4"/>
  <c r="BT267" i="4"/>
  <c r="BT177" i="4"/>
  <c r="AA943" i="4"/>
  <c r="Z34" i="11"/>
  <c r="BP759" i="4"/>
  <c r="BP757" i="4"/>
  <c r="BP758" i="4"/>
  <c r="BP756" i="4"/>
  <c r="BR81" i="11"/>
  <c r="BR82" i="11" s="1"/>
  <c r="BR33" i="66"/>
  <c r="BR32" i="66" s="1"/>
  <c r="BR1214" i="4"/>
  <c r="BR65" i="62"/>
  <c r="BR1041" i="4"/>
  <c r="BR1241" i="4"/>
  <c r="BQ754" i="4"/>
  <c r="BQ755" i="4"/>
  <c r="BR609" i="4"/>
  <c r="BR627" i="4" s="1"/>
  <c r="BR810" i="4" s="1"/>
  <c r="BR815" i="4" s="1"/>
  <c r="BR749" i="4"/>
  <c r="BN119" i="64"/>
  <c r="BN65" i="64" s="1"/>
  <c r="BR677" i="4"/>
  <c r="BR669" i="4"/>
  <c r="BS260" i="4"/>
  <c r="BN773" i="4"/>
  <c r="BN112" i="64" s="1"/>
  <c r="BN774" i="4"/>
  <c r="BN113" i="64" s="1"/>
  <c r="BN775" i="4"/>
  <c r="BN114" i="64" s="1"/>
  <c r="BN776" i="4"/>
  <c r="BN115" i="64" s="1"/>
  <c r="BL823" i="4"/>
  <c r="BL811" i="4"/>
  <c r="BL817" i="4" s="1"/>
  <c r="BO791" i="4"/>
  <c r="BO795" i="4"/>
  <c r="BO793" i="4"/>
  <c r="BO794" i="4"/>
  <c r="BO792" i="4"/>
  <c r="BM119" i="64"/>
  <c r="BM65" i="64" s="1"/>
  <c r="BM116" i="64"/>
  <c r="U21" i="66"/>
  <c r="U106" i="64"/>
  <c r="BQ628" i="4"/>
  <c r="BQ685" i="4" s="1"/>
  <c r="BQ750" i="4"/>
  <c r="BQ622" i="4"/>
  <c r="BQ623" i="4" s="1"/>
  <c r="BQ789" i="4" s="1"/>
  <c r="BR863" i="4"/>
  <c r="BR866" i="4"/>
  <c r="BR864" i="4"/>
  <c r="BR865" i="4"/>
  <c r="BR296" i="4"/>
  <c r="BR304" i="4" s="1"/>
  <c r="BS334" i="4"/>
  <c r="BS960" i="4" s="1"/>
  <c r="Z16" i="72" s="1"/>
  <c r="BS276" i="4"/>
  <c r="BS279" i="4"/>
  <c r="BI993" i="4"/>
  <c r="BI45" i="11"/>
  <c r="BI46" i="11" s="1"/>
  <c r="BO771" i="4"/>
  <c r="BO772" i="4"/>
  <c r="T1258" i="4"/>
  <c r="T1047" i="4"/>
  <c r="T1219" i="4"/>
  <c r="T76" i="11"/>
  <c r="T41" i="66"/>
  <c r="T1244" i="4"/>
  <c r="T1049" i="4"/>
  <c r="T66" i="62"/>
  <c r="BS282" i="4"/>
  <c r="BS862" i="4"/>
  <c r="BS875" i="4"/>
  <c r="BS871" i="4"/>
  <c r="BS877" i="4"/>
  <c r="BS1032" i="4"/>
  <c r="BS1033" i="4" s="1"/>
  <c r="BS1034" i="4" s="1"/>
  <c r="BS908" i="4" s="1"/>
  <c r="BS861" i="4"/>
  <c r="BS860" i="4"/>
  <c r="BS818" i="4"/>
  <c r="BS896" i="4" s="1"/>
  <c r="BS869" i="4"/>
  <c r="BS878" i="4"/>
  <c r="BS874" i="4"/>
  <c r="BS876" i="4"/>
  <c r="BS859" i="4"/>
  <c r="BS870" i="4"/>
  <c r="BS613" i="4"/>
  <c r="BS614" i="4" s="1"/>
  <c r="BS620" i="4" s="1"/>
  <c r="BS606" i="4"/>
  <c r="BS608" i="4" s="1"/>
  <c r="BS616" i="4"/>
  <c r="BS667" i="4"/>
  <c r="BS666" i="4"/>
  <c r="BT79" i="4"/>
  <c r="BS618" i="4"/>
  <c r="BS668" i="4"/>
  <c r="BS716" i="4"/>
  <c r="BS717" i="4"/>
  <c r="BS718" i="4"/>
  <c r="AU931" i="4"/>
  <c r="BJ969" i="4"/>
  <c r="BK970" i="4"/>
  <c r="BU232" i="4"/>
  <c r="BU256" i="4"/>
  <c r="BU255" i="4"/>
  <c r="BU206" i="4"/>
  <c r="BU205" i="4"/>
  <c r="BU208" i="4"/>
  <c r="BU168" i="4"/>
  <c r="BU167" i="4"/>
  <c r="BU160" i="4"/>
  <c r="BU175" i="4"/>
  <c r="BU233" i="4"/>
  <c r="BU209" i="4"/>
  <c r="BU174" i="4"/>
  <c r="BU207" i="4"/>
  <c r="BU269" i="4" s="1"/>
  <c r="BU283" i="4" s="1"/>
  <c r="BU161" i="4"/>
  <c r="BU166" i="4"/>
  <c r="BU254" i="4"/>
  <c r="BU162" i="4"/>
  <c r="BU234" i="4"/>
  <c r="BU204" i="4"/>
  <c r="BU210" i="4"/>
  <c r="BU257" i="4"/>
  <c r="BU173" i="4"/>
  <c r="BU169" i="4"/>
  <c r="BU231" i="4"/>
  <c r="BU159" i="4"/>
  <c r="BU176" i="4"/>
  <c r="BU211" i="4"/>
  <c r="BV85" i="4"/>
  <c r="BT258" i="4"/>
  <c r="BT271" i="4"/>
  <c r="BS285" i="4"/>
  <c r="BO809" i="4"/>
  <c r="BO682" i="4"/>
  <c r="Y44" i="67" s="1"/>
  <c r="BS284" i="4"/>
  <c r="BP676" i="4"/>
  <c r="BP680" i="4" s="1"/>
  <c r="BP889" i="4" s="1"/>
  <c r="BP890" i="4" s="1"/>
  <c r="BP891" i="4" s="1"/>
  <c r="BP629" i="4"/>
  <c r="BP630" i="4" s="1"/>
  <c r="BP751" i="4"/>
  <c r="BP789" i="4"/>
  <c r="BJ45" i="11" l="1"/>
  <c r="BJ46" i="11" s="1"/>
  <c r="BK980" i="4"/>
  <c r="BM72" i="64"/>
  <c r="Y38" i="13"/>
  <c r="BR622" i="4"/>
  <c r="BR623" i="4" s="1"/>
  <c r="BR676" i="4" s="1"/>
  <c r="BR680" i="4" s="1"/>
  <c r="BR889" i="4" s="1"/>
  <c r="BR890" i="4" s="1"/>
  <c r="BR891" i="4" s="1"/>
  <c r="BR750" i="4"/>
  <c r="BR762" i="4" s="1"/>
  <c r="BS719" i="4"/>
  <c r="Y972" i="4"/>
  <c r="Z968" i="4" s="1"/>
  <c r="Z971" i="4" s="1"/>
  <c r="Z105" i="64" s="1"/>
  <c r="Z63" i="64" s="1"/>
  <c r="BN120" i="64"/>
  <c r="BN64" i="64" s="1"/>
  <c r="BN80" i="64" s="1"/>
  <c r="BR879" i="4"/>
  <c r="BN777" i="4"/>
  <c r="BN823" i="4" s="1"/>
  <c r="BM118" i="64"/>
  <c r="BM121" i="64" s="1"/>
  <c r="Z43" i="66"/>
  <c r="Z1245" i="4"/>
  <c r="Z23" i="66"/>
  <c r="Z1220" i="4"/>
  <c r="Z1048" i="4"/>
  <c r="Z1262" i="4"/>
  <c r="Z77" i="11"/>
  <c r="BQ794" i="4"/>
  <c r="BQ795" i="4"/>
  <c r="BQ793" i="4"/>
  <c r="BQ791" i="4"/>
  <c r="BQ792" i="4"/>
  <c r="BU270" i="4"/>
  <c r="BU235" i="4"/>
  <c r="BS289" i="4"/>
  <c r="U36" i="64"/>
  <c r="U35" i="64"/>
  <c r="Y69" i="67"/>
  <c r="BP768" i="4"/>
  <c r="BP765" i="4"/>
  <c r="BP766" i="4"/>
  <c r="BP767" i="4"/>
  <c r="BR685" i="4"/>
  <c r="BU271" i="4"/>
  <c r="BU258" i="4"/>
  <c r="BU170" i="4"/>
  <c r="BU266" i="4"/>
  <c r="BS863" i="4"/>
  <c r="BS864" i="4"/>
  <c r="BS865" i="4"/>
  <c r="BS866" i="4"/>
  <c r="BR755" i="4"/>
  <c r="BR754" i="4"/>
  <c r="AA945" i="4"/>
  <c r="AA946" i="4" s="1"/>
  <c r="AA947" i="4" s="1"/>
  <c r="BT282" i="4"/>
  <c r="U20" i="11"/>
  <c r="U35" i="11"/>
  <c r="U33" i="11" s="1"/>
  <c r="U1387" i="4" s="1"/>
  <c r="U987" i="4"/>
  <c r="BT285" i="4"/>
  <c r="BU267" i="4"/>
  <c r="BU177" i="4"/>
  <c r="BT818" i="4"/>
  <c r="BT896" i="4" s="1"/>
  <c r="BT877" i="4"/>
  <c r="BT1032" i="4"/>
  <c r="BT1033" i="4" s="1"/>
  <c r="BT1034" i="4" s="1"/>
  <c r="BT908" i="4" s="1"/>
  <c r="BT862" i="4"/>
  <c r="BT874" i="4"/>
  <c r="BT870" i="4"/>
  <c r="BT871" i="4"/>
  <c r="BT869" i="4"/>
  <c r="BT875" i="4"/>
  <c r="BT878" i="4"/>
  <c r="BT876" i="4"/>
  <c r="BT860" i="4"/>
  <c r="BT861" i="4"/>
  <c r="BT859" i="4"/>
  <c r="BT613" i="4"/>
  <c r="BT614" i="4" s="1"/>
  <c r="BT620" i="4" s="1"/>
  <c r="BT606" i="4"/>
  <c r="BT608" i="4" s="1"/>
  <c r="BT616" i="4"/>
  <c r="BU79" i="4"/>
  <c r="BT618" i="4"/>
  <c r="BT666" i="4"/>
  <c r="BT667" i="4"/>
  <c r="BT668" i="4"/>
  <c r="BT716" i="4"/>
  <c r="BT717" i="4"/>
  <c r="BT718" i="4"/>
  <c r="BO796" i="4"/>
  <c r="BO824" i="4" s="1"/>
  <c r="BS1214" i="4"/>
  <c r="BS1241" i="4"/>
  <c r="BS81" i="11"/>
  <c r="BS82" i="11" s="1"/>
  <c r="BS65" i="62"/>
  <c r="BS1041" i="4"/>
  <c r="BS33" i="66"/>
  <c r="BS32" i="66" s="1"/>
  <c r="Z81" i="67"/>
  <c r="Z82" i="67" s="1"/>
  <c r="BR1310" i="4"/>
  <c r="BR1345" i="4"/>
  <c r="BT260" i="4"/>
  <c r="V982" i="4"/>
  <c r="V983" i="4" s="1"/>
  <c r="X981" i="4"/>
  <c r="BS669" i="4"/>
  <c r="BS677" i="4"/>
  <c r="BL895" i="4"/>
  <c r="BL957" i="4" s="1"/>
  <c r="BL819" i="4"/>
  <c r="BL825" i="4" s="1"/>
  <c r="BL826" i="4" s="1"/>
  <c r="BL893" i="4" s="1"/>
  <c r="BQ757" i="4"/>
  <c r="BQ756" i="4"/>
  <c r="BQ758" i="4"/>
  <c r="BQ759" i="4"/>
  <c r="BT281" i="4"/>
  <c r="Y71" i="64"/>
  <c r="Y79" i="64"/>
  <c r="BT284" i="4"/>
  <c r="BT334" i="4"/>
  <c r="BT960" i="4" s="1"/>
  <c r="BT276" i="4"/>
  <c r="BT279" i="4"/>
  <c r="AV931" i="4"/>
  <c r="AV19" i="11"/>
  <c r="AW927" i="4"/>
  <c r="AW929" i="4" s="1"/>
  <c r="AW930" i="4" s="1"/>
  <c r="BV160" i="4"/>
  <c r="BV256" i="4"/>
  <c r="BV255" i="4"/>
  <c r="BV168" i="4"/>
  <c r="BV174" i="4"/>
  <c r="BV208" i="4"/>
  <c r="BV233" i="4"/>
  <c r="BV161" i="4"/>
  <c r="BV175" i="4"/>
  <c r="BV207" i="4"/>
  <c r="BV269" i="4" s="1"/>
  <c r="BV283" i="4" s="1"/>
  <c r="BV209" i="4"/>
  <c r="BV206" i="4"/>
  <c r="BV205" i="4"/>
  <c r="BV232" i="4"/>
  <c r="BV167" i="4"/>
  <c r="BV254" i="4"/>
  <c r="BV210" i="4"/>
  <c r="BV159" i="4"/>
  <c r="BV173" i="4"/>
  <c r="BV162" i="4"/>
  <c r="BV169" i="4"/>
  <c r="BV204" i="4"/>
  <c r="BV166" i="4"/>
  <c r="BV231" i="4"/>
  <c r="BV234" i="4"/>
  <c r="BW85" i="4"/>
  <c r="BV257" i="4"/>
  <c r="BV176" i="4"/>
  <c r="BV211" i="4"/>
  <c r="BK969" i="4"/>
  <c r="BL970" i="4"/>
  <c r="AA935" i="4"/>
  <c r="Z18" i="11"/>
  <c r="Z950" i="4"/>
  <c r="BP791" i="4"/>
  <c r="BP794" i="4"/>
  <c r="BP795" i="4"/>
  <c r="BP792" i="4"/>
  <c r="BP793" i="4"/>
  <c r="BO1257" i="4"/>
  <c r="BO44" i="11"/>
  <c r="BO992" i="4"/>
  <c r="BO69" i="11"/>
  <c r="BO928" i="4"/>
  <c r="BO1050" i="4"/>
  <c r="BO684" i="4"/>
  <c r="BO956" i="4" s="1"/>
  <c r="BO1215" i="4"/>
  <c r="Y13" i="72"/>
  <c r="BO773" i="4"/>
  <c r="BO112" i="64" s="1"/>
  <c r="BO774" i="4"/>
  <c r="BO113" i="64" s="1"/>
  <c r="BO775" i="4"/>
  <c r="BO114" i="64" s="1"/>
  <c r="BO776" i="4"/>
  <c r="BO115" i="64" s="1"/>
  <c r="BO111" i="64"/>
  <c r="BP772" i="4"/>
  <c r="BP771" i="4"/>
  <c r="BO814" i="4"/>
  <c r="BO813" i="4"/>
  <c r="BO816" i="4"/>
  <c r="BU268" i="4"/>
  <c r="BU212" i="4"/>
  <c r="BS619" i="4"/>
  <c r="BQ676" i="4"/>
  <c r="BQ680" i="4" s="1"/>
  <c r="BQ889" i="4" s="1"/>
  <c r="BQ890" i="4" s="1"/>
  <c r="BQ891" i="4" s="1"/>
  <c r="BQ751" i="4"/>
  <c r="BQ629" i="4"/>
  <c r="BQ630" i="4" s="1"/>
  <c r="BM81" i="64"/>
  <c r="BM73" i="64"/>
  <c r="BN118" i="64"/>
  <c r="BP809" i="4"/>
  <c r="BP682" i="4"/>
  <c r="BS609" i="4"/>
  <c r="BS627" i="4" s="1"/>
  <c r="BS810" i="4" s="1"/>
  <c r="BS815" i="4" s="1"/>
  <c r="BS749" i="4"/>
  <c r="BS296" i="4"/>
  <c r="BS304" i="4" s="1"/>
  <c r="BQ764" i="4"/>
  <c r="BQ762" i="4"/>
  <c r="BQ763" i="4"/>
  <c r="BN116" i="64"/>
  <c r="BM823" i="4"/>
  <c r="BM811" i="4"/>
  <c r="BM817" i="4" s="1"/>
  <c r="BT280" i="4"/>
  <c r="BU163" i="4"/>
  <c r="BU265" i="4"/>
  <c r="BN73" i="64"/>
  <c r="BN81" i="64"/>
  <c r="BK993" i="4"/>
  <c r="BK45" i="11"/>
  <c r="BK46" i="11" s="1"/>
  <c r="BR789" i="4" l="1"/>
  <c r="BR791" i="4" s="1"/>
  <c r="BR751" i="4"/>
  <c r="BR771" i="4" s="1"/>
  <c r="BR764" i="4"/>
  <c r="BR765" i="4" s="1"/>
  <c r="BR629" i="4"/>
  <c r="BR630" i="4" s="1"/>
  <c r="BR682" i="4" s="1"/>
  <c r="BR763" i="4"/>
  <c r="BN811" i="4"/>
  <c r="BN817" i="4" s="1"/>
  <c r="BN895" i="4" s="1"/>
  <c r="BN957" i="4" s="1"/>
  <c r="BN961" i="4" s="1"/>
  <c r="BN969" i="4" s="1"/>
  <c r="BN121" i="64"/>
  <c r="BN72" i="64"/>
  <c r="BO120" i="64"/>
  <c r="BO64" i="64" s="1"/>
  <c r="BO80" i="64" s="1"/>
  <c r="BO777" i="4"/>
  <c r="BO823" i="4" s="1"/>
  <c r="BU260" i="4"/>
  <c r="BU1241" i="4" s="1"/>
  <c r="BT619" i="4"/>
  <c r="BT628" i="4" s="1"/>
  <c r="BS879" i="4"/>
  <c r="BS754" i="4"/>
  <c r="BS755" i="4"/>
  <c r="BU282" i="4"/>
  <c r="W979" i="4"/>
  <c r="V985" i="4"/>
  <c r="U37" i="64"/>
  <c r="U51" i="64" s="1"/>
  <c r="BP796" i="4"/>
  <c r="BP824" i="4" s="1"/>
  <c r="BT289" i="4"/>
  <c r="V106" i="64"/>
  <c r="V21" i="66"/>
  <c r="BT677" i="4"/>
  <c r="BT669" i="4"/>
  <c r="U41" i="66"/>
  <c r="U1258" i="4"/>
  <c r="U1219" i="4"/>
  <c r="U1244" i="4"/>
  <c r="U76" i="11"/>
  <c r="U1049" i="4"/>
  <c r="U1047" i="4"/>
  <c r="U66" i="62"/>
  <c r="BQ768" i="4"/>
  <c r="BQ767" i="4"/>
  <c r="BQ766" i="4"/>
  <c r="BQ765" i="4"/>
  <c r="BQ682" i="4"/>
  <c r="BQ809" i="4"/>
  <c r="BV267" i="4"/>
  <c r="BV177" i="4"/>
  <c r="BL897" i="4"/>
  <c r="BL70" i="11"/>
  <c r="BL1042" i="4"/>
  <c r="BL936" i="4"/>
  <c r="BL1216" i="4"/>
  <c r="BL1242" i="4"/>
  <c r="BL944" i="4"/>
  <c r="BT65" i="62"/>
  <c r="BT1041" i="4"/>
  <c r="BT1214" i="4"/>
  <c r="BT33" i="66"/>
  <c r="BT32" i="66" s="1"/>
  <c r="BT81" i="11"/>
  <c r="BT82" i="11" s="1"/>
  <c r="BT1241" i="4"/>
  <c r="O34" i="67"/>
  <c r="AB943" i="4"/>
  <c r="AA34" i="11"/>
  <c r="BU276" i="4"/>
  <c r="BU334" i="4"/>
  <c r="BU960" i="4" s="1"/>
  <c r="BU279" i="4"/>
  <c r="BP1215" i="4"/>
  <c r="BP44" i="11"/>
  <c r="BP1050" i="4"/>
  <c r="BP69" i="11"/>
  <c r="BP992" i="4"/>
  <c r="BP928" i="4"/>
  <c r="BP684" i="4"/>
  <c r="BP956" i="4" s="1"/>
  <c r="BP1257" i="4"/>
  <c r="BQ772" i="4"/>
  <c r="BQ111" i="64" s="1"/>
  <c r="BQ771" i="4"/>
  <c r="BW207" i="4"/>
  <c r="BW269" i="4" s="1"/>
  <c r="BW283" i="4" s="1"/>
  <c r="BW233" i="4"/>
  <c r="BW256" i="4"/>
  <c r="BW232" i="4"/>
  <c r="BW255" i="4"/>
  <c r="BW205" i="4"/>
  <c r="BW167" i="4"/>
  <c r="BW208" i="4"/>
  <c r="BW174" i="4"/>
  <c r="BW175" i="4"/>
  <c r="BW209" i="4"/>
  <c r="BW168" i="4"/>
  <c r="BW206" i="4"/>
  <c r="BW160" i="4"/>
  <c r="BW159" i="4"/>
  <c r="BW169" i="4"/>
  <c r="BW254" i="4"/>
  <c r="BW161" i="4"/>
  <c r="BW173" i="4"/>
  <c r="BW166" i="4"/>
  <c r="BW231" i="4"/>
  <c r="BW257" i="4"/>
  <c r="BW210" i="4"/>
  <c r="BW234" i="4"/>
  <c r="BW204" i="4"/>
  <c r="BW162" i="4"/>
  <c r="BW176" i="4"/>
  <c r="BW211" i="4"/>
  <c r="BX85" i="4"/>
  <c r="BV265" i="4"/>
  <c r="BV163" i="4"/>
  <c r="BL980" i="4"/>
  <c r="BL961" i="4"/>
  <c r="Z972" i="4"/>
  <c r="AA968" i="4" s="1"/>
  <c r="BS1345" i="4"/>
  <c r="BS1310" i="4"/>
  <c r="BU859" i="4"/>
  <c r="BU871" i="4"/>
  <c r="BU870" i="4"/>
  <c r="BU862" i="4"/>
  <c r="BU818" i="4"/>
  <c r="BU896" i="4" s="1"/>
  <c r="BU861" i="4"/>
  <c r="BU1032" i="4"/>
  <c r="BU1033" i="4" s="1"/>
  <c r="BU1034" i="4" s="1"/>
  <c r="BU908" i="4" s="1"/>
  <c r="BU860" i="4"/>
  <c r="BU876" i="4"/>
  <c r="BU874" i="4"/>
  <c r="BU875" i="4"/>
  <c r="BU869" i="4"/>
  <c r="BU878" i="4"/>
  <c r="BU877" i="4"/>
  <c r="BU606" i="4"/>
  <c r="BU608" i="4" s="1"/>
  <c r="BU613" i="4"/>
  <c r="BU614" i="4" s="1"/>
  <c r="BU620" i="4" s="1"/>
  <c r="BU616" i="4"/>
  <c r="BV79" i="4"/>
  <c r="BU667" i="4"/>
  <c r="BU666" i="4"/>
  <c r="BU668" i="4"/>
  <c r="BU618" i="4"/>
  <c r="BU716" i="4"/>
  <c r="BU717" i="4"/>
  <c r="BU718" i="4"/>
  <c r="BU280" i="4"/>
  <c r="AA937" i="4"/>
  <c r="AA938" i="4" s="1"/>
  <c r="AA939" i="4" s="1"/>
  <c r="AA951" i="4" s="1"/>
  <c r="Z79" i="64"/>
  <c r="Z71" i="64"/>
  <c r="BT296" i="4"/>
  <c r="BT304" i="4" s="1"/>
  <c r="BR758" i="4"/>
  <c r="BR759" i="4"/>
  <c r="BR756" i="4"/>
  <c r="BR757" i="4"/>
  <c r="BM895" i="4"/>
  <c r="BM957" i="4" s="1"/>
  <c r="BM819" i="4"/>
  <c r="BM825" i="4" s="1"/>
  <c r="BM826" i="4" s="1"/>
  <c r="BM893" i="4" s="1"/>
  <c r="BV270" i="4"/>
  <c r="BV235" i="4"/>
  <c r="BV271" i="4"/>
  <c r="BV258" i="4"/>
  <c r="BT609" i="4"/>
  <c r="BT627" i="4" s="1"/>
  <c r="BT810" i="4" s="1"/>
  <c r="BT815" i="4" s="1"/>
  <c r="BT749" i="4"/>
  <c r="BU284" i="4"/>
  <c r="BP814" i="4"/>
  <c r="BP816" i="4"/>
  <c r="BP813" i="4"/>
  <c r="BS628" i="4"/>
  <c r="BS685" i="4" s="1"/>
  <c r="BS750" i="4"/>
  <c r="BS622" i="4"/>
  <c r="BS623" i="4" s="1"/>
  <c r="BP775" i="4"/>
  <c r="BP114" i="64" s="1"/>
  <c r="BP776" i="4"/>
  <c r="BP115" i="64" s="1"/>
  <c r="BP773" i="4"/>
  <c r="BP112" i="64" s="1"/>
  <c r="BP774" i="4"/>
  <c r="BP113" i="64" s="1"/>
  <c r="BP111" i="64"/>
  <c r="BV266" i="4"/>
  <c r="BV170" i="4"/>
  <c r="AW931" i="4"/>
  <c r="AW19" i="11"/>
  <c r="AX927" i="4"/>
  <c r="BT719" i="4"/>
  <c r="BU281" i="4"/>
  <c r="BU285" i="4"/>
  <c r="BO119" i="64"/>
  <c r="BO65" i="64" s="1"/>
  <c r="BO116" i="64"/>
  <c r="BV268" i="4"/>
  <c r="BV212" i="4"/>
  <c r="BT866" i="4"/>
  <c r="BT865" i="4"/>
  <c r="BT864" i="4"/>
  <c r="BT863" i="4"/>
  <c r="BQ796" i="4"/>
  <c r="BQ824" i="4" s="1"/>
  <c r="BR793" i="4" l="1"/>
  <c r="BR795" i="4"/>
  <c r="BR794" i="4"/>
  <c r="BR792" i="4"/>
  <c r="BR772" i="4"/>
  <c r="BR111" i="64" s="1"/>
  <c r="BR119" i="64" s="1"/>
  <c r="BR65" i="64" s="1"/>
  <c r="BR767" i="4"/>
  <c r="BR809" i="4"/>
  <c r="BR813" i="4" s="1"/>
  <c r="BR768" i="4"/>
  <c r="BR766" i="4"/>
  <c r="BO970" i="4"/>
  <c r="BO72" i="64"/>
  <c r="BN819" i="4"/>
  <c r="BN825" i="4" s="1"/>
  <c r="BN826" i="4" s="1"/>
  <c r="BN893" i="4" s="1"/>
  <c r="BU1041" i="4"/>
  <c r="BN980" i="4"/>
  <c r="BU65" i="62"/>
  <c r="BT622" i="4"/>
  <c r="BT623" i="4" s="1"/>
  <c r="BT789" i="4" s="1"/>
  <c r="BT750" i="4"/>
  <c r="BT764" i="4" s="1"/>
  <c r="BO811" i="4"/>
  <c r="BO817" i="4" s="1"/>
  <c r="BO895" i="4" s="1"/>
  <c r="BO957" i="4" s="1"/>
  <c r="BO980" i="4" s="1"/>
  <c r="BU1214" i="4"/>
  <c r="BU33" i="66"/>
  <c r="BU32" i="66" s="1"/>
  <c r="BU81" i="11"/>
  <c r="BU82" i="11" s="1"/>
  <c r="BU1345" i="4" s="1"/>
  <c r="BT879" i="4"/>
  <c r="BT685" i="4"/>
  <c r="BO118" i="64"/>
  <c r="BO121" i="64" s="1"/>
  <c r="BU719" i="4"/>
  <c r="BV282" i="4"/>
  <c r="AA971" i="4"/>
  <c r="AA105" i="64" s="1"/>
  <c r="AA63" i="64" s="1"/>
  <c r="BW266" i="4"/>
  <c r="BW170" i="4"/>
  <c r="BQ776" i="4"/>
  <c r="BQ115" i="64" s="1"/>
  <c r="BQ775" i="4"/>
  <c r="BQ114" i="64" s="1"/>
  <c r="BQ774" i="4"/>
  <c r="BQ113" i="64" s="1"/>
  <c r="BQ773" i="4"/>
  <c r="BQ112" i="64" s="1"/>
  <c r="BV280" i="4"/>
  <c r="BS789" i="4"/>
  <c r="BS629" i="4"/>
  <c r="BS630" i="4" s="1"/>
  <c r="BS751" i="4"/>
  <c r="BS676" i="4"/>
  <c r="BS680" i="4" s="1"/>
  <c r="BS889" i="4" s="1"/>
  <c r="BS890" i="4" s="1"/>
  <c r="BS891" i="4" s="1"/>
  <c r="BV285" i="4"/>
  <c r="BU296" i="4"/>
  <c r="BU304" i="4" s="1"/>
  <c r="BL969" i="4"/>
  <c r="BM970" i="4"/>
  <c r="BW267" i="4"/>
  <c r="BW177" i="4"/>
  <c r="BU289" i="4"/>
  <c r="BV281" i="4"/>
  <c r="BO81" i="64"/>
  <c r="BO73" i="64"/>
  <c r="BS763" i="4"/>
  <c r="BS762" i="4"/>
  <c r="BS764" i="4"/>
  <c r="BR44" i="11"/>
  <c r="BR992" i="4"/>
  <c r="BR69" i="11"/>
  <c r="BR928" i="4"/>
  <c r="BR684" i="4"/>
  <c r="BR956" i="4" s="1"/>
  <c r="BR1050" i="4"/>
  <c r="BR1215" i="4"/>
  <c r="BR1257" i="4"/>
  <c r="BU677" i="4"/>
  <c r="BU669" i="4"/>
  <c r="BQ816" i="4"/>
  <c r="BQ813" i="4"/>
  <c r="BQ814" i="4"/>
  <c r="V36" i="64"/>
  <c r="V35" i="64"/>
  <c r="V20" i="11"/>
  <c r="V35" i="11"/>
  <c r="V33" i="11" s="1"/>
  <c r="V1387" i="4" s="1"/>
  <c r="V987" i="4"/>
  <c r="BV284" i="4"/>
  <c r="BW212" i="4"/>
  <c r="BW268" i="4"/>
  <c r="BW271" i="4"/>
  <c r="BW258" i="4"/>
  <c r="BT1310" i="4"/>
  <c r="BT1345" i="4"/>
  <c r="BQ44" i="11"/>
  <c r="BQ69" i="11"/>
  <c r="BQ1257" i="4"/>
  <c r="BQ1050" i="4"/>
  <c r="BQ684" i="4"/>
  <c r="BQ956" i="4" s="1"/>
  <c r="BQ928" i="4"/>
  <c r="BQ992" i="4"/>
  <c r="BQ1215" i="4"/>
  <c r="W982" i="4"/>
  <c r="W983" i="4" s="1"/>
  <c r="Y981" i="4"/>
  <c r="BP116" i="64"/>
  <c r="BP119" i="64"/>
  <c r="BP65" i="64" s="1"/>
  <c r="BV862" i="4"/>
  <c r="BV875" i="4"/>
  <c r="BV869" i="4"/>
  <c r="BV871" i="4"/>
  <c r="BV860" i="4"/>
  <c r="BV877" i="4"/>
  <c r="BV861" i="4"/>
  <c r="BV859" i="4"/>
  <c r="BV876" i="4"/>
  <c r="BV870" i="4"/>
  <c r="BV818" i="4"/>
  <c r="BV896" i="4" s="1"/>
  <c r="BV874" i="4"/>
  <c r="BV878" i="4"/>
  <c r="BV1032" i="4"/>
  <c r="BV1033" i="4" s="1"/>
  <c r="BV1034" i="4" s="1"/>
  <c r="BV908" i="4" s="1"/>
  <c r="BV613" i="4"/>
  <c r="BV614" i="4" s="1"/>
  <c r="BV620" i="4" s="1"/>
  <c r="BV606" i="4"/>
  <c r="BV608" i="4" s="1"/>
  <c r="BV616" i="4"/>
  <c r="BW79" i="4"/>
  <c r="BV618" i="4"/>
  <c r="BV666" i="4"/>
  <c r="BV667" i="4"/>
  <c r="BV668" i="4"/>
  <c r="BV717" i="4"/>
  <c r="BV716" i="4"/>
  <c r="BV718" i="4"/>
  <c r="AX929" i="4"/>
  <c r="AX930" i="4" s="1"/>
  <c r="AX931" i="4" s="1"/>
  <c r="BT754" i="4"/>
  <c r="BT755" i="4"/>
  <c r="AA77" i="11"/>
  <c r="AA1262" i="4"/>
  <c r="AA1220" i="4"/>
  <c r="AA1048" i="4"/>
  <c r="AA43" i="66"/>
  <c r="K170" i="15" s="1"/>
  <c r="AA23" i="66"/>
  <c r="K149" i="15" s="1"/>
  <c r="AA1245" i="4"/>
  <c r="O77" i="67"/>
  <c r="BU619" i="4"/>
  <c r="BU866" i="4"/>
  <c r="BU864" i="4"/>
  <c r="BU865" i="4"/>
  <c r="BU863" i="4"/>
  <c r="BV260" i="4"/>
  <c r="BW265" i="4"/>
  <c r="BW163" i="4"/>
  <c r="BS759" i="4"/>
  <c r="BS757" i="4"/>
  <c r="BS758" i="4"/>
  <c r="BS756" i="4"/>
  <c r="BP120" i="64"/>
  <c r="BP64" i="64" s="1"/>
  <c r="BM70" i="11"/>
  <c r="BM936" i="4"/>
  <c r="BM944" i="4"/>
  <c r="BM897" i="4"/>
  <c r="BM1242" i="4"/>
  <c r="BM1042" i="4"/>
  <c r="BM1216" i="4"/>
  <c r="AA18" i="11"/>
  <c r="AB935" i="4"/>
  <c r="O18" i="67"/>
  <c r="AA950" i="4"/>
  <c r="BV334" i="4"/>
  <c r="BV960" i="4" s="1"/>
  <c r="BV276" i="4"/>
  <c r="BV279" i="4"/>
  <c r="AB945" i="4"/>
  <c r="AB946" i="4" s="1"/>
  <c r="AB947" i="4" s="1"/>
  <c r="BP777" i="4"/>
  <c r="BQ119" i="64"/>
  <c r="BQ65" i="64" s="1"/>
  <c r="BM980" i="4"/>
  <c r="BM961" i="4"/>
  <c r="BU609" i="4"/>
  <c r="BU627" i="4" s="1"/>
  <c r="BU810" i="4" s="1"/>
  <c r="BU815" i="4" s="1"/>
  <c r="BU749" i="4"/>
  <c r="Z12" i="13"/>
  <c r="Z47" i="13"/>
  <c r="BX175" i="4"/>
  <c r="BX255" i="4"/>
  <c r="BX207" i="4"/>
  <c r="BX269" i="4" s="1"/>
  <c r="BX283" i="4" s="1"/>
  <c r="BX209" i="4"/>
  <c r="BX174" i="4"/>
  <c r="BX205" i="4"/>
  <c r="BX256" i="4"/>
  <c r="BX167" i="4"/>
  <c r="BX161" i="4"/>
  <c r="BX233" i="4"/>
  <c r="BX208" i="4"/>
  <c r="BX168" i="4"/>
  <c r="BX232" i="4"/>
  <c r="BX160" i="4"/>
  <c r="BX206" i="4"/>
  <c r="BX257" i="4"/>
  <c r="BX254" i="4"/>
  <c r="BX210" i="4"/>
  <c r="BX234" i="4"/>
  <c r="BX169" i="4"/>
  <c r="BX162" i="4"/>
  <c r="BX231" i="4"/>
  <c r="BX166" i="4"/>
  <c r="BX159" i="4"/>
  <c r="BX204" i="4"/>
  <c r="BY85" i="4"/>
  <c r="BX173" i="4"/>
  <c r="BX211" i="4"/>
  <c r="BX176" i="4"/>
  <c r="BW270" i="4"/>
  <c r="BW235" i="4"/>
  <c r="BL993" i="4"/>
  <c r="BL45" i="11"/>
  <c r="BL46" i="11" s="1"/>
  <c r="BR776" i="4" l="1"/>
  <c r="BR115" i="64" s="1"/>
  <c r="BR774" i="4"/>
  <c r="BR113" i="64" s="1"/>
  <c r="BR775" i="4"/>
  <c r="BR114" i="64" s="1"/>
  <c r="BR773" i="4"/>
  <c r="BR112" i="64" s="1"/>
  <c r="BR796" i="4"/>
  <c r="BR824" i="4" s="1"/>
  <c r="BR816" i="4"/>
  <c r="BR814" i="4"/>
  <c r="BT676" i="4"/>
  <c r="BT680" i="4" s="1"/>
  <c r="BT889" i="4" s="1"/>
  <c r="BT890" i="4" s="1"/>
  <c r="BT891" i="4" s="1"/>
  <c r="BU1310" i="4"/>
  <c r="BT762" i="4"/>
  <c r="BT763" i="4"/>
  <c r="BN944" i="4"/>
  <c r="BN1216" i="4"/>
  <c r="BN897" i="4"/>
  <c r="BN1042" i="4"/>
  <c r="BN1242" i="4"/>
  <c r="BN936" i="4"/>
  <c r="BN70" i="11"/>
  <c r="BT751" i="4"/>
  <c r="BT771" i="4" s="1"/>
  <c r="BT629" i="4"/>
  <c r="BT630" i="4" s="1"/>
  <c r="BT809" i="4" s="1"/>
  <c r="BO819" i="4"/>
  <c r="BO825" i="4" s="1"/>
  <c r="BO826" i="4" s="1"/>
  <c r="BO893" i="4" s="1"/>
  <c r="BO1242" i="4" s="1"/>
  <c r="BO961" i="4"/>
  <c r="BQ116" i="64"/>
  <c r="BQ777" i="4"/>
  <c r="BQ823" i="4" s="1"/>
  <c r="BR118" i="64"/>
  <c r="AA972" i="4"/>
  <c r="AB968" i="4" s="1"/>
  <c r="AB971" i="4" s="1"/>
  <c r="AB105" i="64" s="1"/>
  <c r="AB63" i="64" s="1"/>
  <c r="BP118" i="64"/>
  <c r="BP121" i="64" s="1"/>
  <c r="BU879" i="4"/>
  <c r="BV619" i="4"/>
  <c r="BV622" i="4" s="1"/>
  <c r="BV623" i="4" s="1"/>
  <c r="BV789" i="4" s="1"/>
  <c r="X979" i="4"/>
  <c r="W985" i="4"/>
  <c r="BW284" i="4"/>
  <c r="BU755" i="4"/>
  <c r="BU754" i="4"/>
  <c r="BX212" i="4"/>
  <c r="BX268" i="4"/>
  <c r="BX258" i="4"/>
  <c r="BX271" i="4"/>
  <c r="BM969" i="4"/>
  <c r="BN970" i="4"/>
  <c r="BW260" i="4"/>
  <c r="AA81" i="67" s="1"/>
  <c r="AA82" i="67" s="1"/>
  <c r="BU628" i="4"/>
  <c r="BU685" i="4" s="1"/>
  <c r="BU750" i="4"/>
  <c r="BU622" i="4"/>
  <c r="BU623" i="4" s="1"/>
  <c r="BW859" i="4"/>
  <c r="BW1032" i="4"/>
  <c r="BW1033" i="4" s="1"/>
  <c r="BW1034" i="4" s="1"/>
  <c r="BW908" i="4" s="1"/>
  <c r="BW875" i="4"/>
  <c r="BW862" i="4"/>
  <c r="BW878" i="4"/>
  <c r="BW877" i="4"/>
  <c r="BW874" i="4"/>
  <c r="BW876" i="4"/>
  <c r="BW818" i="4"/>
  <c r="BW896" i="4" s="1"/>
  <c r="BW869" i="4"/>
  <c r="BW860" i="4"/>
  <c r="BW861" i="4"/>
  <c r="BW871" i="4"/>
  <c r="BW870" i="4"/>
  <c r="BW613" i="4"/>
  <c r="BW614" i="4" s="1"/>
  <c r="BW620" i="4" s="1"/>
  <c r="BW616" i="4"/>
  <c r="BW606" i="4"/>
  <c r="BW608" i="4" s="1"/>
  <c r="BX79" i="4"/>
  <c r="BW618" i="4"/>
  <c r="BW666" i="4"/>
  <c r="BW667" i="4"/>
  <c r="BW668" i="4"/>
  <c r="BW717" i="4"/>
  <c r="BW716" i="4"/>
  <c r="BW718" i="4"/>
  <c r="BT767" i="4"/>
  <c r="BT766" i="4"/>
  <c r="BT768" i="4"/>
  <c r="BT765" i="4"/>
  <c r="BW280" i="4"/>
  <c r="BW334" i="4"/>
  <c r="BW960" i="4" s="1"/>
  <c r="AA16" i="72" s="1"/>
  <c r="BW276" i="4"/>
  <c r="BW279" i="4"/>
  <c r="V1258" i="4"/>
  <c r="V1219" i="4"/>
  <c r="V76" i="11"/>
  <c r="V1244" i="4"/>
  <c r="V1047" i="4"/>
  <c r="V41" i="66"/>
  <c r="V1049" i="4"/>
  <c r="V66" i="62"/>
  <c r="BS765" i="4"/>
  <c r="BS766" i="4"/>
  <c r="BS768" i="4"/>
  <c r="BS767" i="4"/>
  <c r="BX170" i="4"/>
  <c r="BX266" i="4"/>
  <c r="BQ118" i="64"/>
  <c r="AC943" i="4"/>
  <c r="AB34" i="11"/>
  <c r="AB937" i="4"/>
  <c r="AB938" i="4" s="1"/>
  <c r="AB939" i="4" s="1"/>
  <c r="AB951" i="4" s="1"/>
  <c r="BV33" i="66"/>
  <c r="BV32" i="66" s="1"/>
  <c r="BV1241" i="4"/>
  <c r="BV81" i="11"/>
  <c r="BV82" i="11" s="1"/>
  <c r="BV65" i="62"/>
  <c r="BV1041" i="4"/>
  <c r="BV1214" i="4"/>
  <c r="BT759" i="4"/>
  <c r="BT758" i="4"/>
  <c r="BT757" i="4"/>
  <c r="BT756" i="4"/>
  <c r="BV719" i="4"/>
  <c r="BV609" i="4"/>
  <c r="BV627" i="4" s="1"/>
  <c r="BV810" i="4" s="1"/>
  <c r="BV815" i="4" s="1"/>
  <c r="BV749" i="4"/>
  <c r="BV866" i="4"/>
  <c r="BV864" i="4"/>
  <c r="BV865" i="4"/>
  <c r="BV863" i="4"/>
  <c r="BW285" i="4"/>
  <c r="AA71" i="64"/>
  <c r="AA79" i="64"/>
  <c r="BX270" i="4"/>
  <c r="BX235" i="4"/>
  <c r="BQ73" i="64"/>
  <c r="BQ81" i="64"/>
  <c r="BW282" i="4"/>
  <c r="BW281" i="4"/>
  <c r="BT792" i="4"/>
  <c r="BT793" i="4"/>
  <c r="BT794" i="4"/>
  <c r="BT791" i="4"/>
  <c r="BT795" i="4"/>
  <c r="BQ120" i="64"/>
  <c r="BQ64" i="64" s="1"/>
  <c r="W106" i="64"/>
  <c r="W21" i="66"/>
  <c r="BX265" i="4"/>
  <c r="BX163" i="4"/>
  <c r="BP823" i="4"/>
  <c r="BP811" i="4"/>
  <c r="BP817" i="4" s="1"/>
  <c r="AY927" i="4"/>
  <c r="AY929" i="4" s="1"/>
  <c r="AY930" i="4" s="1"/>
  <c r="AX19" i="11"/>
  <c r="BP81" i="64"/>
  <c r="BP73" i="64"/>
  <c r="V37" i="64"/>
  <c r="V51" i="64" s="1"/>
  <c r="BS771" i="4"/>
  <c r="BS772" i="4"/>
  <c r="BR73" i="64"/>
  <c r="BR81" i="64"/>
  <c r="BV289" i="4"/>
  <c r="BX267" i="4"/>
  <c r="BX177" i="4"/>
  <c r="BV669" i="4"/>
  <c r="BV677" i="4"/>
  <c r="BS682" i="4"/>
  <c r="BS809" i="4"/>
  <c r="BP80" i="64"/>
  <c r="BP72" i="64"/>
  <c r="BY205" i="4"/>
  <c r="BY174" i="4"/>
  <c r="BY209" i="4"/>
  <c r="BY175" i="4"/>
  <c r="BY168" i="4"/>
  <c r="BY159" i="4"/>
  <c r="BY256" i="4"/>
  <c r="BY206" i="4"/>
  <c r="BY233" i="4"/>
  <c r="BY167" i="4"/>
  <c r="BY208" i="4"/>
  <c r="BY255" i="4"/>
  <c r="BY232" i="4"/>
  <c r="BY207" i="4"/>
  <c r="BY269" i="4" s="1"/>
  <c r="BY283" i="4" s="1"/>
  <c r="BY161" i="4"/>
  <c r="BY204" i="4"/>
  <c r="BY169" i="4"/>
  <c r="BY231" i="4"/>
  <c r="BY166" i="4"/>
  <c r="BY160" i="4"/>
  <c r="BY254" i="4"/>
  <c r="BY210" i="4"/>
  <c r="BY257" i="4"/>
  <c r="BY162" i="4"/>
  <c r="BY234" i="4"/>
  <c r="BY173" i="4"/>
  <c r="BY211" i="4"/>
  <c r="BY176" i="4"/>
  <c r="BZ85" i="4"/>
  <c r="BM993" i="4"/>
  <c r="BM45" i="11"/>
  <c r="BM46" i="11" s="1"/>
  <c r="BV296" i="4"/>
  <c r="BV304" i="4" s="1"/>
  <c r="BS792" i="4"/>
  <c r="BS794" i="4"/>
  <c r="BS793" i="4"/>
  <c r="BS791" i="4"/>
  <c r="BS795" i="4"/>
  <c r="BR777" i="4" l="1"/>
  <c r="BR811" i="4" s="1"/>
  <c r="BR817" i="4" s="1"/>
  <c r="BR116" i="64"/>
  <c r="BR120" i="64"/>
  <c r="BR64" i="64" s="1"/>
  <c r="BR72" i="64" s="1"/>
  <c r="BT682" i="4"/>
  <c r="BT69" i="11" s="1"/>
  <c r="BQ811" i="4"/>
  <c r="BQ817" i="4" s="1"/>
  <c r="BQ895" i="4" s="1"/>
  <c r="BQ957" i="4" s="1"/>
  <c r="BQ980" i="4" s="1"/>
  <c r="BT772" i="4"/>
  <c r="BT111" i="64" s="1"/>
  <c r="BT119" i="64" s="1"/>
  <c r="BT65" i="64" s="1"/>
  <c r="BV750" i="4"/>
  <c r="BV762" i="4" s="1"/>
  <c r="BN45" i="11"/>
  <c r="BN46" i="11" s="1"/>
  <c r="BN993" i="4"/>
  <c r="BO944" i="4"/>
  <c r="BO969" i="4"/>
  <c r="BP970" i="4"/>
  <c r="BO1042" i="4"/>
  <c r="Y39" i="13"/>
  <c r="BO897" i="4"/>
  <c r="BO1216" i="4"/>
  <c r="BO936" i="4"/>
  <c r="BO70" i="11"/>
  <c r="BV628" i="4"/>
  <c r="BV685" i="4" s="1"/>
  <c r="BV879" i="4"/>
  <c r="BQ121" i="64"/>
  <c r="BW619" i="4"/>
  <c r="BW750" i="4" s="1"/>
  <c r="BT796" i="4"/>
  <c r="BT824" i="4" s="1"/>
  <c r="AB972" i="4"/>
  <c r="AC968" i="4" s="1"/>
  <c r="AC971" i="4" s="1"/>
  <c r="AC105" i="64" s="1"/>
  <c r="AC63" i="64" s="1"/>
  <c r="AB1245" i="4"/>
  <c r="AB77" i="11"/>
  <c r="AB1048" i="4"/>
  <c r="AB1220" i="4"/>
  <c r="AB43" i="66"/>
  <c r="AB1262" i="4"/>
  <c r="AB23" i="66"/>
  <c r="BV794" i="4"/>
  <c r="BV791" i="4"/>
  <c r="BV793" i="4"/>
  <c r="BV795" i="4"/>
  <c r="BV792" i="4"/>
  <c r="BY235" i="4"/>
  <c r="BY270" i="4"/>
  <c r="AY931" i="4"/>
  <c r="AY19" i="11"/>
  <c r="U19" i="67"/>
  <c r="AZ927" i="4"/>
  <c r="BX818" i="4"/>
  <c r="BX896" i="4" s="1"/>
  <c r="BX871" i="4"/>
  <c r="BX859" i="4"/>
  <c r="BX861" i="4"/>
  <c r="BX869" i="4"/>
  <c r="BX860" i="4"/>
  <c r="BX1032" i="4"/>
  <c r="BX1033" i="4" s="1"/>
  <c r="BX1034" i="4" s="1"/>
  <c r="BX908" i="4" s="1"/>
  <c r="BX862" i="4"/>
  <c r="BX870" i="4"/>
  <c r="BX878" i="4"/>
  <c r="BX875" i="4"/>
  <c r="BX877" i="4"/>
  <c r="BX876" i="4"/>
  <c r="BX874" i="4"/>
  <c r="BX606" i="4"/>
  <c r="BX608" i="4" s="1"/>
  <c r="BX613" i="4"/>
  <c r="BX614" i="4" s="1"/>
  <c r="BX620" i="4" s="1"/>
  <c r="BX616" i="4"/>
  <c r="BY79" i="4"/>
  <c r="BX618" i="4"/>
  <c r="BX667" i="4"/>
  <c r="BX666" i="4"/>
  <c r="BX668" i="4"/>
  <c r="BX716" i="4"/>
  <c r="BX717" i="4"/>
  <c r="BX718" i="4"/>
  <c r="BY177" i="4"/>
  <c r="BY267" i="4"/>
  <c r="BX281" i="4"/>
  <c r="BP895" i="4"/>
  <c r="BP957" i="4" s="1"/>
  <c r="BP819" i="4"/>
  <c r="BP825" i="4" s="1"/>
  <c r="BP826" i="4" s="1"/>
  <c r="BP893" i="4" s="1"/>
  <c r="BX284" i="4"/>
  <c r="BT814" i="4"/>
  <c r="BT813" i="4"/>
  <c r="BT816" i="4"/>
  <c r="BW749" i="4"/>
  <c r="BW609" i="4"/>
  <c r="BW627" i="4" s="1"/>
  <c r="BW810" i="4" s="1"/>
  <c r="BW815" i="4" s="1"/>
  <c r="BW296" i="4"/>
  <c r="BW304" i="4" s="1"/>
  <c r="BW865" i="4"/>
  <c r="BW864" i="4"/>
  <c r="BW863" i="4"/>
  <c r="BW866" i="4"/>
  <c r="BX285" i="4"/>
  <c r="W36" i="64"/>
  <c r="W35" i="64"/>
  <c r="BV754" i="4"/>
  <c r="BV755" i="4"/>
  <c r="AB18" i="11"/>
  <c r="AC935" i="4"/>
  <c r="AB950" i="4"/>
  <c r="AB79" i="64"/>
  <c r="AB71" i="64"/>
  <c r="BW289" i="4"/>
  <c r="BW719" i="4"/>
  <c r="BU789" i="4"/>
  <c r="BU629" i="4"/>
  <c r="BU630" i="4" s="1"/>
  <c r="BU751" i="4"/>
  <c r="BU676" i="4"/>
  <c r="BU680" i="4" s="1"/>
  <c r="BU889" i="4" s="1"/>
  <c r="BU890" i="4" s="1"/>
  <c r="BU891" i="4" s="1"/>
  <c r="BX260" i="4"/>
  <c r="BU763" i="4"/>
  <c r="BU764" i="4"/>
  <c r="BU762" i="4"/>
  <c r="BX282" i="4"/>
  <c r="BR823" i="4"/>
  <c r="BY265" i="4"/>
  <c r="BY163" i="4"/>
  <c r="BS814" i="4"/>
  <c r="BS816" i="4"/>
  <c r="BS813" i="4"/>
  <c r="BX276" i="4"/>
  <c r="BX334" i="4"/>
  <c r="BX960" i="4" s="1"/>
  <c r="BX279" i="4"/>
  <c r="AC945" i="4"/>
  <c r="AC946" i="4" s="1"/>
  <c r="AC947" i="4" s="1"/>
  <c r="BY212" i="4"/>
  <c r="BY268" i="4"/>
  <c r="BY258" i="4"/>
  <c r="BY271" i="4"/>
  <c r="BV676" i="4"/>
  <c r="BV680" i="4" s="1"/>
  <c r="BV889" i="4" s="1"/>
  <c r="BV890" i="4" s="1"/>
  <c r="BV891" i="4" s="1"/>
  <c r="BV629" i="4"/>
  <c r="BV751" i="4"/>
  <c r="BW81" i="11"/>
  <c r="BW82" i="11" s="1"/>
  <c r="BW1041" i="4"/>
  <c r="BW33" i="66"/>
  <c r="BW32" i="66" s="1"/>
  <c r="BW1214" i="4"/>
  <c r="BW65" i="62"/>
  <c r="BW1241" i="4"/>
  <c r="W20" i="11"/>
  <c r="N20" i="67" s="1"/>
  <c r="W35" i="11"/>
  <c r="W987" i="4"/>
  <c r="BZ208" i="4"/>
  <c r="BZ168" i="4"/>
  <c r="BZ174" i="4"/>
  <c r="BZ233" i="4"/>
  <c r="BZ167" i="4"/>
  <c r="BZ175" i="4"/>
  <c r="BZ160" i="4"/>
  <c r="BZ161" i="4"/>
  <c r="BZ206" i="4"/>
  <c r="BZ207" i="4"/>
  <c r="BZ269" i="4" s="1"/>
  <c r="BZ283" i="4" s="1"/>
  <c r="BZ205" i="4"/>
  <c r="BZ255" i="4"/>
  <c r="BZ159" i="4"/>
  <c r="BZ234" i="4"/>
  <c r="BZ209" i="4"/>
  <c r="BZ210" i="4"/>
  <c r="BZ204" i="4"/>
  <c r="BZ254" i="4"/>
  <c r="BZ173" i="4"/>
  <c r="BZ232" i="4"/>
  <c r="BZ166" i="4"/>
  <c r="BZ169" i="4"/>
  <c r="BZ162" i="4"/>
  <c r="BZ231" i="4"/>
  <c r="BZ256" i="4"/>
  <c r="BZ211" i="4"/>
  <c r="CA85" i="4"/>
  <c r="BZ257" i="4"/>
  <c r="BZ176" i="4"/>
  <c r="Z13" i="72"/>
  <c r="BS928" i="4"/>
  <c r="BS69" i="11"/>
  <c r="BS1215" i="4"/>
  <c r="BS1050" i="4"/>
  <c r="BS1257" i="4"/>
  <c r="BS44" i="11"/>
  <c r="BS992" i="4"/>
  <c r="BS684" i="4"/>
  <c r="BS956" i="4" s="1"/>
  <c r="Z44" i="67"/>
  <c r="Z69" i="67"/>
  <c r="Z38" i="13"/>
  <c r="BS111" i="64"/>
  <c r="BS775" i="4"/>
  <c r="BS114" i="64" s="1"/>
  <c r="BS776" i="4"/>
  <c r="BS115" i="64" s="1"/>
  <c r="BS774" i="4"/>
  <c r="BS113" i="64" s="1"/>
  <c r="BS773" i="4"/>
  <c r="BS112" i="64" s="1"/>
  <c r="BV1310" i="4"/>
  <c r="BV1345" i="4"/>
  <c r="BX280" i="4"/>
  <c r="BW669" i="4"/>
  <c r="BW677" i="4"/>
  <c r="BU756" i="4"/>
  <c r="BU759" i="4"/>
  <c r="BU758" i="4"/>
  <c r="BU757" i="4"/>
  <c r="X982" i="4"/>
  <c r="X983" i="4" s="1"/>
  <c r="Z981" i="4"/>
  <c r="BS796" i="4"/>
  <c r="BS824" i="4" s="1"/>
  <c r="BY170" i="4"/>
  <c r="BY266" i="4"/>
  <c r="BQ72" i="64"/>
  <c r="BQ80" i="64"/>
  <c r="BR80" i="64" l="1"/>
  <c r="BT1257" i="4"/>
  <c r="BR121" i="64"/>
  <c r="BT775" i="4"/>
  <c r="BT114" i="64" s="1"/>
  <c r="BV764" i="4"/>
  <c r="BV766" i="4" s="1"/>
  <c r="BV763" i="4"/>
  <c r="BT684" i="4"/>
  <c r="BT956" i="4" s="1"/>
  <c r="BT992" i="4"/>
  <c r="BT1215" i="4"/>
  <c r="BT44" i="11"/>
  <c r="BT928" i="4"/>
  <c r="BT1050" i="4"/>
  <c r="BQ819" i="4"/>
  <c r="BQ825" i="4" s="1"/>
  <c r="BQ826" i="4" s="1"/>
  <c r="BQ893" i="4" s="1"/>
  <c r="BQ936" i="4" s="1"/>
  <c r="BW628" i="4"/>
  <c r="BW685" i="4" s="1"/>
  <c r="BQ961" i="4"/>
  <c r="BQ969" i="4" s="1"/>
  <c r="BT773" i="4"/>
  <c r="BT112" i="64" s="1"/>
  <c r="BT774" i="4"/>
  <c r="BT113" i="64" s="1"/>
  <c r="BT776" i="4"/>
  <c r="BT115" i="64" s="1"/>
  <c r="BV630" i="4"/>
  <c r="BV809" i="4" s="1"/>
  <c r="Y45" i="67"/>
  <c r="Y46" i="67" s="1"/>
  <c r="BO45" i="11"/>
  <c r="BO46" i="11" s="1"/>
  <c r="BO993" i="4"/>
  <c r="BW622" i="4"/>
  <c r="BW623" i="4" s="1"/>
  <c r="BW789" i="4" s="1"/>
  <c r="BW795" i="4" s="1"/>
  <c r="BX619" i="4"/>
  <c r="BX628" i="4" s="1"/>
  <c r="AC972" i="4"/>
  <c r="AD968" i="4" s="1"/>
  <c r="AD971" i="4" s="1"/>
  <c r="AD105" i="64" s="1"/>
  <c r="AD63" i="64" s="1"/>
  <c r="W37" i="64"/>
  <c r="W51" i="64" s="1"/>
  <c r="BW879" i="4"/>
  <c r="X985" i="4"/>
  <c r="Y979" i="4"/>
  <c r="BT81" i="64"/>
  <c r="BT73" i="64"/>
  <c r="BZ170" i="4"/>
  <c r="BZ266" i="4"/>
  <c r="BZ163" i="4"/>
  <c r="BZ265" i="4"/>
  <c r="BW1310" i="4"/>
  <c r="BW1345" i="4"/>
  <c r="AA47" i="13" s="1"/>
  <c r="BY282" i="4"/>
  <c r="BX1241" i="4"/>
  <c r="BX33" i="66"/>
  <c r="BX32" i="66" s="1"/>
  <c r="BX1214" i="4"/>
  <c r="BX81" i="11"/>
  <c r="BX82" i="11" s="1"/>
  <c r="BX65" i="62"/>
  <c r="BX1041" i="4"/>
  <c r="BU772" i="4"/>
  <c r="BU771" i="4"/>
  <c r="BY878" i="4"/>
  <c r="BY1032" i="4"/>
  <c r="BY1033" i="4" s="1"/>
  <c r="BY1034" i="4" s="1"/>
  <c r="BY908" i="4" s="1"/>
  <c r="BY871" i="4"/>
  <c r="BY870" i="4"/>
  <c r="BY877" i="4"/>
  <c r="BY859" i="4"/>
  <c r="BY875" i="4"/>
  <c r="BY860" i="4"/>
  <c r="BY862" i="4"/>
  <c r="BY876" i="4"/>
  <c r="BY874" i="4"/>
  <c r="BY861" i="4"/>
  <c r="BY869" i="4"/>
  <c r="BY818" i="4"/>
  <c r="BY896" i="4" s="1"/>
  <c r="BY613" i="4"/>
  <c r="BY614" i="4" s="1"/>
  <c r="BY620" i="4" s="1"/>
  <c r="BY606" i="4"/>
  <c r="BY608" i="4" s="1"/>
  <c r="BY616" i="4"/>
  <c r="BZ79" i="4"/>
  <c r="BY666" i="4"/>
  <c r="BY618" i="4"/>
  <c r="BY667" i="4"/>
  <c r="BY668" i="4"/>
  <c r="BY716" i="4"/>
  <c r="BY717" i="4"/>
  <c r="BY718" i="4"/>
  <c r="AZ929" i="4"/>
  <c r="AZ930" i="4" s="1"/>
  <c r="X106" i="64"/>
  <c r="X21" i="66"/>
  <c r="BV771" i="4"/>
  <c r="BV772" i="4"/>
  <c r="BX289" i="4"/>
  <c r="BY260" i="4"/>
  <c r="BU809" i="4"/>
  <c r="BU682" i="4"/>
  <c r="BX296" i="4"/>
  <c r="BX304" i="4" s="1"/>
  <c r="BV796" i="4"/>
  <c r="BV824" i="4" s="1"/>
  <c r="BS120" i="64"/>
  <c r="BS64" i="64" s="1"/>
  <c r="CA207" i="4"/>
  <c r="CA269" i="4" s="1"/>
  <c r="CA283" i="4" s="1"/>
  <c r="CA233" i="4"/>
  <c r="CA168" i="4"/>
  <c r="CA208" i="4"/>
  <c r="CA174" i="4"/>
  <c r="CA232" i="4"/>
  <c r="CA160" i="4"/>
  <c r="CA255" i="4"/>
  <c r="CA161" i="4"/>
  <c r="CA209" i="4"/>
  <c r="CA206" i="4"/>
  <c r="CA175" i="4"/>
  <c r="CA256" i="4"/>
  <c r="CA205" i="4"/>
  <c r="CA167" i="4"/>
  <c r="CA173" i="4"/>
  <c r="CA169" i="4"/>
  <c r="CA231" i="4"/>
  <c r="CA159" i="4"/>
  <c r="CA162" i="4"/>
  <c r="CA257" i="4"/>
  <c r="CA234" i="4"/>
  <c r="CA204" i="4"/>
  <c r="CA254" i="4"/>
  <c r="CA210" i="4"/>
  <c r="CA166" i="4"/>
  <c r="CA211" i="4"/>
  <c r="CA176" i="4"/>
  <c r="CB85" i="4"/>
  <c r="BZ177" i="4"/>
  <c r="BZ267" i="4"/>
  <c r="BY334" i="4"/>
  <c r="BY960" i="4" s="1"/>
  <c r="BY276" i="4"/>
  <c r="BY279" i="4"/>
  <c r="BU793" i="4"/>
  <c r="BU795" i="4"/>
  <c r="BU794" i="4"/>
  <c r="BU792" i="4"/>
  <c r="BU791" i="4"/>
  <c r="AC937" i="4"/>
  <c r="AC938" i="4" s="1"/>
  <c r="AC939" i="4" s="1"/>
  <c r="AC951" i="4" s="1"/>
  <c r="AC79" i="64"/>
  <c r="AC71" i="64"/>
  <c r="BY280" i="4"/>
  <c r="BZ258" i="4"/>
  <c r="BZ271" i="4"/>
  <c r="BU765" i="4"/>
  <c r="BU766" i="4"/>
  <c r="BU768" i="4"/>
  <c r="BU767" i="4"/>
  <c r="BW755" i="4"/>
  <c r="BW754" i="4"/>
  <c r="BX719" i="4"/>
  <c r="BX609" i="4"/>
  <c r="BX627" i="4" s="1"/>
  <c r="BX810" i="4" s="1"/>
  <c r="BX815" i="4" s="1"/>
  <c r="BX749" i="4"/>
  <c r="BZ212" i="4"/>
  <c r="BZ268" i="4"/>
  <c r="AD943" i="4"/>
  <c r="AC34" i="11"/>
  <c r="BR819" i="4"/>
  <c r="BR825" i="4" s="1"/>
  <c r="BR826" i="4" s="1"/>
  <c r="BR893" i="4" s="1"/>
  <c r="BR895" i="4"/>
  <c r="BR957" i="4" s="1"/>
  <c r="BW762" i="4"/>
  <c r="BW764" i="4"/>
  <c r="BW763" i="4"/>
  <c r="BV756" i="4"/>
  <c r="BV759" i="4"/>
  <c r="BV757" i="4"/>
  <c r="BV758" i="4"/>
  <c r="BY284" i="4"/>
  <c r="BZ235" i="4"/>
  <c r="BZ270" i="4"/>
  <c r="W1049" i="4"/>
  <c r="W1244" i="4"/>
  <c r="W1219" i="4"/>
  <c r="W1047" i="4"/>
  <c r="W1258" i="4"/>
  <c r="W76" i="11"/>
  <c r="W41" i="66"/>
  <c r="J168" i="15" s="1"/>
  <c r="W66" i="62"/>
  <c r="N76" i="67"/>
  <c r="BX669" i="4"/>
  <c r="BX677" i="4"/>
  <c r="BS777" i="4"/>
  <c r="BS119" i="64"/>
  <c r="BS65" i="64" s="1"/>
  <c r="BS116" i="64"/>
  <c r="BY285" i="4"/>
  <c r="BP897" i="4"/>
  <c r="BP944" i="4"/>
  <c r="BP70" i="11"/>
  <c r="BP1242" i="4"/>
  <c r="BP936" i="4"/>
  <c r="BP1216" i="4"/>
  <c r="BP1042" i="4"/>
  <c r="BT118" i="64"/>
  <c r="N35" i="67"/>
  <c r="N33" i="67" s="1"/>
  <c r="W33" i="11"/>
  <c r="W1387" i="4" s="1"/>
  <c r="BP980" i="4"/>
  <c r="BP961" i="4"/>
  <c r="BY281" i="4"/>
  <c r="BX865" i="4"/>
  <c r="BX866" i="4"/>
  <c r="BX863" i="4"/>
  <c r="BX864" i="4"/>
  <c r="BV767" i="4" l="1"/>
  <c r="BV768" i="4"/>
  <c r="BV765" i="4"/>
  <c r="BV111" i="64"/>
  <c r="BV119" i="64" s="1"/>
  <c r="BV65" i="64" s="1"/>
  <c r="BR970" i="4"/>
  <c r="AA12" i="13"/>
  <c r="BQ1216" i="4"/>
  <c r="BQ897" i="4"/>
  <c r="BQ45" i="11" s="1"/>
  <c r="BQ46" i="11" s="1"/>
  <c r="BQ944" i="4"/>
  <c r="BQ1242" i="4"/>
  <c r="BQ1042" i="4"/>
  <c r="BQ70" i="11"/>
  <c r="BT777" i="4"/>
  <c r="BT823" i="4" s="1"/>
  <c r="BT120" i="64"/>
  <c r="BT64" i="64" s="1"/>
  <c r="BT80" i="64" s="1"/>
  <c r="BT116" i="64"/>
  <c r="BX622" i="4"/>
  <c r="BX623" i="4" s="1"/>
  <c r="BX676" i="4" s="1"/>
  <c r="BX680" i="4" s="1"/>
  <c r="BX889" i="4" s="1"/>
  <c r="BX890" i="4" s="1"/>
  <c r="BX891" i="4" s="1"/>
  <c r="BX750" i="4"/>
  <c r="BX763" i="4" s="1"/>
  <c r="BV682" i="4"/>
  <c r="BV69" i="11" s="1"/>
  <c r="BW629" i="4"/>
  <c r="BW630" i="4" s="1"/>
  <c r="BW809" i="4" s="1"/>
  <c r="BW751" i="4"/>
  <c r="BW771" i="4" s="1"/>
  <c r="BW794" i="4"/>
  <c r="BW793" i="4"/>
  <c r="BW676" i="4"/>
  <c r="BW680" i="4" s="1"/>
  <c r="BW889" i="4" s="1"/>
  <c r="BW890" i="4" s="1"/>
  <c r="BW891" i="4" s="1"/>
  <c r="BW792" i="4"/>
  <c r="BW791" i="4"/>
  <c r="BX879" i="4"/>
  <c r="BY619" i="4"/>
  <c r="BY622" i="4" s="1"/>
  <c r="BY623" i="4" s="1"/>
  <c r="BY676" i="4" s="1"/>
  <c r="BQ970" i="4"/>
  <c r="BP969" i="4"/>
  <c r="BS823" i="4"/>
  <c r="BS811" i="4"/>
  <c r="BS817" i="4" s="1"/>
  <c r="BU796" i="4"/>
  <c r="BU824" i="4" s="1"/>
  <c r="CB174" i="4"/>
  <c r="CB160" i="4"/>
  <c r="CB209" i="4"/>
  <c r="CB207" i="4"/>
  <c r="CB269" i="4" s="1"/>
  <c r="CB283" i="4" s="1"/>
  <c r="CB168" i="4"/>
  <c r="CB161" i="4"/>
  <c r="CB205" i="4"/>
  <c r="CB256" i="4"/>
  <c r="CB175" i="4"/>
  <c r="CB233" i="4"/>
  <c r="CB232" i="4"/>
  <c r="CB206" i="4"/>
  <c r="CB208" i="4"/>
  <c r="CB255" i="4"/>
  <c r="CB167" i="4"/>
  <c r="CB210" i="4"/>
  <c r="CB169" i="4"/>
  <c r="CB231" i="4"/>
  <c r="CB204" i="4"/>
  <c r="CB162" i="4"/>
  <c r="CB257" i="4"/>
  <c r="CB159" i="4"/>
  <c r="CB254" i="4"/>
  <c r="CB166" i="4"/>
  <c r="CB173" i="4"/>
  <c r="CB234" i="4"/>
  <c r="CB211" i="4"/>
  <c r="CB176" i="4"/>
  <c r="CC85" i="4"/>
  <c r="BY33" i="66"/>
  <c r="BY32" i="66" s="1"/>
  <c r="BY1241" i="4"/>
  <c r="BY81" i="11"/>
  <c r="BY82" i="11" s="1"/>
  <c r="BY65" i="62"/>
  <c r="BY1214" i="4"/>
  <c r="BY1041" i="4"/>
  <c r="BA927" i="4"/>
  <c r="BA929" i="4" s="1"/>
  <c r="BA930" i="4" s="1"/>
  <c r="AZ19" i="11"/>
  <c r="BZ874" i="4"/>
  <c r="BZ859" i="4"/>
  <c r="BZ869" i="4"/>
  <c r="BZ878" i="4"/>
  <c r="BZ861" i="4"/>
  <c r="BZ875" i="4"/>
  <c r="BZ870" i="4"/>
  <c r="BZ862" i="4"/>
  <c r="BZ877" i="4"/>
  <c r="BZ818" i="4"/>
  <c r="BZ896" i="4" s="1"/>
  <c r="BZ871" i="4"/>
  <c r="BZ1032" i="4"/>
  <c r="BZ1033" i="4" s="1"/>
  <c r="BZ1034" i="4" s="1"/>
  <c r="BZ908" i="4" s="1"/>
  <c r="BZ876" i="4"/>
  <c r="BZ860" i="4"/>
  <c r="BZ606" i="4"/>
  <c r="BZ608" i="4" s="1"/>
  <c r="BZ613" i="4"/>
  <c r="BZ614" i="4" s="1"/>
  <c r="BZ620" i="4" s="1"/>
  <c r="BZ616" i="4"/>
  <c r="CA79" i="4"/>
  <c r="BZ618" i="4"/>
  <c r="BZ667" i="4"/>
  <c r="BZ666" i="4"/>
  <c r="BZ668" i="4"/>
  <c r="BZ716" i="4"/>
  <c r="BZ717" i="4"/>
  <c r="BZ718" i="4"/>
  <c r="BR961" i="4"/>
  <c r="BR980" i="4"/>
  <c r="Y982" i="4"/>
  <c r="AA981" i="4"/>
  <c r="BR936" i="4"/>
  <c r="BR1042" i="4"/>
  <c r="BR897" i="4"/>
  <c r="BR1242" i="4"/>
  <c r="BR944" i="4"/>
  <c r="BR70" i="11"/>
  <c r="BR1216" i="4"/>
  <c r="CA265" i="4"/>
  <c r="CA163" i="4"/>
  <c r="BY749" i="4"/>
  <c r="BY609" i="4"/>
  <c r="BY627" i="4" s="1"/>
  <c r="BY810" i="4" s="1"/>
  <c r="BY815" i="4" s="1"/>
  <c r="X35" i="11"/>
  <c r="X33" i="11" s="1"/>
  <c r="X1387" i="4" s="1"/>
  <c r="X20" i="11"/>
  <c r="X987" i="4"/>
  <c r="BP45" i="11"/>
  <c r="BP46" i="11" s="1"/>
  <c r="BP993" i="4"/>
  <c r="BZ284" i="4"/>
  <c r="BW758" i="4"/>
  <c r="BW756" i="4"/>
  <c r="BW759" i="4"/>
  <c r="BW757" i="4"/>
  <c r="CA266" i="4"/>
  <c r="CA170" i="4"/>
  <c r="CA235" i="4"/>
  <c r="CA270" i="4"/>
  <c r="BV776" i="4"/>
  <c r="BV773" i="4"/>
  <c r="BV775" i="4"/>
  <c r="BV774" i="4"/>
  <c r="BV113" i="64" s="1"/>
  <c r="BY719" i="4"/>
  <c r="BU774" i="4"/>
  <c r="BU113" i="64" s="1"/>
  <c r="BU773" i="4"/>
  <c r="BU112" i="64" s="1"/>
  <c r="BU776" i="4"/>
  <c r="BU115" i="64" s="1"/>
  <c r="BU775" i="4"/>
  <c r="BU114" i="64" s="1"/>
  <c r="BU111" i="64"/>
  <c r="BZ334" i="4"/>
  <c r="BZ960" i="4" s="1"/>
  <c r="BZ276" i="4"/>
  <c r="BZ279" i="4"/>
  <c r="AD945" i="4"/>
  <c r="AD946" i="4" s="1"/>
  <c r="BX685" i="4"/>
  <c r="BU684" i="4"/>
  <c r="BU956" i="4" s="1"/>
  <c r="BU44" i="11"/>
  <c r="BU1215" i="4"/>
  <c r="BU1257" i="4"/>
  <c r="BU69" i="11"/>
  <c r="BU928" i="4"/>
  <c r="BU992" i="4"/>
  <c r="BU1050" i="4"/>
  <c r="BY296" i="4"/>
  <c r="BY304" i="4" s="1"/>
  <c r="BY865" i="4"/>
  <c r="BY864" i="4"/>
  <c r="BY866" i="4"/>
  <c r="BY863" i="4"/>
  <c r="BZ260" i="4"/>
  <c r="BS118" i="64"/>
  <c r="BS121" i="64" s="1"/>
  <c r="BV814" i="4"/>
  <c r="BV816" i="4"/>
  <c r="BV813" i="4"/>
  <c r="CA271" i="4"/>
  <c r="CA258" i="4"/>
  <c r="CA267" i="4"/>
  <c r="CA177" i="4"/>
  <c r="BS72" i="64"/>
  <c r="BS80" i="64"/>
  <c r="AD972" i="4"/>
  <c r="AE968" i="4" s="1"/>
  <c r="BU816" i="4"/>
  <c r="BU814" i="4"/>
  <c r="BU813" i="4"/>
  <c r="BZ280" i="4"/>
  <c r="BS73" i="64"/>
  <c r="BS81" i="64"/>
  <c r="BZ285" i="4"/>
  <c r="AC1220" i="4"/>
  <c r="AC43" i="66"/>
  <c r="AC1048" i="4"/>
  <c r="AC77" i="11"/>
  <c r="AC1245" i="4"/>
  <c r="AC23" i="66"/>
  <c r="AC1262" i="4"/>
  <c r="BZ281" i="4"/>
  <c r="CA212" i="4"/>
  <c r="CA268" i="4"/>
  <c r="AD79" i="64"/>
  <c r="AD71" i="64"/>
  <c r="X36" i="64"/>
  <c r="X35" i="64"/>
  <c r="BW765" i="4"/>
  <c r="BW768" i="4"/>
  <c r="BW766" i="4"/>
  <c r="BW767" i="4"/>
  <c r="BZ282" i="4"/>
  <c r="BX755" i="4"/>
  <c r="BX754" i="4"/>
  <c r="AC18" i="11"/>
  <c r="AD935" i="4"/>
  <c r="AC950" i="4"/>
  <c r="BY289" i="4"/>
  <c r="AZ931" i="4"/>
  <c r="BY677" i="4"/>
  <c r="BY669" i="4"/>
  <c r="BX1345" i="4"/>
  <c r="BX1310" i="4"/>
  <c r="BV114" i="64" l="1"/>
  <c r="BV115" i="64"/>
  <c r="BQ993" i="4"/>
  <c r="BT811" i="4"/>
  <c r="BT817" i="4" s="1"/>
  <c r="BT895" i="4" s="1"/>
  <c r="BT957" i="4" s="1"/>
  <c r="BT72" i="64"/>
  <c r="BX789" i="4"/>
  <c r="BX793" i="4" s="1"/>
  <c r="BX764" i="4"/>
  <c r="BX765" i="4" s="1"/>
  <c r="BX762" i="4"/>
  <c r="BT121" i="64"/>
  <c r="BV684" i="4"/>
  <c r="BV956" i="4" s="1"/>
  <c r="BV1257" i="4"/>
  <c r="BV44" i="11"/>
  <c r="BV1050" i="4"/>
  <c r="BV928" i="4"/>
  <c r="BV1215" i="4"/>
  <c r="BV992" i="4"/>
  <c r="BW772" i="4"/>
  <c r="BW111" i="64" s="1"/>
  <c r="BW119" i="64" s="1"/>
  <c r="BW65" i="64" s="1"/>
  <c r="BX751" i="4"/>
  <c r="BX772" i="4" s="1"/>
  <c r="BW682" i="4"/>
  <c r="AA44" i="67" s="1"/>
  <c r="BX629" i="4"/>
  <c r="BX630" i="4" s="1"/>
  <c r="BX809" i="4" s="1"/>
  <c r="BW796" i="4"/>
  <c r="BW824" i="4" s="1"/>
  <c r="BY750" i="4"/>
  <c r="BY763" i="4" s="1"/>
  <c r="BY628" i="4"/>
  <c r="BY685" i="4" s="1"/>
  <c r="BZ719" i="4"/>
  <c r="BY879" i="4"/>
  <c r="BV118" i="64"/>
  <c r="AD34" i="11"/>
  <c r="AE943" i="4"/>
  <c r="AE945" i="4" s="1"/>
  <c r="AE946" i="4" s="1"/>
  <c r="X1258" i="4"/>
  <c r="X41" i="66"/>
  <c r="X76" i="11"/>
  <c r="X1219" i="4"/>
  <c r="X1049" i="4"/>
  <c r="X1047" i="4"/>
  <c r="X1244" i="4"/>
  <c r="X66" i="62"/>
  <c r="Y21" i="66"/>
  <c r="Y106" i="64"/>
  <c r="BA931" i="4"/>
  <c r="BA19" i="11"/>
  <c r="BB927" i="4"/>
  <c r="AD937" i="4"/>
  <c r="AD938" i="4" s="1"/>
  <c r="AD939" i="4" s="1"/>
  <c r="AE971" i="4"/>
  <c r="AE105" i="64" s="1"/>
  <c r="AE63" i="64" s="1"/>
  <c r="BU120" i="64"/>
  <c r="BU64" i="64" s="1"/>
  <c r="BV81" i="64"/>
  <c r="BV73" i="64"/>
  <c r="BZ669" i="4"/>
  <c r="BZ677" i="4"/>
  <c r="CB268" i="4"/>
  <c r="CB212" i="4"/>
  <c r="BS895" i="4"/>
  <c r="BS957" i="4" s="1"/>
  <c r="BS819" i="4"/>
  <c r="BS825" i="4" s="1"/>
  <c r="BS826" i="4" s="1"/>
  <c r="BS893" i="4" s="1"/>
  <c r="CA282" i="4"/>
  <c r="BZ289" i="4"/>
  <c r="BR45" i="11"/>
  <c r="BR46" i="11" s="1"/>
  <c r="BR993" i="4"/>
  <c r="BY789" i="4"/>
  <c r="BY629" i="4"/>
  <c r="BY751" i="4"/>
  <c r="CB235" i="4"/>
  <c r="CB270" i="4"/>
  <c r="CA284" i="4"/>
  <c r="CA260" i="4"/>
  <c r="CB177" i="4"/>
  <c r="CB267" i="4"/>
  <c r="BX757" i="4"/>
  <c r="BX756" i="4"/>
  <c r="BX758" i="4"/>
  <c r="BX759" i="4"/>
  <c r="CA276" i="4"/>
  <c r="CA334" i="4"/>
  <c r="CA960" i="4" s="1"/>
  <c r="AB16" i="72" s="1"/>
  <c r="CA279" i="4"/>
  <c r="CA860" i="4"/>
  <c r="CA870" i="4"/>
  <c r="CA862" i="4"/>
  <c r="CA861" i="4"/>
  <c r="CA818" i="4"/>
  <c r="CA896" i="4" s="1"/>
  <c r="CA878" i="4"/>
  <c r="CA869" i="4"/>
  <c r="CA876" i="4"/>
  <c r="CA871" i="4"/>
  <c r="CA875" i="4"/>
  <c r="CA874" i="4"/>
  <c r="CA859" i="4"/>
  <c r="CA1032" i="4"/>
  <c r="CA1033" i="4" s="1"/>
  <c r="CA1034" i="4" s="1"/>
  <c r="CA908" i="4" s="1"/>
  <c r="CA877" i="4"/>
  <c r="CA606" i="4"/>
  <c r="CA608" i="4" s="1"/>
  <c r="CA613" i="4"/>
  <c r="CA614" i="4" s="1"/>
  <c r="CA620" i="4" s="1"/>
  <c r="CA616" i="4"/>
  <c r="CB79" i="4"/>
  <c r="CA618" i="4"/>
  <c r="CA666" i="4"/>
  <c r="CA667" i="4"/>
  <c r="CA668" i="4"/>
  <c r="CA716" i="4"/>
  <c r="CA717" i="4"/>
  <c r="CA718" i="4"/>
  <c r="BZ296" i="4"/>
  <c r="BZ304" i="4" s="1"/>
  <c r="BZ865" i="4"/>
  <c r="BZ866" i="4"/>
  <c r="BZ864" i="4"/>
  <c r="BZ863" i="4"/>
  <c r="BY1310" i="4"/>
  <c r="BY1345" i="4"/>
  <c r="CB170" i="4"/>
  <c r="CB266" i="4"/>
  <c r="CA281" i="4"/>
  <c r="BZ81" i="11"/>
  <c r="BZ82" i="11" s="1"/>
  <c r="BZ1214" i="4"/>
  <c r="BZ1041" i="4"/>
  <c r="BZ33" i="66"/>
  <c r="BZ32" i="66" s="1"/>
  <c r="BZ1241" i="4"/>
  <c r="BZ65" i="62"/>
  <c r="BY680" i="4"/>
  <c r="BY889" i="4" s="1"/>
  <c r="BY890" i="4" s="1"/>
  <c r="BY891" i="4" s="1"/>
  <c r="BZ619" i="4"/>
  <c r="CB271" i="4"/>
  <c r="CB258" i="4"/>
  <c r="BU777" i="4"/>
  <c r="X37" i="64"/>
  <c r="X51" i="64" s="1"/>
  <c r="BW816" i="4"/>
  <c r="BW813" i="4"/>
  <c r="BW814" i="4"/>
  <c r="BU119" i="64"/>
  <c r="BU65" i="64" s="1"/>
  <c r="BU116" i="64"/>
  <c r="BV112" i="64"/>
  <c r="BV777" i="4"/>
  <c r="CA280" i="4"/>
  <c r="BR969" i="4"/>
  <c r="BS970" i="4"/>
  <c r="CB163" i="4"/>
  <c r="CB265" i="4"/>
  <c r="CA285" i="4"/>
  <c r="AD947" i="4"/>
  <c r="BY754" i="4"/>
  <c r="BY755" i="4"/>
  <c r="Y983" i="4"/>
  <c r="BZ609" i="4"/>
  <c r="BZ627" i="4" s="1"/>
  <c r="BZ810" i="4" s="1"/>
  <c r="BZ815" i="4" s="1"/>
  <c r="BZ749" i="4"/>
  <c r="CC167" i="4"/>
  <c r="CC232" i="4"/>
  <c r="CC207" i="4"/>
  <c r="CC269" i="4" s="1"/>
  <c r="CC283" i="4" s="1"/>
  <c r="CC209" i="4"/>
  <c r="CC175" i="4"/>
  <c r="CC208" i="4"/>
  <c r="CC233" i="4"/>
  <c r="CC206" i="4"/>
  <c r="CC255" i="4"/>
  <c r="CC256" i="4"/>
  <c r="CC174" i="4"/>
  <c r="CC168" i="4"/>
  <c r="CC161" i="4"/>
  <c r="CC205" i="4"/>
  <c r="CC160" i="4"/>
  <c r="CC231" i="4"/>
  <c r="CC166" i="4"/>
  <c r="CC254" i="4"/>
  <c r="CC162" i="4"/>
  <c r="CC234" i="4"/>
  <c r="CC204" i="4"/>
  <c r="CC173" i="4"/>
  <c r="CC257" i="4"/>
  <c r="CC210" i="4"/>
  <c r="CC159" i="4"/>
  <c r="CC169" i="4"/>
  <c r="CC176" i="4"/>
  <c r="CC211" i="4"/>
  <c r="CD85" i="4"/>
  <c r="BX795" i="4" l="1"/>
  <c r="BT819" i="4"/>
  <c r="BT825" i="4" s="1"/>
  <c r="BT826" i="4" s="1"/>
  <c r="BT893" i="4" s="1"/>
  <c r="BT1242" i="4" s="1"/>
  <c r="BX791" i="4"/>
  <c r="BX792" i="4"/>
  <c r="BX794" i="4"/>
  <c r="BX768" i="4"/>
  <c r="BX766" i="4"/>
  <c r="BX767" i="4"/>
  <c r="BW1215" i="4"/>
  <c r="AA13" i="72"/>
  <c r="BX771" i="4"/>
  <c r="BW773" i="4"/>
  <c r="BW112" i="64" s="1"/>
  <c r="BX682" i="4"/>
  <c r="BX1215" i="4" s="1"/>
  <c r="BW775" i="4"/>
  <c r="BW114" i="64" s="1"/>
  <c r="BW774" i="4"/>
  <c r="BW113" i="64" s="1"/>
  <c r="BW776" i="4"/>
  <c r="BW115" i="64" s="1"/>
  <c r="BW44" i="11"/>
  <c r="BW1050" i="4"/>
  <c r="BW684" i="4"/>
  <c r="BW956" i="4" s="1"/>
  <c r="BW928" i="4"/>
  <c r="BW1257" i="4"/>
  <c r="AA69" i="67"/>
  <c r="BW992" i="4"/>
  <c r="BW69" i="11"/>
  <c r="AA38" i="13"/>
  <c r="BY630" i="4"/>
  <c r="BY809" i="4" s="1"/>
  <c r="BY764" i="4"/>
  <c r="BY766" i="4" s="1"/>
  <c r="BY762" i="4"/>
  <c r="CA619" i="4"/>
  <c r="CA750" i="4" s="1"/>
  <c r="BZ879" i="4"/>
  <c r="CB260" i="4"/>
  <c r="CB1041" i="4" s="1"/>
  <c r="AD951" i="4"/>
  <c r="AD43" i="66" s="1"/>
  <c r="BW118" i="64"/>
  <c r="CC177" i="4"/>
  <c r="CC267" i="4"/>
  <c r="CB285" i="4"/>
  <c r="BY791" i="4"/>
  <c r="BY793" i="4"/>
  <c r="BY794" i="4"/>
  <c r="BY792" i="4"/>
  <c r="BY795" i="4"/>
  <c r="BX814" i="4"/>
  <c r="BX816" i="4"/>
  <c r="BX813" i="4"/>
  <c r="BB929" i="4"/>
  <c r="BB930" i="4" s="1"/>
  <c r="AE947" i="4"/>
  <c r="P34" i="67"/>
  <c r="AF943" i="4"/>
  <c r="AE34" i="11"/>
  <c r="CC268" i="4"/>
  <c r="CC212" i="4"/>
  <c r="CB276" i="4"/>
  <c r="CB334" i="4"/>
  <c r="CB960" i="4" s="1"/>
  <c r="CB279" i="4"/>
  <c r="BU81" i="64"/>
  <c r="BU73" i="64"/>
  <c r="BZ628" i="4"/>
  <c r="BZ685" i="4" s="1"/>
  <c r="BZ750" i="4"/>
  <c r="BZ622" i="4"/>
  <c r="BZ623" i="4" s="1"/>
  <c r="BZ676" i="4" s="1"/>
  <c r="BZ680" i="4" s="1"/>
  <c r="BZ889" i="4" s="1"/>
  <c r="BZ890" i="4" s="1"/>
  <c r="BZ891" i="4" s="1"/>
  <c r="BZ1310" i="4"/>
  <c r="BZ1345" i="4"/>
  <c r="CB281" i="4"/>
  <c r="CB282" i="4"/>
  <c r="AE972" i="4"/>
  <c r="AF968" i="4" s="1"/>
  <c r="CD175" i="4"/>
  <c r="CD232" i="4"/>
  <c r="CD255" i="4"/>
  <c r="CD161" i="4"/>
  <c r="CD160" i="4"/>
  <c r="CD167" i="4"/>
  <c r="CD206" i="4"/>
  <c r="CD233" i="4"/>
  <c r="CD205" i="4"/>
  <c r="CD168" i="4"/>
  <c r="CD207" i="4"/>
  <c r="CD269" i="4" s="1"/>
  <c r="CD283" i="4" s="1"/>
  <c r="CD256" i="4"/>
  <c r="CD174" i="4"/>
  <c r="CD209" i="4"/>
  <c r="CD208" i="4"/>
  <c r="CD173" i="4"/>
  <c r="CD166" i="4"/>
  <c r="CD159" i="4"/>
  <c r="CD210" i="4"/>
  <c r="CD162" i="4"/>
  <c r="CD257" i="4"/>
  <c r="CD169" i="4"/>
  <c r="CD254" i="4"/>
  <c r="CD231" i="4"/>
  <c r="CD234" i="4"/>
  <c r="CD204" i="4"/>
  <c r="CD176" i="4"/>
  <c r="CD211" i="4"/>
  <c r="CE85" i="4"/>
  <c r="CA719" i="4"/>
  <c r="CA749" i="4"/>
  <c r="CA609" i="4"/>
  <c r="CA627" i="4" s="1"/>
  <c r="CA810" i="4" s="1"/>
  <c r="CA815" i="4" s="1"/>
  <c r="CB284" i="4"/>
  <c r="AE71" i="64"/>
  <c r="AE79" i="64"/>
  <c r="Y985" i="4"/>
  <c r="Z979" i="4"/>
  <c r="BU823" i="4"/>
  <c r="BU811" i="4"/>
  <c r="BU817" i="4" s="1"/>
  <c r="Y35" i="64"/>
  <c r="Y36" i="64"/>
  <c r="CC258" i="4"/>
  <c r="CC271" i="4"/>
  <c r="BY757" i="4"/>
  <c r="BY759" i="4"/>
  <c r="BY758" i="4"/>
  <c r="BY756" i="4"/>
  <c r="CA296" i="4"/>
  <c r="CA304" i="4" s="1"/>
  <c r="AE935" i="4"/>
  <c r="AE937" i="4" s="1"/>
  <c r="AE938" i="4" s="1"/>
  <c r="AD18" i="11"/>
  <c r="AD950" i="4"/>
  <c r="BW81" i="64"/>
  <c r="BW73" i="64"/>
  <c r="CC265" i="4"/>
  <c r="CC163" i="4"/>
  <c r="BV823" i="4"/>
  <c r="BV811" i="4"/>
  <c r="BV817" i="4" s="1"/>
  <c r="CB280" i="4"/>
  <c r="CA677" i="4"/>
  <c r="CA669" i="4"/>
  <c r="CA865" i="4"/>
  <c r="CA864" i="4"/>
  <c r="CA863" i="4"/>
  <c r="CA866" i="4"/>
  <c r="BT980" i="4"/>
  <c r="BT961" i="4"/>
  <c r="BU80" i="64"/>
  <c r="BU72" i="64"/>
  <c r="CC266" i="4"/>
  <c r="CC170" i="4"/>
  <c r="CC235" i="4"/>
  <c r="CC270" i="4"/>
  <c r="BV120" i="64"/>
  <c r="BV116" i="64"/>
  <c r="CA65" i="62"/>
  <c r="CA1041" i="4"/>
  <c r="CA1241" i="4"/>
  <c r="CA1214" i="4"/>
  <c r="CA33" i="66"/>
  <c r="CA32" i="66" s="1"/>
  <c r="CA81" i="11"/>
  <c r="CA82" i="11" s="1"/>
  <c r="AB81" i="67"/>
  <c r="AB82" i="67" s="1"/>
  <c r="BY771" i="4"/>
  <c r="BY772" i="4"/>
  <c r="BS936" i="4"/>
  <c r="BS944" i="4"/>
  <c r="BS1042" i="4"/>
  <c r="BS1216" i="4"/>
  <c r="BS1242" i="4"/>
  <c r="BS70" i="11"/>
  <c r="BS897" i="4"/>
  <c r="Z39" i="13"/>
  <c r="BX111" i="64"/>
  <c r="BX774" i="4"/>
  <c r="BX773" i="4"/>
  <c r="BX112" i="64" s="1"/>
  <c r="BX776" i="4"/>
  <c r="BX775" i="4"/>
  <c r="BZ755" i="4"/>
  <c r="BZ754" i="4"/>
  <c r="BU118" i="64"/>
  <c r="BU121" i="64" s="1"/>
  <c r="CB1032" i="4"/>
  <c r="CB1033" i="4" s="1"/>
  <c r="CB1034" i="4" s="1"/>
  <c r="CB908" i="4" s="1"/>
  <c r="CB874" i="4"/>
  <c r="CB871" i="4"/>
  <c r="CB869" i="4"/>
  <c r="CB861" i="4"/>
  <c r="CB859" i="4"/>
  <c r="CB878" i="4"/>
  <c r="CB875" i="4"/>
  <c r="CB876" i="4"/>
  <c r="CB860" i="4"/>
  <c r="CB877" i="4"/>
  <c r="CB870" i="4"/>
  <c r="CB818" i="4"/>
  <c r="CB896" i="4" s="1"/>
  <c r="CB862" i="4"/>
  <c r="CB613" i="4"/>
  <c r="CB614" i="4" s="1"/>
  <c r="CB620" i="4" s="1"/>
  <c r="CB606" i="4"/>
  <c r="CB608" i="4" s="1"/>
  <c r="CB616" i="4"/>
  <c r="CC79" i="4"/>
  <c r="CB618" i="4"/>
  <c r="CB667" i="4"/>
  <c r="CB666" i="4"/>
  <c r="CB668" i="4"/>
  <c r="CB716" i="4"/>
  <c r="CB717" i="4"/>
  <c r="CB718" i="4"/>
  <c r="CA289" i="4"/>
  <c r="BS961" i="4"/>
  <c r="BS980" i="4"/>
  <c r="BT1216" i="4" l="1"/>
  <c r="BX796" i="4"/>
  <c r="BX824" i="4" s="1"/>
  <c r="BX114" i="64"/>
  <c r="BX115" i="64"/>
  <c r="BT897" i="4"/>
  <c r="BT45" i="11" s="1"/>
  <c r="BT46" i="11" s="1"/>
  <c r="BT1042" i="4"/>
  <c r="BT944" i="4"/>
  <c r="BT936" i="4"/>
  <c r="BT70" i="11"/>
  <c r="BX113" i="64"/>
  <c r="BX44" i="11"/>
  <c r="BX1050" i="4"/>
  <c r="BX992" i="4"/>
  <c r="BX928" i="4"/>
  <c r="BW120" i="64"/>
  <c r="BW64" i="64" s="1"/>
  <c r="BW72" i="64" s="1"/>
  <c r="BX69" i="11"/>
  <c r="BX1257" i="4"/>
  <c r="BW777" i="4"/>
  <c r="BW823" i="4" s="1"/>
  <c r="BX684" i="4"/>
  <c r="BX956" i="4" s="1"/>
  <c r="BW116" i="64"/>
  <c r="BY682" i="4"/>
  <c r="BY928" i="4" s="1"/>
  <c r="BY767" i="4"/>
  <c r="BY768" i="4"/>
  <c r="BY765" i="4"/>
  <c r="CB33" i="66"/>
  <c r="CB32" i="66" s="1"/>
  <c r="CB81" i="11"/>
  <c r="CB82" i="11" s="1"/>
  <c r="CB1310" i="4" s="1"/>
  <c r="CB1214" i="4"/>
  <c r="CB1241" i="4"/>
  <c r="CB65" i="62"/>
  <c r="CA628" i="4"/>
  <c r="CA685" i="4" s="1"/>
  <c r="CA622" i="4"/>
  <c r="CA623" i="4" s="1"/>
  <c r="CA751" i="4" s="1"/>
  <c r="Y37" i="64"/>
  <c r="Y51" i="64" s="1"/>
  <c r="AD1245" i="4"/>
  <c r="CC260" i="4"/>
  <c r="CC1041" i="4" s="1"/>
  <c r="AD1048" i="4"/>
  <c r="AD1262" i="4"/>
  <c r="AD1220" i="4"/>
  <c r="AD77" i="11"/>
  <c r="AD23" i="66"/>
  <c r="CB719" i="4"/>
  <c r="CA879" i="4"/>
  <c r="CB609" i="4"/>
  <c r="CB627" i="4" s="1"/>
  <c r="CB810" i="4" s="1"/>
  <c r="CB815" i="4" s="1"/>
  <c r="CB749" i="4"/>
  <c r="CC280" i="4"/>
  <c r="BC927" i="4"/>
  <c r="BB19" i="11"/>
  <c r="BZ757" i="4"/>
  <c r="BZ756" i="4"/>
  <c r="BZ758" i="4"/>
  <c r="BZ759" i="4"/>
  <c r="BX119" i="64"/>
  <c r="BX65" i="64" s="1"/>
  <c r="Z982" i="4"/>
  <c r="Z983" i="4" s="1"/>
  <c r="AB981" i="4"/>
  <c r="CE207" i="4"/>
  <c r="CE269" i="4" s="1"/>
  <c r="CE283" i="4" s="1"/>
  <c r="CE206" i="4"/>
  <c r="CE167" i="4"/>
  <c r="CE232" i="4"/>
  <c r="CE175" i="4"/>
  <c r="CE174" i="4"/>
  <c r="CE160" i="4"/>
  <c r="CE205" i="4"/>
  <c r="CE256" i="4"/>
  <c r="CE208" i="4"/>
  <c r="CE168" i="4"/>
  <c r="CE209" i="4"/>
  <c r="CE161" i="4"/>
  <c r="CE255" i="4"/>
  <c r="CE233" i="4"/>
  <c r="CE162" i="4"/>
  <c r="CE257" i="4"/>
  <c r="CE166" i="4"/>
  <c r="CE159" i="4"/>
  <c r="CE231" i="4"/>
  <c r="CE234" i="4"/>
  <c r="CE204" i="4"/>
  <c r="CE169" i="4"/>
  <c r="CE254" i="4"/>
  <c r="CE173" i="4"/>
  <c r="CE210" i="4"/>
  <c r="CE211" i="4"/>
  <c r="CE176" i="4"/>
  <c r="CF85" i="4"/>
  <c r="BY796" i="4"/>
  <c r="BY824" i="4" s="1"/>
  <c r="CA763" i="4"/>
  <c r="CA764" i="4"/>
  <c r="CA762" i="4"/>
  <c r="BX777" i="4"/>
  <c r="BY775" i="4"/>
  <c r="BY776" i="4"/>
  <c r="BY773" i="4"/>
  <c r="BY774" i="4"/>
  <c r="BY113" i="64" s="1"/>
  <c r="CC334" i="4"/>
  <c r="CC960" i="4" s="1"/>
  <c r="CC276" i="4"/>
  <c r="CC279" i="4"/>
  <c r="Y35" i="11"/>
  <c r="Y33" i="11" s="1"/>
  <c r="Y1387" i="4" s="1"/>
  <c r="Y20" i="11"/>
  <c r="Y987" i="4"/>
  <c r="CC282" i="4"/>
  <c r="BS969" i="4"/>
  <c r="BT970" i="4"/>
  <c r="CB864" i="4"/>
  <c r="CB865" i="4"/>
  <c r="CB866" i="4"/>
  <c r="CB863" i="4"/>
  <c r="BY813" i="4"/>
  <c r="BY814" i="4"/>
  <c r="BY816" i="4"/>
  <c r="CB677" i="4"/>
  <c r="CB669" i="4"/>
  <c r="CB296" i="4"/>
  <c r="CB304" i="4" s="1"/>
  <c r="BS45" i="11"/>
  <c r="BS46" i="11" s="1"/>
  <c r="BS993" i="4"/>
  <c r="BV64" i="64"/>
  <c r="BV121" i="64"/>
  <c r="CC285" i="4"/>
  <c r="BT969" i="4"/>
  <c r="BU970" i="4"/>
  <c r="CD212" i="4"/>
  <c r="CD268" i="4"/>
  <c r="CD163" i="4"/>
  <c r="CD265" i="4"/>
  <c r="AF945" i="4"/>
  <c r="AF946" i="4" s="1"/>
  <c r="CA1310" i="4"/>
  <c r="CA1345" i="4"/>
  <c r="AB12" i="13" s="1"/>
  <c r="CC284" i="4"/>
  <c r="CD170" i="4"/>
  <c r="CD266" i="4"/>
  <c r="CB289" i="4"/>
  <c r="CC281" i="4"/>
  <c r="CC878" i="4"/>
  <c r="CC871" i="4"/>
  <c r="CC818" i="4"/>
  <c r="CC896" i="4" s="1"/>
  <c r="CC877" i="4"/>
  <c r="CC870" i="4"/>
  <c r="CC860" i="4"/>
  <c r="CC869" i="4"/>
  <c r="CC861" i="4"/>
  <c r="CC875" i="4"/>
  <c r="CC862" i="4"/>
  <c r="CC859" i="4"/>
  <c r="CC1032" i="4"/>
  <c r="CC1033" i="4" s="1"/>
  <c r="CC1034" i="4" s="1"/>
  <c r="CC908" i="4" s="1"/>
  <c r="CC876" i="4"/>
  <c r="CC874" i="4"/>
  <c r="CC613" i="4"/>
  <c r="CC614" i="4" s="1"/>
  <c r="CC620" i="4" s="1"/>
  <c r="CC606" i="4"/>
  <c r="CC608" i="4" s="1"/>
  <c r="CC616" i="4"/>
  <c r="CD79" i="4"/>
  <c r="CC667" i="4"/>
  <c r="CC666" i="4"/>
  <c r="CC618" i="4"/>
  <c r="CC668" i="4"/>
  <c r="CC716" i="4"/>
  <c r="CC717" i="4"/>
  <c r="CC718" i="4"/>
  <c r="BV895" i="4"/>
  <c r="BV957" i="4" s="1"/>
  <c r="BV819" i="4"/>
  <c r="BV825" i="4" s="1"/>
  <c r="BV826" i="4" s="1"/>
  <c r="BV893" i="4" s="1"/>
  <c r="BY111" i="64"/>
  <c r="CD235" i="4"/>
  <c r="CD270" i="4"/>
  <c r="CD267" i="4"/>
  <c r="CD177" i="4"/>
  <c r="AF971" i="4"/>
  <c r="AF105" i="64" s="1"/>
  <c r="AF63" i="64" s="1"/>
  <c r="BZ789" i="4"/>
  <c r="BZ751" i="4"/>
  <c r="BZ629" i="4"/>
  <c r="BZ630" i="4" s="1"/>
  <c r="CB619" i="4"/>
  <c r="AE939" i="4"/>
  <c r="AE951" i="4" s="1"/>
  <c r="P18" i="67"/>
  <c r="AF935" i="4"/>
  <c r="AE18" i="11"/>
  <c r="AE950" i="4"/>
  <c r="BU895" i="4"/>
  <c r="BU957" i="4" s="1"/>
  <c r="BU819" i="4"/>
  <c r="BU825" i="4" s="1"/>
  <c r="BU826" i="4" s="1"/>
  <c r="BU893" i="4" s="1"/>
  <c r="CA754" i="4"/>
  <c r="CA755" i="4"/>
  <c r="CD271" i="4"/>
  <c r="CD258" i="4"/>
  <c r="BZ763" i="4"/>
  <c r="BZ762" i="4"/>
  <c r="BZ764" i="4"/>
  <c r="BB931" i="4"/>
  <c r="BT993" i="4" l="1"/>
  <c r="BX120" i="64"/>
  <c r="BX64" i="64" s="1"/>
  <c r="BX80" i="64" s="1"/>
  <c r="BX116" i="64"/>
  <c r="BY115" i="64"/>
  <c r="BW121" i="64"/>
  <c r="BW80" i="64"/>
  <c r="CB1345" i="4"/>
  <c r="BY112" i="64"/>
  <c r="BW811" i="4"/>
  <c r="BW817" i="4" s="1"/>
  <c r="BW819" i="4" s="1"/>
  <c r="BW825" i="4" s="1"/>
  <c r="BW826" i="4" s="1"/>
  <c r="BW893" i="4" s="1"/>
  <c r="BY114" i="64"/>
  <c r="BY684" i="4"/>
  <c r="BY956" i="4" s="1"/>
  <c r="BY69" i="11"/>
  <c r="BY1050" i="4"/>
  <c r="BY992" i="4"/>
  <c r="BY1257" i="4"/>
  <c r="BY44" i="11"/>
  <c r="BY1215" i="4"/>
  <c r="CC65" i="62"/>
  <c r="CA629" i="4"/>
  <c r="CA630" i="4" s="1"/>
  <c r="CA809" i="4" s="1"/>
  <c r="CC81" i="11"/>
  <c r="CC82" i="11" s="1"/>
  <c r="CC1310" i="4" s="1"/>
  <c r="CA789" i="4"/>
  <c r="CA676" i="4"/>
  <c r="CA680" i="4" s="1"/>
  <c r="CA889" i="4" s="1"/>
  <c r="CA890" i="4" s="1"/>
  <c r="CA891" i="4" s="1"/>
  <c r="CC1214" i="4"/>
  <c r="CC619" i="4"/>
  <c r="CC628" i="4" s="1"/>
  <c r="AF972" i="4"/>
  <c r="AG968" i="4" s="1"/>
  <c r="AG971" i="4" s="1"/>
  <c r="AG105" i="64" s="1"/>
  <c r="AG63" i="64" s="1"/>
  <c r="CC1241" i="4"/>
  <c r="CC33" i="66"/>
  <c r="CC32" i="66" s="1"/>
  <c r="CB879" i="4"/>
  <c r="BU936" i="4"/>
  <c r="BU897" i="4"/>
  <c r="BU1242" i="4"/>
  <c r="BU1042" i="4"/>
  <c r="BU1216" i="4"/>
  <c r="BU70" i="11"/>
  <c r="BU944" i="4"/>
  <c r="CB628" i="4"/>
  <c r="CB685" i="4" s="1"/>
  <c r="CB750" i="4"/>
  <c r="CB622" i="4"/>
  <c r="CB623" i="4" s="1"/>
  <c r="CB789" i="4" s="1"/>
  <c r="CD284" i="4"/>
  <c r="AG943" i="4"/>
  <c r="AF34" i="11"/>
  <c r="CE235" i="4"/>
  <c r="CE270" i="4"/>
  <c r="BU961" i="4"/>
  <c r="BU980" i="4"/>
  <c r="BZ809" i="4"/>
  <c r="BZ682" i="4"/>
  <c r="CE163" i="4"/>
  <c r="CE265" i="4"/>
  <c r="CD285" i="4"/>
  <c r="BZ772" i="4"/>
  <c r="BZ111" i="64" s="1"/>
  <c r="BZ771" i="4"/>
  <c r="BY119" i="64"/>
  <c r="BY65" i="64" s="1"/>
  <c r="CC677" i="4"/>
  <c r="CC669" i="4"/>
  <c r="CD334" i="4"/>
  <c r="CD960" i="4" s="1"/>
  <c r="CD276" i="4"/>
  <c r="CD279" i="4"/>
  <c r="CC289" i="4"/>
  <c r="BX823" i="4"/>
  <c r="BX811" i="4"/>
  <c r="BX817" i="4" s="1"/>
  <c r="CE170" i="4"/>
  <c r="CE266" i="4"/>
  <c r="CB754" i="4"/>
  <c r="CB755" i="4"/>
  <c r="BZ792" i="4"/>
  <c r="BZ795" i="4"/>
  <c r="BZ793" i="4"/>
  <c r="BZ794" i="4"/>
  <c r="BZ791" i="4"/>
  <c r="BV1216" i="4"/>
  <c r="BV936" i="4"/>
  <c r="BV1242" i="4"/>
  <c r="BV897" i="4"/>
  <c r="BV944" i="4"/>
  <c r="BV1042" i="4"/>
  <c r="BV70" i="11"/>
  <c r="CC864" i="4"/>
  <c r="CC865" i="4"/>
  <c r="CC866" i="4"/>
  <c r="CC863" i="4"/>
  <c r="CC296" i="4"/>
  <c r="CC304" i="4" s="1"/>
  <c r="CD260" i="4"/>
  <c r="BV72" i="64"/>
  <c r="BV80" i="64"/>
  <c r="CE267" i="4"/>
  <c r="CE177" i="4"/>
  <c r="AF937" i="4"/>
  <c r="AF938" i="4" s="1"/>
  <c r="AF939" i="4" s="1"/>
  <c r="BV961" i="4"/>
  <c r="BV980" i="4"/>
  <c r="CD859" i="4"/>
  <c r="CD876" i="4"/>
  <c r="CD874" i="4"/>
  <c r="CD860" i="4"/>
  <c r="CD878" i="4"/>
  <c r="CD870" i="4"/>
  <c r="CD877" i="4"/>
  <c r="CD861" i="4"/>
  <c r="CD818" i="4"/>
  <c r="CD896" i="4" s="1"/>
  <c r="CD869" i="4"/>
  <c r="CD862" i="4"/>
  <c r="CD1032" i="4"/>
  <c r="CD1033" i="4" s="1"/>
  <c r="CD1034" i="4" s="1"/>
  <c r="CD908" i="4" s="1"/>
  <c r="CD875" i="4"/>
  <c r="CD871" i="4"/>
  <c r="CD616" i="4"/>
  <c r="CD606" i="4"/>
  <c r="CD608" i="4" s="1"/>
  <c r="CD613" i="4"/>
  <c r="CD614" i="4" s="1"/>
  <c r="CD620" i="4" s="1"/>
  <c r="CD667" i="4"/>
  <c r="CE79" i="4"/>
  <c r="CD666" i="4"/>
  <c r="CD618" i="4"/>
  <c r="CD668" i="4"/>
  <c r="CD717" i="4"/>
  <c r="CD716" i="4"/>
  <c r="CD718" i="4"/>
  <c r="CD282" i="4"/>
  <c r="CA765" i="4"/>
  <c r="CA767" i="4"/>
  <c r="CA768" i="4"/>
  <c r="CA766" i="4"/>
  <c r="CE258" i="4"/>
  <c r="CE271" i="4"/>
  <c r="BX118" i="64"/>
  <c r="CA772" i="4"/>
  <c r="CA111" i="64" s="1"/>
  <c r="CA771" i="4"/>
  <c r="CA759" i="4"/>
  <c r="CA756" i="4"/>
  <c r="CA758" i="4"/>
  <c r="CA757" i="4"/>
  <c r="AF79" i="64"/>
  <c r="AF71" i="64"/>
  <c r="CD280" i="4"/>
  <c r="Y1049" i="4"/>
  <c r="Y76" i="11"/>
  <c r="Y41" i="66"/>
  <c r="Y1047" i="4"/>
  <c r="Y1244" i="4"/>
  <c r="Y1219" i="4"/>
  <c r="Y1258" i="4"/>
  <c r="Y66" i="62"/>
  <c r="BX73" i="64"/>
  <c r="BX81" i="64"/>
  <c r="BZ767" i="4"/>
  <c r="BZ766" i="4"/>
  <c r="BZ768" i="4"/>
  <c r="BZ765" i="4"/>
  <c r="AE1262" i="4"/>
  <c r="AE1220" i="4"/>
  <c r="AE1245" i="4"/>
  <c r="AE1048" i="4"/>
  <c r="AE43" i="66"/>
  <c r="L170" i="15" s="1"/>
  <c r="AE23" i="66"/>
  <c r="AE77" i="11"/>
  <c r="P77" i="67"/>
  <c r="CC749" i="4"/>
  <c r="CC609" i="4"/>
  <c r="CC627" i="4" s="1"/>
  <c r="CC810" i="4" s="1"/>
  <c r="CC815" i="4" s="1"/>
  <c r="CE212" i="4"/>
  <c r="CE268" i="4"/>
  <c r="AA979" i="4"/>
  <c r="Z985" i="4"/>
  <c r="BY777" i="4"/>
  <c r="CD281" i="4"/>
  <c r="CC719" i="4"/>
  <c r="AF947" i="4"/>
  <c r="CF209" i="4"/>
  <c r="CF232" i="4"/>
  <c r="CF175" i="4"/>
  <c r="CF174" i="4"/>
  <c r="CF206" i="4"/>
  <c r="CF168" i="4"/>
  <c r="CF208" i="4"/>
  <c r="CF207" i="4"/>
  <c r="CF269" i="4" s="1"/>
  <c r="CF283" i="4" s="1"/>
  <c r="CF256" i="4"/>
  <c r="CF160" i="4"/>
  <c r="CF255" i="4"/>
  <c r="CF233" i="4"/>
  <c r="CF205" i="4"/>
  <c r="CF166" i="4"/>
  <c r="CF161" i="4"/>
  <c r="CF169" i="4"/>
  <c r="CF254" i="4"/>
  <c r="CF167" i="4"/>
  <c r="CF231" i="4"/>
  <c r="CF257" i="4"/>
  <c r="CF159" i="4"/>
  <c r="CF204" i="4"/>
  <c r="CF234" i="4"/>
  <c r="CF162" i="4"/>
  <c r="CF173" i="4"/>
  <c r="CF210" i="4"/>
  <c r="CF211" i="4"/>
  <c r="CG85" i="4"/>
  <c r="CF176" i="4"/>
  <c r="Z106" i="64"/>
  <c r="Z21" i="66"/>
  <c r="BC929" i="4"/>
  <c r="BC930" i="4" s="1"/>
  <c r="BC931" i="4" s="1"/>
  <c r="BX72" i="64" l="1"/>
  <c r="BX121" i="64"/>
  <c r="BW895" i="4"/>
  <c r="BW957" i="4" s="1"/>
  <c r="BW961" i="4" s="1"/>
  <c r="BY116" i="64"/>
  <c r="BY120" i="64"/>
  <c r="BY64" i="64" s="1"/>
  <c r="BY72" i="64" s="1"/>
  <c r="CC1345" i="4"/>
  <c r="CC750" i="4"/>
  <c r="CC763" i="4" s="1"/>
  <c r="CC622" i="4"/>
  <c r="CC623" i="4" s="1"/>
  <c r="CC676" i="4" s="1"/>
  <c r="CC680" i="4" s="1"/>
  <c r="CC889" i="4" s="1"/>
  <c r="CC890" i="4" s="1"/>
  <c r="CC891" i="4" s="1"/>
  <c r="CA682" i="4"/>
  <c r="CA1050" i="4" s="1"/>
  <c r="CA792" i="4"/>
  <c r="CA793" i="4"/>
  <c r="CA794" i="4"/>
  <c r="CA795" i="4"/>
  <c r="CA791" i="4"/>
  <c r="CC879" i="4"/>
  <c r="CD719" i="4"/>
  <c r="BY118" i="64"/>
  <c r="CA119" i="64"/>
  <c r="CA65" i="64" s="1"/>
  <c r="CF267" i="4"/>
  <c r="CF177" i="4"/>
  <c r="CF258" i="4"/>
  <c r="CF271" i="4"/>
  <c r="BZ119" i="64"/>
  <c r="BZ65" i="64" s="1"/>
  <c r="CC685" i="4"/>
  <c r="CE285" i="4"/>
  <c r="AG972" i="4"/>
  <c r="AH968" i="4" s="1"/>
  <c r="CE281" i="4"/>
  <c r="CE280" i="4"/>
  <c r="BZ775" i="4"/>
  <c r="BZ114" i="64" s="1"/>
  <c r="BZ773" i="4"/>
  <c r="BZ112" i="64" s="1"/>
  <c r="BZ776" i="4"/>
  <c r="BZ115" i="64" s="1"/>
  <c r="BZ774" i="4"/>
  <c r="BZ113" i="64" s="1"/>
  <c r="AG71" i="64"/>
  <c r="AG79" i="64"/>
  <c r="BV45" i="11"/>
  <c r="BV46" i="11" s="1"/>
  <c r="BV993" i="4"/>
  <c r="AA70" i="67"/>
  <c r="BW1216" i="4"/>
  <c r="BW897" i="4"/>
  <c r="BW70" i="11"/>
  <c r="BW936" i="4"/>
  <c r="BW944" i="4"/>
  <c r="BW1042" i="4"/>
  <c r="BW1242" i="4"/>
  <c r="BU969" i="4"/>
  <c r="BV970" i="4"/>
  <c r="AA39" i="13"/>
  <c r="AA982" i="4"/>
  <c r="AA983" i="4" s="1"/>
  <c r="AC981" i="4"/>
  <c r="CC754" i="4"/>
  <c r="CC755" i="4"/>
  <c r="CD677" i="4"/>
  <c r="CD669" i="4"/>
  <c r="AF951" i="4"/>
  <c r="BX819" i="4"/>
  <c r="BX825" i="4" s="1"/>
  <c r="BX826" i="4" s="1"/>
  <c r="BX893" i="4" s="1"/>
  <c r="BX895" i="4"/>
  <c r="BX957" i="4" s="1"/>
  <c r="CE334" i="4"/>
  <c r="CE960" i="4" s="1"/>
  <c r="AC16" i="72" s="1"/>
  <c r="CE276" i="4"/>
  <c r="CE279" i="4"/>
  <c r="AG945" i="4"/>
  <c r="AG946" i="4" s="1"/>
  <c r="AG947" i="4" s="1"/>
  <c r="Z35" i="64"/>
  <c r="Z36" i="64"/>
  <c r="CF268" i="4"/>
  <c r="CF212" i="4"/>
  <c r="CF266" i="4"/>
  <c r="CF170" i="4"/>
  <c r="CE282" i="4"/>
  <c r="CE869" i="4"/>
  <c r="CE877" i="4"/>
  <c r="CE860" i="4"/>
  <c r="CE871" i="4"/>
  <c r="CE862" i="4"/>
  <c r="CE878" i="4"/>
  <c r="CE859" i="4"/>
  <c r="CE875" i="4"/>
  <c r="CE861" i="4"/>
  <c r="CE876" i="4"/>
  <c r="CE1032" i="4"/>
  <c r="CE1033" i="4" s="1"/>
  <c r="CE1034" i="4" s="1"/>
  <c r="CE908" i="4" s="1"/>
  <c r="CE874" i="4"/>
  <c r="CE818" i="4"/>
  <c r="CE896" i="4" s="1"/>
  <c r="CE870" i="4"/>
  <c r="CE606" i="4"/>
  <c r="CE608" i="4" s="1"/>
  <c r="CE613" i="4"/>
  <c r="CE614" i="4" s="1"/>
  <c r="CE620" i="4" s="1"/>
  <c r="CE616" i="4"/>
  <c r="CF79" i="4"/>
  <c r="CE618" i="4"/>
  <c r="CE666" i="4"/>
  <c r="CE667" i="4"/>
  <c r="CE668" i="4"/>
  <c r="CE716" i="4"/>
  <c r="CE717" i="4"/>
  <c r="CE718" i="4"/>
  <c r="AF18" i="11"/>
  <c r="AG935" i="4"/>
  <c r="AG937" i="4" s="1"/>
  <c r="AG938" i="4" s="1"/>
  <c r="AF950" i="4"/>
  <c r="CE260" i="4"/>
  <c r="BD927" i="4"/>
  <c r="BC19" i="11"/>
  <c r="V19" i="67"/>
  <c r="CF163" i="4"/>
  <c r="CF265" i="4"/>
  <c r="CA813" i="4"/>
  <c r="CA814" i="4"/>
  <c r="CA816" i="4"/>
  <c r="CE284" i="4"/>
  <c r="CG232" i="4"/>
  <c r="CG206" i="4"/>
  <c r="CG209" i="4"/>
  <c r="CG256" i="4"/>
  <c r="CG161" i="4"/>
  <c r="CG208" i="4"/>
  <c r="CG167" i="4"/>
  <c r="CG168" i="4"/>
  <c r="CG255" i="4"/>
  <c r="CG205" i="4"/>
  <c r="CG160" i="4"/>
  <c r="CG207" i="4"/>
  <c r="CG269" i="4" s="1"/>
  <c r="CG283" i="4" s="1"/>
  <c r="CG174" i="4"/>
  <c r="CG175" i="4"/>
  <c r="CG233" i="4"/>
  <c r="CG210" i="4"/>
  <c r="CG254" i="4"/>
  <c r="CG231" i="4"/>
  <c r="CG166" i="4"/>
  <c r="CG173" i="4"/>
  <c r="CG159" i="4"/>
  <c r="CG234" i="4"/>
  <c r="CG169" i="4"/>
  <c r="CG257" i="4"/>
  <c r="CG204" i="4"/>
  <c r="CG162" i="4"/>
  <c r="CG176" i="4"/>
  <c r="CH85" i="4"/>
  <c r="CG211" i="4"/>
  <c r="CD296" i="4"/>
  <c r="CD304" i="4" s="1"/>
  <c r="CD864" i="4"/>
  <c r="CD866" i="4"/>
  <c r="CD865" i="4"/>
  <c r="CD863" i="4"/>
  <c r="CD33" i="66"/>
  <c r="CD32" i="66" s="1"/>
  <c r="CD81" i="11"/>
  <c r="CD82" i="11" s="1"/>
  <c r="CD65" i="62"/>
  <c r="CD1041" i="4"/>
  <c r="CD1214" i="4"/>
  <c r="CD1241" i="4"/>
  <c r="BZ796" i="4"/>
  <c r="BZ824" i="4" s="1"/>
  <c r="CB759" i="4"/>
  <c r="CB758" i="4"/>
  <c r="CB756" i="4"/>
  <c r="CB757" i="4"/>
  <c r="BY73" i="64"/>
  <c r="BY81" i="64"/>
  <c r="CF235" i="4"/>
  <c r="CF270" i="4"/>
  <c r="CA773" i="4"/>
  <c r="CA112" i="64" s="1"/>
  <c r="CA776" i="4"/>
  <c r="CA115" i="64" s="1"/>
  <c r="CA774" i="4"/>
  <c r="CA113" i="64" s="1"/>
  <c r="CA775" i="4"/>
  <c r="CA114" i="64" s="1"/>
  <c r="CD609" i="4"/>
  <c r="CD627" i="4" s="1"/>
  <c r="CD810" i="4" s="1"/>
  <c r="CD815" i="4" s="1"/>
  <c r="CD749" i="4"/>
  <c r="CD289" i="4"/>
  <c r="CB794" i="4"/>
  <c r="CB795" i="4"/>
  <c r="CB792" i="4"/>
  <c r="CB793" i="4"/>
  <c r="CB791" i="4"/>
  <c r="BZ1257" i="4"/>
  <c r="BZ1215" i="4"/>
  <c r="BZ684" i="4"/>
  <c r="BZ956" i="4" s="1"/>
  <c r="BZ1050" i="4"/>
  <c r="BZ69" i="11"/>
  <c r="BZ44" i="11"/>
  <c r="BZ928" i="4"/>
  <c r="BZ992" i="4"/>
  <c r="CB676" i="4"/>
  <c r="CB680" i="4" s="1"/>
  <c r="CB889" i="4" s="1"/>
  <c r="CB890" i="4" s="1"/>
  <c r="CB891" i="4" s="1"/>
  <c r="CB751" i="4"/>
  <c r="CB629" i="4"/>
  <c r="CB630" i="4" s="1"/>
  <c r="Z35" i="11"/>
  <c r="Z33" i="11" s="1"/>
  <c r="Z1387" i="4" s="1"/>
  <c r="Z20" i="11"/>
  <c r="Z987" i="4"/>
  <c r="BY823" i="4"/>
  <c r="BY811" i="4"/>
  <c r="BY817" i="4" s="1"/>
  <c r="CD619" i="4"/>
  <c r="BV969" i="4"/>
  <c r="BW970" i="4"/>
  <c r="BZ816" i="4"/>
  <c r="BZ814" i="4"/>
  <c r="BZ813" i="4"/>
  <c r="CB763" i="4"/>
  <c r="CB762" i="4"/>
  <c r="CB764" i="4"/>
  <c r="BU993" i="4"/>
  <c r="BU45" i="11"/>
  <c r="BU46" i="11" s="1"/>
  <c r="CC764" i="4" l="1"/>
  <c r="CC766" i="4" s="1"/>
  <c r="BY121" i="64"/>
  <c r="BW980" i="4"/>
  <c r="BY80" i="64"/>
  <c r="CC629" i="4"/>
  <c r="CC630" i="4" s="1"/>
  <c r="CC809" i="4" s="1"/>
  <c r="CC751" i="4"/>
  <c r="CC771" i="4" s="1"/>
  <c r="CC789" i="4"/>
  <c r="CC791" i="4" s="1"/>
  <c r="CA992" i="4"/>
  <c r="CA44" i="11"/>
  <c r="AB38" i="13"/>
  <c r="CC762" i="4"/>
  <c r="AB13" i="72"/>
  <c r="AB44" i="67"/>
  <c r="AB69" i="67"/>
  <c r="CA69" i="11"/>
  <c r="CA1257" i="4"/>
  <c r="CA928" i="4"/>
  <c r="CA684" i="4"/>
  <c r="CA956" i="4" s="1"/>
  <c r="CA1215" i="4"/>
  <c r="CA796" i="4"/>
  <c r="CA824" i="4" s="1"/>
  <c r="BZ116" i="64"/>
  <c r="CE719" i="4"/>
  <c r="CF260" i="4"/>
  <c r="CF1041" i="4" s="1"/>
  <c r="CA118" i="64"/>
  <c r="CD879" i="4"/>
  <c r="CG163" i="4"/>
  <c r="CG265" i="4"/>
  <c r="CF334" i="4"/>
  <c r="CF960" i="4" s="1"/>
  <c r="CF276" i="4"/>
  <c r="CF279" i="4"/>
  <c r="CE81" i="11"/>
  <c r="CE82" i="11" s="1"/>
  <c r="CE1241" i="4"/>
  <c r="CE65" i="62"/>
  <c r="CE1214" i="4"/>
  <c r="CE33" i="66"/>
  <c r="CE32" i="66" s="1"/>
  <c r="CE1041" i="4"/>
  <c r="CE749" i="4"/>
  <c r="CE609" i="4"/>
  <c r="CE627" i="4" s="1"/>
  <c r="CE810" i="4" s="1"/>
  <c r="CE815" i="4" s="1"/>
  <c r="CE864" i="4"/>
  <c r="CE866" i="4"/>
  <c r="CE865" i="4"/>
  <c r="CE863" i="4"/>
  <c r="AH943" i="4"/>
  <c r="AG34" i="11"/>
  <c r="CF285" i="4"/>
  <c r="CF284" i="4"/>
  <c r="CH168" i="4"/>
  <c r="CH255" i="4"/>
  <c r="CH174" i="4"/>
  <c r="CH175" i="4"/>
  <c r="CH209" i="4"/>
  <c r="CH232" i="4"/>
  <c r="CH233" i="4"/>
  <c r="CH160" i="4"/>
  <c r="CH256" i="4"/>
  <c r="CH206" i="4"/>
  <c r="CH167" i="4"/>
  <c r="CH208" i="4"/>
  <c r="CH207" i="4"/>
  <c r="CH269" i="4" s="1"/>
  <c r="CH283" i="4" s="1"/>
  <c r="CH161" i="4"/>
  <c r="CH205" i="4"/>
  <c r="CH231" i="4"/>
  <c r="CH173" i="4"/>
  <c r="CH166" i="4"/>
  <c r="CH210" i="4"/>
  <c r="CH204" i="4"/>
  <c r="CH162" i="4"/>
  <c r="CH234" i="4"/>
  <c r="CH254" i="4"/>
  <c r="CH169" i="4"/>
  <c r="CH159" i="4"/>
  <c r="CH257" i="4"/>
  <c r="CH176" i="4"/>
  <c r="CH211" i="4"/>
  <c r="CI85" i="4"/>
  <c r="CG267" i="4"/>
  <c r="CG177" i="4"/>
  <c r="BX961" i="4"/>
  <c r="BX980" i="4"/>
  <c r="CC757" i="4"/>
  <c r="CC756" i="4"/>
  <c r="CC758" i="4"/>
  <c r="CC759" i="4"/>
  <c r="AH971" i="4"/>
  <c r="AH105" i="64" s="1"/>
  <c r="AH63" i="64" s="1"/>
  <c r="CG266" i="4"/>
  <c r="CG170" i="4"/>
  <c r="CE296" i="4"/>
  <c r="CE304" i="4" s="1"/>
  <c r="CF280" i="4"/>
  <c r="BX1042" i="4"/>
  <c r="BX936" i="4"/>
  <c r="BX1216" i="4"/>
  <c r="BX70" i="11"/>
  <c r="BX897" i="4"/>
  <c r="BX1242" i="4"/>
  <c r="BX944" i="4"/>
  <c r="BZ120" i="64"/>
  <c r="BZ64" i="64" s="1"/>
  <c r="Z1047" i="4"/>
  <c r="Z76" i="11"/>
  <c r="Z1049" i="4"/>
  <c r="Z1244" i="4"/>
  <c r="Z41" i="66"/>
  <c r="Z1258" i="4"/>
  <c r="Z1219" i="4"/>
  <c r="Z66" i="62"/>
  <c r="CD750" i="4"/>
  <c r="CD622" i="4"/>
  <c r="CD623" i="4" s="1"/>
  <c r="CD789" i="4" s="1"/>
  <c r="CD628" i="4"/>
  <c r="CD685" i="4" s="1"/>
  <c r="CD1345" i="4"/>
  <c r="CD1310" i="4"/>
  <c r="CG270" i="4"/>
  <c r="CG235" i="4"/>
  <c r="CE677" i="4"/>
  <c r="CE669" i="4"/>
  <c r="CF281" i="4"/>
  <c r="BZ777" i="4"/>
  <c r="CB796" i="4"/>
  <c r="CB824" i="4" s="1"/>
  <c r="CB682" i="4"/>
  <c r="CB809" i="4"/>
  <c r="CG268" i="4"/>
  <c r="CG212" i="4"/>
  <c r="CG271" i="4"/>
  <c r="CG258" i="4"/>
  <c r="AG939" i="4"/>
  <c r="AG951" i="4" s="1"/>
  <c r="AG18" i="11"/>
  <c r="AH935" i="4"/>
  <c r="AG950" i="4"/>
  <c r="CF282" i="4"/>
  <c r="AB979" i="4"/>
  <c r="AA985" i="4"/>
  <c r="CB766" i="4"/>
  <c r="CB765" i="4"/>
  <c r="CB768" i="4"/>
  <c r="CB767" i="4"/>
  <c r="CB772" i="4"/>
  <c r="CB771" i="4"/>
  <c r="CA120" i="64"/>
  <c r="CA64" i="64" s="1"/>
  <c r="BD929" i="4"/>
  <c r="BD930" i="4" s="1"/>
  <c r="BD931" i="4" s="1"/>
  <c r="CF818" i="4"/>
  <c r="CF896" i="4" s="1"/>
  <c r="CF874" i="4"/>
  <c r="CF875" i="4"/>
  <c r="CF859" i="4"/>
  <c r="CF862" i="4"/>
  <c r="CF878" i="4"/>
  <c r="CF860" i="4"/>
  <c r="CF871" i="4"/>
  <c r="CF877" i="4"/>
  <c r="CF876" i="4"/>
  <c r="CF1032" i="4"/>
  <c r="CF1033" i="4" s="1"/>
  <c r="CF1034" i="4" s="1"/>
  <c r="CF908" i="4" s="1"/>
  <c r="CF869" i="4"/>
  <c r="CF870" i="4"/>
  <c r="CF861" i="4"/>
  <c r="CF613" i="4"/>
  <c r="CF614" i="4" s="1"/>
  <c r="CF620" i="4" s="1"/>
  <c r="CF616" i="4"/>
  <c r="CF606" i="4"/>
  <c r="CF608" i="4" s="1"/>
  <c r="CG79" i="4"/>
  <c r="CF667" i="4"/>
  <c r="CF666" i="4"/>
  <c r="CF618" i="4"/>
  <c r="CF668" i="4"/>
  <c r="CF716" i="4"/>
  <c r="CF717" i="4"/>
  <c r="CF718" i="4"/>
  <c r="CE289" i="4"/>
  <c r="AA106" i="64"/>
  <c r="AA21" i="66"/>
  <c r="BZ118" i="64"/>
  <c r="BY819" i="4"/>
  <c r="BY825" i="4" s="1"/>
  <c r="BY826" i="4" s="1"/>
  <c r="BY893" i="4" s="1"/>
  <c r="BY895" i="4"/>
  <c r="BY957" i="4" s="1"/>
  <c r="CD754" i="4"/>
  <c r="CD755" i="4"/>
  <c r="AC81" i="67"/>
  <c r="AC82" i="67" s="1"/>
  <c r="CE619" i="4"/>
  <c r="Z37" i="64"/>
  <c r="Z51" i="64" s="1"/>
  <c r="AF43" i="66"/>
  <c r="AF77" i="11"/>
  <c r="AF23" i="66"/>
  <c r="AF1245" i="4"/>
  <c r="AF1262" i="4"/>
  <c r="AF1048" i="4"/>
  <c r="AF1220" i="4"/>
  <c r="BW969" i="4"/>
  <c r="BX970" i="4"/>
  <c r="BZ81" i="64"/>
  <c r="BZ73" i="64"/>
  <c r="CA777" i="4"/>
  <c r="CA116" i="64"/>
  <c r="BW993" i="4"/>
  <c r="BW45" i="11"/>
  <c r="BW46" i="11" s="1"/>
  <c r="CA73" i="64"/>
  <c r="CA81" i="64"/>
  <c r="CC767" i="4" l="1"/>
  <c r="CC768" i="4"/>
  <c r="CC765" i="4"/>
  <c r="CC682" i="4"/>
  <c r="CC1257" i="4" s="1"/>
  <c r="CC772" i="4"/>
  <c r="CC774" i="4" s="1"/>
  <c r="CC113" i="64" s="1"/>
  <c r="CC793" i="4"/>
  <c r="CC794" i="4"/>
  <c r="CC792" i="4"/>
  <c r="CC795" i="4"/>
  <c r="CF1241" i="4"/>
  <c r="CF33" i="66"/>
  <c r="CF32" i="66" s="1"/>
  <c r="CF1214" i="4"/>
  <c r="CF81" i="11"/>
  <c r="CF82" i="11" s="1"/>
  <c r="CF1310" i="4" s="1"/>
  <c r="CF65" i="62"/>
  <c r="BZ121" i="64"/>
  <c r="CA121" i="64"/>
  <c r="CE879" i="4"/>
  <c r="CF609" i="4"/>
  <c r="CF627" i="4" s="1"/>
  <c r="CF810" i="4" s="1"/>
  <c r="CF815" i="4" s="1"/>
  <c r="CF749" i="4"/>
  <c r="CF296" i="4"/>
  <c r="CF304" i="4" s="1"/>
  <c r="CH170" i="4"/>
  <c r="CH266" i="4"/>
  <c r="AA36" i="64"/>
  <c r="AA35" i="64"/>
  <c r="CF619" i="4"/>
  <c r="CG282" i="4"/>
  <c r="BZ823" i="4"/>
  <c r="BZ811" i="4"/>
  <c r="BZ817" i="4" s="1"/>
  <c r="BX969" i="4"/>
  <c r="BY970" i="4"/>
  <c r="CH265" i="4"/>
  <c r="CH163" i="4"/>
  <c r="CH177" i="4"/>
  <c r="CH267" i="4"/>
  <c r="CC814" i="4"/>
  <c r="CC816" i="4"/>
  <c r="CC813" i="4"/>
  <c r="CF719" i="4"/>
  <c r="BE927" i="4"/>
  <c r="BD19" i="11"/>
  <c r="AA20" i="11"/>
  <c r="O20" i="67" s="1"/>
  <c r="AA35" i="11"/>
  <c r="AA987" i="4"/>
  <c r="CD676" i="4"/>
  <c r="CD680" i="4" s="1"/>
  <c r="CD889" i="4" s="1"/>
  <c r="CD890" i="4" s="1"/>
  <c r="CD891" i="4" s="1"/>
  <c r="CD629" i="4"/>
  <c r="CD630" i="4" s="1"/>
  <c r="CD751" i="4"/>
  <c r="AH972" i="4"/>
  <c r="AI968" i="4" s="1"/>
  <c r="CH235" i="4"/>
  <c r="CH270" i="4"/>
  <c r="CD758" i="4"/>
  <c r="CD757" i="4"/>
  <c r="CD759" i="4"/>
  <c r="CD756" i="4"/>
  <c r="AB982" i="4"/>
  <c r="AB983" i="4" s="1"/>
  <c r="AD981" i="4"/>
  <c r="AH937" i="4"/>
  <c r="AH938" i="4" s="1"/>
  <c r="AH939" i="4" s="1"/>
  <c r="CB816" i="4"/>
  <c r="CB813" i="4"/>
  <c r="CB814" i="4"/>
  <c r="CD763" i="4"/>
  <c r="CD762" i="4"/>
  <c r="CD764" i="4"/>
  <c r="BX993" i="4"/>
  <c r="BX45" i="11"/>
  <c r="BX46" i="11" s="1"/>
  <c r="AH71" i="64"/>
  <c r="AH79" i="64"/>
  <c r="CH271" i="4"/>
  <c r="CH258" i="4"/>
  <c r="CG334" i="4"/>
  <c r="CG960" i="4" s="1"/>
  <c r="CG276" i="4"/>
  <c r="CG279" i="4"/>
  <c r="CA80" i="64"/>
  <c r="CA72" i="64"/>
  <c r="CB1050" i="4"/>
  <c r="CB992" i="4"/>
  <c r="CB928" i="4"/>
  <c r="CB44" i="11"/>
  <c r="CB1215" i="4"/>
  <c r="CB69" i="11"/>
  <c r="CB1257" i="4"/>
  <c r="CB684" i="4"/>
  <c r="CB956" i="4" s="1"/>
  <c r="CG281" i="4"/>
  <c r="CG260" i="4"/>
  <c r="CA823" i="4"/>
  <c r="CA811" i="4"/>
  <c r="CA817" i="4" s="1"/>
  <c r="BY961" i="4"/>
  <c r="BY980" i="4"/>
  <c r="CF677" i="4"/>
  <c r="CF669" i="4"/>
  <c r="CF866" i="4"/>
  <c r="CF864" i="4"/>
  <c r="CF863" i="4"/>
  <c r="CF865" i="4"/>
  <c r="CD795" i="4"/>
  <c r="CD792" i="4"/>
  <c r="CD791" i="4"/>
  <c r="CD794" i="4"/>
  <c r="CD793" i="4"/>
  <c r="BZ72" i="64"/>
  <c r="BZ80" i="64"/>
  <c r="CI207" i="4"/>
  <c r="CI269" i="4" s="1"/>
  <c r="CI283" i="4" s="1"/>
  <c r="CI256" i="4"/>
  <c r="CI232" i="4"/>
  <c r="CI205" i="4"/>
  <c r="CI175" i="4"/>
  <c r="CI168" i="4"/>
  <c r="CI233" i="4"/>
  <c r="CI160" i="4"/>
  <c r="CI209" i="4"/>
  <c r="CI167" i="4"/>
  <c r="CI161" i="4"/>
  <c r="CI206" i="4"/>
  <c r="CI174" i="4"/>
  <c r="CI208" i="4"/>
  <c r="CI255" i="4"/>
  <c r="CI169" i="4"/>
  <c r="CI257" i="4"/>
  <c r="CI210" i="4"/>
  <c r="CI234" i="4"/>
  <c r="CI159" i="4"/>
  <c r="CI231" i="4"/>
  <c r="CI173" i="4"/>
  <c r="CI204" i="4"/>
  <c r="CI254" i="4"/>
  <c r="CI162" i="4"/>
  <c r="CI166" i="4"/>
  <c r="CJ85" i="4"/>
  <c r="CI211" i="4"/>
  <c r="CI176" i="4"/>
  <c r="CE1310" i="4"/>
  <c r="CE1345" i="4"/>
  <c r="AC12" i="13" s="1"/>
  <c r="CE628" i="4"/>
  <c r="CE685" i="4" s="1"/>
  <c r="CE750" i="4"/>
  <c r="CE622" i="4"/>
  <c r="CE623" i="4" s="1"/>
  <c r="CE789" i="4" s="1"/>
  <c r="BY944" i="4"/>
  <c r="BY936" i="4"/>
  <c r="BY897" i="4"/>
  <c r="BY1242" i="4"/>
  <c r="BY1216" i="4"/>
  <c r="BY70" i="11"/>
  <c r="BY1042" i="4"/>
  <c r="CG284" i="4"/>
  <c r="CH268" i="4"/>
  <c r="CH212" i="4"/>
  <c r="AH945" i="4"/>
  <c r="AH946" i="4" s="1"/>
  <c r="AH947" i="4" s="1"/>
  <c r="CE755" i="4"/>
  <c r="CE754" i="4"/>
  <c r="AG43" i="66"/>
  <c r="AG1220" i="4"/>
  <c r="AG1048" i="4"/>
  <c r="AG23" i="66"/>
  <c r="AG1262" i="4"/>
  <c r="AG77" i="11"/>
  <c r="AG1245" i="4"/>
  <c r="CG869" i="4"/>
  <c r="CG878" i="4"/>
  <c r="CG860" i="4"/>
  <c r="CG862" i="4"/>
  <c r="CG1032" i="4"/>
  <c r="CG1033" i="4" s="1"/>
  <c r="CG1034" i="4" s="1"/>
  <c r="CG908" i="4" s="1"/>
  <c r="CG877" i="4"/>
  <c r="CG818" i="4"/>
  <c r="CG896" i="4" s="1"/>
  <c r="CG876" i="4"/>
  <c r="CG871" i="4"/>
  <c r="CG875" i="4"/>
  <c r="CG859" i="4"/>
  <c r="CG870" i="4"/>
  <c r="CG861" i="4"/>
  <c r="CG874" i="4"/>
  <c r="CG616" i="4"/>
  <c r="CG606" i="4"/>
  <c r="CG608" i="4" s="1"/>
  <c r="CG613" i="4"/>
  <c r="CG614" i="4" s="1"/>
  <c r="CG620" i="4" s="1"/>
  <c r="CH79" i="4"/>
  <c r="CG667" i="4"/>
  <c r="CG666" i="4"/>
  <c r="CG618" i="4"/>
  <c r="CG668" i="4"/>
  <c r="CG716" i="4"/>
  <c r="CG717" i="4"/>
  <c r="CG718" i="4"/>
  <c r="CB773" i="4"/>
  <c r="CB112" i="64" s="1"/>
  <c r="CB775" i="4"/>
  <c r="CB114" i="64" s="1"/>
  <c r="CB776" i="4"/>
  <c r="CB115" i="64" s="1"/>
  <c r="CB774" i="4"/>
  <c r="CB113" i="64" s="1"/>
  <c r="CB111" i="64"/>
  <c r="CG285" i="4"/>
  <c r="CG280" i="4"/>
  <c r="CF289" i="4"/>
  <c r="CC1050" i="4" l="1"/>
  <c r="CC992" i="4"/>
  <c r="CC1215" i="4"/>
  <c r="CC776" i="4"/>
  <c r="CC115" i="64" s="1"/>
  <c r="CC69" i="11"/>
  <c r="CC684" i="4"/>
  <c r="CC956" i="4" s="1"/>
  <c r="CC44" i="11"/>
  <c r="CC928" i="4"/>
  <c r="CC773" i="4"/>
  <c r="CC112" i="64" s="1"/>
  <c r="CC775" i="4"/>
  <c r="CC114" i="64" s="1"/>
  <c r="CC111" i="64"/>
  <c r="CC119" i="64" s="1"/>
  <c r="CC65" i="64" s="1"/>
  <c r="CC796" i="4"/>
  <c r="CC824" i="4" s="1"/>
  <c r="CF1345" i="4"/>
  <c r="CG719" i="4"/>
  <c r="CF879" i="4"/>
  <c r="CE791" i="4"/>
  <c r="CE792" i="4"/>
  <c r="CE795" i="4"/>
  <c r="CE794" i="4"/>
  <c r="CE793" i="4"/>
  <c r="CB116" i="64"/>
  <c r="CB119" i="64"/>
  <c r="CB65" i="64" s="1"/>
  <c r="CG864" i="4"/>
  <c r="CG866" i="4"/>
  <c r="CG865" i="4"/>
  <c r="CG863" i="4"/>
  <c r="CG619" i="4"/>
  <c r="CG296" i="4"/>
  <c r="CG304" i="4" s="1"/>
  <c r="CI265" i="4"/>
  <c r="CI163" i="4"/>
  <c r="CG1241" i="4"/>
  <c r="CG1041" i="4"/>
  <c r="CG65" i="62"/>
  <c r="CG33" i="66"/>
  <c r="CG32" i="66" s="1"/>
  <c r="CG81" i="11"/>
  <c r="CG82" i="11" s="1"/>
  <c r="CG1214" i="4"/>
  <c r="CH334" i="4"/>
  <c r="CH960" i="4" s="1"/>
  <c r="CH276" i="4"/>
  <c r="CH279" i="4"/>
  <c r="AA37" i="64"/>
  <c r="AA51" i="64" s="1"/>
  <c r="CE756" i="4"/>
  <c r="CE759" i="4"/>
  <c r="CE757" i="4"/>
  <c r="CE758" i="4"/>
  <c r="CJ256" i="4"/>
  <c r="CJ160" i="4"/>
  <c r="CJ208" i="4"/>
  <c r="CJ166" i="4"/>
  <c r="CJ161" i="4"/>
  <c r="CJ209" i="4"/>
  <c r="CJ206" i="4"/>
  <c r="CJ167" i="4"/>
  <c r="CJ232" i="4"/>
  <c r="CJ255" i="4"/>
  <c r="CJ205" i="4"/>
  <c r="CJ233" i="4"/>
  <c r="CJ207" i="4"/>
  <c r="CJ269" i="4" s="1"/>
  <c r="CJ283" i="4" s="1"/>
  <c r="CJ174" i="4"/>
  <c r="CJ175" i="4"/>
  <c r="CJ254" i="4"/>
  <c r="CJ168" i="4"/>
  <c r="CJ231" i="4"/>
  <c r="CJ257" i="4"/>
  <c r="CJ162" i="4"/>
  <c r="CJ210" i="4"/>
  <c r="CJ204" i="4"/>
  <c r="CJ159" i="4"/>
  <c r="CJ234" i="4"/>
  <c r="CJ173" i="4"/>
  <c r="CJ176" i="4"/>
  <c r="CJ211" i="4"/>
  <c r="CJ169" i="4"/>
  <c r="CK85" i="4"/>
  <c r="AH951" i="4"/>
  <c r="CH284" i="4"/>
  <c r="O35" i="67"/>
  <c r="O33" i="67" s="1"/>
  <c r="AA33" i="11"/>
  <c r="AA1387" i="4" s="1"/>
  <c r="CE764" i="4"/>
  <c r="CE763" i="4"/>
  <c r="CE762" i="4"/>
  <c r="CD796" i="4"/>
  <c r="CD824" i="4" s="1"/>
  <c r="CG289" i="4"/>
  <c r="AI935" i="4"/>
  <c r="AH18" i="11"/>
  <c r="AH950" i="4"/>
  <c r="CH280" i="4"/>
  <c r="CE676" i="4"/>
  <c r="CE680" i="4" s="1"/>
  <c r="CE889" i="4" s="1"/>
  <c r="CE890" i="4" s="1"/>
  <c r="CE891" i="4" s="1"/>
  <c r="CE629" i="4"/>
  <c r="CE630" i="4" s="1"/>
  <c r="CE751" i="4"/>
  <c r="CI170" i="4"/>
  <c r="CI266" i="4"/>
  <c r="CG669" i="4"/>
  <c r="CG677" i="4"/>
  <c r="AI943" i="4"/>
  <c r="AI945" i="4" s="1"/>
  <c r="AI946" i="4" s="1"/>
  <c r="AH34" i="11"/>
  <c r="AI971" i="4"/>
  <c r="AI105" i="64" s="1"/>
  <c r="AI63" i="64" s="1"/>
  <c r="CI271" i="4"/>
  <c r="CI258" i="4"/>
  <c r="AC979" i="4"/>
  <c r="AB985" i="4"/>
  <c r="CD771" i="4"/>
  <c r="CD772" i="4"/>
  <c r="CF628" i="4"/>
  <c r="CF685" i="4" s="1"/>
  <c r="CF750" i="4"/>
  <c r="CF622" i="4"/>
  <c r="CF623" i="4" s="1"/>
  <c r="CF789" i="4" s="1"/>
  <c r="CI212" i="4"/>
  <c r="CI268" i="4"/>
  <c r="BY969" i="4"/>
  <c r="BZ970" i="4"/>
  <c r="CD767" i="4"/>
  <c r="CD768" i="4"/>
  <c r="CD766" i="4"/>
  <c r="CD765" i="4"/>
  <c r="AB21" i="66"/>
  <c r="AB106" i="64"/>
  <c r="CD809" i="4"/>
  <c r="CD682" i="4"/>
  <c r="BE929" i="4"/>
  <c r="BE930" i="4" s="1"/>
  <c r="BE931" i="4" s="1"/>
  <c r="CH281" i="4"/>
  <c r="BZ819" i="4"/>
  <c r="BZ825" i="4" s="1"/>
  <c r="BZ826" i="4" s="1"/>
  <c r="BZ893" i="4" s="1"/>
  <c r="BZ895" i="4"/>
  <c r="BZ957" i="4" s="1"/>
  <c r="CH876" i="4"/>
  <c r="CH869" i="4"/>
  <c r="CH861" i="4"/>
  <c r="CH870" i="4"/>
  <c r="CH878" i="4"/>
  <c r="CH871" i="4"/>
  <c r="CH1032" i="4"/>
  <c r="CH1033" i="4" s="1"/>
  <c r="CH1034" i="4" s="1"/>
  <c r="CH908" i="4" s="1"/>
  <c r="CH874" i="4"/>
  <c r="CH862" i="4"/>
  <c r="CH859" i="4"/>
  <c r="CH818" i="4"/>
  <c r="CH896" i="4" s="1"/>
  <c r="CH875" i="4"/>
  <c r="CH860" i="4"/>
  <c r="CH877" i="4"/>
  <c r="CH606" i="4"/>
  <c r="CH608" i="4" s="1"/>
  <c r="CH616" i="4"/>
  <c r="CH613" i="4"/>
  <c r="CH614" i="4" s="1"/>
  <c r="CH620" i="4" s="1"/>
  <c r="CI79" i="4"/>
  <c r="CH667" i="4"/>
  <c r="CH666" i="4"/>
  <c r="CH618" i="4"/>
  <c r="CH668" i="4"/>
  <c r="CH716" i="4"/>
  <c r="CH717" i="4"/>
  <c r="CH718" i="4"/>
  <c r="BY45" i="11"/>
  <c r="BY46" i="11" s="1"/>
  <c r="BY993" i="4"/>
  <c r="CI177" i="4"/>
  <c r="CI267" i="4"/>
  <c r="CA895" i="4"/>
  <c r="CA957" i="4" s="1"/>
  <c r="CA819" i="4"/>
  <c r="CA825" i="4" s="1"/>
  <c r="CA826" i="4" s="1"/>
  <c r="CA893" i="4" s="1"/>
  <c r="CB120" i="64"/>
  <c r="CB64" i="64" s="1"/>
  <c r="CH282" i="4"/>
  <c r="CG749" i="4"/>
  <c r="CG609" i="4"/>
  <c r="CG627" i="4" s="1"/>
  <c r="CG810" i="4" s="1"/>
  <c r="CG815" i="4" s="1"/>
  <c r="CI235" i="4"/>
  <c r="CI270" i="4"/>
  <c r="CH285" i="4"/>
  <c r="AA76" i="11"/>
  <c r="AA1244" i="4"/>
  <c r="AA1219" i="4"/>
  <c r="AA1049" i="4"/>
  <c r="AA1258" i="4"/>
  <c r="AA1047" i="4"/>
  <c r="AA41" i="66"/>
  <c r="K168" i="15" s="1"/>
  <c r="AA66" i="62"/>
  <c r="O76" i="67"/>
  <c r="CH260" i="4"/>
  <c r="CF755" i="4"/>
  <c r="CF754" i="4"/>
  <c r="CB777" i="4"/>
  <c r="CC120" i="64" l="1"/>
  <c r="CC64" i="64" s="1"/>
  <c r="CC80" i="64" s="1"/>
  <c r="CC116" i="64"/>
  <c r="CC777" i="4"/>
  <c r="CC823" i="4" s="1"/>
  <c r="CB118" i="64"/>
  <c r="CB121" i="64" s="1"/>
  <c r="CG879" i="4"/>
  <c r="CH619" i="4"/>
  <c r="CH628" i="4" s="1"/>
  <c r="AI972" i="4"/>
  <c r="AJ968" i="4" s="1"/>
  <c r="AJ971" i="4" s="1"/>
  <c r="AJ105" i="64" s="1"/>
  <c r="AJ63" i="64" s="1"/>
  <c r="CC81" i="64"/>
  <c r="CC73" i="64"/>
  <c r="CH677" i="4"/>
  <c r="CH669" i="4"/>
  <c r="CD44" i="11"/>
  <c r="CD684" i="4"/>
  <c r="CD956" i="4" s="1"/>
  <c r="CD69" i="11"/>
  <c r="CD1257" i="4"/>
  <c r="CD992" i="4"/>
  <c r="CD1215" i="4"/>
  <c r="CD1050" i="4"/>
  <c r="CD928" i="4"/>
  <c r="CJ271" i="4"/>
  <c r="CJ258" i="4"/>
  <c r="CI334" i="4"/>
  <c r="CI960" i="4" s="1"/>
  <c r="AD16" i="72" s="1"/>
  <c r="CI276" i="4"/>
  <c r="CI279" i="4"/>
  <c r="CF795" i="4"/>
  <c r="CF792" i="4"/>
  <c r="CF791" i="4"/>
  <c r="CF793" i="4"/>
  <c r="CF794" i="4"/>
  <c r="CH296" i="4"/>
  <c r="CH304" i="4" s="1"/>
  <c r="CD813" i="4"/>
  <c r="CD814" i="4"/>
  <c r="CD816" i="4"/>
  <c r="AB20" i="11"/>
  <c r="AB35" i="11"/>
  <c r="AB33" i="11" s="1"/>
  <c r="AB1387" i="4" s="1"/>
  <c r="AB987" i="4"/>
  <c r="CI280" i="4"/>
  <c r="CJ265" i="4"/>
  <c r="CJ163" i="4"/>
  <c r="CI818" i="4"/>
  <c r="CI896" i="4" s="1"/>
  <c r="CI874" i="4"/>
  <c r="CI859" i="4"/>
  <c r="CI875" i="4"/>
  <c r="CI877" i="4"/>
  <c r="CI869" i="4"/>
  <c r="CI1032" i="4"/>
  <c r="CI1033" i="4" s="1"/>
  <c r="CI1034" i="4" s="1"/>
  <c r="CI908" i="4" s="1"/>
  <c r="CI860" i="4"/>
  <c r="CI871" i="4"/>
  <c r="CI862" i="4"/>
  <c r="CI878" i="4"/>
  <c r="CI876" i="4"/>
  <c r="CI861" i="4"/>
  <c r="CI870" i="4"/>
  <c r="CI616" i="4"/>
  <c r="CI606" i="4"/>
  <c r="CI608" i="4" s="1"/>
  <c r="CI613" i="4"/>
  <c r="CI614" i="4" s="1"/>
  <c r="CI620" i="4" s="1"/>
  <c r="CJ79" i="4"/>
  <c r="CI667" i="4"/>
  <c r="CI666" i="4"/>
  <c r="CI668" i="4"/>
  <c r="CI618" i="4"/>
  <c r="CI717" i="4"/>
  <c r="CI716" i="4"/>
  <c r="CI718" i="4"/>
  <c r="CH866" i="4"/>
  <c r="CH863" i="4"/>
  <c r="CH865" i="4"/>
  <c r="CH864" i="4"/>
  <c r="AB36" i="64"/>
  <c r="AB35" i="64"/>
  <c r="CI282" i="4"/>
  <c r="AC982" i="4"/>
  <c r="AC983" i="4" s="1"/>
  <c r="AE981" i="4"/>
  <c r="AH43" i="66"/>
  <c r="AH77" i="11"/>
  <c r="AH1048" i="4"/>
  <c r="AH23" i="66"/>
  <c r="AH1220" i="4"/>
  <c r="AH1262" i="4"/>
  <c r="AH1245" i="4"/>
  <c r="CJ212" i="4"/>
  <c r="CJ268" i="4"/>
  <c r="CH289" i="4"/>
  <c r="CG1345" i="4"/>
  <c r="CG1310" i="4"/>
  <c r="CF756" i="4"/>
  <c r="CF758" i="4"/>
  <c r="CF759" i="4"/>
  <c r="CF757" i="4"/>
  <c r="CG754" i="4"/>
  <c r="CG755" i="4"/>
  <c r="CE771" i="4"/>
  <c r="CE772" i="4"/>
  <c r="CK167" i="4"/>
  <c r="CK207" i="4"/>
  <c r="CK269" i="4" s="1"/>
  <c r="CK283" i="4" s="1"/>
  <c r="CK168" i="4"/>
  <c r="CK233" i="4"/>
  <c r="CK208" i="4"/>
  <c r="CK256" i="4"/>
  <c r="CK175" i="4"/>
  <c r="CK209" i="4"/>
  <c r="CK206" i="4"/>
  <c r="CK174" i="4"/>
  <c r="CK160" i="4"/>
  <c r="CK232" i="4"/>
  <c r="CK255" i="4"/>
  <c r="CK161" i="4"/>
  <c r="CK205" i="4"/>
  <c r="CK169" i="4"/>
  <c r="CK166" i="4"/>
  <c r="CK231" i="4"/>
  <c r="CK204" i="4"/>
  <c r="CK254" i="4"/>
  <c r="CK173" i="4"/>
  <c r="CK210" i="4"/>
  <c r="CK234" i="4"/>
  <c r="CK162" i="4"/>
  <c r="CK257" i="4"/>
  <c r="CK159" i="4"/>
  <c r="CK176" i="4"/>
  <c r="CK211" i="4"/>
  <c r="CL85" i="4"/>
  <c r="BZ961" i="4"/>
  <c r="BZ980" i="4"/>
  <c r="CF676" i="4"/>
  <c r="CF680" i="4" s="1"/>
  <c r="CF889" i="4" s="1"/>
  <c r="CF890" i="4" s="1"/>
  <c r="CF891" i="4" s="1"/>
  <c r="CF629" i="4"/>
  <c r="CF630" i="4" s="1"/>
  <c r="CF751" i="4"/>
  <c r="CI285" i="4"/>
  <c r="CE682" i="4"/>
  <c r="CE809" i="4"/>
  <c r="CJ266" i="4"/>
  <c r="CJ170" i="4"/>
  <c r="CI284" i="4"/>
  <c r="CA1242" i="4"/>
  <c r="CA1042" i="4"/>
  <c r="CA70" i="11"/>
  <c r="CA897" i="4"/>
  <c r="CA936" i="4"/>
  <c r="CA1216" i="4"/>
  <c r="CA944" i="4"/>
  <c r="CH719" i="4"/>
  <c r="CH609" i="4"/>
  <c r="CH627" i="4" s="1"/>
  <c r="CH810" i="4" s="1"/>
  <c r="CH815" i="4" s="1"/>
  <c r="CH749" i="4"/>
  <c r="BZ936" i="4"/>
  <c r="BZ70" i="11"/>
  <c r="BZ1216" i="4"/>
  <c r="BZ944" i="4"/>
  <c r="BZ1042" i="4"/>
  <c r="BZ1242" i="4"/>
  <c r="BZ897" i="4"/>
  <c r="AB70" i="67"/>
  <c r="AB39" i="13"/>
  <c r="CF763" i="4"/>
  <c r="CF762" i="4"/>
  <c r="CF764" i="4"/>
  <c r="AI947" i="4"/>
  <c r="AJ943" i="4"/>
  <c r="AJ945" i="4" s="1"/>
  <c r="AJ946" i="4" s="1"/>
  <c r="AI34" i="11"/>
  <c r="Q34" i="67"/>
  <c r="AI937" i="4"/>
  <c r="AI938" i="4" s="1"/>
  <c r="AI939" i="4" s="1"/>
  <c r="CG628" i="4"/>
  <c r="CG685" i="4" s="1"/>
  <c r="CG750" i="4"/>
  <c r="CG622" i="4"/>
  <c r="CG623" i="4" s="1"/>
  <c r="CB81" i="64"/>
  <c r="CB73" i="64"/>
  <c r="CA961" i="4"/>
  <c r="CA980" i="4"/>
  <c r="AI71" i="64"/>
  <c r="AI79" i="64"/>
  <c r="CE765" i="4"/>
  <c r="CE768" i="4"/>
  <c r="CE766" i="4"/>
  <c r="CE767" i="4"/>
  <c r="CJ270" i="4"/>
  <c r="CJ235" i="4"/>
  <c r="CB823" i="4"/>
  <c r="CB811" i="4"/>
  <c r="CB817" i="4" s="1"/>
  <c r="CH1041" i="4"/>
  <c r="CH65" i="62"/>
  <c r="CH81" i="11"/>
  <c r="CH82" i="11" s="1"/>
  <c r="CH1241" i="4"/>
  <c r="CH33" i="66"/>
  <c r="CH32" i="66" s="1"/>
  <c r="CH1214" i="4"/>
  <c r="CC118" i="64"/>
  <c r="CB72" i="64"/>
  <c r="CB80" i="64"/>
  <c r="CI281" i="4"/>
  <c r="BF927" i="4"/>
  <c r="BE19" i="11"/>
  <c r="CD111" i="64"/>
  <c r="CD776" i="4"/>
  <c r="CD115" i="64" s="1"/>
  <c r="CD773" i="4"/>
  <c r="CD112" i="64" s="1"/>
  <c r="CD774" i="4"/>
  <c r="CD113" i="64" s="1"/>
  <c r="CD775" i="4"/>
  <c r="CD114" i="64" s="1"/>
  <c r="CJ267" i="4"/>
  <c r="CJ177" i="4"/>
  <c r="CI260" i="4"/>
  <c r="CE796" i="4"/>
  <c r="CE824" i="4" s="1"/>
  <c r="CC121" i="64" l="1"/>
  <c r="CC72" i="64"/>
  <c r="CC811" i="4"/>
  <c r="CC817" i="4" s="1"/>
  <c r="CC895" i="4" s="1"/>
  <c r="CC957" i="4" s="1"/>
  <c r="CH622" i="4"/>
  <c r="CH623" i="4" s="1"/>
  <c r="CH789" i="4" s="1"/>
  <c r="CH793" i="4" s="1"/>
  <c r="CH750" i="4"/>
  <c r="CH764" i="4" s="1"/>
  <c r="CH879" i="4"/>
  <c r="AB37" i="64"/>
  <c r="AB51" i="64" s="1"/>
  <c r="CI619" i="4"/>
  <c r="CI750" i="4" s="1"/>
  <c r="CI719" i="4"/>
  <c r="AC985" i="4"/>
  <c r="AD979" i="4"/>
  <c r="CJ281" i="4"/>
  <c r="BF929" i="4"/>
  <c r="BF930" i="4" s="1"/>
  <c r="BF931" i="4" s="1"/>
  <c r="CG762" i="4"/>
  <c r="CG764" i="4"/>
  <c r="CG763" i="4"/>
  <c r="AJ972" i="4"/>
  <c r="AK968" i="4" s="1"/>
  <c r="BZ45" i="11"/>
  <c r="BZ46" i="11" s="1"/>
  <c r="BZ993" i="4"/>
  <c r="AB45" i="67"/>
  <c r="AB46" i="67" s="1"/>
  <c r="CH754" i="4"/>
  <c r="CH755" i="4"/>
  <c r="CE69" i="11"/>
  <c r="CE1050" i="4"/>
  <c r="CE992" i="4"/>
  <c r="CE1257" i="4"/>
  <c r="CE44" i="11"/>
  <c r="CE1215" i="4"/>
  <c r="CE928" i="4"/>
  <c r="CE684" i="4"/>
  <c r="CE956" i="4" s="1"/>
  <c r="CK265" i="4"/>
  <c r="CK163" i="4"/>
  <c r="CK270" i="4"/>
  <c r="CK235" i="4"/>
  <c r="CG758" i="4"/>
  <c r="CG759" i="4"/>
  <c r="CG757" i="4"/>
  <c r="CG756" i="4"/>
  <c r="CI677" i="4"/>
  <c r="CI669" i="4"/>
  <c r="AC44" i="67"/>
  <c r="CJ284" i="4"/>
  <c r="AJ79" i="64"/>
  <c r="AJ71" i="64"/>
  <c r="CD777" i="4"/>
  <c r="CK170" i="4"/>
  <c r="CK266" i="4"/>
  <c r="AC21" i="66"/>
  <c r="AC106" i="64"/>
  <c r="CI863" i="4"/>
  <c r="CI866" i="4"/>
  <c r="CI864" i="4"/>
  <c r="CI865" i="4"/>
  <c r="AC38" i="13"/>
  <c r="CH1310" i="4"/>
  <c r="CH1345" i="4"/>
  <c r="CE776" i="4"/>
  <c r="CE115" i="64" s="1"/>
  <c r="CE773" i="4"/>
  <c r="CE112" i="64" s="1"/>
  <c r="CE774" i="4"/>
  <c r="CE113" i="64" s="1"/>
  <c r="CE775" i="4"/>
  <c r="CE114" i="64" s="1"/>
  <c r="CE111" i="64"/>
  <c r="CJ860" i="4"/>
  <c r="CJ876" i="4"/>
  <c r="CJ870" i="4"/>
  <c r="CJ1032" i="4"/>
  <c r="CJ1033" i="4" s="1"/>
  <c r="CJ1034" i="4" s="1"/>
  <c r="CJ908" i="4" s="1"/>
  <c r="CJ818" i="4"/>
  <c r="CJ896" i="4" s="1"/>
  <c r="CJ871" i="4"/>
  <c r="CJ874" i="4"/>
  <c r="CJ878" i="4"/>
  <c r="CJ861" i="4"/>
  <c r="CJ859" i="4"/>
  <c r="CJ862" i="4"/>
  <c r="CJ875" i="4"/>
  <c r="CJ877" i="4"/>
  <c r="CJ869" i="4"/>
  <c r="CJ606" i="4"/>
  <c r="CJ608" i="4" s="1"/>
  <c r="CJ613" i="4"/>
  <c r="CJ614" i="4" s="1"/>
  <c r="CJ620" i="4" s="1"/>
  <c r="CJ616" i="4"/>
  <c r="CK79" i="4"/>
  <c r="CJ666" i="4"/>
  <c r="CJ667" i="4"/>
  <c r="CJ668" i="4"/>
  <c r="CJ618" i="4"/>
  <c r="CJ716" i="4"/>
  <c r="CJ717" i="4"/>
  <c r="CJ718" i="4"/>
  <c r="AC13" i="72"/>
  <c r="CD120" i="64"/>
  <c r="CD64" i="64" s="1"/>
  <c r="AI951" i="4"/>
  <c r="CF767" i="4"/>
  <c r="CF768" i="4"/>
  <c r="CF765" i="4"/>
  <c r="CF766" i="4"/>
  <c r="CA969" i="4"/>
  <c r="CB970" i="4"/>
  <c r="AJ935" i="4"/>
  <c r="AI18" i="11"/>
  <c r="Q18" i="67"/>
  <c r="AI950" i="4"/>
  <c r="CI296" i="4"/>
  <c r="CI304" i="4" s="1"/>
  <c r="AB1219" i="4"/>
  <c r="AB76" i="11"/>
  <c r="AB41" i="66"/>
  <c r="AB1244" i="4"/>
  <c r="AB1049" i="4"/>
  <c r="AB1258" i="4"/>
  <c r="AB1047" i="4"/>
  <c r="AB66" i="62"/>
  <c r="CJ285" i="4"/>
  <c r="BZ969" i="4"/>
  <c r="CA970" i="4"/>
  <c r="CI749" i="4"/>
  <c r="CI609" i="4"/>
  <c r="CI627" i="4" s="1"/>
  <c r="CI810" i="4" s="1"/>
  <c r="CI815" i="4" s="1"/>
  <c r="CI81" i="11"/>
  <c r="CI82" i="11" s="1"/>
  <c r="CI1241" i="4"/>
  <c r="CI1041" i="4"/>
  <c r="CI1214" i="4"/>
  <c r="CI33" i="66"/>
  <c r="CI32" i="66" s="1"/>
  <c r="CI65" i="62"/>
  <c r="CD119" i="64"/>
  <c r="CD65" i="64" s="1"/>
  <c r="CD116" i="64"/>
  <c r="CB819" i="4"/>
  <c r="CB825" i="4" s="1"/>
  <c r="CB826" i="4" s="1"/>
  <c r="CB893" i="4" s="1"/>
  <c r="CB895" i="4"/>
  <c r="CB957" i="4" s="1"/>
  <c r="CL209" i="4"/>
  <c r="CL206" i="4"/>
  <c r="CL255" i="4"/>
  <c r="CL160" i="4"/>
  <c r="CL174" i="4"/>
  <c r="CL207" i="4"/>
  <c r="CL269" i="4" s="1"/>
  <c r="CL283" i="4" s="1"/>
  <c r="CL175" i="4"/>
  <c r="CL167" i="4"/>
  <c r="CL256" i="4"/>
  <c r="CL208" i="4"/>
  <c r="CL233" i="4"/>
  <c r="CL205" i="4"/>
  <c r="CL168" i="4"/>
  <c r="CL232" i="4"/>
  <c r="CL161" i="4"/>
  <c r="CL173" i="4"/>
  <c r="CL162" i="4"/>
  <c r="CL257" i="4"/>
  <c r="CL204" i="4"/>
  <c r="CL254" i="4"/>
  <c r="CL159" i="4"/>
  <c r="CL210" i="4"/>
  <c r="CL166" i="4"/>
  <c r="CL169" i="4"/>
  <c r="CL231" i="4"/>
  <c r="CL234" i="4"/>
  <c r="CM85" i="4"/>
  <c r="CL176" i="4"/>
  <c r="CL211" i="4"/>
  <c r="CK267" i="4"/>
  <c r="CK177" i="4"/>
  <c r="CJ282" i="4"/>
  <c r="CJ260" i="4"/>
  <c r="CG676" i="4"/>
  <c r="CG680" i="4" s="1"/>
  <c r="CG889" i="4" s="1"/>
  <c r="CG890" i="4" s="1"/>
  <c r="CG891" i="4" s="1"/>
  <c r="CG629" i="4"/>
  <c r="CG630" i="4" s="1"/>
  <c r="CG751" i="4"/>
  <c r="CG789" i="4"/>
  <c r="AJ947" i="4"/>
  <c r="AJ34" i="11"/>
  <c r="AK943" i="4"/>
  <c r="CA45" i="11"/>
  <c r="CA46" i="11" s="1"/>
  <c r="CA993" i="4"/>
  <c r="CJ280" i="4"/>
  <c r="CF771" i="4"/>
  <c r="CF772" i="4"/>
  <c r="CK271" i="4"/>
  <c r="CK258" i="4"/>
  <c r="CJ276" i="4"/>
  <c r="CJ334" i="4"/>
  <c r="CJ960" i="4" s="1"/>
  <c r="CJ279" i="4"/>
  <c r="CI289" i="4"/>
  <c r="CE816" i="4"/>
  <c r="CE814" i="4"/>
  <c r="CE813" i="4"/>
  <c r="CF809" i="4"/>
  <c r="CF682" i="4"/>
  <c r="CH685" i="4"/>
  <c r="CK268" i="4"/>
  <c r="CK212" i="4"/>
  <c r="CF796" i="4"/>
  <c r="CF824" i="4" s="1"/>
  <c r="AC69" i="67"/>
  <c r="CH676" i="4" l="1"/>
  <c r="CH680" i="4" s="1"/>
  <c r="CH889" i="4" s="1"/>
  <c r="CH890" i="4" s="1"/>
  <c r="CH891" i="4" s="1"/>
  <c r="CC819" i="4"/>
  <c r="CC825" i="4" s="1"/>
  <c r="CC826" i="4" s="1"/>
  <c r="CC893" i="4" s="1"/>
  <c r="CC70" i="11" s="1"/>
  <c r="CH762" i="4"/>
  <c r="CH763" i="4"/>
  <c r="CH794" i="4"/>
  <c r="CH792" i="4"/>
  <c r="CH795" i="4"/>
  <c r="CH751" i="4"/>
  <c r="CH772" i="4" s="1"/>
  <c r="CH791" i="4"/>
  <c r="CH629" i="4"/>
  <c r="CH630" i="4" s="1"/>
  <c r="CH809" i="4" s="1"/>
  <c r="CI622" i="4"/>
  <c r="CI623" i="4" s="1"/>
  <c r="CI676" i="4" s="1"/>
  <c r="CI680" i="4" s="1"/>
  <c r="CI889" i="4" s="1"/>
  <c r="CI890" i="4" s="1"/>
  <c r="CI891" i="4" s="1"/>
  <c r="CI628" i="4"/>
  <c r="CI685" i="4" s="1"/>
  <c r="CJ619" i="4"/>
  <c r="CJ750" i="4" s="1"/>
  <c r="CI879" i="4"/>
  <c r="CD118" i="64"/>
  <c r="CD121" i="64" s="1"/>
  <c r="CE120" i="64"/>
  <c r="CE64" i="64" s="1"/>
  <c r="CE72" i="64" s="1"/>
  <c r="CF813" i="4"/>
  <c r="CF816" i="4"/>
  <c r="CF814" i="4"/>
  <c r="CF773" i="4"/>
  <c r="CF112" i="64" s="1"/>
  <c r="CF774" i="4"/>
  <c r="CF113" i="64" s="1"/>
  <c r="CF776" i="4"/>
  <c r="CF115" i="64" s="1"/>
  <c r="CF775" i="4"/>
  <c r="CF114" i="64" s="1"/>
  <c r="CI764" i="4"/>
  <c r="CI763" i="4"/>
  <c r="CI762" i="4"/>
  <c r="CL266" i="4"/>
  <c r="CL170" i="4"/>
  <c r="CB1042" i="4"/>
  <c r="CB944" i="4"/>
  <c r="CB936" i="4"/>
  <c r="CB1242" i="4"/>
  <c r="CB70" i="11"/>
  <c r="CB1216" i="4"/>
  <c r="CB897" i="4"/>
  <c r="CF111" i="64"/>
  <c r="CK874" i="4"/>
  <c r="CK869" i="4"/>
  <c r="CK878" i="4"/>
  <c r="CK1032" i="4"/>
  <c r="CK1033" i="4" s="1"/>
  <c r="CK1034" i="4" s="1"/>
  <c r="CK908" i="4" s="1"/>
  <c r="CK870" i="4"/>
  <c r="CK859" i="4"/>
  <c r="CK875" i="4"/>
  <c r="CK862" i="4"/>
  <c r="CK818" i="4"/>
  <c r="CK896" i="4" s="1"/>
  <c r="CK877" i="4"/>
  <c r="CK871" i="4"/>
  <c r="CK876" i="4"/>
  <c r="CK861" i="4"/>
  <c r="CK860" i="4"/>
  <c r="CK613" i="4"/>
  <c r="CK614" i="4" s="1"/>
  <c r="CK620" i="4" s="1"/>
  <c r="CK606" i="4"/>
  <c r="CK608" i="4" s="1"/>
  <c r="CK616" i="4"/>
  <c r="CK666" i="4"/>
  <c r="CL79" i="4"/>
  <c r="CK667" i="4"/>
  <c r="CK668" i="4"/>
  <c r="CK618" i="4"/>
  <c r="CK716" i="4"/>
  <c r="CK717" i="4"/>
  <c r="CK718" i="4"/>
  <c r="CJ864" i="4"/>
  <c r="CJ865" i="4"/>
  <c r="CJ863" i="4"/>
  <c r="CJ866" i="4"/>
  <c r="CH759" i="4"/>
  <c r="CH757" i="4"/>
  <c r="CH758" i="4"/>
  <c r="CH756" i="4"/>
  <c r="CG765" i="4"/>
  <c r="CG766" i="4"/>
  <c r="CG768" i="4"/>
  <c r="CG767" i="4"/>
  <c r="CF1215" i="4"/>
  <c r="CF928" i="4"/>
  <c r="CF1050" i="4"/>
  <c r="CF69" i="11"/>
  <c r="CF44" i="11"/>
  <c r="CF684" i="4"/>
  <c r="CF956" i="4" s="1"/>
  <c r="CF992" i="4"/>
  <c r="CF1257" i="4"/>
  <c r="CH766" i="4"/>
  <c r="CH765" i="4"/>
  <c r="CH768" i="4"/>
  <c r="CH767" i="4"/>
  <c r="CG791" i="4"/>
  <c r="CG792" i="4"/>
  <c r="CG794" i="4"/>
  <c r="CG795" i="4"/>
  <c r="CG793" i="4"/>
  <c r="CK281" i="4"/>
  <c r="CK280" i="4"/>
  <c r="CE777" i="4"/>
  <c r="CG772" i="4"/>
  <c r="CG771" i="4"/>
  <c r="CL163" i="4"/>
  <c r="CL265" i="4"/>
  <c r="CI1345" i="4"/>
  <c r="AD12" i="13" s="1"/>
  <c r="CI1310" i="4"/>
  <c r="CG682" i="4"/>
  <c r="CG809" i="4"/>
  <c r="CL258" i="4"/>
  <c r="CL271" i="4"/>
  <c r="CJ719" i="4"/>
  <c r="CJ609" i="4"/>
  <c r="CJ627" i="4" s="1"/>
  <c r="CJ810" i="4" s="1"/>
  <c r="CJ815" i="4" s="1"/>
  <c r="CJ749" i="4"/>
  <c r="CD823" i="4"/>
  <c r="CD811" i="4"/>
  <c r="CD817" i="4" s="1"/>
  <c r="BG927" i="4"/>
  <c r="BF19" i="11"/>
  <c r="CK285" i="4"/>
  <c r="CM205" i="4"/>
  <c r="CM209" i="4"/>
  <c r="CM168" i="4"/>
  <c r="CM256" i="4"/>
  <c r="CM255" i="4"/>
  <c r="CM160" i="4"/>
  <c r="CM166" i="4"/>
  <c r="CM161" i="4"/>
  <c r="CM232" i="4"/>
  <c r="CM174" i="4"/>
  <c r="CM175" i="4"/>
  <c r="CM233" i="4"/>
  <c r="CM208" i="4"/>
  <c r="CM206" i="4"/>
  <c r="CM207" i="4"/>
  <c r="CM269" i="4" s="1"/>
  <c r="CM283" i="4" s="1"/>
  <c r="CM234" i="4"/>
  <c r="CM257" i="4"/>
  <c r="CM162" i="4"/>
  <c r="CM173" i="4"/>
  <c r="CM210" i="4"/>
  <c r="CM167" i="4"/>
  <c r="CM159" i="4"/>
  <c r="CM211" i="4"/>
  <c r="CM231" i="4"/>
  <c r="CM204" i="4"/>
  <c r="CM169" i="4"/>
  <c r="CM254" i="4"/>
  <c r="CN85" i="4"/>
  <c r="CM176" i="4"/>
  <c r="CL212" i="4"/>
  <c r="CL268" i="4"/>
  <c r="CD73" i="64"/>
  <c r="CD81" i="64"/>
  <c r="Q77" i="67"/>
  <c r="AI43" i="66"/>
  <c r="AI1048" i="4"/>
  <c r="AI23" i="66"/>
  <c r="AI1220" i="4"/>
  <c r="AI1262" i="4"/>
  <c r="AI77" i="11"/>
  <c r="AI1245" i="4"/>
  <c r="CE116" i="64"/>
  <c r="CE119" i="64"/>
  <c r="CE65" i="64" s="1"/>
  <c r="AD982" i="4"/>
  <c r="AD983" i="4" s="1"/>
  <c r="AF981" i="4"/>
  <c r="CK282" i="4"/>
  <c r="CJ296" i="4"/>
  <c r="CJ304" i="4" s="1"/>
  <c r="AC36" i="64"/>
  <c r="AC35" i="64"/>
  <c r="CK284" i="4"/>
  <c r="AK971" i="4"/>
  <c r="AK105" i="64" s="1"/>
  <c r="AK63" i="64" s="1"/>
  <c r="AC20" i="11"/>
  <c r="AC35" i="11"/>
  <c r="AC33" i="11" s="1"/>
  <c r="AC1387" i="4" s="1"/>
  <c r="AC987" i="4"/>
  <c r="AK945" i="4"/>
  <c r="AK946" i="4" s="1"/>
  <c r="AK947" i="4" s="1"/>
  <c r="CC961" i="4"/>
  <c r="CC980" i="4"/>
  <c r="CJ1241" i="4"/>
  <c r="CJ1214" i="4"/>
  <c r="CJ65" i="62"/>
  <c r="CJ33" i="66"/>
  <c r="CJ32" i="66" s="1"/>
  <c r="CJ81" i="11"/>
  <c r="CJ82" i="11" s="1"/>
  <c r="CJ1041" i="4"/>
  <c r="CL235" i="4"/>
  <c r="CL270" i="4"/>
  <c r="CI755" i="4"/>
  <c r="CI754" i="4"/>
  <c r="CD72" i="64"/>
  <c r="CD80" i="64"/>
  <c r="CK260" i="4"/>
  <c r="CJ289" i="4"/>
  <c r="CL267" i="4"/>
  <c r="CL177" i="4"/>
  <c r="CB980" i="4"/>
  <c r="CB961" i="4"/>
  <c r="AJ937" i="4"/>
  <c r="AJ938" i="4" s="1"/>
  <c r="AJ939" i="4" s="1"/>
  <c r="AJ951" i="4" s="1"/>
  <c r="CJ677" i="4"/>
  <c r="CJ669" i="4"/>
  <c r="CK334" i="4"/>
  <c r="CK960" i="4" s="1"/>
  <c r="CK276" i="4"/>
  <c r="CK279" i="4"/>
  <c r="CC1242" i="4" l="1"/>
  <c r="CC1216" i="4"/>
  <c r="CC936" i="4"/>
  <c r="CC897" i="4"/>
  <c r="CC45" i="11" s="1"/>
  <c r="CC46" i="11" s="1"/>
  <c r="CC944" i="4"/>
  <c r="CC1042" i="4"/>
  <c r="CH771" i="4"/>
  <c r="CI629" i="4"/>
  <c r="CI630" i="4" s="1"/>
  <c r="CI809" i="4" s="1"/>
  <c r="CI789" i="4"/>
  <c r="CI793" i="4" s="1"/>
  <c r="CI751" i="4"/>
  <c r="CI771" i="4" s="1"/>
  <c r="CH796" i="4"/>
  <c r="CH824" i="4" s="1"/>
  <c r="CH682" i="4"/>
  <c r="CH1257" i="4" s="1"/>
  <c r="CJ628" i="4"/>
  <c r="CJ685" i="4" s="1"/>
  <c r="CE80" i="64"/>
  <c r="CJ622" i="4"/>
  <c r="CJ623" i="4" s="1"/>
  <c r="CJ789" i="4" s="1"/>
  <c r="CJ794" i="4" s="1"/>
  <c r="CK719" i="4"/>
  <c r="CE118" i="64"/>
  <c r="CE121" i="64" s="1"/>
  <c r="CJ879" i="4"/>
  <c r="AK972" i="4"/>
  <c r="AL968" i="4" s="1"/>
  <c r="AL971" i="4" s="1"/>
  <c r="AL105" i="64" s="1"/>
  <c r="AL63" i="64" s="1"/>
  <c r="AD985" i="4"/>
  <c r="AE979" i="4"/>
  <c r="AJ77" i="11"/>
  <c r="AJ1220" i="4"/>
  <c r="AJ23" i="66"/>
  <c r="AJ43" i="66"/>
  <c r="AJ1262" i="4"/>
  <c r="AJ1048" i="4"/>
  <c r="AJ1245" i="4"/>
  <c r="CB969" i="4"/>
  <c r="CC970" i="4"/>
  <c r="CM271" i="4"/>
  <c r="CM258" i="4"/>
  <c r="CM177" i="4"/>
  <c r="CM267" i="4"/>
  <c r="CG813" i="4"/>
  <c r="CG816" i="4"/>
  <c r="CG814" i="4"/>
  <c r="CK677" i="4"/>
  <c r="CK669" i="4"/>
  <c r="CG1257" i="4"/>
  <c r="CG684" i="4"/>
  <c r="CG956" i="4" s="1"/>
  <c r="CG928" i="4"/>
  <c r="CG1050" i="4"/>
  <c r="CG992" i="4"/>
  <c r="CG44" i="11"/>
  <c r="CG69" i="11"/>
  <c r="CG1215" i="4"/>
  <c r="CE823" i="4"/>
  <c r="CE811" i="4"/>
  <c r="CE817" i="4" s="1"/>
  <c r="CJ763" i="4"/>
  <c r="CJ762" i="4"/>
  <c r="CJ764" i="4"/>
  <c r="CK619" i="4"/>
  <c r="CK296" i="4"/>
  <c r="CK304" i="4" s="1"/>
  <c r="CH111" i="64"/>
  <c r="CH773" i="4"/>
  <c r="CH112" i="64" s="1"/>
  <c r="CH774" i="4"/>
  <c r="CH113" i="64" s="1"/>
  <c r="CH775" i="4"/>
  <c r="CH114" i="64" s="1"/>
  <c r="CH776" i="4"/>
  <c r="CH115" i="64" s="1"/>
  <c r="CL284" i="4"/>
  <c r="CM212" i="4"/>
  <c r="CM268" i="4"/>
  <c r="CG796" i="4"/>
  <c r="CG824" i="4" s="1"/>
  <c r="CK609" i="4"/>
  <c r="CK627" i="4" s="1"/>
  <c r="CK810" i="4" s="1"/>
  <c r="CK815" i="4" s="1"/>
  <c r="CK749" i="4"/>
  <c r="CF119" i="64"/>
  <c r="CF65" i="64" s="1"/>
  <c r="CF116" i="64"/>
  <c r="CI768" i="4"/>
  <c r="CI765" i="4"/>
  <c r="CI767" i="4"/>
  <c r="CI766" i="4"/>
  <c r="CM270" i="4"/>
  <c r="CM235" i="4"/>
  <c r="CJ755" i="4"/>
  <c r="CJ754" i="4"/>
  <c r="CC969" i="4"/>
  <c r="CD970" i="4"/>
  <c r="CL282" i="4"/>
  <c r="CM266" i="4"/>
  <c r="CM170" i="4"/>
  <c r="CL334" i="4"/>
  <c r="CL960" i="4" s="1"/>
  <c r="CL276" i="4"/>
  <c r="CL279" i="4"/>
  <c r="CK865" i="4"/>
  <c r="CK864" i="4"/>
  <c r="CK866" i="4"/>
  <c r="CK863" i="4"/>
  <c r="AK79" i="64"/>
  <c r="AK71" i="64"/>
  <c r="CL281" i="4"/>
  <c r="CM265" i="4"/>
  <c r="CM163" i="4"/>
  <c r="BG929" i="4"/>
  <c r="BG930" i="4" s="1"/>
  <c r="CL260" i="4"/>
  <c r="CB45" i="11"/>
  <c r="CB46" i="11" s="1"/>
  <c r="CB993" i="4"/>
  <c r="CH814" i="4"/>
  <c r="CH816" i="4"/>
  <c r="CH813" i="4"/>
  <c r="CF777" i="4"/>
  <c r="AD21" i="66"/>
  <c r="AD106" i="64"/>
  <c r="CK289" i="4"/>
  <c r="CI757" i="4"/>
  <c r="CI756" i="4"/>
  <c r="CI758" i="4"/>
  <c r="CI759" i="4"/>
  <c r="CJ1310" i="4"/>
  <c r="CJ1345" i="4"/>
  <c r="AL943" i="4"/>
  <c r="AK34" i="11"/>
  <c r="CE73" i="64"/>
  <c r="CE81" i="64"/>
  <c r="CL285" i="4"/>
  <c r="CF120" i="64"/>
  <c r="CF64" i="64" s="1"/>
  <c r="AJ18" i="11"/>
  <c r="AK935" i="4"/>
  <c r="AJ950" i="4"/>
  <c r="CK1041" i="4"/>
  <c r="CK1214" i="4"/>
  <c r="CK65" i="62"/>
  <c r="CK81" i="11"/>
  <c r="CK82" i="11" s="1"/>
  <c r="CK33" i="66"/>
  <c r="CK32" i="66" s="1"/>
  <c r="CK1241" i="4"/>
  <c r="AC41" i="66"/>
  <c r="AC76" i="11"/>
  <c r="AC1244" i="4"/>
  <c r="AC1219" i="4"/>
  <c r="AC1049" i="4"/>
  <c r="AC1047" i="4"/>
  <c r="AC1258" i="4"/>
  <c r="AC66" i="62"/>
  <c r="AC37" i="64"/>
  <c r="AC51" i="64" s="1"/>
  <c r="CN174" i="4"/>
  <c r="CN161" i="4"/>
  <c r="CN256" i="4"/>
  <c r="CN255" i="4"/>
  <c r="CN232" i="4"/>
  <c r="CN167" i="4"/>
  <c r="CN206" i="4"/>
  <c r="CN175" i="4"/>
  <c r="CN160" i="4"/>
  <c r="CN209" i="4"/>
  <c r="CN207" i="4"/>
  <c r="CN269" i="4" s="1"/>
  <c r="CN283" i="4" s="1"/>
  <c r="CN233" i="4"/>
  <c r="CN208" i="4"/>
  <c r="CN205" i="4"/>
  <c r="CN168" i="4"/>
  <c r="CN234" i="4"/>
  <c r="CN257" i="4"/>
  <c r="CN210" i="4"/>
  <c r="CN204" i="4"/>
  <c r="CN162" i="4"/>
  <c r="CN173" i="4"/>
  <c r="CN254" i="4"/>
  <c r="CN166" i="4"/>
  <c r="CN159" i="4"/>
  <c r="CN231" i="4"/>
  <c r="CN169" i="4"/>
  <c r="CO85" i="4"/>
  <c r="CN211" i="4"/>
  <c r="CN176" i="4"/>
  <c r="CD895" i="4"/>
  <c r="CD957" i="4" s="1"/>
  <c r="CD819" i="4"/>
  <c r="CD825" i="4" s="1"/>
  <c r="CD826" i="4" s="1"/>
  <c r="CD893" i="4" s="1"/>
  <c r="CG774" i="4"/>
  <c r="CG113" i="64" s="1"/>
  <c r="CG773" i="4"/>
  <c r="CG112" i="64" s="1"/>
  <c r="CG775" i="4"/>
  <c r="CG114" i="64" s="1"/>
  <c r="CG776" i="4"/>
  <c r="CG115" i="64" s="1"/>
  <c r="CG111" i="64"/>
  <c r="CL874" i="4"/>
  <c r="CL860" i="4"/>
  <c r="CL876" i="4"/>
  <c r="CL818" i="4"/>
  <c r="CL896" i="4" s="1"/>
  <c r="CL875" i="4"/>
  <c r="CL861" i="4"/>
  <c r="CL859" i="4"/>
  <c r="CL871" i="4"/>
  <c r="CL877" i="4"/>
  <c r="CL862" i="4"/>
  <c r="CL1032" i="4"/>
  <c r="CL1033" i="4" s="1"/>
  <c r="CL1034" i="4" s="1"/>
  <c r="CL908" i="4" s="1"/>
  <c r="CL878" i="4"/>
  <c r="CL869" i="4"/>
  <c r="CL870" i="4"/>
  <c r="CL613" i="4"/>
  <c r="CL614" i="4" s="1"/>
  <c r="CL620" i="4" s="1"/>
  <c r="CL606" i="4"/>
  <c r="CL608" i="4" s="1"/>
  <c r="CL616" i="4"/>
  <c r="CM79" i="4"/>
  <c r="CL618" i="4"/>
  <c r="CL666" i="4"/>
  <c r="CL667" i="4"/>
  <c r="CL668" i="4"/>
  <c r="CL717" i="4"/>
  <c r="CL716" i="4"/>
  <c r="CL718" i="4"/>
  <c r="CL280" i="4"/>
  <c r="CC993" i="4" l="1"/>
  <c r="CI794" i="4"/>
  <c r="CI795" i="4"/>
  <c r="CH44" i="11"/>
  <c r="CH928" i="4"/>
  <c r="CH992" i="4"/>
  <c r="CH1050" i="4"/>
  <c r="CH69" i="11"/>
  <c r="CH684" i="4"/>
  <c r="CH956" i="4" s="1"/>
  <c r="CH1215" i="4"/>
  <c r="CI792" i="4"/>
  <c r="CI791" i="4"/>
  <c r="CI682" i="4"/>
  <c r="AD44" i="67" s="1"/>
  <c r="CI772" i="4"/>
  <c r="CI111" i="64" s="1"/>
  <c r="CJ792" i="4"/>
  <c r="CJ676" i="4"/>
  <c r="CJ680" i="4" s="1"/>
  <c r="CJ889" i="4" s="1"/>
  <c r="CJ890" i="4" s="1"/>
  <c r="CJ891" i="4" s="1"/>
  <c r="CJ795" i="4"/>
  <c r="CJ791" i="4"/>
  <c r="CJ793" i="4"/>
  <c r="CJ751" i="4"/>
  <c r="CJ771" i="4" s="1"/>
  <c r="CJ629" i="4"/>
  <c r="CJ630" i="4" s="1"/>
  <c r="CJ809" i="4" s="1"/>
  <c r="CF118" i="64"/>
  <c r="CF121" i="64" s="1"/>
  <c r="AL972" i="4"/>
  <c r="AM968" i="4" s="1"/>
  <c r="AM971" i="4" s="1"/>
  <c r="AM105" i="64" s="1"/>
  <c r="AM63" i="64" s="1"/>
  <c r="CM260" i="4"/>
  <c r="CM33" i="66" s="1"/>
  <c r="CM32" i="66" s="1"/>
  <c r="CH120" i="64"/>
  <c r="CH64" i="64" s="1"/>
  <c r="CH72" i="64" s="1"/>
  <c r="CL719" i="4"/>
  <c r="CL619" i="4"/>
  <c r="CL622" i="4" s="1"/>
  <c r="CL623" i="4" s="1"/>
  <c r="CL676" i="4" s="1"/>
  <c r="CK879" i="4"/>
  <c r="CD980" i="4"/>
  <c r="CD961" i="4"/>
  <c r="CM860" i="4"/>
  <c r="CM876" i="4"/>
  <c r="CM862" i="4"/>
  <c r="CM869" i="4"/>
  <c r="CM877" i="4"/>
  <c r="CM878" i="4"/>
  <c r="CM870" i="4"/>
  <c r="CM1032" i="4"/>
  <c r="CM1033" i="4" s="1"/>
  <c r="CM1034" i="4" s="1"/>
  <c r="CM908" i="4" s="1"/>
  <c r="CM859" i="4"/>
  <c r="CM875" i="4"/>
  <c r="CM861" i="4"/>
  <c r="CM871" i="4"/>
  <c r="CM874" i="4"/>
  <c r="CM818" i="4"/>
  <c r="CM896" i="4" s="1"/>
  <c r="CM613" i="4"/>
  <c r="CM614" i="4" s="1"/>
  <c r="CM620" i="4" s="1"/>
  <c r="CM606" i="4"/>
  <c r="CM608" i="4" s="1"/>
  <c r="CM616" i="4"/>
  <c r="CN79" i="4"/>
  <c r="CM666" i="4"/>
  <c r="CM667" i="4"/>
  <c r="CM668" i="4"/>
  <c r="CM618" i="4"/>
  <c r="CM717" i="4"/>
  <c r="CM716" i="4"/>
  <c r="CM718" i="4"/>
  <c r="CN163" i="4"/>
  <c r="CN265" i="4"/>
  <c r="BG19" i="11"/>
  <c r="BH927" i="4"/>
  <c r="W19" i="67"/>
  <c r="CM284" i="4"/>
  <c r="CF81" i="64"/>
  <c r="CF73" i="64"/>
  <c r="CM285" i="4"/>
  <c r="CD936" i="4"/>
  <c r="CD1042" i="4"/>
  <c r="CD897" i="4"/>
  <c r="CD944" i="4"/>
  <c r="CD1242" i="4"/>
  <c r="CD70" i="11"/>
  <c r="CD1216" i="4"/>
  <c r="CN170" i="4"/>
  <c r="CN266" i="4"/>
  <c r="AL945" i="4"/>
  <c r="AL946" i="4" s="1"/>
  <c r="AL947" i="4" s="1"/>
  <c r="AD36" i="64"/>
  <c r="AD35" i="64"/>
  <c r="CM334" i="4"/>
  <c r="CM960" i="4" s="1"/>
  <c r="AE16" i="72" s="1"/>
  <c r="CM276" i="4"/>
  <c r="CM279" i="4"/>
  <c r="CK754" i="4"/>
  <c r="CK755" i="4"/>
  <c r="CH119" i="64"/>
  <c r="CH65" i="64" s="1"/>
  <c r="CH116" i="64"/>
  <c r="CE895" i="4"/>
  <c r="CE957" i="4" s="1"/>
  <c r="CE819" i="4"/>
  <c r="CE825" i="4" s="1"/>
  <c r="CE826" i="4" s="1"/>
  <c r="CE893" i="4" s="1"/>
  <c r="CL865" i="4"/>
  <c r="CL863" i="4"/>
  <c r="CL866" i="4"/>
  <c r="CL864" i="4"/>
  <c r="CN267" i="4"/>
  <c r="CN177" i="4"/>
  <c r="CI816" i="4"/>
  <c r="CI813" i="4"/>
  <c r="CI814" i="4"/>
  <c r="CG119" i="64"/>
  <c r="CG65" i="64" s="1"/>
  <c r="CG116" i="64"/>
  <c r="AL79" i="64"/>
  <c r="AL71" i="64"/>
  <c r="CM280" i="4"/>
  <c r="AE982" i="4"/>
  <c r="AG981" i="4"/>
  <c r="CO161" i="4"/>
  <c r="I161" i="4" s="1"/>
  <c r="CO256" i="4"/>
  <c r="I256" i="4" s="1"/>
  <c r="CO255" i="4"/>
  <c r="I255" i="4" s="1"/>
  <c r="CO209" i="4"/>
  <c r="I209" i="4" s="1"/>
  <c r="CO205" i="4"/>
  <c r="I205" i="4" s="1"/>
  <c r="CO208" i="4"/>
  <c r="I208" i="4" s="1"/>
  <c r="CO168" i="4"/>
  <c r="I168" i="4" s="1"/>
  <c r="CO167" i="4"/>
  <c r="I167" i="4" s="1"/>
  <c r="CO174" i="4"/>
  <c r="I174" i="4" s="1"/>
  <c r="CO233" i="4"/>
  <c r="I233" i="4" s="1"/>
  <c r="CO207" i="4"/>
  <c r="CO175" i="4"/>
  <c r="I175" i="4" s="1"/>
  <c r="CO206" i="4"/>
  <c r="I206" i="4" s="1"/>
  <c r="CO160" i="4"/>
  <c r="I160" i="4" s="1"/>
  <c r="CO232" i="4"/>
  <c r="I232" i="4" s="1"/>
  <c r="CO231" i="4"/>
  <c r="CO257" i="4"/>
  <c r="I257" i="4" s="1"/>
  <c r="CO234" i="4"/>
  <c r="I234" i="4" s="1"/>
  <c r="CO169" i="4"/>
  <c r="I169" i="4" s="1"/>
  <c r="CO166" i="4"/>
  <c r="CO173" i="4"/>
  <c r="CO204" i="4"/>
  <c r="CO210" i="4"/>
  <c r="I210" i="4" s="1"/>
  <c r="CO159" i="4"/>
  <c r="CO162" i="4"/>
  <c r="I162" i="4" s="1"/>
  <c r="CO254" i="4"/>
  <c r="H322" i="3"/>
  <c r="CO211" i="4"/>
  <c r="I211" i="4" s="1"/>
  <c r="CO176" i="4"/>
  <c r="I176" i="4" s="1"/>
  <c r="H233" i="3"/>
  <c r="H350" i="3"/>
  <c r="H351" i="3" s="1"/>
  <c r="H348" i="3"/>
  <c r="H179" i="3"/>
  <c r="H180" i="3" s="1"/>
  <c r="H210" i="3"/>
  <c r="H349" i="3"/>
  <c r="H235" i="3"/>
  <c r="H234" i="3"/>
  <c r="H287" i="3"/>
  <c r="H291" i="3" s="1"/>
  <c r="H290" i="3"/>
  <c r="H178" i="3"/>
  <c r="H211" i="3"/>
  <c r="H212" i="3" s="1"/>
  <c r="H324" i="3"/>
  <c r="H325" i="3" s="1"/>
  <c r="H209" i="3"/>
  <c r="H288" i="3"/>
  <c r="H323" i="3"/>
  <c r="H285" i="3"/>
  <c r="H286" i="3"/>
  <c r="H177" i="3"/>
  <c r="H289" i="3"/>
  <c r="CN212" i="4"/>
  <c r="CN268" i="4"/>
  <c r="AK937" i="4"/>
  <c r="AK938" i="4" s="1"/>
  <c r="AK939" i="4" s="1"/>
  <c r="AK951" i="4" s="1"/>
  <c r="CF823" i="4"/>
  <c r="CF811" i="4"/>
  <c r="CF817" i="4" s="1"/>
  <c r="CK622" i="4"/>
  <c r="CK623" i="4" s="1"/>
  <c r="CK628" i="4"/>
  <c r="CK685" i="4" s="1"/>
  <c r="CK750" i="4"/>
  <c r="CM281" i="4"/>
  <c r="AD20" i="11"/>
  <c r="AD35" i="11"/>
  <c r="AD33" i="11" s="1"/>
  <c r="AD1387" i="4" s="1"/>
  <c r="AD987" i="4"/>
  <c r="CL749" i="4"/>
  <c r="CL609" i="4"/>
  <c r="CL627" i="4" s="1"/>
  <c r="CL810" i="4" s="1"/>
  <c r="CL815" i="4" s="1"/>
  <c r="CL296" i="4"/>
  <c r="CL304" i="4" s="1"/>
  <c r="CK1310" i="4"/>
  <c r="CK1345" i="4"/>
  <c r="CL65" i="62"/>
  <c r="CL81" i="11"/>
  <c r="CL82" i="11" s="1"/>
  <c r="CL1241" i="4"/>
  <c r="CL1214" i="4"/>
  <c r="CL33" i="66"/>
  <c r="CL32" i="66" s="1"/>
  <c r="CL1041" i="4"/>
  <c r="CJ758" i="4"/>
  <c r="CJ759" i="4"/>
  <c r="CJ756" i="4"/>
  <c r="CJ757" i="4"/>
  <c r="CM282" i="4"/>
  <c r="CN258" i="4"/>
  <c r="CN271" i="4"/>
  <c r="CL669" i="4"/>
  <c r="CL677" i="4"/>
  <c r="CG120" i="64"/>
  <c r="CG64" i="64" s="1"/>
  <c r="CN270" i="4"/>
  <c r="CN235" i="4"/>
  <c r="CF72" i="64"/>
  <c r="CF80" i="64"/>
  <c r="BG931" i="4"/>
  <c r="CL289" i="4"/>
  <c r="CJ767" i="4"/>
  <c r="CJ766" i="4"/>
  <c r="CJ765" i="4"/>
  <c r="CJ768" i="4"/>
  <c r="CG777" i="4"/>
  <c r="CH777" i="4"/>
  <c r="CI684" i="4" l="1"/>
  <c r="CI956" i="4" s="1"/>
  <c r="CI773" i="4"/>
  <c r="CI112" i="64" s="1"/>
  <c r="CI776" i="4"/>
  <c r="CI115" i="64" s="1"/>
  <c r="CI775" i="4"/>
  <c r="CI114" i="64" s="1"/>
  <c r="CI774" i="4"/>
  <c r="CI113" i="64" s="1"/>
  <c r="CI796" i="4"/>
  <c r="CI824" i="4" s="1"/>
  <c r="AD69" i="67"/>
  <c r="CI1215" i="4"/>
  <c r="CI44" i="11"/>
  <c r="CI1257" i="4"/>
  <c r="CI69" i="11"/>
  <c r="AD13" i="72"/>
  <c r="CI992" i="4"/>
  <c r="CI928" i="4"/>
  <c r="CI1050" i="4"/>
  <c r="AD38" i="13"/>
  <c r="CJ772" i="4"/>
  <c r="CJ773" i="4" s="1"/>
  <c r="CJ112" i="64" s="1"/>
  <c r="CJ796" i="4"/>
  <c r="CJ824" i="4" s="1"/>
  <c r="AE81" i="67"/>
  <c r="AE82" i="67" s="1"/>
  <c r="CH80" i="64"/>
  <c r="CL628" i="4"/>
  <c r="CL685" i="4" s="1"/>
  <c r="CJ682" i="4"/>
  <c r="CJ928" i="4" s="1"/>
  <c r="CM81" i="11"/>
  <c r="CM82" i="11" s="1"/>
  <c r="CM1310" i="4" s="1"/>
  <c r="CM1214" i="4"/>
  <c r="CL750" i="4"/>
  <c r="CL762" i="4" s="1"/>
  <c r="CM1041" i="4"/>
  <c r="CM65" i="62"/>
  <c r="CM1241" i="4"/>
  <c r="CL680" i="4"/>
  <c r="CL889" i="4" s="1"/>
  <c r="CL890" i="4" s="1"/>
  <c r="CL891" i="4" s="1"/>
  <c r="CM619" i="4"/>
  <c r="CM628" i="4" s="1"/>
  <c r="AD37" i="64"/>
  <c r="AD51" i="64" s="1"/>
  <c r="CL879" i="4"/>
  <c r="CM719" i="4"/>
  <c r="CG823" i="4"/>
  <c r="CG811" i="4"/>
  <c r="CG817" i="4" s="1"/>
  <c r="CG80" i="64"/>
  <c r="CG72" i="64"/>
  <c r="CL755" i="4"/>
  <c r="CL754" i="4"/>
  <c r="AE983" i="4"/>
  <c r="AE21" i="66"/>
  <c r="AE106" i="64"/>
  <c r="CI119" i="64"/>
  <c r="CI65" i="64" s="1"/>
  <c r="CH823" i="4"/>
  <c r="CH811" i="4"/>
  <c r="CH817" i="4" s="1"/>
  <c r="CN284" i="4"/>
  <c r="AD41" i="66"/>
  <c r="AD1258" i="4"/>
  <c r="AD1049" i="4"/>
  <c r="AD1244" i="4"/>
  <c r="AD76" i="11"/>
  <c r="AD1219" i="4"/>
  <c r="AD1047" i="4"/>
  <c r="AD66" i="62"/>
  <c r="AK1262" i="4"/>
  <c r="AK1220" i="4"/>
  <c r="AK23" i="66"/>
  <c r="AK77" i="11"/>
  <c r="AK1245" i="4"/>
  <c r="AK1048" i="4"/>
  <c r="AK43" i="66"/>
  <c r="H292" i="3"/>
  <c r="H293" i="3" s="1"/>
  <c r="H236" i="3"/>
  <c r="H237" i="3" s="1"/>
  <c r="CO212" i="4"/>
  <c r="I212" i="4" s="1"/>
  <c r="CO268" i="4"/>
  <c r="CL313" i="4" s="1"/>
  <c r="I204" i="4"/>
  <c r="CN280" i="4"/>
  <c r="CD993" i="4"/>
  <c r="CD45" i="11"/>
  <c r="CD46" i="11" s="1"/>
  <c r="CN334" i="4"/>
  <c r="CN960" i="4" s="1"/>
  <c r="CN276" i="4"/>
  <c r="CN279" i="4"/>
  <c r="CM669" i="4"/>
  <c r="CM677" i="4"/>
  <c r="CK762" i="4"/>
  <c r="CK763" i="4"/>
  <c r="CK764" i="4"/>
  <c r="AL935" i="4"/>
  <c r="AK18" i="11"/>
  <c r="AK950" i="4"/>
  <c r="CO177" i="4"/>
  <c r="I177" i="4" s="1"/>
  <c r="CO267" i="4"/>
  <c r="CM312" i="4" s="1"/>
  <c r="I173" i="4"/>
  <c r="CN281" i="4"/>
  <c r="CE70" i="11"/>
  <c r="CE944" i="4"/>
  <c r="CE1042" i="4"/>
  <c r="CE1242" i="4"/>
  <c r="CE897" i="4"/>
  <c r="AC45" i="67" s="1"/>
  <c r="AC46" i="67" s="1"/>
  <c r="CE936" i="4"/>
  <c r="CE1216" i="4"/>
  <c r="CM289" i="4"/>
  <c r="CN260" i="4"/>
  <c r="CN859" i="4"/>
  <c r="CN1032" i="4"/>
  <c r="CN1033" i="4" s="1"/>
  <c r="CN1034" i="4" s="1"/>
  <c r="CN908" i="4" s="1"/>
  <c r="CN862" i="4"/>
  <c r="CN875" i="4"/>
  <c r="CN874" i="4"/>
  <c r="CN818" i="4"/>
  <c r="CN896" i="4" s="1"/>
  <c r="CN869" i="4"/>
  <c r="CN876" i="4"/>
  <c r="CN878" i="4"/>
  <c r="CN861" i="4"/>
  <c r="CN860" i="4"/>
  <c r="CN871" i="4"/>
  <c r="CN877" i="4"/>
  <c r="CN870" i="4"/>
  <c r="CN616" i="4"/>
  <c r="CN613" i="4"/>
  <c r="CN614" i="4" s="1"/>
  <c r="CN620" i="4" s="1"/>
  <c r="CN606" i="4"/>
  <c r="CN608" i="4" s="1"/>
  <c r="CO79" i="4"/>
  <c r="CN666" i="4"/>
  <c r="CN618" i="4"/>
  <c r="CN667" i="4"/>
  <c r="CN668" i="4"/>
  <c r="CN716" i="4"/>
  <c r="CN717" i="4"/>
  <c r="CN718" i="4"/>
  <c r="CN285" i="4"/>
  <c r="CO266" i="4"/>
  <c r="CI311" i="4" s="1"/>
  <c r="CO170" i="4"/>
  <c r="I170" i="4" s="1"/>
  <c r="I166" i="4"/>
  <c r="CE980" i="4"/>
  <c r="CE961" i="4"/>
  <c r="AM943" i="4"/>
  <c r="AM945" i="4" s="1"/>
  <c r="AM946" i="4" s="1"/>
  <c r="AL34" i="11"/>
  <c r="AC70" i="67"/>
  <c r="CM863" i="4"/>
  <c r="CM866" i="4"/>
  <c r="CM864" i="4"/>
  <c r="CM865" i="4"/>
  <c r="CK789" i="4"/>
  <c r="CK629" i="4"/>
  <c r="CK630" i="4" s="1"/>
  <c r="CK751" i="4"/>
  <c r="CK676" i="4"/>
  <c r="CK680" i="4" s="1"/>
  <c r="CK889" i="4" s="1"/>
  <c r="CK890" i="4" s="1"/>
  <c r="CK891" i="4" s="1"/>
  <c r="CN282" i="4"/>
  <c r="H213" i="3"/>
  <c r="H326" i="3"/>
  <c r="CO269" i="4"/>
  <c r="I207" i="4"/>
  <c r="CG118" i="64"/>
  <c r="CG121" i="64" s="1"/>
  <c r="AM972" i="4"/>
  <c r="AN968" i="4" s="1"/>
  <c r="AC39" i="13"/>
  <c r="CL789" i="4"/>
  <c r="CL629" i="4"/>
  <c r="CL751" i="4"/>
  <c r="CM749" i="4"/>
  <c r="CM609" i="4"/>
  <c r="CM627" i="4" s="1"/>
  <c r="CM810" i="4" s="1"/>
  <c r="CM815" i="4" s="1"/>
  <c r="CD969" i="4"/>
  <c r="CE970" i="4"/>
  <c r="CL1310" i="4"/>
  <c r="CL1345" i="4"/>
  <c r="CO258" i="4"/>
  <c r="I258" i="4" s="1"/>
  <c r="CO271" i="4"/>
  <c r="CM316" i="4" s="1"/>
  <c r="I254" i="4"/>
  <c r="AM79" i="64"/>
  <c r="AM71" i="64"/>
  <c r="CH118" i="64"/>
  <c r="CH121" i="64" s="1"/>
  <c r="CG81" i="64"/>
  <c r="CG73" i="64"/>
  <c r="CH73" i="64"/>
  <c r="CH81" i="64"/>
  <c r="CJ814" i="4"/>
  <c r="CJ813" i="4"/>
  <c r="CJ816" i="4"/>
  <c r="CM296" i="4"/>
  <c r="CM304" i="4" s="1"/>
  <c r="CF895" i="4"/>
  <c r="CF957" i="4" s="1"/>
  <c r="CF819" i="4"/>
  <c r="CF825" i="4" s="1"/>
  <c r="CF826" i="4" s="1"/>
  <c r="CF893" i="4" s="1"/>
  <c r="H181" i="3"/>
  <c r="H352" i="3"/>
  <c r="CO265" i="4"/>
  <c r="CM310" i="4" s="1"/>
  <c r="CO163" i="4"/>
  <c r="I159" i="4"/>
  <c r="CO270" i="4"/>
  <c r="CH315" i="4" s="1"/>
  <c r="CO235" i="4"/>
  <c r="I235" i="4" s="1"/>
  <c r="I231" i="4"/>
  <c r="CK756" i="4"/>
  <c r="CK759" i="4"/>
  <c r="CK757" i="4"/>
  <c r="CK758" i="4"/>
  <c r="BH929" i="4"/>
  <c r="BH930" i="4" s="1"/>
  <c r="BH931" i="4" s="1"/>
  <c r="CI777" i="4" l="1"/>
  <c r="CI823" i="4" s="1"/>
  <c r="CI120" i="64"/>
  <c r="CI64" i="64" s="1"/>
  <c r="CI72" i="64" s="1"/>
  <c r="CI116" i="64"/>
  <c r="CL763" i="4"/>
  <c r="CJ774" i="4"/>
  <c r="CJ113" i="64" s="1"/>
  <c r="CJ111" i="64"/>
  <c r="CJ119" i="64" s="1"/>
  <c r="CJ65" i="64" s="1"/>
  <c r="CJ775" i="4"/>
  <c r="CJ114" i="64" s="1"/>
  <c r="CJ776" i="4"/>
  <c r="CJ115" i="64" s="1"/>
  <c r="CJ1257" i="4"/>
  <c r="CJ1215" i="4"/>
  <c r="CJ44" i="11"/>
  <c r="CJ1050" i="4"/>
  <c r="CJ69" i="11"/>
  <c r="CJ684" i="4"/>
  <c r="CJ956" i="4" s="1"/>
  <c r="CJ992" i="4"/>
  <c r="CL630" i="4"/>
  <c r="CL809" i="4" s="1"/>
  <c r="CL764" i="4"/>
  <c r="CL767" i="4" s="1"/>
  <c r="CJ312" i="4"/>
  <c r="CM1345" i="4"/>
  <c r="AE12" i="13" s="1"/>
  <c r="CM622" i="4"/>
  <c r="CM623" i="4" s="1"/>
  <c r="CM676" i="4" s="1"/>
  <c r="CM680" i="4" s="1"/>
  <c r="CM889" i="4" s="1"/>
  <c r="CM890" i="4" s="1"/>
  <c r="CM891" i="4" s="1"/>
  <c r="CM750" i="4"/>
  <c r="CM764" i="4" s="1"/>
  <c r="CN619" i="4"/>
  <c r="CN628" i="4" s="1"/>
  <c r="CM313" i="4"/>
  <c r="CI313" i="4"/>
  <c r="CM879" i="4"/>
  <c r="BH19" i="11"/>
  <c r="BI927" i="4"/>
  <c r="CF1242" i="4"/>
  <c r="CF1042" i="4"/>
  <c r="CF944" i="4"/>
  <c r="CF70" i="11"/>
  <c r="CF936" i="4"/>
  <c r="CF897" i="4"/>
  <c r="CF1216" i="4"/>
  <c r="CL772" i="4"/>
  <c r="CL771" i="4"/>
  <c r="CO283" i="4"/>
  <c r="I269" i="4"/>
  <c r="CK809" i="4"/>
  <c r="CK682" i="4"/>
  <c r="CN719" i="4"/>
  <c r="CN33" i="66"/>
  <c r="CN32" i="66" s="1"/>
  <c r="CN1041" i="4"/>
  <c r="CN81" i="11"/>
  <c r="CN82" i="11" s="1"/>
  <c r="CN65" i="62"/>
  <c r="CN1241" i="4"/>
  <c r="CN1214" i="4"/>
  <c r="CK767" i="4"/>
  <c r="CK765" i="4"/>
  <c r="CK768" i="4"/>
  <c r="CK766" i="4"/>
  <c r="I213" i="4"/>
  <c r="G65" i="15"/>
  <c r="CJ316" i="4"/>
  <c r="CI118" i="64"/>
  <c r="G66" i="15"/>
  <c r="I236" i="4"/>
  <c r="CF980" i="4"/>
  <c r="CF961" i="4"/>
  <c r="CK794" i="4"/>
  <c r="CK792" i="4"/>
  <c r="CK795" i="4"/>
  <c r="CK793" i="4"/>
  <c r="CK791" i="4"/>
  <c r="CM685" i="4"/>
  <c r="G70" i="15"/>
  <c r="I171" i="4"/>
  <c r="CI73" i="64"/>
  <c r="CI81" i="64"/>
  <c r="CG895" i="4"/>
  <c r="CG957" i="4" s="1"/>
  <c r="CG819" i="4"/>
  <c r="CG825" i="4" s="1"/>
  <c r="CG826" i="4" s="1"/>
  <c r="CG893" i="4" s="1"/>
  <c r="CN315" i="4"/>
  <c r="CO315" i="4"/>
  <c r="L315" i="4"/>
  <c r="N315" i="4"/>
  <c r="M315" i="4"/>
  <c r="I270" i="4"/>
  <c r="P315" i="4"/>
  <c r="O315" i="4"/>
  <c r="CO284" i="4"/>
  <c r="Q315" i="4"/>
  <c r="R315" i="4"/>
  <c r="S315" i="4"/>
  <c r="T315" i="4"/>
  <c r="U315" i="4"/>
  <c r="V315" i="4"/>
  <c r="W315" i="4"/>
  <c r="X315" i="4"/>
  <c r="Y315" i="4"/>
  <c r="AA315" i="4"/>
  <c r="Z315" i="4"/>
  <c r="AB315" i="4"/>
  <c r="AC315" i="4"/>
  <c r="AD315" i="4"/>
  <c r="AE315" i="4"/>
  <c r="AG315" i="4"/>
  <c r="AF315" i="4"/>
  <c r="AH315" i="4"/>
  <c r="AI315" i="4"/>
  <c r="AJ315" i="4"/>
  <c r="AL315" i="4"/>
  <c r="AN315" i="4"/>
  <c r="AK315" i="4"/>
  <c r="AM315" i="4"/>
  <c r="AO315" i="4"/>
  <c r="AP315" i="4"/>
  <c r="AR315" i="4"/>
  <c r="AT315" i="4"/>
  <c r="AS315" i="4"/>
  <c r="AQ315" i="4"/>
  <c r="AX315" i="4"/>
  <c r="AU315" i="4"/>
  <c r="AV315" i="4"/>
  <c r="AY315" i="4"/>
  <c r="AW315" i="4"/>
  <c r="BA315" i="4"/>
  <c r="BC315" i="4"/>
  <c r="AZ315" i="4"/>
  <c r="BB315" i="4"/>
  <c r="BE315" i="4"/>
  <c r="BG315" i="4"/>
  <c r="BD315" i="4"/>
  <c r="BF315" i="4"/>
  <c r="BK315" i="4"/>
  <c r="BI315" i="4"/>
  <c r="BL315" i="4"/>
  <c r="BH315" i="4"/>
  <c r="BJ315" i="4"/>
  <c r="BN315" i="4"/>
  <c r="BM315" i="4"/>
  <c r="BO315" i="4"/>
  <c r="BP315" i="4"/>
  <c r="BQ315" i="4"/>
  <c r="BT315" i="4"/>
  <c r="BS315" i="4"/>
  <c r="BR315" i="4"/>
  <c r="BV315" i="4"/>
  <c r="BU315" i="4"/>
  <c r="BW315" i="4"/>
  <c r="BY315" i="4"/>
  <c r="CA315" i="4"/>
  <c r="BX315" i="4"/>
  <c r="BZ315" i="4"/>
  <c r="CB315" i="4"/>
  <c r="CC315" i="4"/>
  <c r="CE315" i="4"/>
  <c r="CD315" i="4"/>
  <c r="CF315" i="4"/>
  <c r="CL793" i="4"/>
  <c r="CL795" i="4"/>
  <c r="CL791" i="4"/>
  <c r="CL792" i="4"/>
  <c r="CL794" i="4"/>
  <c r="CH316" i="4"/>
  <c r="CG311" i="4"/>
  <c r="CN311" i="4"/>
  <c r="CO311" i="4"/>
  <c r="M311" i="4"/>
  <c r="L311" i="4"/>
  <c r="N311" i="4"/>
  <c r="CO280" i="4"/>
  <c r="I266" i="4"/>
  <c r="O311" i="4"/>
  <c r="R311" i="4"/>
  <c r="P311" i="4"/>
  <c r="Q311" i="4"/>
  <c r="U311" i="4"/>
  <c r="S311" i="4"/>
  <c r="T311" i="4"/>
  <c r="X311" i="4"/>
  <c r="V311" i="4"/>
  <c r="Z311" i="4"/>
  <c r="Y311" i="4"/>
  <c r="AB311" i="4"/>
  <c r="W311" i="4"/>
  <c r="AA311" i="4"/>
  <c r="AE311" i="4"/>
  <c r="AC311" i="4"/>
  <c r="AD311" i="4"/>
  <c r="AF311" i="4"/>
  <c r="AG311" i="4"/>
  <c r="AH311" i="4"/>
  <c r="AI311" i="4"/>
  <c r="AJ311" i="4"/>
  <c r="AM311" i="4"/>
  <c r="AK311" i="4"/>
  <c r="AN311" i="4"/>
  <c r="AL311" i="4"/>
  <c r="AR311" i="4"/>
  <c r="AP311" i="4"/>
  <c r="AQ311" i="4"/>
  <c r="AO311" i="4"/>
  <c r="AS311" i="4"/>
  <c r="AT311" i="4"/>
  <c r="AU311" i="4"/>
  <c r="AW311" i="4"/>
  <c r="AV311" i="4"/>
  <c r="BA311" i="4"/>
  <c r="AX311" i="4"/>
  <c r="AY311" i="4"/>
  <c r="AZ311" i="4"/>
  <c r="BB311" i="4"/>
  <c r="BC311" i="4"/>
  <c r="BD311" i="4"/>
  <c r="BE311" i="4"/>
  <c r="BF311" i="4"/>
  <c r="BG311" i="4"/>
  <c r="BH311" i="4"/>
  <c r="BK311" i="4"/>
  <c r="BJ311" i="4"/>
  <c r="BI311" i="4"/>
  <c r="BL311" i="4"/>
  <c r="BM311" i="4"/>
  <c r="BP311" i="4"/>
  <c r="BO311" i="4"/>
  <c r="BN311" i="4"/>
  <c r="BR311" i="4"/>
  <c r="BQ311" i="4"/>
  <c r="BU311" i="4"/>
  <c r="BS311" i="4"/>
  <c r="BT311" i="4"/>
  <c r="BV311" i="4"/>
  <c r="BW311" i="4"/>
  <c r="BY311" i="4"/>
  <c r="BX311" i="4"/>
  <c r="BZ311" i="4"/>
  <c r="CB311" i="4"/>
  <c r="CA311" i="4"/>
  <c r="CE311" i="4"/>
  <c r="CD311" i="4"/>
  <c r="CC311" i="4"/>
  <c r="CL311" i="4"/>
  <c r="CJ311" i="4"/>
  <c r="CF311" i="4"/>
  <c r="CH311" i="4"/>
  <c r="CN296" i="4"/>
  <c r="CN304" i="4" s="1"/>
  <c r="CM311" i="4"/>
  <c r="CG315" i="4"/>
  <c r="AE35" i="64"/>
  <c r="AE36" i="64"/>
  <c r="CK316" i="4"/>
  <c r="CN312" i="4"/>
  <c r="CO312" i="4"/>
  <c r="O312" i="4"/>
  <c r="L312" i="4"/>
  <c r="M312" i="4"/>
  <c r="I267" i="4"/>
  <c r="CO281" i="4"/>
  <c r="N312" i="4"/>
  <c r="S312" i="4"/>
  <c r="P312" i="4"/>
  <c r="Q312" i="4"/>
  <c r="V312" i="4"/>
  <c r="R312" i="4"/>
  <c r="U312" i="4"/>
  <c r="W312" i="4"/>
  <c r="T312" i="4"/>
  <c r="Y312" i="4"/>
  <c r="Z312" i="4"/>
  <c r="X312" i="4"/>
  <c r="AE312" i="4"/>
  <c r="AC312" i="4"/>
  <c r="AA312" i="4"/>
  <c r="AB312" i="4"/>
  <c r="AD312" i="4"/>
  <c r="AF312" i="4"/>
  <c r="AG312" i="4"/>
  <c r="AI312" i="4"/>
  <c r="AH312" i="4"/>
  <c r="AJ312" i="4"/>
  <c r="AM312" i="4"/>
  <c r="AL312" i="4"/>
  <c r="AK312" i="4"/>
  <c r="AN312" i="4"/>
  <c r="AO312" i="4"/>
  <c r="AP312" i="4"/>
  <c r="AR312" i="4"/>
  <c r="AQ312" i="4"/>
  <c r="AU312" i="4"/>
  <c r="AS312" i="4"/>
  <c r="AT312" i="4"/>
  <c r="AX312" i="4"/>
  <c r="AV312" i="4"/>
  <c r="AY312" i="4"/>
  <c r="AZ312" i="4"/>
  <c r="AW312" i="4"/>
  <c r="BB312" i="4"/>
  <c r="BD312" i="4"/>
  <c r="BC312" i="4"/>
  <c r="BA312" i="4"/>
  <c r="BJ312" i="4"/>
  <c r="BE312" i="4"/>
  <c r="BF312" i="4"/>
  <c r="BI312" i="4"/>
  <c r="BH312" i="4"/>
  <c r="BG312" i="4"/>
  <c r="BK312" i="4"/>
  <c r="BL312" i="4"/>
  <c r="BM312" i="4"/>
  <c r="BN312" i="4"/>
  <c r="BR312" i="4"/>
  <c r="BO312" i="4"/>
  <c r="BP312" i="4"/>
  <c r="BQ312" i="4"/>
  <c r="BT312" i="4"/>
  <c r="BU312" i="4"/>
  <c r="BS312" i="4"/>
  <c r="BX312" i="4"/>
  <c r="BV312" i="4"/>
  <c r="BW312" i="4"/>
  <c r="BY312" i="4"/>
  <c r="BZ312" i="4"/>
  <c r="CB312" i="4"/>
  <c r="CA312" i="4"/>
  <c r="CF312" i="4"/>
  <c r="CD312" i="4"/>
  <c r="CC312" i="4"/>
  <c r="CE312" i="4"/>
  <c r="CI312" i="4"/>
  <c r="CH312" i="4"/>
  <c r="CL312" i="4"/>
  <c r="CG316" i="4"/>
  <c r="CJ315" i="4"/>
  <c r="CF316" i="4"/>
  <c r="CL316" i="4"/>
  <c r="AN971" i="4"/>
  <c r="AN105" i="64" s="1"/>
  <c r="AN63" i="64" s="1"/>
  <c r="CN669" i="4"/>
  <c r="CN677" i="4"/>
  <c r="G71" i="15"/>
  <c r="I178" i="4"/>
  <c r="AF979" i="4"/>
  <c r="AE985" i="4"/>
  <c r="CN310" i="4"/>
  <c r="CO276" i="4"/>
  <c r="I276" i="4" s="1"/>
  <c r="CO334" i="4"/>
  <c r="CO310" i="4"/>
  <c r="L310" i="4"/>
  <c r="CO279" i="4"/>
  <c r="I265" i="4"/>
  <c r="M310" i="4"/>
  <c r="N310" i="4"/>
  <c r="O310" i="4"/>
  <c r="R310" i="4"/>
  <c r="P310" i="4"/>
  <c r="Q310" i="4"/>
  <c r="U310" i="4"/>
  <c r="S310" i="4"/>
  <c r="T310" i="4"/>
  <c r="X310" i="4"/>
  <c r="W310" i="4"/>
  <c r="V310" i="4"/>
  <c r="Z310" i="4"/>
  <c r="Y310" i="4"/>
  <c r="AC310" i="4"/>
  <c r="AA310" i="4"/>
  <c r="AB310" i="4"/>
  <c r="AE310" i="4"/>
  <c r="AF310" i="4"/>
  <c r="AD310" i="4"/>
  <c r="AH310" i="4"/>
  <c r="AG310" i="4"/>
  <c r="AK310" i="4"/>
  <c r="AI310" i="4"/>
  <c r="AJ310" i="4"/>
  <c r="AL310" i="4"/>
  <c r="AN310" i="4"/>
  <c r="AM310" i="4"/>
  <c r="AO310" i="4"/>
  <c r="AQ310" i="4"/>
  <c r="AR310" i="4"/>
  <c r="AS310" i="4"/>
  <c r="AP310" i="4"/>
  <c r="AT310" i="4"/>
  <c r="AV310" i="4"/>
  <c r="AU310" i="4"/>
  <c r="AW310" i="4"/>
  <c r="AX310" i="4"/>
  <c r="AY310" i="4"/>
  <c r="AZ310" i="4"/>
  <c r="BA310" i="4"/>
  <c r="BC310" i="4"/>
  <c r="BB310" i="4"/>
  <c r="BE310" i="4"/>
  <c r="BF310" i="4"/>
  <c r="BD310" i="4"/>
  <c r="BG310" i="4"/>
  <c r="BH310" i="4"/>
  <c r="BI310" i="4"/>
  <c r="BJ310" i="4"/>
  <c r="BK310" i="4"/>
  <c r="BN310" i="4"/>
  <c r="BL310" i="4"/>
  <c r="BM310" i="4"/>
  <c r="BO310" i="4"/>
  <c r="BP310" i="4"/>
  <c r="BQ310" i="4"/>
  <c r="BS310" i="4"/>
  <c r="BT310" i="4"/>
  <c r="BR310" i="4"/>
  <c r="BV310" i="4"/>
  <c r="BU310" i="4"/>
  <c r="BX310" i="4"/>
  <c r="BZ310" i="4"/>
  <c r="BW310" i="4"/>
  <c r="BY310" i="4"/>
  <c r="CA310" i="4"/>
  <c r="CB310" i="4"/>
  <c r="CC310" i="4"/>
  <c r="CD310" i="4"/>
  <c r="CE310" i="4"/>
  <c r="CI310" i="4"/>
  <c r="CL310" i="4"/>
  <c r="CH310" i="4"/>
  <c r="CJ310" i="4"/>
  <c r="CF310" i="4"/>
  <c r="I259" i="4"/>
  <c r="G67" i="15"/>
  <c r="CM755" i="4"/>
  <c r="CM754" i="4"/>
  <c r="AM947" i="4"/>
  <c r="AM34" i="11"/>
  <c r="AN943" i="4"/>
  <c r="R34" i="67"/>
  <c r="CO861" i="4"/>
  <c r="I861" i="4" s="1"/>
  <c r="CO875" i="4"/>
  <c r="I875" i="4" s="1"/>
  <c r="CO871" i="4"/>
  <c r="I871" i="4" s="1"/>
  <c r="CO1032" i="4"/>
  <c r="CO1033" i="4" s="1"/>
  <c r="CO1034" i="4" s="1"/>
  <c r="CO870" i="4"/>
  <c r="I870" i="4" s="1"/>
  <c r="CO874" i="4"/>
  <c r="I874" i="4" s="1"/>
  <c r="CO869" i="4"/>
  <c r="I869" i="4" s="1"/>
  <c r="CO877" i="4"/>
  <c r="I877" i="4" s="1"/>
  <c r="CO862" i="4"/>
  <c r="I862" i="4" s="1"/>
  <c r="CO860" i="4"/>
  <c r="I860" i="4" s="1"/>
  <c r="CO876" i="4"/>
  <c r="I876" i="4" s="1"/>
  <c r="CO859" i="4"/>
  <c r="CO818" i="4"/>
  <c r="CO878" i="4"/>
  <c r="I878" i="4" s="1"/>
  <c r="CO616" i="4"/>
  <c r="CO613" i="4"/>
  <c r="CO614" i="4" s="1"/>
  <c r="CO620" i="4" s="1"/>
  <c r="I620" i="4" s="1"/>
  <c r="CO606" i="4"/>
  <c r="CO608" i="4" s="1"/>
  <c r="CO716" i="4"/>
  <c r="CO717" i="4"/>
  <c r="I717" i="4" s="1"/>
  <c r="G90" i="15" s="1"/>
  <c r="CO618" i="4"/>
  <c r="CO718" i="4"/>
  <c r="I718" i="4" s="1"/>
  <c r="G91" i="15" s="1"/>
  <c r="CO667" i="4"/>
  <c r="I667" i="4" s="1"/>
  <c r="CO666" i="4"/>
  <c r="CO668" i="4"/>
  <c r="I668" i="4" s="1"/>
  <c r="CG312" i="4"/>
  <c r="CM315" i="4"/>
  <c r="CI315" i="4"/>
  <c r="CO260" i="4"/>
  <c r="I163" i="4"/>
  <c r="CI316" i="4"/>
  <c r="CO316" i="4"/>
  <c r="CN316" i="4"/>
  <c r="M316" i="4"/>
  <c r="N316" i="4"/>
  <c r="L316" i="4"/>
  <c r="CO285" i="4"/>
  <c r="I271" i="4"/>
  <c r="P316" i="4"/>
  <c r="Q316" i="4"/>
  <c r="O316" i="4"/>
  <c r="R316" i="4"/>
  <c r="S316" i="4"/>
  <c r="T316" i="4"/>
  <c r="V316" i="4"/>
  <c r="W316" i="4"/>
  <c r="U316" i="4"/>
  <c r="Y316" i="4"/>
  <c r="X316" i="4"/>
  <c r="AC316" i="4"/>
  <c r="Z316" i="4"/>
  <c r="AB316" i="4"/>
  <c r="AA316" i="4"/>
  <c r="AD316" i="4"/>
  <c r="AE316" i="4"/>
  <c r="AF316" i="4"/>
  <c r="AK316" i="4"/>
  <c r="AH316" i="4"/>
  <c r="AG316" i="4"/>
  <c r="AI316" i="4"/>
  <c r="AJ316" i="4"/>
  <c r="AO316" i="4"/>
  <c r="AL316" i="4"/>
  <c r="AN316" i="4"/>
  <c r="AM316" i="4"/>
  <c r="AR316" i="4"/>
  <c r="AP316" i="4"/>
  <c r="AQ316" i="4"/>
  <c r="AS316" i="4"/>
  <c r="AY316" i="4"/>
  <c r="AV316" i="4"/>
  <c r="AT316" i="4"/>
  <c r="AU316" i="4"/>
  <c r="AW316" i="4"/>
  <c r="AX316" i="4"/>
  <c r="BB316" i="4"/>
  <c r="AZ316" i="4"/>
  <c r="BA316" i="4"/>
  <c r="BD316" i="4"/>
  <c r="BC316" i="4"/>
  <c r="BH316" i="4"/>
  <c r="BE316" i="4"/>
  <c r="BG316" i="4"/>
  <c r="BF316" i="4"/>
  <c r="BI316" i="4"/>
  <c r="BJ316" i="4"/>
  <c r="BK316" i="4"/>
  <c r="BL316" i="4"/>
  <c r="BM316" i="4"/>
  <c r="BN316" i="4"/>
  <c r="BR316" i="4"/>
  <c r="BO316" i="4"/>
  <c r="BQ316" i="4"/>
  <c r="BP316" i="4"/>
  <c r="BS316" i="4"/>
  <c r="BW316" i="4"/>
  <c r="BU316" i="4"/>
  <c r="BT316" i="4"/>
  <c r="BV316" i="4"/>
  <c r="BX316" i="4"/>
  <c r="BY316" i="4"/>
  <c r="BZ316" i="4"/>
  <c r="CA316" i="4"/>
  <c r="CE316" i="4"/>
  <c r="CB316" i="4"/>
  <c r="CC316" i="4"/>
  <c r="CD316" i="4"/>
  <c r="CK310" i="4"/>
  <c r="CK315" i="4"/>
  <c r="CE969" i="4"/>
  <c r="CF970" i="4"/>
  <c r="CK312" i="4"/>
  <c r="CG310" i="4"/>
  <c r="CH895" i="4"/>
  <c r="CH957" i="4" s="1"/>
  <c r="CH819" i="4"/>
  <c r="CH825" i="4" s="1"/>
  <c r="CH826" i="4" s="1"/>
  <c r="CH893" i="4" s="1"/>
  <c r="CL757" i="4"/>
  <c r="CL758" i="4"/>
  <c r="CL759" i="4"/>
  <c r="CL756" i="4"/>
  <c r="H360" i="3"/>
  <c r="CL315" i="4"/>
  <c r="CK771" i="4"/>
  <c r="CK772" i="4"/>
  <c r="CN609" i="4"/>
  <c r="CN627" i="4" s="1"/>
  <c r="CN810" i="4" s="1"/>
  <c r="CN815" i="4" s="1"/>
  <c r="CN749" i="4"/>
  <c r="CN864" i="4"/>
  <c r="CN866" i="4"/>
  <c r="CN863" i="4"/>
  <c r="CN865" i="4"/>
  <c r="CE45" i="11"/>
  <c r="CE46" i="11" s="1"/>
  <c r="CE993" i="4"/>
  <c r="AL937" i="4"/>
  <c r="AL938" i="4" s="1"/>
  <c r="AL939" i="4" s="1"/>
  <c r="AL951" i="4" s="1"/>
  <c r="CN289" i="4"/>
  <c r="CK311" i="4"/>
  <c r="CG313" i="4"/>
  <c r="CN313" i="4"/>
  <c r="CO313" i="4"/>
  <c r="I268" i="4"/>
  <c r="L313" i="4"/>
  <c r="CO282" i="4"/>
  <c r="M313" i="4"/>
  <c r="O313" i="4"/>
  <c r="N313" i="4"/>
  <c r="R313" i="4"/>
  <c r="Q313" i="4"/>
  <c r="P313" i="4"/>
  <c r="U313" i="4"/>
  <c r="S313" i="4"/>
  <c r="T313" i="4"/>
  <c r="V313" i="4"/>
  <c r="Z313" i="4"/>
  <c r="W313" i="4"/>
  <c r="Y313" i="4"/>
  <c r="X313" i="4"/>
  <c r="AA313" i="4"/>
  <c r="AB313" i="4"/>
  <c r="AC313" i="4"/>
  <c r="AE313" i="4"/>
  <c r="AI313" i="4"/>
  <c r="AG313" i="4"/>
  <c r="AD313" i="4"/>
  <c r="AF313" i="4"/>
  <c r="AH313" i="4"/>
  <c r="AK313" i="4"/>
  <c r="AJ313" i="4"/>
  <c r="AL313" i="4"/>
  <c r="AN313" i="4"/>
  <c r="AM313" i="4"/>
  <c r="AO313" i="4"/>
  <c r="AQ313" i="4"/>
  <c r="AP313" i="4"/>
  <c r="AU313" i="4"/>
  <c r="AR313" i="4"/>
  <c r="AV313" i="4"/>
  <c r="AS313" i="4"/>
  <c r="AT313" i="4"/>
  <c r="AW313" i="4"/>
  <c r="AY313" i="4"/>
  <c r="AX313" i="4"/>
  <c r="BD313" i="4"/>
  <c r="BB313" i="4"/>
  <c r="BA313" i="4"/>
  <c r="AZ313" i="4"/>
  <c r="BF313" i="4"/>
  <c r="BC313" i="4"/>
  <c r="BE313" i="4"/>
  <c r="BG313" i="4"/>
  <c r="BH313" i="4"/>
  <c r="BJ313" i="4"/>
  <c r="BI313" i="4"/>
  <c r="BK313" i="4"/>
  <c r="BL313" i="4"/>
  <c r="BM313" i="4"/>
  <c r="BN313" i="4"/>
  <c r="BO313" i="4"/>
  <c r="BS313" i="4"/>
  <c r="BQ313" i="4"/>
  <c r="BP313" i="4"/>
  <c r="BR313" i="4"/>
  <c r="BU313" i="4"/>
  <c r="BT313" i="4"/>
  <c r="BX313" i="4"/>
  <c r="BV313" i="4"/>
  <c r="BW313" i="4"/>
  <c r="BY313" i="4"/>
  <c r="BZ313" i="4"/>
  <c r="CB313" i="4"/>
  <c r="CA313" i="4"/>
  <c r="CC313" i="4"/>
  <c r="CF313" i="4"/>
  <c r="CE313" i="4"/>
  <c r="CD313" i="4"/>
  <c r="CH313" i="4"/>
  <c r="CK313" i="4"/>
  <c r="CJ313" i="4"/>
  <c r="CI80" i="64" l="1"/>
  <c r="CI811" i="4"/>
  <c r="CI817" i="4" s="1"/>
  <c r="CI819" i="4" s="1"/>
  <c r="CI825" i="4" s="1"/>
  <c r="CI826" i="4" s="1"/>
  <c r="CI893" i="4" s="1"/>
  <c r="CI121" i="64"/>
  <c r="CJ777" i="4"/>
  <c r="CJ823" i="4" s="1"/>
  <c r="CL111" i="64"/>
  <c r="CL119" i="64" s="1"/>
  <c r="CL65" i="64" s="1"/>
  <c r="CM751" i="4"/>
  <c r="CM771" i="4" s="1"/>
  <c r="CJ120" i="64"/>
  <c r="CJ64" i="64" s="1"/>
  <c r="CJ72" i="64" s="1"/>
  <c r="CM629" i="4"/>
  <c r="CM630" i="4" s="1"/>
  <c r="CM809" i="4" s="1"/>
  <c r="CM789" i="4"/>
  <c r="CM794" i="4" s="1"/>
  <c r="CJ116" i="64"/>
  <c r="CL682" i="4"/>
  <c r="CL684" i="4" s="1"/>
  <c r="CL956" i="4" s="1"/>
  <c r="CL765" i="4"/>
  <c r="CL768" i="4"/>
  <c r="CL766" i="4"/>
  <c r="CM762" i="4"/>
  <c r="CM763" i="4"/>
  <c r="CN622" i="4"/>
  <c r="CN623" i="4" s="1"/>
  <c r="CN789" i="4" s="1"/>
  <c r="CN795" i="4" s="1"/>
  <c r="CN750" i="4"/>
  <c r="CN764" i="4" s="1"/>
  <c r="CO619" i="4"/>
  <c r="CO750" i="4" s="1"/>
  <c r="CJ118" i="64"/>
  <c r="AE37" i="64"/>
  <c r="AE51" i="64" s="1"/>
  <c r="CN879" i="4"/>
  <c r="I313" i="4"/>
  <c r="G313" i="4"/>
  <c r="L323" i="4"/>
  <c r="L325" i="4"/>
  <c r="AM935" i="4"/>
  <c r="AM937" i="4" s="1"/>
  <c r="AM938" i="4" s="1"/>
  <c r="AL18" i="11"/>
  <c r="AL950" i="4"/>
  <c r="CO896" i="4"/>
  <c r="I818" i="4"/>
  <c r="AL1262" i="4"/>
  <c r="AL43" i="66"/>
  <c r="AL1220" i="4"/>
  <c r="AL1048" i="4"/>
  <c r="AL23" i="66"/>
  <c r="AL77" i="11"/>
  <c r="AL1245" i="4"/>
  <c r="CK773" i="4"/>
  <c r="CK112" i="64" s="1"/>
  <c r="CK776" i="4"/>
  <c r="CK115" i="64" s="1"/>
  <c r="CK774" i="4"/>
  <c r="CK113" i="64" s="1"/>
  <c r="CK775" i="4"/>
  <c r="CK114" i="64" s="1"/>
  <c r="CK111" i="64"/>
  <c r="CO865" i="4"/>
  <c r="I865" i="4" s="1"/>
  <c r="CO866" i="4"/>
  <c r="I866" i="4" s="1"/>
  <c r="CO864" i="4"/>
  <c r="I864" i="4" s="1"/>
  <c r="CO863" i="4"/>
  <c r="I863" i="4" s="1"/>
  <c r="I859" i="4"/>
  <c r="CO908" i="4"/>
  <c r="I908" i="4" s="1"/>
  <c r="I1034" i="4"/>
  <c r="CL813" i="4"/>
  <c r="CL816" i="4"/>
  <c r="CL814" i="4"/>
  <c r="CH1242" i="4"/>
  <c r="CH1216" i="4"/>
  <c r="CH1042" i="4"/>
  <c r="CH897" i="4"/>
  <c r="CH944" i="4"/>
  <c r="CH70" i="11"/>
  <c r="CH936" i="4"/>
  <c r="CN754" i="4"/>
  <c r="CN755" i="4"/>
  <c r="AN972" i="4"/>
  <c r="AO968" i="4" s="1"/>
  <c r="G315" i="4"/>
  <c r="I315" i="4"/>
  <c r="L326" i="4"/>
  <c r="CF969" i="4"/>
  <c r="CG970" i="4"/>
  <c r="CK69" i="11"/>
  <c r="CK1257" i="4"/>
  <c r="CK684" i="4"/>
  <c r="CK956" i="4" s="1"/>
  <c r="CK44" i="11"/>
  <c r="CK992" i="4"/>
  <c r="CK928" i="4"/>
  <c r="CK1215" i="4"/>
  <c r="CK1050" i="4"/>
  <c r="I164" i="4"/>
  <c r="G69" i="15"/>
  <c r="G73" i="15" s="1"/>
  <c r="CO719" i="4"/>
  <c r="I716" i="4"/>
  <c r="G89" i="15" s="1"/>
  <c r="AE20" i="11"/>
  <c r="P20" i="67" s="1"/>
  <c r="AE35" i="11"/>
  <c r="AE987" i="4"/>
  <c r="AN71" i="64"/>
  <c r="AN79" i="64"/>
  <c r="CJ81" i="64"/>
  <c r="CJ73" i="64"/>
  <c r="CK796" i="4"/>
  <c r="CK824" i="4" s="1"/>
  <c r="CN1310" i="4"/>
  <c r="CN1345" i="4"/>
  <c r="CK814" i="4"/>
  <c r="CK813" i="4"/>
  <c r="CK816" i="4"/>
  <c r="CO677" i="4"/>
  <c r="I677" i="4" s="1"/>
  <c r="CO669" i="4"/>
  <c r="I669" i="4" s="1"/>
  <c r="G78" i="15" s="1"/>
  <c r="I666" i="4"/>
  <c r="AN945" i="4"/>
  <c r="AN946" i="4" s="1"/>
  <c r="AN947" i="4" s="1"/>
  <c r="CO1214" i="4"/>
  <c r="I1214" i="4" s="1"/>
  <c r="CO33" i="66"/>
  <c r="CO81" i="11"/>
  <c r="CO1041" i="4"/>
  <c r="I1041" i="4" s="1"/>
  <c r="CO65" i="62"/>
  <c r="I65" i="62" s="1"/>
  <c r="CO1241" i="4"/>
  <c r="I1241" i="4" s="1"/>
  <c r="I260" i="4"/>
  <c r="E903" i="4"/>
  <c r="Q81" i="67"/>
  <c r="R81" i="67"/>
  <c r="R82" i="67" s="1"/>
  <c r="S81" i="67"/>
  <c r="S82" i="67" s="1"/>
  <c r="AD81" i="67"/>
  <c r="AD82" i="67" s="1"/>
  <c r="CO749" i="4"/>
  <c r="CO609" i="4"/>
  <c r="I608" i="4"/>
  <c r="CM756" i="4"/>
  <c r="CM759" i="4"/>
  <c r="CM757" i="4"/>
  <c r="CM758" i="4"/>
  <c r="CO289" i="4"/>
  <c r="AF982" i="4"/>
  <c r="AF983" i="4" s="1"/>
  <c r="AH981" i="4"/>
  <c r="I312" i="4"/>
  <c r="G312" i="4"/>
  <c r="L322" i="4"/>
  <c r="CF993" i="4"/>
  <c r="CF45" i="11"/>
  <c r="CF46" i="11" s="1"/>
  <c r="BI929" i="4"/>
  <c r="BI930" i="4" s="1"/>
  <c r="BI931" i="4" s="1"/>
  <c r="I316" i="4"/>
  <c r="G316" i="4"/>
  <c r="L327" i="4"/>
  <c r="I310" i="4"/>
  <c r="G310" i="4"/>
  <c r="L320" i="4"/>
  <c r="I311" i="4"/>
  <c r="G311" i="4"/>
  <c r="L321" i="4"/>
  <c r="CL796" i="4"/>
  <c r="CG897" i="4"/>
  <c r="CG936" i="4"/>
  <c r="CG1042" i="4"/>
  <c r="CG1216" i="4"/>
  <c r="CG944" i="4"/>
  <c r="CG70" i="11"/>
  <c r="CG1242" i="4"/>
  <c r="CG961" i="4"/>
  <c r="CG980" i="4"/>
  <c r="CH961" i="4"/>
  <c r="CH980" i="4"/>
  <c r="CO960" i="4"/>
  <c r="I334" i="4"/>
  <c r="CN685" i="4"/>
  <c r="AF81" i="67"/>
  <c r="AF82" i="67" s="1"/>
  <c r="CM767" i="4"/>
  <c r="CM765" i="4"/>
  <c r="CM766" i="4"/>
  <c r="CM768" i="4"/>
  <c r="CL774" i="4"/>
  <c r="CL775" i="4"/>
  <c r="CL114" i="64" s="1"/>
  <c r="CL776" i="4"/>
  <c r="CL773" i="4"/>
  <c r="CI895" i="4" l="1"/>
  <c r="CI957" i="4" s="1"/>
  <c r="CI961" i="4" s="1"/>
  <c r="CM772" i="4"/>
  <c r="CM111" i="64" s="1"/>
  <c r="CM119" i="64" s="1"/>
  <c r="CM65" i="64" s="1"/>
  <c r="CM682" i="4"/>
  <c r="AE44" i="67" s="1"/>
  <c r="CM793" i="4"/>
  <c r="CJ811" i="4"/>
  <c r="CJ817" i="4" s="1"/>
  <c r="CJ895" i="4" s="1"/>
  <c r="CJ957" i="4" s="1"/>
  <c r="CM791" i="4"/>
  <c r="CJ80" i="64"/>
  <c r="CN676" i="4"/>
  <c r="CN680" i="4" s="1"/>
  <c r="CN889" i="4" s="1"/>
  <c r="CN890" i="4" s="1"/>
  <c r="CN891" i="4" s="1"/>
  <c r="CM792" i="4"/>
  <c r="CM795" i="4"/>
  <c r="AE38" i="13"/>
  <c r="CL1050" i="4"/>
  <c r="CJ121" i="64"/>
  <c r="I619" i="4"/>
  <c r="CO622" i="4"/>
  <c r="CO623" i="4" s="1"/>
  <c r="CO789" i="4" s="1"/>
  <c r="CO791" i="4" s="1"/>
  <c r="CO628" i="4"/>
  <c r="I628" i="4" s="1"/>
  <c r="CL115" i="64"/>
  <c r="CL1257" i="4"/>
  <c r="CL992" i="4"/>
  <c r="CL69" i="11"/>
  <c r="CL1215" i="4"/>
  <c r="CL928" i="4"/>
  <c r="CL44" i="11"/>
  <c r="CL113" i="64"/>
  <c r="CN751" i="4"/>
  <c r="CN772" i="4" s="1"/>
  <c r="CN111" i="64" s="1"/>
  <c r="CN629" i="4"/>
  <c r="CN630" i="4" s="1"/>
  <c r="CN809" i="4" s="1"/>
  <c r="CN763" i="4"/>
  <c r="CN762" i="4"/>
  <c r="CN792" i="4"/>
  <c r="CN794" i="4"/>
  <c r="CN791" i="4"/>
  <c r="CN793" i="4"/>
  <c r="CL118" i="64"/>
  <c r="I960" i="4"/>
  <c r="O16" i="72"/>
  <c r="T16" i="72"/>
  <c r="U16" i="72"/>
  <c r="AF16" i="72"/>
  <c r="CG969" i="4"/>
  <c r="CH970" i="4"/>
  <c r="CO627" i="4"/>
  <c r="I609" i="4"/>
  <c r="CH45" i="11"/>
  <c r="CH46" i="11" s="1"/>
  <c r="CH993" i="4"/>
  <c r="CK120" i="64"/>
  <c r="CK64" i="64" s="1"/>
  <c r="CM814" i="4"/>
  <c r="CM813" i="4"/>
  <c r="CM816" i="4"/>
  <c r="M322" i="4"/>
  <c r="CO754" i="4"/>
  <c r="I754" i="4" s="1"/>
  <c r="CO755" i="4"/>
  <c r="I755" i="4" s="1"/>
  <c r="AN34" i="11"/>
  <c r="AO943" i="4"/>
  <c r="AO945" i="4" s="1"/>
  <c r="AO946" i="4" s="1"/>
  <c r="I719" i="4"/>
  <c r="L365" i="4"/>
  <c r="L434" i="4"/>
  <c r="M435" i="4"/>
  <c r="M323" i="4"/>
  <c r="N323" i="4" s="1"/>
  <c r="O323" i="4" s="1"/>
  <c r="CI944" i="4"/>
  <c r="CI936" i="4"/>
  <c r="CI897" i="4"/>
  <c r="CI70" i="11"/>
  <c r="CI1042" i="4"/>
  <c r="CI1242" i="4"/>
  <c r="CI1216" i="4"/>
  <c r="I1039" i="4"/>
  <c r="I1040" i="4"/>
  <c r="AE1219" i="4"/>
  <c r="AE41" i="66"/>
  <c r="L168" i="15" s="1"/>
  <c r="AE1049" i="4"/>
  <c r="AE1047" i="4"/>
  <c r="AE1244" i="4"/>
  <c r="AE76" i="11"/>
  <c r="AE1258" i="4"/>
  <c r="AE66" i="62"/>
  <c r="P76" i="67"/>
  <c r="CN756" i="4"/>
  <c r="CN758" i="4"/>
  <c r="CN757" i="4"/>
  <c r="CN759" i="4"/>
  <c r="CH969" i="4"/>
  <c r="CI970" i="4"/>
  <c r="CG45" i="11"/>
  <c r="CG46" i="11" s="1"/>
  <c r="CG993" i="4"/>
  <c r="M320" i="4"/>
  <c r="L423" i="4"/>
  <c r="L355" i="4"/>
  <c r="M424" i="4"/>
  <c r="CO82" i="11"/>
  <c r="I81" i="11"/>
  <c r="M326" i="4"/>
  <c r="N326" i="4" s="1"/>
  <c r="O326" i="4" s="1"/>
  <c r="CO296" i="4"/>
  <c r="I896" i="4"/>
  <c r="AD70" i="67"/>
  <c r="CL824" i="4"/>
  <c r="CO32" i="66"/>
  <c r="I32" i="66" s="1"/>
  <c r="I33" i="66"/>
  <c r="P35" i="67"/>
  <c r="P33" i="67" s="1"/>
  <c r="AE33" i="11"/>
  <c r="AE1387" i="4" s="1"/>
  <c r="I749" i="4"/>
  <c r="CO879" i="4"/>
  <c r="I879" i="4" s="1"/>
  <c r="G86" i="15" s="1"/>
  <c r="CK119" i="64"/>
  <c r="CK65" i="64" s="1"/>
  <c r="CK116" i="64"/>
  <c r="AD39" i="13"/>
  <c r="CL112" i="64"/>
  <c r="CL777" i="4"/>
  <c r="M321" i="4"/>
  <c r="N321" i="4" s="1"/>
  <c r="BI19" i="11"/>
  <c r="BJ927" i="4"/>
  <c r="AG979" i="4"/>
  <c r="AF985" i="4"/>
  <c r="Q82" i="67"/>
  <c r="I82" i="67" s="1"/>
  <c r="I81" i="67"/>
  <c r="CK777" i="4"/>
  <c r="CN765" i="4"/>
  <c r="CN768" i="4"/>
  <c r="CN767" i="4"/>
  <c r="CN766" i="4"/>
  <c r="M327" i="4"/>
  <c r="N327" i="4" s="1"/>
  <c r="CO763" i="4"/>
  <c r="CO764" i="4"/>
  <c r="CO762" i="4"/>
  <c r="I750" i="4"/>
  <c r="AF106" i="64"/>
  <c r="AF21" i="66"/>
  <c r="S906" i="4"/>
  <c r="S914" i="4" s="1"/>
  <c r="CG906" i="4"/>
  <c r="CG914" i="4" s="1"/>
  <c r="AE906" i="4"/>
  <c r="AE914" i="4" s="1"/>
  <c r="BA906" i="4"/>
  <c r="BA914" i="4" s="1"/>
  <c r="BR906" i="4"/>
  <c r="BR914" i="4" s="1"/>
  <c r="CH906" i="4"/>
  <c r="CH914" i="4" s="1"/>
  <c r="CN906" i="4"/>
  <c r="CN914" i="4" s="1"/>
  <c r="CE906" i="4"/>
  <c r="CE914" i="4" s="1"/>
  <c r="BM906" i="4"/>
  <c r="BM914" i="4" s="1"/>
  <c r="CM906" i="4"/>
  <c r="CM914" i="4" s="1"/>
  <c r="BI906" i="4"/>
  <c r="BI914" i="4" s="1"/>
  <c r="CC906" i="4"/>
  <c r="CC914" i="4" s="1"/>
  <c r="BD906" i="4"/>
  <c r="BD914" i="4" s="1"/>
  <c r="AH906" i="4"/>
  <c r="AH914" i="4" s="1"/>
  <c r="M906" i="4"/>
  <c r="M914" i="4" s="1"/>
  <c r="BF906" i="4"/>
  <c r="BF914" i="4" s="1"/>
  <c r="CA906" i="4"/>
  <c r="CA914" i="4" s="1"/>
  <c r="AA906" i="4"/>
  <c r="AA914" i="4" s="1"/>
  <c r="AC906" i="4"/>
  <c r="AC914" i="4" s="1"/>
  <c r="BE906" i="4"/>
  <c r="BE914" i="4" s="1"/>
  <c r="Y906" i="4"/>
  <c r="Y914" i="4" s="1"/>
  <c r="AD906" i="4"/>
  <c r="AD914" i="4" s="1"/>
  <c r="BT906" i="4"/>
  <c r="BT914" i="4" s="1"/>
  <c r="BK906" i="4"/>
  <c r="BK914" i="4" s="1"/>
  <c r="CL906" i="4"/>
  <c r="CL914" i="4" s="1"/>
  <c r="CK906" i="4"/>
  <c r="CK914" i="4" s="1"/>
  <c r="CF906" i="4"/>
  <c r="CF914" i="4" s="1"/>
  <c r="AB906" i="4"/>
  <c r="AB914" i="4" s="1"/>
  <c r="W906" i="4"/>
  <c r="W914" i="4" s="1"/>
  <c r="CJ906" i="4"/>
  <c r="CJ914" i="4" s="1"/>
  <c r="AZ906" i="4"/>
  <c r="AZ914" i="4" s="1"/>
  <c r="AQ906" i="4"/>
  <c r="AQ914" i="4" s="1"/>
  <c r="AT906" i="4"/>
  <c r="AT914" i="4" s="1"/>
  <c r="Q906" i="4"/>
  <c r="Q914" i="4" s="1"/>
  <c r="BU906" i="4"/>
  <c r="BU914" i="4" s="1"/>
  <c r="BS906" i="4"/>
  <c r="BS914" i="4" s="1"/>
  <c r="AP906" i="4"/>
  <c r="AP914" i="4" s="1"/>
  <c r="BC906" i="4"/>
  <c r="BC914" i="4" s="1"/>
  <c r="AF906" i="4"/>
  <c r="AF914" i="4" s="1"/>
  <c r="AK906" i="4"/>
  <c r="AK914" i="4" s="1"/>
  <c r="L906" i="4"/>
  <c r="BB906" i="4"/>
  <c r="BB914" i="4" s="1"/>
  <c r="BW906" i="4"/>
  <c r="BW914" i="4" s="1"/>
  <c r="Z906" i="4"/>
  <c r="Z914" i="4" s="1"/>
  <c r="P906" i="4"/>
  <c r="P914" i="4" s="1"/>
  <c r="CI906" i="4"/>
  <c r="CI914" i="4" s="1"/>
  <c r="AV906" i="4"/>
  <c r="AV914" i="4" s="1"/>
  <c r="BG906" i="4"/>
  <c r="BG914" i="4" s="1"/>
  <c r="BQ906" i="4"/>
  <c r="BQ914" i="4" s="1"/>
  <c r="CO906" i="4"/>
  <c r="CO914" i="4" s="1"/>
  <c r="CO298" i="4" s="1"/>
  <c r="BY906" i="4"/>
  <c r="BY914" i="4" s="1"/>
  <c r="N906" i="4"/>
  <c r="N914" i="4" s="1"/>
  <c r="AM906" i="4"/>
  <c r="AM914" i="4" s="1"/>
  <c r="BZ906" i="4"/>
  <c r="BZ914" i="4" s="1"/>
  <c r="BN906" i="4"/>
  <c r="BN914" i="4" s="1"/>
  <c r="AJ906" i="4"/>
  <c r="AJ914" i="4" s="1"/>
  <c r="AW906" i="4"/>
  <c r="AW914" i="4" s="1"/>
  <c r="AX906" i="4"/>
  <c r="AX914" i="4" s="1"/>
  <c r="BX906" i="4"/>
  <c r="BX914" i="4" s="1"/>
  <c r="AL906" i="4"/>
  <c r="AL914" i="4" s="1"/>
  <c r="BJ906" i="4"/>
  <c r="BJ914" i="4" s="1"/>
  <c r="CD906" i="4"/>
  <c r="CD914" i="4" s="1"/>
  <c r="AR906" i="4"/>
  <c r="AR914" i="4" s="1"/>
  <c r="AS906" i="4"/>
  <c r="AS914" i="4" s="1"/>
  <c r="X906" i="4"/>
  <c r="X914" i="4" s="1"/>
  <c r="BV906" i="4"/>
  <c r="BV914" i="4" s="1"/>
  <c r="AI906" i="4"/>
  <c r="AI914" i="4" s="1"/>
  <c r="T906" i="4"/>
  <c r="T914" i="4" s="1"/>
  <c r="R906" i="4"/>
  <c r="R914" i="4" s="1"/>
  <c r="AG906" i="4"/>
  <c r="AG914" i="4" s="1"/>
  <c r="AU906" i="4"/>
  <c r="AU914" i="4" s="1"/>
  <c r="CB906" i="4"/>
  <c r="CB914" i="4" s="1"/>
  <c r="BH906" i="4"/>
  <c r="BH914" i="4" s="1"/>
  <c r="BL906" i="4"/>
  <c r="BL914" i="4" s="1"/>
  <c r="BO906" i="4"/>
  <c r="BO914" i="4" s="1"/>
  <c r="V906" i="4"/>
  <c r="V914" i="4" s="1"/>
  <c r="AY906" i="4"/>
  <c r="AY914" i="4" s="1"/>
  <c r="AO906" i="4"/>
  <c r="AO914" i="4" s="1"/>
  <c r="U906" i="4"/>
  <c r="U914" i="4" s="1"/>
  <c r="BP906" i="4"/>
  <c r="BP914" i="4" s="1"/>
  <c r="O906" i="4"/>
  <c r="O914" i="4" s="1"/>
  <c r="AN906" i="4"/>
  <c r="AN914" i="4" s="1"/>
  <c r="AO971" i="4"/>
  <c r="AO105" i="64" s="1"/>
  <c r="AO63" i="64" s="1"/>
  <c r="CL81" i="64"/>
  <c r="CL73" i="64"/>
  <c r="AM939" i="4"/>
  <c r="AM951" i="4" s="1"/>
  <c r="AM18" i="11"/>
  <c r="AN935" i="4"/>
  <c r="R18" i="67"/>
  <c r="AM950" i="4"/>
  <c r="M325" i="4"/>
  <c r="L375" i="4"/>
  <c r="L445" i="4"/>
  <c r="M446" i="4"/>
  <c r="AE69" i="67" l="1"/>
  <c r="CM774" i="4"/>
  <c r="CM113" i="64" s="1"/>
  <c r="CI980" i="4"/>
  <c r="CM775" i="4"/>
  <c r="CM114" i="64" s="1"/>
  <c r="CM773" i="4"/>
  <c r="CM112" i="64" s="1"/>
  <c r="CM776" i="4"/>
  <c r="CM115" i="64" s="1"/>
  <c r="CM992" i="4"/>
  <c r="CM1215" i="4"/>
  <c r="AE13" i="72"/>
  <c r="CM69" i="11"/>
  <c r="CM44" i="11"/>
  <c r="CM1050" i="4"/>
  <c r="CM684" i="4"/>
  <c r="CM956" i="4" s="1"/>
  <c r="CM928" i="4"/>
  <c r="CM1257" i="4"/>
  <c r="CJ819" i="4"/>
  <c r="CJ825" i="4" s="1"/>
  <c r="CJ826" i="4" s="1"/>
  <c r="CJ893" i="4" s="1"/>
  <c r="CJ1216" i="4" s="1"/>
  <c r="CM796" i="4"/>
  <c r="CM824" i="4" s="1"/>
  <c r="I762" i="4"/>
  <c r="CO629" i="4"/>
  <c r="I629" i="4" s="1"/>
  <c r="CO751" i="4"/>
  <c r="CO772" i="4" s="1"/>
  <c r="CO111" i="64" s="1"/>
  <c r="CO676" i="4"/>
  <c r="CO680" i="4" s="1"/>
  <c r="I623" i="4"/>
  <c r="CO795" i="4"/>
  <c r="CO792" i="4"/>
  <c r="CO794" i="4"/>
  <c r="I789" i="4"/>
  <c r="CO793" i="4"/>
  <c r="CN682" i="4"/>
  <c r="CN684" i="4" s="1"/>
  <c r="CN956" i="4" s="1"/>
  <c r="CN771" i="4"/>
  <c r="I763" i="4"/>
  <c r="CN796" i="4"/>
  <c r="CN824" i="4" s="1"/>
  <c r="CM118" i="64"/>
  <c r="P326" i="4"/>
  <c r="Q326" i="4" s="1"/>
  <c r="R326" i="4" s="1"/>
  <c r="S326" i="4" s="1"/>
  <c r="T326" i="4" s="1"/>
  <c r="U326" i="4" s="1"/>
  <c r="V326" i="4" s="1"/>
  <c r="W326" i="4" s="1"/>
  <c r="X326" i="4" s="1"/>
  <c r="Y326" i="4" s="1"/>
  <c r="Z326" i="4" s="1"/>
  <c r="AA326" i="4" s="1"/>
  <c r="AB326" i="4" s="1"/>
  <c r="AC326" i="4" s="1"/>
  <c r="AD326" i="4" s="1"/>
  <c r="AE326" i="4" s="1"/>
  <c r="AF326" i="4" s="1"/>
  <c r="AG326" i="4" s="1"/>
  <c r="AH326" i="4" s="1"/>
  <c r="AI326" i="4" s="1"/>
  <c r="AJ326" i="4" s="1"/>
  <c r="AK326" i="4" s="1"/>
  <c r="AL326" i="4" s="1"/>
  <c r="AM326" i="4" s="1"/>
  <c r="AN326" i="4" s="1"/>
  <c r="AO326" i="4" s="1"/>
  <c r="AP326" i="4" s="1"/>
  <c r="AQ326" i="4" s="1"/>
  <c r="AR326" i="4" s="1"/>
  <c r="AS326" i="4" s="1"/>
  <c r="AT326" i="4" s="1"/>
  <c r="AU326" i="4" s="1"/>
  <c r="AV326" i="4" s="1"/>
  <c r="AW326" i="4" s="1"/>
  <c r="AX326" i="4" s="1"/>
  <c r="AY326" i="4" s="1"/>
  <c r="AZ326" i="4" s="1"/>
  <c r="BA326" i="4" s="1"/>
  <c r="BB326" i="4" s="1"/>
  <c r="BC326" i="4" s="1"/>
  <c r="BD326" i="4" s="1"/>
  <c r="BE326" i="4" s="1"/>
  <c r="BF326" i="4" s="1"/>
  <c r="BG326" i="4" s="1"/>
  <c r="BH326" i="4" s="1"/>
  <c r="BI326" i="4" s="1"/>
  <c r="BJ326" i="4" s="1"/>
  <c r="BK326" i="4" s="1"/>
  <c r="BL326" i="4" s="1"/>
  <c r="BM326" i="4" s="1"/>
  <c r="BN326" i="4" s="1"/>
  <c r="BO326" i="4" s="1"/>
  <c r="BP326" i="4" s="1"/>
  <c r="BQ326" i="4" s="1"/>
  <c r="BR326" i="4" s="1"/>
  <c r="BS326" i="4" s="1"/>
  <c r="BT326" i="4" s="1"/>
  <c r="BU326" i="4" s="1"/>
  <c r="BV326" i="4" s="1"/>
  <c r="BW326" i="4" s="1"/>
  <c r="BX326" i="4" s="1"/>
  <c r="BY326" i="4" s="1"/>
  <c r="BZ326" i="4" s="1"/>
  <c r="CA326" i="4" s="1"/>
  <c r="CB326" i="4" s="1"/>
  <c r="CC326" i="4" s="1"/>
  <c r="CD326" i="4" s="1"/>
  <c r="CE326" i="4" s="1"/>
  <c r="CF326" i="4" s="1"/>
  <c r="CG326" i="4" s="1"/>
  <c r="CH326" i="4" s="1"/>
  <c r="CI326" i="4" s="1"/>
  <c r="CJ326" i="4" s="1"/>
  <c r="CK326" i="4" s="1"/>
  <c r="CL326" i="4" s="1"/>
  <c r="CM326" i="4" s="1"/>
  <c r="CN326" i="4" s="1"/>
  <c r="CO326" i="4" s="1"/>
  <c r="I326" i="4" s="1"/>
  <c r="N325" i="4"/>
  <c r="N375" i="4" s="1"/>
  <c r="M445" i="4"/>
  <c r="O327" i="4"/>
  <c r="O365" i="4" s="1"/>
  <c r="O321" i="4"/>
  <c r="P321" i="4" s="1"/>
  <c r="BE298" i="4"/>
  <c r="BE42" i="66"/>
  <c r="P323" i="4"/>
  <c r="Q323" i="4" s="1"/>
  <c r="CO758" i="4"/>
  <c r="CO759" i="4"/>
  <c r="I759" i="4" s="1"/>
  <c r="CO756" i="4"/>
  <c r="I756" i="4" s="1"/>
  <c r="CO757" i="4"/>
  <c r="I757" i="4" s="1"/>
  <c r="CI969" i="4"/>
  <c r="CJ970" i="4"/>
  <c r="CO810" i="4"/>
  <c r="CO685" i="4"/>
  <c r="I685" i="4" s="1"/>
  <c r="I627" i="4"/>
  <c r="V298" i="4"/>
  <c r="V42" i="66"/>
  <c r="BS298" i="4"/>
  <c r="BS42" i="66"/>
  <c r="BO298" i="4"/>
  <c r="BO42" i="66"/>
  <c r="AI298" i="4"/>
  <c r="AI42" i="66"/>
  <c r="BX298" i="4"/>
  <c r="BX42" i="66"/>
  <c r="BY298" i="4"/>
  <c r="BY42" i="66"/>
  <c r="BW298" i="4"/>
  <c r="BW42" i="66"/>
  <c r="BU298" i="4"/>
  <c r="BU42" i="66"/>
  <c r="CF298" i="4"/>
  <c r="CF42" i="66"/>
  <c r="AC298" i="4"/>
  <c r="AC42" i="66"/>
  <c r="BI298" i="4"/>
  <c r="BI42" i="66"/>
  <c r="AE298" i="4"/>
  <c r="AE42" i="66"/>
  <c r="CL120" i="64"/>
  <c r="CL116" i="64"/>
  <c r="CK73" i="64"/>
  <c r="CK81" i="64"/>
  <c r="L356" i="4"/>
  <c r="L357" i="4" s="1"/>
  <c r="L358" i="4" s="1"/>
  <c r="L359" i="4" s="1"/>
  <c r="M354" i="4" s="1"/>
  <c r="CN775" i="4"/>
  <c r="CN114" i="64" s="1"/>
  <c r="CN776" i="4"/>
  <c r="CN115" i="64" s="1"/>
  <c r="CN773" i="4"/>
  <c r="CN112" i="64" s="1"/>
  <c r="CN774" i="4"/>
  <c r="CN113" i="64" s="1"/>
  <c r="O435" i="4"/>
  <c r="N365" i="4"/>
  <c r="CC298" i="4"/>
  <c r="CC42" i="66"/>
  <c r="AN298" i="4"/>
  <c r="AN42" i="66"/>
  <c r="BL298" i="4"/>
  <c r="BL42" i="66"/>
  <c r="AX298" i="4"/>
  <c r="AX42" i="66"/>
  <c r="BB298" i="4"/>
  <c r="BB42" i="66"/>
  <c r="Q298" i="4"/>
  <c r="Q42" i="66"/>
  <c r="CK298" i="4"/>
  <c r="CK42" i="66"/>
  <c r="AA298" i="4"/>
  <c r="AA42" i="66"/>
  <c r="CM298" i="4"/>
  <c r="CM42" i="66"/>
  <c r="CG298" i="4"/>
  <c r="CG42" i="66"/>
  <c r="CO1310" i="4"/>
  <c r="I1310" i="4" s="1"/>
  <c r="CO1345" i="4"/>
  <c r="I82" i="11"/>
  <c r="L425" i="4"/>
  <c r="L426" i="4" s="1"/>
  <c r="L427" i="4" s="1"/>
  <c r="L428" i="4" s="1"/>
  <c r="M422" i="4" s="1"/>
  <c r="M365" i="4"/>
  <c r="M434" i="4"/>
  <c r="N435" i="4"/>
  <c r="N434" i="4" s="1"/>
  <c r="N322" i="4"/>
  <c r="O322" i="4" s="1"/>
  <c r="AN937" i="4"/>
  <c r="AN938" i="4" s="1"/>
  <c r="AN939" i="4" s="1"/>
  <c r="AN951" i="4" s="1"/>
  <c r="Z298" i="4"/>
  <c r="Z42" i="66"/>
  <c r="CO766" i="4"/>
  <c r="I766" i="4" s="1"/>
  <c r="CO768" i="4"/>
  <c r="I768" i="4" s="1"/>
  <c r="CO765" i="4"/>
  <c r="I765" i="4" s="1"/>
  <c r="CO767" i="4"/>
  <c r="I767" i="4" s="1"/>
  <c r="I764" i="4"/>
  <c r="AM1262" i="4"/>
  <c r="AM23" i="66"/>
  <c r="AM77" i="11"/>
  <c r="AM1220" i="4"/>
  <c r="AM43" i="66"/>
  <c r="AM1245" i="4"/>
  <c r="AM1048" i="4"/>
  <c r="R77" i="67"/>
  <c r="BV298" i="4"/>
  <c r="BV42" i="66"/>
  <c r="L447" i="4"/>
  <c r="O298" i="4"/>
  <c r="O42" i="66"/>
  <c r="BH298" i="4"/>
  <c r="BH42" i="66"/>
  <c r="X298" i="4"/>
  <c r="X42" i="66"/>
  <c r="AW298" i="4"/>
  <c r="AW42" i="66"/>
  <c r="BQ298" i="4"/>
  <c r="BQ42" i="66"/>
  <c r="L914" i="4"/>
  <c r="I906" i="4"/>
  <c r="AT298" i="4"/>
  <c r="AT42" i="66"/>
  <c r="CL298" i="4"/>
  <c r="CL42" i="66"/>
  <c r="CA298" i="4"/>
  <c r="CA42" i="66"/>
  <c r="BM298" i="4"/>
  <c r="BM42" i="66"/>
  <c r="S298" i="4"/>
  <c r="S42" i="66"/>
  <c r="N424" i="4"/>
  <c r="M355" i="4"/>
  <c r="M423" i="4"/>
  <c r="CN119" i="64"/>
  <c r="CN65" i="64" s="1"/>
  <c r="CJ980" i="4"/>
  <c r="CJ961" i="4"/>
  <c r="CK80" i="64"/>
  <c r="CK72" i="64"/>
  <c r="AL298" i="4"/>
  <c r="AL42" i="66"/>
  <c r="L376" i="4"/>
  <c r="AJ298" i="4"/>
  <c r="AJ42" i="66"/>
  <c r="BG298" i="4"/>
  <c r="BG42" i="66"/>
  <c r="AK298" i="4"/>
  <c r="AK42" i="66"/>
  <c r="AQ298" i="4"/>
  <c r="AQ42" i="66"/>
  <c r="BK298" i="4"/>
  <c r="BK42" i="66"/>
  <c r="BF298" i="4"/>
  <c r="BF42" i="66"/>
  <c r="CE298" i="4"/>
  <c r="CE42" i="66"/>
  <c r="CK823" i="4"/>
  <c r="CK811" i="4"/>
  <c r="CK817" i="4" s="1"/>
  <c r="AF35" i="11"/>
  <c r="AF33" i="11" s="1"/>
  <c r="AF1387" i="4" s="1"/>
  <c r="AF20" i="11"/>
  <c r="AF987" i="4"/>
  <c r="CO42" i="66"/>
  <c r="L436" i="4"/>
  <c r="L437" i="4" s="1"/>
  <c r="L438" i="4" s="1"/>
  <c r="L439" i="4" s="1"/>
  <c r="M433" i="4" s="1"/>
  <c r="CM73" i="64"/>
  <c r="CM81" i="64"/>
  <c r="I65" i="64"/>
  <c r="AB298" i="4"/>
  <c r="AB42" i="66"/>
  <c r="AS298" i="4"/>
  <c r="AS42" i="66"/>
  <c r="N446" i="4"/>
  <c r="M375" i="4"/>
  <c r="AO972" i="4"/>
  <c r="AP968" i="4" s="1"/>
  <c r="U298" i="4"/>
  <c r="U42" i="66"/>
  <c r="AU298" i="4"/>
  <c r="AU42" i="66"/>
  <c r="AR298" i="4"/>
  <c r="AR42" i="66"/>
  <c r="BN298" i="4"/>
  <c r="BN42" i="66"/>
  <c r="AV298" i="4"/>
  <c r="AV42" i="66"/>
  <c r="AF298" i="4"/>
  <c r="AF42" i="66"/>
  <c r="AZ298" i="4"/>
  <c r="AZ42" i="66"/>
  <c r="BT298" i="4"/>
  <c r="BT42" i="66"/>
  <c r="M298" i="4"/>
  <c r="M42" i="66"/>
  <c r="CN298" i="4"/>
  <c r="CN42" i="66"/>
  <c r="AF35" i="64"/>
  <c r="AF36" i="64"/>
  <c r="AG982" i="4"/>
  <c r="AG983" i="4" s="1"/>
  <c r="AI981" i="4"/>
  <c r="I296" i="4"/>
  <c r="CO304" i="4"/>
  <c r="CI993" i="4"/>
  <c r="CI45" i="11"/>
  <c r="CI46" i="11" s="1"/>
  <c r="AD45" i="67"/>
  <c r="AD46" i="67" s="1"/>
  <c r="L366" i="4"/>
  <c r="L367" i="4" s="1"/>
  <c r="L368" i="4" s="1"/>
  <c r="L369" i="4" s="1"/>
  <c r="M364" i="4" s="1"/>
  <c r="T298" i="4"/>
  <c r="T42" i="66"/>
  <c r="BA298" i="4"/>
  <c r="BA42" i="66"/>
  <c r="BP298" i="4"/>
  <c r="BP42" i="66"/>
  <c r="AO79" i="64"/>
  <c r="AO71" i="64"/>
  <c r="AO298" i="4"/>
  <c r="AO42" i="66"/>
  <c r="AG298" i="4"/>
  <c r="AG42" i="66"/>
  <c r="CD298" i="4"/>
  <c r="CD42" i="66"/>
  <c r="BZ298" i="4"/>
  <c r="BZ42" i="66"/>
  <c r="CI298" i="4"/>
  <c r="CI42" i="66"/>
  <c r="BC298" i="4"/>
  <c r="BC42" i="66"/>
  <c r="CJ298" i="4"/>
  <c r="CJ42" i="66"/>
  <c r="AD298" i="4"/>
  <c r="AD42" i="66"/>
  <c r="AH298" i="4"/>
  <c r="AH42" i="66"/>
  <c r="CH298" i="4"/>
  <c r="CH42" i="66"/>
  <c r="AO947" i="4"/>
  <c r="AO34" i="11"/>
  <c r="AP943" i="4"/>
  <c r="AP945" i="4" s="1"/>
  <c r="AP946" i="4" s="1"/>
  <c r="I16" i="72"/>
  <c r="N298" i="4"/>
  <c r="N42" i="66"/>
  <c r="CL823" i="4"/>
  <c r="CL811" i="4"/>
  <c r="CL817" i="4" s="1"/>
  <c r="CB298" i="4"/>
  <c r="CB42" i="66"/>
  <c r="AY298" i="4"/>
  <c r="AY42" i="66"/>
  <c r="R298" i="4"/>
  <c r="R42" i="66"/>
  <c r="BJ298" i="4"/>
  <c r="BJ42" i="66"/>
  <c r="AM298" i="4"/>
  <c r="AM42" i="66"/>
  <c r="P298" i="4"/>
  <c r="P42" i="66"/>
  <c r="AP298" i="4"/>
  <c r="AP42" i="66"/>
  <c r="W298" i="4"/>
  <c r="W42" i="66"/>
  <c r="Y298" i="4"/>
  <c r="Y42" i="66"/>
  <c r="BD298" i="4"/>
  <c r="BD42" i="66"/>
  <c r="BR298" i="4"/>
  <c r="BR42" i="66"/>
  <c r="BJ929" i="4"/>
  <c r="BJ930" i="4" s="1"/>
  <c r="BJ931" i="4" s="1"/>
  <c r="CK118" i="64"/>
  <c r="CK121" i="64" s="1"/>
  <c r="N320" i="4"/>
  <c r="CN816" i="4"/>
  <c r="CN813" i="4"/>
  <c r="CN814" i="4"/>
  <c r="CM120" i="64" l="1"/>
  <c r="CM64" i="64" s="1"/>
  <c r="CM80" i="64" s="1"/>
  <c r="CJ1242" i="4"/>
  <c r="CJ897" i="4"/>
  <c r="CJ993" i="4" s="1"/>
  <c r="CJ70" i="11"/>
  <c r="CJ1042" i="4"/>
  <c r="CJ936" i="4"/>
  <c r="CM777" i="4"/>
  <c r="CM823" i="4" s="1"/>
  <c r="CJ944" i="4"/>
  <c r="CM116" i="64"/>
  <c r="CN992" i="4"/>
  <c r="CN1215" i="4"/>
  <c r="CN1257" i="4"/>
  <c r="CN928" i="4"/>
  <c r="I676" i="4"/>
  <c r="CO630" i="4"/>
  <c r="CO809" i="4" s="1"/>
  <c r="I751" i="4"/>
  <c r="CO771" i="4"/>
  <c r="I771" i="4" s="1"/>
  <c r="CO796" i="4"/>
  <c r="CO824" i="4" s="1"/>
  <c r="I824" i="4" s="1"/>
  <c r="CN1050" i="4"/>
  <c r="CN44" i="11"/>
  <c r="CN69" i="11"/>
  <c r="O446" i="4"/>
  <c r="N445" i="4"/>
  <c r="I73" i="64"/>
  <c r="M425" i="4"/>
  <c r="M426" i="4" s="1"/>
  <c r="M427" i="4" s="1"/>
  <c r="M428" i="4" s="1"/>
  <c r="N422" i="4" s="1"/>
  <c r="CN118" i="64"/>
  <c r="CN116" i="64"/>
  <c r="I81" i="64"/>
  <c r="O325" i="4"/>
  <c r="P446" i="4" s="1"/>
  <c r="O434" i="4"/>
  <c r="J169" i="15"/>
  <c r="P435" i="4"/>
  <c r="P327" i="4"/>
  <c r="P365" i="4" s="1"/>
  <c r="CO119" i="64"/>
  <c r="CO118" i="64" s="1"/>
  <c r="I111" i="64"/>
  <c r="AN23" i="66"/>
  <c r="AN77" i="11"/>
  <c r="AN1245" i="4"/>
  <c r="AN1220" i="4"/>
  <c r="AN1262" i="4"/>
  <c r="AN43" i="66"/>
  <c r="AN1048" i="4"/>
  <c r="AG985" i="4"/>
  <c r="AH979" i="4"/>
  <c r="M376" i="4"/>
  <c r="N376" i="4" s="1"/>
  <c r="L377" i="4"/>
  <c r="L378" i="4" s="1"/>
  <c r="L379" i="4" s="1"/>
  <c r="M374" i="4" s="1"/>
  <c r="M436" i="4"/>
  <c r="M437" i="4" s="1"/>
  <c r="M438" i="4" s="1"/>
  <c r="M439" i="4" s="1"/>
  <c r="N433" i="4" s="1"/>
  <c r="S47" i="13"/>
  <c r="I1345" i="4"/>
  <c r="T12" i="13"/>
  <c r="V47" i="13"/>
  <c r="W47" i="13"/>
  <c r="Y47" i="13"/>
  <c r="AB47" i="13"/>
  <c r="AC47" i="13"/>
  <c r="AD47" i="13"/>
  <c r="AE47" i="13"/>
  <c r="AF12" i="13"/>
  <c r="AF47" i="13"/>
  <c r="CN120" i="64"/>
  <c r="CN64" i="64" s="1"/>
  <c r="Q321" i="4"/>
  <c r="R321" i="4" s="1"/>
  <c r="S321" i="4" s="1"/>
  <c r="BK927" i="4"/>
  <c r="BJ19" i="11"/>
  <c r="CL895" i="4"/>
  <c r="CL957" i="4" s="1"/>
  <c r="CL819" i="4"/>
  <c r="CL825" i="4" s="1"/>
  <c r="CL826" i="4" s="1"/>
  <c r="CL893" i="4" s="1"/>
  <c r="AP971" i="4"/>
  <c r="AP105" i="64" s="1"/>
  <c r="AP63" i="64" s="1"/>
  <c r="M356" i="4"/>
  <c r="M357" i="4" s="1"/>
  <c r="M358" i="4" s="1"/>
  <c r="M359" i="4" s="1"/>
  <c r="N354" i="4" s="1"/>
  <c r="M366" i="4"/>
  <c r="M367" i="4" s="1"/>
  <c r="M368" i="4" s="1"/>
  <c r="M369" i="4" s="1"/>
  <c r="N364" i="4" s="1"/>
  <c r="I758" i="4"/>
  <c r="CO815" i="4"/>
  <c r="I815" i="4" s="1"/>
  <c r="I810" i="4"/>
  <c r="AF1244" i="4"/>
  <c r="AF76" i="11"/>
  <c r="AF1049" i="4"/>
  <c r="AF41" i="66"/>
  <c r="AF1219" i="4"/>
  <c r="AF1047" i="4"/>
  <c r="AF1258" i="4"/>
  <c r="AF66" i="62"/>
  <c r="CL64" i="64"/>
  <c r="CL121" i="64"/>
  <c r="AG21" i="66"/>
  <c r="AG106" i="64"/>
  <c r="AO935" i="4"/>
  <c r="AO937" i="4" s="1"/>
  <c r="AO938" i="4" s="1"/>
  <c r="AN18" i="11"/>
  <c r="AN950" i="4"/>
  <c r="AP947" i="4"/>
  <c r="AQ943" i="4"/>
  <c r="AP34" i="11"/>
  <c r="I169" i="15"/>
  <c r="AF37" i="64"/>
  <c r="AF51" i="64" s="1"/>
  <c r="CJ969" i="4"/>
  <c r="CK970" i="4"/>
  <c r="K169" i="15"/>
  <c r="P322" i="4"/>
  <c r="Q322" i="4" s="1"/>
  <c r="M169" i="15"/>
  <c r="L169" i="15"/>
  <c r="CN73" i="64"/>
  <c r="CN81" i="64"/>
  <c r="R323" i="4"/>
  <c r="CO889" i="4"/>
  <c r="I680" i="4"/>
  <c r="G79" i="15" s="1"/>
  <c r="M447" i="4"/>
  <c r="L448" i="4"/>
  <c r="O320" i="4"/>
  <c r="N423" i="4"/>
  <c r="N355" i="4"/>
  <c r="O424" i="4"/>
  <c r="CO776" i="4"/>
  <c r="I776" i="4" s="1"/>
  <c r="CO773" i="4"/>
  <c r="I773" i="4" s="1"/>
  <c r="CO775" i="4"/>
  <c r="I775" i="4" s="1"/>
  <c r="CO774" i="4"/>
  <c r="I774" i="4" s="1"/>
  <c r="I772" i="4"/>
  <c r="CK819" i="4"/>
  <c r="CK825" i="4" s="1"/>
  <c r="CK826" i="4" s="1"/>
  <c r="CK893" i="4" s="1"/>
  <c r="CK895" i="4"/>
  <c r="CK957" i="4" s="1"/>
  <c r="L298" i="4"/>
  <c r="I914" i="4"/>
  <c r="L42" i="66"/>
  <c r="CN777" i="4"/>
  <c r="CM72" i="64" l="1"/>
  <c r="CM121" i="64"/>
  <c r="CJ45" i="11"/>
  <c r="CJ46" i="11" s="1"/>
  <c r="CM811" i="4"/>
  <c r="CM817" i="4" s="1"/>
  <c r="CM819" i="4" s="1"/>
  <c r="CM825" i="4" s="1"/>
  <c r="CM826" i="4" s="1"/>
  <c r="CM893" i="4" s="1"/>
  <c r="AE70" i="67" s="1"/>
  <c r="CO682" i="4"/>
  <c r="CO44" i="11" s="1"/>
  <c r="I630" i="4"/>
  <c r="E596" i="4" s="1"/>
  <c r="Q435" i="4"/>
  <c r="I796" i="4"/>
  <c r="N425" i="4"/>
  <c r="N426" i="4" s="1"/>
  <c r="N427" i="4" s="1"/>
  <c r="N428" i="4" s="1"/>
  <c r="O422" i="4" s="1"/>
  <c r="I12" i="13"/>
  <c r="T321" i="4"/>
  <c r="U321" i="4" s="1"/>
  <c r="V321" i="4" s="1"/>
  <c r="W321" i="4" s="1"/>
  <c r="X321" i="4" s="1"/>
  <c r="Y321" i="4" s="1"/>
  <c r="Z321" i="4" s="1"/>
  <c r="AA321" i="4" s="1"/>
  <c r="AB321" i="4" s="1"/>
  <c r="AC321" i="4" s="1"/>
  <c r="AD321" i="4" s="1"/>
  <c r="AE321" i="4" s="1"/>
  <c r="AF321" i="4" s="1"/>
  <c r="AG321" i="4" s="1"/>
  <c r="AH321" i="4" s="1"/>
  <c r="AI321" i="4" s="1"/>
  <c r="AJ321" i="4" s="1"/>
  <c r="AK321" i="4" s="1"/>
  <c r="AL321" i="4" s="1"/>
  <c r="AM321" i="4" s="1"/>
  <c r="AN321" i="4" s="1"/>
  <c r="AO321" i="4" s="1"/>
  <c r="AP321" i="4" s="1"/>
  <c r="AQ321" i="4" s="1"/>
  <c r="AR321" i="4" s="1"/>
  <c r="AS321" i="4" s="1"/>
  <c r="AT321" i="4" s="1"/>
  <c r="AU321" i="4" s="1"/>
  <c r="AV321" i="4" s="1"/>
  <c r="AW321" i="4" s="1"/>
  <c r="AX321" i="4" s="1"/>
  <c r="AY321" i="4" s="1"/>
  <c r="AZ321" i="4" s="1"/>
  <c r="BA321" i="4" s="1"/>
  <c r="BB321" i="4" s="1"/>
  <c r="BC321" i="4" s="1"/>
  <c r="BD321" i="4" s="1"/>
  <c r="BE321" i="4" s="1"/>
  <c r="BF321" i="4" s="1"/>
  <c r="BG321" i="4" s="1"/>
  <c r="BH321" i="4" s="1"/>
  <c r="BI321" i="4" s="1"/>
  <c r="BJ321" i="4" s="1"/>
  <c r="BK321" i="4" s="1"/>
  <c r="BL321" i="4" s="1"/>
  <c r="BM321" i="4" s="1"/>
  <c r="BN321" i="4" s="1"/>
  <c r="BO321" i="4" s="1"/>
  <c r="BP321" i="4" s="1"/>
  <c r="BQ321" i="4" s="1"/>
  <c r="BR321" i="4" s="1"/>
  <c r="BS321" i="4" s="1"/>
  <c r="BT321" i="4" s="1"/>
  <c r="BU321" i="4" s="1"/>
  <c r="BV321" i="4" s="1"/>
  <c r="BW321" i="4" s="1"/>
  <c r="BX321" i="4" s="1"/>
  <c r="BY321" i="4" s="1"/>
  <c r="BZ321" i="4" s="1"/>
  <c r="CA321" i="4" s="1"/>
  <c r="CB321" i="4" s="1"/>
  <c r="CC321" i="4" s="1"/>
  <c r="CD321" i="4" s="1"/>
  <c r="CE321" i="4" s="1"/>
  <c r="CF321" i="4" s="1"/>
  <c r="CG321" i="4" s="1"/>
  <c r="CH321" i="4" s="1"/>
  <c r="CI321" i="4" s="1"/>
  <c r="CJ321" i="4" s="1"/>
  <c r="CK321" i="4" s="1"/>
  <c r="CL321" i="4" s="1"/>
  <c r="CM321" i="4" s="1"/>
  <c r="CN321" i="4" s="1"/>
  <c r="CO321" i="4" s="1"/>
  <c r="I321" i="4" s="1"/>
  <c r="CN121" i="64"/>
  <c r="N366" i="4"/>
  <c r="N367" i="4" s="1"/>
  <c r="N368" i="4" s="1"/>
  <c r="N369" i="4" s="1"/>
  <c r="O364" i="4" s="1"/>
  <c r="O375" i="4"/>
  <c r="O376" i="4" s="1"/>
  <c r="P325" i="4"/>
  <c r="O445" i="4"/>
  <c r="AP972" i="4"/>
  <c r="AQ968" i="4" s="1"/>
  <c r="AQ971" i="4" s="1"/>
  <c r="AQ105" i="64" s="1"/>
  <c r="AQ63" i="64" s="1"/>
  <c r="P434" i="4"/>
  <c r="Q327" i="4"/>
  <c r="R327" i="4" s="1"/>
  <c r="CO113" i="64"/>
  <c r="I113" i="64" s="1"/>
  <c r="CK980" i="4"/>
  <c r="CK961" i="4"/>
  <c r="AG20" i="11"/>
  <c r="AG35" i="11"/>
  <c r="AG33" i="11" s="1"/>
  <c r="AG1387" i="4" s="1"/>
  <c r="AG987" i="4"/>
  <c r="N436" i="4"/>
  <c r="CK70" i="11"/>
  <c r="CK1242" i="4"/>
  <c r="CK936" i="4"/>
  <c r="CK1042" i="4"/>
  <c r="CK1216" i="4"/>
  <c r="CK897" i="4"/>
  <c r="CK944" i="4"/>
  <c r="CO114" i="64"/>
  <c r="I114" i="64" s="1"/>
  <c r="W38" i="13"/>
  <c r="CO112" i="64"/>
  <c r="AO939" i="4"/>
  <c r="AO951" i="4" s="1"/>
  <c r="AP935" i="4"/>
  <c r="AP937" i="4" s="1"/>
  <c r="AP938" i="4" s="1"/>
  <c r="AO18" i="11"/>
  <c r="AO950" i="4"/>
  <c r="BK929" i="4"/>
  <c r="BK930" i="4" s="1"/>
  <c r="BK931" i="4" s="1"/>
  <c r="CO816" i="4"/>
  <c r="I816" i="4" s="1"/>
  <c r="CO813" i="4"/>
  <c r="CO814" i="4"/>
  <c r="I814" i="4" s="1"/>
  <c r="I809" i="4"/>
  <c r="AG35" i="64"/>
  <c r="AG36" i="64"/>
  <c r="CL72" i="64"/>
  <c r="CL80" i="64"/>
  <c r="I80" i="64" s="1"/>
  <c r="I64" i="64"/>
  <c r="I47" i="13"/>
  <c r="M377" i="4"/>
  <c r="M378" i="4" s="1"/>
  <c r="M379" i="4" s="1"/>
  <c r="N374" i="4" s="1"/>
  <c r="CL897" i="4"/>
  <c r="CL936" i="4"/>
  <c r="CL70" i="11"/>
  <c r="CL1042" i="4"/>
  <c r="CL944" i="4"/>
  <c r="CL1242" i="4"/>
  <c r="CL1216" i="4"/>
  <c r="M306" i="4"/>
  <c r="AI306" i="4"/>
  <c r="AE306" i="4"/>
  <c r="AG306" i="4"/>
  <c r="U306" i="4"/>
  <c r="CL306" i="4"/>
  <c r="BD306" i="4"/>
  <c r="CO306" i="4"/>
  <c r="BQ306" i="4"/>
  <c r="CC306" i="4"/>
  <c r="Q306" i="4"/>
  <c r="AJ306" i="4"/>
  <c r="AH306" i="4"/>
  <c r="BF306" i="4"/>
  <c r="BV306" i="4"/>
  <c r="AR306" i="4"/>
  <c r="BI306" i="4"/>
  <c r="AZ306" i="4"/>
  <c r="AP306" i="4"/>
  <c r="BZ306" i="4"/>
  <c r="CM306" i="4"/>
  <c r="BH306" i="4"/>
  <c r="CD306" i="4"/>
  <c r="BA306" i="4"/>
  <c r="AN306" i="4"/>
  <c r="CA306" i="4"/>
  <c r="AA306" i="4"/>
  <c r="W306" i="4"/>
  <c r="AS306" i="4"/>
  <c r="BY306" i="4"/>
  <c r="I298" i="4"/>
  <c r="BG306" i="4"/>
  <c r="AY306" i="4"/>
  <c r="AM306" i="4"/>
  <c r="AV306" i="4"/>
  <c r="CB306" i="4"/>
  <c r="BO306" i="4"/>
  <c r="BL306" i="4"/>
  <c r="L306" i="4"/>
  <c r="BM306" i="4"/>
  <c r="BS306" i="4"/>
  <c r="CF306" i="4"/>
  <c r="AO306" i="4"/>
  <c r="S306" i="4"/>
  <c r="AQ306" i="4"/>
  <c r="AX306" i="4"/>
  <c r="CK306" i="4"/>
  <c r="BP306" i="4"/>
  <c r="R306" i="4"/>
  <c r="BN306" i="4"/>
  <c r="CG306" i="4"/>
  <c r="CH306" i="4"/>
  <c r="AK306" i="4"/>
  <c r="AT306" i="4"/>
  <c r="T306" i="4"/>
  <c r="Z306" i="4"/>
  <c r="BR306" i="4"/>
  <c r="AU306" i="4"/>
  <c r="BC306" i="4"/>
  <c r="CN306" i="4"/>
  <c r="BT306" i="4"/>
  <c r="BU306" i="4"/>
  <c r="BW306" i="4"/>
  <c r="V306" i="4"/>
  <c r="BX306" i="4"/>
  <c r="AD306" i="4"/>
  <c r="X306" i="4"/>
  <c r="AB306" i="4"/>
  <c r="O306" i="4"/>
  <c r="CI306" i="4"/>
  <c r="BB306" i="4"/>
  <c r="CJ306" i="4"/>
  <c r="BK306" i="4"/>
  <c r="AW306" i="4"/>
  <c r="AL306" i="4"/>
  <c r="P306" i="4"/>
  <c r="AF306" i="4"/>
  <c r="AC306" i="4"/>
  <c r="BE306" i="4"/>
  <c r="BJ306" i="4"/>
  <c r="Y306" i="4"/>
  <c r="N306" i="4"/>
  <c r="CE306" i="4"/>
  <c r="L299" i="4"/>
  <c r="N356" i="4"/>
  <c r="N357" i="4" s="1"/>
  <c r="N358" i="4" s="1"/>
  <c r="N359" i="4" s="1"/>
  <c r="O354" i="4" s="1"/>
  <c r="L449" i="4"/>
  <c r="L450" i="4" s="1"/>
  <c r="M444" i="4" s="1"/>
  <c r="CL980" i="4"/>
  <c r="CL961" i="4"/>
  <c r="I118" i="64"/>
  <c r="H169" i="15"/>
  <c r="G169" i="15" s="1"/>
  <c r="I42" i="66"/>
  <c r="CO890" i="4"/>
  <c r="I889" i="4"/>
  <c r="R322" i="4"/>
  <c r="AQ945" i="4"/>
  <c r="AQ946" i="4" s="1"/>
  <c r="AQ947" i="4" s="1"/>
  <c r="CO777" i="4"/>
  <c r="CO811" i="4" s="1"/>
  <c r="AP79" i="64"/>
  <c r="AP71" i="64"/>
  <c r="CN72" i="64"/>
  <c r="CN80" i="64"/>
  <c r="N447" i="4"/>
  <c r="CO65" i="64"/>
  <c r="I119" i="64"/>
  <c r="CN823" i="4"/>
  <c r="CN811" i="4"/>
  <c r="CN817" i="4" s="1"/>
  <c r="O355" i="4"/>
  <c r="O423" i="4"/>
  <c r="P424" i="4"/>
  <c r="P320" i="4"/>
  <c r="S323" i="4"/>
  <c r="CO115" i="64"/>
  <c r="I115" i="64" s="1"/>
  <c r="AH982" i="4"/>
  <c r="AH983" i="4" s="1"/>
  <c r="AJ981" i="4"/>
  <c r="I72" i="64" l="1"/>
  <c r="AF44" i="67"/>
  <c r="I44" i="67" s="1"/>
  <c r="CM895" i="4"/>
  <c r="CM957" i="4" s="1"/>
  <c r="CM961" i="4" s="1"/>
  <c r="O425" i="4"/>
  <c r="CO992" i="4"/>
  <c r="I992" i="4" s="1"/>
  <c r="CO69" i="11"/>
  <c r="I69" i="11" s="1"/>
  <c r="AF38" i="13"/>
  <c r="I38" i="13" s="1"/>
  <c r="CO1257" i="4"/>
  <c r="I1257" i="4" s="1"/>
  <c r="AF13" i="72"/>
  <c r="I13" i="72" s="1"/>
  <c r="CO928" i="4"/>
  <c r="I928" i="4" s="1"/>
  <c r="AF69" i="67"/>
  <c r="I69" i="67" s="1"/>
  <c r="CO1050" i="4"/>
  <c r="I1050" i="4" s="1"/>
  <c r="CO684" i="4"/>
  <c r="I684" i="4" s="1"/>
  <c r="CO1215" i="4"/>
  <c r="I1215" i="4" s="1"/>
  <c r="I682" i="4"/>
  <c r="G77" i="15"/>
  <c r="G81" i="15" s="1"/>
  <c r="E598" i="4"/>
  <c r="E597" i="4"/>
  <c r="O366" i="4"/>
  <c r="O367" i="4" s="1"/>
  <c r="O368" i="4" s="1"/>
  <c r="O369" i="4" s="1"/>
  <c r="P364" i="4" s="1"/>
  <c r="O426" i="4"/>
  <c r="O427" i="4" s="1"/>
  <c r="O428" i="4" s="1"/>
  <c r="P422" i="4" s="1"/>
  <c r="Q434" i="4"/>
  <c r="AE39" i="13"/>
  <c r="M448" i="4"/>
  <c r="M449" i="4" s="1"/>
  <c r="M450" i="4" s="1"/>
  <c r="N444" i="4" s="1"/>
  <c r="S327" i="4"/>
  <c r="T327" i="4" s="1"/>
  <c r="U327" i="4" s="1"/>
  <c r="V327" i="4" s="1"/>
  <c r="W327" i="4" s="1"/>
  <c r="X327" i="4" s="1"/>
  <c r="Y327" i="4" s="1"/>
  <c r="Z327" i="4" s="1"/>
  <c r="AA327" i="4" s="1"/>
  <c r="AB327" i="4" s="1"/>
  <c r="AC327" i="4" s="1"/>
  <c r="AD327" i="4" s="1"/>
  <c r="AE327" i="4" s="1"/>
  <c r="AF327" i="4" s="1"/>
  <c r="AG327" i="4" s="1"/>
  <c r="AH327" i="4" s="1"/>
  <c r="AI327" i="4" s="1"/>
  <c r="AJ327" i="4" s="1"/>
  <c r="AK327" i="4" s="1"/>
  <c r="AL327" i="4" s="1"/>
  <c r="AM327" i="4" s="1"/>
  <c r="AN327" i="4" s="1"/>
  <c r="AO327" i="4" s="1"/>
  <c r="AP327" i="4" s="1"/>
  <c r="AQ327" i="4" s="1"/>
  <c r="AR327" i="4" s="1"/>
  <c r="AS327" i="4" s="1"/>
  <c r="AT327" i="4" s="1"/>
  <c r="AU327" i="4" s="1"/>
  <c r="AV327" i="4" s="1"/>
  <c r="AW327" i="4" s="1"/>
  <c r="AX327" i="4" s="1"/>
  <c r="AY327" i="4" s="1"/>
  <c r="AZ327" i="4" s="1"/>
  <c r="BA327" i="4" s="1"/>
  <c r="BB327" i="4" s="1"/>
  <c r="BC327" i="4" s="1"/>
  <c r="BD327" i="4" s="1"/>
  <c r="BE327" i="4" s="1"/>
  <c r="BF327" i="4" s="1"/>
  <c r="BG327" i="4" s="1"/>
  <c r="BH327" i="4" s="1"/>
  <c r="BI327" i="4" s="1"/>
  <c r="BJ327" i="4" s="1"/>
  <c r="BK327" i="4" s="1"/>
  <c r="BL327" i="4" s="1"/>
  <c r="BM327" i="4" s="1"/>
  <c r="BN327" i="4" s="1"/>
  <c r="BO327" i="4" s="1"/>
  <c r="BP327" i="4" s="1"/>
  <c r="BQ327" i="4" s="1"/>
  <c r="BR327" i="4" s="1"/>
  <c r="BS327" i="4" s="1"/>
  <c r="BT327" i="4" s="1"/>
  <c r="BU327" i="4" s="1"/>
  <c r="BV327" i="4" s="1"/>
  <c r="BW327" i="4" s="1"/>
  <c r="BX327" i="4" s="1"/>
  <c r="BY327" i="4" s="1"/>
  <c r="BZ327" i="4" s="1"/>
  <c r="CA327" i="4" s="1"/>
  <c r="CB327" i="4" s="1"/>
  <c r="CC327" i="4" s="1"/>
  <c r="CD327" i="4" s="1"/>
  <c r="CE327" i="4" s="1"/>
  <c r="CF327" i="4" s="1"/>
  <c r="CG327" i="4" s="1"/>
  <c r="CH327" i="4" s="1"/>
  <c r="CI327" i="4" s="1"/>
  <c r="CJ327" i="4" s="1"/>
  <c r="CK327" i="4" s="1"/>
  <c r="CL327" i="4" s="1"/>
  <c r="CM327" i="4" s="1"/>
  <c r="CN327" i="4" s="1"/>
  <c r="CO327" i="4" s="1"/>
  <c r="I327" i="4" s="1"/>
  <c r="S435" i="4"/>
  <c r="R365" i="4"/>
  <c r="Q325" i="4"/>
  <c r="R325" i="4" s="1"/>
  <c r="P375" i="4"/>
  <c r="P376" i="4" s="1"/>
  <c r="Q446" i="4"/>
  <c r="P445" i="4"/>
  <c r="AQ972" i="4"/>
  <c r="AR968" i="4" s="1"/>
  <c r="AR971" i="4" s="1"/>
  <c r="AR105" i="64" s="1"/>
  <c r="AR63" i="64" s="1"/>
  <c r="Q365" i="4"/>
  <c r="R435" i="4"/>
  <c r="R434" i="4" s="1"/>
  <c r="CO817" i="4"/>
  <c r="I811" i="4"/>
  <c r="CL969" i="4"/>
  <c r="CM970" i="4"/>
  <c r="CL993" i="4"/>
  <c r="CL45" i="11"/>
  <c r="CL46" i="11" s="1"/>
  <c r="S322" i="4"/>
  <c r="T322" i="4" s="1"/>
  <c r="U322" i="4" s="1"/>
  <c r="V322" i="4" s="1"/>
  <c r="W322" i="4" s="1"/>
  <c r="X322" i="4" s="1"/>
  <c r="Y322" i="4" s="1"/>
  <c r="Z322" i="4" s="1"/>
  <c r="AA322" i="4" s="1"/>
  <c r="AB322" i="4" s="1"/>
  <c r="AC322" i="4" s="1"/>
  <c r="AD322" i="4" s="1"/>
  <c r="AE322" i="4" s="1"/>
  <c r="AF322" i="4" s="1"/>
  <c r="AG322" i="4" s="1"/>
  <c r="AH322" i="4" s="1"/>
  <c r="AI322" i="4" s="1"/>
  <c r="AJ322" i="4" s="1"/>
  <c r="AK322" i="4" s="1"/>
  <c r="AL322" i="4" s="1"/>
  <c r="AM322" i="4" s="1"/>
  <c r="AN322" i="4" s="1"/>
  <c r="AO322" i="4" s="1"/>
  <c r="AP322" i="4" s="1"/>
  <c r="AQ322" i="4" s="1"/>
  <c r="AR322" i="4" s="1"/>
  <c r="AS322" i="4" s="1"/>
  <c r="AT322" i="4" s="1"/>
  <c r="AU322" i="4" s="1"/>
  <c r="AV322" i="4" s="1"/>
  <c r="AW322" i="4" s="1"/>
  <c r="AX322" i="4" s="1"/>
  <c r="AY322" i="4" s="1"/>
  <c r="AZ322" i="4" s="1"/>
  <c r="BA322" i="4" s="1"/>
  <c r="BB322" i="4" s="1"/>
  <c r="BC322" i="4" s="1"/>
  <c r="BD322" i="4" s="1"/>
  <c r="BE322" i="4" s="1"/>
  <c r="BF322" i="4" s="1"/>
  <c r="BG322" i="4" s="1"/>
  <c r="BH322" i="4" s="1"/>
  <c r="BI322" i="4" s="1"/>
  <c r="BJ322" i="4" s="1"/>
  <c r="BK322" i="4" s="1"/>
  <c r="BL322" i="4" s="1"/>
  <c r="BM322" i="4" s="1"/>
  <c r="BN322" i="4" s="1"/>
  <c r="BO322" i="4" s="1"/>
  <c r="BP322" i="4" s="1"/>
  <c r="BQ322" i="4" s="1"/>
  <c r="BR322" i="4" s="1"/>
  <c r="BS322" i="4" s="1"/>
  <c r="BT322" i="4" s="1"/>
  <c r="BU322" i="4" s="1"/>
  <c r="BV322" i="4" s="1"/>
  <c r="BW322" i="4" s="1"/>
  <c r="BX322" i="4" s="1"/>
  <c r="BY322" i="4" s="1"/>
  <c r="BZ322" i="4" s="1"/>
  <c r="CA322" i="4" s="1"/>
  <c r="CB322" i="4" s="1"/>
  <c r="CC322" i="4" s="1"/>
  <c r="CD322" i="4" s="1"/>
  <c r="CE322" i="4" s="1"/>
  <c r="CF322" i="4" s="1"/>
  <c r="CG322" i="4" s="1"/>
  <c r="CH322" i="4" s="1"/>
  <c r="CI322" i="4" s="1"/>
  <c r="CJ322" i="4" s="1"/>
  <c r="CK322" i="4" s="1"/>
  <c r="CL322" i="4" s="1"/>
  <c r="CM322" i="4" s="1"/>
  <c r="CN322" i="4" s="1"/>
  <c r="CO322" i="4" s="1"/>
  <c r="CO120" i="64"/>
  <c r="I112" i="64"/>
  <c r="CO116" i="64"/>
  <c r="I116" i="64" s="1"/>
  <c r="T323" i="4"/>
  <c r="AI979" i="4"/>
  <c r="AH985" i="4"/>
  <c r="L330" i="4"/>
  <c r="L307" i="4"/>
  <c r="AP939" i="4"/>
  <c r="AP951" i="4" s="1"/>
  <c r="AP18" i="11"/>
  <c r="AQ935" i="4"/>
  <c r="AP950" i="4"/>
  <c r="CK969" i="4"/>
  <c r="CL970" i="4"/>
  <c r="AH106" i="64"/>
  <c r="AH21" i="66"/>
  <c r="Q320" i="4"/>
  <c r="P355" i="4"/>
  <c r="Q424" i="4"/>
  <c r="P423" i="4"/>
  <c r="P425" i="4" s="1"/>
  <c r="I813" i="4"/>
  <c r="AO1262" i="4"/>
  <c r="AO43" i="66"/>
  <c r="AO23" i="66"/>
  <c r="AO1220" i="4"/>
  <c r="AO1048" i="4"/>
  <c r="AO1245" i="4"/>
  <c r="AO77" i="11"/>
  <c r="CO81" i="64"/>
  <c r="CO73" i="64"/>
  <c r="CO823" i="4"/>
  <c r="I777" i="4"/>
  <c r="AQ79" i="64"/>
  <c r="AQ71" i="64"/>
  <c r="CM70" i="11"/>
  <c r="CM1242" i="4"/>
  <c r="CM1042" i="4"/>
  <c r="CM944" i="4"/>
  <c r="CM1216" i="4"/>
  <c r="CM936" i="4"/>
  <c r="CM897" i="4"/>
  <c r="AE45" i="67" s="1"/>
  <c r="AE46" i="67" s="1"/>
  <c r="O447" i="4"/>
  <c r="O356" i="4"/>
  <c r="O357" i="4" s="1"/>
  <c r="O358" i="4" s="1"/>
  <c r="O359" i="4" s="1"/>
  <c r="P354" i="4" s="1"/>
  <c r="AG37" i="64"/>
  <c r="AG51" i="64" s="1"/>
  <c r="BK19" i="11"/>
  <c r="BL927" i="4"/>
  <c r="BL929" i="4" s="1"/>
  <c r="BL930" i="4" s="1"/>
  <c r="X19" i="67"/>
  <c r="I44" i="11"/>
  <c r="N437" i="4"/>
  <c r="N438" i="4" s="1"/>
  <c r="N439" i="4" s="1"/>
  <c r="O433" i="4" s="1"/>
  <c r="O436" i="4"/>
  <c r="AG76" i="11"/>
  <c r="AG1219" i="4"/>
  <c r="AG41" i="66"/>
  <c r="AG1258" i="4"/>
  <c r="AG1244" i="4"/>
  <c r="AG1047" i="4"/>
  <c r="AG1049" i="4"/>
  <c r="AG66" i="62"/>
  <c r="CO891" i="4"/>
  <c r="I891" i="4" s="1"/>
  <c r="G87" i="15" s="1"/>
  <c r="I890" i="4"/>
  <c r="CN895" i="4"/>
  <c r="CN957" i="4" s="1"/>
  <c r="CN819" i="4"/>
  <c r="CN825" i="4" s="1"/>
  <c r="CN826" i="4" s="1"/>
  <c r="CN893" i="4" s="1"/>
  <c r="AQ34" i="11"/>
  <c r="AR943" i="4"/>
  <c r="AR945" i="4" s="1"/>
  <c r="AR946" i="4" s="1"/>
  <c r="S34" i="67"/>
  <c r="N377" i="4"/>
  <c r="N378" i="4" s="1"/>
  <c r="N379" i="4" s="1"/>
  <c r="O374" i="4" s="1"/>
  <c r="CK993" i="4"/>
  <c r="CK45" i="11"/>
  <c r="CK46" i="11" s="1"/>
  <c r="CO956" i="4" l="1"/>
  <c r="I956" i="4" s="1"/>
  <c r="CM980" i="4"/>
  <c r="P366" i="4"/>
  <c r="P367" i="4" s="1"/>
  <c r="E599" i="4"/>
  <c r="P426" i="4"/>
  <c r="P427" i="4" s="1"/>
  <c r="P428" i="4" s="1"/>
  <c r="Q422" i="4" s="1"/>
  <c r="S434" i="4"/>
  <c r="S365" i="4"/>
  <c r="T435" i="4"/>
  <c r="T434" i="4" s="1"/>
  <c r="N448" i="4"/>
  <c r="N449" i="4" s="1"/>
  <c r="N450" i="4" s="1"/>
  <c r="O444" i="4" s="1"/>
  <c r="S325" i="4"/>
  <c r="T325" i="4" s="1"/>
  <c r="S446" i="4"/>
  <c r="R375" i="4"/>
  <c r="R446" i="4"/>
  <c r="R445" i="4" s="1"/>
  <c r="Q375" i="4"/>
  <c r="Q376" i="4" s="1"/>
  <c r="Q445" i="4"/>
  <c r="CN1042" i="4"/>
  <c r="CN936" i="4"/>
  <c r="CN70" i="11"/>
  <c r="CN1216" i="4"/>
  <c r="CN944" i="4"/>
  <c r="CN897" i="4"/>
  <c r="CN1242" i="4"/>
  <c r="I823" i="4"/>
  <c r="CO895" i="4"/>
  <c r="U435" i="4"/>
  <c r="T365" i="4"/>
  <c r="U323" i="4"/>
  <c r="CN980" i="4"/>
  <c r="CN961" i="4"/>
  <c r="AR972" i="4"/>
  <c r="AS968" i="4" s="1"/>
  <c r="P356" i="4"/>
  <c r="P357" i="4" s="1"/>
  <c r="P358" i="4" s="1"/>
  <c r="P359" i="4" s="1"/>
  <c r="Q354" i="4" s="1"/>
  <c r="AR79" i="64"/>
  <c r="AR71" i="64"/>
  <c r="R320" i="4"/>
  <c r="Q355" i="4"/>
  <c r="R424" i="4"/>
  <c r="Q423" i="4"/>
  <c r="AQ937" i="4"/>
  <c r="AQ938" i="4" s="1"/>
  <c r="AQ939" i="4" s="1"/>
  <c r="CO819" i="4"/>
  <c r="I817" i="4"/>
  <c r="O377" i="4"/>
  <c r="BL931" i="4"/>
  <c r="BM927" i="4"/>
  <c r="BM929" i="4" s="1"/>
  <c r="BM930" i="4" s="1"/>
  <c r="BL19" i="11"/>
  <c r="P447" i="4"/>
  <c r="CM969" i="4"/>
  <c r="CN970" i="4"/>
  <c r="AH36" i="64"/>
  <c r="AH35" i="64"/>
  <c r="AP1245" i="4"/>
  <c r="AP43" i="66"/>
  <c r="AP1220" i="4"/>
  <c r="AP1262" i="4"/>
  <c r="AP23" i="66"/>
  <c r="AP1048" i="4"/>
  <c r="AP77" i="11"/>
  <c r="AH35" i="11"/>
  <c r="AH33" i="11" s="1"/>
  <c r="AH1387" i="4" s="1"/>
  <c r="AH20" i="11"/>
  <c r="AH987" i="4"/>
  <c r="CO64" i="64"/>
  <c r="I120" i="64"/>
  <c r="CO121" i="64"/>
  <c r="I121" i="64" s="1"/>
  <c r="I322" i="4"/>
  <c r="AR947" i="4"/>
  <c r="AR34" i="11"/>
  <c r="AS943" i="4"/>
  <c r="L332" i="4"/>
  <c r="L14" i="11" s="1"/>
  <c r="AI982" i="4"/>
  <c r="AI983" i="4" s="1"/>
  <c r="AK981" i="4"/>
  <c r="O437" i="4"/>
  <c r="P436" i="4"/>
  <c r="CM45" i="11"/>
  <c r="CM46" i="11" s="1"/>
  <c r="CM993" i="4"/>
  <c r="Q366" i="4" l="1"/>
  <c r="R366" i="4" s="1"/>
  <c r="O448" i="4"/>
  <c r="O449" i="4" s="1"/>
  <c r="O450" i="4" s="1"/>
  <c r="P444" i="4" s="1"/>
  <c r="R376" i="4"/>
  <c r="S375" i="4"/>
  <c r="T446" i="4"/>
  <c r="T445" i="4" s="1"/>
  <c r="S445" i="4"/>
  <c r="U446" i="4"/>
  <c r="U325" i="4"/>
  <c r="T375" i="4"/>
  <c r="AQ951" i="4"/>
  <c r="AJ979" i="4"/>
  <c r="AI985" i="4"/>
  <c r="O438" i="4"/>
  <c r="O439" i="4" s="1"/>
  <c r="P433" i="4" s="1"/>
  <c r="BM931" i="4"/>
  <c r="BM19" i="11"/>
  <c r="BN927" i="4"/>
  <c r="BN929" i="4" s="1"/>
  <c r="BN930" i="4" s="1"/>
  <c r="CN993" i="4"/>
  <c r="CN45" i="11"/>
  <c r="CN46" i="11" s="1"/>
  <c r="AI21" i="66"/>
  <c r="AI106" i="64"/>
  <c r="S18" i="67"/>
  <c r="AR935" i="4"/>
  <c r="AR937" i="4" s="1"/>
  <c r="AR938" i="4" s="1"/>
  <c r="AQ18" i="11"/>
  <c r="AQ950" i="4"/>
  <c r="AS971" i="4"/>
  <c r="AS105" i="64" s="1"/>
  <c r="AS63" i="64" s="1"/>
  <c r="AH37" i="64"/>
  <c r="AH51" i="64" s="1"/>
  <c r="O378" i="4"/>
  <c r="O379" i="4" s="1"/>
  <c r="Q425" i="4"/>
  <c r="Q426" i="4" s="1"/>
  <c r="Q427" i="4" s="1"/>
  <c r="Q428" i="4" s="1"/>
  <c r="R422" i="4" s="1"/>
  <c r="V435" i="4"/>
  <c r="U434" i="4"/>
  <c r="U365" i="4"/>
  <c r="V323" i="4"/>
  <c r="Q447" i="4"/>
  <c r="Q356" i="4"/>
  <c r="Q357" i="4" s="1"/>
  <c r="Q358" i="4" s="1"/>
  <c r="Q359" i="4" s="1"/>
  <c r="R354" i="4" s="1"/>
  <c r="AS945" i="4"/>
  <c r="AS946" i="4" s="1"/>
  <c r="AS947" i="4" s="1"/>
  <c r="CO80" i="64"/>
  <c r="CO72" i="64"/>
  <c r="CO825" i="4"/>
  <c r="I819" i="4"/>
  <c r="S320" i="4"/>
  <c r="T320" i="4" s="1"/>
  <c r="R423" i="4"/>
  <c r="R355" i="4"/>
  <c r="S424" i="4"/>
  <c r="CO970" i="4"/>
  <c r="I970" i="4" s="1"/>
  <c r="CN969" i="4"/>
  <c r="P368" i="4"/>
  <c r="P369" i="4" s="1"/>
  <c r="Q364" i="4" s="1"/>
  <c r="AH1047" i="4"/>
  <c r="AH1219" i="4"/>
  <c r="AH1049" i="4"/>
  <c r="AH41" i="66"/>
  <c r="AH76" i="11"/>
  <c r="AH1258" i="4"/>
  <c r="AH1244" i="4"/>
  <c r="AH66" i="62"/>
  <c r="Q436" i="4"/>
  <c r="CO957" i="4"/>
  <c r="I895" i="4"/>
  <c r="S376" i="4" l="1"/>
  <c r="T376" i="4" s="1"/>
  <c r="V325" i="4"/>
  <c r="U445" i="4"/>
  <c r="V446" i="4"/>
  <c r="U375" i="4"/>
  <c r="P437" i="4"/>
  <c r="P438" i="4" s="1"/>
  <c r="P439" i="4" s="1"/>
  <c r="Q433" i="4" s="1"/>
  <c r="R425" i="4"/>
  <c r="R426" i="4" s="1"/>
  <c r="R427" i="4" s="1"/>
  <c r="R428" i="4" s="1"/>
  <c r="S422" i="4" s="1"/>
  <c r="S423" i="4"/>
  <c r="S355" i="4"/>
  <c r="T424" i="4"/>
  <c r="T423" i="4" s="1"/>
  <c r="P374" i="4"/>
  <c r="P377" i="4"/>
  <c r="AR939" i="4"/>
  <c r="AS935" i="4"/>
  <c r="AS937" i="4" s="1"/>
  <c r="AS938" i="4" s="1"/>
  <c r="AR18" i="11"/>
  <c r="AR950" i="4"/>
  <c r="V434" i="4"/>
  <c r="W435" i="4"/>
  <c r="V365" i="4"/>
  <c r="W323" i="4"/>
  <c r="AI20" i="11"/>
  <c r="Q20" i="67" s="1"/>
  <c r="AI35" i="11"/>
  <c r="AI987" i="4"/>
  <c r="CO980" i="4"/>
  <c r="I980" i="4" s="1"/>
  <c r="I957" i="4"/>
  <c r="CO961" i="4"/>
  <c r="R447" i="4"/>
  <c r="AI36" i="64"/>
  <c r="AI35" i="64"/>
  <c r="AJ982" i="4"/>
  <c r="AJ983" i="4" s="1"/>
  <c r="AL981" i="4"/>
  <c r="AT943" i="4"/>
  <c r="AT945" i="4" s="1"/>
  <c r="AT946" i="4" s="1"/>
  <c r="AS34" i="11"/>
  <c r="P448" i="4"/>
  <c r="AS972" i="4"/>
  <c r="AT968" i="4" s="1"/>
  <c r="BN931" i="4"/>
  <c r="BO927" i="4"/>
  <c r="BN19" i="11"/>
  <c r="S366" i="4"/>
  <c r="AS79" i="64"/>
  <c r="AS71" i="64"/>
  <c r="U424" i="4"/>
  <c r="T355" i="4"/>
  <c r="U320" i="4"/>
  <c r="R356" i="4"/>
  <c r="R357" i="4" s="1"/>
  <c r="R358" i="4" s="1"/>
  <c r="R359" i="4" s="1"/>
  <c r="S354" i="4" s="1"/>
  <c r="I825" i="4"/>
  <c r="CO826" i="4"/>
  <c r="Q367" i="4"/>
  <c r="AQ43" i="66"/>
  <c r="AQ1245" i="4"/>
  <c r="AQ77" i="11"/>
  <c r="AQ1220" i="4"/>
  <c r="AQ1262" i="4"/>
  <c r="AQ1048" i="4"/>
  <c r="AQ23" i="66"/>
  <c r="S77" i="67"/>
  <c r="R436" i="4"/>
  <c r="J170" i="15"/>
  <c r="M170" i="15"/>
  <c r="J149" i="15"/>
  <c r="L149" i="15"/>
  <c r="M149" i="15"/>
  <c r="Q437" i="4" l="1"/>
  <c r="Q438" i="4" s="1"/>
  <c r="Q439" i="4" s="1"/>
  <c r="R433" i="4" s="1"/>
  <c r="U376" i="4"/>
  <c r="S425" i="4"/>
  <c r="S426" i="4" s="1"/>
  <c r="S427" i="4" s="1"/>
  <c r="S428" i="4" s="1"/>
  <c r="T422" i="4" s="1"/>
  <c r="V445" i="4"/>
  <c r="W446" i="4"/>
  <c r="V375" i="4"/>
  <c r="W325" i="4"/>
  <c r="AK979" i="4"/>
  <c r="AJ985" i="4"/>
  <c r="P449" i="4"/>
  <c r="P450" i="4" s="1"/>
  <c r="U423" i="4"/>
  <c r="V424" i="4"/>
  <c r="U355" i="4"/>
  <c r="V320" i="4"/>
  <c r="Q35" i="67"/>
  <c r="Q33" i="67" s="1"/>
  <c r="AI33" i="11"/>
  <c r="AI1387" i="4" s="1"/>
  <c r="S356" i="4"/>
  <c r="S357" i="4" s="1"/>
  <c r="S358" i="4" s="1"/>
  <c r="S359" i="4" s="1"/>
  <c r="T354" i="4" s="1"/>
  <c r="Q368" i="4"/>
  <c r="Q369" i="4" s="1"/>
  <c r="AT947" i="4"/>
  <c r="AU943" i="4"/>
  <c r="AU945" i="4" s="1"/>
  <c r="AU946" i="4" s="1"/>
  <c r="AT34" i="11"/>
  <c r="S447" i="4"/>
  <c r="AS939" i="4"/>
  <c r="AS951" i="4" s="1"/>
  <c r="AT935" i="4"/>
  <c r="AS18" i="11"/>
  <c r="AS950" i="4"/>
  <c r="S436" i="4"/>
  <c r="I826" i="4"/>
  <c r="G85" i="15" s="1"/>
  <c r="G93" i="15" s="1"/>
  <c r="CO893" i="4"/>
  <c r="BO929" i="4"/>
  <c r="BO930" i="4" s="1"/>
  <c r="BO931" i="4" s="1"/>
  <c r="CO969" i="4"/>
  <c r="I969" i="4" s="1"/>
  <c r="I961" i="4"/>
  <c r="X435" i="4"/>
  <c r="W365" i="4"/>
  <c r="W434" i="4"/>
  <c r="X323" i="4"/>
  <c r="AR951" i="4"/>
  <c r="P378" i="4"/>
  <c r="P379" i="4" s="1"/>
  <c r="AT971" i="4"/>
  <c r="AT105" i="64" s="1"/>
  <c r="AT63" i="64" s="1"/>
  <c r="AJ21" i="66"/>
  <c r="AJ106" i="64"/>
  <c r="T366" i="4"/>
  <c r="AI37" i="64"/>
  <c r="AI51" i="64" s="1"/>
  <c r="AI1049" i="4"/>
  <c r="AI76" i="11"/>
  <c r="AI1244" i="4"/>
  <c r="AI41" i="66"/>
  <c r="M168" i="15" s="1"/>
  <c r="G168" i="15" s="1"/>
  <c r="AI1219" i="4"/>
  <c r="AI1047" i="4"/>
  <c r="AI1258" i="4"/>
  <c r="AI66" i="62"/>
  <c r="Q76" i="67"/>
  <c r="G149" i="15"/>
  <c r="G170" i="15"/>
  <c r="R437" i="4" l="1"/>
  <c r="R438" i="4" s="1"/>
  <c r="R439" i="4" s="1"/>
  <c r="S433" i="4" s="1"/>
  <c r="T425" i="4"/>
  <c r="U425" i="4" s="1"/>
  <c r="V376" i="4"/>
  <c r="W375" i="4"/>
  <c r="W445" i="4"/>
  <c r="X446" i="4"/>
  <c r="X325" i="4"/>
  <c r="T356" i="4"/>
  <c r="T357" i="4" s="1"/>
  <c r="T358" i="4" s="1"/>
  <c r="T359" i="4" s="1"/>
  <c r="U354" i="4" s="1"/>
  <c r="AT71" i="64"/>
  <c r="AT79" i="64"/>
  <c r="T436" i="4"/>
  <c r="W424" i="4"/>
  <c r="V423" i="4"/>
  <c r="V355" i="4"/>
  <c r="W320" i="4"/>
  <c r="AU947" i="4"/>
  <c r="AV943" i="4"/>
  <c r="AU34" i="11"/>
  <c r="T34" i="67"/>
  <c r="AR77" i="11"/>
  <c r="AR1245" i="4"/>
  <c r="AR1262" i="4"/>
  <c r="AR23" i="66"/>
  <c r="AR1048" i="4"/>
  <c r="AR1220" i="4"/>
  <c r="AR43" i="66"/>
  <c r="Q444" i="4"/>
  <c r="Q448" i="4"/>
  <c r="Y435" i="4"/>
  <c r="X434" i="4"/>
  <c r="X365" i="4"/>
  <c r="Y323" i="4"/>
  <c r="AT937" i="4"/>
  <c r="AT938" i="4" s="1"/>
  <c r="AJ36" i="64"/>
  <c r="AJ35" i="64"/>
  <c r="Q374" i="4"/>
  <c r="Q377" i="4"/>
  <c r="Y19" i="67"/>
  <c r="BO19" i="11"/>
  <c r="BP927" i="4"/>
  <c r="BP929" i="4" s="1"/>
  <c r="BP930" i="4" s="1"/>
  <c r="AS1245" i="4"/>
  <c r="AS43" i="66"/>
  <c r="AS77" i="11"/>
  <c r="AS1048" i="4"/>
  <c r="AS1220" i="4"/>
  <c r="AS1262" i="4"/>
  <c r="AS23" i="66"/>
  <c r="AJ35" i="11"/>
  <c r="AJ33" i="11" s="1"/>
  <c r="AJ1387" i="4" s="1"/>
  <c r="AJ20" i="11"/>
  <c r="AJ987" i="4"/>
  <c r="U366" i="4"/>
  <c r="Z70" i="67"/>
  <c r="CO1042" i="4"/>
  <c r="I1042" i="4" s="1"/>
  <c r="CO70" i="11"/>
  <c r="I70" i="11" s="1"/>
  <c r="CO944" i="4"/>
  <c r="I944" i="4" s="1"/>
  <c r="CO936" i="4"/>
  <c r="I936" i="4" s="1"/>
  <c r="CO1242" i="4"/>
  <c r="I1242" i="4" s="1"/>
  <c r="CO1216" i="4"/>
  <c r="I1216" i="4" s="1"/>
  <c r="CO897" i="4"/>
  <c r="I893" i="4"/>
  <c r="W70" i="67"/>
  <c r="X70" i="67"/>
  <c r="X39" i="13"/>
  <c r="Y70" i="67"/>
  <c r="AF70" i="67"/>
  <c r="AF39" i="13"/>
  <c r="R364" i="4"/>
  <c r="R367" i="4"/>
  <c r="AK982" i="4"/>
  <c r="AK983" i="4" s="1"/>
  <c r="AM981" i="4"/>
  <c r="AT972" i="4"/>
  <c r="AU968" i="4" s="1"/>
  <c r="T447" i="4"/>
  <c r="S437" i="4" l="1"/>
  <c r="S438" i="4" s="1"/>
  <c r="S439" i="4" s="1"/>
  <c r="T433" i="4" s="1"/>
  <c r="W376" i="4"/>
  <c r="V425" i="4"/>
  <c r="T426" i="4"/>
  <c r="T427" i="4" s="1"/>
  <c r="T428" i="4" s="1"/>
  <c r="U422" i="4" s="1"/>
  <c r="I39" i="13"/>
  <c r="U356" i="4"/>
  <c r="U357" i="4" s="1"/>
  <c r="U358" i="4" s="1"/>
  <c r="U359" i="4" s="1"/>
  <c r="V354" i="4" s="1"/>
  <c r="X445" i="4"/>
  <c r="Y446" i="4"/>
  <c r="Y325" i="4"/>
  <c r="X375" i="4"/>
  <c r="I70" i="67"/>
  <c r="AJ37" i="64"/>
  <c r="AJ51" i="64" s="1"/>
  <c r="AJ1047" i="4"/>
  <c r="AJ41" i="66"/>
  <c r="AJ76" i="11"/>
  <c r="AJ1258" i="4"/>
  <c r="AJ1049" i="4"/>
  <c r="AJ1244" i="4"/>
  <c r="AJ1219" i="4"/>
  <c r="AJ66" i="62"/>
  <c r="AU935" i="4"/>
  <c r="AT18" i="11"/>
  <c r="AT950" i="4"/>
  <c r="AL979" i="4"/>
  <c r="AK985" i="4"/>
  <c r="R368" i="4"/>
  <c r="R369" i="4" s="1"/>
  <c r="Y434" i="4"/>
  <c r="Z435" i="4"/>
  <c r="Y365" i="4"/>
  <c r="Z323" i="4"/>
  <c r="AK106" i="64"/>
  <c r="AK21" i="66"/>
  <c r="U436" i="4"/>
  <c r="Z45" i="67"/>
  <c r="Z46" i="67" s="1"/>
  <c r="AA45" i="67"/>
  <c r="AA46" i="67" s="1"/>
  <c r="CO45" i="11"/>
  <c r="CO993" i="4"/>
  <c r="I993" i="4" s="1"/>
  <c r="I897" i="4"/>
  <c r="U45" i="67"/>
  <c r="X45" i="67"/>
  <c r="X46" i="67" s="1"/>
  <c r="AF45" i="67"/>
  <c r="AF46" i="67" s="1"/>
  <c r="BP931" i="4"/>
  <c r="BP19" i="11"/>
  <c r="BQ927" i="4"/>
  <c r="BQ929" i="4" s="1"/>
  <c r="BQ930" i="4" s="1"/>
  <c r="Q378" i="4"/>
  <c r="Q379" i="4" s="1"/>
  <c r="U447" i="4"/>
  <c r="Q449" i="4"/>
  <c r="Q450" i="4" s="1"/>
  <c r="AV945" i="4"/>
  <c r="AV946" i="4" s="1"/>
  <c r="AV947" i="4" s="1"/>
  <c r="V366" i="4"/>
  <c r="W423" i="4"/>
  <c r="X424" i="4"/>
  <c r="W355" i="4"/>
  <c r="X320" i="4"/>
  <c r="AU971" i="4"/>
  <c r="AU105" i="64" s="1"/>
  <c r="AU63" i="64" s="1"/>
  <c r="AT939" i="4"/>
  <c r="X376" i="4" l="1"/>
  <c r="W425" i="4"/>
  <c r="V356" i="4"/>
  <c r="V357" i="4" s="1"/>
  <c r="V358" i="4" s="1"/>
  <c r="V359" i="4" s="1"/>
  <c r="W354" i="4" s="1"/>
  <c r="U426" i="4"/>
  <c r="U427" i="4" s="1"/>
  <c r="U428" i="4" s="1"/>
  <c r="V422" i="4" s="1"/>
  <c r="AU972" i="4"/>
  <c r="AV968" i="4" s="1"/>
  <c r="AV971" i="4" s="1"/>
  <c r="AV105" i="64" s="1"/>
  <c r="AV63" i="64" s="1"/>
  <c r="Z446" i="4"/>
  <c r="Y445" i="4"/>
  <c r="Z325" i="4"/>
  <c r="Y375" i="4"/>
  <c r="T437" i="4"/>
  <c r="AL982" i="4"/>
  <c r="AL983" i="4" s="1"/>
  <c r="AN981" i="4"/>
  <c r="Z365" i="4"/>
  <c r="AA435" i="4"/>
  <c r="Z434" i="4"/>
  <c r="AA323" i="4"/>
  <c r="U46" i="67"/>
  <c r="I46" i="67" s="1"/>
  <c r="I45" i="67"/>
  <c r="AU79" i="64"/>
  <c r="AU71" i="64"/>
  <c r="AW943" i="4"/>
  <c r="AV34" i="11"/>
  <c r="R374" i="4"/>
  <c r="R377" i="4"/>
  <c r="AU937" i="4"/>
  <c r="AU938" i="4" s="1"/>
  <c r="AU939" i="4" s="1"/>
  <c r="AU951" i="4" s="1"/>
  <c r="AT951" i="4"/>
  <c r="X423" i="4"/>
  <c r="X355" i="4"/>
  <c r="Y424" i="4"/>
  <c r="Y320" i="4"/>
  <c r="V447" i="4"/>
  <c r="BQ931" i="4"/>
  <c r="BR927" i="4"/>
  <c r="BQ19" i="11"/>
  <c r="I45" i="11"/>
  <c r="CO46" i="11"/>
  <c r="I46" i="11" s="1"/>
  <c r="AK36" i="64"/>
  <c r="AK35" i="64"/>
  <c r="R444" i="4"/>
  <c r="R448" i="4"/>
  <c r="S364" i="4"/>
  <c r="S367" i="4"/>
  <c r="W366" i="4"/>
  <c r="V436" i="4"/>
  <c r="AK20" i="11"/>
  <c r="AK35" i="11"/>
  <c r="AK33" i="11" s="1"/>
  <c r="AK1387" i="4" s="1"/>
  <c r="AK987" i="4"/>
  <c r="Y376" i="4" l="1"/>
  <c r="X425" i="4"/>
  <c r="W356" i="4"/>
  <c r="W357" i="4" s="1"/>
  <c r="W358" i="4" s="1"/>
  <c r="W359" i="4" s="1"/>
  <c r="X354" i="4" s="1"/>
  <c r="V426" i="4"/>
  <c r="V427" i="4" s="1"/>
  <c r="V428" i="4" s="1"/>
  <c r="W422" i="4" s="1"/>
  <c r="Z445" i="4"/>
  <c r="Z375" i="4"/>
  <c r="AA325" i="4"/>
  <c r="AA446" i="4"/>
  <c r="AM979" i="4"/>
  <c r="AL985" i="4"/>
  <c r="X366" i="4"/>
  <c r="AK1219" i="4"/>
  <c r="AK41" i="66"/>
  <c r="AK1047" i="4"/>
  <c r="AK1244" i="4"/>
  <c r="AK1049" i="4"/>
  <c r="AK1258" i="4"/>
  <c r="AK76" i="11"/>
  <c r="AK66" i="62"/>
  <c r="R378" i="4"/>
  <c r="R379" i="4" s="1"/>
  <c r="BR929" i="4"/>
  <c r="BR930" i="4" s="1"/>
  <c r="AT1262" i="4"/>
  <c r="AT1048" i="4"/>
  <c r="AT1245" i="4"/>
  <c r="AT43" i="66"/>
  <c r="AT23" i="66"/>
  <c r="AT1220" i="4"/>
  <c r="AT77" i="11"/>
  <c r="T77" i="67"/>
  <c r="AL21" i="66"/>
  <c r="AL106" i="64"/>
  <c r="S368" i="4"/>
  <c r="S369" i="4" s="1"/>
  <c r="R449" i="4"/>
  <c r="R450" i="4" s="1"/>
  <c r="AK37" i="64"/>
  <c r="AK51" i="64" s="1"/>
  <c r="W447" i="4"/>
  <c r="AV972" i="4"/>
  <c r="AW968" i="4" s="1"/>
  <c r="T438" i="4"/>
  <c r="T439" i="4" s="1"/>
  <c r="W436" i="4"/>
  <c r="AU1262" i="4"/>
  <c r="AU1245" i="4"/>
  <c r="AU23" i="66"/>
  <c r="AU77" i="11"/>
  <c r="AU1048" i="4"/>
  <c r="AU43" i="66"/>
  <c r="AU1220" i="4"/>
  <c r="AV71" i="64"/>
  <c r="AV79" i="64"/>
  <c r="Y423" i="4"/>
  <c r="Y355" i="4"/>
  <c r="Z424" i="4"/>
  <c r="Z320" i="4"/>
  <c r="T18" i="67"/>
  <c r="AV935" i="4"/>
  <c r="AU18" i="11"/>
  <c r="AU950" i="4"/>
  <c r="AW945" i="4"/>
  <c r="AW946" i="4" s="1"/>
  <c r="AW947" i="4" s="1"/>
  <c r="AA365" i="4"/>
  <c r="AA434" i="4"/>
  <c r="AB435" i="4"/>
  <c r="AB323" i="4"/>
  <c r="Z376" i="4" l="1"/>
  <c r="Y425" i="4"/>
  <c r="X356" i="4"/>
  <c r="X357" i="4" s="1"/>
  <c r="X358" i="4" s="1"/>
  <c r="X359" i="4" s="1"/>
  <c r="Y354" i="4" s="1"/>
  <c r="W426" i="4"/>
  <c r="W427" i="4" s="1"/>
  <c r="W428" i="4" s="1"/>
  <c r="X422" i="4" s="1"/>
  <c r="AA375" i="4"/>
  <c r="AA445" i="4"/>
  <c r="AB325" i="4"/>
  <c r="AB446" i="4"/>
  <c r="T364" i="4"/>
  <c r="T367" i="4"/>
  <c r="BR19" i="11"/>
  <c r="BS927" i="4"/>
  <c r="AL36" i="64"/>
  <c r="AL35" i="64"/>
  <c r="S374" i="4"/>
  <c r="S377" i="4"/>
  <c r="AB434" i="4"/>
  <c r="AC435" i="4"/>
  <c r="AB365" i="4"/>
  <c r="AC323" i="4"/>
  <c r="AV937" i="4"/>
  <c r="AV938" i="4" s="1"/>
  <c r="AV939" i="4" s="1"/>
  <c r="AW971" i="4"/>
  <c r="AW105" i="64" s="1"/>
  <c r="AW63" i="64" s="1"/>
  <c r="X447" i="4"/>
  <c r="AA424" i="4"/>
  <c r="Z423" i="4"/>
  <c r="Z355" i="4"/>
  <c r="AA320" i="4"/>
  <c r="X436" i="4"/>
  <c r="S444" i="4"/>
  <c r="S448" i="4"/>
  <c r="Y366" i="4"/>
  <c r="AL20" i="11"/>
  <c r="AL35" i="11"/>
  <c r="AL33" i="11" s="1"/>
  <c r="AL1387" i="4" s="1"/>
  <c r="AL987" i="4"/>
  <c r="AX943" i="4"/>
  <c r="AW34" i="11"/>
  <c r="U433" i="4"/>
  <c r="U437" i="4"/>
  <c r="U438" i="4" s="1"/>
  <c r="U439" i="4" s="1"/>
  <c r="BR931" i="4"/>
  <c r="AM982" i="4"/>
  <c r="AM983" i="4" s="1"/>
  <c r="AO981" i="4"/>
  <c r="AA376" i="4" l="1"/>
  <c r="Y356" i="4"/>
  <c r="Y357" i="4" s="1"/>
  <c r="Y358" i="4" s="1"/>
  <c r="Y359" i="4" s="1"/>
  <c r="Z354" i="4" s="1"/>
  <c r="Z425" i="4"/>
  <c r="X426" i="4"/>
  <c r="X427" i="4" s="1"/>
  <c r="X428" i="4" s="1"/>
  <c r="Y422" i="4" s="1"/>
  <c r="AW972" i="4"/>
  <c r="AX968" i="4" s="1"/>
  <c r="AX971" i="4" s="1"/>
  <c r="AX105" i="64" s="1"/>
  <c r="AX63" i="64" s="1"/>
  <c r="AC446" i="4"/>
  <c r="AB375" i="4"/>
  <c r="AB445" i="4"/>
  <c r="AC325" i="4"/>
  <c r="AD325" i="4" s="1"/>
  <c r="AM985" i="4"/>
  <c r="AN979" i="4"/>
  <c r="Z366" i="4"/>
  <c r="AL37" i="64"/>
  <c r="AL51" i="64" s="1"/>
  <c r="BS929" i="4"/>
  <c r="BS930" i="4" s="1"/>
  <c r="BS931" i="4" s="1"/>
  <c r="AX945" i="4"/>
  <c r="AX946" i="4" s="1"/>
  <c r="AX947" i="4" s="1"/>
  <c r="Y447" i="4"/>
  <c r="S449" i="4"/>
  <c r="S450" i="4" s="1"/>
  <c r="Y436" i="4"/>
  <c r="T368" i="4"/>
  <c r="T369" i="4" s="1"/>
  <c r="AL76" i="11"/>
  <c r="AL1244" i="4"/>
  <c r="AL1219" i="4"/>
  <c r="AL41" i="66"/>
  <c r="AL1047" i="4"/>
  <c r="AL1258" i="4"/>
  <c r="AL1049" i="4"/>
  <c r="AL66" i="62"/>
  <c r="AW79" i="64"/>
  <c r="AW71" i="64"/>
  <c r="AM21" i="66"/>
  <c r="AM106" i="64"/>
  <c r="AB424" i="4"/>
  <c r="AA355" i="4"/>
  <c r="AA423" i="4"/>
  <c r="AB320" i="4"/>
  <c r="AV951" i="4"/>
  <c r="S378" i="4"/>
  <c r="S379" i="4" s="1"/>
  <c r="V433" i="4"/>
  <c r="V437" i="4"/>
  <c r="V438" i="4" s="1"/>
  <c r="V439" i="4" s="1"/>
  <c r="AV18" i="11"/>
  <c r="AW935" i="4"/>
  <c r="AW937" i="4" s="1"/>
  <c r="AW938" i="4" s="1"/>
  <c r="AV950" i="4"/>
  <c r="AD435" i="4"/>
  <c r="AC365" i="4"/>
  <c r="AC434" i="4"/>
  <c r="AD323" i="4"/>
  <c r="AB376" i="4" l="1"/>
  <c r="Z356" i="4"/>
  <c r="Z357" i="4" s="1"/>
  <c r="Z358" i="4" s="1"/>
  <c r="Z359" i="4" s="1"/>
  <c r="AA354" i="4" s="1"/>
  <c r="AA425" i="4"/>
  <c r="Y426" i="4"/>
  <c r="Y427" i="4" s="1"/>
  <c r="Y428" i="4" s="1"/>
  <c r="Z422" i="4" s="1"/>
  <c r="AD375" i="4"/>
  <c r="AE446" i="4"/>
  <c r="AE325" i="4"/>
  <c r="AF446" i="4" s="1"/>
  <c r="AC445" i="4"/>
  <c r="AD446" i="4"/>
  <c r="AD445" i="4" s="1"/>
  <c r="AC375" i="4"/>
  <c r="T374" i="4"/>
  <c r="T377" i="4"/>
  <c r="T378" i="4" s="1"/>
  <c r="T379" i="4" s="1"/>
  <c r="AB355" i="4"/>
  <c r="AC424" i="4"/>
  <c r="AB423" i="4"/>
  <c r="AC320" i="4"/>
  <c r="AX972" i="4"/>
  <c r="AY968" i="4" s="1"/>
  <c r="Z447" i="4"/>
  <c r="AX79" i="64"/>
  <c r="AX71" i="64"/>
  <c r="AV1220" i="4"/>
  <c r="AV1048" i="4"/>
  <c r="AV1262" i="4"/>
  <c r="AV1245" i="4"/>
  <c r="AV23" i="66"/>
  <c r="AV77" i="11"/>
  <c r="AV43" i="66"/>
  <c r="AX34" i="11"/>
  <c r="AY943" i="4"/>
  <c r="AE435" i="4"/>
  <c r="AD365" i="4"/>
  <c r="AD434" i="4"/>
  <c r="AE323" i="4"/>
  <c r="AM36" i="64"/>
  <c r="AM35" i="64"/>
  <c r="Z436" i="4"/>
  <c r="AA366" i="4"/>
  <c r="W433" i="4"/>
  <c r="W437" i="4"/>
  <c r="W438" i="4" s="1"/>
  <c r="W439" i="4" s="1"/>
  <c r="AN982" i="4"/>
  <c r="AP981" i="4"/>
  <c r="AW939" i="4"/>
  <c r="AW951" i="4" s="1"/>
  <c r="AX935" i="4"/>
  <c r="AW18" i="11"/>
  <c r="AW950" i="4"/>
  <c r="U364" i="4"/>
  <c r="U367" i="4"/>
  <c r="U368" i="4" s="1"/>
  <c r="U369" i="4" s="1"/>
  <c r="T444" i="4"/>
  <c r="T448" i="4"/>
  <c r="T449" i="4" s="1"/>
  <c r="T450" i="4" s="1"/>
  <c r="Z19" i="67"/>
  <c r="BT927" i="4"/>
  <c r="BT929" i="4" s="1"/>
  <c r="BT930" i="4" s="1"/>
  <c r="BS19" i="11"/>
  <c r="AM20" i="11"/>
  <c r="R20" i="67" s="1"/>
  <c r="AM35" i="11"/>
  <c r="AM987" i="4"/>
  <c r="AC376" i="4" l="1"/>
  <c r="AD376" i="4" s="1"/>
  <c r="AA356" i="4"/>
  <c r="AA357" i="4" s="1"/>
  <c r="AA358" i="4" s="1"/>
  <c r="AA359" i="4" s="1"/>
  <c r="AB354" i="4" s="1"/>
  <c r="AB425" i="4"/>
  <c r="AF325" i="4"/>
  <c r="AG446" i="4" s="1"/>
  <c r="AE445" i="4"/>
  <c r="AE375" i="4"/>
  <c r="Z426" i="4"/>
  <c r="Z427" i="4" s="1"/>
  <c r="Z428" i="4" s="1"/>
  <c r="AA422" i="4" s="1"/>
  <c r="AB366" i="4"/>
  <c r="AY971" i="4"/>
  <c r="AY105" i="64" s="1"/>
  <c r="AY63" i="64" s="1"/>
  <c r="BT931" i="4"/>
  <c r="BT19" i="11"/>
  <c r="BU927" i="4"/>
  <c r="AA436" i="4"/>
  <c r="AY945" i="4"/>
  <c r="AY946" i="4" s="1"/>
  <c r="AY947" i="4" s="1"/>
  <c r="AD424" i="4"/>
  <c r="AC355" i="4"/>
  <c r="AC423" i="4"/>
  <c r="AD320" i="4"/>
  <c r="AM1047" i="4"/>
  <c r="AM1244" i="4"/>
  <c r="AM1219" i="4"/>
  <c r="AM1258" i="4"/>
  <c r="AM76" i="11"/>
  <c r="AM41" i="66"/>
  <c r="AM1049" i="4"/>
  <c r="AM66" i="62"/>
  <c r="R76" i="67"/>
  <c r="U444" i="4"/>
  <c r="U448" i="4"/>
  <c r="U449" i="4" s="1"/>
  <c r="U450" i="4" s="1"/>
  <c r="AX937" i="4"/>
  <c r="AX938" i="4" s="1"/>
  <c r="AM37" i="64"/>
  <c r="AM51" i="64" s="1"/>
  <c r="AW23" i="66"/>
  <c r="AW1048" i="4"/>
  <c r="AW1245" i="4"/>
  <c r="AW1262" i="4"/>
  <c r="AW43" i="66"/>
  <c r="AW77" i="11"/>
  <c r="AW1220" i="4"/>
  <c r="X433" i="4"/>
  <c r="X437" i="4"/>
  <c r="X438" i="4" s="1"/>
  <c r="X439" i="4" s="1"/>
  <c r="R35" i="67"/>
  <c r="R33" i="67" s="1"/>
  <c r="AM33" i="11"/>
  <c r="AM1387" i="4" s="1"/>
  <c r="V364" i="4"/>
  <c r="V367" i="4"/>
  <c r="V368" i="4" s="1"/>
  <c r="V369" i="4" s="1"/>
  <c r="AF435" i="4"/>
  <c r="AE434" i="4"/>
  <c r="AE365" i="4"/>
  <c r="AF323" i="4"/>
  <c r="U374" i="4"/>
  <c r="U377" i="4"/>
  <c r="U378" i="4" s="1"/>
  <c r="U379" i="4" s="1"/>
  <c r="AN983" i="4"/>
  <c r="AN106" i="64"/>
  <c r="AN21" i="66"/>
  <c r="AA447" i="4"/>
  <c r="AB356" i="4" l="1"/>
  <c r="AB357" i="4" s="1"/>
  <c r="AB358" i="4" s="1"/>
  <c r="AB359" i="4" s="1"/>
  <c r="AC354" i="4" s="1"/>
  <c r="AC425" i="4"/>
  <c r="AF445" i="4"/>
  <c r="AF375" i="4"/>
  <c r="AG325" i="4"/>
  <c r="AG375" i="4" s="1"/>
  <c r="AE376" i="4"/>
  <c r="AA426" i="4"/>
  <c r="AA427" i="4" s="1"/>
  <c r="AA428" i="4" s="1"/>
  <c r="AB422" i="4" s="1"/>
  <c r="AN36" i="64"/>
  <c r="AN35" i="64"/>
  <c r="AF365" i="4"/>
  <c r="AG435" i="4"/>
  <c r="AF434" i="4"/>
  <c r="AG323" i="4"/>
  <c r="AX18" i="11"/>
  <c r="AY935" i="4"/>
  <c r="AX950" i="4"/>
  <c r="AD355" i="4"/>
  <c r="AE424" i="4"/>
  <c r="AD423" i="4"/>
  <c r="AE320" i="4"/>
  <c r="V444" i="4"/>
  <c r="V448" i="4"/>
  <c r="V449" i="4" s="1"/>
  <c r="V450" i="4" s="1"/>
  <c r="BU929" i="4"/>
  <c r="BU930" i="4" s="1"/>
  <c r="BU931" i="4" s="1"/>
  <c r="AN985" i="4"/>
  <c r="AO979" i="4"/>
  <c r="V374" i="4"/>
  <c r="V377" i="4"/>
  <c r="V378" i="4" s="1"/>
  <c r="V379" i="4" s="1"/>
  <c r="AB447" i="4"/>
  <c r="AY972" i="4"/>
  <c r="AZ968" i="4" s="1"/>
  <c r="AZ943" i="4"/>
  <c r="AY34" i="11"/>
  <c r="U34" i="67"/>
  <c r="AY79" i="64"/>
  <c r="AY71" i="64"/>
  <c r="AC366" i="4"/>
  <c r="W364" i="4"/>
  <c r="W367" i="4"/>
  <c r="W368" i="4" s="1"/>
  <c r="W369" i="4" s="1"/>
  <c r="Y433" i="4"/>
  <c r="Y437" i="4"/>
  <c r="Y438" i="4" s="1"/>
  <c r="Y439" i="4" s="1"/>
  <c r="AB436" i="4"/>
  <c r="AX939" i="4"/>
  <c r="AX951" i="4" s="1"/>
  <c r="AC356" i="4" l="1"/>
  <c r="AC357" i="4" s="1"/>
  <c r="AC358" i="4" s="1"/>
  <c r="AC359" i="4" s="1"/>
  <c r="AD354" i="4" s="1"/>
  <c r="AD425" i="4"/>
  <c r="AH325" i="4"/>
  <c r="AH375" i="4" s="1"/>
  <c r="AF376" i="4"/>
  <c r="AG376" i="4" s="1"/>
  <c r="AH446" i="4"/>
  <c r="AG445" i="4"/>
  <c r="AB426" i="4"/>
  <c r="AB427" i="4" s="1"/>
  <c r="AB428" i="4" s="1"/>
  <c r="AC422" i="4" s="1"/>
  <c r="AN37" i="64"/>
  <c r="AN51" i="64" s="1"/>
  <c r="AX43" i="66"/>
  <c r="AX1262" i="4"/>
  <c r="AX1220" i="4"/>
  <c r="AX1245" i="4"/>
  <c r="AX1048" i="4"/>
  <c r="AX77" i="11"/>
  <c r="AX23" i="66"/>
  <c r="X364" i="4"/>
  <c r="X367" i="4"/>
  <c r="X368" i="4" s="1"/>
  <c r="X369" i="4" s="1"/>
  <c r="W374" i="4"/>
  <c r="W377" i="4"/>
  <c r="W378" i="4" s="1"/>
  <c r="W379" i="4" s="1"/>
  <c r="AY937" i="4"/>
  <c r="AY938" i="4" s="1"/>
  <c r="AY939" i="4" s="1"/>
  <c r="AY951" i="4" s="1"/>
  <c r="AD366" i="4"/>
  <c r="AC447" i="4"/>
  <c r="AZ971" i="4"/>
  <c r="AZ105" i="64" s="1"/>
  <c r="AZ63" i="64" s="1"/>
  <c r="AG365" i="4"/>
  <c r="AH435" i="4"/>
  <c r="AG434" i="4"/>
  <c r="AH323" i="4"/>
  <c r="AC436" i="4"/>
  <c r="AO982" i="4"/>
  <c r="AO983" i="4" s="1"/>
  <c r="AQ981" i="4"/>
  <c r="AE423" i="4"/>
  <c r="AF424" i="4"/>
  <c r="AE355" i="4"/>
  <c r="AF320" i="4"/>
  <c r="AN20" i="11"/>
  <c r="AN35" i="11"/>
  <c r="AN33" i="11" s="1"/>
  <c r="AN1387" i="4" s="1"/>
  <c r="AN987" i="4"/>
  <c r="Z433" i="4"/>
  <c r="Z437" i="4"/>
  <c r="Z438" i="4" s="1"/>
  <c r="Z439" i="4" s="1"/>
  <c r="BV927" i="4"/>
  <c r="BU19" i="11"/>
  <c r="AZ945" i="4"/>
  <c r="AZ946" i="4" s="1"/>
  <c r="AZ947" i="4" s="1"/>
  <c r="W444" i="4"/>
  <c r="W448" i="4"/>
  <c r="W449" i="4" s="1"/>
  <c r="W450" i="4" s="1"/>
  <c r="AE425" i="4" l="1"/>
  <c r="AD356" i="4"/>
  <c r="AD357" i="4" s="1"/>
  <c r="AD358" i="4" s="1"/>
  <c r="AD359" i="4" s="1"/>
  <c r="AE354" i="4" s="1"/>
  <c r="AI325" i="4"/>
  <c r="AJ446" i="4" s="1"/>
  <c r="AI446" i="4"/>
  <c r="AH445" i="4"/>
  <c r="AH376" i="4"/>
  <c r="AC426" i="4"/>
  <c r="AC427" i="4" s="1"/>
  <c r="AC428" i="4" s="1"/>
  <c r="AD422" i="4" s="1"/>
  <c r="AP979" i="4"/>
  <c r="AO985" i="4"/>
  <c r="AZ79" i="64"/>
  <c r="AZ71" i="64"/>
  <c r="BV929" i="4"/>
  <c r="BV930" i="4" s="1"/>
  <c r="BV931" i="4" s="1"/>
  <c r="AN1219" i="4"/>
  <c r="AN76" i="11"/>
  <c r="AN1244" i="4"/>
  <c r="AN1258" i="4"/>
  <c r="AN1049" i="4"/>
  <c r="AN1047" i="4"/>
  <c r="AN41" i="66"/>
  <c r="AN66" i="62"/>
  <c r="AD436" i="4"/>
  <c r="AE366" i="4"/>
  <c r="AZ34" i="11"/>
  <c r="BA943" i="4"/>
  <c r="BA945" i="4" s="1"/>
  <c r="BA946" i="4" s="1"/>
  <c r="AI435" i="4"/>
  <c r="AH365" i="4"/>
  <c r="AH434" i="4"/>
  <c r="AI323" i="4"/>
  <c r="U77" i="67"/>
  <c r="AY43" i="66"/>
  <c r="AY1048" i="4"/>
  <c r="AY1245" i="4"/>
  <c r="AY77" i="11"/>
  <c r="AY23" i="66"/>
  <c r="AY1262" i="4"/>
  <c r="AY1220" i="4"/>
  <c r="AO21" i="66"/>
  <c r="AO106" i="64"/>
  <c r="AZ935" i="4"/>
  <c r="U18" i="67"/>
  <c r="AY18" i="11"/>
  <c r="AY950" i="4"/>
  <c r="AA433" i="4"/>
  <c r="AA437" i="4"/>
  <c r="AA438" i="4" s="1"/>
  <c r="AA439" i="4" s="1"/>
  <c r="X374" i="4"/>
  <c r="X377" i="4"/>
  <c r="X378" i="4" s="1"/>
  <c r="X379" i="4" s="1"/>
  <c r="Y364" i="4"/>
  <c r="Y367" i="4"/>
  <c r="Y368" i="4" s="1"/>
  <c r="Y369" i="4" s="1"/>
  <c r="X444" i="4"/>
  <c r="X448" i="4"/>
  <c r="X449" i="4" s="1"/>
  <c r="X450" i="4" s="1"/>
  <c r="AF423" i="4"/>
  <c r="AG424" i="4"/>
  <c r="AF355" i="4"/>
  <c r="AG320" i="4"/>
  <c r="AZ972" i="4"/>
  <c r="BA968" i="4" s="1"/>
  <c r="AD447" i="4"/>
  <c r="AF425" i="4" l="1"/>
  <c r="AE356" i="4"/>
  <c r="AE357" i="4" s="1"/>
  <c r="AE358" i="4" s="1"/>
  <c r="AE359" i="4" s="1"/>
  <c r="AF354" i="4" s="1"/>
  <c r="AJ325" i="4"/>
  <c r="AK325" i="4" s="1"/>
  <c r="AI445" i="4"/>
  <c r="AI375" i="4"/>
  <c r="AI376" i="4" s="1"/>
  <c r="AD426" i="4"/>
  <c r="AD427" i="4" s="1"/>
  <c r="AD428" i="4" s="1"/>
  <c r="AE422" i="4" s="1"/>
  <c r="AE447" i="4"/>
  <c r="Y444" i="4"/>
  <c r="Y448" i="4"/>
  <c r="Y449" i="4" s="1"/>
  <c r="Y450" i="4" s="1"/>
  <c r="AO35" i="64"/>
  <c r="AO36" i="64"/>
  <c r="BA947" i="4"/>
  <c r="BA34" i="11"/>
  <c r="BB943" i="4"/>
  <c r="Z364" i="4"/>
  <c r="Z367" i="4"/>
  <c r="Z368" i="4" s="1"/>
  <c r="Z369" i="4" s="1"/>
  <c r="AB433" i="4"/>
  <c r="AB437" i="4"/>
  <c r="AB438" i="4" s="1"/>
  <c r="AB439" i="4" s="1"/>
  <c r="AF366" i="4"/>
  <c r="BW927" i="4"/>
  <c r="BV19" i="11"/>
  <c r="AH424" i="4"/>
  <c r="AG355" i="4"/>
  <c r="AG423" i="4"/>
  <c r="AH320" i="4"/>
  <c r="Y374" i="4"/>
  <c r="Y377" i="4"/>
  <c r="Y378" i="4" s="1"/>
  <c r="Y379" i="4" s="1"/>
  <c r="AI434" i="4"/>
  <c r="AJ435" i="4"/>
  <c r="AI365" i="4"/>
  <c r="AJ323" i="4"/>
  <c r="AZ937" i="4"/>
  <c r="AZ938" i="4" s="1"/>
  <c r="AZ939" i="4" s="1"/>
  <c r="AZ951" i="4" s="1"/>
  <c r="AO35" i="11"/>
  <c r="AO33" i="11" s="1"/>
  <c r="AO1387" i="4" s="1"/>
  <c r="AO20" i="11"/>
  <c r="AO987" i="4"/>
  <c r="BA971" i="4"/>
  <c r="BA105" i="64" s="1"/>
  <c r="BA63" i="64" s="1"/>
  <c r="AE436" i="4"/>
  <c r="AP982" i="4"/>
  <c r="AP983" i="4" s="1"/>
  <c r="AR981" i="4"/>
  <c r="AG425" i="4" l="1"/>
  <c r="AF356" i="4"/>
  <c r="AF357" i="4" s="1"/>
  <c r="AF358" i="4" s="1"/>
  <c r="AF359" i="4" s="1"/>
  <c r="AG354" i="4" s="1"/>
  <c r="AJ375" i="4"/>
  <c r="AJ376" i="4" s="1"/>
  <c r="AK446" i="4"/>
  <c r="AK445" i="4" s="1"/>
  <c r="AJ445" i="4"/>
  <c r="AE426" i="4"/>
  <c r="AE427" i="4" s="1"/>
  <c r="AE428" i="4" s="1"/>
  <c r="AF422" i="4" s="1"/>
  <c r="BA972" i="4"/>
  <c r="BB968" i="4" s="1"/>
  <c r="BB971" i="4" s="1"/>
  <c r="BB105" i="64" s="1"/>
  <c r="BB63" i="64" s="1"/>
  <c r="AZ1048" i="4"/>
  <c r="AZ43" i="66"/>
  <c r="AZ1220" i="4"/>
  <c r="AZ23" i="66"/>
  <c r="AZ77" i="11"/>
  <c r="AZ1262" i="4"/>
  <c r="AZ1245" i="4"/>
  <c r="AQ979" i="4"/>
  <c r="AP985" i="4"/>
  <c r="AO1244" i="4"/>
  <c r="AO1049" i="4"/>
  <c r="AO41" i="66"/>
  <c r="AO1219" i="4"/>
  <c r="AO1047" i="4"/>
  <c r="AO1258" i="4"/>
  <c r="AO76" i="11"/>
  <c r="AO66" i="62"/>
  <c r="Z374" i="4"/>
  <c r="Z377" i="4"/>
  <c r="Z378" i="4" s="1"/>
  <c r="Z379" i="4" s="1"/>
  <c r="BW929" i="4"/>
  <c r="BW930" i="4" s="1"/>
  <c r="BW931" i="4" s="1"/>
  <c r="AP106" i="64"/>
  <c r="AP21" i="66"/>
  <c r="AL446" i="4"/>
  <c r="AK375" i="4"/>
  <c r="AL325" i="4"/>
  <c r="AG366" i="4"/>
  <c r="AF436" i="4"/>
  <c r="AH423" i="4"/>
  <c r="AH355" i="4"/>
  <c r="AI424" i="4"/>
  <c r="AI320" i="4"/>
  <c r="AO37" i="64"/>
  <c r="AO51" i="64" s="1"/>
  <c r="AK435" i="4"/>
  <c r="AJ434" i="4"/>
  <c r="AJ365" i="4"/>
  <c r="AK323" i="4"/>
  <c r="AC433" i="4"/>
  <c r="AC437" i="4"/>
  <c r="AC438" i="4" s="1"/>
  <c r="AC439" i="4" s="1"/>
  <c r="AA364" i="4"/>
  <c r="AA367" i="4"/>
  <c r="AA368" i="4" s="1"/>
  <c r="AA369" i="4" s="1"/>
  <c r="Z444" i="4"/>
  <c r="Z448" i="4"/>
  <c r="Z449" i="4" s="1"/>
  <c r="Z450" i="4" s="1"/>
  <c r="AZ18" i="11"/>
  <c r="BA935" i="4"/>
  <c r="AZ950" i="4"/>
  <c r="BB945" i="4"/>
  <c r="BB946" i="4" s="1"/>
  <c r="AF447" i="4"/>
  <c r="BA79" i="64"/>
  <c r="BA71" i="64"/>
  <c r="AH425" i="4" l="1"/>
  <c r="AG356" i="4"/>
  <c r="AG357" i="4" s="1"/>
  <c r="AG358" i="4" s="1"/>
  <c r="AG359" i="4" s="1"/>
  <c r="AH354" i="4" s="1"/>
  <c r="AK376" i="4"/>
  <c r="AF426" i="4"/>
  <c r="AF427" i="4" s="1"/>
  <c r="AF428" i="4" s="1"/>
  <c r="AG422" i="4" s="1"/>
  <c r="BB34" i="11"/>
  <c r="BC943" i="4"/>
  <c r="BB71" i="64"/>
  <c r="BB79" i="64"/>
  <c r="AL435" i="4"/>
  <c r="AK365" i="4"/>
  <c r="AK434" i="4"/>
  <c r="AL323" i="4"/>
  <c r="AJ424" i="4"/>
  <c r="AI423" i="4"/>
  <c r="AI355" i="4"/>
  <c r="AJ320" i="4"/>
  <c r="AA444" i="4"/>
  <c r="AA448" i="4"/>
  <c r="AA449" i="4" s="1"/>
  <c r="AA450" i="4" s="1"/>
  <c r="AL375" i="4"/>
  <c r="AL445" i="4"/>
  <c r="AM446" i="4"/>
  <c r="AM325" i="4"/>
  <c r="AB364" i="4"/>
  <c r="AB367" i="4"/>
  <c r="AB368" i="4" s="1"/>
  <c r="AB369" i="4" s="1"/>
  <c r="AG447" i="4"/>
  <c r="BA937" i="4"/>
  <c r="BA938" i="4" s="1"/>
  <c r="BA939" i="4" s="1"/>
  <c r="BA951" i="4" s="1"/>
  <c r="AG436" i="4"/>
  <c r="AP20" i="11"/>
  <c r="AP35" i="11"/>
  <c r="AP33" i="11" s="1"/>
  <c r="AP1387" i="4" s="1"/>
  <c r="AP987" i="4"/>
  <c r="AD433" i="4"/>
  <c r="AD437" i="4"/>
  <c r="AD438" i="4" s="1"/>
  <c r="AD439" i="4" s="1"/>
  <c r="AP35" i="64"/>
  <c r="AP36" i="64"/>
  <c r="BW19" i="11"/>
  <c r="BX927" i="4"/>
  <c r="AA19" i="67"/>
  <c r="AQ982" i="4"/>
  <c r="AQ983" i="4" s="1"/>
  <c r="AS981" i="4"/>
  <c r="BB947" i="4"/>
  <c r="BB972" i="4"/>
  <c r="BC968" i="4" s="1"/>
  <c r="AH366" i="4"/>
  <c r="AA374" i="4"/>
  <c r="AA377" i="4"/>
  <c r="AA378" i="4" s="1"/>
  <c r="AA379" i="4" s="1"/>
  <c r="AI425" i="4" l="1"/>
  <c r="AH356" i="4"/>
  <c r="AH357" i="4" s="1"/>
  <c r="AH358" i="4" s="1"/>
  <c r="AH359" i="4" s="1"/>
  <c r="AI354" i="4" s="1"/>
  <c r="AL376" i="4"/>
  <c r="AP37" i="64"/>
  <c r="AP51" i="64" s="1"/>
  <c r="AG426" i="4"/>
  <c r="AG427" i="4" s="1"/>
  <c r="AG428" i="4" s="1"/>
  <c r="AH422" i="4" s="1"/>
  <c r="AR979" i="4"/>
  <c r="AQ985" i="4"/>
  <c r="BA1262" i="4"/>
  <c r="BA77" i="11"/>
  <c r="BA43" i="66"/>
  <c r="BA1048" i="4"/>
  <c r="BA1245" i="4"/>
  <c r="BA23" i="66"/>
  <c r="BA1220" i="4"/>
  <c r="AB374" i="4"/>
  <c r="AB377" i="4"/>
  <c r="AB378" i="4" s="1"/>
  <c r="AB379" i="4" s="1"/>
  <c r="AM375" i="4"/>
  <c r="AN446" i="4"/>
  <c r="AM445" i="4"/>
  <c r="AN325" i="4"/>
  <c r="AE433" i="4"/>
  <c r="AE437" i="4"/>
  <c r="AE438" i="4" s="1"/>
  <c r="AE439" i="4" s="1"/>
  <c r="AH436" i="4"/>
  <c r="AQ21" i="66"/>
  <c r="AQ106" i="64"/>
  <c r="AC364" i="4"/>
  <c r="AC367" i="4"/>
  <c r="AC368" i="4" s="1"/>
  <c r="AC369" i="4" s="1"/>
  <c r="AJ355" i="4"/>
  <c r="AJ423" i="4"/>
  <c r="AK424" i="4"/>
  <c r="AK320" i="4"/>
  <c r="AI366" i="4"/>
  <c r="BB935" i="4"/>
  <c r="BB937" i="4" s="1"/>
  <c r="BB938" i="4" s="1"/>
  <c r="BA18" i="11"/>
  <c r="BA950" i="4"/>
  <c r="BC945" i="4"/>
  <c r="BC946" i="4" s="1"/>
  <c r="BC947" i="4" s="1"/>
  <c r="BX929" i="4"/>
  <c r="BX930" i="4" s="1"/>
  <c r="BX931" i="4" s="1"/>
  <c r="AP76" i="11"/>
  <c r="AP1219" i="4"/>
  <c r="AP1049" i="4"/>
  <c r="AP1244" i="4"/>
  <c r="AP1258" i="4"/>
  <c r="AP41" i="66"/>
  <c r="AP1047" i="4"/>
  <c r="AP66" i="62"/>
  <c r="AH447" i="4"/>
  <c r="AB444" i="4"/>
  <c r="AB448" i="4"/>
  <c r="AB449" i="4" s="1"/>
  <c r="AB450" i="4" s="1"/>
  <c r="BC971" i="4"/>
  <c r="BC105" i="64" s="1"/>
  <c r="BC63" i="64" s="1"/>
  <c r="AM435" i="4"/>
  <c r="AL434" i="4"/>
  <c r="AL365" i="4"/>
  <c r="AM323" i="4"/>
  <c r="AJ425" i="4" l="1"/>
  <c r="AI356" i="4"/>
  <c r="AI357" i="4" s="1"/>
  <c r="AI358" i="4" s="1"/>
  <c r="AI359" i="4" s="1"/>
  <c r="AJ354" i="4" s="1"/>
  <c r="AM376" i="4"/>
  <c r="AH426" i="4"/>
  <c r="AH427" i="4" s="1"/>
  <c r="AH428" i="4" s="1"/>
  <c r="AI422" i="4" s="1"/>
  <c r="BC972" i="4"/>
  <c r="BD968" i="4" s="1"/>
  <c r="BD971" i="4" s="1"/>
  <c r="BD105" i="64" s="1"/>
  <c r="BD63" i="64" s="1"/>
  <c r="AQ36" i="64"/>
  <c r="AQ35" i="64"/>
  <c r="AM365" i="4"/>
  <c r="AM434" i="4"/>
  <c r="AN435" i="4"/>
  <c r="AN323" i="4"/>
  <c r="AI447" i="4"/>
  <c r="AK423" i="4"/>
  <c r="AK355" i="4"/>
  <c r="AL424" i="4"/>
  <c r="AL320" i="4"/>
  <c r="AF433" i="4"/>
  <c r="AF437" i="4"/>
  <c r="AF438" i="4" s="1"/>
  <c r="AF439" i="4" s="1"/>
  <c r="AC374" i="4"/>
  <c r="AC377" i="4"/>
  <c r="AC378" i="4" s="1"/>
  <c r="AC379" i="4" s="1"/>
  <c r="BD943" i="4"/>
  <c r="V34" i="67"/>
  <c r="BC34" i="11"/>
  <c r="AN375" i="4"/>
  <c r="AN445" i="4"/>
  <c r="AO446" i="4"/>
  <c r="AO325" i="4"/>
  <c r="BX19" i="11"/>
  <c r="BY927" i="4"/>
  <c r="BC79" i="64"/>
  <c r="BC71" i="64"/>
  <c r="BB939" i="4"/>
  <c r="BB951" i="4" s="1"/>
  <c r="BC935" i="4"/>
  <c r="BB18" i="11"/>
  <c r="BB950" i="4"/>
  <c r="AD364" i="4"/>
  <c r="AD367" i="4"/>
  <c r="AD368" i="4" s="1"/>
  <c r="AD369" i="4" s="1"/>
  <c r="AQ20" i="11"/>
  <c r="S20" i="67" s="1"/>
  <c r="AQ35" i="11"/>
  <c r="AQ987" i="4"/>
  <c r="AC444" i="4"/>
  <c r="AC448" i="4"/>
  <c r="AC449" i="4" s="1"/>
  <c r="AC450" i="4" s="1"/>
  <c r="AJ366" i="4"/>
  <c r="AI436" i="4"/>
  <c r="AR982" i="4"/>
  <c r="AR983" i="4" s="1"/>
  <c r="AT981" i="4"/>
  <c r="AK425" i="4" l="1"/>
  <c r="AJ356" i="4"/>
  <c r="AJ357" i="4" s="1"/>
  <c r="AJ358" i="4" s="1"/>
  <c r="AJ359" i="4" s="1"/>
  <c r="AK354" i="4" s="1"/>
  <c r="AN376" i="4"/>
  <c r="AI426" i="4"/>
  <c r="AI427" i="4" s="1"/>
  <c r="AI428" i="4" s="1"/>
  <c r="AJ422" i="4" s="1"/>
  <c r="AQ37" i="64"/>
  <c r="AQ51" i="64" s="1"/>
  <c r="AE364" i="4"/>
  <c r="AE367" i="4"/>
  <c r="AE368" i="4" s="1"/>
  <c r="AE369" i="4" s="1"/>
  <c r="AO375" i="4"/>
  <c r="AO445" i="4"/>
  <c r="AP446" i="4"/>
  <c r="AP325" i="4"/>
  <c r="AD374" i="4"/>
  <c r="AD377" i="4"/>
  <c r="AD378" i="4" s="1"/>
  <c r="AD379" i="4" s="1"/>
  <c r="AD444" i="4"/>
  <c r="AD448" i="4"/>
  <c r="AD449" i="4" s="1"/>
  <c r="AD450" i="4" s="1"/>
  <c r="AS979" i="4"/>
  <c r="AR985" i="4"/>
  <c r="AJ436" i="4"/>
  <c r="AQ1219" i="4"/>
  <c r="AQ1049" i="4"/>
  <c r="AQ1244" i="4"/>
  <c r="AQ41" i="66"/>
  <c r="AQ76" i="11"/>
  <c r="AQ1258" i="4"/>
  <c r="AQ1047" i="4"/>
  <c r="AQ66" i="62"/>
  <c r="S76" i="67"/>
  <c r="AR106" i="64"/>
  <c r="AR21" i="66"/>
  <c r="BC937" i="4"/>
  <c r="BC938" i="4" s="1"/>
  <c r="BC939" i="4" s="1"/>
  <c r="BC951" i="4" s="1"/>
  <c r="BY929" i="4"/>
  <c r="BY930" i="4" s="1"/>
  <c r="AK366" i="4"/>
  <c r="S35" i="67"/>
  <c r="S33" i="67" s="1"/>
  <c r="AQ33" i="11"/>
  <c r="AQ1387" i="4" s="1"/>
  <c r="BB77" i="11"/>
  <c r="BB1220" i="4"/>
  <c r="BB1048" i="4"/>
  <c r="BB23" i="66"/>
  <c r="BB1245" i="4"/>
  <c r="BB1262" i="4"/>
  <c r="BB43" i="66"/>
  <c r="AG433" i="4"/>
  <c r="AG437" i="4"/>
  <c r="AG438" i="4" s="1"/>
  <c r="AG439" i="4" s="1"/>
  <c r="AJ447" i="4"/>
  <c r="BD972" i="4"/>
  <c r="BE968" i="4" s="1"/>
  <c r="BD945" i="4"/>
  <c r="BD946" i="4" s="1"/>
  <c r="BD947" i="4" s="1"/>
  <c r="BD79" i="64"/>
  <c r="BD71" i="64"/>
  <c r="AL355" i="4"/>
  <c r="AM424" i="4"/>
  <c r="AL423" i="4"/>
  <c r="AM320" i="4"/>
  <c r="AN434" i="4"/>
  <c r="AN365" i="4"/>
  <c r="AO435" i="4"/>
  <c r="AO323" i="4"/>
  <c r="AL425" i="4" l="1"/>
  <c r="AK356" i="4"/>
  <c r="AK357" i="4" s="1"/>
  <c r="AK358" i="4" s="1"/>
  <c r="AK359" i="4" s="1"/>
  <c r="AL354" i="4" s="1"/>
  <c r="AO376" i="4"/>
  <c r="AJ426" i="4"/>
  <c r="AJ427" i="4" s="1"/>
  <c r="AJ428" i="4" s="1"/>
  <c r="AK422" i="4" s="1"/>
  <c r="BC43" i="66"/>
  <c r="BC77" i="11"/>
  <c r="BC1262" i="4"/>
  <c r="BC1245" i="4"/>
  <c r="BC1048" i="4"/>
  <c r="BC23" i="66"/>
  <c r="BC1220" i="4"/>
  <c r="V77" i="67"/>
  <c r="BY19" i="11"/>
  <c r="BZ927" i="4"/>
  <c r="AF364" i="4"/>
  <c r="AF367" i="4"/>
  <c r="AF368" i="4" s="1"/>
  <c r="AF369" i="4" s="1"/>
  <c r="AM355" i="4"/>
  <c r="AN424" i="4"/>
  <c r="AM423" i="4"/>
  <c r="AN320" i="4"/>
  <c r="AH433" i="4"/>
  <c r="AH437" i="4"/>
  <c r="AH438" i="4" s="1"/>
  <c r="AH439" i="4" s="1"/>
  <c r="AR35" i="11"/>
  <c r="AR33" i="11" s="1"/>
  <c r="AR1387" i="4" s="1"/>
  <c r="AR20" i="11"/>
  <c r="AR987" i="4"/>
  <c r="V18" i="67"/>
  <c r="BC18" i="11"/>
  <c r="BD935" i="4"/>
  <c r="BD937" i="4" s="1"/>
  <c r="BD938" i="4" s="1"/>
  <c r="BC950" i="4"/>
  <c r="AS982" i="4"/>
  <c r="AS983" i="4" s="1"/>
  <c r="AU981" i="4"/>
  <c r="AE374" i="4"/>
  <c r="AE377" i="4"/>
  <c r="AE378" i="4" s="1"/>
  <c r="AE379" i="4" s="1"/>
  <c r="AR36" i="64"/>
  <c r="AR35" i="64"/>
  <c r="AP375" i="4"/>
  <c r="AP445" i="4"/>
  <c r="AQ446" i="4"/>
  <c r="AQ325" i="4"/>
  <c r="AO434" i="4"/>
  <c r="AP435" i="4"/>
  <c r="AO365" i="4"/>
  <c r="AP323" i="4"/>
  <c r="BE943" i="4"/>
  <c r="BE945" i="4" s="1"/>
  <c r="BE946" i="4" s="1"/>
  <c r="BD34" i="11"/>
  <c r="BE971" i="4"/>
  <c r="BE105" i="64" s="1"/>
  <c r="BE63" i="64" s="1"/>
  <c r="AL366" i="4"/>
  <c r="AK447" i="4"/>
  <c r="BY931" i="4"/>
  <c r="AK436" i="4"/>
  <c r="AE444" i="4"/>
  <c r="AE448" i="4"/>
  <c r="AE449" i="4" s="1"/>
  <c r="AE450" i="4" s="1"/>
  <c r="AM425" i="4" l="1"/>
  <c r="AL356" i="4"/>
  <c r="AL357" i="4" s="1"/>
  <c r="AL358" i="4" s="1"/>
  <c r="AL359" i="4" s="1"/>
  <c r="AM354" i="4" s="1"/>
  <c r="AP376" i="4"/>
  <c r="AK426" i="4"/>
  <c r="AK427" i="4" s="1"/>
  <c r="AK428" i="4" s="1"/>
  <c r="AL422" i="4" s="1"/>
  <c r="AR37" i="64"/>
  <c r="AR51" i="64" s="1"/>
  <c r="BE972" i="4"/>
  <c r="BF968" i="4" s="1"/>
  <c r="BF971" i="4" s="1"/>
  <c r="AT979" i="4"/>
  <c r="AS985" i="4"/>
  <c r="BE71" i="64"/>
  <c r="BE79" i="64"/>
  <c r="AF374" i="4"/>
  <c r="AF377" i="4"/>
  <c r="AF378" i="4" s="1"/>
  <c r="AF379" i="4" s="1"/>
  <c r="AI433" i="4"/>
  <c r="AI437" i="4"/>
  <c r="AI438" i="4" s="1"/>
  <c r="AI439" i="4" s="1"/>
  <c r="AG364" i="4"/>
  <c r="AG367" i="4"/>
  <c r="AG368" i="4" s="1"/>
  <c r="AG369" i="4" s="1"/>
  <c r="BE947" i="4"/>
  <c r="BF943" i="4"/>
  <c r="BE34" i="11"/>
  <c r="AP365" i="4"/>
  <c r="AQ435" i="4"/>
  <c r="AP434" i="4"/>
  <c r="AQ323" i="4"/>
  <c r="AL447" i="4"/>
  <c r="AF444" i="4"/>
  <c r="AF448" i="4"/>
  <c r="AF449" i="4" s="1"/>
  <c r="AF450" i="4" s="1"/>
  <c r="BZ929" i="4"/>
  <c r="BZ930" i="4" s="1"/>
  <c r="BZ931" i="4" s="1"/>
  <c r="AM366" i="4"/>
  <c r="AS106" i="64"/>
  <c r="AS21" i="66"/>
  <c r="AR41" i="66"/>
  <c r="AR1047" i="4"/>
  <c r="AR1049" i="4"/>
  <c r="AR76" i="11"/>
  <c r="AR1219" i="4"/>
  <c r="AR1244" i="4"/>
  <c r="AR1258" i="4"/>
  <c r="AR66" i="62"/>
  <c r="AO424" i="4"/>
  <c r="AN355" i="4"/>
  <c r="AN423" i="4"/>
  <c r="AN425" i="4" s="1"/>
  <c r="AO320" i="4"/>
  <c r="AL436" i="4"/>
  <c r="AR446" i="4"/>
  <c r="AQ375" i="4"/>
  <c r="AQ445" i="4"/>
  <c r="AR325" i="4"/>
  <c r="BD939" i="4"/>
  <c r="BD951" i="4" s="1"/>
  <c r="BD18" i="11"/>
  <c r="BE935" i="4"/>
  <c r="BD950" i="4"/>
  <c r="AM356" i="4" l="1"/>
  <c r="AM357" i="4" s="1"/>
  <c r="AM358" i="4" s="1"/>
  <c r="AM359" i="4" s="1"/>
  <c r="AN354" i="4" s="1"/>
  <c r="AQ376" i="4"/>
  <c r="AL426" i="4"/>
  <c r="AL427" i="4" s="1"/>
  <c r="AL428" i="4" s="1"/>
  <c r="AM422" i="4" s="1"/>
  <c r="BF105" i="64"/>
  <c r="BF63" i="64" s="1"/>
  <c r="BF71" i="64" s="1"/>
  <c r="BF972" i="4"/>
  <c r="BG968" i="4" s="1"/>
  <c r="BG971" i="4" s="1"/>
  <c r="BG105" i="64" s="1"/>
  <c r="BG63" i="64" s="1"/>
  <c r="BE937" i="4"/>
  <c r="BE938" i="4" s="1"/>
  <c r="BE939" i="4" s="1"/>
  <c r="BE951" i="4" s="1"/>
  <c r="AH364" i="4"/>
  <c r="AH367" i="4"/>
  <c r="AH368" i="4" s="1"/>
  <c r="AH369" i="4" s="1"/>
  <c r="CA927" i="4"/>
  <c r="BZ19" i="11"/>
  <c r="BD1048" i="4"/>
  <c r="BD23" i="66"/>
  <c r="BD1262" i="4"/>
  <c r="BD77" i="11"/>
  <c r="BD1245" i="4"/>
  <c r="BD1220" i="4"/>
  <c r="BD43" i="66"/>
  <c r="AJ433" i="4"/>
  <c r="AJ437" i="4"/>
  <c r="AJ438" i="4" s="1"/>
  <c r="AJ439" i="4" s="1"/>
  <c r="BF945" i="4"/>
  <c r="BF946" i="4" s="1"/>
  <c r="BF947" i="4" s="1"/>
  <c r="AG374" i="4"/>
  <c r="AG377" i="4"/>
  <c r="AG378" i="4" s="1"/>
  <c r="AG379" i="4" s="1"/>
  <c r="AM436" i="4"/>
  <c r="AS36" i="64"/>
  <c r="AS35" i="64"/>
  <c r="AG444" i="4"/>
  <c r="AG448" i="4"/>
  <c r="AG449" i="4" s="1"/>
  <c r="AG450" i="4" s="1"/>
  <c r="AQ434" i="4"/>
  <c r="AQ365" i="4"/>
  <c r="AR435" i="4"/>
  <c r="AR323" i="4"/>
  <c r="AS446" i="4"/>
  <c r="AR375" i="4"/>
  <c r="AR445" i="4"/>
  <c r="AS325" i="4"/>
  <c r="AN366" i="4"/>
  <c r="AS20" i="11"/>
  <c r="AS35" i="11"/>
  <c r="AS33" i="11" s="1"/>
  <c r="AS1387" i="4" s="1"/>
  <c r="AS987" i="4"/>
  <c r="AP424" i="4"/>
  <c r="AO355" i="4"/>
  <c r="AO423" i="4"/>
  <c r="AO425" i="4" s="1"/>
  <c r="AP320" i="4"/>
  <c r="AM447" i="4"/>
  <c r="AT982" i="4"/>
  <c r="AV981" i="4"/>
  <c r="AR376" i="4" l="1"/>
  <c r="AN356" i="4"/>
  <c r="AN357" i="4" s="1"/>
  <c r="AN358" i="4" s="1"/>
  <c r="AN359" i="4" s="1"/>
  <c r="AO354" i="4" s="1"/>
  <c r="AM426" i="4"/>
  <c r="AM427" i="4" s="1"/>
  <c r="AM428" i="4" s="1"/>
  <c r="AN422" i="4" s="1"/>
  <c r="BF79" i="64"/>
  <c r="AS37" i="64"/>
  <c r="AS51" i="64" s="1"/>
  <c r="BE1262" i="4"/>
  <c r="BE1245" i="4"/>
  <c r="BE43" i="66"/>
  <c r="BE1048" i="4"/>
  <c r="BE23" i="66"/>
  <c r="BE77" i="11"/>
  <c r="BE1220" i="4"/>
  <c r="AS375" i="4"/>
  <c r="AT446" i="4"/>
  <c r="AS445" i="4"/>
  <c r="AT325" i="4"/>
  <c r="AH444" i="4"/>
  <c r="AH448" i="4"/>
  <c r="AH449" i="4" s="1"/>
  <c r="AH450" i="4" s="1"/>
  <c r="I981" i="4"/>
  <c r="BF34" i="11"/>
  <c r="BG943" i="4"/>
  <c r="CA929" i="4"/>
  <c r="CA930" i="4" s="1"/>
  <c r="CA931" i="4" s="1"/>
  <c r="AT983" i="4"/>
  <c r="AT106" i="64"/>
  <c r="AT21" i="66"/>
  <c r="BG972" i="4"/>
  <c r="BH968" i="4" s="1"/>
  <c r="AI364" i="4"/>
  <c r="AI367" i="4"/>
  <c r="AI368" i="4" s="1"/>
  <c r="AI369" i="4" s="1"/>
  <c r="AS41" i="66"/>
  <c r="AS76" i="11"/>
  <c r="AS1244" i="4"/>
  <c r="AS1047" i="4"/>
  <c r="AS1219" i="4"/>
  <c r="AS1049" i="4"/>
  <c r="AS1258" i="4"/>
  <c r="AS66" i="62"/>
  <c r="AR365" i="4"/>
  <c r="AS435" i="4"/>
  <c r="AR434" i="4"/>
  <c r="AS323" i="4"/>
  <c r="AN436" i="4"/>
  <c r="BG79" i="64"/>
  <c r="BG71" i="64"/>
  <c r="AN447" i="4"/>
  <c r="AO366" i="4"/>
  <c r="AH374" i="4"/>
  <c r="AH377" i="4"/>
  <c r="AH378" i="4" s="1"/>
  <c r="AH379" i="4" s="1"/>
  <c r="AK433" i="4"/>
  <c r="AK437" i="4"/>
  <c r="AK438" i="4" s="1"/>
  <c r="AK439" i="4" s="1"/>
  <c r="AP355" i="4"/>
  <c r="AQ424" i="4"/>
  <c r="AP423" i="4"/>
  <c r="AP425" i="4" s="1"/>
  <c r="AQ320" i="4"/>
  <c r="BE18" i="11"/>
  <c r="BF935" i="4"/>
  <c r="BF937" i="4" s="1"/>
  <c r="BF938" i="4" s="1"/>
  <c r="BE950" i="4"/>
  <c r="AS376" i="4" l="1"/>
  <c r="AO356" i="4"/>
  <c r="AO357" i="4" s="1"/>
  <c r="AO358" i="4" s="1"/>
  <c r="AO359" i="4" s="1"/>
  <c r="AP354" i="4" s="1"/>
  <c r="AN426" i="4"/>
  <c r="AN427" i="4" s="1"/>
  <c r="AN428" i="4" s="1"/>
  <c r="AO422" i="4" s="1"/>
  <c r="AL433" i="4"/>
  <c r="AL437" i="4"/>
  <c r="AL438" i="4" s="1"/>
  <c r="AL439" i="4" s="1"/>
  <c r="BF939" i="4"/>
  <c r="BF951" i="4" s="1"/>
  <c r="BG935" i="4"/>
  <c r="BF18" i="11"/>
  <c r="BF950" i="4"/>
  <c r="BH971" i="4"/>
  <c r="BH105" i="64" s="1"/>
  <c r="BH63" i="64" s="1"/>
  <c r="BG945" i="4"/>
  <c r="BG946" i="4" s="1"/>
  <c r="BG947" i="4" s="1"/>
  <c r="AI444" i="4"/>
  <c r="AI448" i="4"/>
  <c r="AI449" i="4" s="1"/>
  <c r="AI450" i="4" s="1"/>
  <c r="AI374" i="4"/>
  <c r="AI377" i="4"/>
  <c r="AI378" i="4" s="1"/>
  <c r="AI379" i="4" s="1"/>
  <c r="AO436" i="4"/>
  <c r="AT36" i="64"/>
  <c r="AT35" i="64"/>
  <c r="AU446" i="4"/>
  <c r="AT375" i="4"/>
  <c r="AT445" i="4"/>
  <c r="AU325" i="4"/>
  <c r="AQ423" i="4"/>
  <c r="AQ425" i="4" s="1"/>
  <c r="AR424" i="4"/>
  <c r="AQ355" i="4"/>
  <c r="AR320" i="4"/>
  <c r="AU979" i="4"/>
  <c r="AT985" i="4"/>
  <c r="AP366" i="4"/>
  <c r="AS365" i="4"/>
  <c r="AS434" i="4"/>
  <c r="AT435" i="4"/>
  <c r="AT323" i="4"/>
  <c r="AO447" i="4"/>
  <c r="AJ364" i="4"/>
  <c r="AJ367" i="4"/>
  <c r="AJ368" i="4" s="1"/>
  <c r="AJ369" i="4" s="1"/>
  <c r="CA19" i="11"/>
  <c r="CB927" i="4"/>
  <c r="AB19" i="67"/>
  <c r="AT376" i="4" l="1"/>
  <c r="AP356" i="4"/>
  <c r="AP357" i="4" s="1"/>
  <c r="AP358" i="4" s="1"/>
  <c r="AP359" i="4" s="1"/>
  <c r="AQ354" i="4" s="1"/>
  <c r="AO426" i="4"/>
  <c r="AO427" i="4" s="1"/>
  <c r="AO428" i="4" s="1"/>
  <c r="AP422" i="4" s="1"/>
  <c r="AU375" i="4"/>
  <c r="AU445" i="4"/>
  <c r="AV446" i="4"/>
  <c r="AV325" i="4"/>
  <c r="AJ374" i="4"/>
  <c r="AJ377" i="4"/>
  <c r="AJ378" i="4" s="1"/>
  <c r="AJ379" i="4" s="1"/>
  <c r="AT35" i="11"/>
  <c r="AT33" i="11" s="1"/>
  <c r="AT1387" i="4" s="1"/>
  <c r="AT20" i="11"/>
  <c r="AT987" i="4"/>
  <c r="AJ444" i="4"/>
  <c r="AJ448" i="4"/>
  <c r="AJ449" i="4" s="1"/>
  <c r="AJ450" i="4" s="1"/>
  <c r="BG937" i="4"/>
  <c r="BG938" i="4" s="1"/>
  <c r="BG939" i="4" s="1"/>
  <c r="BG951" i="4" s="1"/>
  <c r="W77" i="67" s="1"/>
  <c r="CB929" i="4"/>
  <c r="CB930" i="4" s="1"/>
  <c r="CB931" i="4" s="1"/>
  <c r="AT434" i="4"/>
  <c r="AU435" i="4"/>
  <c r="AT365" i="4"/>
  <c r="AU323" i="4"/>
  <c r="AU982" i="4"/>
  <c r="AU983" i="4" s="1"/>
  <c r="AW981" i="4"/>
  <c r="BF23" i="66"/>
  <c r="BF1048" i="4"/>
  <c r="BF1245" i="4"/>
  <c r="BF1220" i="4"/>
  <c r="BF1262" i="4"/>
  <c r="BF43" i="66"/>
  <c r="BF77" i="11"/>
  <c r="AS424" i="4"/>
  <c r="AR423" i="4"/>
  <c r="AR425" i="4" s="1"/>
  <c r="AR355" i="4"/>
  <c r="AS320" i="4"/>
  <c r="AT37" i="64"/>
  <c r="AT51" i="64" s="1"/>
  <c r="AK364" i="4"/>
  <c r="AK367" i="4"/>
  <c r="AK368" i="4" s="1"/>
  <c r="AK369" i="4" s="1"/>
  <c r="BG34" i="11"/>
  <c r="W34" i="67"/>
  <c r="BH943" i="4"/>
  <c r="BH945" i="4" s="1"/>
  <c r="BH946" i="4" s="1"/>
  <c r="AM433" i="4"/>
  <c r="AM437" i="4"/>
  <c r="AM438" i="4" s="1"/>
  <c r="AM439" i="4" s="1"/>
  <c r="AP436" i="4"/>
  <c r="BH972" i="4"/>
  <c r="BI968" i="4" s="1"/>
  <c r="AP447" i="4"/>
  <c r="AQ366" i="4"/>
  <c r="BH71" i="64"/>
  <c r="BH79" i="64"/>
  <c r="AU376" i="4" l="1"/>
  <c r="AQ356" i="4"/>
  <c r="AQ357" i="4" s="1"/>
  <c r="AQ358" i="4" s="1"/>
  <c r="AQ359" i="4" s="1"/>
  <c r="AR354" i="4" s="1"/>
  <c r="AP426" i="4"/>
  <c r="AP427" i="4" s="1"/>
  <c r="AP428" i="4" s="1"/>
  <c r="AQ422" i="4" s="1"/>
  <c r="AQ436" i="4"/>
  <c r="AV435" i="4"/>
  <c r="AU365" i="4"/>
  <c r="AU434" i="4"/>
  <c r="AV323" i="4"/>
  <c r="AK444" i="4"/>
  <c r="AK448" i="4"/>
  <c r="AK449" i="4" s="1"/>
  <c r="AK450" i="4" s="1"/>
  <c r="AK374" i="4"/>
  <c r="AK377" i="4"/>
  <c r="AK378" i="4" s="1"/>
  <c r="AK379" i="4" s="1"/>
  <c r="AR366" i="4"/>
  <c r="AL364" i="4"/>
  <c r="AL367" i="4"/>
  <c r="AL368" i="4" s="1"/>
  <c r="AL369" i="4" s="1"/>
  <c r="AT424" i="4"/>
  <c r="AS423" i="4"/>
  <c r="AS425" i="4" s="1"/>
  <c r="AS355" i="4"/>
  <c r="AT320" i="4"/>
  <c r="AW446" i="4"/>
  <c r="AV375" i="4"/>
  <c r="AV445" i="4"/>
  <c r="AW325" i="4"/>
  <c r="AN433" i="4"/>
  <c r="AN437" i="4"/>
  <c r="AN438" i="4" s="1"/>
  <c r="AN439" i="4" s="1"/>
  <c r="AT1047" i="4"/>
  <c r="AT1219" i="4"/>
  <c r="AT41" i="66"/>
  <c r="AT76" i="11"/>
  <c r="AT1244" i="4"/>
  <c r="AT1258" i="4"/>
  <c r="AT1049" i="4"/>
  <c r="AT66" i="62"/>
  <c r="AQ447" i="4"/>
  <c r="BH947" i="4"/>
  <c r="BI943" i="4"/>
  <c r="BH34" i="11"/>
  <c r="CB19" i="11"/>
  <c r="CC927" i="4"/>
  <c r="AV979" i="4"/>
  <c r="AU985" i="4"/>
  <c r="BG1245" i="4"/>
  <c r="BG1048" i="4"/>
  <c r="BG1220" i="4"/>
  <c r="BG1262" i="4"/>
  <c r="BG77" i="11"/>
  <c r="BG23" i="66"/>
  <c r="BG43" i="66"/>
  <c r="BI971" i="4"/>
  <c r="BI105" i="64" s="1"/>
  <c r="BI63" i="64" s="1"/>
  <c r="AU106" i="64"/>
  <c r="AU21" i="66"/>
  <c r="W18" i="67"/>
  <c r="BG18" i="11"/>
  <c r="BH935" i="4"/>
  <c r="BG950" i="4"/>
  <c r="AV376" i="4" l="1"/>
  <c r="AR356" i="4"/>
  <c r="AR357" i="4" s="1"/>
  <c r="AR358" i="4" s="1"/>
  <c r="AR359" i="4" s="1"/>
  <c r="AS354" i="4" s="1"/>
  <c r="AQ426" i="4"/>
  <c r="AQ427" i="4" s="1"/>
  <c r="AQ428" i="4" s="1"/>
  <c r="AR422" i="4" s="1"/>
  <c r="BI972" i="4"/>
  <c r="BJ968" i="4" s="1"/>
  <c r="BJ971" i="4" s="1"/>
  <c r="BJ105" i="64" s="1"/>
  <c r="BJ63" i="64" s="1"/>
  <c r="AU35" i="11"/>
  <c r="AU20" i="11"/>
  <c r="T20" i="67" s="1"/>
  <c r="AU987" i="4"/>
  <c r="BI945" i="4"/>
  <c r="BI946" i="4" s="1"/>
  <c r="BI947" i="4" s="1"/>
  <c r="BH937" i="4"/>
  <c r="BH938" i="4" s="1"/>
  <c r="BH939" i="4" s="1"/>
  <c r="BH951" i="4" s="1"/>
  <c r="AV982" i="4"/>
  <c r="AV983" i="4" s="1"/>
  <c r="AX981" i="4"/>
  <c r="CC929" i="4"/>
  <c r="CC930" i="4" s="1"/>
  <c r="CC931" i="4" s="1"/>
  <c r="AT355" i="4"/>
  <c r="AU424" i="4"/>
  <c r="AT423" i="4"/>
  <c r="AT425" i="4" s="1"/>
  <c r="AU320" i="4"/>
  <c r="AL374" i="4"/>
  <c r="AL377" i="4"/>
  <c r="AL378" i="4" s="1"/>
  <c r="AL379" i="4" s="1"/>
  <c r="AU36" i="64"/>
  <c r="AU35" i="64"/>
  <c r="AR447" i="4"/>
  <c r="AO433" i="4"/>
  <c r="AO437" i="4"/>
  <c r="AO438" i="4" s="1"/>
  <c r="AO439" i="4" s="1"/>
  <c r="AL444" i="4"/>
  <c r="AL448" i="4"/>
  <c r="AL449" i="4" s="1"/>
  <c r="AL450" i="4" s="1"/>
  <c r="AX446" i="4"/>
  <c r="AW445" i="4"/>
  <c r="AW375" i="4"/>
  <c r="AX325" i="4"/>
  <c r="AR436" i="4"/>
  <c r="AM364" i="4"/>
  <c r="AM367" i="4"/>
  <c r="AM368" i="4" s="1"/>
  <c r="AM369" i="4" s="1"/>
  <c r="AW435" i="4"/>
  <c r="AV365" i="4"/>
  <c r="AV434" i="4"/>
  <c r="AW323" i="4"/>
  <c r="BI71" i="64"/>
  <c r="BI79" i="64"/>
  <c r="AS366" i="4"/>
  <c r="AW376" i="4" l="1"/>
  <c r="AS356" i="4"/>
  <c r="AS357" i="4" s="1"/>
  <c r="AS358" i="4" s="1"/>
  <c r="AS359" i="4" s="1"/>
  <c r="AT354" i="4" s="1"/>
  <c r="AR426" i="4"/>
  <c r="AR427" i="4" s="1"/>
  <c r="AR428" i="4" s="1"/>
  <c r="AS422" i="4" s="1"/>
  <c r="BJ972" i="4"/>
  <c r="BK968" i="4" s="1"/>
  <c r="BK971" i="4" s="1"/>
  <c r="BK105" i="64" s="1"/>
  <c r="BK63" i="64" s="1"/>
  <c r="BH1245" i="4"/>
  <c r="BH23" i="66"/>
  <c r="BH1262" i="4"/>
  <c r="BH77" i="11"/>
  <c r="BH43" i="66"/>
  <c r="BH1220" i="4"/>
  <c r="BH1048" i="4"/>
  <c r="AV985" i="4"/>
  <c r="AW979" i="4"/>
  <c r="AN364" i="4"/>
  <c r="AN367" i="4"/>
  <c r="AN368" i="4" s="1"/>
  <c r="AN369" i="4" s="1"/>
  <c r="AS447" i="4"/>
  <c r="AT366" i="4"/>
  <c r="BI935" i="4"/>
  <c r="BH18" i="11"/>
  <c r="BH950" i="4"/>
  <c r="AU37" i="64"/>
  <c r="AU51" i="64" s="1"/>
  <c r="BJ71" i="64"/>
  <c r="BJ79" i="64"/>
  <c r="CD927" i="4"/>
  <c r="CC19" i="11"/>
  <c r="BJ943" i="4"/>
  <c r="BI34" i="11"/>
  <c r="AW434" i="4"/>
  <c r="AX435" i="4"/>
  <c r="AW365" i="4"/>
  <c r="AX323" i="4"/>
  <c r="AS436" i="4"/>
  <c r="AM374" i="4"/>
  <c r="AM377" i="4"/>
  <c r="AM378" i="4" s="1"/>
  <c r="AM379" i="4" s="1"/>
  <c r="AU1219" i="4"/>
  <c r="AU76" i="11"/>
  <c r="AU1047" i="4"/>
  <c r="AU41" i="66"/>
  <c r="AU1244" i="4"/>
  <c r="AU1258" i="4"/>
  <c r="AU1049" i="4"/>
  <c r="AU66" i="62"/>
  <c r="T76" i="67"/>
  <c r="AM444" i="4"/>
  <c r="AM448" i="4"/>
  <c r="AM449" i="4" s="1"/>
  <c r="AM450" i="4" s="1"/>
  <c r="AX445" i="4"/>
  <c r="AX375" i="4"/>
  <c r="AY446" i="4"/>
  <c r="AY325" i="4"/>
  <c r="AP433" i="4"/>
  <c r="AP437" i="4"/>
  <c r="AP438" i="4" s="1"/>
  <c r="AP439" i="4" s="1"/>
  <c r="AU423" i="4"/>
  <c r="AU425" i="4" s="1"/>
  <c r="AV424" i="4"/>
  <c r="AU355" i="4"/>
  <c r="AV320" i="4"/>
  <c r="I982" i="4"/>
  <c r="AV21" i="66"/>
  <c r="AV106" i="64"/>
  <c r="T35" i="67"/>
  <c r="T33" i="67" s="1"/>
  <c r="AU33" i="11"/>
  <c r="AU1387" i="4" s="1"/>
  <c r="AX376" i="4" l="1"/>
  <c r="AT356" i="4"/>
  <c r="AT357" i="4" s="1"/>
  <c r="AT358" i="4" s="1"/>
  <c r="AT359" i="4" s="1"/>
  <c r="AU354" i="4" s="1"/>
  <c r="AS426" i="4"/>
  <c r="AS427" i="4" s="1"/>
  <c r="AS428" i="4" s="1"/>
  <c r="AT422" i="4" s="1"/>
  <c r="AY445" i="4"/>
  <c r="AY375" i="4"/>
  <c r="AZ446" i="4"/>
  <c r="AZ325" i="4"/>
  <c r="BJ945" i="4"/>
  <c r="BJ946" i="4" s="1"/>
  <c r="BJ947" i="4" s="1"/>
  <c r="AW424" i="4"/>
  <c r="AV355" i="4"/>
  <c r="AV423" i="4"/>
  <c r="AV425" i="4" s="1"/>
  <c r="AW320" i="4"/>
  <c r="AT436" i="4"/>
  <c r="BI937" i="4"/>
  <c r="BI938" i="4" s="1"/>
  <c r="BI939" i="4" s="1"/>
  <c r="BI951" i="4" s="1"/>
  <c r="AO364" i="4"/>
  <c r="AO367" i="4"/>
  <c r="AO368" i="4" s="1"/>
  <c r="AO369" i="4" s="1"/>
  <c r="AX365" i="4"/>
  <c r="AY435" i="4"/>
  <c r="AX434" i="4"/>
  <c r="AY323" i="4"/>
  <c r="CD929" i="4"/>
  <c r="CD930" i="4" s="1"/>
  <c r="CD931" i="4" s="1"/>
  <c r="AW982" i="4"/>
  <c r="AW983" i="4" s="1"/>
  <c r="AY981" i="4"/>
  <c r="AU366" i="4"/>
  <c r="AV35" i="11"/>
  <c r="AV33" i="11" s="1"/>
  <c r="AV1387" i="4" s="1"/>
  <c r="AV20" i="11"/>
  <c r="AV987" i="4"/>
  <c r="AQ433" i="4"/>
  <c r="AQ437" i="4"/>
  <c r="AQ438" i="4" s="1"/>
  <c r="AQ439" i="4" s="1"/>
  <c r="AN444" i="4"/>
  <c r="AN448" i="4"/>
  <c r="AN449" i="4" s="1"/>
  <c r="AN450" i="4" s="1"/>
  <c r="BK972" i="4"/>
  <c r="BL968" i="4" s="1"/>
  <c r="AV35" i="64"/>
  <c r="AV36" i="64"/>
  <c r="AN374" i="4"/>
  <c r="AN377" i="4"/>
  <c r="AN378" i="4" s="1"/>
  <c r="AN379" i="4" s="1"/>
  <c r="BK71" i="64"/>
  <c r="BK79" i="64"/>
  <c r="AT447" i="4"/>
  <c r="AY376" i="4" l="1"/>
  <c r="AU356" i="4"/>
  <c r="AV356" i="4" s="1"/>
  <c r="AT426" i="4"/>
  <c r="AT427" i="4" s="1"/>
  <c r="AT428" i="4" s="1"/>
  <c r="AU422" i="4" s="1"/>
  <c r="AV37" i="64"/>
  <c r="AV51" i="64" s="1"/>
  <c r="BI1262" i="4"/>
  <c r="BI23" i="66"/>
  <c r="BI77" i="11"/>
  <c r="BI1245" i="4"/>
  <c r="BI1048" i="4"/>
  <c r="BI1220" i="4"/>
  <c r="BI43" i="66"/>
  <c r="AU447" i="4"/>
  <c r="AR433" i="4"/>
  <c r="AR437" i="4"/>
  <c r="AR438" i="4" s="1"/>
  <c r="AR439" i="4" s="1"/>
  <c r="AZ435" i="4"/>
  <c r="AY434" i="4"/>
  <c r="AY365" i="4"/>
  <c r="AZ323" i="4"/>
  <c r="BL971" i="4"/>
  <c r="BL105" i="64" s="1"/>
  <c r="BL63" i="64" s="1"/>
  <c r="BK943" i="4"/>
  <c r="BJ34" i="11"/>
  <c r="AV1244" i="4"/>
  <c r="AV1047" i="4"/>
  <c r="AV1219" i="4"/>
  <c r="AV76" i="11"/>
  <c r="AV1258" i="4"/>
  <c r="AV1049" i="4"/>
  <c r="AV41" i="66"/>
  <c r="AV66" i="62"/>
  <c r="BJ935" i="4"/>
  <c r="BI18" i="11"/>
  <c r="BI950" i="4"/>
  <c r="AW423" i="4"/>
  <c r="AW425" i="4" s="1"/>
  <c r="AX424" i="4"/>
  <c r="AW355" i="4"/>
  <c r="AX320" i="4"/>
  <c r="AU436" i="4"/>
  <c r="AX979" i="4"/>
  <c r="AW985" i="4"/>
  <c r="AZ445" i="4"/>
  <c r="AZ375" i="4"/>
  <c r="AZ376" i="4" s="1"/>
  <c r="BA446" i="4"/>
  <c r="BA325" i="4"/>
  <c r="AO374" i="4"/>
  <c r="AO377" i="4"/>
  <c r="AO378" i="4" s="1"/>
  <c r="AO379" i="4" s="1"/>
  <c r="AW21" i="66"/>
  <c r="AW106" i="64"/>
  <c r="AO444" i="4"/>
  <c r="AO448" i="4"/>
  <c r="AO449" i="4" s="1"/>
  <c r="AO450" i="4" s="1"/>
  <c r="AV366" i="4"/>
  <c r="CE927" i="4"/>
  <c r="CD19" i="11"/>
  <c r="AP364" i="4"/>
  <c r="AP367" i="4"/>
  <c r="AP368" i="4" s="1"/>
  <c r="AP369" i="4" s="1"/>
  <c r="AU357" i="4" l="1"/>
  <c r="AU358" i="4" s="1"/>
  <c r="AU359" i="4" s="1"/>
  <c r="AV354" i="4" s="1"/>
  <c r="AW356" i="4"/>
  <c r="AU426" i="4"/>
  <c r="AU427" i="4" s="1"/>
  <c r="AU428" i="4" s="1"/>
  <c r="AV422" i="4" s="1"/>
  <c r="AW36" i="64"/>
  <c r="AW35" i="64"/>
  <c r="AP374" i="4"/>
  <c r="AP377" i="4"/>
  <c r="AP378" i="4" s="1"/>
  <c r="AP379" i="4" s="1"/>
  <c r="BJ937" i="4"/>
  <c r="BJ938" i="4" s="1"/>
  <c r="BJ939" i="4" s="1"/>
  <c r="BJ951" i="4" s="1"/>
  <c r="AQ364" i="4"/>
  <c r="AQ367" i="4"/>
  <c r="AQ368" i="4" s="1"/>
  <c r="AQ369" i="4" s="1"/>
  <c r="AW366" i="4"/>
  <c r="AW20" i="11"/>
  <c r="AW35" i="11"/>
  <c r="AW33" i="11" s="1"/>
  <c r="AW1387" i="4" s="1"/>
  <c r="AW987" i="4"/>
  <c r="AS433" i="4"/>
  <c r="AS437" i="4"/>
  <c r="AS438" i="4" s="1"/>
  <c r="AS439" i="4" s="1"/>
  <c r="BA445" i="4"/>
  <c r="BB446" i="4"/>
  <c r="BA375" i="4"/>
  <c r="BA376" i="4" s="1"/>
  <c r="BB325" i="4"/>
  <c r="AX982" i="4"/>
  <c r="AX983" i="4" s="1"/>
  <c r="AZ981" i="4"/>
  <c r="AX355" i="4"/>
  <c r="AY424" i="4"/>
  <c r="AX423" i="4"/>
  <c r="AX425" i="4" s="1"/>
  <c r="AY320" i="4"/>
  <c r="AP444" i="4"/>
  <c r="AP448" i="4"/>
  <c r="AP449" i="4" s="1"/>
  <c r="AP450" i="4" s="1"/>
  <c r="AV436" i="4"/>
  <c r="BK945" i="4"/>
  <c r="BK946" i="4" s="1"/>
  <c r="BK947" i="4" s="1"/>
  <c r="BL972" i="4"/>
  <c r="BM968" i="4" s="1"/>
  <c r="AV447" i="4"/>
  <c r="BL71" i="64"/>
  <c r="BL79" i="64"/>
  <c r="CE929" i="4"/>
  <c r="CE930" i="4" s="1"/>
  <c r="CE931" i="4" s="1"/>
  <c r="AZ434" i="4"/>
  <c r="BA435" i="4"/>
  <c r="AZ365" i="4"/>
  <c r="BA323" i="4"/>
  <c r="AV357" i="4" l="1"/>
  <c r="AV358" i="4" s="1"/>
  <c r="AV359" i="4" s="1"/>
  <c r="AW354" i="4" s="1"/>
  <c r="AX356" i="4"/>
  <c r="AV426" i="4"/>
  <c r="AV427" i="4" s="1"/>
  <c r="AV428" i="4" s="1"/>
  <c r="AW422" i="4" s="1"/>
  <c r="AW37" i="64"/>
  <c r="AW51" i="64" s="1"/>
  <c r="AY979" i="4"/>
  <c r="AX985" i="4"/>
  <c r="BJ1245" i="4"/>
  <c r="BJ1220" i="4"/>
  <c r="BJ77" i="11"/>
  <c r="BJ1048" i="4"/>
  <c r="BJ1262" i="4"/>
  <c r="BJ23" i="66"/>
  <c r="BJ43" i="66"/>
  <c r="AW1244" i="4"/>
  <c r="AW1258" i="4"/>
  <c r="AW1219" i="4"/>
  <c r="AW76" i="11"/>
  <c r="AW1047" i="4"/>
  <c r="AW1049" i="4"/>
  <c r="AW41" i="66"/>
  <c r="AW66" i="62"/>
  <c r="CF927" i="4"/>
  <c r="CF929" i="4" s="1"/>
  <c r="CF930" i="4" s="1"/>
  <c r="AC19" i="67"/>
  <c r="CE19" i="11"/>
  <c r="AQ444" i="4"/>
  <c r="AQ448" i="4"/>
  <c r="AQ449" i="4" s="1"/>
  <c r="AQ450" i="4" s="1"/>
  <c r="AX21" i="66"/>
  <c r="AX106" i="64"/>
  <c r="BJ18" i="11"/>
  <c r="BK935" i="4"/>
  <c r="BJ950" i="4"/>
  <c r="AW447" i="4"/>
  <c r="BC446" i="4"/>
  <c r="BB375" i="4"/>
  <c r="BB376" i="4" s="1"/>
  <c r="BB445" i="4"/>
  <c r="BC325" i="4"/>
  <c r="BB435" i="4"/>
  <c r="BA365" i="4"/>
  <c r="BA434" i="4"/>
  <c r="BB323" i="4"/>
  <c r="AY423" i="4"/>
  <c r="AY425" i="4" s="1"/>
  <c r="AZ424" i="4"/>
  <c r="AY355" i="4"/>
  <c r="AZ320" i="4"/>
  <c r="BM971" i="4"/>
  <c r="BM105" i="64" s="1"/>
  <c r="BM63" i="64" s="1"/>
  <c r="AX366" i="4"/>
  <c r="AQ374" i="4"/>
  <c r="AQ377" i="4"/>
  <c r="AQ378" i="4" s="1"/>
  <c r="AQ379" i="4" s="1"/>
  <c r="BL943" i="4"/>
  <c r="BL945" i="4" s="1"/>
  <c r="BL946" i="4" s="1"/>
  <c r="BK34" i="11"/>
  <c r="X34" i="67"/>
  <c r="AT433" i="4"/>
  <c r="AT437" i="4"/>
  <c r="AT438" i="4" s="1"/>
  <c r="AT439" i="4" s="1"/>
  <c r="AR364" i="4"/>
  <c r="AR367" i="4"/>
  <c r="AR368" i="4" s="1"/>
  <c r="AR369" i="4" s="1"/>
  <c r="AW436" i="4"/>
  <c r="AY356" i="4" l="1"/>
  <c r="AW357" i="4"/>
  <c r="AW358" i="4" s="1"/>
  <c r="AW359" i="4" s="1"/>
  <c r="AX354" i="4" s="1"/>
  <c r="AW426" i="4"/>
  <c r="AW427" i="4" s="1"/>
  <c r="AW428" i="4" s="1"/>
  <c r="AX422" i="4" s="1"/>
  <c r="AX35" i="64"/>
  <c r="AX36" i="64"/>
  <c r="AR374" i="4"/>
  <c r="AR377" i="4"/>
  <c r="AR378" i="4" s="1"/>
  <c r="AR379" i="4" s="1"/>
  <c r="AX436" i="4"/>
  <c r="BL947" i="4"/>
  <c r="BL34" i="11"/>
  <c r="BM943" i="4"/>
  <c r="AR444" i="4"/>
  <c r="AR448" i="4"/>
  <c r="AR449" i="4" s="1"/>
  <c r="AR450" i="4" s="1"/>
  <c r="AY366" i="4"/>
  <c r="BB365" i="4"/>
  <c r="BB434" i="4"/>
  <c r="BC435" i="4"/>
  <c r="BC323" i="4"/>
  <c r="AX447" i="4"/>
  <c r="AS364" i="4"/>
  <c r="AS367" i="4"/>
  <c r="AS368" i="4" s="1"/>
  <c r="AS369" i="4" s="1"/>
  <c r="BM972" i="4"/>
  <c r="BN968" i="4" s="1"/>
  <c r="AX20" i="11"/>
  <c r="AX35" i="11"/>
  <c r="AX33" i="11" s="1"/>
  <c r="AX1387" i="4" s="1"/>
  <c r="AX987" i="4"/>
  <c r="BM71" i="64"/>
  <c r="BM79" i="64"/>
  <c r="BK937" i="4"/>
  <c r="BK938" i="4" s="1"/>
  <c r="BK939" i="4" s="1"/>
  <c r="BK951" i="4" s="1"/>
  <c r="AY982" i="4"/>
  <c r="AY983" i="4" s="1"/>
  <c r="BA981" i="4"/>
  <c r="AU433" i="4"/>
  <c r="AU437" i="4"/>
  <c r="AU438" i="4" s="1"/>
  <c r="AU439" i="4" s="1"/>
  <c r="AZ423" i="4"/>
  <c r="AZ425" i="4" s="1"/>
  <c r="BA424" i="4"/>
  <c r="AZ355" i="4"/>
  <c r="BA320" i="4"/>
  <c r="BC445" i="4"/>
  <c r="BC375" i="4"/>
  <c r="BC376" i="4" s="1"/>
  <c r="BD446" i="4"/>
  <c r="BD325" i="4"/>
  <c r="CF931" i="4"/>
  <c r="CF19" i="11"/>
  <c r="CG927" i="4"/>
  <c r="AZ356" i="4" l="1"/>
  <c r="AX357" i="4"/>
  <c r="AX358" i="4" s="1"/>
  <c r="AX359" i="4" s="1"/>
  <c r="AY354" i="4" s="1"/>
  <c r="AX426" i="4"/>
  <c r="AX427" i="4" s="1"/>
  <c r="AX428" i="4" s="1"/>
  <c r="AY422" i="4" s="1"/>
  <c r="AZ979" i="4"/>
  <c r="AY985" i="4"/>
  <c r="BK1048" i="4"/>
  <c r="BK1220" i="4"/>
  <c r="BK23" i="66"/>
  <c r="BK43" i="66"/>
  <c r="BK1262" i="4"/>
  <c r="BK77" i="11"/>
  <c r="BK1245" i="4"/>
  <c r="X77" i="67"/>
  <c r="BC365" i="4"/>
  <c r="BC434" i="4"/>
  <c r="BD435" i="4"/>
  <c r="BD323" i="4"/>
  <c r="AY21" i="66"/>
  <c r="AY106" i="64"/>
  <c r="BN971" i="4"/>
  <c r="BN105" i="64" s="1"/>
  <c r="BN63" i="64" s="1"/>
  <c r="BM945" i="4"/>
  <c r="BM946" i="4" s="1"/>
  <c r="BA355" i="4"/>
  <c r="BB424" i="4"/>
  <c r="BA423" i="4"/>
  <c r="BA425" i="4" s="1"/>
  <c r="BB320" i="4"/>
  <c r="CG929" i="4"/>
  <c r="CG930" i="4" s="1"/>
  <c r="CG931" i="4" s="1"/>
  <c r="X18" i="67"/>
  <c r="BK18" i="11"/>
  <c r="BL935" i="4"/>
  <c r="BK950" i="4"/>
  <c r="AX37" i="64"/>
  <c r="AX51" i="64" s="1"/>
  <c r="AT364" i="4"/>
  <c r="AT367" i="4"/>
  <c r="AT368" i="4" s="1"/>
  <c r="AT369" i="4" s="1"/>
  <c r="AZ366" i="4"/>
  <c r="AY436" i="4"/>
  <c r="AV433" i="4"/>
  <c r="AV437" i="4"/>
  <c r="AV438" i="4" s="1"/>
  <c r="AV439" i="4" s="1"/>
  <c r="BD445" i="4"/>
  <c r="BE446" i="4"/>
  <c r="BD375" i="4"/>
  <c r="BD376" i="4" s="1"/>
  <c r="BE325" i="4"/>
  <c r="AX41" i="66"/>
  <c r="AX1049" i="4"/>
  <c r="AX1219" i="4"/>
  <c r="AX1047" i="4"/>
  <c r="AX76" i="11"/>
  <c r="AX1258" i="4"/>
  <c r="AX1244" i="4"/>
  <c r="AX66" i="62"/>
  <c r="AY447" i="4"/>
  <c r="AS444" i="4"/>
  <c r="AS448" i="4"/>
  <c r="AS449" i="4" s="1"/>
  <c r="AS450" i="4" s="1"/>
  <c r="AS374" i="4"/>
  <c r="AS377" i="4"/>
  <c r="AS378" i="4" s="1"/>
  <c r="AS379" i="4" s="1"/>
  <c r="BA356" i="4" l="1"/>
  <c r="AY357" i="4"/>
  <c r="AY358" i="4" s="1"/>
  <c r="AY359" i="4" s="1"/>
  <c r="AZ354" i="4" s="1"/>
  <c r="AY426" i="4"/>
  <c r="AY427" i="4" s="1"/>
  <c r="AY428" i="4" s="1"/>
  <c r="AZ422" i="4" s="1"/>
  <c r="AT374" i="4"/>
  <c r="AT377" i="4"/>
  <c r="AT378" i="4" s="1"/>
  <c r="AT379" i="4" s="1"/>
  <c r="AZ447" i="4"/>
  <c r="BL937" i="4"/>
  <c r="BL938" i="4" s="1"/>
  <c r="BL939" i="4" s="1"/>
  <c r="BL951" i="4" s="1"/>
  <c r="BM34" i="11"/>
  <c r="BN943" i="4"/>
  <c r="BA366" i="4"/>
  <c r="BN972" i="4"/>
  <c r="BO968" i="4" s="1"/>
  <c r="BN79" i="64"/>
  <c r="BN71" i="64"/>
  <c r="AU364" i="4"/>
  <c r="AU367" i="4"/>
  <c r="AU368" i="4" s="1"/>
  <c r="AU369" i="4" s="1"/>
  <c r="BB423" i="4"/>
  <c r="BB425" i="4" s="1"/>
  <c r="BC424" i="4"/>
  <c r="BB355" i="4"/>
  <c r="BC320" i="4"/>
  <c r="AY36" i="64"/>
  <c r="AY35" i="64"/>
  <c r="AW433" i="4"/>
  <c r="AW437" i="4"/>
  <c r="AW438" i="4" s="1"/>
  <c r="AW439" i="4" s="1"/>
  <c r="CG19" i="11"/>
  <c r="CH927" i="4"/>
  <c r="BE375" i="4"/>
  <c r="BE376" i="4" s="1"/>
  <c r="BF446" i="4"/>
  <c r="BE445" i="4"/>
  <c r="BF325" i="4"/>
  <c r="BD434" i="4"/>
  <c r="BE435" i="4"/>
  <c r="BD365" i="4"/>
  <c r="BE323" i="4"/>
  <c r="AY20" i="11"/>
  <c r="U20" i="67" s="1"/>
  <c r="AY35" i="11"/>
  <c r="AY987" i="4"/>
  <c r="AT444" i="4"/>
  <c r="AT448" i="4"/>
  <c r="AT449" i="4" s="1"/>
  <c r="AT450" i="4" s="1"/>
  <c r="AZ436" i="4"/>
  <c r="BM947" i="4"/>
  <c r="AZ982" i="4"/>
  <c r="BB981" i="4"/>
  <c r="BB356" i="4" l="1"/>
  <c r="AZ357" i="4"/>
  <c r="AZ358" i="4" s="1"/>
  <c r="AZ359" i="4" s="1"/>
  <c r="BA354" i="4" s="1"/>
  <c r="AZ426" i="4"/>
  <c r="AZ427" i="4" s="1"/>
  <c r="AZ428" i="4" s="1"/>
  <c r="BA422" i="4" s="1"/>
  <c r="AY37" i="64"/>
  <c r="AY51" i="64" s="1"/>
  <c r="BL1245" i="4"/>
  <c r="BL1262" i="4"/>
  <c r="BL43" i="66"/>
  <c r="BL77" i="11"/>
  <c r="BL1048" i="4"/>
  <c r="BL1220" i="4"/>
  <c r="BL23" i="66"/>
  <c r="AZ983" i="4"/>
  <c r="AZ21" i="66"/>
  <c r="AZ106" i="64"/>
  <c r="BE365" i="4"/>
  <c r="BE434" i="4"/>
  <c r="BF435" i="4"/>
  <c r="BF323" i="4"/>
  <c r="BB366" i="4"/>
  <c r="BA436" i="4"/>
  <c r="BD424" i="4"/>
  <c r="BC423" i="4"/>
  <c r="BC425" i="4" s="1"/>
  <c r="BC355" i="4"/>
  <c r="BD320" i="4"/>
  <c r="BM935" i="4"/>
  <c r="BL18" i="11"/>
  <c r="BL950" i="4"/>
  <c r="AU444" i="4"/>
  <c r="AU448" i="4"/>
  <c r="AU449" i="4" s="1"/>
  <c r="AU450" i="4" s="1"/>
  <c r="AY1244" i="4"/>
  <c r="AY1047" i="4"/>
  <c r="AY1049" i="4"/>
  <c r="AY1258" i="4"/>
  <c r="AY41" i="66"/>
  <c r="AY76" i="11"/>
  <c r="AY1219" i="4"/>
  <c r="AY66" i="62"/>
  <c r="U76" i="67"/>
  <c r="CH929" i="4"/>
  <c r="CH930" i="4" s="1"/>
  <c r="CH931" i="4" s="1"/>
  <c r="BA447" i="4"/>
  <c r="BN945" i="4"/>
  <c r="BN946" i="4" s="1"/>
  <c r="BN947" i="4" s="1"/>
  <c r="U35" i="67"/>
  <c r="U33" i="67" s="1"/>
  <c r="AY33" i="11"/>
  <c r="AY1387" i="4" s="1"/>
  <c r="AX433" i="4"/>
  <c r="AX437" i="4"/>
  <c r="AX438" i="4" s="1"/>
  <c r="AX439" i="4" s="1"/>
  <c r="AV364" i="4"/>
  <c r="AV367" i="4"/>
  <c r="AV368" i="4" s="1"/>
  <c r="AV369" i="4" s="1"/>
  <c r="AU374" i="4"/>
  <c r="AU377" i="4"/>
  <c r="AU378" i="4" s="1"/>
  <c r="AU379" i="4" s="1"/>
  <c r="BF445" i="4"/>
  <c r="BG446" i="4"/>
  <c r="BF375" i="4"/>
  <c r="BF376" i="4" s="1"/>
  <c r="BG325" i="4"/>
  <c r="BO971" i="4"/>
  <c r="BO105" i="64" s="1"/>
  <c r="BO63" i="64" s="1"/>
  <c r="BC356" i="4" l="1"/>
  <c r="BA357" i="4"/>
  <c r="BA358" i="4" s="1"/>
  <c r="BA359" i="4" s="1"/>
  <c r="BB354" i="4" s="1"/>
  <c r="BA426" i="4"/>
  <c r="BA427" i="4" s="1"/>
  <c r="BA428" i="4" s="1"/>
  <c r="BB422" i="4" s="1"/>
  <c r="AV444" i="4"/>
  <c r="AV448" i="4"/>
  <c r="AV449" i="4" s="1"/>
  <c r="AV450" i="4" s="1"/>
  <c r="BG435" i="4"/>
  <c r="BF434" i="4"/>
  <c r="BF365" i="4"/>
  <c r="BG323" i="4"/>
  <c r="BH446" i="4"/>
  <c r="BG445" i="4"/>
  <c r="BG375" i="4"/>
  <c r="BG376" i="4" s="1"/>
  <c r="BH325" i="4"/>
  <c r="AY433" i="4"/>
  <c r="AY437" i="4"/>
  <c r="AY438" i="4" s="1"/>
  <c r="AY439" i="4" s="1"/>
  <c r="BO71" i="64"/>
  <c r="BO79" i="64"/>
  <c r="BB447" i="4"/>
  <c r="BB436" i="4"/>
  <c r="AZ36" i="64"/>
  <c r="AZ35" i="64"/>
  <c r="AV374" i="4"/>
  <c r="AV377" i="4"/>
  <c r="AV378" i="4" s="1"/>
  <c r="AV379" i="4" s="1"/>
  <c r="BM937" i="4"/>
  <c r="BM938" i="4" s="1"/>
  <c r="BM939" i="4" s="1"/>
  <c r="BM951" i="4" s="1"/>
  <c r="BC366" i="4"/>
  <c r="CH19" i="11"/>
  <c r="CI927" i="4"/>
  <c r="BD423" i="4"/>
  <c r="BD425" i="4" s="1"/>
  <c r="BD355" i="4"/>
  <c r="BE424" i="4"/>
  <c r="BE320" i="4"/>
  <c r="BA979" i="4"/>
  <c r="AZ985" i="4"/>
  <c r="BO972" i="4"/>
  <c r="BP968" i="4" s="1"/>
  <c r="AW364" i="4"/>
  <c r="AW367" i="4"/>
  <c r="AW368" i="4" s="1"/>
  <c r="AW369" i="4" s="1"/>
  <c r="BO943" i="4"/>
  <c r="BO945" i="4" s="1"/>
  <c r="BO946" i="4" s="1"/>
  <c r="BN34" i="11"/>
  <c r="BD356" i="4" l="1"/>
  <c r="BB357" i="4"/>
  <c r="BB358" i="4" s="1"/>
  <c r="BB359" i="4" s="1"/>
  <c r="BC354" i="4" s="1"/>
  <c r="BB426" i="4"/>
  <c r="BB427" i="4" s="1"/>
  <c r="BB428" i="4" s="1"/>
  <c r="BC422" i="4" s="1"/>
  <c r="BM23" i="66"/>
  <c r="BM1245" i="4"/>
  <c r="BM1220" i="4"/>
  <c r="BM1262" i="4"/>
  <c r="BM43" i="66"/>
  <c r="BM1048" i="4"/>
  <c r="BM77" i="11"/>
  <c r="AX364" i="4"/>
  <c r="AX367" i="4"/>
  <c r="AX368" i="4" s="1"/>
  <c r="AX369" i="4" s="1"/>
  <c r="BH435" i="4"/>
  <c r="BG365" i="4"/>
  <c r="BG434" i="4"/>
  <c r="BH323" i="4"/>
  <c r="BP971" i="4"/>
  <c r="BP105" i="64" s="1"/>
  <c r="BP63" i="64" s="1"/>
  <c r="CI929" i="4"/>
  <c r="CI930" i="4" s="1"/>
  <c r="CI931" i="4" s="1"/>
  <c r="AZ433" i="4"/>
  <c r="AZ437" i="4"/>
  <c r="AZ438" i="4" s="1"/>
  <c r="AZ439" i="4" s="1"/>
  <c r="AZ35" i="11"/>
  <c r="AZ33" i="11" s="1"/>
  <c r="AZ1387" i="4" s="1"/>
  <c r="AZ20" i="11"/>
  <c r="AZ987" i="4"/>
  <c r="BC436" i="4"/>
  <c r="BA982" i="4"/>
  <c r="BA983" i="4" s="1"/>
  <c r="BC981" i="4"/>
  <c r="BN935" i="4"/>
  <c r="BM18" i="11"/>
  <c r="BM950" i="4"/>
  <c r="BH445" i="4"/>
  <c r="BH375" i="4"/>
  <c r="BH376" i="4" s="1"/>
  <c r="BI446" i="4"/>
  <c r="BI325" i="4"/>
  <c r="BF424" i="4"/>
  <c r="BE355" i="4"/>
  <c r="BE423" i="4"/>
  <c r="BE425" i="4" s="1"/>
  <c r="BF320" i="4"/>
  <c r="AW374" i="4"/>
  <c r="AW377" i="4"/>
  <c r="AW378" i="4" s="1"/>
  <c r="AW379" i="4" s="1"/>
  <c r="BC447" i="4"/>
  <c r="BD366" i="4"/>
  <c r="AW444" i="4"/>
  <c r="AW448" i="4"/>
  <c r="AW449" i="4" s="1"/>
  <c r="AW450" i="4" s="1"/>
  <c r="BO947" i="4"/>
  <c r="Y34" i="67"/>
  <c r="BP943" i="4"/>
  <c r="BO34" i="11"/>
  <c r="AZ37" i="64"/>
  <c r="AZ51" i="64" s="1"/>
  <c r="BE356" i="4" l="1"/>
  <c r="BC357" i="4"/>
  <c r="BC358" i="4" s="1"/>
  <c r="BC359" i="4" s="1"/>
  <c r="BD354" i="4" s="1"/>
  <c r="BC426" i="4"/>
  <c r="BC427" i="4" s="1"/>
  <c r="BC428" i="4" s="1"/>
  <c r="BD422" i="4" s="1"/>
  <c r="BF423" i="4"/>
  <c r="BF425" i="4" s="1"/>
  <c r="BF355" i="4"/>
  <c r="BG424" i="4"/>
  <c r="BG320" i="4"/>
  <c r="AZ1244" i="4"/>
  <c r="AZ1258" i="4"/>
  <c r="AZ1047" i="4"/>
  <c r="AZ1219" i="4"/>
  <c r="AZ1049" i="4"/>
  <c r="AZ41" i="66"/>
  <c r="AZ76" i="11"/>
  <c r="AZ66" i="62"/>
  <c r="BH365" i="4"/>
  <c r="BI435" i="4"/>
  <c r="BH434" i="4"/>
  <c r="BI323" i="4"/>
  <c r="AX444" i="4"/>
  <c r="AX448" i="4"/>
  <c r="AX449" i="4" s="1"/>
  <c r="AX450" i="4" s="1"/>
  <c r="BE366" i="4"/>
  <c r="BN937" i="4"/>
  <c r="BN938" i="4" s="1"/>
  <c r="BN939" i="4" s="1"/>
  <c r="BN951" i="4" s="1"/>
  <c r="CI19" i="11"/>
  <c r="CJ927" i="4"/>
  <c r="AD19" i="67"/>
  <c r="BP972" i="4"/>
  <c r="BQ968" i="4" s="1"/>
  <c r="BD447" i="4"/>
  <c r="BI445" i="4"/>
  <c r="BI375" i="4"/>
  <c r="BI376" i="4" s="1"/>
  <c r="BJ446" i="4"/>
  <c r="BJ325" i="4"/>
  <c r="BB979" i="4"/>
  <c r="BA985" i="4"/>
  <c r="BP79" i="64"/>
  <c r="BP71" i="64"/>
  <c r="AY364" i="4"/>
  <c r="AY367" i="4"/>
  <c r="AY368" i="4" s="1"/>
  <c r="AY369" i="4" s="1"/>
  <c r="BA106" i="64"/>
  <c r="BA21" i="66"/>
  <c r="BA433" i="4"/>
  <c r="BA437" i="4"/>
  <c r="BA438" i="4" s="1"/>
  <c r="BA439" i="4" s="1"/>
  <c r="BP945" i="4"/>
  <c r="BP946" i="4" s="1"/>
  <c r="BP947" i="4" s="1"/>
  <c r="AX374" i="4"/>
  <c r="AX377" i="4"/>
  <c r="AX378" i="4" s="1"/>
  <c r="AX379" i="4" s="1"/>
  <c r="BD436" i="4"/>
  <c r="BF356" i="4" l="1"/>
  <c r="BD357" i="4"/>
  <c r="BD358" i="4" s="1"/>
  <c r="BD359" i="4" s="1"/>
  <c r="BE354" i="4" s="1"/>
  <c r="BD426" i="4"/>
  <c r="BD427" i="4" s="1"/>
  <c r="BD428" i="4" s="1"/>
  <c r="BE422" i="4" s="1"/>
  <c r="AZ364" i="4"/>
  <c r="AZ367" i="4"/>
  <c r="AZ368" i="4" s="1"/>
  <c r="AZ369" i="4" s="1"/>
  <c r="BI365" i="4"/>
  <c r="BI434" i="4"/>
  <c r="BJ435" i="4"/>
  <c r="BJ323" i="4"/>
  <c r="BE447" i="4"/>
  <c r="CJ929" i="4"/>
  <c r="CJ930" i="4" s="1"/>
  <c r="CJ931" i="4" s="1"/>
  <c r="BE436" i="4"/>
  <c r="BB433" i="4"/>
  <c r="BB437" i="4"/>
  <c r="BB438" i="4" s="1"/>
  <c r="BB439" i="4" s="1"/>
  <c r="AY374" i="4"/>
  <c r="AY377" i="4"/>
  <c r="AY378" i="4" s="1"/>
  <c r="AY379" i="4" s="1"/>
  <c r="BA20" i="11"/>
  <c r="BA35" i="11"/>
  <c r="BA33" i="11" s="1"/>
  <c r="BA1387" i="4" s="1"/>
  <c r="BA987" i="4"/>
  <c r="BQ971" i="4"/>
  <c r="BQ105" i="64" s="1"/>
  <c r="BQ63" i="64" s="1"/>
  <c r="BN43" i="66"/>
  <c r="BN1262" i="4"/>
  <c r="BN1220" i="4"/>
  <c r="BN77" i="11"/>
  <c r="BN1048" i="4"/>
  <c r="BN23" i="66"/>
  <c r="BN1245" i="4"/>
  <c r="BB982" i="4"/>
  <c r="BB983" i="4" s="1"/>
  <c r="BD981" i="4"/>
  <c r="BO935" i="4"/>
  <c r="BO937" i="4" s="1"/>
  <c r="BO938" i="4" s="1"/>
  <c r="BN18" i="11"/>
  <c r="BN950" i="4"/>
  <c r="BA35" i="64"/>
  <c r="BA36" i="64"/>
  <c r="BG355" i="4"/>
  <c r="BH424" i="4"/>
  <c r="BG423" i="4"/>
  <c r="BG425" i="4" s="1"/>
  <c r="BH320" i="4"/>
  <c r="BJ375" i="4"/>
  <c r="BJ376" i="4" s="1"/>
  <c r="BK446" i="4"/>
  <c r="BJ445" i="4"/>
  <c r="BK325" i="4"/>
  <c r="BF366" i="4"/>
  <c r="BQ943" i="4"/>
  <c r="BP34" i="11"/>
  <c r="AY444" i="4"/>
  <c r="AY448" i="4"/>
  <c r="AY449" i="4" s="1"/>
  <c r="AY450" i="4" s="1"/>
  <c r="BG356" i="4" l="1"/>
  <c r="BE357" i="4"/>
  <c r="BE358" i="4" s="1"/>
  <c r="BE359" i="4" s="1"/>
  <c r="BF354" i="4" s="1"/>
  <c r="BE426" i="4"/>
  <c r="BE427" i="4" s="1"/>
  <c r="BE428" i="4" s="1"/>
  <c r="BF422" i="4" s="1"/>
  <c r="BA37" i="64"/>
  <c r="BA51" i="64" s="1"/>
  <c r="BH355" i="4"/>
  <c r="BI424" i="4"/>
  <c r="BH423" i="4"/>
  <c r="BH425" i="4" s="1"/>
  <c r="BI320" i="4"/>
  <c r="BO939" i="4"/>
  <c r="BO951" i="4" s="1"/>
  <c r="Y18" i="67"/>
  <c r="BO18" i="11"/>
  <c r="BP935" i="4"/>
  <c r="BO950" i="4"/>
  <c r="BQ972" i="4"/>
  <c r="BR968" i="4" s="1"/>
  <c r="BC433" i="4"/>
  <c r="BC437" i="4"/>
  <c r="BC438" i="4" s="1"/>
  <c r="BC439" i="4" s="1"/>
  <c r="BQ945" i="4"/>
  <c r="BQ946" i="4" s="1"/>
  <c r="BQ947" i="4" s="1"/>
  <c r="BQ71" i="64"/>
  <c r="BQ79" i="64"/>
  <c r="BG366" i="4"/>
  <c r="BC979" i="4"/>
  <c r="BB985" i="4"/>
  <c r="BA1244" i="4"/>
  <c r="BA76" i="11"/>
  <c r="BA41" i="66"/>
  <c r="BA1047" i="4"/>
  <c r="BA1219" i="4"/>
  <c r="BA1258" i="4"/>
  <c r="BA1049" i="4"/>
  <c r="BA66" i="62"/>
  <c r="CK927" i="4"/>
  <c r="CJ19" i="11"/>
  <c r="BB21" i="66"/>
  <c r="BB106" i="64"/>
  <c r="BF447" i="4"/>
  <c r="BK445" i="4"/>
  <c r="BL446" i="4"/>
  <c r="BK375" i="4"/>
  <c r="BK376" i="4" s="1"/>
  <c r="BL325" i="4"/>
  <c r="BA364" i="4"/>
  <c r="BA367" i="4"/>
  <c r="BA368" i="4" s="1"/>
  <c r="BA369" i="4" s="1"/>
  <c r="AZ444" i="4"/>
  <c r="AZ448" i="4"/>
  <c r="AZ449" i="4" s="1"/>
  <c r="AZ450" i="4" s="1"/>
  <c r="AZ374" i="4"/>
  <c r="AZ377" i="4"/>
  <c r="AZ378" i="4" s="1"/>
  <c r="AZ379" i="4" s="1"/>
  <c r="BF436" i="4"/>
  <c r="BK435" i="4"/>
  <c r="BJ365" i="4"/>
  <c r="BJ434" i="4"/>
  <c r="BK323" i="4"/>
  <c r="BH356" i="4" l="1"/>
  <c r="BF357" i="4"/>
  <c r="BF358" i="4" s="1"/>
  <c r="BF359" i="4" s="1"/>
  <c r="BG354" i="4" s="1"/>
  <c r="BF426" i="4"/>
  <c r="BF427" i="4" s="1"/>
  <c r="BF428" i="4" s="1"/>
  <c r="BG422" i="4" s="1"/>
  <c r="BL375" i="4"/>
  <c r="BL376" i="4" s="1"/>
  <c r="BM446" i="4"/>
  <c r="BL445" i="4"/>
  <c r="BM325" i="4"/>
  <c r="BB35" i="11"/>
  <c r="BB33" i="11" s="1"/>
  <c r="BB1387" i="4" s="1"/>
  <c r="BB20" i="11"/>
  <c r="BB987" i="4"/>
  <c r="BP937" i="4"/>
  <c r="BP938" i="4" s="1"/>
  <c r="BP939" i="4" s="1"/>
  <c r="BP951" i="4" s="1"/>
  <c r="BC982" i="4"/>
  <c r="BC983" i="4" s="1"/>
  <c r="BE981" i="4"/>
  <c r="BH366" i="4"/>
  <c r="BR943" i="4"/>
  <c r="BR945" i="4" s="1"/>
  <c r="BR946" i="4" s="1"/>
  <c r="BQ34" i="11"/>
  <c r="BA374" i="4"/>
  <c r="BA377" i="4"/>
  <c r="BA378" i="4" s="1"/>
  <c r="BA379" i="4" s="1"/>
  <c r="BO1245" i="4"/>
  <c r="BO1220" i="4"/>
  <c r="BO77" i="11"/>
  <c r="BO1262" i="4"/>
  <c r="BO1048" i="4"/>
  <c r="BO23" i="66"/>
  <c r="BO43" i="66"/>
  <c r="Y77" i="67"/>
  <c r="BG436" i="4"/>
  <c r="BB36" i="64"/>
  <c r="BB35" i="64"/>
  <c r="BB364" i="4"/>
  <c r="BB367" i="4"/>
  <c r="BB368" i="4" s="1"/>
  <c r="BB369" i="4" s="1"/>
  <c r="BG447" i="4"/>
  <c r="BD433" i="4"/>
  <c r="BD437" i="4"/>
  <c r="BD438" i="4" s="1"/>
  <c r="BD439" i="4" s="1"/>
  <c r="BI423" i="4"/>
  <c r="BI425" i="4" s="1"/>
  <c r="BJ424" i="4"/>
  <c r="BI355" i="4"/>
  <c r="BJ320" i="4"/>
  <c r="BK434" i="4"/>
  <c r="BL435" i="4"/>
  <c r="BK365" i="4"/>
  <c r="BL323" i="4"/>
  <c r="BA444" i="4"/>
  <c r="BA448" i="4"/>
  <c r="BA449" i="4" s="1"/>
  <c r="BA450" i="4" s="1"/>
  <c r="CK929" i="4"/>
  <c r="CK930" i="4" s="1"/>
  <c r="CK931" i="4" s="1"/>
  <c r="BR971" i="4"/>
  <c r="BR105" i="64" s="1"/>
  <c r="BR63" i="64" s="1"/>
  <c r="BI356" i="4" l="1"/>
  <c r="BG357" i="4"/>
  <c r="BG358" i="4" s="1"/>
  <c r="BG359" i="4" s="1"/>
  <c r="BH354" i="4" s="1"/>
  <c r="BG426" i="4"/>
  <c r="BG427" i="4" s="1"/>
  <c r="BG428" i="4" s="1"/>
  <c r="BH422" i="4" s="1"/>
  <c r="BB37" i="64"/>
  <c r="BB51" i="64" s="1"/>
  <c r="BP1220" i="4"/>
  <c r="BP1262" i="4"/>
  <c r="BP1048" i="4"/>
  <c r="BP1245" i="4"/>
  <c r="BP23" i="66"/>
  <c r="BP77" i="11"/>
  <c r="BP43" i="66"/>
  <c r="BB444" i="4"/>
  <c r="BB448" i="4"/>
  <c r="BB449" i="4" s="1"/>
  <c r="BB450" i="4" s="1"/>
  <c r="BD979" i="4"/>
  <c r="BC985" i="4"/>
  <c r="BM435" i="4"/>
  <c r="BL434" i="4"/>
  <c r="BL365" i="4"/>
  <c r="BM323" i="4"/>
  <c r="BE433" i="4"/>
  <c r="BE437" i="4"/>
  <c r="BE438" i="4" s="1"/>
  <c r="BE439" i="4" s="1"/>
  <c r="BC106" i="64"/>
  <c r="BC21" i="66"/>
  <c r="BR972" i="4"/>
  <c r="BS968" i="4" s="1"/>
  <c r="BH436" i="4"/>
  <c r="BR79" i="64"/>
  <c r="BR71" i="64"/>
  <c r="BH447" i="4"/>
  <c r="BM375" i="4"/>
  <c r="BM376" i="4" s="1"/>
  <c r="BN446" i="4"/>
  <c r="BM445" i="4"/>
  <c r="BN325" i="4"/>
  <c r="BR947" i="4"/>
  <c r="BR34" i="11"/>
  <c r="BS943" i="4"/>
  <c r="BS945" i="4" s="1"/>
  <c r="BS946" i="4" s="1"/>
  <c r="BP18" i="11"/>
  <c r="BQ935" i="4"/>
  <c r="BP950" i="4"/>
  <c r="CK19" i="11"/>
  <c r="CL927" i="4"/>
  <c r="CL929" i="4" s="1"/>
  <c r="CL930" i="4" s="1"/>
  <c r="BJ423" i="4"/>
  <c r="BJ425" i="4" s="1"/>
  <c r="BK424" i="4"/>
  <c r="BJ355" i="4"/>
  <c r="BK320" i="4"/>
  <c r="BC364" i="4"/>
  <c r="BC367" i="4"/>
  <c r="BC368" i="4" s="1"/>
  <c r="BC369" i="4" s="1"/>
  <c r="BI366" i="4"/>
  <c r="BB41" i="66"/>
  <c r="BB1049" i="4"/>
  <c r="BB1219" i="4"/>
  <c r="BB1258" i="4"/>
  <c r="BB76" i="11"/>
  <c r="BB1047" i="4"/>
  <c r="BB1244" i="4"/>
  <c r="BB66" i="62"/>
  <c r="BB374" i="4"/>
  <c r="BB377" i="4"/>
  <c r="BB378" i="4" s="1"/>
  <c r="BB379" i="4" s="1"/>
  <c r="BJ356" i="4" l="1"/>
  <c r="BH357" i="4"/>
  <c r="BH358" i="4" s="1"/>
  <c r="BH359" i="4" s="1"/>
  <c r="BI354" i="4" s="1"/>
  <c r="BH426" i="4"/>
  <c r="BH427" i="4" s="1"/>
  <c r="BH428" i="4" s="1"/>
  <c r="BI422" i="4" s="1"/>
  <c r="BI447" i="4"/>
  <c r="BC35" i="64"/>
  <c r="BC36" i="64"/>
  <c r="BF981" i="4"/>
  <c r="BD982" i="4"/>
  <c r="BD983" i="4" s="1"/>
  <c r="BJ366" i="4"/>
  <c r="BS947" i="4"/>
  <c r="BT943" i="4"/>
  <c r="BT945" i="4" s="1"/>
  <c r="BT946" i="4" s="1"/>
  <c r="BS34" i="11"/>
  <c r="Z34" i="67"/>
  <c r="BI436" i="4"/>
  <c r="BF433" i="4"/>
  <c r="BF437" i="4"/>
  <c r="BF438" i="4" s="1"/>
  <c r="BF439" i="4" s="1"/>
  <c r="CL931" i="4"/>
  <c r="CM927" i="4"/>
  <c r="CL19" i="11"/>
  <c r="BC444" i="4"/>
  <c r="BC448" i="4"/>
  <c r="BC449" i="4" s="1"/>
  <c r="BC450" i="4" s="1"/>
  <c r="BD364" i="4"/>
  <c r="BD367" i="4"/>
  <c r="BD368" i="4" s="1"/>
  <c r="BD369" i="4" s="1"/>
  <c r="BN435" i="4"/>
  <c r="BM434" i="4"/>
  <c r="BM365" i="4"/>
  <c r="BN323" i="4"/>
  <c r="BN375" i="4"/>
  <c r="BN376" i="4" s="1"/>
  <c r="BO446" i="4"/>
  <c r="BN445" i="4"/>
  <c r="BO325" i="4"/>
  <c r="BS971" i="4"/>
  <c r="BS105" i="64" s="1"/>
  <c r="BS63" i="64" s="1"/>
  <c r="BC374" i="4"/>
  <c r="BC377" i="4"/>
  <c r="BC378" i="4" s="1"/>
  <c r="BC379" i="4" s="1"/>
  <c r="BL424" i="4"/>
  <c r="BK423" i="4"/>
  <c r="BK425" i="4" s="1"/>
  <c r="BK355" i="4"/>
  <c r="BL320" i="4"/>
  <c r="BQ937" i="4"/>
  <c r="BQ938" i="4" s="1"/>
  <c r="BQ939" i="4" s="1"/>
  <c r="BQ951" i="4" s="1"/>
  <c r="BC20" i="11"/>
  <c r="V20" i="67" s="1"/>
  <c r="BC35" i="11"/>
  <c r="BC987" i="4"/>
  <c r="BK356" i="4" l="1"/>
  <c r="BI357" i="4"/>
  <c r="BI358" i="4" s="1"/>
  <c r="BI359" i="4" s="1"/>
  <c r="BJ354" i="4" s="1"/>
  <c r="BI426" i="4"/>
  <c r="BI427" i="4" s="1"/>
  <c r="BI428" i="4" s="1"/>
  <c r="BJ422" i="4" s="1"/>
  <c r="BQ1048" i="4"/>
  <c r="BQ1220" i="4"/>
  <c r="BQ23" i="66"/>
  <c r="BQ1262" i="4"/>
  <c r="BQ77" i="11"/>
  <c r="BQ1245" i="4"/>
  <c r="BQ43" i="66"/>
  <c r="BD985" i="4"/>
  <c r="BE979" i="4"/>
  <c r="BD374" i="4"/>
  <c r="BD377" i="4"/>
  <c r="BD378" i="4" s="1"/>
  <c r="BD379" i="4" s="1"/>
  <c r="BQ18" i="11"/>
  <c r="BR935" i="4"/>
  <c r="BQ950" i="4"/>
  <c r="BD444" i="4"/>
  <c r="BD448" i="4"/>
  <c r="BD449" i="4" s="1"/>
  <c r="BD450" i="4" s="1"/>
  <c r="BJ436" i="4"/>
  <c r="BC76" i="11"/>
  <c r="BC1244" i="4"/>
  <c r="BC1219" i="4"/>
  <c r="BC1258" i="4"/>
  <c r="BC1047" i="4"/>
  <c r="BC1049" i="4"/>
  <c r="BC41" i="66"/>
  <c r="BC66" i="62"/>
  <c r="V76" i="67"/>
  <c r="BO435" i="4"/>
  <c r="BN365" i="4"/>
  <c r="BN434" i="4"/>
  <c r="BO323" i="4"/>
  <c r="V35" i="67"/>
  <c r="V33" i="67" s="1"/>
  <c r="BC33" i="11"/>
  <c r="BC1387" i="4" s="1"/>
  <c r="BL355" i="4"/>
  <c r="BL423" i="4"/>
  <c r="BL425" i="4" s="1"/>
  <c r="BM424" i="4"/>
  <c r="BM320" i="4"/>
  <c r="BD21" i="66"/>
  <c r="BD106" i="64"/>
  <c r="BS972" i="4"/>
  <c r="BT968" i="4" s="1"/>
  <c r="CM929" i="4"/>
  <c r="CM930" i="4" s="1"/>
  <c r="CM931" i="4" s="1"/>
  <c r="BT947" i="4"/>
  <c r="BU943" i="4"/>
  <c r="BT34" i="11"/>
  <c r="BS79" i="64"/>
  <c r="BS71" i="64"/>
  <c r="BJ447" i="4"/>
  <c r="BO375" i="4"/>
  <c r="BO376" i="4" s="1"/>
  <c r="BP446" i="4"/>
  <c r="BO445" i="4"/>
  <c r="BP325" i="4"/>
  <c r="BE364" i="4"/>
  <c r="BE367" i="4"/>
  <c r="BE368" i="4" s="1"/>
  <c r="BE369" i="4" s="1"/>
  <c r="BG433" i="4"/>
  <c r="BG437" i="4"/>
  <c r="BG438" i="4" s="1"/>
  <c r="BG439" i="4" s="1"/>
  <c r="BK366" i="4"/>
  <c r="BC37" i="64"/>
  <c r="BC51" i="64" s="1"/>
  <c r="BL356" i="4" l="1"/>
  <c r="BJ357" i="4"/>
  <c r="BJ358" i="4" s="1"/>
  <c r="BJ359" i="4" s="1"/>
  <c r="BK354" i="4" s="1"/>
  <c r="BJ426" i="4"/>
  <c r="BJ427" i="4" s="1"/>
  <c r="BJ428" i="4" s="1"/>
  <c r="BK422" i="4" s="1"/>
  <c r="BK436" i="4"/>
  <c r="BP375" i="4"/>
  <c r="BP376" i="4" s="1"/>
  <c r="BQ446" i="4"/>
  <c r="BP445" i="4"/>
  <c r="BQ325" i="4"/>
  <c r="BU945" i="4"/>
  <c r="BU946" i="4" s="1"/>
  <c r="BO434" i="4"/>
  <c r="BP435" i="4"/>
  <c r="BO365" i="4"/>
  <c r="BP323" i="4"/>
  <c r="BE444" i="4"/>
  <c r="BE448" i="4"/>
  <c r="BE449" i="4" s="1"/>
  <c r="BE450" i="4" s="1"/>
  <c r="BL366" i="4"/>
  <c r="BM423" i="4"/>
  <c r="BM425" i="4" s="1"/>
  <c r="BM355" i="4"/>
  <c r="BN424" i="4"/>
  <c r="BN320" i="4"/>
  <c r="BE374" i="4"/>
  <c r="BE377" i="4"/>
  <c r="BE378" i="4" s="1"/>
  <c r="BE379" i="4" s="1"/>
  <c r="BK447" i="4"/>
  <c r="CN927" i="4"/>
  <c r="CM19" i="11"/>
  <c r="AE19" i="67"/>
  <c r="BR937" i="4"/>
  <c r="BR938" i="4" s="1"/>
  <c r="BR939" i="4" s="1"/>
  <c r="BR951" i="4" s="1"/>
  <c r="BG981" i="4"/>
  <c r="BE982" i="4"/>
  <c r="BE983" i="4" s="1"/>
  <c r="BH433" i="4"/>
  <c r="BH437" i="4"/>
  <c r="BH438" i="4" s="1"/>
  <c r="BH439" i="4" s="1"/>
  <c r="BT971" i="4"/>
  <c r="BT105" i="64" s="1"/>
  <c r="BT63" i="64" s="1"/>
  <c r="BD20" i="11"/>
  <c r="BD35" i="11"/>
  <c r="BD33" i="11" s="1"/>
  <c r="BD1387" i="4" s="1"/>
  <c r="BD987" i="4"/>
  <c r="BF364" i="4"/>
  <c r="BF367" i="4"/>
  <c r="BF368" i="4" s="1"/>
  <c r="BF369" i="4" s="1"/>
  <c r="BD36" i="64"/>
  <c r="BD35" i="64"/>
  <c r="BM356" i="4" l="1"/>
  <c r="BK357" i="4"/>
  <c r="BK358" i="4" s="1"/>
  <c r="BK359" i="4" s="1"/>
  <c r="BL354" i="4" s="1"/>
  <c r="BK426" i="4"/>
  <c r="BK427" i="4" s="1"/>
  <c r="BK428" i="4" s="1"/>
  <c r="BL422" i="4" s="1"/>
  <c r="CN929" i="4"/>
  <c r="CN930" i="4" s="1"/>
  <c r="CN931" i="4" s="1"/>
  <c r="BP365" i="4"/>
  <c r="BP434" i="4"/>
  <c r="BQ435" i="4"/>
  <c r="BQ323" i="4"/>
  <c r="BV943" i="4"/>
  <c r="BV945" i="4" s="1"/>
  <c r="BV946" i="4" s="1"/>
  <c r="BU34" i="11"/>
  <c r="BR1245" i="4"/>
  <c r="BR77" i="11"/>
  <c r="BR23" i="66"/>
  <c r="BR1048" i="4"/>
  <c r="BR1262" i="4"/>
  <c r="BR43" i="66"/>
  <c r="BR1220" i="4"/>
  <c r="BL447" i="4"/>
  <c r="BD37" i="64"/>
  <c r="BD51" i="64" s="1"/>
  <c r="BT972" i="4"/>
  <c r="BU968" i="4" s="1"/>
  <c r="BS935" i="4"/>
  <c r="BR18" i="11"/>
  <c r="BR950" i="4"/>
  <c r="BL436" i="4"/>
  <c r="BI433" i="4"/>
  <c r="BI437" i="4"/>
  <c r="BI438" i="4" s="1"/>
  <c r="BI439" i="4" s="1"/>
  <c r="BF374" i="4"/>
  <c r="BF377" i="4"/>
  <c r="BF378" i="4" s="1"/>
  <c r="BF379" i="4" s="1"/>
  <c r="BM366" i="4"/>
  <c r="BQ375" i="4"/>
  <c r="BQ376" i="4" s="1"/>
  <c r="BQ445" i="4"/>
  <c r="BR446" i="4"/>
  <c r="BR325" i="4"/>
  <c r="BT71" i="64"/>
  <c r="BT79" i="64"/>
  <c r="BG364" i="4"/>
  <c r="BG367" i="4"/>
  <c r="BG368" i="4" s="1"/>
  <c r="BG369" i="4" s="1"/>
  <c r="BF444" i="4"/>
  <c r="BF448" i="4"/>
  <c r="BF449" i="4" s="1"/>
  <c r="BF450" i="4" s="1"/>
  <c r="BD41" i="66"/>
  <c r="BD1258" i="4"/>
  <c r="BD1219" i="4"/>
  <c r="BD1049" i="4"/>
  <c r="BD1047" i="4"/>
  <c r="BD1244" i="4"/>
  <c r="BD76" i="11"/>
  <c r="BD66" i="62"/>
  <c r="BF979" i="4"/>
  <c r="BE985" i="4"/>
  <c r="BE106" i="64"/>
  <c r="BE21" i="66"/>
  <c r="BO424" i="4"/>
  <c r="BN355" i="4"/>
  <c r="BN423" i="4"/>
  <c r="BN425" i="4" s="1"/>
  <c r="BO320" i="4"/>
  <c r="BU947" i="4"/>
  <c r="BN356" i="4" l="1"/>
  <c r="BL357" i="4"/>
  <c r="BL358" i="4" s="1"/>
  <c r="BL359" i="4" s="1"/>
  <c r="BM354" i="4" s="1"/>
  <c r="BL426" i="4"/>
  <c r="BL427" i="4" s="1"/>
  <c r="BL428" i="4" s="1"/>
  <c r="BM422" i="4" s="1"/>
  <c r="BQ365" i="4"/>
  <c r="BQ434" i="4"/>
  <c r="BR435" i="4"/>
  <c r="BR323" i="4"/>
  <c r="BH364" i="4"/>
  <c r="BH367" i="4"/>
  <c r="BH368" i="4" s="1"/>
  <c r="BH369" i="4" s="1"/>
  <c r="BM436" i="4"/>
  <c r="BM447" i="4"/>
  <c r="BE35" i="64"/>
  <c r="BE36" i="64"/>
  <c r="BE20" i="11"/>
  <c r="BE35" i="11"/>
  <c r="BE33" i="11" s="1"/>
  <c r="BE1387" i="4" s="1"/>
  <c r="BE987" i="4"/>
  <c r="BG444" i="4"/>
  <c r="BG448" i="4"/>
  <c r="BG449" i="4" s="1"/>
  <c r="BG450" i="4" s="1"/>
  <c r="BH981" i="4"/>
  <c r="BF982" i="4"/>
  <c r="BN366" i="4"/>
  <c r="BO423" i="4"/>
  <c r="BO425" i="4" s="1"/>
  <c r="BO355" i="4"/>
  <c r="BP424" i="4"/>
  <c r="BP320" i="4"/>
  <c r="BG374" i="4"/>
  <c r="BG377" i="4"/>
  <c r="BG378" i="4" s="1"/>
  <c r="BG379" i="4" s="1"/>
  <c r="BS937" i="4"/>
  <c r="BS938" i="4" s="1"/>
  <c r="BS939" i="4" s="1"/>
  <c r="BS951" i="4" s="1"/>
  <c r="CN19" i="11"/>
  <c r="CO927" i="4"/>
  <c r="BU971" i="4"/>
  <c r="BU105" i="64" s="1"/>
  <c r="BU63" i="64" s="1"/>
  <c r="BR375" i="4"/>
  <c r="BR376" i="4" s="1"/>
  <c r="BR445" i="4"/>
  <c r="BS446" i="4"/>
  <c r="BS325" i="4"/>
  <c r="BJ433" i="4"/>
  <c r="BJ437" i="4"/>
  <c r="BJ438" i="4" s="1"/>
  <c r="BJ439" i="4" s="1"/>
  <c r="BV947" i="4"/>
  <c r="BV34" i="11"/>
  <c r="BW943" i="4"/>
  <c r="BW945" i="4" s="1"/>
  <c r="BW946" i="4" s="1"/>
  <c r="BO356" i="4" l="1"/>
  <c r="BM357" i="4"/>
  <c r="BM358" i="4" s="1"/>
  <c r="BM359" i="4" s="1"/>
  <c r="BN354" i="4" s="1"/>
  <c r="BU972" i="4"/>
  <c r="BV968" i="4" s="1"/>
  <c r="BV971" i="4" s="1"/>
  <c r="BV105" i="64" s="1"/>
  <c r="BV63" i="64" s="1"/>
  <c r="BM426" i="4"/>
  <c r="BM427" i="4" s="1"/>
  <c r="BM428" i="4" s="1"/>
  <c r="BN422" i="4" s="1"/>
  <c r="BE37" i="64"/>
  <c r="BE51" i="64" s="1"/>
  <c r="BS1048" i="4"/>
  <c r="BS43" i="66"/>
  <c r="BS1220" i="4"/>
  <c r="BS1245" i="4"/>
  <c r="BS1262" i="4"/>
  <c r="BS77" i="11"/>
  <c r="BS23" i="66"/>
  <c r="Z77" i="67"/>
  <c r="BU71" i="64"/>
  <c r="BU79" i="64"/>
  <c r="BT935" i="4"/>
  <c r="BS18" i="11"/>
  <c r="Z18" i="67"/>
  <c r="BS950" i="4"/>
  <c r="BR434" i="4"/>
  <c r="BR365" i="4"/>
  <c r="BS435" i="4"/>
  <c r="BS323" i="4"/>
  <c r="BH374" i="4"/>
  <c r="BH377" i="4"/>
  <c r="BH378" i="4" s="1"/>
  <c r="BH379" i="4" s="1"/>
  <c r="BH444" i="4"/>
  <c r="BH448" i="4"/>
  <c r="BH449" i="4" s="1"/>
  <c r="BH450" i="4" s="1"/>
  <c r="BN447" i="4"/>
  <c r="BT446" i="4"/>
  <c r="BS375" i="4"/>
  <c r="BS376" i="4" s="1"/>
  <c r="BS445" i="4"/>
  <c r="BT325" i="4"/>
  <c r="BK433" i="4"/>
  <c r="BK437" i="4"/>
  <c r="BK438" i="4" s="1"/>
  <c r="BK439" i="4" s="1"/>
  <c r="BO366" i="4"/>
  <c r="BE1244" i="4"/>
  <c r="BE1258" i="4"/>
  <c r="BE1049" i="4"/>
  <c r="BE1047" i="4"/>
  <c r="BE41" i="66"/>
  <c r="BE76" i="11"/>
  <c r="BE1219" i="4"/>
  <c r="BE66" i="62"/>
  <c r="BN436" i="4"/>
  <c r="BW947" i="4"/>
  <c r="BW34" i="11"/>
  <c r="AA34" i="67"/>
  <c r="BX943" i="4"/>
  <c r="BX945" i="4" s="1"/>
  <c r="BX946" i="4" s="1"/>
  <c r="BF983" i="4"/>
  <c r="BF106" i="64"/>
  <c r="BF21" i="66"/>
  <c r="CO929" i="4"/>
  <c r="I929" i="4" s="1"/>
  <c r="BP355" i="4"/>
  <c r="BQ424" i="4"/>
  <c r="BP423" i="4"/>
  <c r="BP425" i="4" s="1"/>
  <c r="BQ320" i="4"/>
  <c r="BI364" i="4"/>
  <c r="BI367" i="4"/>
  <c r="BI368" i="4" s="1"/>
  <c r="BI369" i="4" s="1"/>
  <c r="BP356" i="4" l="1"/>
  <c r="BN357" i="4"/>
  <c r="BN358" i="4" s="1"/>
  <c r="BN359" i="4" s="1"/>
  <c r="BO354" i="4" s="1"/>
  <c r="BV972" i="4"/>
  <c r="BW968" i="4" s="1"/>
  <c r="BW971" i="4" s="1"/>
  <c r="BW105" i="64" s="1"/>
  <c r="BW63" i="64" s="1"/>
  <c r="BN426" i="4"/>
  <c r="BN427" i="4" s="1"/>
  <c r="BN428" i="4" s="1"/>
  <c r="BO422" i="4" s="1"/>
  <c r="CO930" i="4"/>
  <c r="CO931" i="4" s="1"/>
  <c r="I931" i="4" s="1"/>
  <c r="BL433" i="4"/>
  <c r="BL437" i="4"/>
  <c r="BL438" i="4" s="1"/>
  <c r="BL439" i="4" s="1"/>
  <c r="BF985" i="4"/>
  <c r="BG979" i="4"/>
  <c r="BO436" i="4"/>
  <c r="BO447" i="4"/>
  <c r="BQ355" i="4"/>
  <c r="BR424" i="4"/>
  <c r="BQ423" i="4"/>
  <c r="BQ425" i="4" s="1"/>
  <c r="BR320" i="4"/>
  <c r="BV71" i="64"/>
  <c r="BV79" i="64"/>
  <c r="BX947" i="4"/>
  <c r="BY943" i="4"/>
  <c r="BX34" i="11"/>
  <c r="BP366" i="4"/>
  <c r="BI444" i="4"/>
  <c r="BI448" i="4"/>
  <c r="BI449" i="4" s="1"/>
  <c r="BI450" i="4" s="1"/>
  <c r="BU446" i="4"/>
  <c r="BT375" i="4"/>
  <c r="BT376" i="4" s="1"/>
  <c r="BT445" i="4"/>
  <c r="BU325" i="4"/>
  <c r="BI374" i="4"/>
  <c r="BI377" i="4"/>
  <c r="BI378" i="4" s="1"/>
  <c r="BI379" i="4" s="1"/>
  <c r="BJ364" i="4"/>
  <c r="BJ367" i="4"/>
  <c r="BJ368" i="4" s="1"/>
  <c r="BJ369" i="4" s="1"/>
  <c r="BF36" i="64"/>
  <c r="BF35" i="64"/>
  <c r="BT937" i="4"/>
  <c r="BT938" i="4" s="1"/>
  <c r="BT939" i="4" s="1"/>
  <c r="BT951" i="4" s="1"/>
  <c r="BS434" i="4"/>
  <c r="BS365" i="4"/>
  <c r="BT435" i="4"/>
  <c r="BT323" i="4"/>
  <c r="BQ356" i="4" l="1"/>
  <c r="BO357" i="4"/>
  <c r="BO358" i="4" s="1"/>
  <c r="BO359" i="4" s="1"/>
  <c r="BP354" i="4" s="1"/>
  <c r="CO19" i="11"/>
  <c r="BO426" i="4"/>
  <c r="BO427" i="4" s="1"/>
  <c r="BO428" i="4" s="1"/>
  <c r="BP422" i="4" s="1"/>
  <c r="BF37" i="64"/>
  <c r="BF51" i="64" s="1"/>
  <c r="BT77" i="11"/>
  <c r="BT23" i="66"/>
  <c r="BT1262" i="4"/>
  <c r="BT1245" i="4"/>
  <c r="BT1048" i="4"/>
  <c r="BT43" i="66"/>
  <c r="BT1220" i="4"/>
  <c r="BG982" i="4"/>
  <c r="BI981" i="4"/>
  <c r="BT365" i="4"/>
  <c r="BU435" i="4"/>
  <c r="BT434" i="4"/>
  <c r="BU323" i="4"/>
  <c r="BT18" i="11"/>
  <c r="BU935" i="4"/>
  <c r="BT950" i="4"/>
  <c r="BV446" i="4"/>
  <c r="BU375" i="4"/>
  <c r="BU376" i="4" s="1"/>
  <c r="BU445" i="4"/>
  <c r="BV325" i="4"/>
  <c r="BF20" i="11"/>
  <c r="BF35" i="11"/>
  <c r="BF33" i="11" s="1"/>
  <c r="BF1387" i="4" s="1"/>
  <c r="BF987" i="4"/>
  <c r="BY945" i="4"/>
  <c r="BY946" i="4" s="1"/>
  <c r="BY947" i="4" s="1"/>
  <c r="BP447" i="4"/>
  <c r="BM433" i="4"/>
  <c r="BM437" i="4"/>
  <c r="BM438" i="4" s="1"/>
  <c r="BM439" i="4" s="1"/>
  <c r="BK364" i="4"/>
  <c r="BK367" i="4"/>
  <c r="BK368" i="4" s="1"/>
  <c r="BK369" i="4" s="1"/>
  <c r="BJ444" i="4"/>
  <c r="BJ448" i="4"/>
  <c r="BJ449" i="4" s="1"/>
  <c r="BJ450" i="4" s="1"/>
  <c r="BP436" i="4"/>
  <c r="BW972" i="4"/>
  <c r="BX968" i="4" s="1"/>
  <c r="BJ374" i="4"/>
  <c r="BJ377" i="4"/>
  <c r="BJ378" i="4" s="1"/>
  <c r="BJ379" i="4" s="1"/>
  <c r="BQ366" i="4"/>
  <c r="BR423" i="4"/>
  <c r="BR425" i="4" s="1"/>
  <c r="BR355" i="4"/>
  <c r="BS424" i="4"/>
  <c r="BS320" i="4"/>
  <c r="BW79" i="64"/>
  <c r="BW71" i="64"/>
  <c r="M42" i="13"/>
  <c r="N42" i="13"/>
  <c r="O42" i="13"/>
  <c r="P42" i="13"/>
  <c r="Q42" i="13"/>
  <c r="R42" i="13"/>
  <c r="S42" i="13"/>
  <c r="T42" i="13"/>
  <c r="U42" i="13"/>
  <c r="V42" i="13"/>
  <c r="BR356" i="4" l="1"/>
  <c r="BP357" i="4"/>
  <c r="BP358" i="4" s="1"/>
  <c r="BP359" i="4" s="1"/>
  <c r="BQ354" i="4" s="1"/>
  <c r="BP426" i="4"/>
  <c r="BP427" i="4" s="1"/>
  <c r="BP428" i="4" s="1"/>
  <c r="BQ422" i="4" s="1"/>
  <c r="BK374" i="4"/>
  <c r="BK377" i="4"/>
  <c r="BK378" i="4" s="1"/>
  <c r="BK379" i="4" s="1"/>
  <c r="BL364" i="4"/>
  <c r="BL367" i="4"/>
  <c r="BL368" i="4" s="1"/>
  <c r="BL369" i="4" s="1"/>
  <c r="BU937" i="4"/>
  <c r="BU938" i="4" s="1"/>
  <c r="BU939" i="4" s="1"/>
  <c r="BU951" i="4" s="1"/>
  <c r="BG21" i="66"/>
  <c r="BG106" i="64"/>
  <c r="BY34" i="11"/>
  <c r="BZ943" i="4"/>
  <c r="BZ945" i="4" s="1"/>
  <c r="BZ946" i="4" s="1"/>
  <c r="BT424" i="4"/>
  <c r="BS355" i="4"/>
  <c r="BS423" i="4"/>
  <c r="BS425" i="4" s="1"/>
  <c r="BT320" i="4"/>
  <c r="BX971" i="4"/>
  <c r="BX972" i="4" s="1"/>
  <c r="BY968" i="4" s="1"/>
  <c r="BN433" i="4"/>
  <c r="BN437" i="4"/>
  <c r="BN438" i="4" s="1"/>
  <c r="BN439" i="4" s="1"/>
  <c r="BQ447" i="4"/>
  <c r="BU365" i="4"/>
  <c r="BU434" i="4"/>
  <c r="BV435" i="4"/>
  <c r="BV323" i="4"/>
  <c r="BQ436" i="4"/>
  <c r="BW446" i="4"/>
  <c r="BV375" i="4"/>
  <c r="BV376" i="4" s="1"/>
  <c r="BV445" i="4"/>
  <c r="BW325" i="4"/>
  <c r="BR366" i="4"/>
  <c r="BK444" i="4"/>
  <c r="BK448" i="4"/>
  <c r="BK449" i="4" s="1"/>
  <c r="BK450" i="4" s="1"/>
  <c r="BG983" i="4"/>
  <c r="BF41" i="66"/>
  <c r="BF1219" i="4"/>
  <c r="BF76" i="11"/>
  <c r="BF1244" i="4"/>
  <c r="BF1258" i="4"/>
  <c r="BF1049" i="4"/>
  <c r="BF1047" i="4"/>
  <c r="BF66" i="62"/>
  <c r="BS356" i="4" l="1"/>
  <c r="BQ357" i="4"/>
  <c r="BQ358" i="4" s="1"/>
  <c r="BQ359" i="4" s="1"/>
  <c r="BR354" i="4" s="1"/>
  <c r="BQ426" i="4"/>
  <c r="BQ427" i="4" s="1"/>
  <c r="BQ428" i="4" s="1"/>
  <c r="BR422" i="4" s="1"/>
  <c r="BY971" i="4"/>
  <c r="BY105" i="64" s="1"/>
  <c r="BY63" i="64" s="1"/>
  <c r="BU1245" i="4"/>
  <c r="BU77" i="11"/>
  <c r="BU23" i="66"/>
  <c r="BU43" i="66"/>
  <c r="BU1048" i="4"/>
  <c r="BU1262" i="4"/>
  <c r="BU1220" i="4"/>
  <c r="BO433" i="4"/>
  <c r="BO437" i="4"/>
  <c r="BO438" i="4" s="1"/>
  <c r="BO439" i="4" s="1"/>
  <c r="BS366" i="4"/>
  <c r="BU18" i="11"/>
  <c r="BV935" i="4"/>
  <c r="BU950" i="4"/>
  <c r="BW445" i="4"/>
  <c r="BX446" i="4"/>
  <c r="BW375" i="4"/>
  <c r="BW376" i="4" s="1"/>
  <c r="BX325" i="4"/>
  <c r="BW435" i="4"/>
  <c r="BV365" i="4"/>
  <c r="BV434" i="4"/>
  <c r="BW323" i="4"/>
  <c r="BM364" i="4"/>
  <c r="BM367" i="4"/>
  <c r="BM368" i="4" s="1"/>
  <c r="BM369" i="4" s="1"/>
  <c r="BX105" i="64"/>
  <c r="BZ947" i="4"/>
  <c r="CA943" i="4"/>
  <c r="BZ34" i="11"/>
  <c r="BU424" i="4"/>
  <c r="BT355" i="4"/>
  <c r="BT423" i="4"/>
  <c r="BT425" i="4" s="1"/>
  <c r="BU320" i="4"/>
  <c r="BL374" i="4"/>
  <c r="BL377" i="4"/>
  <c r="BL378" i="4" s="1"/>
  <c r="BL379" i="4" s="1"/>
  <c r="BG985" i="4"/>
  <c r="BH979" i="4"/>
  <c r="BL444" i="4"/>
  <c r="BL448" i="4"/>
  <c r="BL449" i="4" s="1"/>
  <c r="BL450" i="4" s="1"/>
  <c r="BR436" i="4"/>
  <c r="BR447" i="4"/>
  <c r="BG36" i="64"/>
  <c r="BG35" i="64"/>
  <c r="BT356" i="4" l="1"/>
  <c r="BR357" i="4"/>
  <c r="BR358" i="4" s="1"/>
  <c r="BR359" i="4" s="1"/>
  <c r="BS354" i="4" s="1"/>
  <c r="BR426" i="4"/>
  <c r="BR427" i="4" s="1"/>
  <c r="BR428" i="4" s="1"/>
  <c r="BS422" i="4" s="1"/>
  <c r="BG37" i="64"/>
  <c r="BG51" i="64" s="1"/>
  <c r="BS436" i="4"/>
  <c r="BG35" i="11"/>
  <c r="BG20" i="11"/>
  <c r="W20" i="67" s="1"/>
  <c r="BG987" i="4"/>
  <c r="BV937" i="4"/>
  <c r="BV938" i="4" s="1"/>
  <c r="BM374" i="4"/>
  <c r="BM377" i="4"/>
  <c r="BM378" i="4" s="1"/>
  <c r="BM379" i="4" s="1"/>
  <c r="CA945" i="4"/>
  <c r="CA946" i="4" s="1"/>
  <c r="CA947" i="4" s="1"/>
  <c r="BU423" i="4"/>
  <c r="BU425" i="4" s="1"/>
  <c r="BV424" i="4"/>
  <c r="BU355" i="4"/>
  <c r="BV320" i="4"/>
  <c r="BX445" i="4"/>
  <c r="BY446" i="4"/>
  <c r="BX375" i="4"/>
  <c r="BX376" i="4" s="1"/>
  <c r="BY325" i="4"/>
  <c r="BM444" i="4"/>
  <c r="BM448" i="4"/>
  <c r="BM449" i="4" s="1"/>
  <c r="BM450" i="4" s="1"/>
  <c r="BT366" i="4"/>
  <c r="BX63" i="64"/>
  <c r="BS447" i="4"/>
  <c r="BP433" i="4"/>
  <c r="BP437" i="4"/>
  <c r="BP438" i="4" s="1"/>
  <c r="BP439" i="4" s="1"/>
  <c r="BY972" i="4"/>
  <c r="BZ968" i="4" s="1"/>
  <c r="BJ981" i="4"/>
  <c r="BH982" i="4"/>
  <c r="BH983" i="4" s="1"/>
  <c r="BN364" i="4"/>
  <c r="BN367" i="4"/>
  <c r="BN368" i="4" s="1"/>
  <c r="BN369" i="4" s="1"/>
  <c r="BX435" i="4"/>
  <c r="BW365" i="4"/>
  <c r="BW434" i="4"/>
  <c r="BX323" i="4"/>
  <c r="BY79" i="64"/>
  <c r="BY71" i="64"/>
  <c r="BU356" i="4" l="1"/>
  <c r="BS357" i="4"/>
  <c r="BS358" i="4" s="1"/>
  <c r="BS359" i="4" s="1"/>
  <c r="BT354" i="4" s="1"/>
  <c r="BS426" i="4"/>
  <c r="BS427" i="4" s="1"/>
  <c r="BS428" i="4" s="1"/>
  <c r="BT422" i="4" s="1"/>
  <c r="BT447" i="4"/>
  <c r="BV18" i="11"/>
  <c r="BW935" i="4"/>
  <c r="BV950" i="4"/>
  <c r="BQ433" i="4"/>
  <c r="BQ437" i="4"/>
  <c r="BQ438" i="4" s="1"/>
  <c r="BQ439" i="4" s="1"/>
  <c r="BI979" i="4"/>
  <c r="BH985" i="4"/>
  <c r="BV423" i="4"/>
  <c r="BV425" i="4" s="1"/>
  <c r="BW424" i="4"/>
  <c r="BV355" i="4"/>
  <c r="BW320" i="4"/>
  <c r="BZ971" i="4"/>
  <c r="BZ972" i="4" s="1"/>
  <c r="CA968" i="4" s="1"/>
  <c r="BH106" i="64"/>
  <c r="BH21" i="66"/>
  <c r="BN444" i="4"/>
  <c r="BN448" i="4"/>
  <c r="BN449" i="4" s="1"/>
  <c r="BN450" i="4" s="1"/>
  <c r="BG1244" i="4"/>
  <c r="BG1219" i="4"/>
  <c r="BG1049" i="4"/>
  <c r="BG1047" i="4"/>
  <c r="BG41" i="66"/>
  <c r="BG1258" i="4"/>
  <c r="BG76" i="11"/>
  <c r="BG66" i="62"/>
  <c r="W42" i="13"/>
  <c r="BX434" i="4"/>
  <c r="BY435" i="4"/>
  <c r="BX365" i="4"/>
  <c r="BY323" i="4"/>
  <c r="AB34" i="67"/>
  <c r="CB943" i="4"/>
  <c r="CA34" i="11"/>
  <c r="BZ446" i="4"/>
  <c r="BY375" i="4"/>
  <c r="BY376" i="4" s="1"/>
  <c r="BY445" i="4"/>
  <c r="BZ325" i="4"/>
  <c r="BN374" i="4"/>
  <c r="BN377" i="4"/>
  <c r="BN378" i="4" s="1"/>
  <c r="BN379" i="4" s="1"/>
  <c r="W35" i="67"/>
  <c r="W33" i="67" s="1"/>
  <c r="BG33" i="11"/>
  <c r="BG1387" i="4" s="1"/>
  <c r="BX79" i="64"/>
  <c r="BX71" i="64"/>
  <c r="BT436" i="4"/>
  <c r="BO364" i="4"/>
  <c r="BO367" i="4"/>
  <c r="BO368" i="4" s="1"/>
  <c r="BO369" i="4" s="1"/>
  <c r="BU366" i="4"/>
  <c r="BV939" i="4"/>
  <c r="BV951" i="4" s="1"/>
  <c r="BV356" i="4" l="1"/>
  <c r="BT357" i="4"/>
  <c r="BT358" i="4" s="1"/>
  <c r="BT359" i="4" s="1"/>
  <c r="BU354" i="4" s="1"/>
  <c r="BT426" i="4"/>
  <c r="BT427" i="4" s="1"/>
  <c r="BT428" i="4" s="1"/>
  <c r="BU422" i="4" s="1"/>
  <c r="CA971" i="4"/>
  <c r="CA105" i="64" s="1"/>
  <c r="CA63" i="64" s="1"/>
  <c r="BO444" i="4"/>
  <c r="BO448" i="4"/>
  <c r="BO449" i="4" s="1"/>
  <c r="BO450" i="4" s="1"/>
  <c r="BX424" i="4"/>
  <c r="BW423" i="4"/>
  <c r="BW425" i="4" s="1"/>
  <c r="BW355" i="4"/>
  <c r="BW356" i="4" s="1"/>
  <c r="BX320" i="4"/>
  <c r="BO374" i="4"/>
  <c r="BO377" i="4"/>
  <c r="BO378" i="4" s="1"/>
  <c r="BO379" i="4" s="1"/>
  <c r="BV366" i="4"/>
  <c r="BZ445" i="4"/>
  <c r="CA446" i="4"/>
  <c r="BZ375" i="4"/>
  <c r="BZ376" i="4" s="1"/>
  <c r="CA325" i="4"/>
  <c r="BW937" i="4"/>
  <c r="BW938" i="4" s="1"/>
  <c r="BW939" i="4" s="1"/>
  <c r="BW951" i="4" s="1"/>
  <c r="AA77" i="67" s="1"/>
  <c r="BZ435" i="4"/>
  <c r="BY434" i="4"/>
  <c r="BY365" i="4"/>
  <c r="BZ323" i="4"/>
  <c r="BU436" i="4"/>
  <c r="BV43" i="66"/>
  <c r="BV1220" i="4"/>
  <c r="BV77" i="11"/>
  <c r="BV1245" i="4"/>
  <c r="BV1262" i="4"/>
  <c r="BV23" i="66"/>
  <c r="BV1048" i="4"/>
  <c r="BP364" i="4"/>
  <c r="BP367" i="4"/>
  <c r="BP368" i="4" s="1"/>
  <c r="BP369" i="4" s="1"/>
  <c r="BH36" i="64"/>
  <c r="BH35" i="64"/>
  <c r="BH20" i="11"/>
  <c r="BH35" i="11"/>
  <c r="BH33" i="11" s="1"/>
  <c r="BH1387" i="4" s="1"/>
  <c r="BH987" i="4"/>
  <c r="BU447" i="4"/>
  <c r="BZ105" i="64"/>
  <c r="BK981" i="4"/>
  <c r="BI982" i="4"/>
  <c r="BI983" i="4" s="1"/>
  <c r="CB945" i="4"/>
  <c r="CB946" i="4" s="1"/>
  <c r="BR433" i="4"/>
  <c r="BR437" i="4"/>
  <c r="BR438" i="4" s="1"/>
  <c r="BR439" i="4" s="1"/>
  <c r="BU357" i="4" l="1"/>
  <c r="BU358" i="4" s="1"/>
  <c r="BU359" i="4" s="1"/>
  <c r="BV354" i="4" s="1"/>
  <c r="BU426" i="4"/>
  <c r="BU427" i="4" s="1"/>
  <c r="BU428" i="4" s="1"/>
  <c r="BV422" i="4" s="1"/>
  <c r="BH37" i="64"/>
  <c r="BH51" i="64" s="1"/>
  <c r="CC943" i="4"/>
  <c r="CB34" i="11"/>
  <c r="BY424" i="4"/>
  <c r="BX423" i="4"/>
  <c r="BX425" i="4" s="1"/>
  <c r="BX355" i="4"/>
  <c r="BX356" i="4" s="1"/>
  <c r="BY320" i="4"/>
  <c r="BI985" i="4"/>
  <c r="BJ979" i="4"/>
  <c r="BH1049" i="4"/>
  <c r="BH1244" i="4"/>
  <c r="BH41" i="66"/>
  <c r="BH1258" i="4"/>
  <c r="BH1047" i="4"/>
  <c r="BH76" i="11"/>
  <c r="BH1219" i="4"/>
  <c r="BH66" i="62"/>
  <c r="BQ364" i="4"/>
  <c r="BQ367" i="4"/>
  <c r="BQ368" i="4" s="1"/>
  <c r="BQ369" i="4" s="1"/>
  <c r="BI21" i="66"/>
  <c r="BI106" i="64"/>
  <c r="BW43" i="66"/>
  <c r="BW1245" i="4"/>
  <c r="BW77" i="11"/>
  <c r="BW1048" i="4"/>
  <c r="BW1220" i="4"/>
  <c r="BW23" i="66"/>
  <c r="BW1262" i="4"/>
  <c r="BW366" i="4"/>
  <c r="BP444" i="4"/>
  <c r="BP448" i="4"/>
  <c r="BP449" i="4" s="1"/>
  <c r="BP450" i="4" s="1"/>
  <c r="BS433" i="4"/>
  <c r="BS437" i="4"/>
  <c r="BS438" i="4" s="1"/>
  <c r="BS439" i="4" s="1"/>
  <c r="BZ63" i="64"/>
  <c r="BV436" i="4"/>
  <c r="BX935" i="4"/>
  <c r="AA18" i="67"/>
  <c r="BW18" i="11"/>
  <c r="BW950" i="4"/>
  <c r="CB446" i="4"/>
  <c r="CA445" i="4"/>
  <c r="CA375" i="4"/>
  <c r="CA376" i="4" s="1"/>
  <c r="CB325" i="4"/>
  <c r="BP374" i="4"/>
  <c r="BP377" i="4"/>
  <c r="BP378" i="4" s="1"/>
  <c r="BP379" i="4" s="1"/>
  <c r="CA972" i="4"/>
  <c r="CB968" i="4" s="1"/>
  <c r="CB947" i="4"/>
  <c r="BV447" i="4"/>
  <c r="CA435" i="4"/>
  <c r="BZ434" i="4"/>
  <c r="BZ365" i="4"/>
  <c r="CA323" i="4"/>
  <c r="CA71" i="64"/>
  <c r="CA79" i="64"/>
  <c r="BV357" i="4" l="1"/>
  <c r="BV358" i="4" s="1"/>
  <c r="BV359" i="4" s="1"/>
  <c r="BW354" i="4" s="1"/>
  <c r="BV426" i="4"/>
  <c r="BV427" i="4" s="1"/>
  <c r="BV428" i="4" s="1"/>
  <c r="BW422" i="4" s="1"/>
  <c r="BQ444" i="4"/>
  <c r="BQ448" i="4"/>
  <c r="BQ449" i="4" s="1"/>
  <c r="BQ450" i="4" s="1"/>
  <c r="BT433" i="4"/>
  <c r="BT437" i="4"/>
  <c r="BT438" i="4" s="1"/>
  <c r="BT439" i="4" s="1"/>
  <c r="BR364" i="4"/>
  <c r="BR367" i="4"/>
  <c r="BR368" i="4" s="1"/>
  <c r="BR369" i="4" s="1"/>
  <c r="BY355" i="4"/>
  <c r="BY356" i="4" s="1"/>
  <c r="BZ424" i="4"/>
  <c r="BY423" i="4"/>
  <c r="BY425" i="4" s="1"/>
  <c r="BZ320" i="4"/>
  <c r="CA434" i="4"/>
  <c r="CB435" i="4"/>
  <c r="CA365" i="4"/>
  <c r="CB323" i="4"/>
  <c r="BQ374" i="4"/>
  <c r="BQ377" i="4"/>
  <c r="BQ378" i="4" s="1"/>
  <c r="BQ379" i="4" s="1"/>
  <c r="BW436" i="4"/>
  <c r="BJ982" i="4"/>
  <c r="BJ983" i="4" s="1"/>
  <c r="BL981" i="4"/>
  <c r="BX366" i="4"/>
  <c r="BI36" i="64"/>
  <c r="BI35" i="64"/>
  <c r="BI20" i="11"/>
  <c r="BI35" i="11"/>
  <c r="BI33" i="11" s="1"/>
  <c r="BI1387" i="4" s="1"/>
  <c r="BI987" i="4"/>
  <c r="BX937" i="4"/>
  <c r="BX938" i="4" s="1"/>
  <c r="BW447" i="4"/>
  <c r="CB445" i="4"/>
  <c r="CC446" i="4"/>
  <c r="CB375" i="4"/>
  <c r="CB376" i="4" s="1"/>
  <c r="CC325" i="4"/>
  <c r="CB971" i="4"/>
  <c r="CB972" i="4" s="1"/>
  <c r="CC968" i="4" s="1"/>
  <c r="BZ79" i="64"/>
  <c r="BZ71" i="64"/>
  <c r="CC945" i="4"/>
  <c r="CC946" i="4" s="1"/>
  <c r="CC947" i="4" s="1"/>
  <c r="BW357" i="4" l="1"/>
  <c r="BW358" i="4" s="1"/>
  <c r="BW359" i="4" s="1"/>
  <c r="BX354" i="4" s="1"/>
  <c r="BW426" i="4"/>
  <c r="BW427" i="4" s="1"/>
  <c r="BW428" i="4" s="1"/>
  <c r="BX422" i="4" s="1"/>
  <c r="BJ985" i="4"/>
  <c r="BK979" i="4"/>
  <c r="BX18" i="11"/>
  <c r="BY935" i="4"/>
  <c r="BX950" i="4"/>
  <c r="BZ423" i="4"/>
  <c r="BZ425" i="4" s="1"/>
  <c r="CA424" i="4"/>
  <c r="BZ355" i="4"/>
  <c r="BZ356" i="4" s="1"/>
  <c r="CA320" i="4"/>
  <c r="BI1049" i="4"/>
  <c r="BI1219" i="4"/>
  <c r="BI76" i="11"/>
  <c r="BI1244" i="4"/>
  <c r="BI41" i="66"/>
  <c r="BI1047" i="4"/>
  <c r="BI1258" i="4"/>
  <c r="BI66" i="62"/>
  <c r="CC445" i="4"/>
  <c r="CD446" i="4"/>
  <c r="CC375" i="4"/>
  <c r="CC376" i="4" s="1"/>
  <c r="CD325" i="4"/>
  <c r="CB365" i="4"/>
  <c r="CC435" i="4"/>
  <c r="CB434" i="4"/>
  <c r="CC323" i="4"/>
  <c r="BU433" i="4"/>
  <c r="BU437" i="4"/>
  <c r="BU438" i="4" s="1"/>
  <c r="BU439" i="4" s="1"/>
  <c r="CC971" i="4"/>
  <c r="CC105" i="64" s="1"/>
  <c r="CC63" i="64" s="1"/>
  <c r="BJ21" i="66"/>
  <c r="BJ106" i="64"/>
  <c r="BS364" i="4"/>
  <c r="BS367" i="4"/>
  <c r="BS368" i="4" s="1"/>
  <c r="BS369" i="4" s="1"/>
  <c r="CB105" i="64"/>
  <c r="BX447" i="4"/>
  <c r="BI37" i="64"/>
  <c r="BI51" i="64" s="1"/>
  <c r="BX436" i="4"/>
  <c r="CC34" i="11"/>
  <c r="CD943" i="4"/>
  <c r="CD945" i="4" s="1"/>
  <c r="CD946" i="4" s="1"/>
  <c r="BR444" i="4"/>
  <c r="BR448" i="4"/>
  <c r="BR449" i="4" s="1"/>
  <c r="BR450" i="4" s="1"/>
  <c r="BX939" i="4"/>
  <c r="BX951" i="4" s="1"/>
  <c r="BY366" i="4"/>
  <c r="BR374" i="4"/>
  <c r="BR377" i="4"/>
  <c r="BR378" i="4" s="1"/>
  <c r="BR379" i="4" s="1"/>
  <c r="BX357" i="4" l="1"/>
  <c r="BX358" i="4" s="1"/>
  <c r="BX359" i="4" s="1"/>
  <c r="BY354" i="4" s="1"/>
  <c r="BX426" i="4"/>
  <c r="BX427" i="4" s="1"/>
  <c r="BX428" i="4" s="1"/>
  <c r="BY422" i="4" s="1"/>
  <c r="CC972" i="4"/>
  <c r="CD968" i="4" s="1"/>
  <c r="CD971" i="4" s="1"/>
  <c r="BY447" i="4"/>
  <c r="CC365" i="4"/>
  <c r="CC434" i="4"/>
  <c r="CD435" i="4"/>
  <c r="CD323" i="4"/>
  <c r="BY937" i="4"/>
  <c r="BY938" i="4" s="1"/>
  <c r="BY939" i="4" s="1"/>
  <c r="BY951" i="4" s="1"/>
  <c r="BX1262" i="4"/>
  <c r="BX23" i="66"/>
  <c r="BX1245" i="4"/>
  <c r="BX77" i="11"/>
  <c r="BX1220" i="4"/>
  <c r="BX43" i="66"/>
  <c r="BX1048" i="4"/>
  <c r="BS444" i="4"/>
  <c r="BS448" i="4"/>
  <c r="BS449" i="4" s="1"/>
  <c r="BS450" i="4" s="1"/>
  <c r="CD947" i="4"/>
  <c r="CD34" i="11"/>
  <c r="CE943" i="4"/>
  <c r="CC79" i="64"/>
  <c r="CC71" i="64"/>
  <c r="BS374" i="4"/>
  <c r="BS377" i="4"/>
  <c r="BS378" i="4" s="1"/>
  <c r="BS379" i="4" s="1"/>
  <c r="BT364" i="4"/>
  <c r="BT367" i="4"/>
  <c r="BT368" i="4" s="1"/>
  <c r="BT369" i="4" s="1"/>
  <c r="CA355" i="4"/>
  <c r="CA356" i="4" s="1"/>
  <c r="CB424" i="4"/>
  <c r="CA423" i="4"/>
  <c r="CA425" i="4" s="1"/>
  <c r="CB320" i="4"/>
  <c r="BV433" i="4"/>
  <c r="BV437" i="4"/>
  <c r="BV438" i="4" s="1"/>
  <c r="BV439" i="4" s="1"/>
  <c r="BZ366" i="4"/>
  <c r="BY436" i="4"/>
  <c r="CE446" i="4"/>
  <c r="CD375" i="4"/>
  <c r="CD376" i="4" s="1"/>
  <c r="CD445" i="4"/>
  <c r="CE325" i="4"/>
  <c r="BK982" i="4"/>
  <c r="BK983" i="4" s="1"/>
  <c r="BM981" i="4"/>
  <c r="CB63" i="64"/>
  <c r="BJ36" i="64"/>
  <c r="BJ35" i="64"/>
  <c r="BJ35" i="11"/>
  <c r="BJ33" i="11" s="1"/>
  <c r="BJ1387" i="4" s="1"/>
  <c r="BJ20" i="11"/>
  <c r="BJ987" i="4"/>
  <c r="BY357" i="4" l="1"/>
  <c r="BY358" i="4" s="1"/>
  <c r="BY359" i="4" s="1"/>
  <c r="BZ354" i="4" s="1"/>
  <c r="BY426" i="4"/>
  <c r="BY427" i="4" s="1"/>
  <c r="BY428" i="4" s="1"/>
  <c r="BZ422" i="4" s="1"/>
  <c r="BJ37" i="64"/>
  <c r="BJ51" i="64" s="1"/>
  <c r="BL979" i="4"/>
  <c r="BK985" i="4"/>
  <c r="BY1220" i="4"/>
  <c r="BY77" i="11"/>
  <c r="BY23" i="66"/>
  <c r="BY1245" i="4"/>
  <c r="BY1262" i="4"/>
  <c r="BY43" i="66"/>
  <c r="BY1048" i="4"/>
  <c r="CD105" i="64"/>
  <c r="CE435" i="4"/>
  <c r="CD434" i="4"/>
  <c r="CD365" i="4"/>
  <c r="CE323" i="4"/>
  <c r="CE945" i="4"/>
  <c r="CE946" i="4" s="1"/>
  <c r="CE947" i="4" s="1"/>
  <c r="BY18" i="11"/>
  <c r="BZ935" i="4"/>
  <c r="BY950" i="4"/>
  <c r="BK21" i="66"/>
  <c r="BK106" i="64"/>
  <c r="CF446" i="4"/>
  <c r="CE375" i="4"/>
  <c r="CE376" i="4" s="1"/>
  <c r="CE445" i="4"/>
  <c r="CF325" i="4"/>
  <c r="CA366" i="4"/>
  <c r="BU364" i="4"/>
  <c r="BU367" i="4"/>
  <c r="BU368" i="4" s="1"/>
  <c r="BU369" i="4" s="1"/>
  <c r="BZ447" i="4"/>
  <c r="BW433" i="4"/>
  <c r="BW437" i="4"/>
  <c r="BW438" i="4" s="1"/>
  <c r="BW439" i="4" s="1"/>
  <c r="BT374" i="4"/>
  <c r="BT377" i="4"/>
  <c r="BT378" i="4" s="1"/>
  <c r="BT379" i="4" s="1"/>
  <c r="BT444" i="4"/>
  <c r="BT448" i="4"/>
  <c r="BT449" i="4" s="1"/>
  <c r="BT450" i="4" s="1"/>
  <c r="BJ1244" i="4"/>
  <c r="BJ1219" i="4"/>
  <c r="BJ76" i="11"/>
  <c r="BJ1258" i="4"/>
  <c r="BJ1047" i="4"/>
  <c r="BJ41" i="66"/>
  <c r="BJ1049" i="4"/>
  <c r="BJ66" i="62"/>
  <c r="CB79" i="64"/>
  <c r="CB71" i="64"/>
  <c r="BZ436" i="4"/>
  <c r="CC424" i="4"/>
  <c r="CB355" i="4"/>
  <c r="CB356" i="4" s="1"/>
  <c r="CB423" i="4"/>
  <c r="CB425" i="4" s="1"/>
  <c r="CC320" i="4"/>
  <c r="CD972" i="4"/>
  <c r="CE968" i="4" s="1"/>
  <c r="BZ357" i="4" l="1"/>
  <c r="BZ358" i="4" s="1"/>
  <c r="BZ359" i="4" s="1"/>
  <c r="CA354" i="4" s="1"/>
  <c r="BZ426" i="4"/>
  <c r="BZ427" i="4" s="1"/>
  <c r="BZ428" i="4" s="1"/>
  <c r="CA422" i="4" s="1"/>
  <c r="CE971" i="4"/>
  <c r="CE972" i="4" s="1"/>
  <c r="CF968" i="4" s="1"/>
  <c r="BX433" i="4"/>
  <c r="BX437" i="4"/>
  <c r="BX438" i="4" s="1"/>
  <c r="BX439" i="4" s="1"/>
  <c r="CD63" i="64"/>
  <c r="AC34" i="67"/>
  <c r="CE34" i="11"/>
  <c r="CF943" i="4"/>
  <c r="CA447" i="4"/>
  <c r="BV364" i="4"/>
  <c r="BV367" i="4"/>
  <c r="BV368" i="4" s="1"/>
  <c r="BV369" i="4" s="1"/>
  <c r="BK35" i="64"/>
  <c r="BK36" i="64"/>
  <c r="CE434" i="4"/>
  <c r="CF435" i="4"/>
  <c r="CE365" i="4"/>
  <c r="CF323" i="4"/>
  <c r="BK20" i="11"/>
  <c r="X20" i="67" s="1"/>
  <c r="BK35" i="11"/>
  <c r="BK987" i="4"/>
  <c r="CA436" i="4"/>
  <c r="BU444" i="4"/>
  <c r="BU448" i="4"/>
  <c r="BU449" i="4" s="1"/>
  <c r="BU450" i="4" s="1"/>
  <c r="BL982" i="4"/>
  <c r="BL983" i="4" s="1"/>
  <c r="BN981" i="4"/>
  <c r="CB366" i="4"/>
  <c r="BU374" i="4"/>
  <c r="BU377" i="4"/>
  <c r="BU378" i="4" s="1"/>
  <c r="BU379" i="4" s="1"/>
  <c r="CC423" i="4"/>
  <c r="CC425" i="4" s="1"/>
  <c r="CC355" i="4"/>
  <c r="CC356" i="4" s="1"/>
  <c r="CD424" i="4"/>
  <c r="CD320" i="4"/>
  <c r="CG446" i="4"/>
  <c r="CF375" i="4"/>
  <c r="CF376" i="4" s="1"/>
  <c r="CF445" i="4"/>
  <c r="CG325" i="4"/>
  <c r="BZ937" i="4"/>
  <c r="BZ938" i="4" s="1"/>
  <c r="CA357" i="4" l="1"/>
  <c r="CA358" i="4" s="1"/>
  <c r="CA359" i="4" s="1"/>
  <c r="CB354" i="4" s="1"/>
  <c r="BK37" i="64"/>
  <c r="BK51" i="64" s="1"/>
  <c r="CA426" i="4"/>
  <c r="CA427" i="4" s="1"/>
  <c r="CA428" i="4" s="1"/>
  <c r="CB422" i="4" s="1"/>
  <c r="BM979" i="4"/>
  <c r="BL985" i="4"/>
  <c r="CF971" i="4"/>
  <c r="CF105" i="64" s="1"/>
  <c r="CF63" i="64" s="1"/>
  <c r="CA935" i="4"/>
  <c r="BZ18" i="11"/>
  <c r="BZ950" i="4"/>
  <c r="CG375" i="4"/>
  <c r="CG376" i="4" s="1"/>
  <c r="CG445" i="4"/>
  <c r="CH446" i="4"/>
  <c r="CH325" i="4"/>
  <c r="CC366" i="4"/>
  <c r="CF365" i="4"/>
  <c r="CG435" i="4"/>
  <c r="CF434" i="4"/>
  <c r="CG323" i="4"/>
  <c r="CB447" i="4"/>
  <c r="BV374" i="4"/>
  <c r="BV377" i="4"/>
  <c r="BV378" i="4" s="1"/>
  <c r="BV379" i="4" s="1"/>
  <c r="CB436" i="4"/>
  <c r="CD355" i="4"/>
  <c r="CD356" i="4" s="1"/>
  <c r="CD423" i="4"/>
  <c r="CD425" i="4" s="1"/>
  <c r="CE424" i="4"/>
  <c r="CE320" i="4"/>
  <c r="CD71" i="64"/>
  <c r="CD79" i="64"/>
  <c r="BY433" i="4"/>
  <c r="BY437" i="4"/>
  <c r="BY438" i="4" s="1"/>
  <c r="BY439" i="4" s="1"/>
  <c r="BZ939" i="4"/>
  <c r="BZ951" i="4" s="1"/>
  <c r="BL21" i="66"/>
  <c r="BL106" i="64"/>
  <c r="BK1049" i="4"/>
  <c r="BK76" i="11"/>
  <c r="BK1219" i="4"/>
  <c r="BK1047" i="4"/>
  <c r="BK1244" i="4"/>
  <c r="BK1258" i="4"/>
  <c r="BK41" i="66"/>
  <c r="BK66" i="62"/>
  <c r="X42" i="13"/>
  <c r="CF945" i="4"/>
  <c r="CF946" i="4" s="1"/>
  <c r="CF947" i="4" s="1"/>
  <c r="BV444" i="4"/>
  <c r="BV448" i="4"/>
  <c r="BV449" i="4" s="1"/>
  <c r="BV450" i="4" s="1"/>
  <c r="X35" i="67"/>
  <c r="X33" i="67" s="1"/>
  <c r="BK33" i="11"/>
  <c r="BK1387" i="4" s="1"/>
  <c r="BW364" i="4"/>
  <c r="BW367" i="4"/>
  <c r="BW368" i="4" s="1"/>
  <c r="BW369" i="4" s="1"/>
  <c r="CE105" i="64"/>
  <c r="CB357" i="4" l="1"/>
  <c r="CB358" i="4" s="1"/>
  <c r="CB359" i="4" s="1"/>
  <c r="CC354" i="4" s="1"/>
  <c r="CB426" i="4"/>
  <c r="CB427" i="4" s="1"/>
  <c r="CB428" i="4" s="1"/>
  <c r="CC422" i="4" s="1"/>
  <c r="CF972" i="4"/>
  <c r="CG968" i="4" s="1"/>
  <c r="CG971" i="4" s="1"/>
  <c r="CG105" i="64" s="1"/>
  <c r="CG63" i="64" s="1"/>
  <c r="CG943" i="4"/>
  <c r="CF34" i="11"/>
  <c r="CC447" i="4"/>
  <c r="CC436" i="4"/>
  <c r="CE63" i="64"/>
  <c r="BX364" i="4"/>
  <c r="BX367" i="4"/>
  <c r="BX368" i="4" s="1"/>
  <c r="BX369" i="4" s="1"/>
  <c r="BL36" i="64"/>
  <c r="BL35" i="64"/>
  <c r="CG434" i="4"/>
  <c r="CH435" i="4"/>
  <c r="CG365" i="4"/>
  <c r="CH323" i="4"/>
  <c r="CA937" i="4"/>
  <c r="CA938" i="4" s="1"/>
  <c r="CA939" i="4" s="1"/>
  <c r="CA951" i="4" s="1"/>
  <c r="AB77" i="67" s="1"/>
  <c r="CE355" i="4"/>
  <c r="CE356" i="4" s="1"/>
  <c r="CF424" i="4"/>
  <c r="CE423" i="4"/>
  <c r="CE425" i="4" s="1"/>
  <c r="CF320" i="4"/>
  <c r="BW374" i="4"/>
  <c r="BW377" i="4"/>
  <c r="BW378" i="4" s="1"/>
  <c r="BW379" i="4" s="1"/>
  <c r="BZ1245" i="4"/>
  <c r="BZ23" i="66"/>
  <c r="BZ43" i="66"/>
  <c r="BZ1048" i="4"/>
  <c r="BZ77" i="11"/>
  <c r="BZ1262" i="4"/>
  <c r="BZ1220" i="4"/>
  <c r="CH375" i="4"/>
  <c r="CH376" i="4" s="1"/>
  <c r="CI446" i="4"/>
  <c r="CH445" i="4"/>
  <c r="CI325" i="4"/>
  <c r="CF71" i="64"/>
  <c r="CF79" i="64"/>
  <c r="BZ433" i="4"/>
  <c r="BZ437" i="4"/>
  <c r="BZ438" i="4" s="1"/>
  <c r="BZ439" i="4" s="1"/>
  <c r="BL20" i="11"/>
  <c r="BL35" i="11"/>
  <c r="BL33" i="11" s="1"/>
  <c r="BL1387" i="4" s="1"/>
  <c r="BL987" i="4"/>
  <c r="BW444" i="4"/>
  <c r="BW448" i="4"/>
  <c r="BW449" i="4" s="1"/>
  <c r="BW450" i="4" s="1"/>
  <c r="CD366" i="4"/>
  <c r="BM982" i="4"/>
  <c r="BO981" i="4"/>
  <c r="CC357" i="4" l="1"/>
  <c r="CC358" i="4" s="1"/>
  <c r="CC359" i="4" s="1"/>
  <c r="CD354" i="4" s="1"/>
  <c r="CC426" i="4"/>
  <c r="CC427" i="4" s="1"/>
  <c r="CC428" i="4" s="1"/>
  <c r="CD422" i="4" s="1"/>
  <c r="CG79" i="64"/>
  <c r="CG71" i="64"/>
  <c r="CD436" i="4"/>
  <c r="CA433" i="4"/>
  <c r="CA437" i="4"/>
  <c r="CA438" i="4" s="1"/>
  <c r="CA439" i="4" s="1"/>
  <c r="CI445" i="4"/>
  <c r="CJ446" i="4"/>
  <c r="CI375" i="4"/>
  <c r="CI376" i="4" s="1"/>
  <c r="CJ325" i="4"/>
  <c r="BX374" i="4"/>
  <c r="BX377" i="4"/>
  <c r="BX378" i="4" s="1"/>
  <c r="BX379" i="4" s="1"/>
  <c r="BL37" i="64"/>
  <c r="BL51" i="64" s="1"/>
  <c r="CD447" i="4"/>
  <c r="BL1244" i="4"/>
  <c r="BL1047" i="4"/>
  <c r="BL76" i="11"/>
  <c r="BL1049" i="4"/>
  <c r="BL1258" i="4"/>
  <c r="BL1219" i="4"/>
  <c r="BL41" i="66"/>
  <c r="BL66" i="62"/>
  <c r="CG424" i="4"/>
  <c r="CF423" i="4"/>
  <c r="CF425" i="4" s="1"/>
  <c r="CF355" i="4"/>
  <c r="CF356" i="4" s="1"/>
  <c r="CG320" i="4"/>
  <c r="CA1220" i="4"/>
  <c r="CA43" i="66"/>
  <c r="CA77" i="11"/>
  <c r="CA23" i="66"/>
  <c r="CA1048" i="4"/>
  <c r="CA1262" i="4"/>
  <c r="CA1245" i="4"/>
  <c r="BY364" i="4"/>
  <c r="BY367" i="4"/>
  <c r="BY368" i="4" s="1"/>
  <c r="BY369" i="4" s="1"/>
  <c r="BM983" i="4"/>
  <c r="BM21" i="66"/>
  <c r="BM106" i="64"/>
  <c r="CB935" i="4"/>
  <c r="CA18" i="11"/>
  <c r="AB18" i="67"/>
  <c r="CA950" i="4"/>
  <c r="CG945" i="4"/>
  <c r="CG946" i="4" s="1"/>
  <c r="CG947" i="4" s="1"/>
  <c r="CH365" i="4"/>
  <c r="CH434" i="4"/>
  <c r="CI435" i="4"/>
  <c r="CI323" i="4"/>
  <c r="BX444" i="4"/>
  <c r="BX448" i="4"/>
  <c r="BX449" i="4" s="1"/>
  <c r="BX450" i="4" s="1"/>
  <c r="CE366" i="4"/>
  <c r="CG972" i="4"/>
  <c r="CH968" i="4" s="1"/>
  <c r="CE79" i="64"/>
  <c r="CE71" i="64"/>
  <c r="CD357" i="4" l="1"/>
  <c r="CD358" i="4" s="1"/>
  <c r="CD359" i="4" s="1"/>
  <c r="CE354" i="4" s="1"/>
  <c r="CD426" i="4"/>
  <c r="CD427" i="4" s="1"/>
  <c r="CD428" i="4" s="1"/>
  <c r="CE422" i="4" s="1"/>
  <c r="CH971" i="4"/>
  <c r="CH105" i="64" s="1"/>
  <c r="CH63" i="64" s="1"/>
  <c r="CF366" i="4"/>
  <c r="CB937" i="4"/>
  <c r="CB938" i="4" s="1"/>
  <c r="CB939" i="4" s="1"/>
  <c r="CB951" i="4" s="1"/>
  <c r="BM35" i="64"/>
  <c r="BM36" i="64"/>
  <c r="CE447" i="4"/>
  <c r="BY444" i="4"/>
  <c r="BY448" i="4"/>
  <c r="BY449" i="4" s="1"/>
  <c r="BY450" i="4" s="1"/>
  <c r="CB433" i="4"/>
  <c r="CB437" i="4"/>
  <c r="CB438" i="4" s="1"/>
  <c r="CB439" i="4" s="1"/>
  <c r="BM985" i="4"/>
  <c r="BN979" i="4"/>
  <c r="CH943" i="4"/>
  <c r="CH945" i="4" s="1"/>
  <c r="CH946" i="4" s="1"/>
  <c r="CG34" i="11"/>
  <c r="BZ364" i="4"/>
  <c r="BZ367" i="4"/>
  <c r="BZ368" i="4" s="1"/>
  <c r="BZ369" i="4" s="1"/>
  <c r="CE436" i="4"/>
  <c r="CG423" i="4"/>
  <c r="CG425" i="4" s="1"/>
  <c r="CG355" i="4"/>
  <c r="CG356" i="4" s="1"/>
  <c r="CH424" i="4"/>
  <c r="CH320" i="4"/>
  <c r="CJ435" i="4"/>
  <c r="CI365" i="4"/>
  <c r="CI434" i="4"/>
  <c r="CJ323" i="4"/>
  <c r="BY374" i="4"/>
  <c r="BY377" i="4"/>
  <c r="BY378" i="4" s="1"/>
  <c r="BY379" i="4" s="1"/>
  <c r="CK446" i="4"/>
  <c r="CJ375" i="4"/>
  <c r="CJ376" i="4" s="1"/>
  <c r="CJ445" i="4"/>
  <c r="CK325" i="4"/>
  <c r="J147" i="15"/>
  <c r="K147" i="15"/>
  <c r="L147" i="15"/>
  <c r="M147" i="15"/>
  <c r="CE357" i="4" l="1"/>
  <c r="CE358" i="4" s="1"/>
  <c r="CE359" i="4" s="1"/>
  <c r="CF354" i="4" s="1"/>
  <c r="CE426" i="4"/>
  <c r="CE427" i="4" s="1"/>
  <c r="CE428" i="4" s="1"/>
  <c r="CF422" i="4" s="1"/>
  <c r="CB77" i="11"/>
  <c r="CB23" i="66"/>
  <c r="CB1245" i="4"/>
  <c r="CB1262" i="4"/>
  <c r="CB1220" i="4"/>
  <c r="CB1048" i="4"/>
  <c r="CB43" i="66"/>
  <c r="CA364" i="4"/>
  <c r="CA367" i="4"/>
  <c r="CA368" i="4" s="1"/>
  <c r="CA369" i="4" s="1"/>
  <c r="CJ434" i="4"/>
  <c r="CJ365" i="4"/>
  <c r="CK435" i="4"/>
  <c r="CK323" i="4"/>
  <c r="CC433" i="4"/>
  <c r="CC437" i="4"/>
  <c r="CC438" i="4" s="1"/>
  <c r="CC439" i="4" s="1"/>
  <c r="CC935" i="4"/>
  <c r="CB18" i="11"/>
  <c r="CB950" i="4"/>
  <c r="CK445" i="4"/>
  <c r="CK375" i="4"/>
  <c r="CK376" i="4" s="1"/>
  <c r="CL446" i="4"/>
  <c r="CL325" i="4"/>
  <c r="CH947" i="4"/>
  <c r="CH34" i="11"/>
  <c r="CI943" i="4"/>
  <c r="CF447" i="4"/>
  <c r="CG366" i="4"/>
  <c r="BN982" i="4"/>
  <c r="BP981" i="4"/>
  <c r="CH423" i="4"/>
  <c r="CH425" i="4" s="1"/>
  <c r="CI424" i="4"/>
  <c r="CH355" i="4"/>
  <c r="CH356" i="4" s="1"/>
  <c r="CI320" i="4"/>
  <c r="BM20" i="11"/>
  <c r="BM35" i="11"/>
  <c r="BM33" i="11" s="1"/>
  <c r="BM1387" i="4" s="1"/>
  <c r="BM987" i="4"/>
  <c r="CH972" i="4"/>
  <c r="CI968" i="4" s="1"/>
  <c r="CF436" i="4"/>
  <c r="BM37" i="64"/>
  <c r="CH79" i="64"/>
  <c r="CH71" i="64"/>
  <c r="BZ374" i="4"/>
  <c r="BZ377" i="4"/>
  <c r="BZ378" i="4" s="1"/>
  <c r="BZ379" i="4" s="1"/>
  <c r="BZ444" i="4"/>
  <c r="BZ448" i="4"/>
  <c r="BZ449" i="4" s="1"/>
  <c r="BZ450" i="4" s="1"/>
  <c r="G147" i="15"/>
  <c r="CF357" i="4" l="1"/>
  <c r="CF358" i="4" s="1"/>
  <c r="CF359" i="4" s="1"/>
  <c r="CG354" i="4" s="1"/>
  <c r="CF426" i="4"/>
  <c r="CF427" i="4" s="1"/>
  <c r="CF428" i="4" s="1"/>
  <c r="CG422" i="4" s="1"/>
  <c r="CL435" i="4"/>
  <c r="CK365" i="4"/>
  <c r="CK434" i="4"/>
  <c r="CL323" i="4"/>
  <c r="BM1258" i="4"/>
  <c r="BM1049" i="4"/>
  <c r="BM1047" i="4"/>
  <c r="BM76" i="11"/>
  <c r="BM1219" i="4"/>
  <c r="BM41" i="66"/>
  <c r="BM1244" i="4"/>
  <c r="BM66" i="62"/>
  <c r="BN21" i="66"/>
  <c r="BN106" i="64"/>
  <c r="CC937" i="4"/>
  <c r="CC938" i="4" s="1"/>
  <c r="CC939" i="4" s="1"/>
  <c r="CC951" i="4" s="1"/>
  <c r="CI423" i="4"/>
  <c r="CI425" i="4" s="1"/>
  <c r="CI355" i="4"/>
  <c r="CI356" i="4" s="1"/>
  <c r="CJ424" i="4"/>
  <c r="CJ320" i="4"/>
  <c r="CA444" i="4"/>
  <c r="CA448" i="4"/>
  <c r="CA449" i="4" s="1"/>
  <c r="CA450" i="4" s="1"/>
  <c r="BM51" i="64"/>
  <c r="CH366" i="4"/>
  <c r="CL375" i="4"/>
  <c r="CL376" i="4" s="1"/>
  <c r="CL445" i="4"/>
  <c r="CM446" i="4"/>
  <c r="CM325" i="4"/>
  <c r="CD433" i="4"/>
  <c r="CD437" i="4"/>
  <c r="CD438" i="4" s="1"/>
  <c r="CD439" i="4" s="1"/>
  <c r="CG436" i="4"/>
  <c r="CB364" i="4"/>
  <c r="CB367" i="4"/>
  <c r="CB368" i="4" s="1"/>
  <c r="CB369" i="4" s="1"/>
  <c r="CG447" i="4"/>
  <c r="CI971" i="4"/>
  <c r="CI105" i="64" s="1"/>
  <c r="CI63" i="64" s="1"/>
  <c r="CA374" i="4"/>
  <c r="CA377" i="4"/>
  <c r="CA378" i="4" s="1"/>
  <c r="CA379" i="4" s="1"/>
  <c r="BN983" i="4"/>
  <c r="CI945" i="4"/>
  <c r="CI946" i="4" s="1"/>
  <c r="CI947" i="4" s="1"/>
  <c r="W76" i="67"/>
  <c r="X76" i="67"/>
  <c r="CG357" i="4" l="1"/>
  <c r="CG358" i="4" s="1"/>
  <c r="CG359" i="4" s="1"/>
  <c r="CH354" i="4" s="1"/>
  <c r="CG426" i="4"/>
  <c r="CG427" i="4" s="1"/>
  <c r="CG428" i="4" s="1"/>
  <c r="CH422" i="4" s="1"/>
  <c r="CI972" i="4"/>
  <c r="CJ968" i="4" s="1"/>
  <c r="CJ971" i="4" s="1"/>
  <c r="CJ105" i="64" s="1"/>
  <c r="CJ63" i="64" s="1"/>
  <c r="CH447" i="4"/>
  <c r="CI366" i="4"/>
  <c r="CH436" i="4"/>
  <c r="CK424" i="4"/>
  <c r="CJ355" i="4"/>
  <c r="CJ356" i="4" s="1"/>
  <c r="CJ423" i="4"/>
  <c r="CJ425" i="4" s="1"/>
  <c r="CK320" i="4"/>
  <c r="CC364" i="4"/>
  <c r="CC367" i="4"/>
  <c r="CC368" i="4" s="1"/>
  <c r="CC369" i="4" s="1"/>
  <c r="CE433" i="4"/>
  <c r="CE437" i="4"/>
  <c r="CE438" i="4" s="1"/>
  <c r="CE439" i="4" s="1"/>
  <c r="CL434" i="4"/>
  <c r="CL365" i="4"/>
  <c r="CM435" i="4"/>
  <c r="CM323" i="4"/>
  <c r="CI34" i="11"/>
  <c r="AD34" i="67"/>
  <c r="CJ943" i="4"/>
  <c r="CI79" i="64"/>
  <c r="CI71" i="64"/>
  <c r="CC43" i="66"/>
  <c r="CC1048" i="4"/>
  <c r="CC1262" i="4"/>
  <c r="CC23" i="66"/>
  <c r="CC77" i="11"/>
  <c r="CC1245" i="4"/>
  <c r="CC1220" i="4"/>
  <c r="CN446" i="4"/>
  <c r="CM375" i="4"/>
  <c r="CM376" i="4" s="1"/>
  <c r="CM445" i="4"/>
  <c r="CN325" i="4"/>
  <c r="CB444" i="4"/>
  <c r="CB448" i="4"/>
  <c r="CB449" i="4" s="1"/>
  <c r="CB450" i="4" s="1"/>
  <c r="CC18" i="11"/>
  <c r="CD935" i="4"/>
  <c r="CC950" i="4"/>
  <c r="CB374" i="4"/>
  <c r="CB377" i="4"/>
  <c r="CB378" i="4" s="1"/>
  <c r="CB379" i="4" s="1"/>
  <c r="BN35" i="64"/>
  <c r="BN36" i="64"/>
  <c r="BO979" i="4"/>
  <c r="BN985" i="4"/>
  <c r="CH357" i="4" l="1"/>
  <c r="CH358" i="4" s="1"/>
  <c r="CH359" i="4" s="1"/>
  <c r="CI354" i="4" s="1"/>
  <c r="CH426" i="4"/>
  <c r="CH427" i="4" s="1"/>
  <c r="CH428" i="4" s="1"/>
  <c r="CI422" i="4" s="1"/>
  <c r="BO982" i="4"/>
  <c r="BO983" i="4" s="1"/>
  <c r="BQ981" i="4"/>
  <c r="CD364" i="4"/>
  <c r="CD367" i="4"/>
  <c r="CD368" i="4" s="1"/>
  <c r="CD369" i="4" s="1"/>
  <c r="CI436" i="4"/>
  <c r="BN37" i="64"/>
  <c r="CD937" i="4"/>
  <c r="CD938" i="4" s="1"/>
  <c r="CD939" i="4" s="1"/>
  <c r="CD951" i="4" s="1"/>
  <c r="CM365" i="4"/>
  <c r="CM434" i="4"/>
  <c r="CN435" i="4"/>
  <c r="CN323" i="4"/>
  <c r="CJ972" i="4"/>
  <c r="CK968" i="4" s="1"/>
  <c r="CJ366" i="4"/>
  <c r="CJ79" i="64"/>
  <c r="CJ71" i="64"/>
  <c r="CK423" i="4"/>
  <c r="CK425" i="4" s="1"/>
  <c r="CK355" i="4"/>
  <c r="CK356" i="4" s="1"/>
  <c r="CL424" i="4"/>
  <c r="CL320" i="4"/>
  <c r="CI447" i="4"/>
  <c r="CC444" i="4"/>
  <c r="CC448" i="4"/>
  <c r="CC449" i="4" s="1"/>
  <c r="CC450" i="4" s="1"/>
  <c r="CC374" i="4"/>
  <c r="CC377" i="4"/>
  <c r="CC378" i="4" s="1"/>
  <c r="CC379" i="4" s="1"/>
  <c r="CO446" i="4"/>
  <c r="I446" i="4" s="1"/>
  <c r="CN375" i="4"/>
  <c r="CN376" i="4" s="1"/>
  <c r="CN445" i="4"/>
  <c r="CO325" i="4"/>
  <c r="CF433" i="4"/>
  <c r="CF437" i="4"/>
  <c r="CF438" i="4" s="1"/>
  <c r="CF439" i="4" s="1"/>
  <c r="BN20" i="11"/>
  <c r="BN35" i="11"/>
  <c r="BN33" i="11" s="1"/>
  <c r="BN1387" i="4" s="1"/>
  <c r="BN987" i="4"/>
  <c r="CJ945" i="4"/>
  <c r="CJ946" i="4" s="1"/>
  <c r="CI357" i="4" l="1"/>
  <c r="CI358" i="4" s="1"/>
  <c r="CI359" i="4" s="1"/>
  <c r="CJ354" i="4" s="1"/>
  <c r="CI426" i="4"/>
  <c r="CI427" i="4" s="1"/>
  <c r="CI428" i="4" s="1"/>
  <c r="CJ422" i="4" s="1"/>
  <c r="CD77" i="11"/>
  <c r="CD1245" i="4"/>
  <c r="CD1220" i="4"/>
  <c r="CD1048" i="4"/>
  <c r="CD23" i="66"/>
  <c r="CD1262" i="4"/>
  <c r="CD43" i="66"/>
  <c r="CK943" i="4"/>
  <c r="CK945" i="4" s="1"/>
  <c r="CK946" i="4" s="1"/>
  <c r="CJ34" i="11"/>
  <c r="CJ447" i="4"/>
  <c r="CO445" i="4"/>
  <c r="CO375" i="4"/>
  <c r="E343" i="4"/>
  <c r="I325" i="4"/>
  <c r="CK366" i="4"/>
  <c r="CE935" i="4"/>
  <c r="CD18" i="11"/>
  <c r="CD950" i="4"/>
  <c r="CJ436" i="4"/>
  <c r="BN1049" i="4"/>
  <c r="BN1244" i="4"/>
  <c r="BN1219" i="4"/>
  <c r="BN76" i="11"/>
  <c r="BN1258" i="4"/>
  <c r="BN41" i="66"/>
  <c r="BN1047" i="4"/>
  <c r="BN66" i="62"/>
  <c r="CL423" i="4"/>
  <c r="CL425" i="4" s="1"/>
  <c r="CM424" i="4"/>
  <c r="CL355" i="4"/>
  <c r="CL356" i="4" s="1"/>
  <c r="CM320" i="4"/>
  <c r="CK971" i="4"/>
  <c r="CK105" i="64" s="1"/>
  <c r="CK63" i="64" s="1"/>
  <c r="BN51" i="64"/>
  <c r="CE364" i="4"/>
  <c r="CE367" i="4"/>
  <c r="CE368" i="4" s="1"/>
  <c r="CE369" i="4" s="1"/>
  <c r="CN365" i="4"/>
  <c r="CN434" i="4"/>
  <c r="CO435" i="4"/>
  <c r="I435" i="4" s="1"/>
  <c r="CO323" i="4"/>
  <c r="CD374" i="4"/>
  <c r="CD377" i="4"/>
  <c r="CD378" i="4" s="1"/>
  <c r="CD379" i="4" s="1"/>
  <c r="BO985" i="4"/>
  <c r="BP979" i="4"/>
  <c r="CD444" i="4"/>
  <c r="CD448" i="4"/>
  <c r="CD449" i="4" s="1"/>
  <c r="CD450" i="4" s="1"/>
  <c r="CJ947" i="4"/>
  <c r="CG433" i="4"/>
  <c r="CG437" i="4"/>
  <c r="CG438" i="4" s="1"/>
  <c r="CG439" i="4" s="1"/>
  <c r="BO21" i="66"/>
  <c r="BO106" i="64"/>
  <c r="CJ357" i="4" l="1"/>
  <c r="CJ358" i="4" s="1"/>
  <c r="CJ359" i="4" s="1"/>
  <c r="CK354" i="4" s="1"/>
  <c r="CK972" i="4"/>
  <c r="CL968" i="4" s="1"/>
  <c r="CL971" i="4" s="1"/>
  <c r="CL105" i="64" s="1"/>
  <c r="CL63" i="64" s="1"/>
  <c r="CJ426" i="4"/>
  <c r="CJ427" i="4" s="1"/>
  <c r="CJ428" i="4" s="1"/>
  <c r="CK422" i="4" s="1"/>
  <c r="CK79" i="64"/>
  <c r="CK71" i="64"/>
  <c r="CE937" i="4"/>
  <c r="CE938" i="4" s="1"/>
  <c r="CE939" i="4" s="1"/>
  <c r="CE951" i="4" s="1"/>
  <c r="CO376" i="4"/>
  <c r="I375" i="4"/>
  <c r="BR981" i="4"/>
  <c r="BP982" i="4"/>
  <c r="CL366" i="4"/>
  <c r="I445" i="4"/>
  <c r="CH433" i="4"/>
  <c r="CH437" i="4"/>
  <c r="CH438" i="4" s="1"/>
  <c r="CH439" i="4" s="1"/>
  <c r="CE444" i="4"/>
  <c r="CE448" i="4"/>
  <c r="CE449" i="4" s="1"/>
  <c r="CE450" i="4" s="1"/>
  <c r="CK447" i="4"/>
  <c r="BO20" i="11"/>
  <c r="Y20" i="67" s="1"/>
  <c r="BO35" i="11"/>
  <c r="BO987" i="4"/>
  <c r="CK436" i="4"/>
  <c r="CF364" i="4"/>
  <c r="CF367" i="4"/>
  <c r="CF368" i="4" s="1"/>
  <c r="CF369" i="4" s="1"/>
  <c r="CE374" i="4"/>
  <c r="CE377" i="4"/>
  <c r="CE378" i="4" s="1"/>
  <c r="CE379" i="4" s="1"/>
  <c r="CM423" i="4"/>
  <c r="CM425" i="4" s="1"/>
  <c r="CN424" i="4"/>
  <c r="CM355" i="4"/>
  <c r="CM356" i="4" s="1"/>
  <c r="CN320" i="4"/>
  <c r="CK947" i="4"/>
  <c r="CL943" i="4"/>
  <c r="CK34" i="11"/>
  <c r="BO35" i="64"/>
  <c r="BO36" i="64"/>
  <c r="CO365" i="4"/>
  <c r="CO434" i="4"/>
  <c r="E342" i="4"/>
  <c r="I323" i="4"/>
  <c r="CK357" i="4" l="1"/>
  <c r="CK358" i="4" s="1"/>
  <c r="CK359" i="4" s="1"/>
  <c r="CL354" i="4" s="1"/>
  <c r="CK426" i="4"/>
  <c r="CK427" i="4" s="1"/>
  <c r="CK428" i="4" s="1"/>
  <c r="CL422" i="4" s="1"/>
  <c r="CL972" i="4"/>
  <c r="CM968" i="4" s="1"/>
  <c r="CM971" i="4" s="1"/>
  <c r="CM105" i="64" s="1"/>
  <c r="CM63" i="64" s="1"/>
  <c r="CE77" i="11"/>
  <c r="CE1245" i="4"/>
  <c r="CE1262" i="4"/>
  <c r="CE43" i="66"/>
  <c r="CE23" i="66"/>
  <c r="CE1220" i="4"/>
  <c r="CE1048" i="4"/>
  <c r="AC77" i="67"/>
  <c r="BP21" i="66"/>
  <c r="BP106" i="64"/>
  <c r="CF374" i="4"/>
  <c r="CF377" i="4"/>
  <c r="CF378" i="4" s="1"/>
  <c r="CF379" i="4" s="1"/>
  <c r="Y35" i="67"/>
  <c r="Y33" i="67" s="1"/>
  <c r="BO33" i="11"/>
  <c r="BO1387" i="4" s="1"/>
  <c r="CF444" i="4"/>
  <c r="CF448" i="4"/>
  <c r="CF449" i="4" s="1"/>
  <c r="CF450" i="4" s="1"/>
  <c r="I434" i="4"/>
  <c r="CG364" i="4"/>
  <c r="CG367" i="4"/>
  <c r="CG368" i="4" s="1"/>
  <c r="CG369" i="4" s="1"/>
  <c r="CI433" i="4"/>
  <c r="CI437" i="4"/>
  <c r="CI438" i="4" s="1"/>
  <c r="CI439" i="4" s="1"/>
  <c r="CL447" i="4"/>
  <c r="CL945" i="4"/>
  <c r="CL946" i="4" s="1"/>
  <c r="CL947" i="4" s="1"/>
  <c r="BO37" i="64"/>
  <c r="CO424" i="4"/>
  <c r="I424" i="4" s="1"/>
  <c r="CN423" i="4"/>
  <c r="CN425" i="4" s="1"/>
  <c r="CN355" i="4"/>
  <c r="CN356" i="4" s="1"/>
  <c r="CO320" i="4"/>
  <c r="CL436" i="4"/>
  <c r="CF935" i="4"/>
  <c r="CE18" i="11"/>
  <c r="AC18" i="67"/>
  <c r="CE950" i="4"/>
  <c r="CL79" i="64"/>
  <c r="CL71" i="64"/>
  <c r="I365" i="4"/>
  <c r="BO41" i="66"/>
  <c r="BO1258" i="4"/>
  <c r="BO1047" i="4"/>
  <c r="BO76" i="11"/>
  <c r="BO1219" i="4"/>
  <c r="BO1049" i="4"/>
  <c r="BO1244" i="4"/>
  <c r="BO66" i="62"/>
  <c r="Y42" i="13"/>
  <c r="Y76" i="67"/>
  <c r="CM366" i="4"/>
  <c r="BP983" i="4"/>
  <c r="CL357" i="4" l="1"/>
  <c r="CL358" i="4" s="1"/>
  <c r="CL359" i="4" s="1"/>
  <c r="CM354" i="4" s="1"/>
  <c r="CL426" i="4"/>
  <c r="CL427" i="4" s="1"/>
  <c r="CL428" i="4" s="1"/>
  <c r="CM422" i="4" s="1"/>
  <c r="CF937" i="4"/>
  <c r="CF938" i="4" s="1"/>
  <c r="CF939" i="4" s="1"/>
  <c r="CF951" i="4" s="1"/>
  <c r="CM943" i="4"/>
  <c r="CL34" i="11"/>
  <c r="CG374" i="4"/>
  <c r="CG377" i="4"/>
  <c r="CG378" i="4" s="1"/>
  <c r="CG379" i="4" s="1"/>
  <c r="CO355" i="4"/>
  <c r="CO423" i="4"/>
  <c r="E341" i="4"/>
  <c r="I320" i="4"/>
  <c r="BQ979" i="4"/>
  <c r="BP985" i="4"/>
  <c r="CM447" i="4"/>
  <c r="CJ433" i="4"/>
  <c r="CJ437" i="4"/>
  <c r="CJ438" i="4" s="1"/>
  <c r="CJ439" i="4" s="1"/>
  <c r="CN366" i="4"/>
  <c r="BP35" i="64"/>
  <c r="BP36" i="64"/>
  <c r="CH364" i="4"/>
  <c r="CH367" i="4"/>
  <c r="CH368" i="4" s="1"/>
  <c r="CH369" i="4" s="1"/>
  <c r="CM71" i="64"/>
  <c r="I71" i="64" s="1"/>
  <c r="CM79" i="64"/>
  <c r="I79" i="64" s="1"/>
  <c r="I63" i="64"/>
  <c r="BO51" i="64"/>
  <c r="CG444" i="4"/>
  <c r="CG448" i="4"/>
  <c r="CG449" i="4" s="1"/>
  <c r="CG450" i="4" s="1"/>
  <c r="CM436" i="4"/>
  <c r="CM972" i="4"/>
  <c r="CN968" i="4" s="1"/>
  <c r="CM357" i="4" l="1"/>
  <c r="CM358" i="4" s="1"/>
  <c r="CM359" i="4" s="1"/>
  <c r="CN354" i="4" s="1"/>
  <c r="CM426" i="4"/>
  <c r="CM427" i="4" s="1"/>
  <c r="CM428" i="4" s="1"/>
  <c r="CN422" i="4" s="1"/>
  <c r="CF1245" i="4"/>
  <c r="CF43" i="66"/>
  <c r="CF1220" i="4"/>
  <c r="CF1048" i="4"/>
  <c r="CF23" i="66"/>
  <c r="CF77" i="11"/>
  <c r="CF1262" i="4"/>
  <c r="E345" i="4"/>
  <c r="E347" i="4"/>
  <c r="E346" i="4"/>
  <c r="CM945" i="4"/>
  <c r="CM946" i="4" s="1"/>
  <c r="CM947" i="4" s="1"/>
  <c r="CK433" i="4"/>
  <c r="CK437" i="4"/>
  <c r="CK438" i="4" s="1"/>
  <c r="CK439" i="4" s="1"/>
  <c r="CO425" i="4"/>
  <c r="I423" i="4"/>
  <c r="CO356" i="4"/>
  <c r="I355" i="4"/>
  <c r="CN971" i="4"/>
  <c r="CN105" i="64" s="1"/>
  <c r="CN63" i="64" s="1"/>
  <c r="BP37" i="64"/>
  <c r="CN447" i="4"/>
  <c r="CH374" i="4"/>
  <c r="CH377" i="4"/>
  <c r="CH378" i="4" s="1"/>
  <c r="CH379" i="4" s="1"/>
  <c r="CN436" i="4"/>
  <c r="CO366" i="4"/>
  <c r="CI364" i="4"/>
  <c r="CI367" i="4"/>
  <c r="CI368" i="4" s="1"/>
  <c r="CI369" i="4" s="1"/>
  <c r="BP20" i="11"/>
  <c r="BP35" i="11"/>
  <c r="BP33" i="11" s="1"/>
  <c r="BP1387" i="4" s="1"/>
  <c r="BP987" i="4"/>
  <c r="CG935" i="4"/>
  <c r="CG937" i="4" s="1"/>
  <c r="CG938" i="4" s="1"/>
  <c r="CF18" i="11"/>
  <c r="CF950" i="4"/>
  <c r="CH444" i="4"/>
  <c r="CH448" i="4"/>
  <c r="CH449" i="4" s="1"/>
  <c r="CH450" i="4" s="1"/>
  <c r="BS981" i="4"/>
  <c r="BQ982" i="4"/>
  <c r="BQ983" i="4" s="1"/>
  <c r="CN357" i="4" l="1"/>
  <c r="CN358" i="4" s="1"/>
  <c r="CN359" i="4" s="1"/>
  <c r="CO354" i="4" s="1"/>
  <c r="CN426" i="4"/>
  <c r="CN427" i="4" s="1"/>
  <c r="CN428" i="4" s="1"/>
  <c r="CO422" i="4" s="1"/>
  <c r="CN972" i="4"/>
  <c r="CO968" i="4" s="1"/>
  <c r="CO971" i="4" s="1"/>
  <c r="CO105" i="64" s="1"/>
  <c r="BR979" i="4"/>
  <c r="BQ985" i="4"/>
  <c r="CI374" i="4"/>
  <c r="CI377" i="4"/>
  <c r="CI378" i="4" s="1"/>
  <c r="CI379" i="4" s="1"/>
  <c r="L468" i="4"/>
  <c r="L467" i="4" s="1"/>
  <c r="L469" i="4" s="1"/>
  <c r="L395" i="4"/>
  <c r="L396" i="4" s="1"/>
  <c r="M468" i="4"/>
  <c r="BQ106" i="64"/>
  <c r="BQ21" i="66"/>
  <c r="L479" i="4"/>
  <c r="L478" i="4" s="1"/>
  <c r="L480" i="4" s="1"/>
  <c r="M479" i="4"/>
  <c r="L405" i="4"/>
  <c r="L406" i="4" s="1"/>
  <c r="L407" i="4" s="1"/>
  <c r="L408" i="4" s="1"/>
  <c r="L409" i="4" s="1"/>
  <c r="M404" i="4" s="1"/>
  <c r="BP41" i="66"/>
  <c r="BP1244" i="4"/>
  <c r="BP1047" i="4"/>
  <c r="BP1049" i="4"/>
  <c r="BP76" i="11"/>
  <c r="BP1219" i="4"/>
  <c r="BP1258" i="4"/>
  <c r="BP66" i="62"/>
  <c r="CO436" i="4"/>
  <c r="CO447" i="4"/>
  <c r="L457" i="4"/>
  <c r="M457" i="4"/>
  <c r="L385" i="4"/>
  <c r="CI444" i="4"/>
  <c r="CI448" i="4"/>
  <c r="CI449" i="4" s="1"/>
  <c r="CI450" i="4" s="1"/>
  <c r="CL433" i="4"/>
  <c r="CL437" i="4"/>
  <c r="CL438" i="4" s="1"/>
  <c r="CL439" i="4" s="1"/>
  <c r="BP51" i="64"/>
  <c r="CJ364" i="4"/>
  <c r="CJ367" i="4"/>
  <c r="CJ368" i="4" s="1"/>
  <c r="CJ369" i="4" s="1"/>
  <c r="CG939" i="4"/>
  <c r="CG951" i="4" s="1"/>
  <c r="CG18" i="11"/>
  <c r="CH935" i="4"/>
  <c r="CG950" i="4"/>
  <c r="CN71" i="64"/>
  <c r="CN79" i="64"/>
  <c r="AE34" i="67"/>
  <c r="CN943" i="4"/>
  <c r="CM34" i="11"/>
  <c r="CO357" i="4" l="1"/>
  <c r="CO358" i="4" s="1"/>
  <c r="CO359" i="4" s="1"/>
  <c r="I971" i="4"/>
  <c r="CO972" i="4"/>
  <c r="CO426" i="4"/>
  <c r="M495" i="4"/>
  <c r="M995" i="4" s="1"/>
  <c r="L470" i="4"/>
  <c r="L471" i="4" s="1"/>
  <c r="L472" i="4" s="1"/>
  <c r="M466" i="4" s="1"/>
  <c r="CN945" i="4"/>
  <c r="CN946" i="4" s="1"/>
  <c r="CN947" i="4" s="1"/>
  <c r="CJ444" i="4"/>
  <c r="CJ448" i="4"/>
  <c r="CJ449" i="4" s="1"/>
  <c r="CJ450" i="4" s="1"/>
  <c r="CO63" i="64"/>
  <c r="I105" i="64"/>
  <c r="L386" i="4"/>
  <c r="L500" i="4"/>
  <c r="L489" i="4"/>
  <c r="L481" i="4"/>
  <c r="L482" i="4" s="1"/>
  <c r="L483" i="4" s="1"/>
  <c r="M477" i="4" s="1"/>
  <c r="L397" i="4"/>
  <c r="CK364" i="4"/>
  <c r="CK367" i="4"/>
  <c r="CK368" i="4" s="1"/>
  <c r="CK369" i="4" s="1"/>
  <c r="CJ374" i="4"/>
  <c r="CJ377" i="4"/>
  <c r="CJ378" i="4" s="1"/>
  <c r="CJ379" i="4" s="1"/>
  <c r="CH937" i="4"/>
  <c r="CH938" i="4" s="1"/>
  <c r="CH939" i="4" s="1"/>
  <c r="CH951" i="4" s="1"/>
  <c r="BQ35" i="64"/>
  <c r="BQ36" i="64"/>
  <c r="L456" i="4"/>
  <c r="L458" i="4" s="1"/>
  <c r="L459" i="4" s="1"/>
  <c r="L495" i="4"/>
  <c r="L995" i="4" s="1"/>
  <c r="BQ20" i="11"/>
  <c r="BQ35" i="11"/>
  <c r="BQ33" i="11" s="1"/>
  <c r="BQ1387" i="4" s="1"/>
  <c r="BQ987" i="4"/>
  <c r="CG1220" i="4"/>
  <c r="CG1048" i="4"/>
  <c r="CG1262" i="4"/>
  <c r="CG43" i="66"/>
  <c r="CG1245" i="4"/>
  <c r="CG23" i="66"/>
  <c r="CG77" i="11"/>
  <c r="CM433" i="4"/>
  <c r="CM437" i="4"/>
  <c r="CM438" i="4" s="1"/>
  <c r="CM439" i="4" s="1"/>
  <c r="BR982" i="4"/>
  <c r="BR983" i="4" s="1"/>
  <c r="BT981" i="4"/>
  <c r="I357" i="4" l="1"/>
  <c r="CO427" i="4"/>
  <c r="CO428" i="4" s="1"/>
  <c r="I426" i="4"/>
  <c r="CH77" i="11"/>
  <c r="CH1048" i="4"/>
  <c r="CH23" i="66"/>
  <c r="CH1220" i="4"/>
  <c r="CH1245" i="4"/>
  <c r="CH43" i="66"/>
  <c r="CH1262" i="4"/>
  <c r="BR985" i="4"/>
  <c r="BS979" i="4"/>
  <c r="BQ41" i="66"/>
  <c r="BQ1219" i="4"/>
  <c r="BQ1049" i="4"/>
  <c r="BQ76" i="11"/>
  <c r="BQ1047" i="4"/>
  <c r="BQ1258" i="4"/>
  <c r="BQ1244" i="4"/>
  <c r="BQ66" i="62"/>
  <c r="CO71" i="64"/>
  <c r="CO79" i="64"/>
  <c r="CK444" i="4"/>
  <c r="CK448" i="4"/>
  <c r="CK449" i="4" s="1"/>
  <c r="CK450" i="4" s="1"/>
  <c r="CN433" i="4"/>
  <c r="CN437" i="4"/>
  <c r="CN438" i="4" s="1"/>
  <c r="CN439" i="4" s="1"/>
  <c r="CI935" i="4"/>
  <c r="CH18" i="11"/>
  <c r="CH950" i="4"/>
  <c r="CL364" i="4"/>
  <c r="CL367" i="4"/>
  <c r="CL368" i="4" s="1"/>
  <c r="CL369" i="4" s="1"/>
  <c r="L460" i="4"/>
  <c r="L461" i="4" s="1"/>
  <c r="M455" i="4" s="1"/>
  <c r="L494" i="4"/>
  <c r="L994" i="4" s="1"/>
  <c r="BQ37" i="64"/>
  <c r="L387" i="4"/>
  <c r="L501" i="4" s="1"/>
  <c r="L502" i="4" s="1"/>
  <c r="CO943" i="4"/>
  <c r="CN34" i="11"/>
  <c r="L398" i="4"/>
  <c r="L399" i="4" s="1"/>
  <c r="M394" i="4" s="1"/>
  <c r="BR21" i="66"/>
  <c r="BR106" i="64"/>
  <c r="CK374" i="4"/>
  <c r="CK377" i="4"/>
  <c r="CK378" i="4" s="1"/>
  <c r="CK379" i="4" s="1"/>
  <c r="L1024" i="4" l="1"/>
  <c r="L1026" i="4" s="1"/>
  <c r="L1027" i="4" s="1"/>
  <c r="L1028" i="4" s="1"/>
  <c r="M499" i="4"/>
  <c r="M1023" i="4" s="1"/>
  <c r="CL374" i="4"/>
  <c r="CL377" i="4"/>
  <c r="CL378" i="4" s="1"/>
  <c r="CL379" i="4" s="1"/>
  <c r="CI937" i="4"/>
  <c r="CI938" i="4" s="1"/>
  <c r="CI939" i="4" s="1"/>
  <c r="CI951" i="4" s="1"/>
  <c r="CO433" i="4"/>
  <c r="CO437" i="4"/>
  <c r="BS982" i="4"/>
  <c r="BS983" i="4" s="1"/>
  <c r="BU981" i="4"/>
  <c r="BR35" i="11"/>
  <c r="BR33" i="11" s="1"/>
  <c r="BR1387" i="4" s="1"/>
  <c r="BR20" i="11"/>
  <c r="BR987" i="4"/>
  <c r="BR36" i="64"/>
  <c r="BR35" i="64"/>
  <c r="CO945" i="4"/>
  <c r="I945" i="4" s="1"/>
  <c r="BQ51" i="64"/>
  <c r="CM364" i="4"/>
  <c r="CM367" i="4"/>
  <c r="CM368" i="4" s="1"/>
  <c r="CM369" i="4" s="1"/>
  <c r="CL444" i="4"/>
  <c r="CL448" i="4"/>
  <c r="CL449" i="4" s="1"/>
  <c r="CL450" i="4" s="1"/>
  <c r="L388" i="4"/>
  <c r="L389" i="4" s="1"/>
  <c r="M384" i="4" s="1"/>
  <c r="L490" i="4"/>
  <c r="CO946" i="4" l="1"/>
  <c r="CO34" i="11" s="1"/>
  <c r="BR37" i="64"/>
  <c r="BR51" i="64" s="1"/>
  <c r="CI43" i="66"/>
  <c r="CI1245" i="4"/>
  <c r="CI77" i="11"/>
  <c r="CI1048" i="4"/>
  <c r="CI23" i="66"/>
  <c r="CI1220" i="4"/>
  <c r="CI1262" i="4"/>
  <c r="AD77" i="67"/>
  <c r="BR41" i="66"/>
  <c r="BR1244" i="4"/>
  <c r="BR1049" i="4"/>
  <c r="BR1047" i="4"/>
  <c r="BR1219" i="4"/>
  <c r="BR76" i="11"/>
  <c r="BR1258" i="4"/>
  <c r="BR66" i="62"/>
  <c r="CN364" i="4"/>
  <c r="CN367" i="4"/>
  <c r="CN368" i="4" s="1"/>
  <c r="CN369" i="4" s="1"/>
  <c r="CI18" i="11"/>
  <c r="CJ935" i="4"/>
  <c r="CJ937" i="4" s="1"/>
  <c r="CJ938" i="4" s="1"/>
  <c r="AD18" i="67"/>
  <c r="CI950" i="4"/>
  <c r="L64" i="62"/>
  <c r="L51" i="11"/>
  <c r="L491" i="4"/>
  <c r="BT979" i="4"/>
  <c r="BS985" i="4"/>
  <c r="BS106" i="64"/>
  <c r="BS21" i="66"/>
  <c r="CM374" i="4"/>
  <c r="CM377" i="4"/>
  <c r="CM378" i="4" s="1"/>
  <c r="CM379" i="4" s="1"/>
  <c r="CO438" i="4"/>
  <c r="CO439" i="4" s="1"/>
  <c r="I437" i="4"/>
  <c r="L907" i="4"/>
  <c r="L911" i="4" s="1"/>
  <c r="L62" i="64"/>
  <c r="CM444" i="4"/>
  <c r="CM448" i="4"/>
  <c r="CM449" i="4" s="1"/>
  <c r="CM450" i="4" s="1"/>
  <c r="CO947" i="4" l="1"/>
  <c r="I947" i="4" s="1"/>
  <c r="BS20" i="11"/>
  <c r="Z20" i="67" s="1"/>
  <c r="BS35" i="11"/>
  <c r="BS987" i="4"/>
  <c r="CN444" i="4"/>
  <c r="CN448" i="4"/>
  <c r="CN449" i="4" s="1"/>
  <c r="CN450" i="4" s="1"/>
  <c r="BV981" i="4"/>
  <c r="BT982" i="4"/>
  <c r="CJ939" i="4"/>
  <c r="CJ951" i="4" s="1"/>
  <c r="CJ18" i="11"/>
  <c r="CK935" i="4"/>
  <c r="CK937" i="4" s="1"/>
  <c r="CK938" i="4" s="1"/>
  <c r="CJ950" i="4"/>
  <c r="L70" i="64"/>
  <c r="L78" i="64"/>
  <c r="L15" i="11"/>
  <c r="L13" i="11" s="1"/>
  <c r="M488" i="4"/>
  <c r="CO364" i="4"/>
  <c r="CO367" i="4"/>
  <c r="CN374" i="4"/>
  <c r="CN377" i="4"/>
  <c r="CN378" i="4" s="1"/>
  <c r="CN379" i="4" s="1"/>
  <c r="L915" i="4"/>
  <c r="L1043" i="4"/>
  <c r="L1217" i="4"/>
  <c r="L1221" i="4" s="1"/>
  <c r="L71" i="11"/>
  <c r="L1243" i="4"/>
  <c r="BS35" i="64"/>
  <c r="BS36" i="64"/>
  <c r="BT21" i="66" l="1"/>
  <c r="BT106" i="64"/>
  <c r="BS1219" i="4"/>
  <c r="BS1049" i="4"/>
  <c r="BS41" i="66"/>
  <c r="BS1244" i="4"/>
  <c r="BS76" i="11"/>
  <c r="BS1258" i="4"/>
  <c r="BS1047" i="4"/>
  <c r="BS66" i="62"/>
  <c r="Z76" i="67"/>
  <c r="Z42" i="13"/>
  <c r="CO374" i="4"/>
  <c r="CO377" i="4"/>
  <c r="Z35" i="67"/>
  <c r="Z33" i="67" s="1"/>
  <c r="BS33" i="11"/>
  <c r="BS1387" i="4" s="1"/>
  <c r="CK939" i="4"/>
  <c r="CK951" i="4" s="1"/>
  <c r="CL935" i="4"/>
  <c r="CK18" i="11"/>
  <c r="CK950" i="4"/>
  <c r="L47" i="11"/>
  <c r="L996" i="4"/>
  <c r="L1000" i="4" s="1"/>
  <c r="L1004" i="4" s="1"/>
  <c r="CO368" i="4"/>
  <c r="CO369" i="4" s="1"/>
  <c r="I367" i="4"/>
  <c r="CJ77" i="11"/>
  <c r="CJ1245" i="4"/>
  <c r="CJ1220" i="4"/>
  <c r="CJ1048" i="4"/>
  <c r="CJ23" i="66"/>
  <c r="CJ43" i="66"/>
  <c r="CJ1262" i="4"/>
  <c r="BS37" i="64"/>
  <c r="BS51" i="64" s="1"/>
  <c r="BT983" i="4"/>
  <c r="CO444" i="4"/>
  <c r="CO448" i="4"/>
  <c r="BU979" i="4" l="1"/>
  <c r="BT985" i="4"/>
  <c r="CO378" i="4"/>
  <c r="CO379" i="4" s="1"/>
  <c r="I377" i="4"/>
  <c r="L1005" i="4"/>
  <c r="L1012" i="4"/>
  <c r="CL937" i="4"/>
  <c r="CL938" i="4" s="1"/>
  <c r="CL939" i="4" s="1"/>
  <c r="CL951" i="4" s="1"/>
  <c r="BT36" i="64"/>
  <c r="BT35" i="64"/>
  <c r="L48" i="11"/>
  <c r="L55" i="11" s="1"/>
  <c r="L62" i="11"/>
  <c r="L61" i="11"/>
  <c r="CK1220" i="4"/>
  <c r="CK1245" i="4"/>
  <c r="CK1048" i="4"/>
  <c r="CK43" i="66"/>
  <c r="CK23" i="66"/>
  <c r="CK77" i="11"/>
  <c r="CK1262" i="4"/>
  <c r="CO449" i="4"/>
  <c r="CO450" i="4" s="1"/>
  <c r="I448" i="4"/>
  <c r="BT37" i="64" l="1"/>
  <c r="BT51" i="64" s="1"/>
  <c r="CL43" i="66"/>
  <c r="CL1220" i="4"/>
  <c r="CL1245" i="4"/>
  <c r="CL1048" i="4"/>
  <c r="CL1262" i="4"/>
  <c r="CL77" i="11"/>
  <c r="CL23" i="66"/>
  <c r="L63" i="11"/>
  <c r="L1395" i="4"/>
  <c r="L64" i="11"/>
  <c r="L62" i="62"/>
  <c r="CL18" i="11"/>
  <c r="CM935" i="4"/>
  <c r="CL950" i="4"/>
  <c r="L1016" i="4"/>
  <c r="L1013" i="4" s="1"/>
  <c r="L1014" i="4" s="1"/>
  <c r="M1011" i="4" s="1"/>
  <c r="BT20" i="11"/>
  <c r="BT35" i="11"/>
  <c r="BT33" i="11" s="1"/>
  <c r="BT1387" i="4" s="1"/>
  <c r="BT987" i="4"/>
  <c r="BU982" i="4"/>
  <c r="BW981" i="4"/>
  <c r="L1006" i="4" l="1"/>
  <c r="L1007" i="4" s="1"/>
  <c r="L56" i="11" s="1"/>
  <c r="L57" i="11" s="1"/>
  <c r="BU983" i="4"/>
  <c r="BU106" i="64"/>
  <c r="BU21" i="66"/>
  <c r="BT41" i="66"/>
  <c r="BT1047" i="4"/>
  <c r="BT1049" i="4"/>
  <c r="BT1244" i="4"/>
  <c r="BT1258" i="4"/>
  <c r="BT76" i="11"/>
  <c r="BT1219" i="4"/>
  <c r="BT66" i="62"/>
  <c r="CM937" i="4"/>
  <c r="CM938" i="4" s="1"/>
  <c r="CM939" i="4" s="1"/>
  <c r="CM951" i="4" s="1"/>
  <c r="L75" i="11" l="1"/>
  <c r="L63" i="62"/>
  <c r="L67" i="62" s="1"/>
  <c r="L1222" i="4"/>
  <c r="L1223" i="4" s="1"/>
  <c r="L1236" i="4" s="1"/>
  <c r="L61" i="64"/>
  <c r="L66" i="64" s="1"/>
  <c r="L40" i="64" s="1"/>
  <c r="L42" i="64" s="1"/>
  <c r="L1246" i="4"/>
  <c r="L1046" i="4"/>
  <c r="L1053" i="4" s="1"/>
  <c r="L1055" i="4" s="1"/>
  <c r="L1058" i="4" s="1"/>
  <c r="CM1220" i="4"/>
  <c r="CM1048" i="4"/>
  <c r="CM23" i="66"/>
  <c r="CM43" i="66"/>
  <c r="CM77" i="11"/>
  <c r="CM1245" i="4"/>
  <c r="CM1262" i="4"/>
  <c r="AE77" i="67"/>
  <c r="BU36" i="64"/>
  <c r="BU35" i="64"/>
  <c r="BV979" i="4"/>
  <c r="BU985" i="4"/>
  <c r="L1206" i="4"/>
  <c r="L1394" i="4"/>
  <c r="CN935" i="4"/>
  <c r="CM18" i="11"/>
  <c r="AE18" i="67"/>
  <c r="CM950" i="4"/>
  <c r="L69" i="64" l="1"/>
  <c r="L74" i="64" s="1"/>
  <c r="L77" i="64"/>
  <c r="L82" i="64" s="1"/>
  <c r="BU37" i="64"/>
  <c r="BU51" i="64" s="1"/>
  <c r="L1116" i="4"/>
  <c r="L1117" i="4" s="1"/>
  <c r="L1119" i="4" s="1"/>
  <c r="L1121" i="4" s="1"/>
  <c r="L1087" i="4" s="1"/>
  <c r="BX981" i="4"/>
  <c r="BV982" i="4"/>
  <c r="BV983" i="4" s="1"/>
  <c r="L52" i="64"/>
  <c r="L49" i="64"/>
  <c r="CN937" i="4"/>
  <c r="CN938" i="4" s="1"/>
  <c r="CN939" i="4" s="1"/>
  <c r="CN951" i="4" s="1"/>
  <c r="BU20" i="11"/>
  <c r="BU35" i="11"/>
  <c r="BU33" i="11" s="1"/>
  <c r="BU1387" i="4" s="1"/>
  <c r="BU987" i="4"/>
  <c r="L1137" i="4" l="1"/>
  <c r="L1088" i="4"/>
  <c r="CN23" i="66"/>
  <c r="CN77" i="11"/>
  <c r="CN1262" i="4"/>
  <c r="CN1245" i="4"/>
  <c r="CN1048" i="4"/>
  <c r="CN43" i="66"/>
  <c r="CN1220" i="4"/>
  <c r="BW979" i="4"/>
  <c r="BV985" i="4"/>
  <c r="BV21" i="66"/>
  <c r="BV106" i="64"/>
  <c r="CO935" i="4"/>
  <c r="CN18" i="11"/>
  <c r="CN950" i="4"/>
  <c r="BU1244" i="4"/>
  <c r="BU1219" i="4"/>
  <c r="BU1047" i="4"/>
  <c r="BU41" i="66"/>
  <c r="BU1258" i="4"/>
  <c r="BU76" i="11"/>
  <c r="BU1049" i="4"/>
  <c r="BU66" i="62"/>
  <c r="M1130" i="4" l="1"/>
  <c r="M1148" i="4" s="1"/>
  <c r="M1085" i="4"/>
  <c r="L1225" i="4"/>
  <c r="L1226" i="4" s="1"/>
  <c r="L1138" i="4"/>
  <c r="L38" i="66"/>
  <c r="L1404" i="4"/>
  <c r="L1406" i="4" s="1"/>
  <c r="L88" i="11"/>
  <c r="L1247" i="4"/>
  <c r="L1347" i="4"/>
  <c r="CO937" i="4"/>
  <c r="I937" i="4" s="1"/>
  <c r="BV35" i="64"/>
  <c r="BV36" i="64"/>
  <c r="BV20" i="11"/>
  <c r="BV35" i="11"/>
  <c r="BV33" i="11" s="1"/>
  <c r="BV1387" i="4" s="1"/>
  <c r="BV987" i="4"/>
  <c r="BW982" i="4"/>
  <c r="BY981" i="4"/>
  <c r="L1428" i="4" l="1"/>
  <c r="L31" i="11"/>
  <c r="L1438" i="4"/>
  <c r="L1412" i="4"/>
  <c r="M1135" i="4"/>
  <c r="L1194" i="4"/>
  <c r="L1204" i="4"/>
  <c r="M1086" i="4"/>
  <c r="CO938" i="4"/>
  <c r="CO939" i="4" s="1"/>
  <c r="I939" i="4" s="1"/>
  <c r="BW21" i="66"/>
  <c r="BW106" i="64"/>
  <c r="BV37" i="64"/>
  <c r="BV51" i="64" s="1"/>
  <c r="BV1049" i="4"/>
  <c r="BV1219" i="4"/>
  <c r="BV1258" i="4"/>
  <c r="BV41" i="66"/>
  <c r="BV1047" i="4"/>
  <c r="BV76" i="11"/>
  <c r="BV1244" i="4"/>
  <c r="BV66" i="62"/>
  <c r="BW983" i="4"/>
  <c r="CO18" i="11" l="1"/>
  <c r="CO951" i="4"/>
  <c r="CO1048" i="4" s="1"/>
  <c r="I1048" i="4" s="1"/>
  <c r="CO950" i="4"/>
  <c r="M1129" i="4"/>
  <c r="M1147" i="4" s="1"/>
  <c r="M1149" i="4" s="1"/>
  <c r="M1125" i="4"/>
  <c r="M1136" i="4"/>
  <c r="M1101" i="4"/>
  <c r="L1197" i="4"/>
  <c r="L1198" i="4" s="1"/>
  <c r="L1188" i="4" s="1"/>
  <c r="L1175" i="4"/>
  <c r="M1415" i="4"/>
  <c r="L1413" i="4"/>
  <c r="L1422" i="4" s="1"/>
  <c r="L30" i="11"/>
  <c r="L45" i="62"/>
  <c r="BW35" i="64"/>
  <c r="BW36" i="64"/>
  <c r="BX979" i="4"/>
  <c r="BW985" i="4"/>
  <c r="AF77" i="67" l="1"/>
  <c r="I77" i="67" s="1"/>
  <c r="CO23" i="66"/>
  <c r="I23" i="66" s="1"/>
  <c r="CO1262" i="4"/>
  <c r="I1262" i="4" s="1"/>
  <c r="CO43" i="66"/>
  <c r="I43" i="66" s="1"/>
  <c r="CO77" i="11"/>
  <c r="I77" i="11" s="1"/>
  <c r="CO1245" i="4"/>
  <c r="I1245" i="4" s="1"/>
  <c r="I951" i="4"/>
  <c r="CO1220" i="4"/>
  <c r="I1220" i="4" s="1"/>
  <c r="L1189" i="4"/>
  <c r="L1187" i="4"/>
  <c r="L1176" i="4" s="1"/>
  <c r="M1103" i="4"/>
  <c r="M1092" i="4" s="1"/>
  <c r="M1093" i="4" s="1"/>
  <c r="M1111" i="4" s="1"/>
  <c r="M1112" i="4"/>
  <c r="M1141" i="4" s="1"/>
  <c r="M1102" i="4"/>
  <c r="L1418" i="4"/>
  <c r="L1416" i="4"/>
  <c r="M18" i="66"/>
  <c r="M1233" i="4"/>
  <c r="M1259" i="4"/>
  <c r="M87" i="11"/>
  <c r="M1346" i="4"/>
  <c r="L1184" i="4"/>
  <c r="L1191" i="4" s="1"/>
  <c r="L1180" i="4"/>
  <c r="M297" i="4"/>
  <c r="M50" i="11"/>
  <c r="M999" i="4"/>
  <c r="M1218" i="4"/>
  <c r="M37" i="66"/>
  <c r="M1249" i="4"/>
  <c r="M1045" i="4"/>
  <c r="M72" i="11"/>
  <c r="BW35" i="11"/>
  <c r="BW20" i="11"/>
  <c r="AA20" i="67" s="1"/>
  <c r="BW987" i="4"/>
  <c r="BZ981" i="4"/>
  <c r="BX982" i="4"/>
  <c r="BW37" i="64"/>
  <c r="BW51" i="64" s="1"/>
  <c r="M1104" i="4" l="1"/>
  <c r="M1120" i="4" s="1"/>
  <c r="L1419" i="4"/>
  <c r="L1403" i="4"/>
  <c r="L1261" i="4"/>
  <c r="L19" i="66"/>
  <c r="L17" i="66" s="1"/>
  <c r="L1232" i="4"/>
  <c r="L86" i="11"/>
  <c r="M1142" i="4"/>
  <c r="M294" i="4" s="1"/>
  <c r="M997" i="4"/>
  <c r="M1143" i="4"/>
  <c r="M49" i="11"/>
  <c r="M305" i="4"/>
  <c r="M330" i="4" s="1"/>
  <c r="L1250" i="4"/>
  <c r="L74" i="11"/>
  <c r="L78" i="11" s="1"/>
  <c r="L36" i="66"/>
  <c r="L1309" i="4"/>
  <c r="L1195" i="4"/>
  <c r="L1199" i="4" s="1"/>
  <c r="L1177" i="4" s="1"/>
  <c r="L1227" i="4"/>
  <c r="BX983" i="4"/>
  <c r="BX21" i="66"/>
  <c r="BX106" i="64"/>
  <c r="BW1049" i="4"/>
  <c r="BW1258" i="4"/>
  <c r="BW76" i="11"/>
  <c r="BW41" i="66"/>
  <c r="BW1219" i="4"/>
  <c r="BW1047" i="4"/>
  <c r="BW1244" i="4"/>
  <c r="BW66" i="62"/>
  <c r="AA76" i="67"/>
  <c r="AA35" i="67"/>
  <c r="AA33" i="67" s="1"/>
  <c r="BW33" i="11"/>
  <c r="BW1387" i="4" s="1"/>
  <c r="M1113" i="4" l="1"/>
  <c r="M1144" i="4" s="1"/>
  <c r="M1248" i="4" s="1"/>
  <c r="M302" i="4"/>
  <c r="M299" i="4"/>
  <c r="N468" i="4"/>
  <c r="M456" i="4"/>
  <c r="M458" i="4" s="1"/>
  <c r="N479" i="4"/>
  <c r="N457" i="4"/>
  <c r="M478" i="4"/>
  <c r="M480" i="4" s="1"/>
  <c r="M467" i="4"/>
  <c r="M469" i="4" s="1"/>
  <c r="M470" i="4" s="1"/>
  <c r="M471" i="4" s="1"/>
  <c r="M472" i="4" s="1"/>
  <c r="N466" i="4" s="1"/>
  <c r="L1251" i="4"/>
  <c r="L39" i="66"/>
  <c r="L35" i="66" s="1"/>
  <c r="L89" i="11"/>
  <c r="L1228" i="4"/>
  <c r="L1205" i="4" s="1"/>
  <c r="L1178" i="4"/>
  <c r="L1308" i="4"/>
  <c r="L1311" i="4" s="1"/>
  <c r="L1344" i="4"/>
  <c r="L1348" i="4" s="1"/>
  <c r="L1363" i="4" s="1"/>
  <c r="L1364" i="4" s="1"/>
  <c r="L1365" i="4" s="1"/>
  <c r="M53" i="11"/>
  <c r="M52" i="11" s="1"/>
  <c r="BX36" i="64"/>
  <c r="BX35" i="64"/>
  <c r="BY979" i="4"/>
  <c r="BX985" i="4"/>
  <c r="M1044" i="4" l="1"/>
  <c r="M1067" i="4" s="1"/>
  <c r="M1158" i="4" s="1"/>
  <c r="M1174" i="4" s="1"/>
  <c r="M73" i="11"/>
  <c r="M1224" i="4"/>
  <c r="N495" i="4"/>
  <c r="N995" i="4" s="1"/>
  <c r="M481" i="4"/>
  <c r="M482" i="4" s="1"/>
  <c r="M483" i="4" s="1"/>
  <c r="N477" i="4" s="1"/>
  <c r="L1325" i="4"/>
  <c r="L1326" i="4" s="1"/>
  <c r="L1327" i="4" s="1"/>
  <c r="L1313" i="4"/>
  <c r="M1173" i="4"/>
  <c r="L27" i="11"/>
  <c r="L1429" i="4"/>
  <c r="L1207" i="4"/>
  <c r="L1209" i="4" s="1"/>
  <c r="M459" i="4"/>
  <c r="M331" i="4"/>
  <c r="M307" i="4"/>
  <c r="BX37" i="64"/>
  <c r="BX51" i="64" s="1"/>
  <c r="BX35" i="11"/>
  <c r="BX33" i="11" s="1"/>
  <c r="BX1387" i="4" s="1"/>
  <c r="BX20" i="11"/>
  <c r="BX987" i="4"/>
  <c r="BY982" i="4"/>
  <c r="CA981" i="4"/>
  <c r="M1068" i="4" l="1"/>
  <c r="M1157" i="4"/>
  <c r="M1164" i="4" s="1"/>
  <c r="M332" i="4"/>
  <c r="M14" i="11" s="1"/>
  <c r="M494" i="4"/>
  <c r="M994" i="4" s="1"/>
  <c r="M460" i="4"/>
  <c r="M461" i="4" s="1"/>
  <c r="N455" i="4" s="1"/>
  <c r="L1208" i="4"/>
  <c r="L90" i="11"/>
  <c r="L91" i="11" s="1"/>
  <c r="L93" i="11" s="1"/>
  <c r="L96" i="11" s="1"/>
  <c r="L97" i="11" s="1"/>
  <c r="L58" i="11"/>
  <c r="L59" i="11" s="1"/>
  <c r="L28" i="11" s="1"/>
  <c r="L25" i="11" s="1"/>
  <c r="L1229" i="4"/>
  <c r="L1230" i="4" s="1"/>
  <c r="L1234" i="4" s="1"/>
  <c r="M1213" i="4" s="1"/>
  <c r="L48" i="62"/>
  <c r="L24" i="62" s="1"/>
  <c r="L26" i="62" s="1"/>
  <c r="L1252" i="4"/>
  <c r="L22" i="66"/>
  <c r="L1430" i="4"/>
  <c r="L1431" i="4" s="1"/>
  <c r="L1432" i="4"/>
  <c r="M385" i="4"/>
  <c r="M405" i="4"/>
  <c r="M406" i="4" s="1"/>
  <c r="M395" i="4"/>
  <c r="M396" i="4" s="1"/>
  <c r="M397" i="4" s="1"/>
  <c r="M398" i="4" s="1"/>
  <c r="M399" i="4" s="1"/>
  <c r="N394" i="4" s="1"/>
  <c r="BX41" i="66"/>
  <c r="BX1049" i="4"/>
  <c r="BX1219" i="4"/>
  <c r="BX1258" i="4"/>
  <c r="BX1047" i="4"/>
  <c r="BX1244" i="4"/>
  <c r="BX76" i="11"/>
  <c r="BX66" i="62"/>
  <c r="BY983" i="4"/>
  <c r="BY21" i="66"/>
  <c r="BY106" i="64"/>
  <c r="M1159" i="4" l="1"/>
  <c r="M407" i="4"/>
  <c r="M408" i="4" s="1"/>
  <c r="M409" i="4" s="1"/>
  <c r="N404" i="4" s="1"/>
  <c r="M489" i="4"/>
  <c r="M500" i="4"/>
  <c r="M386" i="4"/>
  <c r="M387" i="4" s="1"/>
  <c r="M1051" i="4"/>
  <c r="M1260" i="4"/>
  <c r="M1167" i="4"/>
  <c r="M1168" i="4" s="1"/>
  <c r="M1231" i="4"/>
  <c r="M42" i="62"/>
  <c r="M85" i="11"/>
  <c r="L37" i="11"/>
  <c r="L1397" i="4"/>
  <c r="L1392" i="4" s="1"/>
  <c r="L1398" i="4"/>
  <c r="L1393" i="4" s="1"/>
  <c r="L101" i="67"/>
  <c r="L100" i="67"/>
  <c r="L100" i="11"/>
  <c r="L101" i="11"/>
  <c r="L1253" i="4"/>
  <c r="L1254" i="4" s="1"/>
  <c r="L1263" i="4"/>
  <c r="L1264" i="4" s="1"/>
  <c r="L24" i="66"/>
  <c r="L20" i="66" s="1"/>
  <c r="L26" i="66" s="1"/>
  <c r="L21" i="11"/>
  <c r="L17" i="11" s="1"/>
  <c r="M95" i="11"/>
  <c r="L1385" i="4"/>
  <c r="L1384" i="4" s="1"/>
  <c r="L44" i="66"/>
  <c r="L40" i="66" s="1"/>
  <c r="L46" i="66" s="1"/>
  <c r="L46" i="62"/>
  <c r="BZ979" i="4"/>
  <c r="BY985" i="4"/>
  <c r="BY36" i="64"/>
  <c r="BY35" i="64"/>
  <c r="L99" i="11" l="1"/>
  <c r="L1266" i="4"/>
  <c r="L48" i="66"/>
  <c r="M388" i="4"/>
  <c r="M389" i="4" s="1"/>
  <c r="N384" i="4" s="1"/>
  <c r="M490" i="4"/>
  <c r="M491" i="4" s="1"/>
  <c r="M501" i="4"/>
  <c r="M502" i="4" s="1"/>
  <c r="M43" i="62"/>
  <c r="M23" i="62" s="1"/>
  <c r="M16" i="66" s="1"/>
  <c r="M52" i="62"/>
  <c r="L1386" i="4"/>
  <c r="L1383" i="4" s="1"/>
  <c r="L23" i="11"/>
  <c r="M26" i="11"/>
  <c r="N1163" i="4"/>
  <c r="BY37" i="64"/>
  <c r="BY51" i="64" s="1"/>
  <c r="BY20" i="11"/>
  <c r="BY35" i="11"/>
  <c r="BY33" i="11" s="1"/>
  <c r="BY1387" i="4" s="1"/>
  <c r="BY987" i="4"/>
  <c r="CB981" i="4"/>
  <c r="BZ982" i="4"/>
  <c r="BZ983" i="4" s="1"/>
  <c r="M14" i="66" l="1"/>
  <c r="L1396" i="4"/>
  <c r="L1391" i="4" s="1"/>
  <c r="L1439" i="4"/>
  <c r="L1440" i="4" s="1"/>
  <c r="N499" i="4"/>
  <c r="N1023" i="4" s="1"/>
  <c r="M1024" i="4"/>
  <c r="M1026" i="4" s="1"/>
  <c r="M1027" i="4" s="1"/>
  <c r="M1028" i="4" s="1"/>
  <c r="M51" i="11"/>
  <c r="M64" i="62"/>
  <c r="N488" i="4"/>
  <c r="M15" i="11"/>
  <c r="M13" i="11" s="1"/>
  <c r="L39" i="11"/>
  <c r="L40" i="11" s="1"/>
  <c r="CA979" i="4"/>
  <c r="BZ985" i="4"/>
  <c r="BZ106" i="64"/>
  <c r="BZ21" i="66"/>
  <c r="BY41" i="66"/>
  <c r="BY1047" i="4"/>
  <c r="BY76" i="11"/>
  <c r="BY1244" i="4"/>
  <c r="BY1049" i="4"/>
  <c r="BY1258" i="4"/>
  <c r="BY1219" i="4"/>
  <c r="BY66" i="62"/>
  <c r="M907" i="4" l="1"/>
  <c r="M911" i="4" s="1"/>
  <c r="M62" i="64"/>
  <c r="M13" i="66"/>
  <c r="BZ35" i="64"/>
  <c r="BZ36" i="64"/>
  <c r="BZ20" i="11"/>
  <c r="BZ35" i="11"/>
  <c r="BZ33" i="11" s="1"/>
  <c r="BZ1387" i="4" s="1"/>
  <c r="BZ987" i="4"/>
  <c r="CA982" i="4"/>
  <c r="CA983" i="4" s="1"/>
  <c r="CC981" i="4"/>
  <c r="M28" i="66" l="1"/>
  <c r="M27" i="66" s="1"/>
  <c r="M78" i="64"/>
  <c r="M70" i="64"/>
  <c r="M1043" i="4"/>
  <c r="M1217" i="4"/>
  <c r="M1221" i="4" s="1"/>
  <c r="M915" i="4"/>
  <c r="M71" i="11"/>
  <c r="M1243" i="4"/>
  <c r="BZ1244" i="4"/>
  <c r="BZ76" i="11"/>
  <c r="BZ41" i="66"/>
  <c r="BZ1219" i="4"/>
  <c r="BZ1049" i="4"/>
  <c r="BZ1047" i="4"/>
  <c r="BZ1258" i="4"/>
  <c r="BZ66" i="62"/>
  <c r="CA985" i="4"/>
  <c r="CB979" i="4"/>
  <c r="CA106" i="64"/>
  <c r="CA21" i="66"/>
  <c r="BZ37" i="64"/>
  <c r="BZ51" i="64" s="1"/>
  <c r="M47" i="11" l="1"/>
  <c r="M996" i="4"/>
  <c r="M1000" i="4" s="1"/>
  <c r="M1004" i="4" s="1"/>
  <c r="CA36" i="64"/>
  <c r="CA35" i="64"/>
  <c r="CD981" i="4"/>
  <c r="CB982" i="4"/>
  <c r="CB983" i="4" s="1"/>
  <c r="CA20" i="11"/>
  <c r="AB20" i="67" s="1"/>
  <c r="CA35" i="11"/>
  <c r="CA987" i="4"/>
  <c r="CA37" i="64" l="1"/>
  <c r="CA51" i="64" s="1"/>
  <c r="M1005" i="4"/>
  <c r="M1012" i="4"/>
  <c r="M48" i="11"/>
  <c r="M55" i="11" s="1"/>
  <c r="M62" i="11"/>
  <c r="M61" i="11"/>
  <c r="CC979" i="4"/>
  <c r="CB985" i="4"/>
  <c r="CA1049" i="4"/>
  <c r="CA1047" i="4"/>
  <c r="CA1219" i="4"/>
  <c r="CA41" i="66"/>
  <c r="CA76" i="11"/>
  <c r="CA1244" i="4"/>
  <c r="CA1258" i="4"/>
  <c r="CA66" i="62"/>
  <c r="AB76" i="67"/>
  <c r="CB21" i="66"/>
  <c r="CB106" i="64"/>
  <c r="AB35" i="67"/>
  <c r="AB33" i="67" s="1"/>
  <c r="CA33" i="11"/>
  <c r="CA1387" i="4" s="1"/>
  <c r="M63" i="11" l="1"/>
  <c r="M62" i="62"/>
  <c r="M1395" i="4"/>
  <c r="M64" i="11"/>
  <c r="M1016" i="4"/>
  <c r="M1013" i="4" s="1"/>
  <c r="M1014" i="4" s="1"/>
  <c r="N1011" i="4" s="1"/>
  <c r="CB36" i="64"/>
  <c r="CB35" i="64"/>
  <c r="CB35" i="11"/>
  <c r="CB33" i="11" s="1"/>
  <c r="CB1387" i="4" s="1"/>
  <c r="CB20" i="11"/>
  <c r="CB987" i="4"/>
  <c r="CC982" i="4"/>
  <c r="CC983" i="4" s="1"/>
  <c r="CE981" i="4"/>
  <c r="M1006" i="4" l="1"/>
  <c r="M1007" i="4" s="1"/>
  <c r="M1222" i="4" s="1"/>
  <c r="M1223" i="4" s="1"/>
  <c r="CC106" i="64"/>
  <c r="CC21" i="66"/>
  <c r="CB37" i="64"/>
  <c r="CB51" i="64" s="1"/>
  <c r="CB1258" i="4"/>
  <c r="CB1219" i="4"/>
  <c r="CB1049" i="4"/>
  <c r="CB1244" i="4"/>
  <c r="CB1047" i="4"/>
  <c r="CB76" i="11"/>
  <c r="CB41" i="66"/>
  <c r="CB66" i="62"/>
  <c r="CD979" i="4"/>
  <c r="CC985" i="4"/>
  <c r="M63" i="62" l="1"/>
  <c r="M67" i="62" s="1"/>
  <c r="M68" i="62" s="1"/>
  <c r="M75" i="11"/>
  <c r="M61" i="64"/>
  <c r="M66" i="64" s="1"/>
  <c r="M40" i="64" s="1"/>
  <c r="M42" i="64" s="1"/>
  <c r="M56" i="11"/>
  <c r="M57" i="11" s="1"/>
  <c r="M1394" i="4" s="1"/>
  <c r="M1046" i="4"/>
  <c r="M1053" i="4" s="1"/>
  <c r="M1055" i="4" s="1"/>
  <c r="M1058" i="4" s="1"/>
  <c r="M1246" i="4"/>
  <c r="M1236" i="4"/>
  <c r="CC20" i="11"/>
  <c r="CC35" i="11"/>
  <c r="CC33" i="11" s="1"/>
  <c r="CC1387" i="4" s="1"/>
  <c r="CC987" i="4"/>
  <c r="CD982" i="4"/>
  <c r="CD983" i="4" s="1"/>
  <c r="CF981" i="4"/>
  <c r="CC35" i="64"/>
  <c r="CC36" i="64"/>
  <c r="M77" i="64" l="1"/>
  <c r="M82" i="64" s="1"/>
  <c r="M69" i="64"/>
  <c r="M74" i="64" s="1"/>
  <c r="M1206" i="4"/>
  <c r="M52" i="64"/>
  <c r="M49" i="64"/>
  <c r="M1116" i="4"/>
  <c r="M1117" i="4" s="1"/>
  <c r="M1119" i="4" s="1"/>
  <c r="M1121" i="4" s="1"/>
  <c r="M1087" i="4" s="1"/>
  <c r="CE979" i="4"/>
  <c r="CD985" i="4"/>
  <c r="CD106" i="64"/>
  <c r="CD21" i="66"/>
  <c r="CC1219" i="4"/>
  <c r="CC76" i="11"/>
  <c r="CC41" i="66"/>
  <c r="CC1047" i="4"/>
  <c r="CC1258" i="4"/>
  <c r="CC1244" i="4"/>
  <c r="CC1049" i="4"/>
  <c r="CC66" i="62"/>
  <c r="CC37" i="64"/>
  <c r="CC51" i="64" s="1"/>
  <c r="M1137" i="4" l="1"/>
  <c r="M1088" i="4"/>
  <c r="CD20" i="11"/>
  <c r="CD35" i="11"/>
  <c r="CD33" i="11" s="1"/>
  <c r="CD1387" i="4" s="1"/>
  <c r="CD987" i="4"/>
  <c r="CD35" i="64"/>
  <c r="CD36" i="64"/>
  <c r="CG981" i="4"/>
  <c r="CE982" i="4"/>
  <c r="N1085" i="4" l="1"/>
  <c r="N1130" i="4"/>
  <c r="N1148" i="4" s="1"/>
  <c r="M1404" i="4"/>
  <c r="M1406" i="4" s="1"/>
  <c r="M1347" i="4"/>
  <c r="M88" i="11"/>
  <c r="M1247" i="4"/>
  <c r="M38" i="66"/>
  <c r="M1225" i="4"/>
  <c r="M1226" i="4" s="1"/>
  <c r="M1138" i="4"/>
  <c r="CD37" i="64"/>
  <c r="CD51" i="64" s="1"/>
  <c r="CE983" i="4"/>
  <c r="CE106" i="64"/>
  <c r="CE21" i="66"/>
  <c r="CD1258" i="4"/>
  <c r="CD1049" i="4"/>
  <c r="CD1244" i="4"/>
  <c r="CD41" i="66"/>
  <c r="CD76" i="11"/>
  <c r="CD1047" i="4"/>
  <c r="CD1219" i="4"/>
  <c r="CD66" i="62"/>
  <c r="M1412" i="4" l="1"/>
  <c r="M1428" i="4"/>
  <c r="M1438" i="4"/>
  <c r="M31" i="11"/>
  <c r="N1135" i="4"/>
  <c r="M1194" i="4"/>
  <c r="M1204" i="4"/>
  <c r="N1086" i="4"/>
  <c r="CE35" i="64"/>
  <c r="CE36" i="64"/>
  <c r="CF979" i="4"/>
  <c r="CE985" i="4"/>
  <c r="N1136" i="4" l="1"/>
  <c r="N1129" i="4"/>
  <c r="N1147" i="4" s="1"/>
  <c r="N1149" i="4" s="1"/>
  <c r="N1125" i="4"/>
  <c r="N1101" i="4"/>
  <c r="M1175" i="4"/>
  <c r="M1197" i="4"/>
  <c r="M1198" i="4" s="1"/>
  <c r="M1188" i="4" s="1"/>
  <c r="N1415" i="4"/>
  <c r="M30" i="11"/>
  <c r="M45" i="62"/>
  <c r="M1413" i="4"/>
  <c r="M1422" i="4" s="1"/>
  <c r="CE35" i="11"/>
  <c r="CE20" i="11"/>
  <c r="AC20" i="67" s="1"/>
  <c r="CE987" i="4"/>
  <c r="CE37" i="64"/>
  <c r="CE51" i="64" s="1"/>
  <c r="CH981" i="4"/>
  <c r="CF982" i="4"/>
  <c r="CF983" i="4" s="1"/>
  <c r="M1418" i="4" l="1"/>
  <c r="M1416" i="4"/>
  <c r="M1187" i="4"/>
  <c r="M1176" i="4" s="1"/>
  <c r="M1189" i="4"/>
  <c r="M1180" i="4"/>
  <c r="M1184" i="4"/>
  <c r="M1191" i="4" s="1"/>
  <c r="N37" i="66"/>
  <c r="N1045" i="4"/>
  <c r="N1218" i="4"/>
  <c r="N297" i="4"/>
  <c r="N999" i="4"/>
  <c r="N1249" i="4"/>
  <c r="N50" i="11"/>
  <c r="N72" i="11"/>
  <c r="N1102" i="4"/>
  <c r="N1112" i="4"/>
  <c r="N1141" i="4" s="1"/>
  <c r="N1103" i="4"/>
  <c r="N1092" i="4" s="1"/>
  <c r="N1093" i="4" s="1"/>
  <c r="N1111" i="4" s="1"/>
  <c r="N1233" i="4"/>
  <c r="N1346" i="4"/>
  <c r="N87" i="11"/>
  <c r="N18" i="66"/>
  <c r="N1259" i="4"/>
  <c r="AC35" i="67"/>
  <c r="AC33" i="67" s="1"/>
  <c r="CE33" i="11"/>
  <c r="CE1387" i="4" s="1"/>
  <c r="CG979" i="4"/>
  <c r="CF985" i="4"/>
  <c r="CF21" i="66"/>
  <c r="CF106" i="64"/>
  <c r="CE76" i="11"/>
  <c r="CE41" i="66"/>
  <c r="CE1047" i="4"/>
  <c r="CE1219" i="4"/>
  <c r="CE1258" i="4"/>
  <c r="CE1244" i="4"/>
  <c r="CE1049" i="4"/>
  <c r="CE66" i="62"/>
  <c r="AC76" i="67"/>
  <c r="N1104" i="4" l="1"/>
  <c r="N1120" i="4" s="1"/>
  <c r="M1419" i="4"/>
  <c r="N49" i="11"/>
  <c r="M1232" i="4"/>
  <c r="M19" i="66"/>
  <c r="M17" i="66" s="1"/>
  <c r="M86" i="11"/>
  <c r="M1261" i="4"/>
  <c r="M1403" i="4"/>
  <c r="N305" i="4"/>
  <c r="N330" i="4" s="1"/>
  <c r="M1227" i="4"/>
  <c r="M1250" i="4"/>
  <c r="M1195" i="4"/>
  <c r="M1199" i="4" s="1"/>
  <c r="M1177" i="4" s="1"/>
  <c r="M1309" i="4"/>
  <c r="M74" i="11"/>
  <c r="M78" i="11" s="1"/>
  <c r="M36" i="66"/>
  <c r="N997" i="4"/>
  <c r="N1142" i="4"/>
  <c r="N294" i="4" s="1"/>
  <c r="N1143" i="4"/>
  <c r="CF36" i="64"/>
  <c r="CF35" i="64"/>
  <c r="CF20" i="11"/>
  <c r="CF35" i="11"/>
  <c r="CF33" i="11" s="1"/>
  <c r="CF1387" i="4" s="1"/>
  <c r="CF987" i="4"/>
  <c r="CG982" i="4"/>
  <c r="CG983" i="4" s="1"/>
  <c r="CI981" i="4"/>
  <c r="N1113" i="4" l="1"/>
  <c r="N1144" i="4" s="1"/>
  <c r="N1224" i="4" s="1"/>
  <c r="M1344" i="4"/>
  <c r="M1348" i="4" s="1"/>
  <c r="M1363" i="4" s="1"/>
  <c r="M1308" i="4"/>
  <c r="M1311" i="4" s="1"/>
  <c r="M1228" i="4"/>
  <c r="M1205" i="4" s="1"/>
  <c r="M39" i="66"/>
  <c r="M35" i="66" s="1"/>
  <c r="M1251" i="4"/>
  <c r="M89" i="11"/>
  <c r="M1178" i="4"/>
  <c r="N53" i="11"/>
  <c r="N52" i="11" s="1"/>
  <c r="N299" i="4"/>
  <c r="N302" i="4"/>
  <c r="O468" i="4"/>
  <c r="O479" i="4"/>
  <c r="O457" i="4"/>
  <c r="N456" i="4"/>
  <c r="N458" i="4" s="1"/>
  <c r="N459" i="4" s="1"/>
  <c r="N467" i="4"/>
  <c r="N469" i="4" s="1"/>
  <c r="N478" i="4"/>
  <c r="N480" i="4" s="1"/>
  <c r="CF37" i="64"/>
  <c r="CF51" i="64" s="1"/>
  <c r="CG985" i="4"/>
  <c r="CH979" i="4"/>
  <c r="CG21" i="66"/>
  <c r="CG106" i="64"/>
  <c r="CF1047" i="4"/>
  <c r="CF1219" i="4"/>
  <c r="CF41" i="66"/>
  <c r="CF1049" i="4"/>
  <c r="CF1244" i="4"/>
  <c r="CF1258" i="4"/>
  <c r="CF76" i="11"/>
  <c r="CF66" i="62"/>
  <c r="N1044" i="4" l="1"/>
  <c r="N1067" i="4" s="1"/>
  <c r="N1158" i="4" s="1"/>
  <c r="N1174" i="4" s="1"/>
  <c r="N73" i="11"/>
  <c r="N1248" i="4"/>
  <c r="O495" i="4"/>
  <c r="O995" i="4" s="1"/>
  <c r="N331" i="4"/>
  <c r="N307" i="4"/>
  <c r="N1173" i="4"/>
  <c r="M27" i="11"/>
  <c r="M1429" i="4"/>
  <c r="N481" i="4"/>
  <c r="N482" i="4" s="1"/>
  <c r="N483" i="4" s="1"/>
  <c r="O477" i="4" s="1"/>
  <c r="M1207" i="4"/>
  <c r="M1209" i="4" s="1"/>
  <c r="N470" i="4"/>
  <c r="N471" i="4" s="1"/>
  <c r="N472" i="4" s="1"/>
  <c r="O466" i="4" s="1"/>
  <c r="M1313" i="4"/>
  <c r="M1325" i="4"/>
  <c r="N460" i="4"/>
  <c r="N461" i="4" s="1"/>
  <c r="O455" i="4" s="1"/>
  <c r="M1364" i="4"/>
  <c r="M1365" i="4" s="1"/>
  <c r="CG35" i="64"/>
  <c r="CG36" i="64"/>
  <c r="CH982" i="4"/>
  <c r="CH983" i="4" s="1"/>
  <c r="CJ981" i="4"/>
  <c r="CG35" i="11"/>
  <c r="CG33" i="11" s="1"/>
  <c r="CG1387" i="4" s="1"/>
  <c r="CG20" i="11"/>
  <c r="CG987" i="4"/>
  <c r="N1068" i="4" l="1"/>
  <c r="N1157" i="4"/>
  <c r="N1164" i="4" s="1"/>
  <c r="N332" i="4"/>
  <c r="N14" i="11" s="1"/>
  <c r="M1208" i="4"/>
  <c r="M58" i="11"/>
  <c r="M59" i="11" s="1"/>
  <c r="M28" i="11" s="1"/>
  <c r="M25" i="11" s="1"/>
  <c r="M90" i="11"/>
  <c r="M91" i="11" s="1"/>
  <c r="M93" i="11" s="1"/>
  <c r="M96" i="11" s="1"/>
  <c r="M97" i="11" s="1"/>
  <c r="M1252" i="4"/>
  <c r="M1229" i="4"/>
  <c r="M1230" i="4" s="1"/>
  <c r="M1234" i="4" s="1"/>
  <c r="N1213" i="4" s="1"/>
  <c r="M48" i="62"/>
  <c r="M24" i="62" s="1"/>
  <c r="M26" i="62" s="1"/>
  <c r="M22" i="66"/>
  <c r="N494" i="4"/>
  <c r="N994" i="4" s="1"/>
  <c r="M1430" i="4"/>
  <c r="M1431" i="4" s="1"/>
  <c r="M1432" i="4"/>
  <c r="M1326" i="4"/>
  <c r="M1327" i="4" s="1"/>
  <c r="N405" i="4"/>
  <c r="N406" i="4" s="1"/>
  <c r="N385" i="4"/>
  <c r="N395" i="4"/>
  <c r="N396" i="4" s="1"/>
  <c r="N397" i="4" s="1"/>
  <c r="N398" i="4" s="1"/>
  <c r="N399" i="4" s="1"/>
  <c r="O394" i="4" s="1"/>
  <c r="CG37" i="64"/>
  <c r="CG51" i="64" s="1"/>
  <c r="CI979" i="4"/>
  <c r="CH985" i="4"/>
  <c r="CG1219" i="4"/>
  <c r="CG1258" i="4"/>
  <c r="CG1244" i="4"/>
  <c r="CG76" i="11"/>
  <c r="CG1049" i="4"/>
  <c r="CG41" i="66"/>
  <c r="CG1047" i="4"/>
  <c r="CG66" i="62"/>
  <c r="CH21" i="66"/>
  <c r="CH106" i="64"/>
  <c r="N1159" i="4" l="1"/>
  <c r="N85" i="11"/>
  <c r="N1167" i="4"/>
  <c r="N1168" i="4" s="1"/>
  <c r="N1231" i="4"/>
  <c r="N42" i="62"/>
  <c r="N1260" i="4"/>
  <c r="M37" i="11"/>
  <c r="M1398" i="4"/>
  <c r="M1393" i="4" s="1"/>
  <c r="M1397" i="4"/>
  <c r="M1392" i="4" s="1"/>
  <c r="N1051" i="4"/>
  <c r="N500" i="4"/>
  <c r="N489" i="4"/>
  <c r="N386" i="4"/>
  <c r="N387" i="4" s="1"/>
  <c r="M1253" i="4"/>
  <c r="M1254" i="4" s="1"/>
  <c r="N95" i="11"/>
  <c r="M101" i="67"/>
  <c r="M21" i="11"/>
  <c r="M17" i="11" s="1"/>
  <c r="M100" i="67"/>
  <c r="M46" i="62"/>
  <c r="M44" i="66"/>
  <c r="M40" i="66" s="1"/>
  <c r="M46" i="66" s="1"/>
  <c r="M100" i="11"/>
  <c r="M101" i="11"/>
  <c r="M24" i="66"/>
  <c r="M20" i="66" s="1"/>
  <c r="M26" i="66" s="1"/>
  <c r="M1263" i="4"/>
  <c r="M1264" i="4" s="1"/>
  <c r="M1385" i="4"/>
  <c r="M1384" i="4" s="1"/>
  <c r="N407" i="4"/>
  <c r="N408" i="4" s="1"/>
  <c r="N409" i="4" s="1"/>
  <c r="O404" i="4" s="1"/>
  <c r="CH20" i="11"/>
  <c r="CH35" i="11"/>
  <c r="CH33" i="11" s="1"/>
  <c r="CH1387" i="4" s="1"/>
  <c r="CH987" i="4"/>
  <c r="CK981" i="4"/>
  <c r="CI982" i="4"/>
  <c r="CI983" i="4" s="1"/>
  <c r="CH35" i="64"/>
  <c r="CH36" i="64"/>
  <c r="M99" i="11" l="1"/>
  <c r="N388" i="4"/>
  <c r="N389" i="4" s="1"/>
  <c r="O384" i="4" s="1"/>
  <c r="N501" i="4"/>
  <c r="N502" i="4" s="1"/>
  <c r="N490" i="4"/>
  <c r="N491" i="4" s="1"/>
  <c r="M48" i="66"/>
  <c r="N52" i="62"/>
  <c r="N43" i="62"/>
  <c r="N23" i="62" s="1"/>
  <c r="N16" i="66" s="1"/>
  <c r="M1386" i="4"/>
  <c r="M1383" i="4" s="1"/>
  <c r="M23" i="11"/>
  <c r="M39" i="11" s="1"/>
  <c r="M40" i="11" s="1"/>
  <c r="O1163" i="4"/>
  <c r="N26" i="11"/>
  <c r="M1266" i="4"/>
  <c r="CH37" i="64"/>
  <c r="CH51" i="64" s="1"/>
  <c r="CI985" i="4"/>
  <c r="CJ979" i="4"/>
  <c r="CI21" i="66"/>
  <c r="CI106" i="64"/>
  <c r="CH1258" i="4"/>
  <c r="CH41" i="66"/>
  <c r="CH1244" i="4"/>
  <c r="CH76" i="11"/>
  <c r="CH1219" i="4"/>
  <c r="CH1049" i="4"/>
  <c r="CH1047" i="4"/>
  <c r="CH66" i="62"/>
  <c r="M1396" i="4" l="1"/>
  <c r="M1391" i="4" s="1"/>
  <c r="M1439" i="4"/>
  <c r="M1440" i="4" s="1"/>
  <c r="O488" i="4"/>
  <c r="N15" i="11"/>
  <c r="N13" i="11" s="1"/>
  <c r="N64" i="62"/>
  <c r="N51" i="11"/>
  <c r="N14" i="66"/>
  <c r="N1024" i="4"/>
  <c r="N1026" i="4" s="1"/>
  <c r="N1027" i="4" s="1"/>
  <c r="N1028" i="4" s="1"/>
  <c r="O499" i="4"/>
  <c r="O1023" i="4" s="1"/>
  <c r="CI36" i="64"/>
  <c r="CI35" i="64"/>
  <c r="CL981" i="4"/>
  <c r="CJ982" i="4"/>
  <c r="CI35" i="11"/>
  <c r="CI20" i="11"/>
  <c r="AD20" i="67" s="1"/>
  <c r="CI987" i="4"/>
  <c r="N13" i="66" l="1"/>
  <c r="N62" i="64"/>
  <c r="N907" i="4"/>
  <c r="N911" i="4" s="1"/>
  <c r="CJ21" i="66"/>
  <c r="CJ106" i="64"/>
  <c r="CI37" i="64"/>
  <c r="CI51" i="64" s="1"/>
  <c r="AD35" i="67"/>
  <c r="AD33" i="67" s="1"/>
  <c r="CI33" i="11"/>
  <c r="CI1387" i="4" s="1"/>
  <c r="CI41" i="66"/>
  <c r="CI1219" i="4"/>
  <c r="CI1244" i="4"/>
  <c r="CI76" i="11"/>
  <c r="CI1047" i="4"/>
  <c r="CI1049" i="4"/>
  <c r="CI1258" i="4"/>
  <c r="CI66" i="62"/>
  <c r="AD76" i="67"/>
  <c r="CJ983" i="4"/>
  <c r="N915" i="4" l="1"/>
  <c r="N1217" i="4"/>
  <c r="N1221" i="4" s="1"/>
  <c r="N71" i="11"/>
  <c r="N1043" i="4"/>
  <c r="N1243" i="4"/>
  <c r="N70" i="64"/>
  <c r="N78" i="64"/>
  <c r="N28" i="66"/>
  <c r="N27" i="66" s="1"/>
  <c r="CJ985" i="4"/>
  <c r="CK979" i="4"/>
  <c r="CJ36" i="64"/>
  <c r="CJ35" i="64"/>
  <c r="N996" i="4" l="1"/>
  <c r="N1000" i="4" s="1"/>
  <c r="N1004" i="4" s="1"/>
  <c r="N47" i="11"/>
  <c r="CJ37" i="64"/>
  <c r="CJ51" i="64" s="1"/>
  <c r="CM981" i="4"/>
  <c r="CK982" i="4"/>
  <c r="CK983" i="4" s="1"/>
  <c r="CJ20" i="11"/>
  <c r="CJ35" i="11"/>
  <c r="CJ33" i="11" s="1"/>
  <c r="CJ1387" i="4" s="1"/>
  <c r="CJ987" i="4"/>
  <c r="N48" i="11" l="1"/>
  <c r="N55" i="11" s="1"/>
  <c r="N62" i="11"/>
  <c r="N61" i="11"/>
  <c r="N1005" i="4"/>
  <c r="N1016" i="4" s="1"/>
  <c r="N1013" i="4" s="1"/>
  <c r="N1006" i="4" s="1"/>
  <c r="N1007" i="4" s="1"/>
  <c r="N1012" i="4"/>
  <c r="CL979" i="4"/>
  <c r="CK985" i="4"/>
  <c r="CJ41" i="66"/>
  <c r="CJ1047" i="4"/>
  <c r="CJ1049" i="4"/>
  <c r="CJ1244" i="4"/>
  <c r="CJ76" i="11"/>
  <c r="CJ1219" i="4"/>
  <c r="CJ1258" i="4"/>
  <c r="CJ66" i="62"/>
  <c r="CK106" i="64"/>
  <c r="CK21" i="66"/>
  <c r="N1014" i="4" l="1"/>
  <c r="O1011" i="4" s="1"/>
  <c r="N1046" i="4"/>
  <c r="N1053" i="4" s="1"/>
  <c r="N1055" i="4" s="1"/>
  <c r="N1058" i="4" s="1"/>
  <c r="N1246" i="4"/>
  <c r="N61" i="64"/>
  <c r="N75" i="11"/>
  <c r="N56" i="11"/>
  <c r="N57" i="11" s="1"/>
  <c r="N1222" i="4"/>
  <c r="N1223" i="4" s="1"/>
  <c r="N63" i="11"/>
  <c r="N1395" i="4"/>
  <c r="N62" i="62"/>
  <c r="N63" i="62" s="1"/>
  <c r="N67" i="62" s="1"/>
  <c r="N64" i="11"/>
  <c r="CK36" i="64"/>
  <c r="CK35" i="64"/>
  <c r="CK35" i="11"/>
  <c r="CK33" i="11" s="1"/>
  <c r="CK1387" i="4" s="1"/>
  <c r="CK20" i="11"/>
  <c r="CK987" i="4"/>
  <c r="CN981" i="4"/>
  <c r="CL982" i="4"/>
  <c r="CL983" i="4" s="1"/>
  <c r="N68" i="62" l="1"/>
  <c r="N1236" i="4"/>
  <c r="N1394" i="4"/>
  <c r="N1206" i="4"/>
  <c r="N69" i="64"/>
  <c r="N74" i="64" s="1"/>
  <c r="N66" i="64"/>
  <c r="N40" i="64" s="1"/>
  <c r="N42" i="64" s="1"/>
  <c r="N77" i="64"/>
  <c r="N82" i="64" s="1"/>
  <c r="CK37" i="64"/>
  <c r="CK51" i="64" s="1"/>
  <c r="CL985" i="4"/>
  <c r="CM979" i="4"/>
  <c r="CL21" i="66"/>
  <c r="CL106" i="64"/>
  <c r="CK1258" i="4"/>
  <c r="CK1244" i="4"/>
  <c r="CK1049" i="4"/>
  <c r="CK41" i="66"/>
  <c r="CK1219" i="4"/>
  <c r="CK1047" i="4"/>
  <c r="CK76" i="11"/>
  <c r="CK66" i="62"/>
  <c r="N1116" i="4" l="1"/>
  <c r="N1117" i="4" s="1"/>
  <c r="N1119" i="4" s="1"/>
  <c r="N1121" i="4" s="1"/>
  <c r="N1087" i="4" s="1"/>
  <c r="N49" i="64"/>
  <c r="N52" i="64"/>
  <c r="CL35" i="64"/>
  <c r="CL36" i="64"/>
  <c r="CO981" i="4"/>
  <c r="CM982" i="4"/>
  <c r="CL20" i="11"/>
  <c r="CL35" i="11"/>
  <c r="CL33" i="11" s="1"/>
  <c r="CL1387" i="4" s="1"/>
  <c r="CL987" i="4"/>
  <c r="N1137" i="4" l="1"/>
  <c r="N1088" i="4"/>
  <c r="CM983" i="4"/>
  <c r="CM21" i="66"/>
  <c r="CM106" i="64"/>
  <c r="CL37" i="64"/>
  <c r="CL51" i="64" s="1"/>
  <c r="CL1219" i="4"/>
  <c r="CL1258" i="4"/>
  <c r="CL76" i="11"/>
  <c r="CL41" i="66"/>
  <c r="CL1047" i="4"/>
  <c r="CL1244" i="4"/>
  <c r="CL1049" i="4"/>
  <c r="CL66" i="62"/>
  <c r="O1085" i="4" l="1"/>
  <c r="O1130" i="4"/>
  <c r="O1148" i="4" s="1"/>
  <c r="N1247" i="4"/>
  <c r="N1347" i="4"/>
  <c r="N88" i="11"/>
  <c r="N38" i="66"/>
  <c r="N1225" i="4"/>
  <c r="N1226" i="4" s="1"/>
  <c r="N1404" i="4"/>
  <c r="N1406" i="4" s="1"/>
  <c r="N1138" i="4"/>
  <c r="CM36" i="64"/>
  <c r="I36" i="64" s="1"/>
  <c r="CM35" i="64"/>
  <c r="CN979" i="4"/>
  <c r="CN982" i="4" s="1"/>
  <c r="CM985" i="4"/>
  <c r="N1194" i="4" l="1"/>
  <c r="N1204" i="4"/>
  <c r="N1428" i="4"/>
  <c r="O1135" i="4"/>
  <c r="N31" i="11"/>
  <c r="N1438" i="4"/>
  <c r="N1412" i="4"/>
  <c r="O1086" i="4"/>
  <c r="CM20" i="11"/>
  <c r="AE20" i="67" s="1"/>
  <c r="CM35" i="11"/>
  <c r="CM987" i="4"/>
  <c r="CN983" i="4"/>
  <c r="CN106" i="64"/>
  <c r="CN21" i="66"/>
  <c r="CM37" i="64"/>
  <c r="I35" i="64"/>
  <c r="O1129" i="4" l="1"/>
  <c r="O1147" i="4" s="1"/>
  <c r="O1149" i="4" s="1"/>
  <c r="O1136" i="4"/>
  <c r="O1125" i="4"/>
  <c r="O1101" i="4"/>
  <c r="N1413" i="4"/>
  <c r="N1422" i="4" s="1"/>
  <c r="N45" i="62"/>
  <c r="N30" i="11"/>
  <c r="O1415" i="4"/>
  <c r="N1175" i="4"/>
  <c r="N1197" i="4"/>
  <c r="N1198" i="4" s="1"/>
  <c r="N1188" i="4" s="1"/>
  <c r="CN35" i="64"/>
  <c r="CN36" i="64"/>
  <c r="CO979" i="4"/>
  <c r="CN985" i="4"/>
  <c r="CM1049" i="4"/>
  <c r="CM41" i="66"/>
  <c r="CM1219" i="4"/>
  <c r="CM1258" i="4"/>
  <c r="CM1047" i="4"/>
  <c r="CM1244" i="4"/>
  <c r="CM76" i="11"/>
  <c r="CM66" i="62"/>
  <c r="AE76" i="67"/>
  <c r="AE35" i="67"/>
  <c r="AE33" i="67" s="1"/>
  <c r="CM33" i="11"/>
  <c r="CM1387" i="4" s="1"/>
  <c r="CM51" i="64"/>
  <c r="I51" i="64" s="1"/>
  <c r="I17" i="64" s="1"/>
  <c r="I37" i="64"/>
  <c r="I13" i="64" s="1"/>
  <c r="N1187" i="4" l="1"/>
  <c r="N1176" i="4" s="1"/>
  <c r="N1189" i="4"/>
  <c r="N1184" i="4"/>
  <c r="N1191" i="4" s="1"/>
  <c r="N1180" i="4"/>
  <c r="N1418" i="4"/>
  <c r="N1416" i="4"/>
  <c r="O1112" i="4"/>
  <c r="O1141" i="4" s="1"/>
  <c r="O1102" i="4"/>
  <c r="O1103" i="4"/>
  <c r="O1092" i="4" s="1"/>
  <c r="O1093" i="4" s="1"/>
  <c r="O1111" i="4" s="1"/>
  <c r="O1259" i="4"/>
  <c r="O1346" i="4"/>
  <c r="O87" i="11"/>
  <c r="O18" i="66"/>
  <c r="O1233" i="4"/>
  <c r="L87" i="67"/>
  <c r="O1045" i="4"/>
  <c r="O297" i="4"/>
  <c r="O305" i="4" s="1"/>
  <c r="O330" i="4" s="1"/>
  <c r="O37" i="66"/>
  <c r="O1218" i="4"/>
  <c r="O999" i="4"/>
  <c r="O50" i="11"/>
  <c r="O72" i="11"/>
  <c r="O1249" i="4"/>
  <c r="L72" i="67"/>
  <c r="CN37" i="64"/>
  <c r="CN51" i="64" s="1"/>
  <c r="CN20" i="11"/>
  <c r="CN35" i="11"/>
  <c r="CN33" i="11" s="1"/>
  <c r="CN1387" i="4" s="1"/>
  <c r="CN987" i="4"/>
  <c r="CO982" i="4"/>
  <c r="CO983" i="4" s="1"/>
  <c r="CQ981" i="4"/>
  <c r="O1104" i="4" l="1"/>
  <c r="O1113" i="4" s="1"/>
  <c r="O1144" i="4" s="1"/>
  <c r="N1419" i="4"/>
  <c r="O49" i="11"/>
  <c r="L50" i="67"/>
  <c r="L49" i="67" s="1"/>
  <c r="N86" i="11"/>
  <c r="N1261" i="4"/>
  <c r="N1232" i="4"/>
  <c r="N19" i="66"/>
  <c r="N1403" i="4"/>
  <c r="P468" i="4"/>
  <c r="P457" i="4"/>
  <c r="P479" i="4"/>
  <c r="O456" i="4"/>
  <c r="O458" i="4" s="1"/>
  <c r="O459" i="4" s="1"/>
  <c r="O467" i="4"/>
  <c r="O469" i="4" s="1"/>
  <c r="O478" i="4"/>
  <c r="O480" i="4" s="1"/>
  <c r="O481" i="4" s="1"/>
  <c r="O482" i="4" s="1"/>
  <c r="O483" i="4" s="1"/>
  <c r="P477" i="4" s="1"/>
  <c r="N74" i="11"/>
  <c r="N78" i="11" s="1"/>
  <c r="N1195" i="4"/>
  <c r="N1199" i="4" s="1"/>
  <c r="N1177" i="4" s="1"/>
  <c r="N1250" i="4"/>
  <c r="N1227" i="4"/>
  <c r="N36" i="66"/>
  <c r="N1309" i="4"/>
  <c r="O1143" i="4"/>
  <c r="O997" i="4"/>
  <c r="O1142" i="4"/>
  <c r="O294" i="4" s="1"/>
  <c r="CP979" i="4"/>
  <c r="CR981" i="4" s="1"/>
  <c r="CO985" i="4"/>
  <c r="CN1047" i="4"/>
  <c r="CN1049" i="4"/>
  <c r="CN1258" i="4"/>
  <c r="CN1244" i="4"/>
  <c r="CN1219" i="4"/>
  <c r="CN76" i="11"/>
  <c r="CN41" i="66"/>
  <c r="CN66" i="62"/>
  <c r="CQ982" i="4"/>
  <c r="CQ983" i="4"/>
  <c r="CR979" i="4" s="1"/>
  <c r="CO106" i="64"/>
  <c r="CO21" i="66"/>
  <c r="I21" i="66" s="1"/>
  <c r="O1120" i="4" l="1"/>
  <c r="O299" i="4"/>
  <c r="O302" i="4"/>
  <c r="N39" i="66"/>
  <c r="N35" i="66" s="1"/>
  <c r="N1228" i="4"/>
  <c r="N1205" i="4" s="1"/>
  <c r="N89" i="11"/>
  <c r="N1251" i="4"/>
  <c r="N1178" i="4"/>
  <c r="N17" i="66"/>
  <c r="N1344" i="4"/>
  <c r="N1308" i="4"/>
  <c r="N1311" i="4" s="1"/>
  <c r="O53" i="11"/>
  <c r="O52" i="11" s="1"/>
  <c r="L53" i="67"/>
  <c r="L52" i="67" s="1"/>
  <c r="O1044" i="4"/>
  <c r="O1067" i="4" s="1"/>
  <c r="O73" i="11"/>
  <c r="O1248" i="4"/>
  <c r="O1224" i="4"/>
  <c r="L23" i="13"/>
  <c r="L73" i="67"/>
  <c r="P495" i="4"/>
  <c r="P995" i="4" s="1"/>
  <c r="O470" i="4"/>
  <c r="O471" i="4" s="1"/>
  <c r="O472" i="4" s="1"/>
  <c r="P466" i="4" s="1"/>
  <c r="O460" i="4"/>
  <c r="O461" i="4" s="1"/>
  <c r="P455" i="4" s="1"/>
  <c r="CO35" i="64"/>
  <c r="CO36" i="64"/>
  <c r="I106" i="64"/>
  <c r="CR983" i="4"/>
  <c r="CS979" i="4" s="1"/>
  <c r="CT981" i="4"/>
  <c r="CR982" i="4"/>
  <c r="CP987" i="4"/>
  <c r="CO20" i="11"/>
  <c r="CO35" i="11"/>
  <c r="CO33" i="11" s="1"/>
  <c r="CO1387" i="4" s="1"/>
  <c r="CO987" i="4"/>
  <c r="O494" i="4" l="1"/>
  <c r="O994" i="4" s="1"/>
  <c r="O1157" i="4"/>
  <c r="O1158" i="4"/>
  <c r="O1174" i="4" s="1"/>
  <c r="O1068" i="4"/>
  <c r="N27" i="11"/>
  <c r="O1173" i="4"/>
  <c r="N1429" i="4"/>
  <c r="O331" i="4"/>
  <c r="O307" i="4"/>
  <c r="N1313" i="4"/>
  <c r="N1325" i="4"/>
  <c r="N1348" i="4"/>
  <c r="N1207" i="4"/>
  <c r="N1209" i="4" s="1"/>
  <c r="CO37" i="64"/>
  <c r="CO51" i="64" s="1"/>
  <c r="CS983" i="4"/>
  <c r="CT979" i="4" s="1"/>
  <c r="CU981" i="4"/>
  <c r="CS982" i="4"/>
  <c r="L42" i="13"/>
  <c r="CO1244" i="4"/>
  <c r="I1244" i="4" s="1"/>
  <c r="CO76" i="11"/>
  <c r="I76" i="11" s="1"/>
  <c r="CO1047" i="4"/>
  <c r="I1047" i="4" s="1"/>
  <c r="CO1258" i="4"/>
  <c r="I1258" i="4" s="1"/>
  <c r="CO41" i="66"/>
  <c r="I41" i="66" s="1"/>
  <c r="CO1049" i="4"/>
  <c r="I1049" i="4" s="1"/>
  <c r="CO1219" i="4"/>
  <c r="I1219" i="4" s="1"/>
  <c r="I987" i="4"/>
  <c r="AA42" i="13"/>
  <c r="CO66" i="62"/>
  <c r="I66" i="62" s="1"/>
  <c r="AB42" i="13"/>
  <c r="AC42" i="13"/>
  <c r="AD42" i="13"/>
  <c r="AE42" i="13"/>
  <c r="AF76" i="67"/>
  <c r="I76" i="67" s="1"/>
  <c r="AF42" i="13"/>
  <c r="O332" i="4" l="1"/>
  <c r="L14" i="67" s="1"/>
  <c r="N1326" i="4"/>
  <c r="N1327" i="4" s="1"/>
  <c r="O1164" i="4"/>
  <c r="O1159" i="4"/>
  <c r="N1208" i="4"/>
  <c r="O405" i="4"/>
  <c r="O406" i="4" s="1"/>
  <c r="O407" i="4" s="1"/>
  <c r="O408" i="4" s="1"/>
  <c r="O409" i="4" s="1"/>
  <c r="P404" i="4" s="1"/>
  <c r="O395" i="4"/>
  <c r="O396" i="4" s="1"/>
  <c r="O397" i="4" s="1"/>
  <c r="O398" i="4" s="1"/>
  <c r="O399" i="4" s="1"/>
  <c r="P394" i="4" s="1"/>
  <c r="O385" i="4"/>
  <c r="N58" i="11"/>
  <c r="N59" i="11" s="1"/>
  <c r="N28" i="11" s="1"/>
  <c r="N1229" i="4"/>
  <c r="N1230" i="4" s="1"/>
  <c r="N1234" i="4" s="1"/>
  <c r="O1213" i="4" s="1"/>
  <c r="N90" i="11"/>
  <c r="N91" i="11" s="1"/>
  <c r="N93" i="11" s="1"/>
  <c r="N96" i="11" s="1"/>
  <c r="N97" i="11" s="1"/>
  <c r="N48" i="62"/>
  <c r="N24" i="62" s="1"/>
  <c r="N26" i="62" s="1"/>
  <c r="N1252" i="4"/>
  <c r="N22" i="66"/>
  <c r="N1430" i="4"/>
  <c r="N1431" i="4" s="1"/>
  <c r="N1432" i="4"/>
  <c r="N1363" i="4"/>
  <c r="CT983" i="4"/>
  <c r="CU979" i="4" s="1"/>
  <c r="CV981" i="4"/>
  <c r="CT982" i="4"/>
  <c r="I42" i="13"/>
  <c r="O14" i="11" l="1"/>
  <c r="N1364" i="4"/>
  <c r="N1365" i="4" s="1"/>
  <c r="N101" i="67"/>
  <c r="N46" i="62"/>
  <c r="N1263" i="4"/>
  <c r="N1264" i="4" s="1"/>
  <c r="N21" i="11"/>
  <c r="N17" i="11" s="1"/>
  <c r="N101" i="11"/>
  <c r="N1385" i="4"/>
  <c r="N1384" i="4" s="1"/>
  <c r="N24" i="66"/>
  <c r="N20" i="66" s="1"/>
  <c r="N100" i="11"/>
  <c r="N100" i="67"/>
  <c r="N1253" i="4"/>
  <c r="N1254" i="4" s="1"/>
  <c r="O95" i="11"/>
  <c r="N44" i="66"/>
  <c r="N40" i="66" s="1"/>
  <c r="O1260" i="4"/>
  <c r="O42" i="62"/>
  <c r="O1231" i="4"/>
  <c r="O1167" i="4"/>
  <c r="O1168" i="4" s="1"/>
  <c r="O85" i="11"/>
  <c r="L85" i="67"/>
  <c r="O1051" i="4"/>
  <c r="N25" i="11"/>
  <c r="O489" i="4"/>
  <c r="O500" i="4"/>
  <c r="O386" i="4"/>
  <c r="O387" i="4" s="1"/>
  <c r="CU983" i="4"/>
  <c r="CV979" i="4" s="1"/>
  <c r="CU982" i="4"/>
  <c r="CW981" i="4"/>
  <c r="N99" i="11" l="1"/>
  <c r="N1266" i="4"/>
  <c r="O388" i="4"/>
  <c r="O389" i="4" s="1"/>
  <c r="P384" i="4" s="1"/>
  <c r="O501" i="4"/>
  <c r="O502" i="4" s="1"/>
  <c r="O490" i="4"/>
  <c r="O491" i="4" s="1"/>
  <c r="N46" i="66"/>
  <c r="N1386" i="4"/>
  <c r="N1383" i="4" s="1"/>
  <c r="N23" i="11"/>
  <c r="N26" i="66"/>
  <c r="P1163" i="4"/>
  <c r="L26" i="67"/>
  <c r="O26" i="11"/>
  <c r="N1398" i="4"/>
  <c r="N1393" i="4" s="1"/>
  <c r="N1397" i="4"/>
  <c r="N1392" i="4" s="1"/>
  <c r="N37" i="11"/>
  <c r="O52" i="62"/>
  <c r="O43" i="62"/>
  <c r="O23" i="62" s="1"/>
  <c r="O16" i="66" s="1"/>
  <c r="CV982" i="4"/>
  <c r="CV983" i="4"/>
  <c r="CW979" i="4" s="1"/>
  <c r="CX981" i="4"/>
  <c r="N39" i="11" l="1"/>
  <c r="N40" i="11" s="1"/>
  <c r="N1439" i="4"/>
  <c r="N1440" i="4" s="1"/>
  <c r="N1396" i="4"/>
  <c r="N1391" i="4" s="1"/>
  <c r="H140" i="15"/>
  <c r="O14" i="66"/>
  <c r="N48" i="66"/>
  <c r="O51" i="11"/>
  <c r="O64" i="62"/>
  <c r="L51" i="67"/>
  <c r="P499" i="4"/>
  <c r="P1023" i="4" s="1"/>
  <c r="O1024" i="4"/>
  <c r="O1026" i="4" s="1"/>
  <c r="O1027" i="4" s="1"/>
  <c r="O1028" i="4" s="1"/>
  <c r="O15" i="11"/>
  <c r="O13" i="11" s="1"/>
  <c r="L15" i="67"/>
  <c r="L13" i="67" s="1"/>
  <c r="P488" i="4"/>
  <c r="CY981" i="4"/>
  <c r="CW983" i="4"/>
  <c r="CX979" i="4" s="1"/>
  <c r="CW982" i="4"/>
  <c r="O13" i="66" l="1"/>
  <c r="H138" i="15"/>
  <c r="O907" i="4"/>
  <c r="O911" i="4" s="1"/>
  <c r="O62" i="64"/>
  <c r="CZ981" i="4"/>
  <c r="CX982" i="4"/>
  <c r="CX983" i="4"/>
  <c r="CY979" i="4" s="1"/>
  <c r="O78" i="64" l="1"/>
  <c r="O70" i="64"/>
  <c r="O71" i="11"/>
  <c r="O1043" i="4"/>
  <c r="O915" i="4"/>
  <c r="O1243" i="4"/>
  <c r="O1217" i="4"/>
  <c r="O1221" i="4" s="1"/>
  <c r="L40" i="13"/>
  <c r="L71" i="67"/>
  <c r="L18" i="72"/>
  <c r="H137" i="15"/>
  <c r="O28" i="66"/>
  <c r="O27" i="66" s="1"/>
  <c r="DA981" i="4"/>
  <c r="CY982" i="4"/>
  <c r="CY983" i="4"/>
  <c r="CZ979" i="4" s="1"/>
  <c r="O996" i="4" l="1"/>
  <c r="O1000" i="4" s="1"/>
  <c r="O1004" i="4" s="1"/>
  <c r="O47" i="11"/>
  <c r="L47" i="67"/>
  <c r="L20" i="72"/>
  <c r="DB981" i="4"/>
  <c r="CZ983" i="4"/>
  <c r="DA979" i="4" s="1"/>
  <c r="CZ982" i="4"/>
  <c r="L48" i="67" l="1"/>
  <c r="L55" i="67" s="1"/>
  <c r="L61" i="67"/>
  <c r="L63" i="67" s="1"/>
  <c r="L62" i="67"/>
  <c r="L64" i="67" s="1"/>
  <c r="O61" i="11"/>
  <c r="O62" i="11"/>
  <c r="O48" i="11"/>
  <c r="O55" i="11" s="1"/>
  <c r="O1005" i="4"/>
  <c r="O1016" i="4" s="1"/>
  <c r="O1013" i="4" s="1"/>
  <c r="O1006" i="4" s="1"/>
  <c r="O1007" i="4" s="1"/>
  <c r="O1012" i="4"/>
  <c r="DA983" i="4"/>
  <c r="DB979" i="4" s="1"/>
  <c r="DA982" i="4"/>
  <c r="DC981" i="4"/>
  <c r="O1014" i="4" l="1"/>
  <c r="P1011" i="4" s="1"/>
  <c r="O56" i="11"/>
  <c r="O57" i="11" s="1"/>
  <c r="O1046" i="4"/>
  <c r="O1053" i="4" s="1"/>
  <c r="O1055" i="4" s="1"/>
  <c r="O1058" i="4" s="1"/>
  <c r="O75" i="11"/>
  <c r="O1246" i="4"/>
  <c r="O1222" i="4"/>
  <c r="O1223" i="4" s="1"/>
  <c r="O61" i="64"/>
  <c r="L56" i="67"/>
  <c r="L57" i="67" s="1"/>
  <c r="L75" i="67"/>
  <c r="L41" i="13"/>
  <c r="L43" i="13" s="1"/>
  <c r="O1395" i="4"/>
  <c r="O64" i="11"/>
  <c r="O62" i="62"/>
  <c r="O63" i="62" s="1"/>
  <c r="O67" i="62" s="1"/>
  <c r="O63" i="11"/>
  <c r="L1449" i="4"/>
  <c r="DB982" i="4"/>
  <c r="DD981" i="4"/>
  <c r="DB983" i="4"/>
  <c r="DC979" i="4" s="1"/>
  <c r="O69" i="64" l="1"/>
  <c r="O74" i="64" s="1"/>
  <c r="O66" i="64"/>
  <c r="O40" i="64" s="1"/>
  <c r="O42" i="64" s="1"/>
  <c r="O77" i="64"/>
  <c r="O82" i="64" s="1"/>
  <c r="O68" i="62"/>
  <c r="O1236" i="4"/>
  <c r="L1452" i="4"/>
  <c r="L1457" i="4"/>
  <c r="O1394" i="4"/>
  <c r="O1206" i="4"/>
  <c r="DE981" i="4"/>
  <c r="DC983" i="4"/>
  <c r="DD979" i="4" s="1"/>
  <c r="DC982" i="4"/>
  <c r="O1116" i="4" l="1"/>
  <c r="O1117" i="4" s="1"/>
  <c r="O1119" i="4" s="1"/>
  <c r="O1121" i="4" s="1"/>
  <c r="O1087" i="4" s="1"/>
  <c r="O52" i="64"/>
  <c r="O49" i="64"/>
  <c r="DF981" i="4"/>
  <c r="DD983" i="4"/>
  <c r="DE979" i="4" s="1"/>
  <c r="DD982" i="4"/>
  <c r="O1137" i="4" l="1"/>
  <c r="O1088" i="4"/>
  <c r="DG981" i="4"/>
  <c r="DE982" i="4"/>
  <c r="DE983" i="4"/>
  <c r="DF979" i="4" s="1"/>
  <c r="P1085" i="4" l="1"/>
  <c r="P1130" i="4"/>
  <c r="P1148" i="4" s="1"/>
  <c r="O1225" i="4"/>
  <c r="O1226" i="4" s="1"/>
  <c r="O88" i="11"/>
  <c r="O1347" i="4"/>
  <c r="O1247" i="4"/>
  <c r="O38" i="66"/>
  <c r="O1404" i="4"/>
  <c r="O1406" i="4" s="1"/>
  <c r="L24" i="13"/>
  <c r="L88" i="67"/>
  <c r="O1138" i="4"/>
  <c r="DF983" i="4"/>
  <c r="DG979" i="4" s="1"/>
  <c r="DF982" i="4"/>
  <c r="DH981" i="4"/>
  <c r="P1135" i="4" l="1"/>
  <c r="L31" i="67"/>
  <c r="L30" i="67" s="1"/>
  <c r="O31" i="11"/>
  <c r="O1412" i="4"/>
  <c r="O1428" i="4"/>
  <c r="L1448" i="4"/>
  <c r="O1438" i="4"/>
  <c r="O1204" i="4"/>
  <c r="O1194" i="4"/>
  <c r="P1086" i="4"/>
  <c r="DI981" i="4"/>
  <c r="DG983" i="4"/>
  <c r="DH979" i="4" s="1"/>
  <c r="DG982" i="4"/>
  <c r="O1413" i="4" l="1"/>
  <c r="O1422" i="4" s="1"/>
  <c r="O45" i="62"/>
  <c r="O30" i="11"/>
  <c r="P1136" i="4"/>
  <c r="P1129" i="4"/>
  <c r="P1147" i="4" s="1"/>
  <c r="P1149" i="4" s="1"/>
  <c r="P1125" i="4"/>
  <c r="P1101" i="4"/>
  <c r="O1175" i="4"/>
  <c r="O1197" i="4"/>
  <c r="O1198" i="4" s="1"/>
  <c r="O1188" i="4" s="1"/>
  <c r="P1415" i="4"/>
  <c r="DJ981" i="4"/>
  <c r="DH982" i="4"/>
  <c r="DH983" i="4"/>
  <c r="DI979" i="4" s="1"/>
  <c r="O1189" i="4" l="1"/>
  <c r="O1187" i="4"/>
  <c r="O1176" i="4" s="1"/>
  <c r="O1180" i="4"/>
  <c r="O1184" i="4"/>
  <c r="O1191" i="4" s="1"/>
  <c r="P1103" i="4"/>
  <c r="P1092" i="4" s="1"/>
  <c r="P1093" i="4" s="1"/>
  <c r="P1111" i="4" s="1"/>
  <c r="P1112" i="4"/>
  <c r="P1141" i="4" s="1"/>
  <c r="P1102" i="4"/>
  <c r="O1418" i="4"/>
  <c r="O1416" i="4"/>
  <c r="P37" i="66"/>
  <c r="P1249" i="4"/>
  <c r="P50" i="11"/>
  <c r="P297" i="4"/>
  <c r="P305" i="4" s="1"/>
  <c r="P330" i="4" s="1"/>
  <c r="P1218" i="4"/>
  <c r="P999" i="4"/>
  <c r="P72" i="11"/>
  <c r="P1045" i="4"/>
  <c r="P18" i="66"/>
  <c r="P87" i="11"/>
  <c r="P1233" i="4"/>
  <c r="P1346" i="4"/>
  <c r="P1259" i="4"/>
  <c r="DI983" i="4"/>
  <c r="DJ979" i="4" s="1"/>
  <c r="DI982" i="4"/>
  <c r="DK981" i="4"/>
  <c r="O1419" i="4" l="1"/>
  <c r="P1142" i="4"/>
  <c r="P294" i="4" s="1"/>
  <c r="P997" i="4"/>
  <c r="P1143" i="4"/>
  <c r="Q457" i="4"/>
  <c r="Q468" i="4"/>
  <c r="Q479" i="4"/>
  <c r="P456" i="4"/>
  <c r="P458" i="4" s="1"/>
  <c r="P459" i="4" s="1"/>
  <c r="P467" i="4"/>
  <c r="P469" i="4" s="1"/>
  <c r="P470" i="4" s="1"/>
  <c r="P471" i="4" s="1"/>
  <c r="P472" i="4" s="1"/>
  <c r="Q466" i="4" s="1"/>
  <c r="P478" i="4"/>
  <c r="P480" i="4" s="1"/>
  <c r="P481" i="4" s="1"/>
  <c r="P482" i="4" s="1"/>
  <c r="P483" i="4" s="1"/>
  <c r="Q477" i="4" s="1"/>
  <c r="P49" i="11"/>
  <c r="O1261" i="4"/>
  <c r="O86" i="11"/>
  <c r="O1232" i="4"/>
  <c r="O19" i="66"/>
  <c r="L86" i="67"/>
  <c r="O1403" i="4"/>
  <c r="P1104" i="4"/>
  <c r="O74" i="11"/>
  <c r="O78" i="11" s="1"/>
  <c r="O1227" i="4"/>
  <c r="O1250" i="4"/>
  <c r="O1195" i="4"/>
  <c r="O1199" i="4" s="1"/>
  <c r="O1177" i="4" s="1"/>
  <c r="L74" i="67"/>
  <c r="L78" i="67" s="1"/>
  <c r="O36" i="66"/>
  <c r="H162" i="15" s="1"/>
  <c r="O1309" i="4"/>
  <c r="DJ983" i="4"/>
  <c r="DK979" i="4" s="1"/>
  <c r="DJ982" i="4"/>
  <c r="DL981" i="4"/>
  <c r="O17" i="66" l="1"/>
  <c r="H144" i="15"/>
  <c r="Q495" i="4"/>
  <c r="Q995" i="4" s="1"/>
  <c r="O39" i="66"/>
  <c r="O35" i="66" s="1"/>
  <c r="O1251" i="4"/>
  <c r="O1228" i="4"/>
  <c r="O1205" i="4" s="1"/>
  <c r="O89" i="11"/>
  <c r="L89" i="67"/>
  <c r="P460" i="4"/>
  <c r="P461" i="4" s="1"/>
  <c r="Q455" i="4" s="1"/>
  <c r="P494" i="4"/>
  <c r="P994" i="4" s="1"/>
  <c r="P53" i="11"/>
  <c r="P52" i="11" s="1"/>
  <c r="O1344" i="4"/>
  <c r="O1308" i="4"/>
  <c r="O1311" i="4" s="1"/>
  <c r="P299" i="4"/>
  <c r="P302" i="4"/>
  <c r="P1120" i="4"/>
  <c r="P1113" i="4"/>
  <c r="P1144" i="4" s="1"/>
  <c r="O1178" i="4"/>
  <c r="DK982" i="4"/>
  <c r="DM981" i="4"/>
  <c r="DK983" i="4"/>
  <c r="DL979" i="4" s="1"/>
  <c r="O1207" i="4" l="1"/>
  <c r="O1209" i="4" s="1"/>
  <c r="L27" i="67"/>
  <c r="P1173" i="4"/>
  <c r="O27" i="11"/>
  <c r="O1429" i="4"/>
  <c r="O1313" i="4"/>
  <c r="L14" i="72"/>
  <c r="O1325" i="4"/>
  <c r="O1348" i="4"/>
  <c r="L13" i="13"/>
  <c r="P1224" i="4"/>
  <c r="P1248" i="4"/>
  <c r="P73" i="11"/>
  <c r="P1044" i="4"/>
  <c r="P1067" i="4" s="1"/>
  <c r="H161" i="15"/>
  <c r="P331" i="4"/>
  <c r="P307" i="4"/>
  <c r="L19" i="72"/>
  <c r="H142" i="15"/>
  <c r="DN981" i="4"/>
  <c r="DL983" i="4"/>
  <c r="DM979" i="4" s="1"/>
  <c r="DL982" i="4"/>
  <c r="P332" i="4" l="1"/>
  <c r="P14" i="11" s="1"/>
  <c r="P1158" i="4"/>
  <c r="P1174" i="4" s="1"/>
  <c r="P1157" i="4"/>
  <c r="P1068" i="4"/>
  <c r="P395" i="4"/>
  <c r="P396" i="4" s="1"/>
  <c r="P397" i="4" s="1"/>
  <c r="P398" i="4" s="1"/>
  <c r="P399" i="4" s="1"/>
  <c r="Q394" i="4" s="1"/>
  <c r="P405" i="4"/>
  <c r="P406" i="4" s="1"/>
  <c r="P407" i="4" s="1"/>
  <c r="P408" i="4" s="1"/>
  <c r="P409" i="4" s="1"/>
  <c r="Q404" i="4" s="1"/>
  <c r="P385" i="4"/>
  <c r="O1432" i="4"/>
  <c r="O1430" i="4"/>
  <c r="O1431" i="4" s="1"/>
  <c r="L15" i="72"/>
  <c r="O1363" i="4"/>
  <c r="O1326" i="4"/>
  <c r="O1327" i="4" s="1"/>
  <c r="O1208" i="4"/>
  <c r="O48" i="62"/>
  <c r="O24" i="62" s="1"/>
  <c r="O26" i="62" s="1"/>
  <c r="O90" i="11"/>
  <c r="O91" i="11" s="1"/>
  <c r="O93" i="11" s="1"/>
  <c r="O96" i="11" s="1"/>
  <c r="O97" i="11" s="1"/>
  <c r="O1229" i="4"/>
  <c r="O1230" i="4" s="1"/>
  <c r="O1234" i="4" s="1"/>
  <c r="P1213" i="4" s="1"/>
  <c r="O1252" i="4"/>
  <c r="O58" i="11"/>
  <c r="O59" i="11" s="1"/>
  <c r="O28" i="11" s="1"/>
  <c r="L58" i="67"/>
  <c r="L59" i="67" s="1"/>
  <c r="L90" i="67"/>
  <c r="L91" i="67" s="1"/>
  <c r="L93" i="67" s="1"/>
  <c r="L96" i="67" s="1"/>
  <c r="L97" i="67" s="1"/>
  <c r="O22" i="66"/>
  <c r="DM982" i="4"/>
  <c r="DO981" i="4"/>
  <c r="DM983" i="4"/>
  <c r="DN979" i="4" s="1"/>
  <c r="H148" i="15" l="1"/>
  <c r="M95" i="67"/>
  <c r="P489" i="4"/>
  <c r="P500" i="4"/>
  <c r="P386" i="4"/>
  <c r="P387" i="4" s="1"/>
  <c r="L28" i="67"/>
  <c r="L25" i="67" s="1"/>
  <c r="L37" i="67" s="1"/>
  <c r="O1364" i="4"/>
  <c r="O1365" i="4" s="1"/>
  <c r="P1051" i="4"/>
  <c r="P1164" i="4"/>
  <c r="P1159" i="4"/>
  <c r="O101" i="67"/>
  <c r="O101" i="11"/>
  <c r="L1450" i="4"/>
  <c r="O46" i="62"/>
  <c r="L21" i="67"/>
  <c r="L17" i="67" s="1"/>
  <c r="L23" i="67" s="1"/>
  <c r="O1253" i="4"/>
  <c r="O1254" i="4" s="1"/>
  <c r="O100" i="67"/>
  <c r="O21" i="11"/>
  <c r="O17" i="11" s="1"/>
  <c r="P95" i="11"/>
  <c r="O1385" i="4"/>
  <c r="O1384" i="4" s="1"/>
  <c r="O100" i="11"/>
  <c r="O24" i="66"/>
  <c r="O44" i="66"/>
  <c r="O40" i="66" s="1"/>
  <c r="O1263" i="4"/>
  <c r="O1264" i="4" s="1"/>
  <c r="O25" i="11"/>
  <c r="DN983" i="4"/>
  <c r="DO979" i="4" s="1"/>
  <c r="DP981" i="4"/>
  <c r="DN982" i="4"/>
  <c r="O99" i="11" l="1"/>
  <c r="L39" i="67"/>
  <c r="L40" i="67" s="1"/>
  <c r="O1397" i="4"/>
  <c r="O1392" i="4" s="1"/>
  <c r="O37" i="11"/>
  <c r="O1398" i="4"/>
  <c r="O1393" i="4" s="1"/>
  <c r="O1386" i="4"/>
  <c r="O1383" i="4" s="1"/>
  <c r="O23" i="11"/>
  <c r="P490" i="4"/>
  <c r="P388" i="4"/>
  <c r="P389" i="4" s="1"/>
  <c r="Q384" i="4" s="1"/>
  <c r="P501" i="4"/>
  <c r="P502" i="4" s="1"/>
  <c r="P1231" i="4"/>
  <c r="P1260" i="4"/>
  <c r="P85" i="11"/>
  <c r="P42" i="62"/>
  <c r="P1167" i="4"/>
  <c r="P1168" i="4" s="1"/>
  <c r="O1266" i="4"/>
  <c r="L99" i="67"/>
  <c r="H167" i="15"/>
  <c r="H173" i="15" s="1"/>
  <c r="O46" i="66"/>
  <c r="H171" i="15"/>
  <c r="H150" i="15"/>
  <c r="O20" i="66"/>
  <c r="DQ981" i="4"/>
  <c r="DO982" i="4"/>
  <c r="DO983" i="4"/>
  <c r="DP979" i="4" s="1"/>
  <c r="H146" i="15" l="1"/>
  <c r="H152" i="15" s="1"/>
  <c r="O26" i="66"/>
  <c r="O48" i="66" s="1"/>
  <c r="Q499" i="4"/>
  <c r="Q1023" i="4" s="1"/>
  <c r="P1024" i="4"/>
  <c r="P1026" i="4" s="1"/>
  <c r="P1027" i="4" s="1"/>
  <c r="P1028" i="4" s="1"/>
  <c r="P64" i="62"/>
  <c r="P51" i="11"/>
  <c r="P26" i="11"/>
  <c r="Q1163" i="4"/>
  <c r="O1439" i="4"/>
  <c r="O1440" i="4" s="1"/>
  <c r="O1396" i="4"/>
  <c r="O1391" i="4" s="1"/>
  <c r="P52" i="62"/>
  <c r="P43" i="62"/>
  <c r="P23" i="62" s="1"/>
  <c r="P16" i="66" s="1"/>
  <c r="O39" i="11"/>
  <c r="O40" i="11" s="1"/>
  <c r="P491" i="4"/>
  <c r="DP983" i="4"/>
  <c r="DQ979" i="4" s="1"/>
  <c r="DR981" i="4"/>
  <c r="DP982" i="4"/>
  <c r="P15" i="11" l="1"/>
  <c r="P13" i="11" s="1"/>
  <c r="Q488" i="4"/>
  <c r="P907" i="4"/>
  <c r="P911" i="4" s="1"/>
  <c r="P62" i="64"/>
  <c r="P14" i="66"/>
  <c r="DQ983" i="4"/>
  <c r="DR979" i="4" s="1"/>
  <c r="DQ982" i="4"/>
  <c r="DS981" i="4"/>
  <c r="P70" i="64" l="1"/>
  <c r="P78" i="64"/>
  <c r="P71" i="11"/>
  <c r="P1043" i="4"/>
  <c r="P1217" i="4"/>
  <c r="P1221" i="4" s="1"/>
  <c r="P915" i="4"/>
  <c r="P1243" i="4"/>
  <c r="P13" i="66"/>
  <c r="DR982" i="4"/>
  <c r="DT981" i="4"/>
  <c r="DR983" i="4"/>
  <c r="DS979" i="4" s="1"/>
  <c r="P996" i="4" l="1"/>
  <c r="P1000" i="4" s="1"/>
  <c r="P1004" i="4" s="1"/>
  <c r="P47" i="11"/>
  <c r="P28" i="66"/>
  <c r="P27" i="66" s="1"/>
  <c r="DU981" i="4"/>
  <c r="DS983" i="4"/>
  <c r="DT979" i="4" s="1"/>
  <c r="DS982" i="4"/>
  <c r="P61" i="11" l="1"/>
  <c r="P48" i="11"/>
  <c r="P55" i="11" s="1"/>
  <c r="P62" i="11"/>
  <c r="P1012" i="4"/>
  <c r="P1005" i="4"/>
  <c r="DV981" i="4"/>
  <c r="DT983" i="4"/>
  <c r="DU979" i="4" s="1"/>
  <c r="DT982" i="4"/>
  <c r="P1016" i="4" l="1"/>
  <c r="P1013" i="4" s="1"/>
  <c r="P1014" i="4" s="1"/>
  <c r="Q1011" i="4" s="1"/>
  <c r="P1395" i="4"/>
  <c r="P62" i="62"/>
  <c r="P64" i="11"/>
  <c r="P63" i="11"/>
  <c r="DW981" i="4"/>
  <c r="DU982" i="4"/>
  <c r="DU983" i="4"/>
  <c r="DV979" i="4" s="1"/>
  <c r="P1006" i="4" l="1"/>
  <c r="P1007" i="4" s="1"/>
  <c r="P63" i="62" s="1"/>
  <c r="P67" i="62" s="1"/>
  <c r="DV982" i="4"/>
  <c r="DV983" i="4"/>
  <c r="DW979" i="4" s="1"/>
  <c r="DX981" i="4"/>
  <c r="P56" i="11" l="1"/>
  <c r="P57" i="11" s="1"/>
  <c r="P61" i="64"/>
  <c r="P1222" i="4"/>
  <c r="P1223" i="4" s="1"/>
  <c r="P1246" i="4"/>
  <c r="P75" i="11"/>
  <c r="P1046" i="4"/>
  <c r="P1053" i="4" s="1"/>
  <c r="P1055" i="4" s="1"/>
  <c r="P1058" i="4" s="1"/>
  <c r="P68" i="62"/>
  <c r="DY981" i="4"/>
  <c r="DW983" i="4"/>
  <c r="DX979" i="4" s="1"/>
  <c r="DW982" i="4"/>
  <c r="P1236" i="4" l="1"/>
  <c r="P77" i="64"/>
  <c r="P82" i="64" s="1"/>
  <c r="P69" i="64"/>
  <c r="P74" i="64" s="1"/>
  <c r="P66" i="64"/>
  <c r="P40" i="64" s="1"/>
  <c r="P42" i="64" s="1"/>
  <c r="P1394" i="4"/>
  <c r="P1206" i="4"/>
  <c r="DZ981" i="4"/>
  <c r="DX983" i="4"/>
  <c r="DY979" i="4" s="1"/>
  <c r="DX982" i="4"/>
  <c r="P49" i="64" l="1"/>
  <c r="P52" i="64"/>
  <c r="P1116" i="4"/>
  <c r="P1117" i="4" s="1"/>
  <c r="P1119" i="4" s="1"/>
  <c r="P1121" i="4" s="1"/>
  <c r="P1087" i="4" s="1"/>
  <c r="EA981" i="4"/>
  <c r="DY983" i="4"/>
  <c r="DZ979" i="4" s="1"/>
  <c r="DY982" i="4"/>
  <c r="P1137" i="4" l="1"/>
  <c r="P1088" i="4"/>
  <c r="DZ983" i="4"/>
  <c r="EA979" i="4" s="1"/>
  <c r="DZ982" i="4"/>
  <c r="Q1085" i="4" l="1"/>
  <c r="Q1130" i="4"/>
  <c r="Q1148" i="4" s="1"/>
  <c r="P38" i="66"/>
  <c r="P1404" i="4"/>
  <c r="P1406" i="4" s="1"/>
  <c r="P88" i="11"/>
  <c r="P1347" i="4"/>
  <c r="P1247" i="4"/>
  <c r="P1225" i="4"/>
  <c r="P1226" i="4" s="1"/>
  <c r="P1138" i="4"/>
  <c r="EA982" i="4"/>
  <c r="EA983" i="4"/>
  <c r="P1438" i="4" l="1"/>
  <c r="Q1135" i="4"/>
  <c r="P31" i="11"/>
  <c r="P1412" i="4"/>
  <c r="P1428" i="4"/>
  <c r="P1194" i="4"/>
  <c r="P1204" i="4"/>
  <c r="Q1086" i="4"/>
  <c r="Q1136" i="4" l="1"/>
  <c r="Q1129" i="4"/>
  <c r="Q1147" i="4" s="1"/>
  <c r="Q1149" i="4" s="1"/>
  <c r="Q1125" i="4"/>
  <c r="Q1101" i="4"/>
  <c r="P1197" i="4"/>
  <c r="P1198" i="4" s="1"/>
  <c r="P1188" i="4" s="1"/>
  <c r="P1175" i="4"/>
  <c r="P1413" i="4"/>
  <c r="P1422" i="4" s="1"/>
  <c r="P45" i="62"/>
  <c r="P30" i="11"/>
  <c r="Q1415" i="4"/>
  <c r="P1418" i="4" l="1"/>
  <c r="P1416" i="4"/>
  <c r="P1184" i="4"/>
  <c r="P1191" i="4" s="1"/>
  <c r="P1180" i="4"/>
  <c r="P1189" i="4"/>
  <c r="P1187" i="4"/>
  <c r="P1176" i="4" s="1"/>
  <c r="Q297" i="4"/>
  <c r="Q305" i="4" s="1"/>
  <c r="Q330" i="4" s="1"/>
  <c r="Q50" i="11"/>
  <c r="Q1218" i="4"/>
  <c r="Q1045" i="4"/>
  <c r="Q1249" i="4"/>
  <c r="Q37" i="66"/>
  <c r="Q999" i="4"/>
  <c r="Q72" i="11"/>
  <c r="Q1102" i="4"/>
  <c r="Q1112" i="4"/>
  <c r="Q1141" i="4" s="1"/>
  <c r="Q1103" i="4"/>
  <c r="Q1092" i="4" s="1"/>
  <c r="Q1093" i="4" s="1"/>
  <c r="Q1111" i="4" s="1"/>
  <c r="Q1259" i="4"/>
  <c r="Q1346" i="4"/>
  <c r="Q18" i="66"/>
  <c r="Q87" i="11"/>
  <c r="Q1233" i="4"/>
  <c r="P1419" i="4" l="1"/>
  <c r="P1227" i="4"/>
  <c r="P1195" i="4"/>
  <c r="P1199" i="4" s="1"/>
  <c r="P1177" i="4" s="1"/>
  <c r="P1250" i="4"/>
  <c r="P74" i="11"/>
  <c r="P78" i="11" s="1"/>
  <c r="P36" i="66"/>
  <c r="P1309" i="4"/>
  <c r="P1261" i="4"/>
  <c r="P1232" i="4"/>
  <c r="P86" i="11"/>
  <c r="P19" i="66"/>
  <c r="P1403" i="4"/>
  <c r="Q1143" i="4"/>
  <c r="Q997" i="4"/>
  <c r="Q1142" i="4"/>
  <c r="Q294" i="4" s="1"/>
  <c r="Q1104" i="4"/>
  <c r="Q49" i="11"/>
  <c r="R468" i="4"/>
  <c r="R457" i="4"/>
  <c r="R479" i="4"/>
  <c r="Q456" i="4"/>
  <c r="Q458" i="4" s="1"/>
  <c r="Q459" i="4" s="1"/>
  <c r="Q467" i="4"/>
  <c r="Q469" i="4" s="1"/>
  <c r="Q470" i="4" s="1"/>
  <c r="Q471" i="4" s="1"/>
  <c r="Q472" i="4" s="1"/>
  <c r="R466" i="4" s="1"/>
  <c r="Q478" i="4"/>
  <c r="Q480" i="4" s="1"/>
  <c r="Q481" i="4" s="1"/>
  <c r="Q482" i="4" s="1"/>
  <c r="Q483" i="4" s="1"/>
  <c r="R477" i="4" s="1"/>
  <c r="P17" i="66" l="1"/>
  <c r="P1344" i="4"/>
  <c r="P1308" i="4"/>
  <c r="P1311" i="4" s="1"/>
  <c r="Q494" i="4"/>
  <c r="Q994" i="4" s="1"/>
  <c r="Q460" i="4"/>
  <c r="Q461" i="4" s="1"/>
  <c r="R455" i="4" s="1"/>
  <c r="Q1120" i="4"/>
  <c r="Q1113" i="4"/>
  <c r="Q1144" i="4" s="1"/>
  <c r="P89" i="11"/>
  <c r="P39" i="66"/>
  <c r="P35" i="66" s="1"/>
  <c r="P1228" i="4"/>
  <c r="P1205" i="4" s="1"/>
  <c r="P1251" i="4"/>
  <c r="Q299" i="4"/>
  <c r="Q302" i="4"/>
  <c r="R495" i="4"/>
  <c r="R995" i="4" s="1"/>
  <c r="Q53" i="11"/>
  <c r="Q52" i="11" s="1"/>
  <c r="P1178" i="4"/>
  <c r="Q331" i="4" l="1"/>
  <c r="Q307" i="4"/>
  <c r="P1207" i="4"/>
  <c r="P1209" i="4" s="1"/>
  <c r="P1313" i="4"/>
  <c r="P1325" i="4"/>
  <c r="P1348" i="4"/>
  <c r="Q1173" i="4"/>
  <c r="P27" i="11"/>
  <c r="P1429" i="4"/>
  <c r="Q73" i="11"/>
  <c r="Q1044" i="4"/>
  <c r="Q1067" i="4" s="1"/>
  <c r="Q1224" i="4"/>
  <c r="Q1248" i="4"/>
  <c r="Q332" i="4" l="1"/>
  <c r="Q14" i="11" s="1"/>
  <c r="P1208" i="4"/>
  <c r="P1326" i="4"/>
  <c r="P1327" i="4" s="1"/>
  <c r="P1432" i="4"/>
  <c r="P1430" i="4"/>
  <c r="P1431" i="4" s="1"/>
  <c r="P1252" i="4"/>
  <c r="P90" i="11"/>
  <c r="P91" i="11" s="1"/>
  <c r="P93" i="11" s="1"/>
  <c r="P96" i="11" s="1"/>
  <c r="P97" i="11" s="1"/>
  <c r="P48" i="62"/>
  <c r="P24" i="62" s="1"/>
  <c r="P26" i="62" s="1"/>
  <c r="P58" i="11"/>
  <c r="P59" i="11" s="1"/>
  <c r="P28" i="11" s="1"/>
  <c r="P25" i="11" s="1"/>
  <c r="P1229" i="4"/>
  <c r="P1230" i="4" s="1"/>
  <c r="P1234" i="4" s="1"/>
  <c r="Q1213" i="4" s="1"/>
  <c r="P22" i="66"/>
  <c r="P1363" i="4"/>
  <c r="Q1157" i="4"/>
  <c r="Q1158" i="4"/>
  <c r="Q1174" i="4" s="1"/>
  <c r="Q1068" i="4"/>
  <c r="Q385" i="4"/>
  <c r="Q395" i="4"/>
  <c r="Q396" i="4" s="1"/>
  <c r="Q397" i="4" s="1"/>
  <c r="Q398" i="4" s="1"/>
  <c r="Q399" i="4" s="1"/>
  <c r="R394" i="4" s="1"/>
  <c r="Q405" i="4"/>
  <c r="Q406" i="4" s="1"/>
  <c r="Q407" i="4" s="1"/>
  <c r="Q408" i="4" s="1"/>
  <c r="Q409" i="4" s="1"/>
  <c r="R404" i="4" s="1"/>
  <c r="P1398" i="4" l="1"/>
  <c r="P1393" i="4" s="1"/>
  <c r="P37" i="11"/>
  <c r="P1397" i="4"/>
  <c r="P1392" i="4" s="1"/>
  <c r="P101" i="67"/>
  <c r="P100" i="67"/>
  <c r="P24" i="66"/>
  <c r="Q95" i="11"/>
  <c r="P21" i="11"/>
  <c r="P17" i="11" s="1"/>
  <c r="P1263" i="4"/>
  <c r="P1264" i="4" s="1"/>
  <c r="P101" i="11"/>
  <c r="P100" i="11"/>
  <c r="P1253" i="4"/>
  <c r="P1254" i="4" s="1"/>
  <c r="P46" i="62"/>
  <c r="P1385" i="4"/>
  <c r="P1384" i="4" s="1"/>
  <c r="P44" i="66"/>
  <c r="P40" i="66" s="1"/>
  <c r="Q489" i="4"/>
  <c r="Q500" i="4"/>
  <c r="Q386" i="4"/>
  <c r="Q387" i="4" s="1"/>
  <c r="Q1051" i="4"/>
  <c r="P1364" i="4"/>
  <c r="P1365" i="4" s="1"/>
  <c r="Q1164" i="4"/>
  <c r="Q1159" i="4"/>
  <c r="P1266" i="4" l="1"/>
  <c r="P99" i="11"/>
  <c r="P46" i="66"/>
  <c r="P20" i="66"/>
  <c r="Q1231" i="4"/>
  <c r="Q85" i="11"/>
  <c r="Q42" i="62"/>
  <c r="Q1167" i="4"/>
  <c r="Q1168" i="4" s="1"/>
  <c r="Q1260" i="4"/>
  <c r="Q388" i="4"/>
  <c r="Q389" i="4" s="1"/>
  <c r="R384" i="4" s="1"/>
  <c r="Q490" i="4"/>
  <c r="Q501" i="4"/>
  <c r="Q502" i="4" s="1"/>
  <c r="P1386" i="4"/>
  <c r="P1383" i="4" s="1"/>
  <c r="P23" i="11"/>
  <c r="R499" i="4" l="1"/>
  <c r="R1023" i="4" s="1"/>
  <c r="Q1024" i="4"/>
  <c r="Q1026" i="4" s="1"/>
  <c r="Q1027" i="4" s="1"/>
  <c r="Q1028" i="4" s="1"/>
  <c r="Q51" i="11"/>
  <c r="Q64" i="62"/>
  <c r="P1439" i="4"/>
  <c r="P1440" i="4" s="1"/>
  <c r="P1396" i="4"/>
  <c r="P1391" i="4" s="1"/>
  <c r="P26" i="66"/>
  <c r="P48" i="66" s="1"/>
  <c r="P39" i="11"/>
  <c r="P40" i="11" s="1"/>
  <c r="Q26" i="11"/>
  <c r="R1163" i="4"/>
  <c r="Q491" i="4"/>
  <c r="Q52" i="62"/>
  <c r="Q43" i="62"/>
  <c r="Q23" i="62" s="1"/>
  <c r="Q16" i="66" s="1"/>
  <c r="Q15" i="11" l="1"/>
  <c r="Q13" i="11" s="1"/>
  <c r="R488" i="4"/>
  <c r="Q14" i="66"/>
  <c r="Q907" i="4"/>
  <c r="Q911" i="4" s="1"/>
  <c r="Q62" i="64"/>
  <c r="Q13" i="66" l="1"/>
  <c r="Q70" i="64"/>
  <c r="Q78" i="64"/>
  <c r="Q1043" i="4"/>
  <c r="Q915" i="4"/>
  <c r="Q1243" i="4"/>
  <c r="Q1217" i="4"/>
  <c r="Q1221" i="4" s="1"/>
  <c r="Q71" i="11"/>
  <c r="Q47" i="11" l="1"/>
  <c r="Q996" i="4"/>
  <c r="Q1000" i="4" s="1"/>
  <c r="Q1004" i="4" s="1"/>
  <c r="Q28" i="66"/>
  <c r="Q27" i="66" s="1"/>
  <c r="Q1005" i="4" l="1"/>
  <c r="Q1012" i="4"/>
  <c r="Q61" i="11"/>
  <c r="Q62" i="11"/>
  <c r="Q48" i="11"/>
  <c r="Q55" i="11" s="1"/>
  <c r="Q64" i="11" l="1"/>
  <c r="Q1395" i="4"/>
  <c r="Q62" i="62"/>
  <c r="Q63" i="11"/>
  <c r="Q1016" i="4"/>
  <c r="Q1013" i="4" s="1"/>
  <c r="Q1014" i="4" s="1"/>
  <c r="R1011" i="4" s="1"/>
  <c r="Q1006" i="4" l="1"/>
  <c r="Q1007" i="4" s="1"/>
  <c r="Q63" i="62" l="1"/>
  <c r="Q67" i="62" s="1"/>
  <c r="Q61" i="64"/>
  <c r="Q1222" i="4"/>
  <c r="Q1223" i="4" s="1"/>
  <c r="Q1046" i="4"/>
  <c r="Q1053" i="4" s="1"/>
  <c r="Q1055" i="4" s="1"/>
  <c r="Q1058" i="4" s="1"/>
  <c r="Q75" i="11"/>
  <c r="Q1246" i="4"/>
  <c r="Q56" i="11"/>
  <c r="Q57" i="11" s="1"/>
  <c r="Q1394" i="4" l="1"/>
  <c r="Q1206" i="4"/>
  <c r="Q1236" i="4"/>
  <c r="Q77" i="64"/>
  <c r="Q82" i="64" s="1"/>
  <c r="Q69" i="64"/>
  <c r="Q74" i="64" s="1"/>
  <c r="Q66" i="64"/>
  <c r="Q40" i="64" s="1"/>
  <c r="Q42" i="64" s="1"/>
  <c r="Q68" i="62"/>
  <c r="Q49" i="64" l="1"/>
  <c r="Q52" i="64"/>
  <c r="Q1116" i="4"/>
  <c r="Q1117" i="4" s="1"/>
  <c r="Q1119" i="4" s="1"/>
  <c r="Q1121" i="4" s="1"/>
  <c r="Q1087" i="4" s="1"/>
  <c r="Q1137" i="4" l="1"/>
  <c r="Q1088" i="4"/>
  <c r="R1085" i="4" l="1"/>
  <c r="R1130" i="4"/>
  <c r="R1148" i="4" s="1"/>
  <c r="Q1225" i="4"/>
  <c r="Q1226" i="4" s="1"/>
  <c r="Q1347" i="4"/>
  <c r="Q1247" i="4"/>
  <c r="Q88" i="11"/>
  <c r="Q38" i="66"/>
  <c r="Q1404" i="4"/>
  <c r="Q1406" i="4" s="1"/>
  <c r="Q1138" i="4"/>
  <c r="Q1412" i="4" l="1"/>
  <c r="Q1428" i="4"/>
  <c r="Q1438" i="4"/>
  <c r="R1135" i="4"/>
  <c r="Q31" i="11"/>
  <c r="Q1194" i="4"/>
  <c r="Q1204" i="4"/>
  <c r="R1086" i="4"/>
  <c r="R1136" i="4" l="1"/>
  <c r="R1129" i="4"/>
  <c r="R1147" i="4" s="1"/>
  <c r="R1149" i="4" s="1"/>
  <c r="R1125" i="4"/>
  <c r="R1101" i="4"/>
  <c r="Q1197" i="4"/>
  <c r="Q1198" i="4" s="1"/>
  <c r="Q1188" i="4" s="1"/>
  <c r="Q1175" i="4"/>
  <c r="Q45" i="62"/>
  <c r="Q30" i="11"/>
  <c r="R1415" i="4"/>
  <c r="Q1413" i="4"/>
  <c r="Q1422" i="4" s="1"/>
  <c r="Q1418" i="4" l="1"/>
  <c r="Q1416" i="4"/>
  <c r="Q1180" i="4"/>
  <c r="Q1184" i="4"/>
  <c r="Q1191" i="4" s="1"/>
  <c r="Q1187" i="4"/>
  <c r="Q1176" i="4" s="1"/>
  <c r="Q1189" i="4"/>
  <c r="R1103" i="4"/>
  <c r="R1092" i="4" s="1"/>
  <c r="R1093" i="4" s="1"/>
  <c r="R1111" i="4" s="1"/>
  <c r="R1102" i="4"/>
  <c r="R1112" i="4"/>
  <c r="R1141" i="4" s="1"/>
  <c r="R1249" i="4"/>
  <c r="R1218" i="4"/>
  <c r="R37" i="66"/>
  <c r="R72" i="11"/>
  <c r="R297" i="4"/>
  <c r="R305" i="4" s="1"/>
  <c r="R330" i="4" s="1"/>
  <c r="R999" i="4"/>
  <c r="R1045" i="4"/>
  <c r="R50" i="11"/>
  <c r="R1233" i="4"/>
  <c r="R87" i="11"/>
  <c r="R18" i="66"/>
  <c r="R1346" i="4"/>
  <c r="R1259" i="4"/>
  <c r="Q1419" i="4" l="1"/>
  <c r="R1104" i="4"/>
  <c r="R1113" i="4" s="1"/>
  <c r="R1144" i="4" s="1"/>
  <c r="S468" i="4"/>
  <c r="S479" i="4"/>
  <c r="S457" i="4"/>
  <c r="R456" i="4"/>
  <c r="R458" i="4" s="1"/>
  <c r="R459" i="4" s="1"/>
  <c r="R467" i="4"/>
  <c r="R469" i="4" s="1"/>
  <c r="R470" i="4" s="1"/>
  <c r="R471" i="4" s="1"/>
  <c r="R472" i="4" s="1"/>
  <c r="S466" i="4" s="1"/>
  <c r="R478" i="4"/>
  <c r="R480" i="4" s="1"/>
  <c r="R481" i="4" s="1"/>
  <c r="R482" i="4" s="1"/>
  <c r="R483" i="4" s="1"/>
  <c r="S477" i="4" s="1"/>
  <c r="Q74" i="11"/>
  <c r="Q78" i="11" s="1"/>
  <c r="Q1250" i="4"/>
  <c r="Q1195" i="4"/>
  <c r="Q1199" i="4" s="1"/>
  <c r="Q1177" i="4" s="1"/>
  <c r="Q1227" i="4"/>
  <c r="Q1309" i="4"/>
  <c r="Q36" i="66"/>
  <c r="Q1232" i="4"/>
  <c r="Q1261" i="4"/>
  <c r="Q86" i="11"/>
  <c r="Q19" i="66"/>
  <c r="Q1403" i="4"/>
  <c r="R49" i="11"/>
  <c r="R1142" i="4"/>
  <c r="R294" i="4" s="1"/>
  <c r="R1143" i="4"/>
  <c r="R997" i="4"/>
  <c r="R1120" i="4" l="1"/>
  <c r="R460" i="4"/>
  <c r="R461" i="4" s="1"/>
  <c r="S455" i="4" s="1"/>
  <c r="R494" i="4"/>
  <c r="R994" i="4" s="1"/>
  <c r="S495" i="4"/>
  <c r="S995" i="4" s="1"/>
  <c r="R73" i="11"/>
  <c r="R1248" i="4"/>
  <c r="R1224" i="4"/>
  <c r="R1044" i="4"/>
  <c r="R1067" i="4" s="1"/>
  <c r="Q17" i="66"/>
  <c r="Q89" i="11"/>
  <c r="Q39" i="66"/>
  <c r="Q35" i="66" s="1"/>
  <c r="Q1228" i="4"/>
  <c r="Q1205" i="4" s="1"/>
  <c r="Q1251" i="4"/>
  <c r="Q1178" i="4"/>
  <c r="R53" i="11"/>
  <c r="R52" i="11" s="1"/>
  <c r="Q1344" i="4"/>
  <c r="Q1308" i="4"/>
  <c r="Q1311" i="4" s="1"/>
  <c r="R299" i="4"/>
  <c r="R302" i="4"/>
  <c r="R331" i="4" l="1"/>
  <c r="R307" i="4"/>
  <c r="R1173" i="4"/>
  <c r="Q27" i="11"/>
  <c r="Q1429" i="4"/>
  <c r="Q1313" i="4"/>
  <c r="Q1325" i="4"/>
  <c r="Q1207" i="4"/>
  <c r="Q1209" i="4" s="1"/>
  <c r="Q1348" i="4"/>
  <c r="R1157" i="4"/>
  <c r="R1158" i="4"/>
  <c r="R1174" i="4" s="1"/>
  <c r="R1068" i="4"/>
  <c r="R332" i="4" l="1"/>
  <c r="R14" i="11" s="1"/>
  <c r="Q1363" i="4"/>
  <c r="Q1208" i="4"/>
  <c r="Q48" i="62"/>
  <c r="Q24" i="62" s="1"/>
  <c r="Q26" i="62" s="1"/>
  <c r="Q58" i="11"/>
  <c r="Q59" i="11" s="1"/>
  <c r="Q28" i="11" s="1"/>
  <c r="Q1229" i="4"/>
  <c r="Q1230" i="4" s="1"/>
  <c r="Q1234" i="4" s="1"/>
  <c r="R1213" i="4" s="1"/>
  <c r="Q1252" i="4"/>
  <c r="Q90" i="11"/>
  <c r="Q91" i="11" s="1"/>
  <c r="Q93" i="11" s="1"/>
  <c r="Q96" i="11" s="1"/>
  <c r="Q97" i="11" s="1"/>
  <c r="Q22" i="66"/>
  <c r="Q1326" i="4"/>
  <c r="Q1327" i="4" s="1"/>
  <c r="R405" i="4"/>
  <c r="R406" i="4" s="1"/>
  <c r="R407" i="4" s="1"/>
  <c r="R408" i="4" s="1"/>
  <c r="R409" i="4" s="1"/>
  <c r="S404" i="4" s="1"/>
  <c r="R385" i="4"/>
  <c r="R395" i="4"/>
  <c r="R396" i="4" s="1"/>
  <c r="R397" i="4" s="1"/>
  <c r="R398" i="4" s="1"/>
  <c r="R399" i="4" s="1"/>
  <c r="S394" i="4" s="1"/>
  <c r="R1159" i="4"/>
  <c r="R1164" i="4"/>
  <c r="Q1430" i="4"/>
  <c r="Q1431" i="4" s="1"/>
  <c r="Q1432" i="4"/>
  <c r="R1051" i="4" l="1"/>
  <c r="R1260" i="4"/>
  <c r="R1167" i="4"/>
  <c r="R1168" i="4" s="1"/>
  <c r="R85" i="11"/>
  <c r="R42" i="62"/>
  <c r="R1231" i="4"/>
  <c r="Q25" i="11"/>
  <c r="R500" i="4"/>
  <c r="R489" i="4"/>
  <c r="R386" i="4"/>
  <c r="R387" i="4" s="1"/>
  <c r="Q44" i="66"/>
  <c r="Q40" i="66" s="1"/>
  <c r="Q1263" i="4"/>
  <c r="Q1264" i="4" s="1"/>
  <c r="Q101" i="11"/>
  <c r="Q1253" i="4"/>
  <c r="Q1254" i="4" s="1"/>
  <c r="Q100" i="11"/>
  <c r="Q101" i="67"/>
  <c r="Q46" i="62"/>
  <c r="Q100" i="67"/>
  <c r="R95" i="11"/>
  <c r="Q24" i="66"/>
  <c r="Q1385" i="4"/>
  <c r="Q1384" i="4" s="1"/>
  <c r="Q21" i="11"/>
  <c r="Q17" i="11" s="1"/>
  <c r="Q1364" i="4"/>
  <c r="Q1365" i="4" s="1"/>
  <c r="Q46" i="66" l="1"/>
  <c r="R52" i="62"/>
  <c r="R43" i="62"/>
  <c r="R23" i="62" s="1"/>
  <c r="R16" i="66" s="1"/>
  <c r="R388" i="4"/>
  <c r="R389" i="4" s="1"/>
  <c r="S384" i="4" s="1"/>
  <c r="R490" i="4"/>
  <c r="R501" i="4"/>
  <c r="R502" i="4" s="1"/>
  <c r="S1163" i="4"/>
  <c r="R26" i="11"/>
  <c r="Q20" i="66"/>
  <c r="Q99" i="11"/>
  <c r="Q37" i="11"/>
  <c r="Q1397" i="4"/>
  <c r="Q1392" i="4" s="1"/>
  <c r="Q1398" i="4"/>
  <c r="Q1393" i="4" s="1"/>
  <c r="Q1386" i="4"/>
  <c r="Q1383" i="4" s="1"/>
  <c r="Q23" i="11"/>
  <c r="Q1266" i="4"/>
  <c r="Q39" i="11" l="1"/>
  <c r="Q40" i="11" s="1"/>
  <c r="R51" i="11"/>
  <c r="R64" i="62"/>
  <c r="Q1439" i="4"/>
  <c r="Q1440" i="4" s="1"/>
  <c r="Q1396" i="4"/>
  <c r="Q1391" i="4" s="1"/>
  <c r="Q26" i="66"/>
  <c r="Q48" i="66" s="1"/>
  <c r="R14" i="66"/>
  <c r="S499" i="4"/>
  <c r="S1023" i="4" s="1"/>
  <c r="R1024" i="4"/>
  <c r="R1026" i="4" s="1"/>
  <c r="R1027" i="4" s="1"/>
  <c r="R1028" i="4" s="1"/>
  <c r="R491" i="4"/>
  <c r="R907" i="4" l="1"/>
  <c r="R911" i="4" s="1"/>
  <c r="R62" i="64"/>
  <c r="R13" i="66"/>
  <c r="R15" i="11"/>
  <c r="R13" i="11" s="1"/>
  <c r="S488" i="4"/>
  <c r="R28" i="66" l="1"/>
  <c r="R27" i="66" s="1"/>
  <c r="R70" i="64"/>
  <c r="R78" i="64"/>
  <c r="R1043" i="4"/>
  <c r="R71" i="11"/>
  <c r="R1243" i="4"/>
  <c r="R1217" i="4"/>
  <c r="R1221" i="4" s="1"/>
  <c r="R915" i="4"/>
  <c r="R996" i="4" l="1"/>
  <c r="R1000" i="4" s="1"/>
  <c r="R1004" i="4" s="1"/>
  <c r="R47" i="11"/>
  <c r="R61" i="11" l="1"/>
  <c r="R62" i="11"/>
  <c r="R48" i="11"/>
  <c r="R55" i="11" s="1"/>
  <c r="R1012" i="4"/>
  <c r="R1005" i="4"/>
  <c r="R1016" i="4" s="1"/>
  <c r="R1013" i="4" s="1"/>
  <c r="R1006" i="4" s="1"/>
  <c r="R1007" i="4" s="1"/>
  <c r="R1222" i="4" l="1"/>
  <c r="R1223" i="4" s="1"/>
  <c r="R61" i="64"/>
  <c r="R1246" i="4"/>
  <c r="R75" i="11"/>
  <c r="R1046" i="4"/>
  <c r="R1053" i="4" s="1"/>
  <c r="R1055" i="4" s="1"/>
  <c r="R1058" i="4" s="1"/>
  <c r="R56" i="11"/>
  <c r="R57" i="11" s="1"/>
  <c r="R1014" i="4"/>
  <c r="S1011" i="4" s="1"/>
  <c r="R64" i="11"/>
  <c r="R1395" i="4"/>
  <c r="R62" i="62"/>
  <c r="R63" i="62" s="1"/>
  <c r="R67" i="62" s="1"/>
  <c r="R63" i="11"/>
  <c r="R68" i="62" l="1"/>
  <c r="R1394" i="4"/>
  <c r="R1206" i="4"/>
  <c r="R77" i="64"/>
  <c r="R82" i="64" s="1"/>
  <c r="R66" i="64"/>
  <c r="R40" i="64" s="1"/>
  <c r="R42" i="64" s="1"/>
  <c r="R69" i="64"/>
  <c r="R74" i="64" s="1"/>
  <c r="R1236" i="4"/>
  <c r="R1116" i="4" l="1"/>
  <c r="R1117" i="4" s="1"/>
  <c r="R1119" i="4" s="1"/>
  <c r="R1121" i="4" s="1"/>
  <c r="R1087" i="4" s="1"/>
  <c r="R52" i="64"/>
  <c r="R49" i="64"/>
  <c r="R1137" i="4" l="1"/>
  <c r="R1088" i="4"/>
  <c r="S1085" i="4" l="1"/>
  <c r="S1130" i="4"/>
  <c r="S1148" i="4" s="1"/>
  <c r="R1347" i="4"/>
  <c r="R38" i="66"/>
  <c r="R1225" i="4"/>
  <c r="R1226" i="4" s="1"/>
  <c r="R88" i="11"/>
  <c r="R1247" i="4"/>
  <c r="R1138" i="4"/>
  <c r="R1404" i="4"/>
  <c r="R1406" i="4" s="1"/>
  <c r="R1204" i="4" l="1"/>
  <c r="R1194" i="4"/>
  <c r="R1412" i="4"/>
  <c r="R1438" i="4"/>
  <c r="S1135" i="4"/>
  <c r="R1428" i="4"/>
  <c r="R31" i="11"/>
  <c r="S1086" i="4"/>
  <c r="R45" i="62" l="1"/>
  <c r="R30" i="11"/>
  <c r="S1415" i="4"/>
  <c r="R1413" i="4"/>
  <c r="R1422" i="4" s="1"/>
  <c r="S1136" i="4"/>
  <c r="S1129" i="4"/>
  <c r="S1147" i="4" s="1"/>
  <c r="S1149" i="4" s="1"/>
  <c r="S1125" i="4"/>
  <c r="S1101" i="4"/>
  <c r="R1175" i="4"/>
  <c r="R1197" i="4"/>
  <c r="R1198" i="4" s="1"/>
  <c r="R1188" i="4" s="1"/>
  <c r="R1189" i="4" l="1"/>
  <c r="R1187" i="4"/>
  <c r="R1176" i="4" s="1"/>
  <c r="R1418" i="4"/>
  <c r="R1416" i="4"/>
  <c r="R1184" i="4"/>
  <c r="R1191" i="4" s="1"/>
  <c r="R1180" i="4"/>
  <c r="S1103" i="4"/>
  <c r="S1092" i="4" s="1"/>
  <c r="S1093" i="4" s="1"/>
  <c r="S1111" i="4" s="1"/>
  <c r="S1102" i="4"/>
  <c r="S1112" i="4"/>
  <c r="S1141" i="4" s="1"/>
  <c r="S1045" i="4"/>
  <c r="S37" i="66"/>
  <c r="S72" i="11"/>
  <c r="S1249" i="4"/>
  <c r="S999" i="4"/>
  <c r="S297" i="4"/>
  <c r="S305" i="4" s="1"/>
  <c r="S330" i="4" s="1"/>
  <c r="S50" i="11"/>
  <c r="S1218" i="4"/>
  <c r="M72" i="67"/>
  <c r="S18" i="66"/>
  <c r="S87" i="11"/>
  <c r="S1346" i="4"/>
  <c r="S1259" i="4"/>
  <c r="S1233" i="4"/>
  <c r="M87" i="67"/>
  <c r="R1419" i="4" l="1"/>
  <c r="R1261" i="4"/>
  <c r="R19" i="66"/>
  <c r="R86" i="11"/>
  <c r="R1232" i="4"/>
  <c r="R1403" i="4"/>
  <c r="S49" i="11"/>
  <c r="M50" i="67"/>
  <c r="M49" i="67" s="1"/>
  <c r="S1143" i="4"/>
  <c r="S997" i="4"/>
  <c r="S1142" i="4"/>
  <c r="S294" i="4" s="1"/>
  <c r="T479" i="4"/>
  <c r="T457" i="4"/>
  <c r="T468" i="4"/>
  <c r="S456" i="4"/>
  <c r="S458" i="4" s="1"/>
  <c r="S459" i="4" s="1"/>
  <c r="S467" i="4"/>
  <c r="S469" i="4" s="1"/>
  <c r="S470" i="4" s="1"/>
  <c r="S471" i="4" s="1"/>
  <c r="S472" i="4" s="1"/>
  <c r="T466" i="4" s="1"/>
  <c r="S478" i="4"/>
  <c r="S480" i="4" s="1"/>
  <c r="S481" i="4" s="1"/>
  <c r="S482" i="4" s="1"/>
  <c r="S483" i="4" s="1"/>
  <c r="T477" i="4" s="1"/>
  <c r="S1104" i="4"/>
  <c r="R1195" i="4"/>
  <c r="R1199" i="4" s="1"/>
  <c r="R1177" i="4" s="1"/>
  <c r="R74" i="11"/>
  <c r="R78" i="11" s="1"/>
  <c r="R1250" i="4"/>
  <c r="R1227" i="4"/>
  <c r="R36" i="66"/>
  <c r="R1309" i="4"/>
  <c r="S1120" i="4" l="1"/>
  <c r="S1113" i="4"/>
  <c r="S1144" i="4" s="1"/>
  <c r="S299" i="4"/>
  <c r="S302" i="4"/>
  <c r="R89" i="11"/>
  <c r="R1228" i="4"/>
  <c r="R1205" i="4" s="1"/>
  <c r="R1251" i="4"/>
  <c r="R39" i="66"/>
  <c r="R35" i="66" s="1"/>
  <c r="R1178" i="4"/>
  <c r="S460" i="4"/>
  <c r="S461" i="4" s="1"/>
  <c r="T455" i="4" s="1"/>
  <c r="S494" i="4"/>
  <c r="S994" i="4" s="1"/>
  <c r="S53" i="11"/>
  <c r="S52" i="11" s="1"/>
  <c r="M53" i="67"/>
  <c r="M52" i="67" s="1"/>
  <c r="R17" i="66"/>
  <c r="R1344" i="4"/>
  <c r="R1308" i="4"/>
  <c r="R1311" i="4" s="1"/>
  <c r="T495" i="4"/>
  <c r="T995" i="4" s="1"/>
  <c r="R1207" i="4" l="1"/>
  <c r="R1209" i="4" s="1"/>
  <c r="R1313" i="4"/>
  <c r="R1325" i="4"/>
  <c r="S331" i="4"/>
  <c r="S307" i="4"/>
  <c r="R1348" i="4"/>
  <c r="R27" i="11"/>
  <c r="S1173" i="4"/>
  <c r="R1429" i="4"/>
  <c r="S1224" i="4"/>
  <c r="S1248" i="4"/>
  <c r="S73" i="11"/>
  <c r="S1044" i="4"/>
  <c r="S1067" i="4" s="1"/>
  <c r="M23" i="13"/>
  <c r="M73" i="67"/>
  <c r="S332" i="4" l="1"/>
  <c r="S14" i="11" s="1"/>
  <c r="R1363" i="4"/>
  <c r="S385" i="4"/>
  <c r="S395" i="4"/>
  <c r="S396" i="4" s="1"/>
  <c r="S397" i="4" s="1"/>
  <c r="S398" i="4" s="1"/>
  <c r="S399" i="4" s="1"/>
  <c r="T394" i="4" s="1"/>
  <c r="S405" i="4"/>
  <c r="S406" i="4" s="1"/>
  <c r="S407" i="4" s="1"/>
  <c r="S408" i="4" s="1"/>
  <c r="S409" i="4" s="1"/>
  <c r="T404" i="4" s="1"/>
  <c r="R1432" i="4"/>
  <c r="R1430" i="4"/>
  <c r="R1431" i="4" s="1"/>
  <c r="R1326" i="4"/>
  <c r="R1327" i="4" s="1"/>
  <c r="S1158" i="4"/>
  <c r="S1174" i="4" s="1"/>
  <c r="S1157" i="4"/>
  <c r="S1068" i="4"/>
  <c r="R1208" i="4"/>
  <c r="R90" i="11"/>
  <c r="R91" i="11" s="1"/>
  <c r="R93" i="11" s="1"/>
  <c r="R96" i="11" s="1"/>
  <c r="R97" i="11" s="1"/>
  <c r="R1252" i="4"/>
  <c r="R58" i="11"/>
  <c r="R59" i="11" s="1"/>
  <c r="R28" i="11" s="1"/>
  <c r="R25" i="11" s="1"/>
  <c r="R1229" i="4"/>
  <c r="R1230" i="4" s="1"/>
  <c r="R1234" i="4" s="1"/>
  <c r="S1213" i="4" s="1"/>
  <c r="R48" i="62"/>
  <c r="R24" i="62" s="1"/>
  <c r="R26" i="62" s="1"/>
  <c r="R22" i="66"/>
  <c r="M14" i="67" l="1"/>
  <c r="R1397" i="4"/>
  <c r="R1392" i="4" s="1"/>
  <c r="R37" i="11"/>
  <c r="R1398" i="4"/>
  <c r="R1393" i="4" s="1"/>
  <c r="S1051" i="4"/>
  <c r="S1159" i="4"/>
  <c r="S1164" i="4"/>
  <c r="S489" i="4"/>
  <c r="S500" i="4"/>
  <c r="S386" i="4"/>
  <c r="S387" i="4" s="1"/>
  <c r="R21" i="11"/>
  <c r="R17" i="11" s="1"/>
  <c r="R46" i="62"/>
  <c r="R24" i="66"/>
  <c r="R20" i="66" s="1"/>
  <c r="R44" i="66"/>
  <c r="R40" i="66" s="1"/>
  <c r="R1263" i="4"/>
  <c r="R1264" i="4" s="1"/>
  <c r="R101" i="11"/>
  <c r="R101" i="67"/>
  <c r="R1253" i="4"/>
  <c r="R1254" i="4" s="1"/>
  <c r="S95" i="11"/>
  <c r="R100" i="67"/>
  <c r="R1385" i="4"/>
  <c r="R1384" i="4" s="1"/>
  <c r="R100" i="11"/>
  <c r="R1364" i="4"/>
  <c r="R1365" i="4" s="1"/>
  <c r="R99" i="11" l="1"/>
  <c r="R1266" i="4"/>
  <c r="S1231" i="4"/>
  <c r="S1167" i="4"/>
  <c r="S1168" i="4" s="1"/>
  <c r="S85" i="11"/>
  <c r="S42" i="62"/>
  <c r="S1260" i="4"/>
  <c r="M85" i="67"/>
  <c r="R1386" i="4"/>
  <c r="R1383" i="4" s="1"/>
  <c r="R23" i="11"/>
  <c r="R39" i="11" s="1"/>
  <c r="R40" i="11" s="1"/>
  <c r="R26" i="66"/>
  <c r="S388" i="4"/>
  <c r="S389" i="4" s="1"/>
  <c r="T384" i="4" s="1"/>
  <c r="S501" i="4"/>
  <c r="S502" i="4" s="1"/>
  <c r="S490" i="4"/>
  <c r="R46" i="66"/>
  <c r="R48" i="66" l="1"/>
  <c r="S1024" i="4"/>
  <c r="S1026" i="4" s="1"/>
  <c r="S1027" i="4" s="1"/>
  <c r="S1028" i="4" s="1"/>
  <c r="T499" i="4"/>
  <c r="T1023" i="4" s="1"/>
  <c r="S51" i="11"/>
  <c r="S64" i="62"/>
  <c r="M51" i="67"/>
  <c r="S491" i="4"/>
  <c r="S52" i="62"/>
  <c r="S43" i="62"/>
  <c r="S23" i="62" s="1"/>
  <c r="S16" i="66" s="1"/>
  <c r="T1163" i="4"/>
  <c r="M26" i="67"/>
  <c r="S26" i="11"/>
  <c r="R1439" i="4"/>
  <c r="R1440" i="4" s="1"/>
  <c r="R1396" i="4"/>
  <c r="R1391" i="4" s="1"/>
  <c r="I140" i="15" l="1"/>
  <c r="S14" i="66"/>
  <c r="T488" i="4"/>
  <c r="M15" i="67"/>
  <c r="M13" i="67" s="1"/>
  <c r="S15" i="11"/>
  <c r="S13" i="11" s="1"/>
  <c r="S62" i="64"/>
  <c r="S907" i="4"/>
  <c r="S911" i="4" s="1"/>
  <c r="S70" i="64" l="1"/>
  <c r="S78" i="64"/>
  <c r="S13" i="66"/>
  <c r="I138" i="15"/>
  <c r="S1043" i="4"/>
  <c r="S915" i="4"/>
  <c r="S1217" i="4"/>
  <c r="S1221" i="4" s="1"/>
  <c r="S1243" i="4"/>
  <c r="S71" i="11"/>
  <c r="M71" i="67"/>
  <c r="M40" i="13"/>
  <c r="S996" i="4" l="1"/>
  <c r="S1000" i="4" s="1"/>
  <c r="S1004" i="4" s="1"/>
  <c r="S47" i="11"/>
  <c r="M47" i="67"/>
  <c r="M20" i="72"/>
  <c r="M18" i="72"/>
  <c r="I137" i="15"/>
  <c r="S28" i="66"/>
  <c r="S27" i="66" s="1"/>
  <c r="M62" i="67" l="1"/>
  <c r="M64" i="67" s="1"/>
  <c r="M61" i="67"/>
  <c r="M63" i="67" s="1"/>
  <c r="M48" i="67"/>
  <c r="M55" i="67" s="1"/>
  <c r="S48" i="11"/>
  <c r="S55" i="11" s="1"/>
  <c r="S61" i="11"/>
  <c r="S62" i="11"/>
  <c r="S1012" i="4"/>
  <c r="S1005" i="4"/>
  <c r="S1016" i="4" l="1"/>
  <c r="S1013" i="4" s="1"/>
  <c r="S1006" i="4" s="1"/>
  <c r="S1007" i="4" s="1"/>
  <c r="S1395" i="4"/>
  <c r="S62" i="62"/>
  <c r="S64" i="11"/>
  <c r="S63" i="11"/>
  <c r="M1449" i="4"/>
  <c r="S61" i="64" l="1"/>
  <c r="S1046" i="4"/>
  <c r="S1053" i="4" s="1"/>
  <c r="S1055" i="4" s="1"/>
  <c r="S1058" i="4" s="1"/>
  <c r="S56" i="11"/>
  <c r="S57" i="11" s="1"/>
  <c r="S1222" i="4"/>
  <c r="S1223" i="4" s="1"/>
  <c r="S1246" i="4"/>
  <c r="S75" i="11"/>
  <c r="M56" i="67"/>
  <c r="M57" i="67" s="1"/>
  <c r="M41" i="13"/>
  <c r="M43" i="13" s="1"/>
  <c r="M75" i="67"/>
  <c r="M1457" i="4"/>
  <c r="M1452" i="4"/>
  <c r="S63" i="62"/>
  <c r="S67" i="62" s="1"/>
  <c r="S1014" i="4"/>
  <c r="T1011" i="4" s="1"/>
  <c r="S68" i="62" l="1"/>
  <c r="S1236" i="4"/>
  <c r="S1394" i="4"/>
  <c r="S1206" i="4"/>
  <c r="S69" i="64"/>
  <c r="S74" i="64" s="1"/>
  <c r="S77" i="64"/>
  <c r="S82" i="64" s="1"/>
  <c r="S66" i="64"/>
  <c r="S40" i="64" s="1"/>
  <c r="S42" i="64" s="1"/>
  <c r="S1116" i="4" l="1"/>
  <c r="S1117" i="4" s="1"/>
  <c r="S1119" i="4" s="1"/>
  <c r="S1121" i="4" s="1"/>
  <c r="S1087" i="4" s="1"/>
  <c r="S49" i="64"/>
  <c r="S52" i="64"/>
  <c r="S1137" i="4" l="1"/>
  <c r="S1088" i="4"/>
  <c r="T1085" i="4" l="1"/>
  <c r="T1130" i="4"/>
  <c r="T1148" i="4" s="1"/>
  <c r="S1225" i="4"/>
  <c r="S1226" i="4" s="1"/>
  <c r="S1247" i="4"/>
  <c r="S1347" i="4"/>
  <c r="S1404" i="4"/>
  <c r="S1406" i="4" s="1"/>
  <c r="S38" i="66"/>
  <c r="S88" i="11"/>
  <c r="M88" i="67"/>
  <c r="M24" i="13"/>
  <c r="S1138" i="4"/>
  <c r="S31" i="11" l="1"/>
  <c r="S1412" i="4"/>
  <c r="T1135" i="4"/>
  <c r="S1438" i="4"/>
  <c r="S1428" i="4"/>
  <c r="M1448" i="4"/>
  <c r="M31" i="67"/>
  <c r="M30" i="67" s="1"/>
  <c r="S1204" i="4"/>
  <c r="S1194" i="4"/>
  <c r="T1086" i="4"/>
  <c r="T1415" i="4" l="1"/>
  <c r="T1129" i="4"/>
  <c r="T1147" i="4" s="1"/>
  <c r="T1149" i="4" s="1"/>
  <c r="T1136" i="4"/>
  <c r="T1125" i="4"/>
  <c r="T1101" i="4"/>
  <c r="S1413" i="4"/>
  <c r="S1422" i="4" s="1"/>
  <c r="S1197" i="4"/>
  <c r="S1198" i="4" s="1"/>
  <c r="S1188" i="4" s="1"/>
  <c r="S1175" i="4"/>
  <c r="S30" i="11"/>
  <c r="S45" i="62"/>
  <c r="S1180" i="4" l="1"/>
  <c r="S1184" i="4"/>
  <c r="S1191" i="4" s="1"/>
  <c r="T1259" i="4"/>
  <c r="T87" i="11"/>
  <c r="T1346" i="4"/>
  <c r="T1233" i="4"/>
  <c r="T18" i="66"/>
  <c r="S1189" i="4"/>
  <c r="S1187" i="4"/>
  <c r="S1176" i="4" s="1"/>
  <c r="T999" i="4"/>
  <c r="T1249" i="4"/>
  <c r="T297" i="4"/>
  <c r="T305" i="4" s="1"/>
  <c r="T330" i="4" s="1"/>
  <c r="T1045" i="4"/>
  <c r="T1218" i="4"/>
  <c r="T50" i="11"/>
  <c r="T37" i="66"/>
  <c r="T72" i="11"/>
  <c r="S1418" i="4"/>
  <c r="S1416" i="4"/>
  <c r="T1103" i="4"/>
  <c r="T1092" i="4" s="1"/>
  <c r="T1093" i="4" s="1"/>
  <c r="T1111" i="4" s="1"/>
  <c r="T1102" i="4"/>
  <c r="T1112" i="4"/>
  <c r="T1141" i="4" s="1"/>
  <c r="T1104" i="4" l="1"/>
  <c r="T1113" i="4" s="1"/>
  <c r="T1144" i="4" s="1"/>
  <c r="S1419" i="4"/>
  <c r="U468" i="4"/>
  <c r="U457" i="4"/>
  <c r="U479" i="4"/>
  <c r="T456" i="4"/>
  <c r="T458" i="4" s="1"/>
  <c r="T459" i="4" s="1"/>
  <c r="T478" i="4"/>
  <c r="T480" i="4" s="1"/>
  <c r="T481" i="4" s="1"/>
  <c r="T482" i="4" s="1"/>
  <c r="T483" i="4" s="1"/>
  <c r="U477" i="4" s="1"/>
  <c r="T467" i="4"/>
  <c r="T469" i="4" s="1"/>
  <c r="T470" i="4" s="1"/>
  <c r="T471" i="4" s="1"/>
  <c r="T472" i="4" s="1"/>
  <c r="U466" i="4" s="1"/>
  <c r="T1142" i="4"/>
  <c r="T294" i="4" s="1"/>
  <c r="T1143" i="4"/>
  <c r="T997" i="4"/>
  <c r="S1195" i="4"/>
  <c r="S1199" i="4" s="1"/>
  <c r="S1177" i="4" s="1"/>
  <c r="S74" i="11"/>
  <c r="S78" i="11" s="1"/>
  <c r="S1250" i="4"/>
  <c r="S1227" i="4"/>
  <c r="M74" i="67"/>
  <c r="M78" i="67" s="1"/>
  <c r="S36" i="66"/>
  <c r="I162" i="15" s="1"/>
  <c r="S1309" i="4"/>
  <c r="S1261" i="4"/>
  <c r="S86" i="11"/>
  <c r="S19" i="66"/>
  <c r="S1232" i="4"/>
  <c r="M86" i="67"/>
  <c r="S1403" i="4"/>
  <c r="T49" i="11"/>
  <c r="T1120" i="4" l="1"/>
  <c r="T460" i="4"/>
  <c r="T461" i="4" s="1"/>
  <c r="U455" i="4" s="1"/>
  <c r="T494" i="4"/>
  <c r="T994" i="4" s="1"/>
  <c r="S17" i="66"/>
  <c r="I144" i="15"/>
  <c r="S1344" i="4"/>
  <c r="S1308" i="4"/>
  <c r="S1311" i="4" s="1"/>
  <c r="S89" i="11"/>
  <c r="S1228" i="4"/>
  <c r="S1205" i="4" s="1"/>
  <c r="S1251" i="4"/>
  <c r="S39" i="66"/>
  <c r="S35" i="66" s="1"/>
  <c r="M89" i="67"/>
  <c r="S1178" i="4"/>
  <c r="T1248" i="4"/>
  <c r="T1044" i="4"/>
  <c r="T1067" i="4" s="1"/>
  <c r="T1224" i="4"/>
  <c r="T73" i="11"/>
  <c r="T53" i="11"/>
  <c r="T52" i="11" s="1"/>
  <c r="T299" i="4"/>
  <c r="T302" i="4"/>
  <c r="U495" i="4"/>
  <c r="U995" i="4" s="1"/>
  <c r="S1207" i="4" l="1"/>
  <c r="S1209" i="4" s="1"/>
  <c r="T1158" i="4"/>
  <c r="T1174" i="4" s="1"/>
  <c r="T1068" i="4"/>
  <c r="T1157" i="4"/>
  <c r="S1313" i="4"/>
  <c r="M14" i="72"/>
  <c r="S1325" i="4"/>
  <c r="S1348" i="4"/>
  <c r="M13" i="13"/>
  <c r="S27" i="11"/>
  <c r="T1173" i="4"/>
  <c r="M27" i="67"/>
  <c r="S1429" i="4"/>
  <c r="I142" i="15"/>
  <c r="M19" i="72"/>
  <c r="I161" i="15"/>
  <c r="T331" i="4"/>
  <c r="T307" i="4"/>
  <c r="S1326" i="4" l="1"/>
  <c r="S1327" i="4" s="1"/>
  <c r="S1432" i="4"/>
  <c r="S1430" i="4"/>
  <c r="S1431" i="4" s="1"/>
  <c r="T332" i="4"/>
  <c r="T14" i="11" s="1"/>
  <c r="T1164" i="4"/>
  <c r="T1159" i="4"/>
  <c r="T395" i="4"/>
  <c r="T396" i="4" s="1"/>
  <c r="T397" i="4" s="1"/>
  <c r="T398" i="4" s="1"/>
  <c r="T399" i="4" s="1"/>
  <c r="U394" i="4" s="1"/>
  <c r="T405" i="4"/>
  <c r="T406" i="4" s="1"/>
  <c r="T407" i="4" s="1"/>
  <c r="T408" i="4" s="1"/>
  <c r="T409" i="4" s="1"/>
  <c r="U404" i="4" s="1"/>
  <c r="T385" i="4"/>
  <c r="S1208" i="4"/>
  <c r="M15" i="72"/>
  <c r="S1363" i="4"/>
  <c r="S90" i="11"/>
  <c r="S91" i="11" s="1"/>
  <c r="S93" i="11" s="1"/>
  <c r="S96" i="11" s="1"/>
  <c r="S97" i="11" s="1"/>
  <c r="S1229" i="4"/>
  <c r="S1230" i="4" s="1"/>
  <c r="S1234" i="4" s="1"/>
  <c r="T1213" i="4" s="1"/>
  <c r="S58" i="11"/>
  <c r="S59" i="11" s="1"/>
  <c r="S28" i="11" s="1"/>
  <c r="S25" i="11" s="1"/>
  <c r="S1252" i="4"/>
  <c r="S48" i="62"/>
  <c r="S24" i="62" s="1"/>
  <c r="S26" i="62" s="1"/>
  <c r="M58" i="67"/>
  <c r="M59" i="67" s="1"/>
  <c r="M90" i="67"/>
  <c r="M91" i="67" s="1"/>
  <c r="M93" i="67" s="1"/>
  <c r="M96" i="67" s="1"/>
  <c r="M97" i="67" s="1"/>
  <c r="S22" i="66"/>
  <c r="S37" i="11" l="1"/>
  <c r="S1397" i="4"/>
  <c r="S1392" i="4" s="1"/>
  <c r="S1398" i="4"/>
  <c r="S1393" i="4" s="1"/>
  <c r="I148" i="15"/>
  <c r="S1364" i="4"/>
  <c r="S1365" i="4" s="1"/>
  <c r="T1231" i="4"/>
  <c r="T85" i="11"/>
  <c r="T42" i="62"/>
  <c r="T1260" i="4"/>
  <c r="T1167" i="4"/>
  <c r="T1168" i="4" s="1"/>
  <c r="N95" i="67"/>
  <c r="M28" i="67"/>
  <c r="M25" i="67" s="1"/>
  <c r="M37" i="67" s="1"/>
  <c r="T500" i="4"/>
  <c r="T489" i="4"/>
  <c r="T386" i="4"/>
  <c r="T387" i="4" s="1"/>
  <c r="T1051" i="4"/>
  <c r="M1450" i="4"/>
  <c r="S1263" i="4"/>
  <c r="S1264" i="4" s="1"/>
  <c r="S24" i="66"/>
  <c r="S20" i="66" s="1"/>
  <c r="S1385" i="4"/>
  <c r="S1384" i="4" s="1"/>
  <c r="S44" i="66"/>
  <c r="S40" i="66" s="1"/>
  <c r="M21" i="67"/>
  <c r="M17" i="67" s="1"/>
  <c r="M23" i="67" s="1"/>
  <c r="S46" i="62"/>
  <c r="S101" i="67"/>
  <c r="S100" i="67"/>
  <c r="S21" i="11"/>
  <c r="S17" i="11" s="1"/>
  <c r="T95" i="11"/>
  <c r="S100" i="11"/>
  <c r="S1253" i="4"/>
  <c r="S1254" i="4" s="1"/>
  <c r="S101" i="11"/>
  <c r="I146" i="15" l="1"/>
  <c r="I152" i="15" s="1"/>
  <c r="S26" i="66"/>
  <c r="M99" i="67"/>
  <c r="S1386" i="4"/>
  <c r="S1383" i="4" s="1"/>
  <c r="S23" i="11"/>
  <c r="S39" i="11" s="1"/>
  <c r="S40" i="11" s="1"/>
  <c r="S99" i="11"/>
  <c r="T490" i="4"/>
  <c r="T388" i="4"/>
  <c r="T389" i="4" s="1"/>
  <c r="U384" i="4" s="1"/>
  <c r="T501" i="4"/>
  <c r="T502" i="4" s="1"/>
  <c r="U1163" i="4"/>
  <c r="T26" i="11"/>
  <c r="I167" i="15"/>
  <c r="I173" i="15" s="1"/>
  <c r="S46" i="66"/>
  <c r="S1266" i="4"/>
  <c r="I150" i="15"/>
  <c r="I171" i="15"/>
  <c r="T52" i="62"/>
  <c r="T43" i="62"/>
  <c r="T23" i="62" s="1"/>
  <c r="T16" i="66" s="1"/>
  <c r="M39" i="67"/>
  <c r="M40" i="67" s="1"/>
  <c r="T64" i="62" l="1"/>
  <c r="T51" i="11"/>
  <c r="S1439" i="4"/>
  <c r="S1440" i="4" s="1"/>
  <c r="S1396" i="4"/>
  <c r="S1391" i="4" s="1"/>
  <c r="T14" i="66"/>
  <c r="T491" i="4"/>
  <c r="U499" i="4"/>
  <c r="T1024" i="4"/>
  <c r="T1026" i="4" s="1"/>
  <c r="T1027" i="4" s="1"/>
  <c r="T1028" i="4" s="1"/>
  <c r="S48" i="66"/>
  <c r="T62" i="64" l="1"/>
  <c r="T907" i="4"/>
  <c r="T911" i="4" s="1"/>
  <c r="U1023" i="4"/>
  <c r="U488" i="4"/>
  <c r="T15" i="11"/>
  <c r="T13" i="11" s="1"/>
  <c r="T13" i="66"/>
  <c r="T28" i="66" l="1"/>
  <c r="T27" i="66" s="1"/>
  <c r="T1043" i="4"/>
  <c r="T71" i="11"/>
  <c r="T915" i="4"/>
  <c r="T1217" i="4"/>
  <c r="T1221" i="4" s="1"/>
  <c r="T1243" i="4"/>
  <c r="T78" i="64"/>
  <c r="T70" i="64"/>
  <c r="T996" i="4" l="1"/>
  <c r="T1000" i="4" s="1"/>
  <c r="T1004" i="4" s="1"/>
  <c r="T47" i="11"/>
  <c r="T62" i="11" l="1"/>
  <c r="T48" i="11"/>
  <c r="T55" i="11" s="1"/>
  <c r="T61" i="11"/>
  <c r="T1005" i="4"/>
  <c r="T1016" i="4" s="1"/>
  <c r="T1013" i="4" s="1"/>
  <c r="T1006" i="4" s="1"/>
  <c r="T1007" i="4" s="1"/>
  <c r="T1012" i="4"/>
  <c r="T1014" i="4" l="1"/>
  <c r="U1011" i="4" s="1"/>
  <c r="T56" i="11"/>
  <c r="T57" i="11" s="1"/>
  <c r="T75" i="11"/>
  <c r="T1046" i="4"/>
  <c r="T1053" i="4" s="1"/>
  <c r="T1055" i="4" s="1"/>
  <c r="T1058" i="4" s="1"/>
  <c r="T1222" i="4"/>
  <c r="T1223" i="4" s="1"/>
  <c r="T61" i="64"/>
  <c r="T1246" i="4"/>
  <c r="T63" i="11"/>
  <c r="T62" i="62"/>
  <c r="T63" i="62" s="1"/>
  <c r="T67" i="62" s="1"/>
  <c r="T64" i="11"/>
  <c r="T1395" i="4"/>
  <c r="T68" i="62" l="1"/>
  <c r="T66" i="64"/>
  <c r="T40" i="64" s="1"/>
  <c r="T42" i="64" s="1"/>
  <c r="T77" i="64"/>
  <c r="T82" i="64" s="1"/>
  <c r="T69" i="64"/>
  <c r="T74" i="64" s="1"/>
  <c r="T1236" i="4"/>
  <c r="T1394" i="4"/>
  <c r="T1206" i="4"/>
  <c r="T1116" i="4" l="1"/>
  <c r="T1117" i="4" s="1"/>
  <c r="T1119" i="4" s="1"/>
  <c r="T1121" i="4" s="1"/>
  <c r="T1087" i="4" s="1"/>
  <c r="T52" i="64"/>
  <c r="T49" i="64"/>
  <c r="T1137" i="4" l="1"/>
  <c r="T1088" i="4"/>
  <c r="U1085" i="4" l="1"/>
  <c r="U1130" i="4"/>
  <c r="U1148" i="4" s="1"/>
  <c r="T1225" i="4"/>
  <c r="T1226" i="4" s="1"/>
  <c r="T1247" i="4"/>
  <c r="T38" i="66"/>
  <c r="T88" i="11"/>
  <c r="T1404" i="4"/>
  <c r="T1406" i="4" s="1"/>
  <c r="T1347" i="4"/>
  <c r="T1138" i="4"/>
  <c r="U1135" i="4" l="1"/>
  <c r="T1428" i="4"/>
  <c r="T1438" i="4"/>
  <c r="T31" i="11"/>
  <c r="T1412" i="4"/>
  <c r="T1194" i="4"/>
  <c r="T1204" i="4"/>
  <c r="U1086" i="4"/>
  <c r="U1136" i="4" l="1"/>
  <c r="U1129" i="4"/>
  <c r="U1147" i="4" s="1"/>
  <c r="U1149" i="4" s="1"/>
  <c r="U1125" i="4"/>
  <c r="U1101" i="4"/>
  <c r="T1175" i="4"/>
  <c r="T1197" i="4"/>
  <c r="T1198" i="4" s="1"/>
  <c r="T1188" i="4" s="1"/>
  <c r="T1413" i="4"/>
  <c r="T1422" i="4" s="1"/>
  <c r="T45" i="62"/>
  <c r="T30" i="11"/>
  <c r="U1415" i="4"/>
  <c r="T1187" i="4" l="1"/>
  <c r="T1176" i="4" s="1"/>
  <c r="T1189" i="4"/>
  <c r="T1184" i="4"/>
  <c r="T1191" i="4" s="1"/>
  <c r="T1180" i="4"/>
  <c r="U1112" i="4"/>
  <c r="U1141" i="4" s="1"/>
  <c r="U1103" i="4"/>
  <c r="U1092" i="4" s="1"/>
  <c r="U1093" i="4" s="1"/>
  <c r="U1111" i="4" s="1"/>
  <c r="U1102" i="4"/>
  <c r="U50" i="11"/>
  <c r="U297" i="4"/>
  <c r="U305" i="4" s="1"/>
  <c r="U330" i="4" s="1"/>
  <c r="U999" i="4"/>
  <c r="U72" i="11"/>
  <c r="U1249" i="4"/>
  <c r="U1218" i="4"/>
  <c r="U1045" i="4"/>
  <c r="U37" i="66"/>
  <c r="T1418" i="4"/>
  <c r="T1416" i="4"/>
  <c r="U1233" i="4"/>
  <c r="U87" i="11"/>
  <c r="U18" i="66"/>
  <c r="U1346" i="4"/>
  <c r="U1259" i="4"/>
  <c r="U1104" i="4" l="1"/>
  <c r="U1120" i="4" s="1"/>
  <c r="U1142" i="4"/>
  <c r="U294" i="4" s="1"/>
  <c r="U997" i="4"/>
  <c r="U1143" i="4"/>
  <c r="T1419" i="4"/>
  <c r="T1232" i="4"/>
  <c r="T19" i="66"/>
  <c r="T86" i="11"/>
  <c r="T1261" i="4"/>
  <c r="T1403" i="4"/>
  <c r="V479" i="4"/>
  <c r="V457" i="4"/>
  <c r="V468" i="4"/>
  <c r="U456" i="4"/>
  <c r="U458" i="4" s="1"/>
  <c r="U459" i="4" s="1"/>
  <c r="U467" i="4"/>
  <c r="U469" i="4" s="1"/>
  <c r="U470" i="4" s="1"/>
  <c r="U471" i="4" s="1"/>
  <c r="U472" i="4" s="1"/>
  <c r="V466" i="4" s="1"/>
  <c r="U478" i="4"/>
  <c r="U480" i="4" s="1"/>
  <c r="U481" i="4" s="1"/>
  <c r="U482" i="4" s="1"/>
  <c r="U483" i="4" s="1"/>
  <c r="V477" i="4" s="1"/>
  <c r="U49" i="11"/>
  <c r="T1195" i="4"/>
  <c r="T1199" i="4" s="1"/>
  <c r="T1177" i="4" s="1"/>
  <c r="T1250" i="4"/>
  <c r="T1227" i="4"/>
  <c r="T74" i="11"/>
  <c r="T78" i="11" s="1"/>
  <c r="T36" i="66"/>
  <c r="T1309" i="4"/>
  <c r="U1113" i="4" l="1"/>
  <c r="U1144" i="4" s="1"/>
  <c r="U1248" i="4" s="1"/>
  <c r="V495" i="4"/>
  <c r="V995" i="4" s="1"/>
  <c r="U53" i="11"/>
  <c r="U52" i="11" s="1"/>
  <c r="T1308" i="4"/>
  <c r="T1311" i="4" s="1"/>
  <c r="T1344" i="4"/>
  <c r="U494" i="4"/>
  <c r="U994" i="4" s="1"/>
  <c r="U460" i="4"/>
  <c r="U461" i="4" s="1"/>
  <c r="V455" i="4" s="1"/>
  <c r="U299" i="4"/>
  <c r="U302" i="4"/>
  <c r="T1251" i="4"/>
  <c r="T1228" i="4"/>
  <c r="T1205" i="4" s="1"/>
  <c r="T89" i="11"/>
  <c r="T39" i="66"/>
  <c r="T35" i="66" s="1"/>
  <c r="T1178" i="4"/>
  <c r="T17" i="66"/>
  <c r="U1224" i="4" l="1"/>
  <c r="U1044" i="4"/>
  <c r="U1067" i="4" s="1"/>
  <c r="U1068" i="4" s="1"/>
  <c r="U73" i="11"/>
  <c r="U331" i="4"/>
  <c r="U307" i="4"/>
  <c r="T1207" i="4"/>
  <c r="T1209" i="4" s="1"/>
  <c r="T1348" i="4"/>
  <c r="T1313" i="4"/>
  <c r="T1325" i="4"/>
  <c r="T27" i="11"/>
  <c r="U1173" i="4"/>
  <c r="T1429" i="4"/>
  <c r="U1158" i="4" l="1"/>
  <c r="U1174" i="4" s="1"/>
  <c r="U1157" i="4"/>
  <c r="U1164" i="4" s="1"/>
  <c r="U332" i="4"/>
  <c r="U14" i="11" s="1"/>
  <c r="T1208" i="4"/>
  <c r="T1432" i="4"/>
  <c r="T1430" i="4"/>
  <c r="T1431" i="4" s="1"/>
  <c r="T1229" i="4"/>
  <c r="T1230" i="4" s="1"/>
  <c r="T1234" i="4" s="1"/>
  <c r="U1213" i="4" s="1"/>
  <c r="T1252" i="4"/>
  <c r="T48" i="62"/>
  <c r="T24" i="62" s="1"/>
  <c r="T26" i="62" s="1"/>
  <c r="T58" i="11"/>
  <c r="T59" i="11" s="1"/>
  <c r="T28" i="11" s="1"/>
  <c r="T25" i="11" s="1"/>
  <c r="T90" i="11"/>
  <c r="T91" i="11" s="1"/>
  <c r="T93" i="11" s="1"/>
  <c r="T96" i="11" s="1"/>
  <c r="T97" i="11" s="1"/>
  <c r="T22" i="66"/>
  <c r="T1363" i="4"/>
  <c r="T1326" i="4"/>
  <c r="T1327" i="4" s="1"/>
  <c r="U385" i="4"/>
  <c r="U405" i="4"/>
  <c r="U406" i="4" s="1"/>
  <c r="U407" i="4" s="1"/>
  <c r="U408" i="4" s="1"/>
  <c r="U409" i="4" s="1"/>
  <c r="V404" i="4" s="1"/>
  <c r="U395" i="4"/>
  <c r="U396" i="4" s="1"/>
  <c r="U397" i="4" s="1"/>
  <c r="U398" i="4" s="1"/>
  <c r="U399" i="4" s="1"/>
  <c r="V394" i="4" s="1"/>
  <c r="U1159" i="4" l="1"/>
  <c r="T1398" i="4"/>
  <c r="T1393" i="4" s="1"/>
  <c r="T1397" i="4"/>
  <c r="T1392" i="4" s="1"/>
  <c r="T37" i="11"/>
  <c r="U1051" i="4"/>
  <c r="U500" i="4"/>
  <c r="U489" i="4"/>
  <c r="U386" i="4"/>
  <c r="U387" i="4" s="1"/>
  <c r="T101" i="67"/>
  <c r="T101" i="11"/>
  <c r="T1253" i="4"/>
  <c r="T1254" i="4" s="1"/>
  <c r="U95" i="11"/>
  <c r="T100" i="11"/>
  <c r="T21" i="11"/>
  <c r="T17" i="11" s="1"/>
  <c r="T100" i="67"/>
  <c r="T24" i="66"/>
  <c r="T20" i="66" s="1"/>
  <c r="T1263" i="4"/>
  <c r="T1264" i="4" s="1"/>
  <c r="T46" i="62"/>
  <c r="T44" i="66"/>
  <c r="T40" i="66" s="1"/>
  <c r="T1385" i="4"/>
  <c r="T1384" i="4" s="1"/>
  <c r="T1364" i="4"/>
  <c r="T1365" i="4" s="1"/>
  <c r="U42" i="62"/>
  <c r="U1167" i="4"/>
  <c r="U1168" i="4" s="1"/>
  <c r="U85" i="11"/>
  <c r="U1260" i="4"/>
  <c r="U1231" i="4"/>
  <c r="T26" i="66" l="1"/>
  <c r="T1386" i="4"/>
  <c r="T1383" i="4" s="1"/>
  <c r="T23" i="11"/>
  <c r="T39" i="11" s="1"/>
  <c r="T40" i="11" s="1"/>
  <c r="T99" i="11"/>
  <c r="T46" i="66"/>
  <c r="T1266" i="4"/>
  <c r="V1163" i="4"/>
  <c r="U26" i="11"/>
  <c r="U52" i="62"/>
  <c r="U43" i="62"/>
  <c r="U23" i="62" s="1"/>
  <c r="U16" i="66" s="1"/>
  <c r="U388" i="4"/>
  <c r="U389" i="4" s="1"/>
  <c r="V384" i="4" s="1"/>
  <c r="U501" i="4"/>
  <c r="U502" i="4" s="1"/>
  <c r="U490" i="4"/>
  <c r="V499" i="4" l="1"/>
  <c r="U1024" i="4"/>
  <c r="U1026" i="4" s="1"/>
  <c r="U1027" i="4" s="1"/>
  <c r="U1028" i="4" s="1"/>
  <c r="U51" i="11"/>
  <c r="U64" i="62"/>
  <c r="T1439" i="4"/>
  <c r="T1440" i="4" s="1"/>
  <c r="T1396" i="4"/>
  <c r="T1391" i="4" s="1"/>
  <c r="U491" i="4"/>
  <c r="T48" i="66"/>
  <c r="U14" i="66"/>
  <c r="U13" i="66" l="1"/>
  <c r="V488" i="4"/>
  <c r="U15" i="11"/>
  <c r="U13" i="11" s="1"/>
  <c r="U62" i="64"/>
  <c r="U907" i="4"/>
  <c r="U911" i="4" s="1"/>
  <c r="V1023" i="4"/>
  <c r="U1217" i="4" l="1"/>
  <c r="U1221" i="4" s="1"/>
  <c r="U1043" i="4"/>
  <c r="U71" i="11"/>
  <c r="U1243" i="4"/>
  <c r="U915" i="4"/>
  <c r="U78" i="64"/>
  <c r="U70" i="64"/>
  <c r="U28" i="66"/>
  <c r="U27" i="66" s="1"/>
  <c r="U47" i="11" l="1"/>
  <c r="U996" i="4"/>
  <c r="U1000" i="4" s="1"/>
  <c r="U1004" i="4" s="1"/>
  <c r="U1012" i="4" l="1"/>
  <c r="U1005" i="4"/>
  <c r="U1016" i="4" s="1"/>
  <c r="U1013" i="4" s="1"/>
  <c r="U1006" i="4" s="1"/>
  <c r="U1007" i="4" s="1"/>
  <c r="U62" i="11"/>
  <c r="U61" i="11"/>
  <c r="U48" i="11"/>
  <c r="U55" i="11" s="1"/>
  <c r="U63" i="11" l="1"/>
  <c r="U62" i="62"/>
  <c r="U63" i="62" s="1"/>
  <c r="U67" i="62" s="1"/>
  <c r="U64" i="11"/>
  <c r="U1395" i="4"/>
  <c r="U56" i="11"/>
  <c r="U57" i="11" s="1"/>
  <c r="U61" i="64"/>
  <c r="U1246" i="4"/>
  <c r="U1222" i="4"/>
  <c r="U1223" i="4" s="1"/>
  <c r="U1046" i="4"/>
  <c r="U1053" i="4" s="1"/>
  <c r="U1055" i="4" s="1"/>
  <c r="U1058" i="4" s="1"/>
  <c r="U75" i="11"/>
  <c r="U1014" i="4"/>
  <c r="V1011" i="4" s="1"/>
  <c r="U77" i="64" l="1"/>
  <c r="U82" i="64" s="1"/>
  <c r="U69" i="64"/>
  <c r="U74" i="64" s="1"/>
  <c r="U66" i="64"/>
  <c r="U40" i="64" s="1"/>
  <c r="U42" i="64" s="1"/>
  <c r="U1394" i="4"/>
  <c r="U1206" i="4"/>
  <c r="U68" i="62"/>
  <c r="U1236" i="4"/>
  <c r="U52" i="64" l="1"/>
  <c r="U49" i="64"/>
  <c r="U1116" i="4"/>
  <c r="U1117" i="4" s="1"/>
  <c r="U1119" i="4" s="1"/>
  <c r="U1121" i="4" s="1"/>
  <c r="U1087" i="4" s="1"/>
  <c r="U1137" i="4" l="1"/>
  <c r="U1088" i="4"/>
  <c r="V1085" i="4" l="1"/>
  <c r="V1130" i="4"/>
  <c r="V1148" i="4" s="1"/>
  <c r="U1225" i="4"/>
  <c r="U1226" i="4" s="1"/>
  <c r="U1404" i="4"/>
  <c r="U1406" i="4" s="1"/>
  <c r="U1347" i="4"/>
  <c r="U88" i="11"/>
  <c r="U38" i="66"/>
  <c r="U1247" i="4"/>
  <c r="U1138" i="4"/>
  <c r="U31" i="11" l="1"/>
  <c r="U1412" i="4"/>
  <c r="V1135" i="4"/>
  <c r="U1428" i="4"/>
  <c r="U1438" i="4"/>
  <c r="U1194" i="4"/>
  <c r="U1204" i="4"/>
  <c r="V1086" i="4"/>
  <c r="V1136" i="4" l="1"/>
  <c r="V1129" i="4"/>
  <c r="V1147" i="4" s="1"/>
  <c r="V1149" i="4" s="1"/>
  <c r="V1125" i="4"/>
  <c r="V1101" i="4"/>
  <c r="U1197" i="4"/>
  <c r="U1198" i="4" s="1"/>
  <c r="U1188" i="4" s="1"/>
  <c r="U1175" i="4"/>
  <c r="V1415" i="4"/>
  <c r="U1413" i="4"/>
  <c r="U1422" i="4" s="1"/>
  <c r="U45" i="62"/>
  <c r="U30" i="11"/>
  <c r="U1184" i="4" l="1"/>
  <c r="U1191" i="4" s="1"/>
  <c r="U1180" i="4"/>
  <c r="U1189" i="4"/>
  <c r="U1187" i="4"/>
  <c r="U1176" i="4" s="1"/>
  <c r="V1102" i="4"/>
  <c r="V1112" i="4"/>
  <c r="V1141" i="4" s="1"/>
  <c r="V1103" i="4"/>
  <c r="V1092" i="4" s="1"/>
  <c r="V1093" i="4" s="1"/>
  <c r="V1111" i="4" s="1"/>
  <c r="U1418" i="4"/>
  <c r="U1416" i="4"/>
  <c r="V1249" i="4"/>
  <c r="V297" i="4"/>
  <c r="V305" i="4" s="1"/>
  <c r="V330" i="4" s="1"/>
  <c r="V1045" i="4"/>
  <c r="V999" i="4"/>
  <c r="V50" i="11"/>
  <c r="V72" i="11"/>
  <c r="V1218" i="4"/>
  <c r="V37" i="66"/>
  <c r="V1346" i="4"/>
  <c r="V87" i="11"/>
  <c r="V18" i="66"/>
  <c r="V1233" i="4"/>
  <c r="V1259" i="4"/>
  <c r="U1419" i="4" l="1"/>
  <c r="V49" i="11"/>
  <c r="V1143" i="4"/>
  <c r="V997" i="4"/>
  <c r="V1142" i="4"/>
  <c r="V294" i="4" s="1"/>
  <c r="V1104" i="4"/>
  <c r="W479" i="4"/>
  <c r="W468" i="4"/>
  <c r="W457" i="4"/>
  <c r="V456" i="4"/>
  <c r="V458" i="4" s="1"/>
  <c r="V459" i="4" s="1"/>
  <c r="V467" i="4"/>
  <c r="V469" i="4" s="1"/>
  <c r="V470" i="4" s="1"/>
  <c r="V471" i="4" s="1"/>
  <c r="V472" i="4" s="1"/>
  <c r="W466" i="4" s="1"/>
  <c r="V478" i="4"/>
  <c r="V480" i="4" s="1"/>
  <c r="V481" i="4" s="1"/>
  <c r="V482" i="4" s="1"/>
  <c r="V483" i="4" s="1"/>
  <c r="W477" i="4" s="1"/>
  <c r="U1195" i="4"/>
  <c r="U1199" i="4" s="1"/>
  <c r="U1177" i="4" s="1"/>
  <c r="U1227" i="4"/>
  <c r="U1250" i="4"/>
  <c r="U74" i="11"/>
  <c r="U78" i="11" s="1"/>
  <c r="U36" i="66"/>
  <c r="U1309" i="4"/>
  <c r="U19" i="66"/>
  <c r="U86" i="11"/>
  <c r="U1261" i="4"/>
  <c r="U1232" i="4"/>
  <c r="U1403" i="4"/>
  <c r="V460" i="4" l="1"/>
  <c r="V461" i="4" s="1"/>
  <c r="W455" i="4" s="1"/>
  <c r="V494" i="4"/>
  <c r="V994" i="4" s="1"/>
  <c r="V299" i="4"/>
  <c r="V302" i="4"/>
  <c r="U1308" i="4"/>
  <c r="U1311" i="4" s="1"/>
  <c r="U1344" i="4"/>
  <c r="V53" i="11"/>
  <c r="V52" i="11" s="1"/>
  <c r="W495" i="4"/>
  <c r="W995" i="4" s="1"/>
  <c r="U1251" i="4"/>
  <c r="U89" i="11"/>
  <c r="U1228" i="4"/>
  <c r="U1205" i="4" s="1"/>
  <c r="U39" i="66"/>
  <c r="U35" i="66" s="1"/>
  <c r="U17" i="66"/>
  <c r="V1113" i="4"/>
  <c r="V1144" i="4" s="1"/>
  <c r="V1120" i="4"/>
  <c r="U1178" i="4"/>
  <c r="U1348" i="4" l="1"/>
  <c r="U1313" i="4"/>
  <c r="U1325" i="4"/>
  <c r="U1207" i="4"/>
  <c r="U1209" i="4" s="1"/>
  <c r="V1044" i="4"/>
  <c r="V1067" i="4" s="1"/>
  <c r="V1248" i="4"/>
  <c r="V1224" i="4"/>
  <c r="V73" i="11"/>
  <c r="U27" i="11"/>
  <c r="V1173" i="4"/>
  <c r="U1429" i="4"/>
  <c r="V331" i="4"/>
  <c r="V307" i="4"/>
  <c r="V332" i="4" l="1"/>
  <c r="V14" i="11" s="1"/>
  <c r="U1208" i="4"/>
  <c r="V405" i="4"/>
  <c r="V406" i="4" s="1"/>
  <c r="V407" i="4" s="1"/>
  <c r="V408" i="4" s="1"/>
  <c r="V409" i="4" s="1"/>
  <c r="W404" i="4" s="1"/>
  <c r="V395" i="4"/>
  <c r="V396" i="4" s="1"/>
  <c r="V397" i="4" s="1"/>
  <c r="V398" i="4" s="1"/>
  <c r="V399" i="4" s="1"/>
  <c r="W394" i="4" s="1"/>
  <c r="V385" i="4"/>
  <c r="U48" i="62"/>
  <c r="U24" i="62" s="1"/>
  <c r="U26" i="62" s="1"/>
  <c r="U1252" i="4"/>
  <c r="U58" i="11"/>
  <c r="U59" i="11" s="1"/>
  <c r="U28" i="11" s="1"/>
  <c r="U1229" i="4"/>
  <c r="U1230" i="4" s="1"/>
  <c r="U1234" i="4" s="1"/>
  <c r="V1213" i="4" s="1"/>
  <c r="U90" i="11"/>
  <c r="U91" i="11" s="1"/>
  <c r="U93" i="11" s="1"/>
  <c r="U96" i="11" s="1"/>
  <c r="U97" i="11" s="1"/>
  <c r="U22" i="66"/>
  <c r="U1432" i="4"/>
  <c r="U1430" i="4"/>
  <c r="U1431" i="4" s="1"/>
  <c r="U1326" i="4"/>
  <c r="U1327" i="4" s="1"/>
  <c r="V1158" i="4"/>
  <c r="V1174" i="4" s="1"/>
  <c r="V1157" i="4"/>
  <c r="V1068" i="4"/>
  <c r="U1363" i="4"/>
  <c r="U101" i="67" l="1"/>
  <c r="U46" i="62"/>
  <c r="U1385" i="4"/>
  <c r="U1384" i="4" s="1"/>
  <c r="U101" i="11"/>
  <c r="U24" i="66"/>
  <c r="U20" i="66" s="1"/>
  <c r="U21" i="11"/>
  <c r="U17" i="11" s="1"/>
  <c r="V95" i="11"/>
  <c r="U1263" i="4"/>
  <c r="U1264" i="4" s="1"/>
  <c r="U100" i="11"/>
  <c r="U44" i="66"/>
  <c r="U40" i="66" s="1"/>
  <c r="U1253" i="4"/>
  <c r="U1254" i="4" s="1"/>
  <c r="U100" i="67"/>
  <c r="V1051" i="4"/>
  <c r="U1364" i="4"/>
  <c r="U1365" i="4" s="1"/>
  <c r="V1164" i="4"/>
  <c r="V1159" i="4"/>
  <c r="V500" i="4"/>
  <c r="V489" i="4"/>
  <c r="V386" i="4"/>
  <c r="V387" i="4" s="1"/>
  <c r="U25" i="11"/>
  <c r="U99" i="11" l="1"/>
  <c r="V388" i="4"/>
  <c r="V389" i="4" s="1"/>
  <c r="W384" i="4" s="1"/>
  <c r="V490" i="4"/>
  <c r="V501" i="4"/>
  <c r="V502" i="4" s="1"/>
  <c r="U1386" i="4"/>
  <c r="U1383" i="4" s="1"/>
  <c r="U23" i="11"/>
  <c r="U26" i="66"/>
  <c r="V85" i="11"/>
  <c r="V1260" i="4"/>
  <c r="V1167" i="4"/>
  <c r="V1168" i="4" s="1"/>
  <c r="V1231" i="4"/>
  <c r="V42" i="62"/>
  <c r="U1266" i="4"/>
  <c r="U46" i="66"/>
  <c r="U1398" i="4"/>
  <c r="U1393" i="4" s="1"/>
  <c r="U37" i="11"/>
  <c r="U1397" i="4"/>
  <c r="U1392" i="4" s="1"/>
  <c r="U39" i="11" l="1"/>
  <c r="U40" i="11" s="1"/>
  <c r="W499" i="4"/>
  <c r="W1023" i="4" s="1"/>
  <c r="V1024" i="4"/>
  <c r="V1026" i="4" s="1"/>
  <c r="V1027" i="4" s="1"/>
  <c r="V1028" i="4" s="1"/>
  <c r="U1439" i="4"/>
  <c r="U1440" i="4" s="1"/>
  <c r="U1396" i="4"/>
  <c r="U1391" i="4" s="1"/>
  <c r="V26" i="11"/>
  <c r="W1163" i="4"/>
  <c r="V51" i="11"/>
  <c r="V64" i="62"/>
  <c r="U48" i="66"/>
  <c r="V52" i="62"/>
  <c r="V43" i="62"/>
  <c r="V23" i="62" s="1"/>
  <c r="V16" i="66" s="1"/>
  <c r="V491" i="4"/>
  <c r="V14" i="66" l="1"/>
  <c r="V62" i="64"/>
  <c r="V907" i="4"/>
  <c r="V911" i="4" s="1"/>
  <c r="W488" i="4"/>
  <c r="V15" i="11"/>
  <c r="V13" i="11" s="1"/>
  <c r="V915" i="4" l="1"/>
  <c r="V1243" i="4"/>
  <c r="V1217" i="4"/>
  <c r="V1221" i="4" s="1"/>
  <c r="V1043" i="4"/>
  <c r="V71" i="11"/>
  <c r="V78" i="64"/>
  <c r="V70" i="64"/>
  <c r="V13" i="66"/>
  <c r="V28" i="66" l="1"/>
  <c r="V27" i="66" s="1"/>
  <c r="V996" i="4"/>
  <c r="V1000" i="4" s="1"/>
  <c r="V1004" i="4" s="1"/>
  <c r="V47" i="11"/>
  <c r="V48" i="11" l="1"/>
  <c r="V55" i="11" s="1"/>
  <c r="V62" i="11"/>
  <c r="V61" i="11"/>
  <c r="V1012" i="4"/>
  <c r="V1005" i="4"/>
  <c r="V1016" i="4" l="1"/>
  <c r="V1013" i="4" s="1"/>
  <c r="V1006" i="4" s="1"/>
  <c r="V1007" i="4" s="1"/>
  <c r="V63" i="11"/>
  <c r="V1395" i="4"/>
  <c r="V64" i="11"/>
  <c r="V62" i="62"/>
  <c r="V1046" i="4" l="1"/>
  <c r="V1053" i="4" s="1"/>
  <c r="V1055" i="4" s="1"/>
  <c r="V1058" i="4" s="1"/>
  <c r="V61" i="64"/>
  <c r="V1246" i="4"/>
  <c r="V75" i="11"/>
  <c r="V56" i="11"/>
  <c r="V57" i="11" s="1"/>
  <c r="V1222" i="4"/>
  <c r="V1223" i="4" s="1"/>
  <c r="V63" i="62"/>
  <c r="V67" i="62" s="1"/>
  <c r="V1014" i="4"/>
  <c r="W1011" i="4" s="1"/>
  <c r="V1236" i="4" l="1"/>
  <c r="V1394" i="4"/>
  <c r="V1206" i="4"/>
  <c r="V68" i="62"/>
  <c r="V69" i="64"/>
  <c r="V74" i="64" s="1"/>
  <c r="V77" i="64"/>
  <c r="V82" i="64" s="1"/>
  <c r="V66" i="64"/>
  <c r="V40" i="64" s="1"/>
  <c r="V42" i="64" s="1"/>
  <c r="V52" i="64" l="1"/>
  <c r="V49" i="64"/>
  <c r="V1116" i="4"/>
  <c r="V1117" i="4" s="1"/>
  <c r="V1119" i="4" s="1"/>
  <c r="V1121" i="4" s="1"/>
  <c r="V1087" i="4" s="1"/>
  <c r="V1137" i="4" l="1"/>
  <c r="V1088" i="4"/>
  <c r="W1085" i="4" l="1"/>
  <c r="W1130" i="4"/>
  <c r="W1148" i="4" s="1"/>
  <c r="V88" i="11"/>
  <c r="V1225" i="4"/>
  <c r="V1226" i="4" s="1"/>
  <c r="V1247" i="4"/>
  <c r="V38" i="66"/>
  <c r="V1347" i="4"/>
  <c r="V1404" i="4"/>
  <c r="V1406" i="4" s="1"/>
  <c r="V1138" i="4"/>
  <c r="V1194" i="4" l="1"/>
  <c r="V1204" i="4"/>
  <c r="V31" i="11"/>
  <c r="V1428" i="4"/>
  <c r="V1412" i="4"/>
  <c r="V1438" i="4"/>
  <c r="W1135" i="4"/>
  <c r="W1086" i="4"/>
  <c r="W1129" i="4" l="1"/>
  <c r="W1147" i="4" s="1"/>
  <c r="W1149" i="4" s="1"/>
  <c r="W1136" i="4"/>
  <c r="W1125" i="4"/>
  <c r="W1101" i="4"/>
  <c r="W1415" i="4"/>
  <c r="V1413" i="4"/>
  <c r="V1422" i="4" s="1"/>
  <c r="V45" i="62"/>
  <c r="V30" i="11"/>
  <c r="V1175" i="4"/>
  <c r="V1197" i="4"/>
  <c r="V1198" i="4" s="1"/>
  <c r="V1188" i="4" s="1"/>
  <c r="W1103" i="4" l="1"/>
  <c r="W1092" i="4" s="1"/>
  <c r="W1093" i="4" s="1"/>
  <c r="W1111" i="4" s="1"/>
  <c r="W1102" i="4"/>
  <c r="W1112" i="4"/>
  <c r="W1141" i="4" s="1"/>
  <c r="V1189" i="4"/>
  <c r="V1187" i="4"/>
  <c r="V1176" i="4" s="1"/>
  <c r="V1418" i="4"/>
  <c r="V1416" i="4"/>
  <c r="W1346" i="4"/>
  <c r="W1259" i="4"/>
  <c r="W1233" i="4"/>
  <c r="W87" i="11"/>
  <c r="W18" i="66"/>
  <c r="N87" i="67"/>
  <c r="V1180" i="4"/>
  <c r="V1184" i="4"/>
  <c r="V1191" i="4" s="1"/>
  <c r="W1249" i="4"/>
  <c r="W297" i="4"/>
  <c r="W305" i="4" s="1"/>
  <c r="W330" i="4" s="1"/>
  <c r="W37" i="66"/>
  <c r="W72" i="11"/>
  <c r="W50" i="11"/>
  <c r="W999" i="4"/>
  <c r="W1045" i="4"/>
  <c r="W1218" i="4"/>
  <c r="N72" i="67"/>
  <c r="W1104" i="4" l="1"/>
  <c r="W1120" i="4" s="1"/>
  <c r="V1419" i="4"/>
  <c r="V86" i="11"/>
  <c r="V1232" i="4"/>
  <c r="V19" i="66"/>
  <c r="V1261" i="4"/>
  <c r="V1403" i="4"/>
  <c r="V1227" i="4"/>
  <c r="V1250" i="4"/>
  <c r="V74" i="11"/>
  <c r="V78" i="11" s="1"/>
  <c r="V1195" i="4"/>
  <c r="V1199" i="4" s="1"/>
  <c r="V1177" i="4" s="1"/>
  <c r="V1309" i="4"/>
  <c r="V36" i="66"/>
  <c r="W49" i="11"/>
  <c r="N50" i="67"/>
  <c r="N49" i="67" s="1"/>
  <c r="X479" i="4"/>
  <c r="X468" i="4"/>
  <c r="X457" i="4"/>
  <c r="W456" i="4"/>
  <c r="W458" i="4" s="1"/>
  <c r="W459" i="4" s="1"/>
  <c r="W467" i="4"/>
  <c r="W469" i="4" s="1"/>
  <c r="W470" i="4" s="1"/>
  <c r="W471" i="4" s="1"/>
  <c r="W472" i="4" s="1"/>
  <c r="X466" i="4" s="1"/>
  <c r="W478" i="4"/>
  <c r="W480" i="4" s="1"/>
  <c r="W481" i="4" s="1"/>
  <c r="W482" i="4" s="1"/>
  <c r="W483" i="4" s="1"/>
  <c r="X477" i="4" s="1"/>
  <c r="W1142" i="4"/>
  <c r="W294" i="4" s="1"/>
  <c r="W997" i="4"/>
  <c r="W1143" i="4"/>
  <c r="W1113" i="4" l="1"/>
  <c r="W1144" i="4" s="1"/>
  <c r="N73" i="67" s="1"/>
  <c r="W460" i="4"/>
  <c r="W461" i="4" s="1"/>
  <c r="X455" i="4" s="1"/>
  <c r="W494" i="4"/>
  <c r="W994" i="4" s="1"/>
  <c r="X495" i="4"/>
  <c r="X995" i="4" s="1"/>
  <c r="W53" i="11"/>
  <c r="W52" i="11" s="1"/>
  <c r="N53" i="67"/>
  <c r="N52" i="67" s="1"/>
  <c r="W299" i="4"/>
  <c r="W302" i="4"/>
  <c r="V89" i="11"/>
  <c r="V1228" i="4"/>
  <c r="V1205" i="4" s="1"/>
  <c r="V39" i="66"/>
  <c r="V35" i="66" s="1"/>
  <c r="V1251" i="4"/>
  <c r="V1178" i="4"/>
  <c r="V17" i="66"/>
  <c r="V1344" i="4"/>
  <c r="V1308" i="4"/>
  <c r="V1311" i="4" s="1"/>
  <c r="N23" i="13" l="1"/>
  <c r="W73" i="11"/>
  <c r="W1044" i="4"/>
  <c r="W1067" i="4" s="1"/>
  <c r="W1158" i="4" s="1"/>
  <c r="W1174" i="4" s="1"/>
  <c r="W1224" i="4"/>
  <c r="W1248" i="4"/>
  <c r="W307" i="4"/>
  <c r="W331" i="4"/>
  <c r="V27" i="11"/>
  <c r="W1173" i="4"/>
  <c r="V1429" i="4"/>
  <c r="V1313" i="4"/>
  <c r="V1325" i="4"/>
  <c r="V1207" i="4"/>
  <c r="V1209" i="4" s="1"/>
  <c r="V1348" i="4"/>
  <c r="W1157" i="4" l="1"/>
  <c r="W1159" i="4" s="1"/>
  <c r="W1068" i="4"/>
  <c r="W332" i="4"/>
  <c r="W14" i="11" s="1"/>
  <c r="V1432" i="4"/>
  <c r="V1430" i="4"/>
  <c r="V1431" i="4" s="1"/>
  <c r="V1208" i="4"/>
  <c r="V48" i="62"/>
  <c r="V24" i="62" s="1"/>
  <c r="V26" i="62" s="1"/>
  <c r="V90" i="11"/>
  <c r="V91" i="11" s="1"/>
  <c r="V93" i="11" s="1"/>
  <c r="V96" i="11" s="1"/>
  <c r="V97" i="11" s="1"/>
  <c r="V58" i="11"/>
  <c r="V59" i="11" s="1"/>
  <c r="V28" i="11" s="1"/>
  <c r="V25" i="11" s="1"/>
  <c r="V1252" i="4"/>
  <c r="V1229" i="4"/>
  <c r="V1230" i="4" s="1"/>
  <c r="V1234" i="4" s="1"/>
  <c r="W1213" i="4" s="1"/>
  <c r="V22" i="66"/>
  <c r="V1326" i="4"/>
  <c r="V1327" i="4" s="1"/>
  <c r="W385" i="4"/>
  <c r="W395" i="4"/>
  <c r="W396" i="4" s="1"/>
  <c r="W397" i="4" s="1"/>
  <c r="W398" i="4" s="1"/>
  <c r="W399" i="4" s="1"/>
  <c r="X394" i="4" s="1"/>
  <c r="W405" i="4"/>
  <c r="W406" i="4" s="1"/>
  <c r="W407" i="4" s="1"/>
  <c r="W408" i="4" s="1"/>
  <c r="W409" i="4" s="1"/>
  <c r="X404" i="4" s="1"/>
  <c r="V1363" i="4"/>
  <c r="W1164" i="4" l="1"/>
  <c r="W1167" i="4" s="1"/>
  <c r="W1168" i="4" s="1"/>
  <c r="N14" i="67"/>
  <c r="V37" i="11"/>
  <c r="V1398" i="4"/>
  <c r="V1393" i="4" s="1"/>
  <c r="V1397" i="4"/>
  <c r="V1392" i="4" s="1"/>
  <c r="V1364" i="4"/>
  <c r="V1365" i="4" s="1"/>
  <c r="W500" i="4"/>
  <c r="W489" i="4"/>
  <c r="W386" i="4"/>
  <c r="W387" i="4" s="1"/>
  <c r="W1051" i="4"/>
  <c r="V100" i="11"/>
  <c r="V1253" i="4"/>
  <c r="V1254" i="4" s="1"/>
  <c r="V44" i="66"/>
  <c r="V40" i="66" s="1"/>
  <c r="V24" i="66"/>
  <c r="W95" i="11"/>
  <c r="V46" i="62"/>
  <c r="V100" i="67"/>
  <c r="V101" i="67"/>
  <c r="V21" i="11"/>
  <c r="V17" i="11" s="1"/>
  <c r="V1385" i="4"/>
  <c r="V1384" i="4" s="1"/>
  <c r="V1263" i="4"/>
  <c r="V1264" i="4" s="1"/>
  <c r="V101" i="11"/>
  <c r="N85" i="67" l="1"/>
  <c r="W1231" i="4"/>
  <c r="W1260" i="4"/>
  <c r="W85" i="11"/>
  <c r="W42" i="62"/>
  <c r="W52" i="62" s="1"/>
  <c r="V99" i="11"/>
  <c r="V46" i="66"/>
  <c r="V20" i="66"/>
  <c r="V1266" i="4"/>
  <c r="V1386" i="4"/>
  <c r="V1383" i="4" s="1"/>
  <c r="V23" i="11"/>
  <c r="V39" i="11" s="1"/>
  <c r="V40" i="11" s="1"/>
  <c r="X1163" i="4"/>
  <c r="W26" i="11"/>
  <c r="N26" i="67"/>
  <c r="W490" i="4"/>
  <c r="W501" i="4"/>
  <c r="W502" i="4" s="1"/>
  <c r="W388" i="4"/>
  <c r="W389" i="4" s="1"/>
  <c r="X384" i="4" s="1"/>
  <c r="W43" i="62" l="1"/>
  <c r="W23" i="62" s="1"/>
  <c r="W16" i="66" s="1"/>
  <c r="W14" i="66" s="1"/>
  <c r="V1439" i="4"/>
  <c r="V1440" i="4" s="1"/>
  <c r="V1396" i="4"/>
  <c r="V1391" i="4" s="1"/>
  <c r="V26" i="66"/>
  <c r="V48" i="66" s="1"/>
  <c r="W1024" i="4"/>
  <c r="W1026" i="4" s="1"/>
  <c r="W1027" i="4" s="1"/>
  <c r="W1028" i="4" s="1"/>
  <c r="X499" i="4"/>
  <c r="X1023" i="4" s="1"/>
  <c r="W51" i="11"/>
  <c r="W64" i="62"/>
  <c r="N51" i="67"/>
  <c r="W491" i="4"/>
  <c r="J140" i="15" l="1"/>
  <c r="X488" i="4"/>
  <c r="N15" i="67"/>
  <c r="N13" i="67" s="1"/>
  <c r="W15" i="11"/>
  <c r="W13" i="11" s="1"/>
  <c r="W13" i="66"/>
  <c r="J138" i="15"/>
  <c r="W907" i="4"/>
  <c r="W911" i="4" s="1"/>
  <c r="W62" i="64"/>
  <c r="W70" i="64" l="1"/>
  <c r="W78" i="64"/>
  <c r="W1243" i="4"/>
  <c r="W71" i="11"/>
  <c r="W915" i="4"/>
  <c r="W1043" i="4"/>
  <c r="W1217" i="4"/>
  <c r="W1221" i="4" s="1"/>
  <c r="N40" i="13"/>
  <c r="N71" i="67"/>
  <c r="N18" i="72"/>
  <c r="J137" i="15"/>
  <c r="W28" i="66"/>
  <c r="W27" i="66" s="1"/>
  <c r="W996" i="4" l="1"/>
  <c r="W1000" i="4" s="1"/>
  <c r="W1004" i="4" s="1"/>
  <c r="W47" i="11"/>
  <c r="N47" i="67"/>
  <c r="N20" i="72"/>
  <c r="N62" i="67" l="1"/>
  <c r="N64" i="67" s="1"/>
  <c r="N48" i="67"/>
  <c r="N55" i="67" s="1"/>
  <c r="N61" i="67"/>
  <c r="N63" i="67" s="1"/>
  <c r="W62" i="11"/>
  <c r="W61" i="11"/>
  <c r="W48" i="11"/>
  <c r="W55" i="11" s="1"/>
  <c r="W1012" i="4"/>
  <c r="W1005" i="4"/>
  <c r="W1016" i="4" s="1"/>
  <c r="W1013" i="4" s="1"/>
  <c r="W1006" i="4" s="1"/>
  <c r="W1007" i="4" s="1"/>
  <c r="W1222" i="4" l="1"/>
  <c r="W1223" i="4" s="1"/>
  <c r="W56" i="11"/>
  <c r="W57" i="11" s="1"/>
  <c r="W61" i="64"/>
  <c r="W75" i="11"/>
  <c r="W1046" i="4"/>
  <c r="W1053" i="4" s="1"/>
  <c r="W1055" i="4" s="1"/>
  <c r="W1058" i="4" s="1"/>
  <c r="W1246" i="4"/>
  <c r="N56" i="67"/>
  <c r="N57" i="67" s="1"/>
  <c r="N41" i="13"/>
  <c r="N43" i="13" s="1"/>
  <c r="N75" i="67"/>
  <c r="W1014" i="4"/>
  <c r="X1011" i="4" s="1"/>
  <c r="W63" i="11"/>
  <c r="N1449" i="4"/>
  <c r="W1395" i="4"/>
  <c r="W62" i="62"/>
  <c r="W63" i="62" s="1"/>
  <c r="W67" i="62" s="1"/>
  <c r="W64" i="11"/>
  <c r="W68" i="62" l="1"/>
  <c r="N1452" i="4"/>
  <c r="N1457" i="4"/>
  <c r="W77" i="64"/>
  <c r="W82" i="64" s="1"/>
  <c r="W69" i="64"/>
  <c r="W74" i="64" s="1"/>
  <c r="W66" i="64"/>
  <c r="W40" i="64" s="1"/>
  <c r="W42" i="64" s="1"/>
  <c r="W1394" i="4"/>
  <c r="W1206" i="4"/>
  <c r="W1236" i="4"/>
  <c r="W1116" i="4" l="1"/>
  <c r="W1117" i="4" s="1"/>
  <c r="W1119" i="4" s="1"/>
  <c r="W1121" i="4" s="1"/>
  <c r="W1087" i="4" s="1"/>
  <c r="W52" i="64"/>
  <c r="W49" i="64"/>
  <c r="W1137" i="4" l="1"/>
  <c r="W1088" i="4"/>
  <c r="X1085" i="4" l="1"/>
  <c r="X1130" i="4"/>
  <c r="X1148" i="4" s="1"/>
  <c r="W88" i="11"/>
  <c r="W1347" i="4"/>
  <c r="W1404" i="4"/>
  <c r="W1406" i="4" s="1"/>
  <c r="W1225" i="4"/>
  <c r="W1226" i="4" s="1"/>
  <c r="W38" i="66"/>
  <c r="W1247" i="4"/>
  <c r="N88" i="67"/>
  <c r="N24" i="13"/>
  <c r="W1138" i="4"/>
  <c r="W1204" i="4" l="1"/>
  <c r="W1194" i="4"/>
  <c r="X1135" i="4"/>
  <c r="W1412" i="4"/>
  <c r="N1448" i="4"/>
  <c r="W1438" i="4"/>
  <c r="W31" i="11"/>
  <c r="W1428" i="4"/>
  <c r="N31" i="67"/>
  <c r="N30" i="67" s="1"/>
  <c r="X1086" i="4"/>
  <c r="W30" i="11" l="1"/>
  <c r="W45" i="62"/>
  <c r="W1413" i="4"/>
  <c r="W1422" i="4" s="1"/>
  <c r="X1415" i="4"/>
  <c r="X1129" i="4"/>
  <c r="X1147" i="4" s="1"/>
  <c r="X1149" i="4" s="1"/>
  <c r="X1136" i="4"/>
  <c r="X1125" i="4"/>
  <c r="X1101" i="4"/>
  <c r="W1197" i="4"/>
  <c r="W1198" i="4" s="1"/>
  <c r="W1188" i="4" s="1"/>
  <c r="W1175" i="4"/>
  <c r="X1103" i="4" l="1"/>
  <c r="X1092" i="4" s="1"/>
  <c r="X1093" i="4" s="1"/>
  <c r="X1111" i="4" s="1"/>
  <c r="X1102" i="4"/>
  <c r="X1112" i="4"/>
  <c r="X1141" i="4" s="1"/>
  <c r="W1418" i="4"/>
  <c r="W1416" i="4"/>
  <c r="W1180" i="4"/>
  <c r="W1184" i="4"/>
  <c r="W1191" i="4" s="1"/>
  <c r="X1259" i="4"/>
  <c r="X1233" i="4"/>
  <c r="X87" i="11"/>
  <c r="X1346" i="4"/>
  <c r="X18" i="66"/>
  <c r="W1189" i="4"/>
  <c r="W1187" i="4"/>
  <c r="W1176" i="4" s="1"/>
  <c r="X72" i="11"/>
  <c r="X1218" i="4"/>
  <c r="X297" i="4"/>
  <c r="X305" i="4" s="1"/>
  <c r="X330" i="4" s="1"/>
  <c r="X37" i="66"/>
  <c r="X50" i="11"/>
  <c r="X999" i="4"/>
  <c r="X1249" i="4"/>
  <c r="X1045" i="4"/>
  <c r="X1104" i="4" l="1"/>
  <c r="X1113" i="4" s="1"/>
  <c r="X1144" i="4" s="1"/>
  <c r="W1419" i="4"/>
  <c r="W1195" i="4"/>
  <c r="W1199" i="4" s="1"/>
  <c r="W1177" i="4" s="1"/>
  <c r="W1250" i="4"/>
  <c r="W74" i="11"/>
  <c r="W78" i="11" s="1"/>
  <c r="W1227" i="4"/>
  <c r="N74" i="67"/>
  <c r="N78" i="67" s="1"/>
  <c r="W36" i="66"/>
  <c r="J162" i="15" s="1"/>
  <c r="W1309" i="4"/>
  <c r="W86" i="11"/>
  <c r="W19" i="66"/>
  <c r="W1261" i="4"/>
  <c r="W1232" i="4"/>
  <c r="N86" i="67"/>
  <c r="W1403" i="4"/>
  <c r="X49" i="11"/>
  <c r="Y457" i="4"/>
  <c r="Y468" i="4"/>
  <c r="Y479" i="4"/>
  <c r="X456" i="4"/>
  <c r="X458" i="4" s="1"/>
  <c r="X459" i="4" s="1"/>
  <c r="X478" i="4"/>
  <c r="X480" i="4" s="1"/>
  <c r="X481" i="4" s="1"/>
  <c r="X482" i="4" s="1"/>
  <c r="X483" i="4" s="1"/>
  <c r="Y477" i="4" s="1"/>
  <c r="X467" i="4"/>
  <c r="X469" i="4" s="1"/>
  <c r="X470" i="4" s="1"/>
  <c r="X471" i="4" s="1"/>
  <c r="X472" i="4" s="1"/>
  <c r="Y466" i="4" s="1"/>
  <c r="X1143" i="4"/>
  <c r="X997" i="4"/>
  <c r="X1142" i="4"/>
  <c r="X294" i="4" s="1"/>
  <c r="X1120" i="4" l="1"/>
  <c r="X460" i="4"/>
  <c r="X461" i="4" s="1"/>
  <c r="Y455" i="4" s="1"/>
  <c r="X494" i="4"/>
  <c r="X994" i="4" s="1"/>
  <c r="X1044" i="4"/>
  <c r="X1067" i="4" s="1"/>
  <c r="X1224" i="4"/>
  <c r="X1248" i="4"/>
  <c r="X73" i="11"/>
  <c r="X299" i="4"/>
  <c r="X302" i="4"/>
  <c r="Y495" i="4"/>
  <c r="Y995" i="4" s="1"/>
  <c r="W1308" i="4"/>
  <c r="W1311" i="4" s="1"/>
  <c r="W1344" i="4"/>
  <c r="X53" i="11"/>
  <c r="X52" i="11" s="1"/>
  <c r="W17" i="66"/>
  <c r="J144" i="15"/>
  <c r="W89" i="11"/>
  <c r="W39" i="66"/>
  <c r="W35" i="66" s="1"/>
  <c r="W1228" i="4"/>
  <c r="W1205" i="4" s="1"/>
  <c r="W1251" i="4"/>
  <c r="N89" i="67"/>
  <c r="W1178" i="4"/>
  <c r="J142" i="15" l="1"/>
  <c r="N19" i="72"/>
  <c r="W27" i="11"/>
  <c r="X1173" i="4"/>
  <c r="N27" i="67"/>
  <c r="W1429" i="4"/>
  <c r="W1207" i="4"/>
  <c r="W1209" i="4" s="1"/>
  <c r="X307" i="4"/>
  <c r="X331" i="4"/>
  <c r="J161" i="15"/>
  <c r="W1348" i="4"/>
  <c r="N13" i="13"/>
  <c r="X1158" i="4"/>
  <c r="X1174" i="4" s="1"/>
  <c r="X1068" i="4"/>
  <c r="X1157" i="4"/>
  <c r="W1313" i="4"/>
  <c r="N14" i="72"/>
  <c r="W1325" i="4"/>
  <c r="W1430" i="4" l="1"/>
  <c r="W1431" i="4" s="1"/>
  <c r="W1432" i="4"/>
  <c r="N15" i="72"/>
  <c r="W1363" i="4"/>
  <c r="X395" i="4"/>
  <c r="X396" i="4" s="1"/>
  <c r="X397" i="4" s="1"/>
  <c r="X398" i="4" s="1"/>
  <c r="X399" i="4" s="1"/>
  <c r="Y394" i="4" s="1"/>
  <c r="X385" i="4"/>
  <c r="X405" i="4"/>
  <c r="X406" i="4" s="1"/>
  <c r="X407" i="4" s="1"/>
  <c r="X408" i="4" s="1"/>
  <c r="X409" i="4" s="1"/>
  <c r="Y404" i="4" s="1"/>
  <c r="X1164" i="4"/>
  <c r="X1159" i="4"/>
  <c r="X332" i="4"/>
  <c r="X14" i="11" s="1"/>
  <c r="W1208" i="4"/>
  <c r="W1326" i="4"/>
  <c r="W1327" i="4" s="1"/>
  <c r="W58" i="11"/>
  <c r="W59" i="11" s="1"/>
  <c r="W28" i="11" s="1"/>
  <c r="W48" i="62"/>
  <c r="W24" i="62" s="1"/>
  <c r="W26" i="62" s="1"/>
  <c r="W1252" i="4"/>
  <c r="W90" i="11"/>
  <c r="W91" i="11" s="1"/>
  <c r="W93" i="11" s="1"/>
  <c r="W96" i="11" s="1"/>
  <c r="W97" i="11" s="1"/>
  <c r="W1229" i="4"/>
  <c r="W1230" i="4" s="1"/>
  <c r="W1234" i="4" s="1"/>
  <c r="X1213" i="4" s="1"/>
  <c r="N58" i="67"/>
  <c r="N59" i="67" s="1"/>
  <c r="N90" i="67"/>
  <c r="N91" i="67" s="1"/>
  <c r="N93" i="67" s="1"/>
  <c r="N96" i="67" s="1"/>
  <c r="N97" i="67" s="1"/>
  <c r="W22" i="66"/>
  <c r="X1051" i="4" l="1"/>
  <c r="N21" i="67"/>
  <c r="N17" i="67" s="1"/>
  <c r="N23" i="67" s="1"/>
  <c r="W1253" i="4"/>
  <c r="W1254" i="4" s="1"/>
  <c r="W1385" i="4"/>
  <c r="W1384" i="4" s="1"/>
  <c r="N1450" i="4"/>
  <c r="W21" i="11"/>
  <c r="W17" i="11" s="1"/>
  <c r="W46" i="62"/>
  <c r="W1263" i="4"/>
  <c r="W1264" i="4" s="1"/>
  <c r="W100" i="67"/>
  <c r="W101" i="11"/>
  <c r="W44" i="66"/>
  <c r="W40" i="66" s="1"/>
  <c r="W101" i="67"/>
  <c r="X95" i="11"/>
  <c r="W24" i="66"/>
  <c r="W20" i="66" s="1"/>
  <c r="W100" i="11"/>
  <c r="W1364" i="4"/>
  <c r="W1365" i="4" s="1"/>
  <c r="X85" i="11"/>
  <c r="X1231" i="4"/>
  <c r="X42" i="62"/>
  <c r="X1260" i="4"/>
  <c r="X1167" i="4"/>
  <c r="X1168" i="4" s="1"/>
  <c r="N28" i="67"/>
  <c r="N25" i="67" s="1"/>
  <c r="N37" i="67" s="1"/>
  <c r="W25" i="11"/>
  <c r="O95" i="67"/>
  <c r="X500" i="4"/>
  <c r="X489" i="4"/>
  <c r="X386" i="4"/>
  <c r="X387" i="4" s="1"/>
  <c r="N39" i="67" l="1"/>
  <c r="N40" i="67" s="1"/>
  <c r="W99" i="11"/>
  <c r="W1266" i="4"/>
  <c r="N99" i="67"/>
  <c r="X26" i="11"/>
  <c r="Y1163" i="4"/>
  <c r="J150" i="15"/>
  <c r="J171" i="15"/>
  <c r="W1386" i="4"/>
  <c r="W1383" i="4" s="1"/>
  <c r="W23" i="11"/>
  <c r="J146" i="15"/>
  <c r="W26" i="66"/>
  <c r="X52" i="62"/>
  <c r="X43" i="62"/>
  <c r="X23" i="62" s="1"/>
  <c r="X16" i="66" s="1"/>
  <c r="W37" i="11"/>
  <c r="W1398" i="4"/>
  <c r="W1393" i="4" s="1"/>
  <c r="W1397" i="4"/>
  <c r="W1392" i="4" s="1"/>
  <c r="J167" i="15"/>
  <c r="W46" i="66"/>
  <c r="X501" i="4"/>
  <c r="X502" i="4" s="1"/>
  <c r="X490" i="4"/>
  <c r="X491" i="4" s="1"/>
  <c r="X388" i="4"/>
  <c r="X389" i="4" s="1"/>
  <c r="Y384" i="4" s="1"/>
  <c r="W39" i="11" l="1"/>
  <c r="W40" i="11" s="1"/>
  <c r="X64" i="62"/>
  <c r="X51" i="11"/>
  <c r="W1439" i="4"/>
  <c r="W1440" i="4" s="1"/>
  <c r="W1396" i="4"/>
  <c r="W1391" i="4" s="1"/>
  <c r="Y499" i="4"/>
  <c r="Y1023" i="4" s="1"/>
  <c r="X1024" i="4"/>
  <c r="X1026" i="4" s="1"/>
  <c r="X1027" i="4" s="1"/>
  <c r="X1028" i="4" s="1"/>
  <c r="J173" i="15"/>
  <c r="X14" i="66"/>
  <c r="X15" i="11"/>
  <c r="X13" i="11" s="1"/>
  <c r="Y488" i="4"/>
  <c r="W48" i="66"/>
  <c r="J152" i="15"/>
  <c r="X907" i="4" l="1"/>
  <c r="X911" i="4" s="1"/>
  <c r="X62" i="64"/>
  <c r="X13" i="66"/>
  <c r="X28" i="66" l="1"/>
  <c r="X27" i="66" s="1"/>
  <c r="X70" i="64"/>
  <c r="X78" i="64"/>
  <c r="X71" i="11"/>
  <c r="X1217" i="4"/>
  <c r="X1221" i="4" s="1"/>
  <c r="X1043" i="4"/>
  <c r="X915" i="4"/>
  <c r="X1243" i="4"/>
  <c r="X47" i="11" l="1"/>
  <c r="X996" i="4"/>
  <c r="X1000" i="4" s="1"/>
  <c r="X1004" i="4" s="1"/>
  <c r="X1012" i="4" l="1"/>
  <c r="X1005" i="4"/>
  <c r="X1016" i="4" s="1"/>
  <c r="X1013" i="4" s="1"/>
  <c r="X1006" i="4" s="1"/>
  <c r="X1007" i="4" s="1"/>
  <c r="X62" i="11"/>
  <c r="X61" i="11"/>
  <c r="X48" i="11"/>
  <c r="X55" i="11" s="1"/>
  <c r="X63" i="11" l="1"/>
  <c r="X64" i="11"/>
  <c r="X62" i="62"/>
  <c r="X63" i="62" s="1"/>
  <c r="X67" i="62" s="1"/>
  <c r="X1395" i="4"/>
  <c r="X1246" i="4"/>
  <c r="X1046" i="4"/>
  <c r="X1053" i="4" s="1"/>
  <c r="X1055" i="4" s="1"/>
  <c r="X1058" i="4" s="1"/>
  <c r="X61" i="64"/>
  <c r="X75" i="11"/>
  <c r="X56" i="11"/>
  <c r="X57" i="11" s="1"/>
  <c r="X1222" i="4"/>
  <c r="X1223" i="4" s="1"/>
  <c r="X1014" i="4"/>
  <c r="Y1011" i="4" s="1"/>
  <c r="X66" i="64" l="1"/>
  <c r="X40" i="64" s="1"/>
  <c r="X42" i="64" s="1"/>
  <c r="X77" i="64"/>
  <c r="X82" i="64" s="1"/>
  <c r="X69" i="64"/>
  <c r="X74" i="64" s="1"/>
  <c r="X68" i="62"/>
  <c r="X1236" i="4"/>
  <c r="X1394" i="4"/>
  <c r="X1206" i="4"/>
  <c r="X1116" i="4" l="1"/>
  <c r="X1117" i="4" s="1"/>
  <c r="X1119" i="4" s="1"/>
  <c r="X1121" i="4" s="1"/>
  <c r="X1087" i="4" s="1"/>
  <c r="X49" i="64"/>
  <c r="X52" i="64"/>
  <c r="X1137" i="4" l="1"/>
  <c r="X1088" i="4"/>
  <c r="Y1085" i="4" l="1"/>
  <c r="Y1130" i="4"/>
  <c r="Y1148" i="4" s="1"/>
  <c r="X1247" i="4"/>
  <c r="X1347" i="4"/>
  <c r="X1404" i="4"/>
  <c r="X1406" i="4" s="1"/>
  <c r="X38" i="66"/>
  <c r="X88" i="11"/>
  <c r="X1225" i="4"/>
  <c r="X1226" i="4" s="1"/>
  <c r="X1138" i="4"/>
  <c r="X1438" i="4" l="1"/>
  <c r="X31" i="11"/>
  <c r="X1412" i="4"/>
  <c r="Y1135" i="4"/>
  <c r="X1428" i="4"/>
  <c r="X1204" i="4"/>
  <c r="X1194" i="4"/>
  <c r="Y1086" i="4"/>
  <c r="Y1136" i="4" l="1"/>
  <c r="Y1129" i="4"/>
  <c r="Y1147" i="4" s="1"/>
  <c r="Y1149" i="4" s="1"/>
  <c r="Y1125" i="4"/>
  <c r="Y1101" i="4"/>
  <c r="X1197" i="4"/>
  <c r="X1198" i="4" s="1"/>
  <c r="X1188" i="4" s="1"/>
  <c r="X1175" i="4"/>
  <c r="Y1415" i="4"/>
  <c r="X1413" i="4"/>
  <c r="X1422" i="4" s="1"/>
  <c r="X45" i="62"/>
  <c r="X30" i="11"/>
  <c r="X1189" i="4" l="1"/>
  <c r="X1187" i="4"/>
  <c r="X1176" i="4" s="1"/>
  <c r="Y1102" i="4"/>
  <c r="Y1112" i="4"/>
  <c r="Y1141" i="4" s="1"/>
  <c r="Y1103" i="4"/>
  <c r="Y1092" i="4" s="1"/>
  <c r="Y1093" i="4" s="1"/>
  <c r="Y1111" i="4" s="1"/>
  <c r="X1418" i="4"/>
  <c r="X1416" i="4"/>
  <c r="Y50" i="11"/>
  <c r="Y1045" i="4"/>
  <c r="Y1249" i="4"/>
  <c r="Y999" i="4"/>
  <c r="Y1218" i="4"/>
  <c r="Y72" i="11"/>
  <c r="Y297" i="4"/>
  <c r="Y305" i="4" s="1"/>
  <c r="Y330" i="4" s="1"/>
  <c r="Y37" i="66"/>
  <c r="X1184" i="4"/>
  <c r="X1191" i="4" s="1"/>
  <c r="X1180" i="4"/>
  <c r="Y18" i="66"/>
  <c r="Y1259" i="4"/>
  <c r="Y87" i="11"/>
  <c r="Y1233" i="4"/>
  <c r="Y1346" i="4"/>
  <c r="X1419" i="4" l="1"/>
  <c r="Z479" i="4"/>
  <c r="Z468" i="4"/>
  <c r="Z457" i="4"/>
  <c r="Y456" i="4"/>
  <c r="Y458" i="4" s="1"/>
  <c r="Y459" i="4" s="1"/>
  <c r="Y467" i="4"/>
  <c r="Y469" i="4" s="1"/>
  <c r="Y470" i="4" s="1"/>
  <c r="Y471" i="4" s="1"/>
  <c r="Y472" i="4" s="1"/>
  <c r="Z466" i="4" s="1"/>
  <c r="Y478" i="4"/>
  <c r="Y480" i="4" s="1"/>
  <c r="Y481" i="4" s="1"/>
  <c r="Y482" i="4" s="1"/>
  <c r="Y483" i="4" s="1"/>
  <c r="Z477" i="4" s="1"/>
  <c r="Y997" i="4"/>
  <c r="Y1142" i="4"/>
  <c r="Y294" i="4" s="1"/>
  <c r="Y1143" i="4"/>
  <c r="X86" i="11"/>
  <c r="X1261" i="4"/>
  <c r="X1232" i="4"/>
  <c r="X19" i="66"/>
  <c r="X1403" i="4"/>
  <c r="Y1104" i="4"/>
  <c r="Y49" i="11"/>
  <c r="X1250" i="4"/>
  <c r="X74" i="11"/>
  <c r="X78" i="11" s="1"/>
  <c r="X1227" i="4"/>
  <c r="X1195" i="4"/>
  <c r="X1199" i="4" s="1"/>
  <c r="X1177" i="4" s="1"/>
  <c r="X36" i="66"/>
  <c r="X1309" i="4"/>
  <c r="Z495" i="4" l="1"/>
  <c r="Z995" i="4" s="1"/>
  <c r="Y460" i="4"/>
  <c r="Y461" i="4" s="1"/>
  <c r="Z455" i="4" s="1"/>
  <c r="Y494" i="4"/>
  <c r="Y994" i="4" s="1"/>
  <c r="Y53" i="11"/>
  <c r="Y52" i="11" s="1"/>
  <c r="Y1113" i="4"/>
  <c r="Y1144" i="4" s="1"/>
  <c r="Y1120" i="4"/>
  <c r="Y299" i="4"/>
  <c r="Y302" i="4"/>
  <c r="X1228" i="4"/>
  <c r="X1205" i="4" s="1"/>
  <c r="X1251" i="4"/>
  <c r="X89" i="11"/>
  <c r="X39" i="66"/>
  <c r="X35" i="66" s="1"/>
  <c r="X1178" i="4"/>
  <c r="X17" i="66"/>
  <c r="X1308" i="4"/>
  <c r="X1311" i="4" s="1"/>
  <c r="X1344" i="4"/>
  <c r="Y307" i="4" l="1"/>
  <c r="Y331" i="4"/>
  <c r="X1348" i="4"/>
  <c r="X1313" i="4"/>
  <c r="X1325" i="4"/>
  <c r="Y1248" i="4"/>
  <c r="Y73" i="11"/>
  <c r="Y1224" i="4"/>
  <c r="Y1044" i="4"/>
  <c r="Y1067" i="4" s="1"/>
  <c r="X1207" i="4"/>
  <c r="X1209" i="4" s="1"/>
  <c r="X27" i="11"/>
  <c r="Y1173" i="4"/>
  <c r="X1429" i="4"/>
  <c r="Y332" i="4" l="1"/>
  <c r="Y14" i="11" s="1"/>
  <c r="X1208" i="4"/>
  <c r="Y1157" i="4"/>
  <c r="Y1158" i="4"/>
  <c r="Y1174" i="4" s="1"/>
  <c r="Y1068" i="4"/>
  <c r="X1363" i="4"/>
  <c r="X1430" i="4"/>
  <c r="X1431" i="4" s="1"/>
  <c r="X1432" i="4"/>
  <c r="X48" i="62"/>
  <c r="X24" i="62" s="1"/>
  <c r="X26" i="62" s="1"/>
  <c r="X1252" i="4"/>
  <c r="X1229" i="4"/>
  <c r="X1230" i="4" s="1"/>
  <c r="X1234" i="4" s="1"/>
  <c r="Y1213" i="4" s="1"/>
  <c r="X58" i="11"/>
  <c r="X59" i="11" s="1"/>
  <c r="X28" i="11" s="1"/>
  <c r="X90" i="11"/>
  <c r="X91" i="11" s="1"/>
  <c r="X93" i="11" s="1"/>
  <c r="X96" i="11" s="1"/>
  <c r="X97" i="11" s="1"/>
  <c r="X22" i="66"/>
  <c r="Y405" i="4"/>
  <c r="Y406" i="4" s="1"/>
  <c r="Y407" i="4" s="1"/>
  <c r="Y408" i="4" s="1"/>
  <c r="Y409" i="4" s="1"/>
  <c r="Z404" i="4" s="1"/>
  <c r="Y395" i="4"/>
  <c r="Y396" i="4" s="1"/>
  <c r="Y397" i="4" s="1"/>
  <c r="Y398" i="4" s="1"/>
  <c r="Y399" i="4" s="1"/>
  <c r="Z394" i="4" s="1"/>
  <c r="Y385" i="4"/>
  <c r="X1326" i="4"/>
  <c r="X1327" i="4" s="1"/>
  <c r="X1364" i="4" l="1"/>
  <c r="X1365" i="4" s="1"/>
  <c r="X101" i="11"/>
  <c r="Y95" i="11"/>
  <c r="X46" i="62"/>
  <c r="X24" i="66"/>
  <c r="X101" i="67"/>
  <c r="X1263" i="4"/>
  <c r="X1264" i="4" s="1"/>
  <c r="X100" i="67"/>
  <c r="X1253" i="4"/>
  <c r="X1254" i="4" s="1"/>
  <c r="X44" i="66"/>
  <c r="X40" i="66" s="1"/>
  <c r="X1385" i="4"/>
  <c r="X1384" i="4" s="1"/>
  <c r="X21" i="11"/>
  <c r="X17" i="11" s="1"/>
  <c r="X100" i="11"/>
  <c r="Y500" i="4"/>
  <c r="Y489" i="4"/>
  <c r="Y386" i="4"/>
  <c r="Y387" i="4" s="1"/>
  <c r="Y1051" i="4"/>
  <c r="Y1164" i="4"/>
  <c r="Y1159" i="4"/>
  <c r="X25" i="11"/>
  <c r="X99" i="11" l="1"/>
  <c r="X1266" i="4"/>
  <c r="X1386" i="4"/>
  <c r="X1383" i="4" s="1"/>
  <c r="X23" i="11"/>
  <c r="Y490" i="4"/>
  <c r="Y501" i="4"/>
  <c r="Y502" i="4" s="1"/>
  <c r="Y388" i="4"/>
  <c r="Y389" i="4" s="1"/>
  <c r="Z384" i="4" s="1"/>
  <c r="X46" i="66"/>
  <c r="X37" i="11"/>
  <c r="X1398" i="4"/>
  <c r="X1393" i="4" s="1"/>
  <c r="X1397" i="4"/>
  <c r="X1392" i="4" s="1"/>
  <c r="Y85" i="11"/>
  <c r="Y1167" i="4"/>
  <c r="Y1168" i="4" s="1"/>
  <c r="Y1260" i="4"/>
  <c r="Y42" i="62"/>
  <c r="Y1231" i="4"/>
  <c r="X20" i="66"/>
  <c r="X39" i="11" l="1"/>
  <c r="X40" i="11" s="1"/>
  <c r="Z1163" i="4"/>
  <c r="Y26" i="11"/>
  <c r="Y1024" i="4"/>
  <c r="Y1026" i="4" s="1"/>
  <c r="Y1027" i="4" s="1"/>
  <c r="Y1028" i="4" s="1"/>
  <c r="Z499" i="4"/>
  <c r="X26" i="66"/>
  <c r="X48" i="66" s="1"/>
  <c r="Y51" i="11"/>
  <c r="Y64" i="62"/>
  <c r="X1439" i="4"/>
  <c r="X1440" i="4" s="1"/>
  <c r="X1396" i="4"/>
  <c r="X1391" i="4" s="1"/>
  <c r="Y491" i="4"/>
  <c r="Y52" i="62"/>
  <c r="Y43" i="62"/>
  <c r="Y23" i="62" s="1"/>
  <c r="Y16" i="66" s="1"/>
  <c r="Y14" i="66" l="1"/>
  <c r="Y15" i="11"/>
  <c r="Y13" i="11" s="1"/>
  <c r="Z488" i="4"/>
  <c r="Z1023" i="4"/>
  <c r="Y62" i="64"/>
  <c r="Y907" i="4"/>
  <c r="Y911" i="4" s="1"/>
  <c r="Y78" i="64" l="1"/>
  <c r="Y70" i="64"/>
  <c r="Y13" i="66"/>
  <c r="Y1243" i="4"/>
  <c r="Y915" i="4"/>
  <c r="Y71" i="11"/>
  <c r="Y1043" i="4"/>
  <c r="Y1217" i="4"/>
  <c r="Y1221" i="4" s="1"/>
  <c r="Y996" i="4" l="1"/>
  <c r="Y1000" i="4" s="1"/>
  <c r="Y1004" i="4" s="1"/>
  <c r="Y47" i="11"/>
  <c r="Y28" i="66"/>
  <c r="Y27" i="66" s="1"/>
  <c r="Y61" i="11" l="1"/>
  <c r="Y62" i="11"/>
  <c r="Y48" i="11"/>
  <c r="Y55" i="11" s="1"/>
  <c r="Y1012" i="4"/>
  <c r="Y1005" i="4"/>
  <c r="Y1016" i="4" s="1"/>
  <c r="Y1013" i="4" s="1"/>
  <c r="Y1006" i="4" s="1"/>
  <c r="Y1007" i="4" s="1"/>
  <c r="Y1246" i="4" l="1"/>
  <c r="Y61" i="64"/>
  <c r="Y56" i="11"/>
  <c r="Y57" i="11" s="1"/>
  <c r="Y1046" i="4"/>
  <c r="Y1053" i="4" s="1"/>
  <c r="Y1055" i="4" s="1"/>
  <c r="Y1058" i="4" s="1"/>
  <c r="Y75" i="11"/>
  <c r="Y1222" i="4"/>
  <c r="Y1223" i="4" s="1"/>
  <c r="Y1014" i="4"/>
  <c r="Z1011" i="4" s="1"/>
  <c r="Y1395" i="4"/>
  <c r="Y64" i="11"/>
  <c r="Y62" i="62"/>
  <c r="Y63" i="62" s="1"/>
  <c r="Y67" i="62" s="1"/>
  <c r="Y63" i="11"/>
  <c r="Y68" i="62" l="1"/>
  <c r="Y1236" i="4"/>
  <c r="Y1394" i="4"/>
  <c r="Y1206" i="4"/>
  <c r="Y69" i="64"/>
  <c r="Y74" i="64" s="1"/>
  <c r="Y66" i="64"/>
  <c r="Y40" i="64" s="1"/>
  <c r="Y42" i="64" s="1"/>
  <c r="Y77" i="64"/>
  <c r="Y82" i="64" s="1"/>
  <c r="Y1116" i="4" l="1"/>
  <c r="Y1117" i="4" s="1"/>
  <c r="Y1119" i="4" s="1"/>
  <c r="Y1121" i="4" s="1"/>
  <c r="Y1087" i="4" s="1"/>
  <c r="Y49" i="64"/>
  <c r="Y52" i="64"/>
  <c r="Y1137" i="4" l="1"/>
  <c r="Y1088" i="4"/>
  <c r="Z1085" i="4" l="1"/>
  <c r="Z1130" i="4"/>
  <c r="Z1148" i="4" s="1"/>
  <c r="Y1247" i="4"/>
  <c r="Y38" i="66"/>
  <c r="Y88" i="11"/>
  <c r="Y1347" i="4"/>
  <c r="Y1225" i="4"/>
  <c r="Y1226" i="4" s="1"/>
  <c r="Y1138" i="4"/>
  <c r="Y1404" i="4"/>
  <c r="Y1406" i="4" s="1"/>
  <c r="Y1204" i="4" l="1"/>
  <c r="Y1194" i="4"/>
  <c r="Y1412" i="4"/>
  <c r="Y1438" i="4"/>
  <c r="Y31" i="11"/>
  <c r="Z1135" i="4"/>
  <c r="Y1428" i="4"/>
  <c r="Z1086" i="4"/>
  <c r="Z1136" i="4" l="1"/>
  <c r="Z1129" i="4"/>
  <c r="Z1147" i="4" s="1"/>
  <c r="Z1149" i="4" s="1"/>
  <c r="Z1125" i="4"/>
  <c r="Z1101" i="4"/>
  <c r="Z1415" i="4"/>
  <c r="Y30" i="11"/>
  <c r="Y45" i="62"/>
  <c r="Y1413" i="4"/>
  <c r="Y1422" i="4" s="1"/>
  <c r="Y1175" i="4"/>
  <c r="Y1197" i="4"/>
  <c r="Y1198" i="4" s="1"/>
  <c r="Y1188" i="4" s="1"/>
  <c r="Y1180" i="4" l="1"/>
  <c r="Y1184" i="4"/>
  <c r="Y1191" i="4" s="1"/>
  <c r="Z1103" i="4"/>
  <c r="Z1092" i="4" s="1"/>
  <c r="Z1093" i="4" s="1"/>
  <c r="Z1111" i="4" s="1"/>
  <c r="Z1112" i="4"/>
  <c r="Z1141" i="4" s="1"/>
  <c r="Z1102" i="4"/>
  <c r="Y1418" i="4"/>
  <c r="Y1416" i="4"/>
  <c r="Z37" i="66"/>
  <c r="Z1249" i="4"/>
  <c r="Z1045" i="4"/>
  <c r="Z50" i="11"/>
  <c r="Z72" i="11"/>
  <c r="Z999" i="4"/>
  <c r="Z297" i="4"/>
  <c r="Z305" i="4" s="1"/>
  <c r="Z330" i="4" s="1"/>
  <c r="Z1218" i="4"/>
  <c r="Y1187" i="4"/>
  <c r="Y1176" i="4" s="1"/>
  <c r="Y1189" i="4"/>
  <c r="Z1233" i="4"/>
  <c r="Z1346" i="4"/>
  <c r="Z1259" i="4"/>
  <c r="Z18" i="66"/>
  <c r="Z87" i="11"/>
  <c r="Z1104" i="4" l="1"/>
  <c r="Z1113" i="4" s="1"/>
  <c r="Z1144" i="4" s="1"/>
  <c r="Y1419" i="4"/>
  <c r="AA479" i="4"/>
  <c r="AA468" i="4"/>
  <c r="AA457" i="4"/>
  <c r="Z456" i="4"/>
  <c r="Z458" i="4" s="1"/>
  <c r="Z459" i="4" s="1"/>
  <c r="Z467" i="4"/>
  <c r="Z469" i="4" s="1"/>
  <c r="Z470" i="4" s="1"/>
  <c r="Z471" i="4" s="1"/>
  <c r="Z472" i="4" s="1"/>
  <c r="AA466" i="4" s="1"/>
  <c r="Z478" i="4"/>
  <c r="Z480" i="4" s="1"/>
  <c r="Z481" i="4" s="1"/>
  <c r="Z482" i="4" s="1"/>
  <c r="Z483" i="4" s="1"/>
  <c r="AA477" i="4" s="1"/>
  <c r="Z49" i="11"/>
  <c r="Z1143" i="4"/>
  <c r="Z997" i="4"/>
  <c r="Z1142" i="4"/>
  <c r="Z294" i="4" s="1"/>
  <c r="Y1227" i="4"/>
  <c r="Y1195" i="4"/>
  <c r="Y1199" i="4" s="1"/>
  <c r="Y1177" i="4" s="1"/>
  <c r="Y1250" i="4"/>
  <c r="Y74" i="11"/>
  <c r="Y78" i="11" s="1"/>
  <c r="Y36" i="66"/>
  <c r="Y1309" i="4"/>
  <c r="Y86" i="11"/>
  <c r="Y1261" i="4"/>
  <c r="Y1232" i="4"/>
  <c r="Y19" i="66"/>
  <c r="Y1403" i="4"/>
  <c r="Z1120" i="4" l="1"/>
  <c r="AA495" i="4"/>
  <c r="AA995" i="4" s="1"/>
  <c r="Z53" i="11"/>
  <c r="Z52" i="11" s="1"/>
  <c r="Y17" i="66"/>
  <c r="Y1344" i="4"/>
  <c r="Y1308" i="4"/>
  <c r="Y1311" i="4" s="1"/>
  <c r="Z73" i="11"/>
  <c r="Z1224" i="4"/>
  <c r="Z1044" i="4"/>
  <c r="Z1067" i="4" s="1"/>
  <c r="Z1248" i="4"/>
  <c r="Y39" i="66"/>
  <c r="Y35" i="66" s="1"/>
  <c r="Y1228" i="4"/>
  <c r="Y1205" i="4" s="1"/>
  <c r="Y1251" i="4"/>
  <c r="Y89" i="11"/>
  <c r="Z299" i="4"/>
  <c r="Z302" i="4"/>
  <c r="Z460" i="4"/>
  <c r="Z461" i="4" s="1"/>
  <c r="AA455" i="4" s="1"/>
  <c r="Z494" i="4"/>
  <c r="Z994" i="4" s="1"/>
  <c r="Y1178" i="4"/>
  <c r="Y1207" i="4" l="1"/>
  <c r="Y1209" i="4" s="1"/>
  <c r="Z307" i="4"/>
  <c r="Z331" i="4"/>
  <c r="Y1313" i="4"/>
  <c r="Y1325" i="4"/>
  <c r="Y27" i="11"/>
  <c r="Z1173" i="4"/>
  <c r="Y1429" i="4"/>
  <c r="Y1348" i="4"/>
  <c r="Z1068" i="4"/>
  <c r="Z1158" i="4"/>
  <c r="Z1174" i="4" s="1"/>
  <c r="Z1157" i="4"/>
  <c r="Y1363" i="4" l="1"/>
  <c r="Z1164" i="4"/>
  <c r="Z1159" i="4"/>
  <c r="Y1432" i="4"/>
  <c r="Y1430" i="4"/>
  <c r="Y1431" i="4" s="1"/>
  <c r="Z405" i="4"/>
  <c r="Z406" i="4" s="1"/>
  <c r="Z407" i="4" s="1"/>
  <c r="Z408" i="4" s="1"/>
  <c r="Z409" i="4" s="1"/>
  <c r="AA404" i="4" s="1"/>
  <c r="Z395" i="4"/>
  <c r="Z396" i="4" s="1"/>
  <c r="Z397" i="4" s="1"/>
  <c r="Z398" i="4" s="1"/>
  <c r="Z399" i="4" s="1"/>
  <c r="AA394" i="4" s="1"/>
  <c r="Z385" i="4"/>
  <c r="Z332" i="4"/>
  <c r="Z14" i="11" s="1"/>
  <c r="Y1208" i="4"/>
  <c r="Y1326" i="4"/>
  <c r="Y1327" i="4" s="1"/>
  <c r="Y48" i="62"/>
  <c r="Y24" i="62" s="1"/>
  <c r="Y26" i="62" s="1"/>
  <c r="Y1229" i="4"/>
  <c r="Y1230" i="4" s="1"/>
  <c r="Y1234" i="4" s="1"/>
  <c r="Z1213" i="4" s="1"/>
  <c r="Y1252" i="4"/>
  <c r="Y90" i="11"/>
  <c r="Y91" i="11" s="1"/>
  <c r="Y93" i="11" s="1"/>
  <c r="Y96" i="11" s="1"/>
  <c r="Y97" i="11" s="1"/>
  <c r="Y58" i="11"/>
  <c r="Y59" i="11" s="1"/>
  <c r="Y28" i="11" s="1"/>
  <c r="Y22" i="66"/>
  <c r="Y25" i="11" l="1"/>
  <c r="Y46" i="62"/>
  <c r="Y101" i="11"/>
  <c r="Z95" i="11"/>
  <c r="Y1253" i="4"/>
  <c r="Y1254" i="4" s="1"/>
  <c r="Y100" i="67"/>
  <c r="Y1263" i="4"/>
  <c r="Y1264" i="4" s="1"/>
  <c r="Y44" i="66"/>
  <c r="Y40" i="66" s="1"/>
  <c r="Y21" i="11"/>
  <c r="Y17" i="11" s="1"/>
  <c r="Y24" i="66"/>
  <c r="Y20" i="66" s="1"/>
  <c r="Y100" i="11"/>
  <c r="Y101" i="67"/>
  <c r="Y1385" i="4"/>
  <c r="Y1384" i="4" s="1"/>
  <c r="Z1051" i="4"/>
  <c r="Z489" i="4"/>
  <c r="Z500" i="4"/>
  <c r="Z386" i="4"/>
  <c r="Z387" i="4" s="1"/>
  <c r="Z85" i="11"/>
  <c r="Z1167" i="4"/>
  <c r="Z1168" i="4" s="1"/>
  <c r="Z1231" i="4"/>
  <c r="Z42" i="62"/>
  <c r="Z1260" i="4"/>
  <c r="Y1364" i="4"/>
  <c r="Y1365" i="4" s="1"/>
  <c r="Y99" i="11" l="1"/>
  <c r="Z52" i="62"/>
  <c r="Z43" i="62"/>
  <c r="Z23" i="62" s="1"/>
  <c r="Z16" i="66" s="1"/>
  <c r="AA1163" i="4"/>
  <c r="Z26" i="11"/>
  <c r="Y1266" i="4"/>
  <c r="Y26" i="66"/>
  <c r="Z388" i="4"/>
  <c r="Z389" i="4" s="1"/>
  <c r="AA384" i="4" s="1"/>
  <c r="Z490" i="4"/>
  <c r="Z501" i="4"/>
  <c r="Z502" i="4" s="1"/>
  <c r="Y1386" i="4"/>
  <c r="Y1383" i="4" s="1"/>
  <c r="Y23" i="11"/>
  <c r="Y1398" i="4"/>
  <c r="Y1393" i="4" s="1"/>
  <c r="Y1397" i="4"/>
  <c r="Y1392" i="4" s="1"/>
  <c r="Y37" i="11"/>
  <c r="Y46" i="66"/>
  <c r="Y39" i="11" l="1"/>
  <c r="Y40" i="11" s="1"/>
  <c r="Z1024" i="4"/>
  <c r="Z1026" i="4" s="1"/>
  <c r="Z1027" i="4" s="1"/>
  <c r="Z1028" i="4" s="1"/>
  <c r="AA499" i="4"/>
  <c r="AA1023" i="4" s="1"/>
  <c r="Z491" i="4"/>
  <c r="Z51" i="11"/>
  <c r="Z64" i="62"/>
  <c r="Y1439" i="4"/>
  <c r="Y1440" i="4" s="1"/>
  <c r="Y1396" i="4"/>
  <c r="Y1391" i="4" s="1"/>
  <c r="Y48" i="66"/>
  <c r="Z14" i="66"/>
  <c r="Z13" i="66" l="1"/>
  <c r="AA488" i="4"/>
  <c r="Z15" i="11"/>
  <c r="Z13" i="11" s="1"/>
  <c r="Z62" i="64"/>
  <c r="Z907" i="4"/>
  <c r="Z911" i="4" s="1"/>
  <c r="Z915" i="4" l="1"/>
  <c r="Z71" i="11"/>
  <c r="Z1243" i="4"/>
  <c r="Z1217" i="4"/>
  <c r="Z1221" i="4" s="1"/>
  <c r="Z1043" i="4"/>
  <c r="Z78" i="64"/>
  <c r="Z70" i="64"/>
  <c r="Z28" i="66"/>
  <c r="Z27" i="66" s="1"/>
  <c r="Z996" i="4" l="1"/>
  <c r="Z1000" i="4" s="1"/>
  <c r="Z1004" i="4" s="1"/>
  <c r="Z47" i="11"/>
  <c r="Z62" i="11" l="1"/>
  <c r="Z48" i="11"/>
  <c r="Z55" i="11" s="1"/>
  <c r="Z61" i="11"/>
  <c r="Z1005" i="4"/>
  <c r="Z1016" i="4" s="1"/>
  <c r="Z1013" i="4" s="1"/>
  <c r="Z1006" i="4" s="1"/>
  <c r="Z1007" i="4" s="1"/>
  <c r="Z1012" i="4"/>
  <c r="Z1014" i="4" l="1"/>
  <c r="AA1011" i="4" s="1"/>
  <c r="Z56" i="11"/>
  <c r="Z57" i="11" s="1"/>
  <c r="Z75" i="11"/>
  <c r="Z1046" i="4"/>
  <c r="Z1053" i="4" s="1"/>
  <c r="Z1055" i="4" s="1"/>
  <c r="Z1058" i="4" s="1"/>
  <c r="Z61" i="64"/>
  <c r="Z1222" i="4"/>
  <c r="Z1223" i="4" s="1"/>
  <c r="Z1246" i="4"/>
  <c r="Z63" i="11"/>
  <c r="Z1395" i="4"/>
  <c r="Z64" i="11"/>
  <c r="Z62" i="62"/>
  <c r="Z63" i="62" s="1"/>
  <c r="Z67" i="62" s="1"/>
  <c r="Z68" i="62" l="1"/>
  <c r="Z1236" i="4"/>
  <c r="Z69" i="64"/>
  <c r="Z74" i="64" s="1"/>
  <c r="Z66" i="64"/>
  <c r="Z40" i="64" s="1"/>
  <c r="Z42" i="64" s="1"/>
  <c r="Z77" i="64"/>
  <c r="Z82" i="64" s="1"/>
  <c r="Z1394" i="4"/>
  <c r="Z1206" i="4"/>
  <c r="Z52" i="64" l="1"/>
  <c r="Z49" i="64"/>
  <c r="Z1116" i="4"/>
  <c r="Z1117" i="4" s="1"/>
  <c r="Z1119" i="4" s="1"/>
  <c r="Z1121" i="4" s="1"/>
  <c r="Z1087" i="4" s="1"/>
  <c r="Z1137" i="4" l="1"/>
  <c r="Z1088" i="4"/>
  <c r="AA1085" i="4" l="1"/>
  <c r="AA1130" i="4"/>
  <c r="AA1148" i="4" s="1"/>
  <c r="Z1247" i="4"/>
  <c r="Z1225" i="4"/>
  <c r="Z1226" i="4" s="1"/>
  <c r="Z38" i="66"/>
  <c r="Z1404" i="4"/>
  <c r="Z1406" i="4" s="1"/>
  <c r="Z1347" i="4"/>
  <c r="Z88" i="11"/>
  <c r="Z1138" i="4"/>
  <c r="Z1204" i="4" l="1"/>
  <c r="Z1194" i="4"/>
  <c r="AA1135" i="4"/>
  <c r="Z1428" i="4"/>
  <c r="Z31" i="11"/>
  <c r="Z1412" i="4"/>
  <c r="Z1438" i="4"/>
  <c r="AA1086" i="4"/>
  <c r="AA1129" i="4" l="1"/>
  <c r="AA1147" i="4" s="1"/>
  <c r="AA1149" i="4" s="1"/>
  <c r="AA1136" i="4"/>
  <c r="AA1125" i="4"/>
  <c r="AA1101" i="4"/>
  <c r="Z1413" i="4"/>
  <c r="Z30" i="11"/>
  <c r="Z45" i="62"/>
  <c r="AA1415" i="4"/>
  <c r="Z1175" i="4"/>
  <c r="Z1197" i="4"/>
  <c r="Z1198" i="4" s="1"/>
  <c r="Z1188" i="4" s="1"/>
  <c r="Z1180" i="4" l="1"/>
  <c r="Z1184" i="4"/>
  <c r="Z1191" i="4" s="1"/>
  <c r="Z1418" i="4"/>
  <c r="Z1416" i="4"/>
  <c r="AA1103" i="4"/>
  <c r="AA1092" i="4" s="1"/>
  <c r="AA1093" i="4" s="1"/>
  <c r="AA1111" i="4" s="1"/>
  <c r="AA1102" i="4"/>
  <c r="AA1112" i="4"/>
  <c r="AA1141" i="4" s="1"/>
  <c r="AA1259" i="4"/>
  <c r="AA87" i="11"/>
  <c r="AA18" i="66"/>
  <c r="AA1233" i="4"/>
  <c r="AA1346" i="4"/>
  <c r="O87" i="67"/>
  <c r="Z1187" i="4"/>
  <c r="Z1176" i="4" s="1"/>
  <c r="Z1189" i="4"/>
  <c r="Z1422" i="4"/>
  <c r="AA72" i="11"/>
  <c r="AA1249" i="4"/>
  <c r="AA1218" i="4"/>
  <c r="AA1045" i="4"/>
  <c r="AA999" i="4"/>
  <c r="AA297" i="4"/>
  <c r="AA305" i="4" s="1"/>
  <c r="AA330" i="4" s="1"/>
  <c r="AA50" i="11"/>
  <c r="AA37" i="66"/>
  <c r="O72" i="67"/>
  <c r="AA1104" i="4" l="1"/>
  <c r="AA1113" i="4" s="1"/>
  <c r="AA1144" i="4" s="1"/>
  <c r="Z1419" i="4"/>
  <c r="AB479" i="4"/>
  <c r="AB468" i="4"/>
  <c r="AB457" i="4"/>
  <c r="AA456" i="4"/>
  <c r="AA458" i="4" s="1"/>
  <c r="AA459" i="4" s="1"/>
  <c r="AA467" i="4"/>
  <c r="AA469" i="4" s="1"/>
  <c r="AA470" i="4" s="1"/>
  <c r="AA471" i="4" s="1"/>
  <c r="AA472" i="4" s="1"/>
  <c r="AB466" i="4" s="1"/>
  <c r="AA478" i="4"/>
  <c r="AA480" i="4" s="1"/>
  <c r="AA481" i="4" s="1"/>
  <c r="AA482" i="4" s="1"/>
  <c r="AA483" i="4" s="1"/>
  <c r="AB477" i="4" s="1"/>
  <c r="AA1142" i="4"/>
  <c r="AA294" i="4" s="1"/>
  <c r="AA1143" i="4"/>
  <c r="AA997" i="4"/>
  <c r="Z1232" i="4"/>
  <c r="Z19" i="66"/>
  <c r="Z1261" i="4"/>
  <c r="Z86" i="11"/>
  <c r="Z1403" i="4"/>
  <c r="AA49" i="11"/>
  <c r="O50" i="67"/>
  <c r="O49" i="67" s="1"/>
  <c r="Z1227" i="4"/>
  <c r="Z74" i="11"/>
  <c r="Z78" i="11" s="1"/>
  <c r="Z1250" i="4"/>
  <c r="Z1195" i="4"/>
  <c r="Z1199" i="4" s="1"/>
  <c r="Z1177" i="4" s="1"/>
  <c r="Z36" i="66"/>
  <c r="Z1309" i="4"/>
  <c r="AA1120" i="4" l="1"/>
  <c r="AB495" i="4"/>
  <c r="AB995" i="4" s="1"/>
  <c r="AA494" i="4"/>
  <c r="AA994" i="4" s="1"/>
  <c r="AA460" i="4"/>
  <c r="AA461" i="4" s="1"/>
  <c r="AB455" i="4" s="1"/>
  <c r="AA1248" i="4"/>
  <c r="AA1044" i="4"/>
  <c r="AA1067" i="4" s="1"/>
  <c r="AA1224" i="4"/>
  <c r="AA73" i="11"/>
  <c r="O23" i="13"/>
  <c r="O73" i="67"/>
  <c r="Z1228" i="4"/>
  <c r="Z1205" i="4" s="1"/>
  <c r="Z39" i="66"/>
  <c r="Z35" i="66" s="1"/>
  <c r="Z1251" i="4"/>
  <c r="Z89" i="11"/>
  <c r="AA53" i="11"/>
  <c r="AA52" i="11" s="1"/>
  <c r="O53" i="67"/>
  <c r="O52" i="67" s="1"/>
  <c r="Z1344" i="4"/>
  <c r="Z1308" i="4"/>
  <c r="Z1311" i="4" s="1"/>
  <c r="Z17" i="66"/>
  <c r="AA299" i="4"/>
  <c r="AA302" i="4"/>
  <c r="Z1178" i="4"/>
  <c r="AA331" i="4" l="1"/>
  <c r="AA307" i="4"/>
  <c r="AA1173" i="4"/>
  <c r="Z27" i="11"/>
  <c r="Z1429" i="4"/>
  <c r="AA1068" i="4"/>
  <c r="AA1158" i="4"/>
  <c r="AA1174" i="4" s="1"/>
  <c r="AA1157" i="4"/>
  <c r="Z1313" i="4"/>
  <c r="Z1325" i="4"/>
  <c r="Z1207" i="4"/>
  <c r="Z1209" i="4" s="1"/>
  <c r="Z1348" i="4"/>
  <c r="AA332" i="4" l="1"/>
  <c r="AA14" i="11" s="1"/>
  <c r="AA1159" i="4"/>
  <c r="AA1164" i="4"/>
  <c r="Z1430" i="4"/>
  <c r="Z1431" i="4" s="1"/>
  <c r="Z1432" i="4"/>
  <c r="Z1363" i="4"/>
  <c r="Z1208" i="4"/>
  <c r="Z58" i="11"/>
  <c r="Z59" i="11" s="1"/>
  <c r="Z28" i="11" s="1"/>
  <c r="Z48" i="62"/>
  <c r="Z24" i="62" s="1"/>
  <c r="Z26" i="62" s="1"/>
  <c r="Z1252" i="4"/>
  <c r="Z1229" i="4"/>
  <c r="Z1230" i="4" s="1"/>
  <c r="Z1234" i="4" s="1"/>
  <c r="AA1213" i="4" s="1"/>
  <c r="Z90" i="11"/>
  <c r="Z91" i="11" s="1"/>
  <c r="Z93" i="11" s="1"/>
  <c r="Z96" i="11" s="1"/>
  <c r="Z97" i="11" s="1"/>
  <c r="Z22" i="66"/>
  <c r="Z1326" i="4"/>
  <c r="Z1327" i="4" s="1"/>
  <c r="AA405" i="4"/>
  <c r="AA406" i="4" s="1"/>
  <c r="AA407" i="4" s="1"/>
  <c r="AA408" i="4" s="1"/>
  <c r="AA409" i="4" s="1"/>
  <c r="AB404" i="4" s="1"/>
  <c r="AA395" i="4"/>
  <c r="AA396" i="4" s="1"/>
  <c r="AA397" i="4" s="1"/>
  <c r="AA398" i="4" s="1"/>
  <c r="AA399" i="4" s="1"/>
  <c r="AB394" i="4" s="1"/>
  <c r="AA385" i="4"/>
  <c r="O14" i="67" l="1"/>
  <c r="Z1263" i="4"/>
  <c r="Z1264" i="4" s="1"/>
  <c r="Z100" i="67"/>
  <c r="Z100" i="11"/>
  <c r="AA95" i="11"/>
  <c r="Z44" i="66"/>
  <c r="Z40" i="66" s="1"/>
  <c r="Z1253" i="4"/>
  <c r="Z1254" i="4" s="1"/>
  <c r="Z1385" i="4"/>
  <c r="Z1384" i="4" s="1"/>
  <c r="Z101" i="67"/>
  <c r="Z101" i="11"/>
  <c r="Z46" i="62"/>
  <c r="Z21" i="11"/>
  <c r="Z17" i="11" s="1"/>
  <c r="Z24" i="66"/>
  <c r="Z1364" i="4"/>
  <c r="Z1365" i="4" s="1"/>
  <c r="AA1051" i="4"/>
  <c r="AA489" i="4"/>
  <c r="AA500" i="4"/>
  <c r="AA386" i="4"/>
  <c r="AA387" i="4" s="1"/>
  <c r="AA1167" i="4"/>
  <c r="AA1168" i="4" s="1"/>
  <c r="AA1260" i="4"/>
  <c r="AA42" i="62"/>
  <c r="AA85" i="11"/>
  <c r="AA1231" i="4"/>
  <c r="O85" i="67"/>
  <c r="Z25" i="11"/>
  <c r="Z99" i="11" l="1"/>
  <c r="Z1266" i="4"/>
  <c r="AB1163" i="4"/>
  <c r="O26" i="67"/>
  <c r="AA26" i="11"/>
  <c r="AA388" i="4"/>
  <c r="AA389" i="4" s="1"/>
  <c r="AB384" i="4" s="1"/>
  <c r="AA490" i="4"/>
  <c r="AA491" i="4" s="1"/>
  <c r="AA501" i="4"/>
  <c r="AA502" i="4" s="1"/>
  <c r="Z46" i="66"/>
  <c r="Z1398" i="4"/>
  <c r="Z1393" i="4" s="1"/>
  <c r="Z37" i="11"/>
  <c r="Z1397" i="4"/>
  <c r="Z1392" i="4" s="1"/>
  <c r="Z20" i="66"/>
  <c r="Z1386" i="4"/>
  <c r="Z1383" i="4" s="1"/>
  <c r="Z23" i="11"/>
  <c r="AA52" i="62"/>
  <c r="AA43" i="62"/>
  <c r="AA23" i="62" s="1"/>
  <c r="AA16" i="66" s="1"/>
  <c r="Z26" i="66" l="1"/>
  <c r="Z48" i="66" s="1"/>
  <c r="AA1024" i="4"/>
  <c r="AA1026" i="4" s="1"/>
  <c r="AA1027" i="4" s="1"/>
  <c r="AA1028" i="4" s="1"/>
  <c r="AB499" i="4"/>
  <c r="AB1023" i="4" s="1"/>
  <c r="Z39" i="11"/>
  <c r="Z40" i="11" s="1"/>
  <c r="AA51" i="11"/>
  <c r="AA64" i="62"/>
  <c r="O51" i="67"/>
  <c r="K140" i="15"/>
  <c r="AA14" i="66"/>
  <c r="Z1439" i="4"/>
  <c r="Z1440" i="4" s="1"/>
  <c r="Z1396" i="4"/>
  <c r="Z1391" i="4" s="1"/>
  <c r="O15" i="67"/>
  <c r="O13" i="67" s="1"/>
  <c r="AB488" i="4"/>
  <c r="AA15" i="11"/>
  <c r="AA13" i="11" s="1"/>
  <c r="I143" i="15"/>
  <c r="J143" i="15"/>
  <c r="K143" i="15"/>
  <c r="M14" i="13"/>
  <c r="N14" i="13"/>
  <c r="O14" i="13"/>
  <c r="AA13" i="66" l="1"/>
  <c r="K138" i="15"/>
  <c r="AA62" i="64"/>
  <c r="AA907" i="4"/>
  <c r="AA911" i="4" s="1"/>
  <c r="AA71" i="11" l="1"/>
  <c r="AA1217" i="4"/>
  <c r="AA1221" i="4" s="1"/>
  <c r="AA915" i="4"/>
  <c r="AA1043" i="4"/>
  <c r="AA1243" i="4"/>
  <c r="O71" i="67"/>
  <c r="O40" i="13"/>
  <c r="AA78" i="64"/>
  <c r="AA70" i="64"/>
  <c r="O18" i="72"/>
  <c r="K137" i="15"/>
  <c r="AA28" i="66"/>
  <c r="AA27" i="66" s="1"/>
  <c r="I163" i="15"/>
  <c r="J163" i="15"/>
  <c r="K163" i="15"/>
  <c r="AA47" i="11" l="1"/>
  <c r="AA996" i="4"/>
  <c r="AA1000" i="4" s="1"/>
  <c r="AA1004" i="4" s="1"/>
  <c r="O20" i="72"/>
  <c r="O47" i="67"/>
  <c r="N45" i="13"/>
  <c r="N49" i="13" s="1"/>
  <c r="O62" i="67" l="1"/>
  <c r="O64" i="67" s="1"/>
  <c r="O61" i="67"/>
  <c r="O63" i="67" s="1"/>
  <c r="O48" i="67"/>
  <c r="O55" i="67" s="1"/>
  <c r="AA1005" i="4"/>
  <c r="AA1016" i="4" s="1"/>
  <c r="AA1013" i="4" s="1"/>
  <c r="AA1006" i="4" s="1"/>
  <c r="AA1007" i="4" s="1"/>
  <c r="AA1012" i="4"/>
  <c r="AA62" i="11"/>
  <c r="AA61" i="11"/>
  <c r="AA48" i="11"/>
  <c r="AA55" i="11" s="1"/>
  <c r="AA63" i="11" l="1"/>
  <c r="O1449" i="4"/>
  <c r="AA62" i="62"/>
  <c r="AA63" i="62" s="1"/>
  <c r="AA67" i="62" s="1"/>
  <c r="AA64" i="11"/>
  <c r="AA1395" i="4"/>
  <c r="AA1014" i="4"/>
  <c r="AB1011" i="4" s="1"/>
  <c r="AA56" i="11"/>
  <c r="AA57" i="11" s="1"/>
  <c r="AA1246" i="4"/>
  <c r="AA75" i="11"/>
  <c r="AA1046" i="4"/>
  <c r="AA1053" i="4" s="1"/>
  <c r="AA1055" i="4" s="1"/>
  <c r="AA1058" i="4" s="1"/>
  <c r="AA61" i="64"/>
  <c r="AA1222" i="4"/>
  <c r="AA1223" i="4" s="1"/>
  <c r="O75" i="67"/>
  <c r="O56" i="67"/>
  <c r="O57" i="67" s="1"/>
  <c r="O41" i="13"/>
  <c r="O43" i="13" s="1"/>
  <c r="L45" i="13"/>
  <c r="AA1394" i="4" l="1"/>
  <c r="AA1206" i="4"/>
  <c r="AA1236" i="4"/>
  <c r="AA66" i="64"/>
  <c r="AA69" i="64"/>
  <c r="AA77" i="64"/>
  <c r="AA68" i="62"/>
  <c r="O1457" i="4"/>
  <c r="O1452" i="4"/>
  <c r="L49" i="13"/>
  <c r="M15" i="13"/>
  <c r="N15" i="13"/>
  <c r="I164" i="15"/>
  <c r="J164" i="15"/>
  <c r="AA82" i="64" l="1"/>
  <c r="AA74" i="64"/>
  <c r="AA40" i="64"/>
  <c r="AA1116" i="4"/>
  <c r="AA1117" i="4" s="1"/>
  <c r="AA1119" i="4" s="1"/>
  <c r="AA1121" i="4" s="1"/>
  <c r="AA1087" i="4" s="1"/>
  <c r="M17" i="13"/>
  <c r="M18" i="13"/>
  <c r="N18" i="13"/>
  <c r="N17" i="13"/>
  <c r="AA1137" i="4" l="1"/>
  <c r="AA1088" i="4"/>
  <c r="AA42" i="64"/>
  <c r="N19" i="13"/>
  <c r="M19" i="13"/>
  <c r="AA49" i="64" l="1"/>
  <c r="AA52" i="64"/>
  <c r="AB1085" i="4"/>
  <c r="AB1130" i="4"/>
  <c r="AA88" i="11"/>
  <c r="AA38" i="66"/>
  <c r="AA1225" i="4"/>
  <c r="AA1226" i="4" s="1"/>
  <c r="AA1404" i="4"/>
  <c r="AA1406" i="4" s="1"/>
  <c r="AA1247" i="4"/>
  <c r="AA1347" i="4"/>
  <c r="O24" i="13"/>
  <c r="O88" i="67"/>
  <c r="AA1138" i="4"/>
  <c r="O45" i="13"/>
  <c r="O49" i="13" s="1"/>
  <c r="K164" i="15" l="1"/>
  <c r="AB1148" i="4"/>
  <c r="O15" i="13"/>
  <c r="AB1086" i="4"/>
  <c r="AA1438" i="4"/>
  <c r="AB1135" i="4"/>
  <c r="AA1428" i="4"/>
  <c r="O31" i="67"/>
  <c r="O30" i="67" s="1"/>
  <c r="O1448" i="4"/>
  <c r="AA31" i="11"/>
  <c r="AA1412" i="4"/>
  <c r="AA1204" i="4"/>
  <c r="AA1194" i="4"/>
  <c r="AA1413" i="4" l="1"/>
  <c r="AA1422" i="4" s="1"/>
  <c r="AB1129" i="4"/>
  <c r="AB1136" i="4"/>
  <c r="AB1125" i="4"/>
  <c r="AB1101" i="4"/>
  <c r="AA30" i="11"/>
  <c r="AA45" i="62"/>
  <c r="AB1415" i="4"/>
  <c r="AA1175" i="4"/>
  <c r="AA1197" i="4"/>
  <c r="AA1198" i="4" s="1"/>
  <c r="AA1188" i="4" s="1"/>
  <c r="AB87" i="11" l="1"/>
  <c r="AB1233" i="4"/>
  <c r="AB18" i="66"/>
  <c r="AB1346" i="4"/>
  <c r="AB1259" i="4"/>
  <c r="AB1147" i="4"/>
  <c r="AA1187" i="4"/>
  <c r="AA1176" i="4" s="1"/>
  <c r="AA1189" i="4"/>
  <c r="AB1103" i="4"/>
  <c r="AB1112" i="4"/>
  <c r="AB1102" i="4"/>
  <c r="AA1418" i="4"/>
  <c r="AA1416" i="4"/>
  <c r="AA1180" i="4"/>
  <c r="AA1184" i="4"/>
  <c r="AA1191" i="4" s="1"/>
  <c r="AB1104" i="4" l="1"/>
  <c r="AB1141" i="4"/>
  <c r="AA86" i="11"/>
  <c r="AA19" i="66"/>
  <c r="AA1261" i="4"/>
  <c r="AA1232" i="4"/>
  <c r="O86" i="67"/>
  <c r="AA1403" i="4"/>
  <c r="AB1092" i="4"/>
  <c r="AA74" i="11"/>
  <c r="AA78" i="11" s="1"/>
  <c r="AA1250" i="4"/>
  <c r="AA1227" i="4"/>
  <c r="AA1195" i="4"/>
  <c r="AA1199" i="4" s="1"/>
  <c r="AA1177" i="4" s="1"/>
  <c r="O74" i="67"/>
  <c r="O78" i="67" s="1"/>
  <c r="AA1309" i="4"/>
  <c r="AA36" i="66"/>
  <c r="AA1419" i="4"/>
  <c r="AB1149" i="4"/>
  <c r="AA17" i="66" l="1"/>
  <c r="K144" i="15"/>
  <c r="AA1308" i="4"/>
  <c r="AA1311" i="4" s="1"/>
  <c r="AA1344" i="4"/>
  <c r="AB1093" i="4"/>
  <c r="AB997" i="4"/>
  <c r="AB1143" i="4"/>
  <c r="AB1142" i="4"/>
  <c r="AB1045" i="4"/>
  <c r="AB1218" i="4"/>
  <c r="AB72" i="11"/>
  <c r="AB297" i="4"/>
  <c r="AB1249" i="4"/>
  <c r="AB999" i="4"/>
  <c r="AB50" i="11"/>
  <c r="AB37" i="66"/>
  <c r="AB1113" i="4"/>
  <c r="AB1120" i="4"/>
  <c r="AA1251" i="4"/>
  <c r="AA1228" i="4"/>
  <c r="AA1205" i="4" s="1"/>
  <c r="AA89" i="11"/>
  <c r="AA39" i="66"/>
  <c r="AA35" i="66" s="1"/>
  <c r="O89" i="67"/>
  <c r="AA1178" i="4"/>
  <c r="AB53" i="11" l="1"/>
  <c r="O27" i="67"/>
  <c r="AA27" i="11"/>
  <c r="AB1173" i="4"/>
  <c r="AA1429" i="4"/>
  <c r="AB1144" i="4"/>
  <c r="AB305" i="4"/>
  <c r="AB330" i="4" s="1"/>
  <c r="AB1111" i="4"/>
  <c r="K161" i="15"/>
  <c r="AA1348" i="4"/>
  <c r="O13" i="13"/>
  <c r="AA1313" i="4"/>
  <c r="O14" i="72"/>
  <c r="AA1325" i="4"/>
  <c r="AA1207" i="4"/>
  <c r="AA1209" i="4" s="1"/>
  <c r="AB49" i="11"/>
  <c r="AB294" i="4"/>
  <c r="O19" i="72"/>
  <c r="K142" i="15"/>
  <c r="AA1432" i="4" l="1"/>
  <c r="AA1430" i="4"/>
  <c r="AA1431" i="4" s="1"/>
  <c r="AA90" i="11"/>
  <c r="AA91" i="11" s="1"/>
  <c r="AA93" i="11" s="1"/>
  <c r="AA96" i="11" s="1"/>
  <c r="AA97" i="11" s="1"/>
  <c r="AA48" i="62"/>
  <c r="AA24" i="62" s="1"/>
  <c r="AA26" i="62" s="1"/>
  <c r="AA1252" i="4"/>
  <c r="AA1229" i="4"/>
  <c r="AA1230" i="4" s="1"/>
  <c r="AA1234" i="4" s="1"/>
  <c r="AB1213" i="4" s="1"/>
  <c r="AA58" i="11"/>
  <c r="AA59" i="11" s="1"/>
  <c r="AA28" i="11" s="1"/>
  <c r="O58" i="67"/>
  <c r="O59" i="67" s="1"/>
  <c r="O90" i="67"/>
  <c r="O91" i="67" s="1"/>
  <c r="O93" i="67" s="1"/>
  <c r="O96" i="67" s="1"/>
  <c r="O97" i="67" s="1"/>
  <c r="AA22" i="66"/>
  <c r="AB299" i="4"/>
  <c r="AB302" i="4"/>
  <c r="AA1326" i="4"/>
  <c r="AA1327" i="4" s="1"/>
  <c r="O17" i="13"/>
  <c r="O18" i="13"/>
  <c r="AC479" i="4"/>
  <c r="AC468" i="4"/>
  <c r="AC457" i="4"/>
  <c r="AB456" i="4"/>
  <c r="AB467" i="4"/>
  <c r="AB478" i="4"/>
  <c r="AA1208" i="4"/>
  <c r="O15" i="72"/>
  <c r="AA1363" i="4"/>
  <c r="AB1224" i="4"/>
  <c r="AB73" i="11"/>
  <c r="AB1248" i="4"/>
  <c r="AB1044" i="4"/>
  <c r="AB52" i="11"/>
  <c r="O19" i="13" l="1"/>
  <c r="AB1067" i="4"/>
  <c r="AA25" i="11"/>
  <c r="O28" i="67"/>
  <c r="O25" i="67" s="1"/>
  <c r="O37" i="67" s="1"/>
  <c r="AB480" i="4"/>
  <c r="AB481" i="4" s="1"/>
  <c r="AB1051" i="4"/>
  <c r="AB469" i="4"/>
  <c r="AB470" i="4" s="1"/>
  <c r="AB458" i="4"/>
  <c r="AB459" i="4" s="1"/>
  <c r="AB331" i="4"/>
  <c r="AB307" i="4"/>
  <c r="AC495" i="4"/>
  <c r="AA1263" i="4"/>
  <c r="AA1264" i="4" s="1"/>
  <c r="AA46" i="62"/>
  <c r="AA44" i="66"/>
  <c r="AA40" i="66" s="1"/>
  <c r="O1450" i="4"/>
  <c r="AA21" i="11"/>
  <c r="AA17" i="11" s="1"/>
  <c r="AA1253" i="4"/>
  <c r="AA1254" i="4" s="1"/>
  <c r="AA1385" i="4"/>
  <c r="AA1384" i="4" s="1"/>
  <c r="AA100" i="67"/>
  <c r="AA101" i="67"/>
  <c r="O21" i="67"/>
  <c r="O17" i="67" s="1"/>
  <c r="O23" i="67" s="1"/>
  <c r="AA100" i="11"/>
  <c r="AA101" i="11"/>
  <c r="AB95" i="11"/>
  <c r="AA24" i="66"/>
  <c r="AA20" i="66" s="1"/>
  <c r="AA1364" i="4"/>
  <c r="AA1365" i="4" s="1"/>
  <c r="P95" i="67"/>
  <c r="AB332" i="4" l="1"/>
  <c r="AB14" i="11" s="1"/>
  <c r="AA1266" i="4"/>
  <c r="O99" i="67"/>
  <c r="K171" i="15"/>
  <c r="K150" i="15"/>
  <c r="AA1386" i="4"/>
  <c r="AA1383" i="4" s="1"/>
  <c r="AA23" i="11"/>
  <c r="AB405" i="4"/>
  <c r="AB395" i="4"/>
  <c r="AB385" i="4"/>
  <c r="AB482" i="4"/>
  <c r="AB483" i="4" s="1"/>
  <c r="AC477" i="4" s="1"/>
  <c r="K146" i="15"/>
  <c r="AA26" i="66"/>
  <c r="O39" i="67"/>
  <c r="O40" i="67" s="1"/>
  <c r="K167" i="15"/>
  <c r="AA46" i="66"/>
  <c r="AA37" i="11"/>
  <c r="AA1397" i="4"/>
  <c r="AA1392" i="4" s="1"/>
  <c r="AA1398" i="4"/>
  <c r="AA1393" i="4" s="1"/>
  <c r="AB494" i="4"/>
  <c r="AB460" i="4"/>
  <c r="AB461" i="4" s="1"/>
  <c r="AC455" i="4" s="1"/>
  <c r="AB471" i="4"/>
  <c r="AB472" i="4" s="1"/>
  <c r="AC466" i="4" s="1"/>
  <c r="AA99" i="11"/>
  <c r="AC995" i="4"/>
  <c r="AB1157" i="4"/>
  <c r="AB1158" i="4"/>
  <c r="AB1068" i="4"/>
  <c r="AA39" i="11" l="1"/>
  <c r="AA40" i="11" s="1"/>
  <c r="AB396" i="4"/>
  <c r="AB397" i="4" s="1"/>
  <c r="K173" i="15"/>
  <c r="AB406" i="4"/>
  <c r="AB407" i="4" s="1"/>
  <c r="AB1174" i="4"/>
  <c r="AB1159" i="4"/>
  <c r="AB1164" i="4"/>
  <c r="AA48" i="66"/>
  <c r="AA1439" i="4"/>
  <c r="AA1440" i="4" s="1"/>
  <c r="AA1396" i="4"/>
  <c r="AA1391" i="4" s="1"/>
  <c r="K152" i="15"/>
  <c r="AB994" i="4"/>
  <c r="AB500" i="4"/>
  <c r="AB489" i="4"/>
  <c r="AB386" i="4"/>
  <c r="AB387" i="4" s="1"/>
  <c r="AB501" i="4" l="1"/>
  <c r="AB502" i="4" s="1"/>
  <c r="AB490" i="4"/>
  <c r="AB491" i="4" s="1"/>
  <c r="AB388" i="4"/>
  <c r="AB389" i="4" s="1"/>
  <c r="AC384" i="4" s="1"/>
  <c r="AB408" i="4"/>
  <c r="AB409" i="4" s="1"/>
  <c r="AC404" i="4" s="1"/>
  <c r="AB1231" i="4"/>
  <c r="AB1260" i="4"/>
  <c r="AB42" i="62"/>
  <c r="AB85" i="11"/>
  <c r="AB1167" i="4"/>
  <c r="AB398" i="4"/>
  <c r="AB399" i="4" s="1"/>
  <c r="AC394" i="4" s="1"/>
  <c r="AB1168" i="4" l="1"/>
  <c r="AB15" i="11"/>
  <c r="AB13" i="11" s="1"/>
  <c r="AC488" i="4"/>
  <c r="AB52" i="62"/>
  <c r="AB43" i="62"/>
  <c r="AB64" i="62"/>
  <c r="AB51" i="11"/>
  <c r="AC499" i="4"/>
  <c r="AB1024" i="4"/>
  <c r="AB1026" i="4" s="1"/>
  <c r="AB1027" i="4" s="1"/>
  <c r="AB1028" i="4" s="1"/>
  <c r="AB23" i="62" l="1"/>
  <c r="AC1023" i="4"/>
  <c r="AB62" i="64"/>
  <c r="AB907" i="4"/>
  <c r="AB26" i="11"/>
  <c r="AC1163" i="4"/>
  <c r="AB911" i="4" l="1"/>
  <c r="AB78" i="64"/>
  <c r="AB70" i="64"/>
  <c r="AB16" i="66"/>
  <c r="AB14" i="66" l="1"/>
  <c r="AB1217" i="4"/>
  <c r="AB1221" i="4" s="1"/>
  <c r="AB71" i="11"/>
  <c r="AB1043" i="4"/>
  <c r="AB1243" i="4"/>
  <c r="AB915" i="4"/>
  <c r="AB996" i="4" l="1"/>
  <c r="AB47" i="11"/>
  <c r="AB13" i="66"/>
  <c r="AB62" i="11" l="1"/>
  <c r="AB61" i="11"/>
  <c r="AB48" i="11"/>
  <c r="AB28" i="66"/>
  <c r="AB27" i="66" s="1"/>
  <c r="AB1000" i="4"/>
  <c r="AB55" i="11" l="1"/>
  <c r="AB1004" i="4"/>
  <c r="AB63" i="11"/>
  <c r="AB64" i="11"/>
  <c r="AB62" i="62"/>
  <c r="AB1395" i="4"/>
  <c r="AB1005" i="4" l="1"/>
  <c r="AB1012" i="4"/>
  <c r="AB1016" i="4" l="1"/>
  <c r="AB1013" i="4" l="1"/>
  <c r="AB1006" i="4" l="1"/>
  <c r="AB1014" i="4"/>
  <c r="AC1011" i="4" s="1"/>
  <c r="AB1007" i="4" l="1"/>
  <c r="AB1222" i="4" l="1"/>
  <c r="AB1223" i="4" s="1"/>
  <c r="AB75" i="11"/>
  <c r="AB1046" i="4"/>
  <c r="AB1053" i="4" s="1"/>
  <c r="AB1055" i="4" s="1"/>
  <c r="AB1058" i="4" s="1"/>
  <c r="AB61" i="64"/>
  <c r="AB1246" i="4"/>
  <c r="AB56" i="11"/>
  <c r="AB63" i="62"/>
  <c r="AB57" i="11" l="1"/>
  <c r="AB67" i="62"/>
  <c r="AB66" i="64"/>
  <c r="AB69" i="64"/>
  <c r="AB77" i="64"/>
  <c r="AB1236" i="4"/>
  <c r="AB74" i="64" l="1"/>
  <c r="AB82" i="64"/>
  <c r="AB68" i="62"/>
  <c r="AB40" i="64"/>
  <c r="AB1116" i="4"/>
  <c r="AB1117" i="4" s="1"/>
  <c r="AB1119" i="4" s="1"/>
  <c r="AB1121" i="4" s="1"/>
  <c r="AB1087" i="4" s="1"/>
  <c r="AB1394" i="4"/>
  <c r="AB1206" i="4"/>
  <c r="AB1137" i="4" l="1"/>
  <c r="AB1088" i="4"/>
  <c r="AB42" i="64"/>
  <c r="AB52" i="64" l="1"/>
  <c r="AB49" i="64"/>
  <c r="AC1085" i="4"/>
  <c r="AC1130" i="4"/>
  <c r="AB1247" i="4"/>
  <c r="AB88" i="11"/>
  <c r="AB1225" i="4"/>
  <c r="AB1226" i="4" s="1"/>
  <c r="AB38" i="66"/>
  <c r="AB1347" i="4"/>
  <c r="AB1404" i="4"/>
  <c r="AB1406" i="4" s="1"/>
  <c r="AB1138" i="4"/>
  <c r="AC1135" i="4" l="1"/>
  <c r="AB31" i="11"/>
  <c r="AB1412" i="4"/>
  <c r="AB1428" i="4"/>
  <c r="AB1438" i="4"/>
  <c r="AC1148" i="4"/>
  <c r="AC1086" i="4"/>
  <c r="AB1194" i="4"/>
  <c r="AB1204" i="4"/>
  <c r="AC1129" i="4" l="1"/>
  <c r="AC1136" i="4"/>
  <c r="AC1125" i="4"/>
  <c r="AC1101" i="4"/>
  <c r="AB1175" i="4"/>
  <c r="AB1197" i="4"/>
  <c r="AB1198" i="4" s="1"/>
  <c r="AB1188" i="4" s="1"/>
  <c r="AB1413" i="4"/>
  <c r="AB1422" i="4" s="1"/>
  <c r="AB30" i="11"/>
  <c r="AB45" i="62"/>
  <c r="AC1415" i="4"/>
  <c r="AB1418" i="4" l="1"/>
  <c r="AB1416" i="4"/>
  <c r="AB1187" i="4"/>
  <c r="AB1176" i="4" s="1"/>
  <c r="AB1189" i="4"/>
  <c r="AB1180" i="4"/>
  <c r="AB1184" i="4"/>
  <c r="AB1191" i="4" s="1"/>
  <c r="AC1103" i="4"/>
  <c r="AC1112" i="4"/>
  <c r="AC1102" i="4"/>
  <c r="AC87" i="11"/>
  <c r="AC1233" i="4"/>
  <c r="AC1259" i="4"/>
  <c r="AC18" i="66"/>
  <c r="AC1346" i="4"/>
  <c r="AC1147" i="4"/>
  <c r="AB1419" i="4" l="1"/>
  <c r="AB1261" i="4"/>
  <c r="AB86" i="11"/>
  <c r="AB19" i="66"/>
  <c r="AB1232" i="4"/>
  <c r="AB1403" i="4"/>
  <c r="AC1149" i="4"/>
  <c r="AB74" i="11"/>
  <c r="AB78" i="11" s="1"/>
  <c r="AB1250" i="4"/>
  <c r="AB1227" i="4"/>
  <c r="AB1195" i="4"/>
  <c r="AB1199" i="4" s="1"/>
  <c r="AB1177" i="4" s="1"/>
  <c r="AB1309" i="4"/>
  <c r="AB36" i="66"/>
  <c r="AC1104" i="4"/>
  <c r="AC1141" i="4"/>
  <c r="AC1092" i="4"/>
  <c r="AC1091" i="4"/>
  <c r="AC1120" i="4" l="1"/>
  <c r="AC1113" i="4"/>
  <c r="AC999" i="4"/>
  <c r="AC1045" i="4"/>
  <c r="AC72" i="11"/>
  <c r="AC297" i="4"/>
  <c r="AC1249" i="4"/>
  <c r="AC1218" i="4"/>
  <c r="AC37" i="66"/>
  <c r="AC50" i="11"/>
  <c r="AC1093" i="4"/>
  <c r="AB1228" i="4"/>
  <c r="AB1205" i="4" s="1"/>
  <c r="AB39" i="66"/>
  <c r="AB35" i="66" s="1"/>
  <c r="AB89" i="11"/>
  <c r="AB1251" i="4"/>
  <c r="AB1178" i="4"/>
  <c r="AB17" i="66"/>
  <c r="AC1142" i="4"/>
  <c r="AC1143" i="4"/>
  <c r="AC997" i="4"/>
  <c r="AB1308" i="4"/>
  <c r="AB1311" i="4" s="1"/>
  <c r="AB1344" i="4"/>
  <c r="AB1348" i="4" l="1"/>
  <c r="AC1173" i="4"/>
  <c r="AB27" i="11"/>
  <c r="AB1429" i="4"/>
  <c r="AC1111" i="4"/>
  <c r="AC305" i="4"/>
  <c r="AC330" i="4" s="1"/>
  <c r="AB1313" i="4"/>
  <c r="AB1325" i="4"/>
  <c r="AC294" i="4"/>
  <c r="AB1207" i="4"/>
  <c r="AB1209" i="4" s="1"/>
  <c r="AC49" i="11"/>
  <c r="AC53" i="11"/>
  <c r="AC1144" i="4"/>
  <c r="AB1208" i="4" l="1"/>
  <c r="AC299" i="4"/>
  <c r="AC302" i="4"/>
  <c r="AC1248" i="4"/>
  <c r="AC73" i="11"/>
  <c r="AC1224" i="4"/>
  <c r="AC1044" i="4"/>
  <c r="AC52" i="11"/>
  <c r="AB1326" i="4"/>
  <c r="AB1327" i="4" s="1"/>
  <c r="AB1430" i="4"/>
  <c r="AB1431" i="4" s="1"/>
  <c r="AB1432" i="4"/>
  <c r="AB90" i="11"/>
  <c r="AB91" i="11" s="1"/>
  <c r="AB93" i="11" s="1"/>
  <c r="AB96" i="11" s="1"/>
  <c r="AB97" i="11" s="1"/>
  <c r="AB58" i="11"/>
  <c r="AB59" i="11" s="1"/>
  <c r="AB28" i="11" s="1"/>
  <c r="AB48" i="62"/>
  <c r="AB24" i="62" s="1"/>
  <c r="AB26" i="62" s="1"/>
  <c r="AB1252" i="4"/>
  <c r="AB1229" i="4"/>
  <c r="AB1230" i="4" s="1"/>
  <c r="AB1234" i="4" s="1"/>
  <c r="AC1213" i="4" s="1"/>
  <c r="AB22" i="66"/>
  <c r="AD479" i="4"/>
  <c r="AD468" i="4"/>
  <c r="AD457" i="4"/>
  <c r="AC456" i="4"/>
  <c r="AC467" i="4"/>
  <c r="AC478" i="4"/>
  <c r="AB1363" i="4"/>
  <c r="AC1051" i="4" l="1"/>
  <c r="AB1364" i="4"/>
  <c r="AB1365" i="4" s="1"/>
  <c r="AD495" i="4"/>
  <c r="AC1067" i="4"/>
  <c r="AC480" i="4"/>
  <c r="AC481" i="4" s="1"/>
  <c r="AC469" i="4"/>
  <c r="AC470" i="4" s="1"/>
  <c r="AC95" i="11"/>
  <c r="AB1263" i="4"/>
  <c r="AB1264" i="4" s="1"/>
  <c r="AB44" i="66"/>
  <c r="AB40" i="66" s="1"/>
  <c r="AB101" i="67"/>
  <c r="AB1253" i="4"/>
  <c r="AB1254" i="4" s="1"/>
  <c r="AB21" i="11"/>
  <c r="AB17" i="11" s="1"/>
  <c r="AB100" i="67"/>
  <c r="AB46" i="62"/>
  <c r="AB24" i="66"/>
  <c r="AB101" i="11"/>
  <c r="AB1385" i="4"/>
  <c r="AB1384" i="4" s="1"/>
  <c r="AB100" i="11"/>
  <c r="AC458" i="4"/>
  <c r="AC459" i="4" s="1"/>
  <c r="AB25" i="11"/>
  <c r="AC331" i="4"/>
  <c r="AC307" i="4"/>
  <c r="AC332" i="4" l="1"/>
  <c r="AC14" i="11" s="1"/>
  <c r="AB99" i="11"/>
  <c r="AB1266" i="4"/>
  <c r="AB37" i="11"/>
  <c r="AB1397" i="4"/>
  <c r="AB1392" i="4" s="1"/>
  <c r="AB1398" i="4"/>
  <c r="AB1393" i="4" s="1"/>
  <c r="AC1157" i="4"/>
  <c r="AC1158" i="4"/>
  <c r="AC1068" i="4"/>
  <c r="AC460" i="4"/>
  <c r="AC461" i="4" s="1"/>
  <c r="AD455" i="4" s="1"/>
  <c r="AC494" i="4"/>
  <c r="AB1386" i="4"/>
  <c r="AB1383" i="4" s="1"/>
  <c r="AB23" i="11"/>
  <c r="AC471" i="4"/>
  <c r="AC472" i="4" s="1"/>
  <c r="AD466" i="4" s="1"/>
  <c r="AD995" i="4"/>
  <c r="AB46" i="66"/>
  <c r="AC385" i="4"/>
  <c r="AC405" i="4"/>
  <c r="AC395" i="4"/>
  <c r="AB20" i="66"/>
  <c r="AC482" i="4"/>
  <c r="AC483" i="4" s="1"/>
  <c r="AD477" i="4" s="1"/>
  <c r="AC396" i="4" l="1"/>
  <c r="AC397" i="4" s="1"/>
  <c r="AC406" i="4"/>
  <c r="AC407" i="4" s="1"/>
  <c r="AB26" i="66"/>
  <c r="AB48" i="66" s="1"/>
  <c r="AC500" i="4"/>
  <c r="AC489" i="4"/>
  <c r="AC386" i="4"/>
  <c r="AC387" i="4" s="1"/>
  <c r="AC1174" i="4"/>
  <c r="AB1439" i="4"/>
  <c r="AB1440" i="4" s="1"/>
  <c r="AB1396" i="4"/>
  <c r="AB1391" i="4" s="1"/>
  <c r="AC1159" i="4"/>
  <c r="AC1164" i="4"/>
  <c r="AC994" i="4"/>
  <c r="AB39" i="11"/>
  <c r="AB40" i="11" s="1"/>
  <c r="AC408" i="4" l="1"/>
  <c r="AC409" i="4" s="1"/>
  <c r="AD404" i="4" s="1"/>
  <c r="AC42" i="62"/>
  <c r="AC85" i="11"/>
  <c r="AC1167" i="4"/>
  <c r="AC1260" i="4"/>
  <c r="AC1231" i="4"/>
  <c r="AC388" i="4"/>
  <c r="AC389" i="4" s="1"/>
  <c r="AD384" i="4" s="1"/>
  <c r="AC501" i="4"/>
  <c r="AC502" i="4" s="1"/>
  <c r="AC490" i="4"/>
  <c r="AC398" i="4"/>
  <c r="AC399" i="4" s="1"/>
  <c r="AD394" i="4" s="1"/>
  <c r="AC1024" i="4" l="1"/>
  <c r="AC1026" i="4" s="1"/>
  <c r="AC1027" i="4" s="1"/>
  <c r="AC1028" i="4" s="1"/>
  <c r="AD499" i="4"/>
  <c r="AD1023" i="4" s="1"/>
  <c r="AC51" i="11"/>
  <c r="AC64" i="62"/>
  <c r="AC1168" i="4"/>
  <c r="AC52" i="62"/>
  <c r="AC43" i="62"/>
  <c r="AC491" i="4"/>
  <c r="AD1163" i="4" l="1"/>
  <c r="AC26" i="11"/>
  <c r="AC23" i="62"/>
  <c r="AD488" i="4"/>
  <c r="AC15" i="11"/>
  <c r="AC13" i="11" s="1"/>
  <c r="AC62" i="64"/>
  <c r="AC907" i="4"/>
  <c r="AC70" i="64" l="1"/>
  <c r="AC78" i="64"/>
  <c r="AC16" i="66"/>
  <c r="AC911" i="4"/>
  <c r="AC14" i="66" l="1"/>
  <c r="AC71" i="11"/>
  <c r="AC1217" i="4"/>
  <c r="AC1221" i="4" s="1"/>
  <c r="AC915" i="4"/>
  <c r="AC1243" i="4"/>
  <c r="AC1043" i="4"/>
  <c r="AC47" i="11" l="1"/>
  <c r="AC996" i="4"/>
  <c r="AC13" i="66"/>
  <c r="AC1000" i="4" l="1"/>
  <c r="AC61" i="11"/>
  <c r="AC62" i="11"/>
  <c r="AC48" i="11"/>
  <c r="AC55" i="11" l="1"/>
  <c r="AC1395" i="4"/>
  <c r="AC64" i="11"/>
  <c r="AC62" i="62"/>
  <c r="AC63" i="11"/>
  <c r="AC1004" i="4"/>
  <c r="AC1012" i="4" l="1"/>
  <c r="AC1005" i="4"/>
  <c r="AC1016" i="4" l="1"/>
  <c r="AC1013" i="4" l="1"/>
  <c r="AC1006" i="4" l="1"/>
  <c r="AC1014" i="4"/>
  <c r="AD1011" i="4" s="1"/>
  <c r="AC1007" i="4" l="1"/>
  <c r="AC56" i="11" l="1"/>
  <c r="AC75" i="11"/>
  <c r="AC1046" i="4"/>
  <c r="AC1053" i="4" s="1"/>
  <c r="AC1055" i="4" s="1"/>
  <c r="AC1058" i="4" s="1"/>
  <c r="AC1222" i="4"/>
  <c r="AC1223" i="4" s="1"/>
  <c r="AC1246" i="4"/>
  <c r="AC61" i="64"/>
  <c r="AC63" i="62"/>
  <c r="AC66" i="64" l="1"/>
  <c r="AC69" i="64"/>
  <c r="AC77" i="64"/>
  <c r="AC67" i="62"/>
  <c r="AC1236" i="4"/>
  <c r="AC57" i="11"/>
  <c r="AC1394" i="4" l="1"/>
  <c r="AC1206" i="4"/>
  <c r="AC1116" i="4"/>
  <c r="AC1117" i="4" s="1"/>
  <c r="AC1119" i="4" s="1"/>
  <c r="AC1121" i="4" s="1"/>
  <c r="AC1087" i="4" s="1"/>
  <c r="AC68" i="62"/>
  <c r="AC82" i="64"/>
  <c r="AC74" i="64"/>
  <c r="AC40" i="64"/>
  <c r="AC42" i="64" l="1"/>
  <c r="AC1137" i="4"/>
  <c r="AC1088" i="4"/>
  <c r="AD1085" i="4" l="1"/>
  <c r="AD1130" i="4"/>
  <c r="AC88" i="11"/>
  <c r="AC1347" i="4"/>
  <c r="AC38" i="66"/>
  <c r="AC1404" i="4"/>
  <c r="AC1225" i="4"/>
  <c r="AC1226" i="4" s="1"/>
  <c r="AC1247" i="4"/>
  <c r="AC1138" i="4"/>
  <c r="AC49" i="64"/>
  <c r="AC52" i="64"/>
  <c r="AC1194" i="4" l="1"/>
  <c r="AC1204" i="4"/>
  <c r="AC1438" i="4"/>
  <c r="AC1428" i="4"/>
  <c r="AC31" i="11"/>
  <c r="AC1412" i="4"/>
  <c r="AD1135" i="4"/>
  <c r="AD1148" i="4"/>
  <c r="AD1086" i="4"/>
  <c r="AC1413" i="4" l="1"/>
  <c r="AC45" i="62"/>
  <c r="AC30" i="11"/>
  <c r="AD1136" i="4"/>
  <c r="AD1129" i="4"/>
  <c r="AD1125" i="4"/>
  <c r="AD1101" i="4"/>
  <c r="AD1415" i="4"/>
  <c r="AC1197" i="4"/>
  <c r="AC1198" i="4" s="1"/>
  <c r="AC1188" i="4" s="1"/>
  <c r="AC1175" i="4"/>
  <c r="AD1259" i="4" l="1"/>
  <c r="AD1346" i="4"/>
  <c r="AD87" i="11"/>
  <c r="AD1233" i="4"/>
  <c r="AD18" i="66"/>
  <c r="AD1103" i="4"/>
  <c r="AD1102" i="4"/>
  <c r="AD1112" i="4"/>
  <c r="AC1418" i="4"/>
  <c r="AC1416" i="4"/>
  <c r="AC1180" i="4"/>
  <c r="AC1184" i="4"/>
  <c r="AC1191" i="4" s="1"/>
  <c r="AC1189" i="4"/>
  <c r="AC1187" i="4"/>
  <c r="AC1176" i="4" s="1"/>
  <c r="AD1147" i="4"/>
  <c r="AC1419" i="4" l="1"/>
  <c r="AD1149" i="4"/>
  <c r="AD1141" i="4"/>
  <c r="AC1227" i="4"/>
  <c r="AC1250" i="4"/>
  <c r="AC1195" i="4"/>
  <c r="AC1199" i="4" s="1"/>
  <c r="AC1177" i="4" s="1"/>
  <c r="AC74" i="11"/>
  <c r="AC78" i="11" s="1"/>
  <c r="AC36" i="66"/>
  <c r="AC1309" i="4"/>
  <c r="AD1104" i="4"/>
  <c r="AC1261" i="4"/>
  <c r="AC86" i="11"/>
  <c r="AC19" i="66"/>
  <c r="AC1232" i="4"/>
  <c r="AC1403" i="4"/>
  <c r="AD1092" i="4"/>
  <c r="AD1091" i="4"/>
  <c r="AD1113" i="4" l="1"/>
  <c r="AD1120" i="4"/>
  <c r="AD997" i="4"/>
  <c r="AD1143" i="4"/>
  <c r="AD1142" i="4"/>
  <c r="AC17" i="66"/>
  <c r="AC1344" i="4"/>
  <c r="AC1308" i="4"/>
  <c r="AC1311" i="4" s="1"/>
  <c r="AC1228" i="4"/>
  <c r="AC1205" i="4" s="1"/>
  <c r="AC39" i="66"/>
  <c r="AC35" i="66" s="1"/>
  <c r="AC1251" i="4"/>
  <c r="AC89" i="11"/>
  <c r="AD1093" i="4"/>
  <c r="AD1045" i="4"/>
  <c r="AD37" i="66"/>
  <c r="AD1218" i="4"/>
  <c r="AD50" i="11"/>
  <c r="AD72" i="11"/>
  <c r="AD999" i="4"/>
  <c r="AD1249" i="4"/>
  <c r="AD297" i="4"/>
  <c r="AC1406" i="4"/>
  <c r="AC1178" i="4"/>
  <c r="AD294" i="4" l="1"/>
  <c r="AD49" i="11"/>
  <c r="AD53" i="11"/>
  <c r="AC1207" i="4"/>
  <c r="AC1209" i="4" s="1"/>
  <c r="AC1313" i="4"/>
  <c r="AC1325" i="4"/>
  <c r="AD305" i="4"/>
  <c r="AD330" i="4" s="1"/>
  <c r="AC1348" i="4"/>
  <c r="AC27" i="11"/>
  <c r="AD1173" i="4"/>
  <c r="AC1429" i="4"/>
  <c r="AD1111" i="4"/>
  <c r="AD1144" i="4"/>
  <c r="AC48" i="62" l="1"/>
  <c r="AC24" i="62" s="1"/>
  <c r="AC26" i="62" s="1"/>
  <c r="AC1229" i="4"/>
  <c r="AC1230" i="4" s="1"/>
  <c r="AC1234" i="4" s="1"/>
  <c r="AD1213" i="4" s="1"/>
  <c r="AC58" i="11"/>
  <c r="AC59" i="11" s="1"/>
  <c r="AC28" i="11" s="1"/>
  <c r="AC25" i="11" s="1"/>
  <c r="AC90" i="11"/>
  <c r="AC91" i="11" s="1"/>
  <c r="AC93" i="11" s="1"/>
  <c r="AC96" i="11" s="1"/>
  <c r="AC97" i="11" s="1"/>
  <c r="AC1252" i="4"/>
  <c r="AC22" i="66"/>
  <c r="AD1248" i="4"/>
  <c r="AD1224" i="4"/>
  <c r="AD1044" i="4"/>
  <c r="AD73" i="11"/>
  <c r="AC1363" i="4"/>
  <c r="AC1430" i="4"/>
  <c r="AC1431" i="4" s="1"/>
  <c r="AC1432" i="4"/>
  <c r="AE479" i="4"/>
  <c r="AE468" i="4"/>
  <c r="AE457" i="4"/>
  <c r="AD456" i="4"/>
  <c r="AD467" i="4"/>
  <c r="AD478" i="4"/>
  <c r="AD52" i="11"/>
  <c r="AC1326" i="4"/>
  <c r="AC1327" i="4" s="1"/>
  <c r="AD299" i="4"/>
  <c r="AD302" i="4"/>
  <c r="AC1208" i="4"/>
  <c r="AD307" i="4" l="1"/>
  <c r="AD331" i="4"/>
  <c r="AD469" i="4"/>
  <c r="AD470" i="4" s="1"/>
  <c r="AD458" i="4"/>
  <c r="AD459" i="4" s="1"/>
  <c r="AC1398" i="4"/>
  <c r="AC1393" i="4" s="1"/>
  <c r="AC37" i="11"/>
  <c r="AC1397" i="4"/>
  <c r="AC1392" i="4" s="1"/>
  <c r="AC21" i="11"/>
  <c r="AC17" i="11" s="1"/>
  <c r="AC1385" i="4"/>
  <c r="AC1384" i="4" s="1"/>
  <c r="AC46" i="62"/>
  <c r="AC101" i="67"/>
  <c r="AC101" i="11"/>
  <c r="AD95" i="11"/>
  <c r="AC1263" i="4"/>
  <c r="AC1264" i="4" s="1"/>
  <c r="AC1253" i="4"/>
  <c r="AC1254" i="4" s="1"/>
  <c r="AC100" i="11"/>
  <c r="AC24" i="66"/>
  <c r="AC44" i="66"/>
  <c r="AC40" i="66" s="1"/>
  <c r="AC100" i="67"/>
  <c r="AE495" i="4"/>
  <c r="AC1364" i="4"/>
  <c r="AC1365" i="4" s="1"/>
  <c r="AD1067" i="4"/>
  <c r="AD1051" i="4"/>
  <c r="AD480" i="4"/>
  <c r="AD481" i="4" s="1"/>
  <c r="AC1266" i="4" l="1"/>
  <c r="AC99" i="11"/>
  <c r="AD332" i="4"/>
  <c r="AD14" i="11" s="1"/>
  <c r="AD482" i="4"/>
  <c r="AD483" i="4" s="1"/>
  <c r="AE477" i="4" s="1"/>
  <c r="AE995" i="4"/>
  <c r="AD460" i="4"/>
  <c r="AD461" i="4" s="1"/>
  <c r="AE455" i="4" s="1"/>
  <c r="AD494" i="4"/>
  <c r="AC46" i="66"/>
  <c r="AD471" i="4"/>
  <c r="AD472" i="4" s="1"/>
  <c r="AE466" i="4" s="1"/>
  <c r="AD1158" i="4"/>
  <c r="AD1068" i="4"/>
  <c r="AD1157" i="4"/>
  <c r="AC1386" i="4"/>
  <c r="AC1383" i="4" s="1"/>
  <c r="AC23" i="11"/>
  <c r="AD405" i="4"/>
  <c r="AD395" i="4"/>
  <c r="AD385" i="4"/>
  <c r="AC20" i="66"/>
  <c r="AD489" i="4" l="1"/>
  <c r="AD500" i="4"/>
  <c r="AD386" i="4"/>
  <c r="AD387" i="4" s="1"/>
  <c r="AD1164" i="4"/>
  <c r="AD1159" i="4"/>
  <c r="AD396" i="4"/>
  <c r="AD397" i="4" s="1"/>
  <c r="AD1174" i="4"/>
  <c r="AD994" i="4"/>
  <c r="AD406" i="4"/>
  <c r="AD407" i="4" s="1"/>
  <c r="AC1439" i="4"/>
  <c r="AC1440" i="4" s="1"/>
  <c r="AC1396" i="4"/>
  <c r="AC1391" i="4" s="1"/>
  <c r="AC26" i="66"/>
  <c r="AC48" i="66" s="1"/>
  <c r="AC39" i="11"/>
  <c r="AC40" i="11" s="1"/>
  <c r="AD398" i="4" l="1"/>
  <c r="AD399" i="4" s="1"/>
  <c r="AE394" i="4" s="1"/>
  <c r="AD408" i="4"/>
  <c r="AD409" i="4" s="1"/>
  <c r="AE404" i="4" s="1"/>
  <c r="AD1260" i="4"/>
  <c r="AD1231" i="4"/>
  <c r="AD42" i="62"/>
  <c r="AD85" i="11"/>
  <c r="AD1167" i="4"/>
  <c r="AD388" i="4"/>
  <c r="AD389" i="4" s="1"/>
  <c r="AE384" i="4" s="1"/>
  <c r="AD490" i="4"/>
  <c r="AD491" i="4" s="1"/>
  <c r="AD501" i="4"/>
  <c r="AD502" i="4" s="1"/>
  <c r="AE488" i="4" l="1"/>
  <c r="AD15" i="11"/>
  <c r="AD13" i="11" s="1"/>
  <c r="AD52" i="62"/>
  <c r="AD43" i="62"/>
  <c r="AD1024" i="4"/>
  <c r="AD1026" i="4" s="1"/>
  <c r="AD1027" i="4" s="1"/>
  <c r="AD1028" i="4" s="1"/>
  <c r="AE499" i="4"/>
  <c r="AE1023" i="4" s="1"/>
  <c r="AD51" i="11"/>
  <c r="AD64" i="62"/>
  <c r="AD1168" i="4"/>
  <c r="AD907" i="4" l="1"/>
  <c r="AD62" i="64"/>
  <c r="AE1163" i="4"/>
  <c r="AD26" i="11"/>
  <c r="AD23" i="62"/>
  <c r="AD78" i="64" l="1"/>
  <c r="AD70" i="64"/>
  <c r="AD16" i="66"/>
  <c r="AD911" i="4"/>
  <c r="AD1243" i="4" l="1"/>
  <c r="AD1043" i="4"/>
  <c r="AD1217" i="4"/>
  <c r="AD1221" i="4" s="1"/>
  <c r="AD915" i="4"/>
  <c r="AD71" i="11"/>
  <c r="AD14" i="66"/>
  <c r="AD47" i="11" l="1"/>
  <c r="AD996" i="4"/>
  <c r="AD13" i="66"/>
  <c r="AD1000" i="4" l="1"/>
  <c r="AD62" i="11"/>
  <c r="AD61" i="11"/>
  <c r="AD48" i="11"/>
  <c r="AD1004" i="4" l="1"/>
  <c r="AD63" i="11"/>
  <c r="AD64" i="11"/>
  <c r="AD1395" i="4"/>
  <c r="AD62" i="62"/>
  <c r="AD55" i="11"/>
  <c r="AD1012" i="4" l="1"/>
  <c r="AD1005" i="4"/>
  <c r="AD1016" i="4" l="1"/>
  <c r="AD1013" i="4" l="1"/>
  <c r="AD1014" i="4" l="1"/>
  <c r="AE1011" i="4" s="1"/>
  <c r="AD1006" i="4"/>
  <c r="AD1007" i="4" l="1"/>
  <c r="AD1246" i="4" l="1"/>
  <c r="AD56" i="11"/>
  <c r="AD1222" i="4"/>
  <c r="AD1223" i="4" s="1"/>
  <c r="AD75" i="11"/>
  <c r="AD61" i="64"/>
  <c r="AD1046" i="4"/>
  <c r="AD1053" i="4" s="1"/>
  <c r="AD1055" i="4" s="1"/>
  <c r="AD1058" i="4" s="1"/>
  <c r="AD63" i="62"/>
  <c r="AD69" i="64" l="1"/>
  <c r="AD77" i="64"/>
  <c r="AD66" i="64"/>
  <c r="AD67" i="62"/>
  <c r="AD1236" i="4"/>
  <c r="AD57" i="11"/>
  <c r="AD1116" i="4" l="1"/>
  <c r="AD1117" i="4" s="1"/>
  <c r="AD1119" i="4" s="1"/>
  <c r="AD1121" i="4" s="1"/>
  <c r="AD1087" i="4" s="1"/>
  <c r="AD68" i="62"/>
  <c r="AD40" i="64"/>
  <c r="AD82" i="64"/>
  <c r="AD1394" i="4"/>
  <c r="AD1206" i="4"/>
  <c r="AD74" i="64"/>
  <c r="AD42" i="64" l="1"/>
  <c r="AD1137" i="4"/>
  <c r="AD1088" i="4"/>
  <c r="AE1085" i="4" l="1"/>
  <c r="AE1130" i="4"/>
  <c r="AD1347" i="4"/>
  <c r="AD1225" i="4"/>
  <c r="AD1226" i="4" s="1"/>
  <c r="AD38" i="66"/>
  <c r="AD1247" i="4"/>
  <c r="AD88" i="11"/>
  <c r="AD1404" i="4"/>
  <c r="AD1138" i="4"/>
  <c r="AD52" i="64"/>
  <c r="AD49" i="64"/>
  <c r="AD1438" i="4" l="1"/>
  <c r="AE1135" i="4"/>
  <c r="AD31" i="11"/>
  <c r="AD1412" i="4"/>
  <c r="AD1428" i="4"/>
  <c r="AD1204" i="4"/>
  <c r="AD1194" i="4"/>
  <c r="AE1148" i="4"/>
  <c r="AE1086" i="4"/>
  <c r="AD1413" i="4" l="1"/>
  <c r="AD30" i="11"/>
  <c r="AD45" i="62"/>
  <c r="AE1129" i="4"/>
  <c r="AE1136" i="4"/>
  <c r="AE1125" i="4"/>
  <c r="AE1101" i="4"/>
  <c r="AE1415" i="4"/>
  <c r="AD1175" i="4"/>
  <c r="AD1197" i="4"/>
  <c r="AD1198" i="4" s="1"/>
  <c r="AD1188" i="4" s="1"/>
  <c r="AE1259" i="4" l="1"/>
  <c r="AE18" i="66"/>
  <c r="AE1346" i="4"/>
  <c r="AE1233" i="4"/>
  <c r="AE87" i="11"/>
  <c r="P87" i="67"/>
  <c r="AE1147" i="4"/>
  <c r="AD1418" i="4"/>
  <c r="AD1416" i="4"/>
  <c r="AD1187" i="4"/>
  <c r="AD1176" i="4" s="1"/>
  <c r="AD1189" i="4"/>
  <c r="AD1184" i="4"/>
  <c r="AD1191" i="4" s="1"/>
  <c r="AD1180" i="4"/>
  <c r="AE1102" i="4"/>
  <c r="AE1112" i="4"/>
  <c r="AE1103" i="4"/>
  <c r="AD1419" i="4" l="1"/>
  <c r="AE1141" i="4"/>
  <c r="AE1104" i="4"/>
  <c r="P14" i="13"/>
  <c r="AD1250" i="4"/>
  <c r="AD74" i="11"/>
  <c r="AD78" i="11" s="1"/>
  <c r="AD1227" i="4"/>
  <c r="AD1195" i="4"/>
  <c r="AD1199" i="4" s="1"/>
  <c r="AD1177" i="4" s="1"/>
  <c r="AD1309" i="4"/>
  <c r="AD36" i="66"/>
  <c r="AE1092" i="4"/>
  <c r="AE1091" i="4"/>
  <c r="AD1261" i="4"/>
  <c r="AD19" i="66"/>
  <c r="AD1232" i="4"/>
  <c r="AD86" i="11"/>
  <c r="AD1403" i="4"/>
  <c r="L143" i="15"/>
  <c r="AE1149" i="4"/>
  <c r="AE1093" i="4" l="1"/>
  <c r="AD1406" i="4"/>
  <c r="AE1113" i="4"/>
  <c r="AE1120" i="4"/>
  <c r="AD17" i="66"/>
  <c r="AD1228" i="4"/>
  <c r="AD1205" i="4" s="1"/>
  <c r="AD89" i="11"/>
  <c r="AD39" i="66"/>
  <c r="AD35" i="66" s="1"/>
  <c r="AD1251" i="4"/>
  <c r="AE1143" i="4"/>
  <c r="AE997" i="4"/>
  <c r="AE1142" i="4"/>
  <c r="AE50" i="11"/>
  <c r="AE999" i="4"/>
  <c r="AE1249" i="4"/>
  <c r="AE1045" i="4"/>
  <c r="AE72" i="11"/>
  <c r="AE1218" i="4"/>
  <c r="AE37" i="66"/>
  <c r="AE297" i="4"/>
  <c r="P72" i="67"/>
  <c r="AD1344" i="4"/>
  <c r="AD1308" i="4"/>
  <c r="AD1311" i="4" s="1"/>
  <c r="AD1178" i="4"/>
  <c r="AE1173" i="4" l="1"/>
  <c r="AD27" i="11"/>
  <c r="AD1429" i="4"/>
  <c r="AD1313" i="4"/>
  <c r="AD1325" i="4"/>
  <c r="AE53" i="11"/>
  <c r="P53" i="67"/>
  <c r="AD1348" i="4"/>
  <c r="AE1144" i="4"/>
  <c r="AE49" i="11"/>
  <c r="P50" i="67"/>
  <c r="AE305" i="4"/>
  <c r="AE330" i="4" s="1"/>
  <c r="AD1207" i="4"/>
  <c r="AD1209" i="4" s="1"/>
  <c r="L163" i="15"/>
  <c r="AE294" i="4"/>
  <c r="AE1111" i="4"/>
  <c r="AD1208" i="4" l="1"/>
  <c r="AF479" i="4"/>
  <c r="AF468" i="4"/>
  <c r="AF457" i="4"/>
  <c r="AE456" i="4"/>
  <c r="AE467" i="4"/>
  <c r="AE478" i="4"/>
  <c r="AE73" i="11"/>
  <c r="AE1044" i="4"/>
  <c r="AE1224" i="4"/>
  <c r="AE1248" i="4"/>
  <c r="P23" i="13"/>
  <c r="P73" i="67"/>
  <c r="P49" i="67"/>
  <c r="AD1363" i="4"/>
  <c r="P52" i="67"/>
  <c r="AD1432" i="4"/>
  <c r="AD1430" i="4"/>
  <c r="AD1431" i="4" s="1"/>
  <c r="AE52" i="11"/>
  <c r="AD90" i="11"/>
  <c r="AD91" i="11" s="1"/>
  <c r="AD93" i="11" s="1"/>
  <c r="AD96" i="11" s="1"/>
  <c r="AD97" i="11" s="1"/>
  <c r="AD1229" i="4"/>
  <c r="AD1230" i="4" s="1"/>
  <c r="AD1234" i="4" s="1"/>
  <c r="AE1213" i="4" s="1"/>
  <c r="AD1252" i="4"/>
  <c r="AD48" i="62"/>
  <c r="AD24" i="62" s="1"/>
  <c r="AD26" i="62" s="1"/>
  <c r="AD58" i="11"/>
  <c r="AD59" i="11" s="1"/>
  <c r="AD28" i="11" s="1"/>
  <c r="AD22" i="66"/>
  <c r="AD1326" i="4"/>
  <c r="AD1327" i="4" s="1"/>
  <c r="AE299" i="4"/>
  <c r="AE302" i="4"/>
  <c r="AE458" i="4" l="1"/>
  <c r="AE459" i="4" s="1"/>
  <c r="AE1067" i="4"/>
  <c r="AF495" i="4"/>
  <c r="AE331" i="4"/>
  <c r="AE307" i="4"/>
  <c r="AD25" i="11"/>
  <c r="AE1051" i="4"/>
  <c r="AD1364" i="4"/>
  <c r="AD1365" i="4" s="1"/>
  <c r="AE480" i="4"/>
  <c r="AE481" i="4" s="1"/>
  <c r="AD24" i="66"/>
  <c r="AD44" i="66"/>
  <c r="AD40" i="66" s="1"/>
  <c r="AE95" i="11"/>
  <c r="AD100" i="67"/>
  <c r="AD1385" i="4"/>
  <c r="AD1384" i="4" s="1"/>
  <c r="AD1253" i="4"/>
  <c r="AD1254" i="4" s="1"/>
  <c r="AD1263" i="4"/>
  <c r="AD1264" i="4" s="1"/>
  <c r="AD100" i="11"/>
  <c r="AD101" i="67"/>
  <c r="AD101" i="11"/>
  <c r="AD21" i="11"/>
  <c r="AD17" i="11" s="1"/>
  <c r="AD46" i="62"/>
  <c r="AE469" i="4"/>
  <c r="AE470" i="4" s="1"/>
  <c r="AD1266" i="4" l="1"/>
  <c r="AD99" i="11"/>
  <c r="AE405" i="4"/>
  <c r="AE395" i="4"/>
  <c r="AE385" i="4"/>
  <c r="AE482" i="4"/>
  <c r="AE483" i="4" s="1"/>
  <c r="AF477" i="4" s="1"/>
  <c r="AF995" i="4"/>
  <c r="AD1386" i="4"/>
  <c r="AD1383" i="4" s="1"/>
  <c r="AD23" i="11"/>
  <c r="AD46" i="66"/>
  <c r="AE471" i="4"/>
  <c r="AE472" i="4" s="1"/>
  <c r="AF466" i="4" s="1"/>
  <c r="AD20" i="66"/>
  <c r="AE1158" i="4"/>
  <c r="AE1068" i="4"/>
  <c r="AE1157" i="4"/>
  <c r="AD1398" i="4"/>
  <c r="AD1393" i="4" s="1"/>
  <c r="AD1397" i="4"/>
  <c r="AD1392" i="4" s="1"/>
  <c r="AD37" i="11"/>
  <c r="AE332" i="4"/>
  <c r="AE494" i="4"/>
  <c r="AE460" i="4"/>
  <c r="AE461" i="4" s="1"/>
  <c r="AF455" i="4" s="1"/>
  <c r="AD39" i="11" l="1"/>
  <c r="AD40" i="11" s="1"/>
  <c r="AD26" i="66"/>
  <c r="AD48" i="66" s="1"/>
  <c r="AE1164" i="4"/>
  <c r="AE1159" i="4"/>
  <c r="AE489" i="4"/>
  <c r="AE500" i="4"/>
  <c r="AE386" i="4"/>
  <c r="AE387" i="4" s="1"/>
  <c r="AE994" i="4"/>
  <c r="AE1174" i="4"/>
  <c r="AE396" i="4"/>
  <c r="AE397" i="4" s="1"/>
  <c r="AE14" i="11"/>
  <c r="P14" i="67"/>
  <c r="AD1439" i="4"/>
  <c r="AD1440" i="4" s="1"/>
  <c r="AD1396" i="4"/>
  <c r="AD1391" i="4" s="1"/>
  <c r="AE406" i="4"/>
  <c r="AE407" i="4" s="1"/>
  <c r="AE408" i="4" l="1"/>
  <c r="AE409" i="4" s="1"/>
  <c r="AF404" i="4" s="1"/>
  <c r="AE398" i="4"/>
  <c r="AE399" i="4" s="1"/>
  <c r="AF394" i="4" s="1"/>
  <c r="AE1231" i="4"/>
  <c r="AE1167" i="4"/>
  <c r="AE1260" i="4"/>
  <c r="AE42" i="62"/>
  <c r="AE85" i="11"/>
  <c r="P85" i="67"/>
  <c r="AE388" i="4"/>
  <c r="AE389" i="4" s="1"/>
  <c r="AF384" i="4" s="1"/>
  <c r="AE490" i="4"/>
  <c r="AE501" i="4"/>
  <c r="AE502" i="4" s="1"/>
  <c r="AE52" i="62" l="1"/>
  <c r="AE43" i="62"/>
  <c r="AE1024" i="4"/>
  <c r="AE1026" i="4" s="1"/>
  <c r="AE1027" i="4" s="1"/>
  <c r="AE1028" i="4" s="1"/>
  <c r="AF499" i="4"/>
  <c r="AF1023" i="4" s="1"/>
  <c r="AE51" i="11"/>
  <c r="AE64" i="62"/>
  <c r="P51" i="67"/>
  <c r="AE1168" i="4"/>
  <c r="AE491" i="4"/>
  <c r="P26" i="67" l="1"/>
  <c r="AF1163" i="4"/>
  <c r="AE26" i="11"/>
  <c r="P15" i="67"/>
  <c r="P13" i="67" s="1"/>
  <c r="AF488" i="4"/>
  <c r="AE15" i="11"/>
  <c r="AE13" i="11" s="1"/>
  <c r="AE907" i="4"/>
  <c r="AE62" i="64"/>
  <c r="AE23" i="62"/>
  <c r="AE911" i="4" l="1"/>
  <c r="AE78" i="64"/>
  <c r="AE70" i="64"/>
  <c r="AE16" i="66"/>
  <c r="L140" i="15" l="1"/>
  <c r="AE14" i="66"/>
  <c r="AE1217" i="4"/>
  <c r="AE1221" i="4" s="1"/>
  <c r="AE1043" i="4"/>
  <c r="AE71" i="11"/>
  <c r="AE1243" i="4"/>
  <c r="AE915" i="4"/>
  <c r="P40" i="13"/>
  <c r="P71" i="67"/>
  <c r="AE996" i="4" l="1"/>
  <c r="AE47" i="11"/>
  <c r="P47" i="67"/>
  <c r="P20" i="72"/>
  <c r="AE13" i="66"/>
  <c r="L138" i="15"/>
  <c r="P48" i="67" l="1"/>
  <c r="P62" i="67"/>
  <c r="P61" i="67"/>
  <c r="L137" i="15"/>
  <c r="P18" i="72"/>
  <c r="AE48" i="11"/>
  <c r="AE61" i="11"/>
  <c r="AE62" i="11"/>
  <c r="AE1000" i="4"/>
  <c r="AE1004" i="4" l="1"/>
  <c r="AE1395" i="4"/>
  <c r="AE62" i="62"/>
  <c r="AE64" i="11"/>
  <c r="P63" i="67"/>
  <c r="AE63" i="11"/>
  <c r="P1449" i="4"/>
  <c r="P64" i="67"/>
  <c r="AE55" i="11"/>
  <c r="P55" i="67"/>
  <c r="AE1005" i="4" l="1"/>
  <c r="AE1012" i="4"/>
  <c r="AE1016" i="4" l="1"/>
  <c r="AE1013" i="4" l="1"/>
  <c r="AE1014" i="4" l="1"/>
  <c r="AF1011" i="4" s="1"/>
  <c r="AE1006" i="4"/>
  <c r="AE1007" i="4" l="1"/>
  <c r="AE1246" i="4" l="1"/>
  <c r="AE75" i="11"/>
  <c r="AE1222" i="4"/>
  <c r="AE1223" i="4" s="1"/>
  <c r="AE56" i="11"/>
  <c r="AE61" i="64"/>
  <c r="AE1046" i="4"/>
  <c r="AE1053" i="4" s="1"/>
  <c r="AE1055" i="4" s="1"/>
  <c r="AE1058" i="4" s="1"/>
  <c r="P41" i="13"/>
  <c r="P56" i="67"/>
  <c r="P75" i="67"/>
  <c r="AE63" i="62"/>
  <c r="P43" i="13" l="1"/>
  <c r="AE77" i="64"/>
  <c r="AE69" i="64"/>
  <c r="AE66" i="64"/>
  <c r="AE67" i="62"/>
  <c r="AE57" i="11"/>
  <c r="AE1236" i="4"/>
  <c r="P57" i="67"/>
  <c r="AE1394" i="4" l="1"/>
  <c r="AE1206" i="4"/>
  <c r="AE40" i="64"/>
  <c r="AE74" i="64"/>
  <c r="AE82" i="64"/>
  <c r="AE1116" i="4"/>
  <c r="AE1117" i="4" s="1"/>
  <c r="AE1119" i="4" s="1"/>
  <c r="AE1121" i="4" s="1"/>
  <c r="AE1087" i="4" s="1"/>
  <c r="AE68" i="62"/>
  <c r="AE42" i="64" l="1"/>
  <c r="AE1137" i="4"/>
  <c r="AE1088" i="4"/>
  <c r="AF1085" i="4" l="1"/>
  <c r="AF1130" i="4"/>
  <c r="AE1225" i="4"/>
  <c r="AE1226" i="4" s="1"/>
  <c r="AE1347" i="4"/>
  <c r="AE88" i="11"/>
  <c r="AE38" i="66"/>
  <c r="AE1404" i="4"/>
  <c r="AE1247" i="4"/>
  <c r="P88" i="67"/>
  <c r="P24" i="13"/>
  <c r="AE1138" i="4"/>
  <c r="AE49" i="64"/>
  <c r="AE52" i="64"/>
  <c r="L164" i="15" l="1"/>
  <c r="AE31" i="11"/>
  <c r="AE1412" i="4"/>
  <c r="P1448" i="4"/>
  <c r="P1452" i="4" s="1"/>
  <c r="P31" i="67"/>
  <c r="P30" i="67" s="1"/>
  <c r="AE1428" i="4"/>
  <c r="AE1438" i="4"/>
  <c r="AF1135" i="4"/>
  <c r="P15" i="13"/>
  <c r="AE1204" i="4"/>
  <c r="AE1194" i="4"/>
  <c r="AF1148" i="4"/>
  <c r="AF1086" i="4"/>
  <c r="AE1175" i="4" l="1"/>
  <c r="AE1197" i="4"/>
  <c r="AE1198" i="4" s="1"/>
  <c r="AE1188" i="4" s="1"/>
  <c r="AE1413" i="4"/>
  <c r="AE30" i="11"/>
  <c r="AE45" i="62"/>
  <c r="AF1415" i="4"/>
  <c r="AF1136" i="4"/>
  <c r="AF1129" i="4"/>
  <c r="AF1125" i="4"/>
  <c r="AF1101" i="4"/>
  <c r="AE1189" i="4" l="1"/>
  <c r="AE1187" i="4"/>
  <c r="AE1176" i="4" s="1"/>
  <c r="AE1418" i="4"/>
  <c r="AE1416" i="4"/>
  <c r="AF1259" i="4"/>
  <c r="AF18" i="66"/>
  <c r="AF1233" i="4"/>
  <c r="AF87" i="11"/>
  <c r="AF1346" i="4"/>
  <c r="AE1180" i="4"/>
  <c r="AE1184" i="4"/>
  <c r="AE1191" i="4" s="1"/>
  <c r="AF1147" i="4"/>
  <c r="AF1102" i="4"/>
  <c r="AF1103" i="4"/>
  <c r="AF1112" i="4"/>
  <c r="AE1419" i="4" l="1"/>
  <c r="AF1141" i="4"/>
  <c r="AF1092" i="4"/>
  <c r="AF1091" i="4"/>
  <c r="AE1261" i="4"/>
  <c r="AE19" i="66"/>
  <c r="AE86" i="11"/>
  <c r="AE1232" i="4"/>
  <c r="P86" i="67"/>
  <c r="AE1403" i="4"/>
  <c r="AF1104" i="4"/>
  <c r="AF1149" i="4"/>
  <c r="AE1227" i="4"/>
  <c r="AE1195" i="4"/>
  <c r="AE1199" i="4" s="1"/>
  <c r="AE1177" i="4" s="1"/>
  <c r="AE74" i="11"/>
  <c r="AE78" i="11" s="1"/>
  <c r="AE1250" i="4"/>
  <c r="P74" i="67"/>
  <c r="P78" i="67" s="1"/>
  <c r="AE36" i="66"/>
  <c r="L162" i="15" s="1"/>
  <c r="AE1309" i="4"/>
  <c r="AE1308" i="4" l="1"/>
  <c r="AE1311" i="4" s="1"/>
  <c r="AE1344" i="4"/>
  <c r="AE17" i="66"/>
  <c r="L144" i="15"/>
  <c r="AE1251" i="4"/>
  <c r="AE39" i="66"/>
  <c r="AE35" i="66" s="1"/>
  <c r="AE1228" i="4"/>
  <c r="AE1205" i="4" s="1"/>
  <c r="AE89" i="11"/>
  <c r="P89" i="67"/>
  <c r="AE1178" i="4"/>
  <c r="AF1113" i="4"/>
  <c r="AF1120" i="4"/>
  <c r="AF1093" i="4"/>
  <c r="P25" i="13"/>
  <c r="AE1406" i="4"/>
  <c r="AF1249" i="4"/>
  <c r="AF50" i="11"/>
  <c r="AF37" i="66"/>
  <c r="AF297" i="4"/>
  <c r="AF1045" i="4"/>
  <c r="AF72" i="11"/>
  <c r="AF1218" i="4"/>
  <c r="AF999" i="4"/>
  <c r="AF1142" i="4"/>
  <c r="AF997" i="4"/>
  <c r="AF1143" i="4"/>
  <c r="AE1207" i="4" l="1"/>
  <c r="AE1209" i="4" s="1"/>
  <c r="AF1111" i="4"/>
  <c r="L161" i="15"/>
  <c r="AF53" i="11"/>
  <c r="AF294" i="4"/>
  <c r="AF305" i="4"/>
  <c r="AF330" i="4" s="1"/>
  <c r="AF49" i="11"/>
  <c r="AF1144" i="4"/>
  <c r="P19" i="72"/>
  <c r="L142" i="15"/>
  <c r="AE27" i="11"/>
  <c r="AF1173" i="4"/>
  <c r="P27" i="67"/>
  <c r="AE1429" i="4"/>
  <c r="AE1348" i="4"/>
  <c r="P13" i="13"/>
  <c r="AE1313" i="4"/>
  <c r="P14" i="72"/>
  <c r="AE1325" i="4"/>
  <c r="P18" i="13" l="1"/>
  <c r="P17" i="13"/>
  <c r="AF52" i="11"/>
  <c r="AE1432" i="4"/>
  <c r="AE1430" i="4"/>
  <c r="AE1431" i="4" s="1"/>
  <c r="AF1248" i="4"/>
  <c r="AF1224" i="4"/>
  <c r="AF73" i="11"/>
  <c r="AF1044" i="4"/>
  <c r="AG479" i="4"/>
  <c r="AG468" i="4"/>
  <c r="AG457" i="4"/>
  <c r="AF456" i="4"/>
  <c r="AF467" i="4"/>
  <c r="AF478" i="4"/>
  <c r="P15" i="72"/>
  <c r="AE1363" i="4"/>
  <c r="AE1326" i="4"/>
  <c r="AE1327" i="4" s="1"/>
  <c r="AF299" i="4"/>
  <c r="AF302" i="4"/>
  <c r="AE1208" i="4"/>
  <c r="AE90" i="11"/>
  <c r="AE91" i="11" s="1"/>
  <c r="AE93" i="11" s="1"/>
  <c r="AE96" i="11" s="1"/>
  <c r="AE97" i="11" s="1"/>
  <c r="AE48" i="62"/>
  <c r="AE24" i="62" s="1"/>
  <c r="AE26" i="62" s="1"/>
  <c r="AE58" i="11"/>
  <c r="AE59" i="11" s="1"/>
  <c r="AE28" i="11" s="1"/>
  <c r="AE1252" i="4"/>
  <c r="AE1229" i="4"/>
  <c r="AE1230" i="4" s="1"/>
  <c r="AE1234" i="4" s="1"/>
  <c r="AF1213" i="4" s="1"/>
  <c r="P90" i="67"/>
  <c r="P91" i="67" s="1"/>
  <c r="P93" i="67" s="1"/>
  <c r="P96" i="67" s="1"/>
  <c r="P97" i="67" s="1"/>
  <c r="P58" i="67"/>
  <c r="P59" i="67" s="1"/>
  <c r="AE22" i="66"/>
  <c r="P19" i="13" l="1"/>
  <c r="Q95" i="67"/>
  <c r="AE1364" i="4"/>
  <c r="AE1365" i="4" s="1"/>
  <c r="AF458" i="4"/>
  <c r="AF459" i="4" s="1"/>
  <c r="AG495" i="4"/>
  <c r="AF1051" i="4"/>
  <c r="AF1067" i="4"/>
  <c r="AF331" i="4"/>
  <c r="AF307" i="4"/>
  <c r="P1450" i="4"/>
  <c r="P1457" i="4" s="1"/>
  <c r="AE1385" i="4"/>
  <c r="AE1384" i="4" s="1"/>
  <c r="AE100" i="67"/>
  <c r="AE1263" i="4"/>
  <c r="AE1264" i="4" s="1"/>
  <c r="AE24" i="66"/>
  <c r="AE20" i="66" s="1"/>
  <c r="AE101" i="67"/>
  <c r="AE1253" i="4"/>
  <c r="AE1254" i="4" s="1"/>
  <c r="AE101" i="11"/>
  <c r="AE21" i="11"/>
  <c r="AE17" i="11" s="1"/>
  <c r="AE44" i="66"/>
  <c r="AE40" i="66" s="1"/>
  <c r="AF95" i="11"/>
  <c r="P21" i="67"/>
  <c r="P17" i="67" s="1"/>
  <c r="P23" i="67" s="1"/>
  <c r="AE100" i="11"/>
  <c r="AE46" i="62"/>
  <c r="AF480" i="4"/>
  <c r="AF481" i="4" s="1"/>
  <c r="P28" i="67"/>
  <c r="P25" i="67" s="1"/>
  <c r="P37" i="67" s="1"/>
  <c r="L148" i="15"/>
  <c r="AE25" i="11"/>
  <c r="AF469" i="4"/>
  <c r="AF470" i="4" s="1"/>
  <c r="AE1266" i="4" l="1"/>
  <c r="P39" i="67"/>
  <c r="P40" i="67" s="1"/>
  <c r="AF471" i="4"/>
  <c r="AF472" i="4" s="1"/>
  <c r="AG466" i="4" s="1"/>
  <c r="AE99" i="11"/>
  <c r="AF395" i="4"/>
  <c r="AF385" i="4"/>
  <c r="AF405" i="4"/>
  <c r="AE1398" i="4"/>
  <c r="AE1393" i="4" s="1"/>
  <c r="AE37" i="11"/>
  <c r="AE1397" i="4"/>
  <c r="AE1392" i="4" s="1"/>
  <c r="AG995" i="4"/>
  <c r="L146" i="15"/>
  <c r="AE26" i="66"/>
  <c r="L150" i="15"/>
  <c r="L171" i="15"/>
  <c r="AF1157" i="4"/>
  <c r="AF1068" i="4"/>
  <c r="AF1158" i="4"/>
  <c r="AF460" i="4"/>
  <c r="AF461" i="4" s="1"/>
  <c r="AG455" i="4" s="1"/>
  <c r="AF494" i="4"/>
  <c r="L167" i="15"/>
  <c r="AE46" i="66"/>
  <c r="AE1386" i="4"/>
  <c r="AE1383" i="4" s="1"/>
  <c r="AE23" i="11"/>
  <c r="P99" i="67"/>
  <c r="AF482" i="4"/>
  <c r="AF483" i="4" s="1"/>
  <c r="AG477" i="4" s="1"/>
  <c r="AF332" i="4"/>
  <c r="AF14" i="11" s="1"/>
  <c r="AF406" i="4" l="1"/>
  <c r="AF407" i="4" s="1"/>
  <c r="AF994" i="4"/>
  <c r="AE48" i="66"/>
  <c r="AF489" i="4"/>
  <c r="AF500" i="4"/>
  <c r="AF386" i="4"/>
  <c r="AF387" i="4" s="1"/>
  <c r="L152" i="15"/>
  <c r="AF396" i="4"/>
  <c r="AF397" i="4" s="1"/>
  <c r="AE1439" i="4"/>
  <c r="AE1440" i="4" s="1"/>
  <c r="AE1396" i="4"/>
  <c r="AE1391" i="4" s="1"/>
  <c r="AF1174" i="4"/>
  <c r="L173" i="15"/>
  <c r="AF1159" i="4"/>
  <c r="AF1164" i="4"/>
  <c r="AE39" i="11"/>
  <c r="AE40" i="11" s="1"/>
  <c r="AF388" i="4" l="1"/>
  <c r="AF389" i="4" s="1"/>
  <c r="AG384" i="4" s="1"/>
  <c r="AF490" i="4"/>
  <c r="AF491" i="4" s="1"/>
  <c r="AF501" i="4"/>
  <c r="AF502" i="4" s="1"/>
  <c r="AF398" i="4"/>
  <c r="AF399" i="4" s="1"/>
  <c r="AG394" i="4" s="1"/>
  <c r="AF1167" i="4"/>
  <c r="AF1231" i="4"/>
  <c r="AF85" i="11"/>
  <c r="AF42" i="62"/>
  <c r="AF1260" i="4"/>
  <c r="AF408" i="4"/>
  <c r="AF409" i="4" s="1"/>
  <c r="AG404" i="4" s="1"/>
  <c r="AF1168" i="4" l="1"/>
  <c r="AF15" i="11"/>
  <c r="AF13" i="11" s="1"/>
  <c r="AG488" i="4"/>
  <c r="AF52" i="62"/>
  <c r="AF43" i="62"/>
  <c r="AF1024" i="4"/>
  <c r="AF1026" i="4" s="1"/>
  <c r="AF1027" i="4" s="1"/>
  <c r="AF1028" i="4" s="1"/>
  <c r="AG499" i="4"/>
  <c r="AG1023" i="4" s="1"/>
  <c r="AF51" i="11"/>
  <c r="AF64" i="62"/>
  <c r="AF23" i="62" l="1"/>
  <c r="AF62" i="64"/>
  <c r="AF907" i="4"/>
  <c r="AF26" i="11"/>
  <c r="AG1163" i="4"/>
  <c r="AF70" i="64" l="1"/>
  <c r="AF78" i="64"/>
  <c r="AF911" i="4"/>
  <c r="AF16" i="66"/>
  <c r="AF1043" i="4" l="1"/>
  <c r="AF915" i="4"/>
  <c r="AF1243" i="4"/>
  <c r="AF71" i="11"/>
  <c r="AF1217" i="4"/>
  <c r="AF1221" i="4" s="1"/>
  <c r="AF14" i="66"/>
  <c r="AF47" i="11" l="1"/>
  <c r="AF996" i="4"/>
  <c r="AF13" i="66"/>
  <c r="AF1000" i="4" l="1"/>
  <c r="AF61" i="11"/>
  <c r="AF62" i="11"/>
  <c r="AF48" i="11"/>
  <c r="AF62" i="62" l="1"/>
  <c r="AF1395" i="4"/>
  <c r="AF64" i="11"/>
  <c r="AF1004" i="4"/>
  <c r="AF63" i="11"/>
  <c r="AF55" i="11"/>
  <c r="AF1012" i="4" l="1"/>
  <c r="AF1005" i="4"/>
  <c r="AF1016" i="4" l="1"/>
  <c r="AF1013" i="4" l="1"/>
  <c r="AF1014" i="4" l="1"/>
  <c r="AG1011" i="4" s="1"/>
  <c r="AF1006" i="4"/>
  <c r="AF1007" i="4" l="1"/>
  <c r="AF63" i="62" l="1"/>
  <c r="AF56" i="11"/>
  <c r="AF1046" i="4"/>
  <c r="AF1053" i="4" s="1"/>
  <c r="AF1055" i="4" s="1"/>
  <c r="AF1058" i="4" s="1"/>
  <c r="AF1222" i="4"/>
  <c r="AF1223" i="4" s="1"/>
  <c r="AF75" i="11"/>
  <c r="AF1246" i="4"/>
  <c r="AF61" i="64"/>
  <c r="AF69" i="64" l="1"/>
  <c r="AF74" i="64" s="1"/>
  <c r="AF77" i="64"/>
  <c r="AF82" i="64" s="1"/>
  <c r="AF66" i="64"/>
  <c r="AF40" i="64" s="1"/>
  <c r="AF42" i="64" s="1"/>
  <c r="AF1236" i="4"/>
  <c r="AF57" i="11"/>
  <c r="AF67" i="62"/>
  <c r="AF68" i="62" l="1"/>
  <c r="AF1394" i="4"/>
  <c r="AF1206" i="4"/>
  <c r="AF1116" i="4"/>
  <c r="AF1117" i="4" s="1"/>
  <c r="AF1119" i="4" s="1"/>
  <c r="AF1121" i="4" s="1"/>
  <c r="AF1087" i="4" s="1"/>
  <c r="AF49" i="64"/>
  <c r="AF52" i="64"/>
  <c r="AF1137" i="4" l="1"/>
  <c r="AF1088" i="4"/>
  <c r="AG1085" i="4" l="1"/>
  <c r="AG1130" i="4"/>
  <c r="AG1148" i="4" s="1"/>
  <c r="AF1247" i="4"/>
  <c r="AF88" i="11"/>
  <c r="AF1404" i="4"/>
  <c r="AF1347" i="4"/>
  <c r="AF38" i="66"/>
  <c r="AF1225" i="4"/>
  <c r="AF1226" i="4" s="1"/>
  <c r="AF1138" i="4"/>
  <c r="AG1135" i="4" l="1"/>
  <c r="AF31" i="11"/>
  <c r="AF1438" i="4"/>
  <c r="AF1412" i="4"/>
  <c r="AF1413" i="4" s="1"/>
  <c r="AF1428" i="4"/>
  <c r="AF1194" i="4"/>
  <c r="AF1204" i="4"/>
  <c r="AG1086" i="4"/>
  <c r="AF1418" i="4" l="1"/>
  <c r="AF1416" i="4"/>
  <c r="AF30" i="11"/>
  <c r="AF45" i="62"/>
  <c r="AG1415" i="4"/>
  <c r="AG1129" i="4"/>
  <c r="AG1147" i="4" s="1"/>
  <c r="AG1149" i="4" s="1"/>
  <c r="AG1136" i="4"/>
  <c r="AG1125" i="4"/>
  <c r="AG1101" i="4"/>
  <c r="AF1197" i="4"/>
  <c r="AF1198" i="4" s="1"/>
  <c r="AF1188" i="4" s="1"/>
  <c r="AF1175" i="4"/>
  <c r="AF1419" i="4" l="1"/>
  <c r="AF1180" i="4"/>
  <c r="AF1184" i="4"/>
  <c r="AF1191" i="4" s="1"/>
  <c r="AF1187" i="4"/>
  <c r="AF1176" i="4" s="1"/>
  <c r="AF1189" i="4"/>
  <c r="AG1112" i="4"/>
  <c r="AG1141" i="4" s="1"/>
  <c r="AG1103" i="4"/>
  <c r="AG1102" i="4"/>
  <c r="AG999" i="4"/>
  <c r="AG37" i="66"/>
  <c r="AG1218" i="4"/>
  <c r="AG50" i="11"/>
  <c r="AG297" i="4"/>
  <c r="AG305" i="4" s="1"/>
  <c r="AG330" i="4" s="1"/>
  <c r="AG1249" i="4"/>
  <c r="AG72" i="11"/>
  <c r="AG1045" i="4"/>
  <c r="AG1233" i="4"/>
  <c r="AG87" i="11"/>
  <c r="AG1259" i="4"/>
  <c r="AG18" i="66"/>
  <c r="AG1346" i="4"/>
  <c r="AG1091" i="4" l="1"/>
  <c r="AG1092" i="4"/>
  <c r="AG997" i="4"/>
  <c r="AG1143" i="4"/>
  <c r="AG1142" i="4"/>
  <c r="AG294" i="4" s="1"/>
  <c r="AH479" i="4"/>
  <c r="AH468" i="4"/>
  <c r="AH457" i="4"/>
  <c r="AG456" i="4"/>
  <c r="AG458" i="4" s="1"/>
  <c r="AG459" i="4" s="1"/>
  <c r="AG467" i="4"/>
  <c r="AG469" i="4" s="1"/>
  <c r="AG470" i="4" s="1"/>
  <c r="AG471" i="4" s="1"/>
  <c r="AG472" i="4" s="1"/>
  <c r="AH466" i="4" s="1"/>
  <c r="AG478" i="4"/>
  <c r="AG480" i="4" s="1"/>
  <c r="AG481" i="4" s="1"/>
  <c r="AG482" i="4" s="1"/>
  <c r="AG483" i="4" s="1"/>
  <c r="AH477" i="4" s="1"/>
  <c r="AF1250" i="4"/>
  <c r="AF1227" i="4"/>
  <c r="AF74" i="11"/>
  <c r="AF78" i="11" s="1"/>
  <c r="AF1195" i="4"/>
  <c r="AF1199" i="4" s="1"/>
  <c r="AF1177" i="4" s="1"/>
  <c r="AF36" i="66"/>
  <c r="AF1309" i="4"/>
  <c r="AG49" i="11"/>
  <c r="AF19" i="66"/>
  <c r="AF86" i="11"/>
  <c r="AF1261" i="4"/>
  <c r="AF1232" i="4"/>
  <c r="AF1403" i="4"/>
  <c r="AG1104" i="4"/>
  <c r="AG299" i="4" l="1"/>
  <c r="AG302" i="4"/>
  <c r="AF17" i="66"/>
  <c r="AG494" i="4"/>
  <c r="AG994" i="4" s="1"/>
  <c r="AG460" i="4"/>
  <c r="AG461" i="4" s="1"/>
  <c r="AH455" i="4" s="1"/>
  <c r="AG53" i="11"/>
  <c r="AG52" i="11" s="1"/>
  <c r="AG1113" i="4"/>
  <c r="AG1144" i="4" s="1"/>
  <c r="AG1120" i="4"/>
  <c r="AF1228" i="4"/>
  <c r="AF1205" i="4" s="1"/>
  <c r="AF39" i="66"/>
  <c r="AF35" i="66" s="1"/>
  <c r="AF1251" i="4"/>
  <c r="AF89" i="11"/>
  <c r="AF1406" i="4"/>
  <c r="AF1308" i="4"/>
  <c r="AF1311" i="4" s="1"/>
  <c r="AF1344" i="4"/>
  <c r="AH495" i="4"/>
  <c r="AH995" i="4" s="1"/>
  <c r="AG1093" i="4"/>
  <c r="AG1111" i="4" s="1"/>
  <c r="AF1178" i="4"/>
  <c r="AF1207" i="4" l="1"/>
  <c r="AF1209" i="4" s="1"/>
  <c r="AF1313" i="4"/>
  <c r="AF1325" i="4"/>
  <c r="AG331" i="4"/>
  <c r="AG307" i="4"/>
  <c r="AF1348" i="4"/>
  <c r="AG73" i="11"/>
  <c r="AG1044" i="4"/>
  <c r="AG1067" i="4" s="1"/>
  <c r="AG1224" i="4"/>
  <c r="AG1248" i="4"/>
  <c r="AF27" i="11"/>
  <c r="AG1173" i="4"/>
  <c r="AF1429" i="4"/>
  <c r="AF1208" i="4" l="1"/>
  <c r="AF1363" i="4"/>
  <c r="AF90" i="11"/>
  <c r="AF91" i="11" s="1"/>
  <c r="AF93" i="11" s="1"/>
  <c r="AF96" i="11" s="1"/>
  <c r="AF97" i="11" s="1"/>
  <c r="AF1252" i="4"/>
  <c r="AF58" i="11"/>
  <c r="AF59" i="11" s="1"/>
  <c r="AF28" i="11" s="1"/>
  <c r="AF25" i="11" s="1"/>
  <c r="AF48" i="62"/>
  <c r="AF24" i="62" s="1"/>
  <c r="AF26" i="62" s="1"/>
  <c r="AF1229" i="4"/>
  <c r="AF1230" i="4" s="1"/>
  <c r="AF1234" i="4" s="1"/>
  <c r="AG1213" i="4" s="1"/>
  <c r="AF22" i="66"/>
  <c r="AF1432" i="4"/>
  <c r="AF1430" i="4"/>
  <c r="AF1431" i="4" s="1"/>
  <c r="AG332" i="4"/>
  <c r="AG14" i="11" s="1"/>
  <c r="AG405" i="4"/>
  <c r="AG406" i="4" s="1"/>
  <c r="AG407" i="4" s="1"/>
  <c r="AG408" i="4" s="1"/>
  <c r="AG409" i="4" s="1"/>
  <c r="AH404" i="4" s="1"/>
  <c r="AG395" i="4"/>
  <c r="AG396" i="4" s="1"/>
  <c r="AG397" i="4" s="1"/>
  <c r="AG398" i="4" s="1"/>
  <c r="AG399" i="4" s="1"/>
  <c r="AH394" i="4" s="1"/>
  <c r="AG385" i="4"/>
  <c r="AG1157" i="4"/>
  <c r="AG1068" i="4"/>
  <c r="AG1158" i="4"/>
  <c r="AG1174" i="4" s="1"/>
  <c r="AF1326" i="4"/>
  <c r="AF1327" i="4" s="1"/>
  <c r="AG489" i="4" l="1"/>
  <c r="AG500" i="4"/>
  <c r="AG386" i="4"/>
  <c r="AG387" i="4" s="1"/>
  <c r="AG1051" i="4"/>
  <c r="AF101" i="11"/>
  <c r="AG95" i="11"/>
  <c r="AF101" i="67"/>
  <c r="AF1253" i="4"/>
  <c r="AF1254" i="4" s="1"/>
  <c r="AF100" i="11"/>
  <c r="AF46" i="62"/>
  <c r="AF21" i="11"/>
  <c r="AF17" i="11" s="1"/>
  <c r="AF1385" i="4"/>
  <c r="AF1384" i="4" s="1"/>
  <c r="AF24" i="66"/>
  <c r="AF20" i="66" s="1"/>
  <c r="AF100" i="67"/>
  <c r="AF44" i="66"/>
  <c r="AF40" i="66" s="1"/>
  <c r="AF1263" i="4"/>
  <c r="AF1264" i="4" s="1"/>
  <c r="AF37" i="11"/>
  <c r="AF1397" i="4"/>
  <c r="AF1392" i="4" s="1"/>
  <c r="AF1398" i="4"/>
  <c r="AF1393" i="4" s="1"/>
  <c r="AG1159" i="4"/>
  <c r="AG1164" i="4"/>
  <c r="AF1364" i="4"/>
  <c r="AF1365" i="4" s="1"/>
  <c r="AF1386" i="4" l="1"/>
  <c r="AF1383" i="4" s="1"/>
  <c r="AF23" i="11"/>
  <c r="AF39" i="11" s="1"/>
  <c r="AF40" i="11" s="1"/>
  <c r="AF99" i="11"/>
  <c r="AF1266" i="4"/>
  <c r="AF46" i="66"/>
  <c r="AG501" i="4"/>
  <c r="AG502" i="4" s="1"/>
  <c r="AG388" i="4"/>
  <c r="AG389" i="4" s="1"/>
  <c r="AH384" i="4" s="1"/>
  <c r="AG490" i="4"/>
  <c r="AG491" i="4" s="1"/>
  <c r="AF26" i="66"/>
  <c r="AG1260" i="4"/>
  <c r="AG85" i="11"/>
  <c r="AG42" i="62"/>
  <c r="AG1231" i="4"/>
  <c r="AG1167" i="4"/>
  <c r="AG1168" i="4" s="1"/>
  <c r="AG52" i="62" l="1"/>
  <c r="AG43" i="62"/>
  <c r="AG23" i="62" s="1"/>
  <c r="AG16" i="66" s="1"/>
  <c r="AF48" i="66"/>
  <c r="AG15" i="11"/>
  <c r="AG13" i="11" s="1"/>
  <c r="AH488" i="4"/>
  <c r="AG51" i="11"/>
  <c r="AG64" i="62"/>
  <c r="AH1163" i="4"/>
  <c r="AG26" i="11"/>
  <c r="AF1439" i="4"/>
  <c r="AF1440" i="4" s="1"/>
  <c r="AF1396" i="4"/>
  <c r="AF1391" i="4" s="1"/>
  <c r="AH499" i="4"/>
  <c r="AH1023" i="4" s="1"/>
  <c r="AG1024" i="4"/>
  <c r="AG1026" i="4" s="1"/>
  <c r="AG1027" i="4" s="1"/>
  <c r="AG1028" i="4" s="1"/>
  <c r="AG907" i="4" l="1"/>
  <c r="AG911" i="4" s="1"/>
  <c r="AG62" i="64"/>
  <c r="AG14" i="66"/>
  <c r="AG13" i="66" l="1"/>
  <c r="AG70" i="64"/>
  <c r="AG78" i="64"/>
  <c r="AG1217" i="4"/>
  <c r="AG1221" i="4" s="1"/>
  <c r="AG915" i="4"/>
  <c r="AG1043" i="4"/>
  <c r="AG71" i="11"/>
  <c r="AG1243" i="4"/>
  <c r="AG996" i="4" l="1"/>
  <c r="AG1000" i="4" s="1"/>
  <c r="AG1004" i="4" s="1"/>
  <c r="AG47" i="11"/>
  <c r="AG48" i="11" l="1"/>
  <c r="AG55" i="11" s="1"/>
  <c r="AG62" i="11"/>
  <c r="AG61" i="11"/>
  <c r="AG1005" i="4"/>
  <c r="AG1012" i="4"/>
  <c r="AG1016" i="4" l="1"/>
  <c r="AG1013" i="4" s="1"/>
  <c r="AG1014" i="4" s="1"/>
  <c r="AH1011" i="4" s="1"/>
  <c r="AG63" i="11"/>
  <c r="AG1395" i="4"/>
  <c r="AG62" i="62"/>
  <c r="AG64" i="11"/>
  <c r="AG1006" i="4" l="1"/>
  <c r="AG1007" i="4" s="1"/>
  <c r="AG63" i="62" s="1"/>
  <c r="AG67" i="62" s="1"/>
  <c r="AG61" i="64" l="1"/>
  <c r="AG56" i="11"/>
  <c r="AG57" i="11" s="1"/>
  <c r="AG1046" i="4"/>
  <c r="AG1053" i="4" s="1"/>
  <c r="AG1055" i="4" s="1"/>
  <c r="AG1058" i="4" s="1"/>
  <c r="AG75" i="11"/>
  <c r="AG1222" i="4"/>
  <c r="AG1223" i="4" s="1"/>
  <c r="AG1246" i="4"/>
  <c r="AG68" i="62"/>
  <c r="AG1236" i="4" l="1"/>
  <c r="AG1394" i="4"/>
  <c r="AG1206" i="4"/>
  <c r="AG66" i="64"/>
  <c r="AG40" i="64" s="1"/>
  <c r="AG42" i="64" s="1"/>
  <c r="AG77" i="64"/>
  <c r="AG82" i="64" s="1"/>
  <c r="AG69" i="64"/>
  <c r="AG74" i="64" s="1"/>
  <c r="AG52" i="64" l="1"/>
  <c r="AG49" i="64"/>
  <c r="AG1116" i="4"/>
  <c r="AG1117" i="4" s="1"/>
  <c r="AG1119" i="4" s="1"/>
  <c r="AG1121" i="4" s="1"/>
  <c r="AG1087" i="4" s="1"/>
  <c r="AG1137" i="4" l="1"/>
  <c r="AG1088" i="4"/>
  <c r="AH1085" i="4" l="1"/>
  <c r="AH1130" i="4"/>
  <c r="AH1148" i="4" s="1"/>
  <c r="AG1225" i="4"/>
  <c r="AG1226" i="4" s="1"/>
  <c r="AG1404" i="4"/>
  <c r="AG38" i="66"/>
  <c r="AG88" i="11"/>
  <c r="AG1247" i="4"/>
  <c r="AG1347" i="4"/>
  <c r="AG1138" i="4"/>
  <c r="AG1428" i="4" l="1"/>
  <c r="AG1438" i="4"/>
  <c r="AH1135" i="4"/>
  <c r="AG31" i="11"/>
  <c r="AG1412" i="4"/>
  <c r="AG1413" i="4" s="1"/>
  <c r="AG1194" i="4"/>
  <c r="AG1204" i="4"/>
  <c r="AH1086" i="4"/>
  <c r="AG30" i="11" l="1"/>
  <c r="AG45" i="62"/>
  <c r="AG1197" i="4"/>
  <c r="AG1198" i="4" s="1"/>
  <c r="AG1188" i="4" s="1"/>
  <c r="AG1175" i="4"/>
  <c r="AH1415" i="4"/>
  <c r="AG1418" i="4"/>
  <c r="AG1416" i="4"/>
  <c r="AH1136" i="4"/>
  <c r="AH1129" i="4"/>
  <c r="AH1147" i="4" s="1"/>
  <c r="AH1149" i="4" s="1"/>
  <c r="AH1125" i="4"/>
  <c r="AH1101" i="4"/>
  <c r="AG1419" i="4" l="1"/>
  <c r="AG1180" i="4"/>
  <c r="AG1184" i="4"/>
  <c r="AG1191" i="4" s="1"/>
  <c r="AH1103" i="4"/>
  <c r="AH1102" i="4"/>
  <c r="AH1112" i="4"/>
  <c r="AH1141" i="4" s="1"/>
  <c r="AG1187" i="4"/>
  <c r="AG1176" i="4" s="1"/>
  <c r="AG1189" i="4"/>
  <c r="AH1218" i="4"/>
  <c r="AH1045" i="4"/>
  <c r="AH1249" i="4"/>
  <c r="AH72" i="11"/>
  <c r="AH297" i="4"/>
  <c r="AH305" i="4" s="1"/>
  <c r="AH330" i="4" s="1"/>
  <c r="AH999" i="4"/>
  <c r="AH50" i="11"/>
  <c r="AH37" i="66"/>
  <c r="AH1233" i="4"/>
  <c r="AH87" i="11"/>
  <c r="AH18" i="66"/>
  <c r="AH1346" i="4"/>
  <c r="AH1259" i="4"/>
  <c r="AH1104" i="4" l="1"/>
  <c r="AH1113" i="4" s="1"/>
  <c r="AH1144" i="4" s="1"/>
  <c r="AG74" i="11"/>
  <c r="AG78" i="11" s="1"/>
  <c r="AG1250" i="4"/>
  <c r="AG1227" i="4"/>
  <c r="AG1195" i="4"/>
  <c r="AG1199" i="4" s="1"/>
  <c r="AG1177" i="4" s="1"/>
  <c r="AG1309" i="4"/>
  <c r="AG36" i="66"/>
  <c r="AH49" i="11"/>
  <c r="AH1143" i="4"/>
  <c r="AH1142" i="4"/>
  <c r="AH294" i="4" s="1"/>
  <c r="AH997" i="4"/>
  <c r="AI479" i="4"/>
  <c r="AI468" i="4"/>
  <c r="AI457" i="4"/>
  <c r="AH456" i="4"/>
  <c r="AH458" i="4" s="1"/>
  <c r="AH459" i="4" s="1"/>
  <c r="AH467" i="4"/>
  <c r="AH469" i="4" s="1"/>
  <c r="AH470" i="4" s="1"/>
  <c r="AH471" i="4" s="1"/>
  <c r="AH472" i="4" s="1"/>
  <c r="AI466" i="4" s="1"/>
  <c r="AH478" i="4"/>
  <c r="AH480" i="4" s="1"/>
  <c r="AH481" i="4" s="1"/>
  <c r="AH482" i="4" s="1"/>
  <c r="AH483" i="4" s="1"/>
  <c r="AI477" i="4" s="1"/>
  <c r="AH1092" i="4"/>
  <c r="AH1091" i="4"/>
  <c r="AG19" i="66"/>
  <c r="AG1261" i="4"/>
  <c r="AG1232" i="4"/>
  <c r="AG86" i="11"/>
  <c r="AG1403" i="4"/>
  <c r="AH1120" i="4" l="1"/>
  <c r="AH1093" i="4"/>
  <c r="AH1111" i="4" s="1"/>
  <c r="AH299" i="4"/>
  <c r="AH302" i="4"/>
  <c r="AH53" i="11"/>
  <c r="AH52" i="11" s="1"/>
  <c r="AG39" i="66"/>
  <c r="AG35" i="66" s="1"/>
  <c r="AG1251" i="4"/>
  <c r="AG89" i="11"/>
  <c r="AG1228" i="4"/>
  <c r="AG1205" i="4" s="1"/>
  <c r="AG17" i="66"/>
  <c r="AG1406" i="4"/>
  <c r="AI495" i="4"/>
  <c r="AI995" i="4" s="1"/>
  <c r="AH73" i="11"/>
  <c r="AH1044" i="4"/>
  <c r="AH1067" i="4" s="1"/>
  <c r="AH1224" i="4"/>
  <c r="AH1248" i="4"/>
  <c r="AG1344" i="4"/>
  <c r="AG1308" i="4"/>
  <c r="AG1311" i="4" s="1"/>
  <c r="AH494" i="4"/>
  <c r="AH994" i="4" s="1"/>
  <c r="AH460" i="4"/>
  <c r="AH461" i="4" s="1"/>
  <c r="AI455" i="4" s="1"/>
  <c r="AG1178" i="4"/>
  <c r="AG1207" i="4" l="1"/>
  <c r="AG1209" i="4" s="1"/>
  <c r="AG1313" i="4"/>
  <c r="AG1325" i="4"/>
  <c r="AH1157" i="4"/>
  <c r="AH1158" i="4"/>
  <c r="AH1174" i="4" s="1"/>
  <c r="AH1068" i="4"/>
  <c r="AH331" i="4"/>
  <c r="AH307" i="4"/>
  <c r="AG27" i="11"/>
  <c r="AH1173" i="4"/>
  <c r="AG1429" i="4"/>
  <c r="AG1348" i="4"/>
  <c r="AH405" i="4" l="1"/>
  <c r="AH406" i="4" s="1"/>
  <c r="AH407" i="4" s="1"/>
  <c r="AH408" i="4" s="1"/>
  <c r="AH409" i="4" s="1"/>
  <c r="AI404" i="4" s="1"/>
  <c r="AH395" i="4"/>
  <c r="AH396" i="4" s="1"/>
  <c r="AH397" i="4" s="1"/>
  <c r="AH398" i="4" s="1"/>
  <c r="AH399" i="4" s="1"/>
  <c r="AI394" i="4" s="1"/>
  <c r="AH385" i="4"/>
  <c r="AG1363" i="4"/>
  <c r="AG1430" i="4"/>
  <c r="AG1431" i="4" s="1"/>
  <c r="AG1432" i="4"/>
  <c r="AH1164" i="4"/>
  <c r="AH1159" i="4"/>
  <c r="AG1208" i="4"/>
  <c r="AG1326" i="4"/>
  <c r="AG1327" i="4" s="1"/>
  <c r="AH332" i="4"/>
  <c r="AH14" i="11" s="1"/>
  <c r="AG1229" i="4"/>
  <c r="AG1230" i="4" s="1"/>
  <c r="AG1234" i="4" s="1"/>
  <c r="AH1213" i="4" s="1"/>
  <c r="AG90" i="11"/>
  <c r="AG91" i="11" s="1"/>
  <c r="AG93" i="11" s="1"/>
  <c r="AG96" i="11" s="1"/>
  <c r="AG97" i="11" s="1"/>
  <c r="AG1252" i="4"/>
  <c r="AG58" i="11"/>
  <c r="AG59" i="11" s="1"/>
  <c r="AG28" i="11" s="1"/>
  <c r="AG48" i="62"/>
  <c r="AG24" i="62" s="1"/>
  <c r="AG26" i="62" s="1"/>
  <c r="AG22" i="66"/>
  <c r="AG1364" i="4" l="1"/>
  <c r="AG1365" i="4" s="1"/>
  <c r="AG25" i="11"/>
  <c r="AH500" i="4"/>
  <c r="AH489" i="4"/>
  <c r="AH386" i="4"/>
  <c r="AH387" i="4" s="1"/>
  <c r="AG44" i="66"/>
  <c r="AG40" i="66" s="1"/>
  <c r="AG1253" i="4"/>
  <c r="AG1254" i="4" s="1"/>
  <c r="AG100" i="11"/>
  <c r="AG101" i="11"/>
  <c r="AG101" i="67"/>
  <c r="AG100" i="67"/>
  <c r="AG24" i="66"/>
  <c r="AG21" i="11"/>
  <c r="AG17" i="11" s="1"/>
  <c r="AG1385" i="4"/>
  <c r="AG1384" i="4" s="1"/>
  <c r="AG46" i="62"/>
  <c r="AG1263" i="4"/>
  <c r="AG1264" i="4" s="1"/>
  <c r="AH95" i="11"/>
  <c r="AH1051" i="4"/>
  <c r="AH42" i="62"/>
  <c r="AH85" i="11"/>
  <c r="AH1167" i="4"/>
  <c r="AH1168" i="4" s="1"/>
  <c r="AH1260" i="4"/>
  <c r="AH1231" i="4"/>
  <c r="AH52" i="62" l="1"/>
  <c r="AH43" i="62"/>
  <c r="AH23" i="62" s="1"/>
  <c r="AH16" i="66" s="1"/>
  <c r="AG1386" i="4"/>
  <c r="AG1383" i="4" s="1"/>
  <c r="AG23" i="11"/>
  <c r="AH388" i="4"/>
  <c r="AH389" i="4" s="1"/>
  <c r="AI384" i="4" s="1"/>
  <c r="AH490" i="4"/>
  <c r="AH501" i="4"/>
  <c r="AH502" i="4" s="1"/>
  <c r="AG20" i="66"/>
  <c r="AG99" i="11"/>
  <c r="AG1398" i="4"/>
  <c r="AG1393" i="4" s="1"/>
  <c r="AG37" i="11"/>
  <c r="AG1397" i="4"/>
  <c r="AG1392" i="4" s="1"/>
  <c r="AH26" i="11"/>
  <c r="AI1163" i="4"/>
  <c r="AG1266" i="4"/>
  <c r="AG46" i="66"/>
  <c r="AG39" i="11" l="1"/>
  <c r="AG40" i="11" s="1"/>
  <c r="AG26" i="66"/>
  <c r="AG48" i="66" s="1"/>
  <c r="AH1024" i="4"/>
  <c r="AH1026" i="4" s="1"/>
  <c r="AH1027" i="4" s="1"/>
  <c r="AH1028" i="4" s="1"/>
  <c r="AI499" i="4"/>
  <c r="AI1023" i="4" s="1"/>
  <c r="AH64" i="62"/>
  <c r="AH51" i="11"/>
  <c r="AG1439" i="4"/>
  <c r="AG1440" i="4" s="1"/>
  <c r="AG1396" i="4"/>
  <c r="AG1391" i="4" s="1"/>
  <c r="AH491" i="4"/>
  <c r="AH14" i="66"/>
  <c r="AH15" i="11" l="1"/>
  <c r="AH13" i="11" s="1"/>
  <c r="AI488" i="4"/>
  <c r="AH62" i="64"/>
  <c r="AH907" i="4"/>
  <c r="AH911" i="4" s="1"/>
  <c r="AH13" i="66"/>
  <c r="AH1217" i="4" l="1"/>
  <c r="AH1221" i="4" s="1"/>
  <c r="AH71" i="11"/>
  <c r="AH1043" i="4"/>
  <c r="AH1243" i="4"/>
  <c r="AH915" i="4"/>
  <c r="AH70" i="64"/>
  <c r="AH78" i="64"/>
  <c r="AH47" i="11" l="1"/>
  <c r="AH996" i="4"/>
  <c r="AH1000" i="4" s="1"/>
  <c r="AH1004" i="4" s="1"/>
  <c r="AH1005" i="4" l="1"/>
  <c r="AH1012" i="4"/>
  <c r="AH48" i="11"/>
  <c r="AH55" i="11" s="1"/>
  <c r="AH61" i="11"/>
  <c r="AH62" i="11"/>
  <c r="AH62" i="62" l="1"/>
  <c r="AH64" i="11"/>
  <c r="AH1395" i="4"/>
  <c r="AH63" i="11"/>
  <c r="AH1016" i="4"/>
  <c r="AH1013" i="4" s="1"/>
  <c r="AH1014" i="4" s="1"/>
  <c r="AI1011" i="4" s="1"/>
  <c r="AH1006" i="4" l="1"/>
  <c r="AH1007" i="4" s="1"/>
  <c r="AH63" i="62" s="1"/>
  <c r="AH67" i="62" s="1"/>
  <c r="AH68" i="62" l="1"/>
  <c r="AH56" i="11"/>
  <c r="AH57" i="11" s="1"/>
  <c r="AH61" i="64"/>
  <c r="AH1246" i="4"/>
  <c r="AH75" i="11"/>
  <c r="AH1222" i="4"/>
  <c r="AH1223" i="4" s="1"/>
  <c r="AH1046" i="4"/>
  <c r="AH1053" i="4" s="1"/>
  <c r="AH1055" i="4" s="1"/>
  <c r="AH1058" i="4" s="1"/>
  <c r="AH77" i="64" l="1"/>
  <c r="AH82" i="64" s="1"/>
  <c r="AH69" i="64"/>
  <c r="AH74" i="64" s="1"/>
  <c r="AH66" i="64"/>
  <c r="AH40" i="64" s="1"/>
  <c r="AH42" i="64" s="1"/>
  <c r="AH1394" i="4"/>
  <c r="AH1206" i="4"/>
  <c r="AH1236" i="4"/>
  <c r="AH1116" i="4" l="1"/>
  <c r="AH1117" i="4" s="1"/>
  <c r="AH1119" i="4" s="1"/>
  <c r="AH1121" i="4" s="1"/>
  <c r="AH1087" i="4" s="1"/>
  <c r="AH49" i="64"/>
  <c r="AH52" i="64"/>
  <c r="AH1137" i="4" l="1"/>
  <c r="AH1088" i="4"/>
  <c r="AI1085" i="4" l="1"/>
  <c r="AI1130" i="4"/>
  <c r="AI1148" i="4" s="1"/>
  <c r="AH1347" i="4"/>
  <c r="AH38" i="66"/>
  <c r="AH1247" i="4"/>
  <c r="AH1404" i="4"/>
  <c r="AH1225" i="4"/>
  <c r="AH1226" i="4" s="1"/>
  <c r="AH88" i="11"/>
  <c r="AH1138" i="4"/>
  <c r="AH1204" i="4" l="1"/>
  <c r="AH1194" i="4"/>
  <c r="AH1412" i="4"/>
  <c r="AH1413" i="4" s="1"/>
  <c r="AH31" i="11"/>
  <c r="AH1428" i="4"/>
  <c r="AI1135" i="4"/>
  <c r="AH1438" i="4"/>
  <c r="AI1086" i="4"/>
  <c r="AH1418" i="4" l="1"/>
  <c r="AH1416" i="4"/>
  <c r="AH1175" i="4"/>
  <c r="AH1197" i="4"/>
  <c r="AH1198" i="4" s="1"/>
  <c r="AH1188" i="4" s="1"/>
  <c r="AI1101" i="4"/>
  <c r="AI1136" i="4"/>
  <c r="AI1129" i="4"/>
  <c r="AI1147" i="4" s="1"/>
  <c r="AI1149" i="4" s="1"/>
  <c r="AI1125" i="4"/>
  <c r="AH45" i="62"/>
  <c r="AH30" i="11"/>
  <c r="AI1415" i="4"/>
  <c r="AH1419" i="4" l="1"/>
  <c r="AH1184" i="4"/>
  <c r="AH1191" i="4" s="1"/>
  <c r="AH1180" i="4"/>
  <c r="AI1102" i="4"/>
  <c r="AI1103" i="4"/>
  <c r="AI1112" i="4"/>
  <c r="AI1141" i="4" s="1"/>
  <c r="AI1045" i="4"/>
  <c r="AI297" i="4"/>
  <c r="AI305" i="4" s="1"/>
  <c r="AI330" i="4" s="1"/>
  <c r="AI50" i="11"/>
  <c r="AI1249" i="4"/>
  <c r="AI37" i="66"/>
  <c r="AI999" i="4"/>
  <c r="AI1218" i="4"/>
  <c r="AI72" i="11"/>
  <c r="Q72" i="67"/>
  <c r="AH1187" i="4"/>
  <c r="AH1176" i="4" s="1"/>
  <c r="AH1189" i="4"/>
  <c r="AI18" i="66"/>
  <c r="AI1233" i="4"/>
  <c r="AI1259" i="4"/>
  <c r="AI1346" i="4"/>
  <c r="AI87" i="11"/>
  <c r="Q87" i="67"/>
  <c r="AI1104" i="4" l="1"/>
  <c r="AI1120" i="4" s="1"/>
  <c r="AI1142" i="4"/>
  <c r="AI294" i="4" s="1"/>
  <c r="AI997" i="4"/>
  <c r="AI1143" i="4"/>
  <c r="AI1092" i="4"/>
  <c r="AI1091" i="4"/>
  <c r="M143" i="15"/>
  <c r="AH1195" i="4"/>
  <c r="AH1199" i="4" s="1"/>
  <c r="AH1177" i="4" s="1"/>
  <c r="AH74" i="11"/>
  <c r="AH78" i="11" s="1"/>
  <c r="AH1227" i="4"/>
  <c r="AH1250" i="4"/>
  <c r="AH1309" i="4"/>
  <c r="AH36" i="66"/>
  <c r="AI49" i="11"/>
  <c r="Q50" i="67"/>
  <c r="AH86" i="11"/>
  <c r="AH19" i="66"/>
  <c r="AH1261" i="4"/>
  <c r="AH1232" i="4"/>
  <c r="AH1403" i="4"/>
  <c r="AJ479" i="4"/>
  <c r="AJ457" i="4"/>
  <c r="AJ468" i="4"/>
  <c r="AI456" i="4"/>
  <c r="AI458" i="4" s="1"/>
  <c r="AI459" i="4" s="1"/>
  <c r="AI467" i="4"/>
  <c r="AI469" i="4" s="1"/>
  <c r="AI470" i="4" s="1"/>
  <c r="AI471" i="4" s="1"/>
  <c r="AI472" i="4" s="1"/>
  <c r="AJ466" i="4" s="1"/>
  <c r="AI478" i="4"/>
  <c r="AI480" i="4" s="1"/>
  <c r="AI481" i="4" s="1"/>
  <c r="AI482" i="4" s="1"/>
  <c r="AI483" i="4" s="1"/>
  <c r="AJ477" i="4" s="1"/>
  <c r="AI1113" i="4" l="1"/>
  <c r="AI1144" i="4" s="1"/>
  <c r="AI73" i="11" s="1"/>
  <c r="AI1093" i="4"/>
  <c r="AI1111" i="4" s="1"/>
  <c r="AJ495" i="4"/>
  <c r="AJ995" i="4" s="1"/>
  <c r="AI494" i="4"/>
  <c r="AI994" i="4" s="1"/>
  <c r="AI460" i="4"/>
  <c r="AI461" i="4" s="1"/>
  <c r="AJ455" i="4" s="1"/>
  <c r="AH17" i="66"/>
  <c r="AH1344" i="4"/>
  <c r="AH1308" i="4"/>
  <c r="AH1311" i="4" s="1"/>
  <c r="AI53" i="11"/>
  <c r="AI52" i="11" s="1"/>
  <c r="Q53" i="67"/>
  <c r="Q49" i="67"/>
  <c r="AH39" i="66"/>
  <c r="AH35" i="66" s="1"/>
  <c r="AH1251" i="4"/>
  <c r="AH1228" i="4"/>
  <c r="AH1205" i="4" s="1"/>
  <c r="AH89" i="11"/>
  <c r="AI299" i="4"/>
  <c r="AI302" i="4"/>
  <c r="AH1406" i="4"/>
  <c r="AH1178" i="4"/>
  <c r="AI1248" i="4" l="1"/>
  <c r="AI1044" i="4"/>
  <c r="AI1067" i="4" s="1"/>
  <c r="AI1158" i="4" s="1"/>
  <c r="AI1174" i="4" s="1"/>
  <c r="AI1224" i="4"/>
  <c r="Q23" i="13"/>
  <c r="Q73" i="67"/>
  <c r="AI1173" i="4"/>
  <c r="AH27" i="11"/>
  <c r="AH1429" i="4"/>
  <c r="AH1313" i="4"/>
  <c r="AH1325" i="4"/>
  <c r="AH1207" i="4"/>
  <c r="AH1209" i="4" s="1"/>
  <c r="AH1348" i="4"/>
  <c r="AI307" i="4"/>
  <c r="AI331" i="4"/>
  <c r="Q52" i="67"/>
  <c r="AI1157" i="4" l="1"/>
  <c r="AI1159" i="4" s="1"/>
  <c r="AI1068" i="4"/>
  <c r="AI332" i="4"/>
  <c r="AI14" i="11" s="1"/>
  <c r="AH48" i="62"/>
  <c r="AH24" i="62" s="1"/>
  <c r="AH26" i="62" s="1"/>
  <c r="AH1252" i="4"/>
  <c r="AH90" i="11"/>
  <c r="AH91" i="11" s="1"/>
  <c r="AH93" i="11" s="1"/>
  <c r="AH96" i="11" s="1"/>
  <c r="AH97" i="11" s="1"/>
  <c r="AH1229" i="4"/>
  <c r="AH1230" i="4" s="1"/>
  <c r="AH1234" i="4" s="1"/>
  <c r="AI1213" i="4" s="1"/>
  <c r="AH58" i="11"/>
  <c r="AH59" i="11" s="1"/>
  <c r="AH28" i="11" s="1"/>
  <c r="AH22" i="66"/>
  <c r="AH1326" i="4"/>
  <c r="AH1327" i="4" s="1"/>
  <c r="AH1432" i="4"/>
  <c r="AH1430" i="4"/>
  <c r="AH1431" i="4" s="1"/>
  <c r="AH1363" i="4"/>
  <c r="AI405" i="4"/>
  <c r="AI406" i="4" s="1"/>
  <c r="AI407" i="4" s="1"/>
  <c r="AI408" i="4" s="1"/>
  <c r="AI409" i="4" s="1"/>
  <c r="AJ404" i="4" s="1"/>
  <c r="AI385" i="4"/>
  <c r="AI395" i="4"/>
  <c r="AI396" i="4" s="1"/>
  <c r="AI397" i="4" s="1"/>
  <c r="AI398" i="4" s="1"/>
  <c r="AI399" i="4" s="1"/>
  <c r="AJ394" i="4" s="1"/>
  <c r="AH1208" i="4"/>
  <c r="AI1164" i="4" l="1"/>
  <c r="AI42" i="62" s="1"/>
  <c r="Q14" i="67"/>
  <c r="AI1051" i="4"/>
  <c r="AI500" i="4"/>
  <c r="AI489" i="4"/>
  <c r="AI386" i="4"/>
  <c r="AI387" i="4" s="1"/>
  <c r="AH21" i="11"/>
  <c r="AH17" i="11" s="1"/>
  <c r="AH1253" i="4"/>
  <c r="AH1254" i="4" s="1"/>
  <c r="AH46" i="62"/>
  <c r="AH44" i="66"/>
  <c r="AH40" i="66" s="1"/>
  <c r="AH1263" i="4"/>
  <c r="AH1264" i="4" s="1"/>
  <c r="AI95" i="11"/>
  <c r="AH101" i="67"/>
  <c r="AH101" i="11"/>
  <c r="AH100" i="67"/>
  <c r="AH24" i="66"/>
  <c r="AH1385" i="4"/>
  <c r="AH1384" i="4" s="1"/>
  <c r="AH100" i="11"/>
  <c r="AH25" i="11"/>
  <c r="AH1364" i="4"/>
  <c r="AH1365" i="4" s="1"/>
  <c r="Q85" i="67" l="1"/>
  <c r="AI1231" i="4"/>
  <c r="AI1167" i="4"/>
  <c r="AI1168" i="4" s="1"/>
  <c r="AI26" i="11" s="1"/>
  <c r="AI1260" i="4"/>
  <c r="AI85" i="11"/>
  <c r="AH99" i="11"/>
  <c r="AH1266" i="4"/>
  <c r="AH1386" i="4"/>
  <c r="AH1383" i="4" s="1"/>
  <c r="AH23" i="11"/>
  <c r="AI501" i="4"/>
  <c r="AI502" i="4" s="1"/>
  <c r="AI388" i="4"/>
  <c r="AI389" i="4" s="1"/>
  <c r="AJ384" i="4" s="1"/>
  <c r="AI490" i="4"/>
  <c r="AI491" i="4" s="1"/>
  <c r="AH1397" i="4"/>
  <c r="AH1392" i="4" s="1"/>
  <c r="AH37" i="11"/>
  <c r="AH1398" i="4"/>
  <c r="AH1393" i="4" s="1"/>
  <c r="AI52" i="62"/>
  <c r="AI43" i="62"/>
  <c r="AI23" i="62" s="1"/>
  <c r="AI16" i="66" s="1"/>
  <c r="AH20" i="66"/>
  <c r="AH46" i="66"/>
  <c r="Q26" i="67" l="1"/>
  <c r="AJ1163" i="4"/>
  <c r="AH39" i="11"/>
  <c r="AH40" i="11" s="1"/>
  <c r="Q15" i="67"/>
  <c r="Q13" i="67" s="1"/>
  <c r="AJ488" i="4"/>
  <c r="AI15" i="11"/>
  <c r="AI13" i="11" s="1"/>
  <c r="AH26" i="66"/>
  <c r="AH48" i="66" s="1"/>
  <c r="AI1024" i="4"/>
  <c r="AI1026" i="4" s="1"/>
  <c r="AI1027" i="4" s="1"/>
  <c r="AI1028" i="4" s="1"/>
  <c r="AJ499" i="4"/>
  <c r="AJ1023" i="4" s="1"/>
  <c r="M140" i="15"/>
  <c r="G140" i="15" s="1"/>
  <c r="AI14" i="66"/>
  <c r="AH1439" i="4"/>
  <c r="AH1440" i="4" s="1"/>
  <c r="AH1396" i="4"/>
  <c r="AH1391" i="4" s="1"/>
  <c r="AI51" i="11"/>
  <c r="AI64" i="62"/>
  <c r="Q51" i="67"/>
  <c r="AI907" i="4" l="1"/>
  <c r="AI911" i="4" s="1"/>
  <c r="AI62" i="64"/>
  <c r="AI13" i="66"/>
  <c r="M138" i="15"/>
  <c r="G138" i="15" s="1"/>
  <c r="M137" i="15" l="1"/>
  <c r="Q18" i="72"/>
  <c r="AI70" i="64"/>
  <c r="AI78" i="64"/>
  <c r="AI1217" i="4"/>
  <c r="AI1221" i="4" s="1"/>
  <c r="AI71" i="11"/>
  <c r="AI1043" i="4"/>
  <c r="AI1243" i="4"/>
  <c r="AI915" i="4"/>
  <c r="Q40" i="13"/>
  <c r="Q71" i="67"/>
  <c r="G137" i="15" l="1"/>
  <c r="AI47" i="11"/>
  <c r="AI996" i="4"/>
  <c r="AI1000" i="4" s="1"/>
  <c r="AI1004" i="4" s="1"/>
  <c r="Q47" i="67"/>
  <c r="Q20" i="72"/>
  <c r="AI1005" i="4" l="1"/>
  <c r="AI1016" i="4" s="1"/>
  <c r="AI1013" i="4" s="1"/>
  <c r="AI1006" i="4" s="1"/>
  <c r="AI1007" i="4" s="1"/>
  <c r="AI1012" i="4"/>
  <c r="AI62" i="11"/>
  <c r="AI61" i="11"/>
  <c r="AI48" i="11"/>
  <c r="AI55" i="11" s="1"/>
  <c r="Q62" i="67"/>
  <c r="Q61" i="67"/>
  <c r="Q48" i="67"/>
  <c r="Q55" i="67" l="1"/>
  <c r="Q63" i="67"/>
  <c r="Q64" i="67"/>
  <c r="AI63" i="11"/>
  <c r="Q1449" i="4"/>
  <c r="AI1395" i="4"/>
  <c r="AI62" i="62"/>
  <c r="AI63" i="62" s="1"/>
  <c r="AI67" i="62" s="1"/>
  <c r="AI64" i="11"/>
  <c r="AI1014" i="4"/>
  <c r="AJ1011" i="4" s="1"/>
  <c r="AI1046" i="4"/>
  <c r="AI1053" i="4" s="1"/>
  <c r="AI1055" i="4" s="1"/>
  <c r="AI1058" i="4" s="1"/>
  <c r="AI56" i="11"/>
  <c r="AI57" i="11" s="1"/>
  <c r="AI61" i="64"/>
  <c r="AI1222" i="4"/>
  <c r="AI1223" i="4" s="1"/>
  <c r="AI75" i="11"/>
  <c r="AI1246" i="4"/>
  <c r="Q75" i="67"/>
  <c r="Q56" i="67"/>
  <c r="Q41" i="13"/>
  <c r="AI66" i="64" l="1"/>
  <c r="AI40" i="64" s="1"/>
  <c r="AI42" i="64" s="1"/>
  <c r="AI77" i="64"/>
  <c r="AI82" i="64" s="1"/>
  <c r="AI69" i="64"/>
  <c r="AI74" i="64" s="1"/>
  <c r="AI1394" i="4"/>
  <c r="AI1206" i="4"/>
  <c r="Q57" i="67"/>
  <c r="Q43" i="13"/>
  <c r="AI68" i="62"/>
  <c r="AI1236" i="4"/>
  <c r="AI1116" i="4" l="1"/>
  <c r="AI1117" i="4" s="1"/>
  <c r="AI1119" i="4" s="1"/>
  <c r="AI1121" i="4" s="1"/>
  <c r="AI1087" i="4" s="1"/>
  <c r="AI52" i="64"/>
  <c r="AI49" i="64"/>
  <c r="AI1137" i="4" l="1"/>
  <c r="AI1088" i="4"/>
  <c r="AJ1085" i="4" l="1"/>
  <c r="AJ1086" i="4" s="1"/>
  <c r="AJ1101" i="4" s="1"/>
  <c r="AJ1130" i="4"/>
  <c r="AJ1148" i="4" s="1"/>
  <c r="AI88" i="11"/>
  <c r="AI1225" i="4"/>
  <c r="AI1226" i="4" s="1"/>
  <c r="AI1247" i="4"/>
  <c r="AI1404" i="4"/>
  <c r="AI38" i="66"/>
  <c r="AI1347" i="4"/>
  <c r="Q88" i="67"/>
  <c r="Q24" i="13"/>
  <c r="AI1138" i="4"/>
  <c r="AJ1112" i="4" l="1"/>
  <c r="AJ1141" i="4" s="1"/>
  <c r="AJ1102" i="4"/>
  <c r="AJ1103" i="4"/>
  <c r="AI1204" i="4"/>
  <c r="AI1194" i="4"/>
  <c r="AI31" i="11"/>
  <c r="Q1448" i="4"/>
  <c r="Q1452" i="4" s="1"/>
  <c r="Q31" i="67"/>
  <c r="Q30" i="67" s="1"/>
  <c r="AI1438" i="4"/>
  <c r="AJ1135" i="4"/>
  <c r="AI1428" i="4"/>
  <c r="AI1412" i="4"/>
  <c r="AI1413" i="4" s="1"/>
  <c r="AJ1136" i="4"/>
  <c r="AJ1129" i="4"/>
  <c r="AJ1147" i="4" s="1"/>
  <c r="AJ1149" i="4" s="1"/>
  <c r="AJ1125" i="4"/>
  <c r="AJ1104" i="4" l="1"/>
  <c r="AJ1113" i="4" s="1"/>
  <c r="AJ1144" i="4" s="1"/>
  <c r="AI1175" i="4"/>
  <c r="AI1197" i="4"/>
  <c r="AI1198" i="4" s="1"/>
  <c r="AI1188" i="4" s="1"/>
  <c r="AI45" i="62"/>
  <c r="AI30" i="11"/>
  <c r="AJ87" i="11"/>
  <c r="AJ1233" i="4"/>
  <c r="AJ18" i="66"/>
  <c r="AJ1346" i="4"/>
  <c r="AJ1259" i="4"/>
  <c r="AI1418" i="4"/>
  <c r="AI1416" i="4"/>
  <c r="AJ1415" i="4"/>
  <c r="AJ1092" i="4"/>
  <c r="AJ1091" i="4"/>
  <c r="AJ1249" i="4"/>
  <c r="AJ37" i="66"/>
  <c r="AJ72" i="11"/>
  <c r="AJ50" i="11"/>
  <c r="AJ999" i="4"/>
  <c r="AJ1045" i="4"/>
  <c r="AJ297" i="4"/>
  <c r="AJ305" i="4" s="1"/>
  <c r="AJ330" i="4" s="1"/>
  <c r="AJ1218" i="4"/>
  <c r="AJ1143" i="4"/>
  <c r="AJ997" i="4"/>
  <c r="AJ1142" i="4"/>
  <c r="AJ294" i="4" s="1"/>
  <c r="AJ1120" i="4" l="1"/>
  <c r="AJ1093" i="4"/>
  <c r="AJ1111" i="4" s="1"/>
  <c r="AI1419" i="4"/>
  <c r="AJ1248" i="4"/>
  <c r="AJ1044" i="4"/>
  <c r="AJ1067" i="4" s="1"/>
  <c r="AJ1224" i="4"/>
  <c r="AJ73" i="11"/>
  <c r="AI1187" i="4"/>
  <c r="AI1176" i="4" s="1"/>
  <c r="AI1189" i="4"/>
  <c r="AK479" i="4"/>
  <c r="AK468" i="4"/>
  <c r="AK457" i="4"/>
  <c r="AJ456" i="4"/>
  <c r="AJ458" i="4" s="1"/>
  <c r="AJ459" i="4" s="1"/>
  <c r="AJ467" i="4"/>
  <c r="AJ469" i="4" s="1"/>
  <c r="AJ470" i="4" s="1"/>
  <c r="AJ471" i="4" s="1"/>
  <c r="AJ472" i="4" s="1"/>
  <c r="AK466" i="4" s="1"/>
  <c r="AJ478" i="4"/>
  <c r="AJ480" i="4" s="1"/>
  <c r="AJ481" i="4" s="1"/>
  <c r="AJ482" i="4" s="1"/>
  <c r="AJ483" i="4" s="1"/>
  <c r="AK477" i="4" s="1"/>
  <c r="AI1180" i="4"/>
  <c r="AI1184" i="4"/>
  <c r="AI1191" i="4" s="1"/>
  <c r="AJ299" i="4"/>
  <c r="AJ302" i="4"/>
  <c r="AJ53" i="11"/>
  <c r="AJ52" i="11" s="1"/>
  <c r="AJ49" i="11"/>
  <c r="AI74" i="11" l="1"/>
  <c r="AI78" i="11" s="1"/>
  <c r="AI1250" i="4"/>
  <c r="AI1227" i="4"/>
  <c r="AI1195" i="4"/>
  <c r="AI1199" i="4" s="1"/>
  <c r="AI1177" i="4" s="1"/>
  <c r="Q74" i="67"/>
  <c r="Q78" i="67" s="1"/>
  <c r="AI36" i="66"/>
  <c r="M162" i="15" s="1"/>
  <c r="AI1309" i="4"/>
  <c r="AI1232" i="4"/>
  <c r="AI1261" i="4"/>
  <c r="AI19" i="66"/>
  <c r="AI86" i="11"/>
  <c r="Q86" i="67"/>
  <c r="AI1403" i="4"/>
  <c r="AJ494" i="4"/>
  <c r="AJ994" i="4" s="1"/>
  <c r="AJ460" i="4"/>
  <c r="AJ461" i="4" s="1"/>
  <c r="AK455" i="4" s="1"/>
  <c r="AJ1158" i="4"/>
  <c r="AJ1174" i="4" s="1"/>
  <c r="AJ1068" i="4"/>
  <c r="AJ1157" i="4"/>
  <c r="AJ307" i="4"/>
  <c r="AJ331" i="4"/>
  <c r="AK495" i="4"/>
  <c r="AK995" i="4" s="1"/>
  <c r="AJ332" i="4" l="1"/>
  <c r="AJ14" i="11" s="1"/>
  <c r="AI1228" i="4"/>
  <c r="AI1205" i="4" s="1"/>
  <c r="AI39" i="66"/>
  <c r="AI35" i="66" s="1"/>
  <c r="AI89" i="11"/>
  <c r="AI1251" i="4"/>
  <c r="Q89" i="67"/>
  <c r="AI1178" i="4"/>
  <c r="Q25" i="13"/>
  <c r="AI1406" i="4"/>
  <c r="AJ1164" i="4"/>
  <c r="AJ1159" i="4"/>
  <c r="AI17" i="66"/>
  <c r="M144" i="15"/>
  <c r="G144" i="15" s="1"/>
  <c r="AI1344" i="4"/>
  <c r="AI1308" i="4"/>
  <c r="AI1311" i="4" s="1"/>
  <c r="AJ405" i="4"/>
  <c r="AJ406" i="4" s="1"/>
  <c r="AJ407" i="4" s="1"/>
  <c r="AJ408" i="4" s="1"/>
  <c r="AJ409" i="4" s="1"/>
  <c r="AK404" i="4" s="1"/>
  <c r="AJ395" i="4"/>
  <c r="AJ396" i="4" s="1"/>
  <c r="AJ397" i="4" s="1"/>
  <c r="AJ398" i="4" s="1"/>
  <c r="AJ399" i="4" s="1"/>
  <c r="AK394" i="4" s="1"/>
  <c r="AJ385" i="4"/>
  <c r="AI1313" i="4" l="1"/>
  <c r="Q14" i="72"/>
  <c r="AI1325" i="4"/>
  <c r="AJ1173" i="4"/>
  <c r="Q27" i="67"/>
  <c r="AI27" i="11"/>
  <c r="AI1429" i="4"/>
  <c r="Q19" i="72"/>
  <c r="M142" i="15"/>
  <c r="AI1348" i="4"/>
  <c r="Q13" i="13"/>
  <c r="M161" i="15"/>
  <c r="AJ500" i="4"/>
  <c r="AJ489" i="4"/>
  <c r="AJ386" i="4"/>
  <c r="AJ387" i="4" s="1"/>
  <c r="AJ1260" i="4"/>
  <c r="AJ42" i="62"/>
  <c r="AJ85" i="11"/>
  <c r="AJ1231" i="4"/>
  <c r="AJ1167" i="4"/>
  <c r="AJ1168" i="4" s="1"/>
  <c r="AI1207" i="4"/>
  <c r="AI1209" i="4" s="1"/>
  <c r="AI1208" i="4" l="1"/>
  <c r="G161" i="15"/>
  <c r="AJ52" i="62"/>
  <c r="AJ43" i="62"/>
  <c r="AJ23" i="62" s="1"/>
  <c r="AJ16" i="66" s="1"/>
  <c r="AJ14" i="66" s="1"/>
  <c r="AJ13" i="66" s="1"/>
  <c r="Q15" i="72"/>
  <c r="AI1363" i="4"/>
  <c r="AI1364" i="4" s="1"/>
  <c r="AI1365" i="4" s="1"/>
  <c r="AJ490" i="4"/>
  <c r="AJ388" i="4"/>
  <c r="AJ389" i="4" s="1"/>
  <c r="AK384" i="4" s="1"/>
  <c r="AJ501" i="4"/>
  <c r="AJ502" i="4" s="1"/>
  <c r="AI1430" i="4"/>
  <c r="AI1431" i="4" s="1"/>
  <c r="AI1432" i="4"/>
  <c r="AK1163" i="4"/>
  <c r="AJ26" i="11"/>
  <c r="AI1326" i="4"/>
  <c r="AI1327" i="4" s="1"/>
  <c r="G142" i="15"/>
  <c r="AI48" i="62"/>
  <c r="AI24" i="62" s="1"/>
  <c r="AI26" i="62" s="1"/>
  <c r="AI58" i="11"/>
  <c r="AI59" i="11" s="1"/>
  <c r="AI28" i="11" s="1"/>
  <c r="AI25" i="11" s="1"/>
  <c r="AI1252" i="4"/>
  <c r="AI1229" i="4"/>
  <c r="AI1230" i="4" s="1"/>
  <c r="AI1234" i="4" s="1"/>
  <c r="AJ1213" i="4" s="1"/>
  <c r="AI90" i="11"/>
  <c r="AI91" i="11" s="1"/>
  <c r="AI93" i="11" s="1"/>
  <c r="AI96" i="11" s="1"/>
  <c r="AI97" i="11" s="1"/>
  <c r="Q90" i="67"/>
  <c r="Q91" i="67" s="1"/>
  <c r="Q93" i="67" s="1"/>
  <c r="Q96" i="67" s="1"/>
  <c r="Q97" i="67" s="1"/>
  <c r="Q58" i="67"/>
  <c r="Q59" i="67" s="1"/>
  <c r="AI22" i="66"/>
  <c r="AI1397" i="4" l="1"/>
  <c r="AI1392" i="4" s="1"/>
  <c r="AI1398" i="4"/>
  <c r="AI1393" i="4" s="1"/>
  <c r="AI37" i="11"/>
  <c r="AK499" i="4"/>
  <c r="AK1023" i="4" s="1"/>
  <c r="AJ1024" i="4"/>
  <c r="AJ1026" i="4" s="1"/>
  <c r="AJ1027" i="4" s="1"/>
  <c r="AJ1028" i="4" s="1"/>
  <c r="R95" i="67"/>
  <c r="AJ95" i="11"/>
  <c r="AI1263" i="4"/>
  <c r="AI1264" i="4" s="1"/>
  <c r="AI100" i="67"/>
  <c r="AI1385" i="4"/>
  <c r="AI1384" i="4" s="1"/>
  <c r="AI101" i="67"/>
  <c r="AI1253" i="4"/>
  <c r="AI1254" i="4" s="1"/>
  <c r="AI101" i="11"/>
  <c r="Q21" i="67"/>
  <c r="Q17" i="67" s="1"/>
  <c r="Q23" i="67" s="1"/>
  <c r="AI46" i="62"/>
  <c r="AI21" i="11"/>
  <c r="AI17" i="11" s="1"/>
  <c r="AI100" i="11"/>
  <c r="AI24" i="66"/>
  <c r="AI44" i="66"/>
  <c r="AI40" i="66" s="1"/>
  <c r="Q1450" i="4"/>
  <c r="Q1457" i="4" s="1"/>
  <c r="AJ491" i="4"/>
  <c r="AJ64" i="62"/>
  <c r="AJ51" i="11"/>
  <c r="AJ1051" i="4"/>
  <c r="Q28" i="67"/>
  <c r="Q25" i="67" s="1"/>
  <c r="Q37" i="67" s="1"/>
  <c r="Q39" i="67" l="1"/>
  <c r="Q40" i="67" s="1"/>
  <c r="AI1266" i="4"/>
  <c r="AK488" i="4"/>
  <c r="AJ15" i="11"/>
  <c r="AJ13" i="11" s="1"/>
  <c r="AI99" i="11"/>
  <c r="AJ62" i="64"/>
  <c r="AJ907" i="4"/>
  <c r="AJ911" i="4" s="1"/>
  <c r="M167" i="15"/>
  <c r="AI46" i="66"/>
  <c r="M171" i="15"/>
  <c r="G171" i="15" s="1"/>
  <c r="M150" i="15"/>
  <c r="G150" i="15" s="1"/>
  <c r="AI20" i="66"/>
  <c r="AI1386" i="4"/>
  <c r="AI1383" i="4" s="1"/>
  <c r="AI23" i="11"/>
  <c r="Q99" i="67"/>
  <c r="G167" i="15" l="1"/>
  <c r="M173" i="15"/>
  <c r="G173" i="15" s="1"/>
  <c r="AI39" i="11"/>
  <c r="AI40" i="11" s="1"/>
  <c r="AI1439" i="4"/>
  <c r="AI1440" i="4" s="1"/>
  <c r="AI1396" i="4"/>
  <c r="AI1391" i="4" s="1"/>
  <c r="AJ1043" i="4"/>
  <c r="AJ1217" i="4"/>
  <c r="AJ1221" i="4" s="1"/>
  <c r="AJ915" i="4"/>
  <c r="AJ1243" i="4"/>
  <c r="AJ71" i="11"/>
  <c r="AJ78" i="64"/>
  <c r="AJ70" i="64"/>
  <c r="M146" i="15"/>
  <c r="AI26" i="66"/>
  <c r="AI48" i="66" s="1"/>
  <c r="G146" i="15" l="1"/>
  <c r="M152" i="15"/>
  <c r="G152" i="15" s="1"/>
  <c r="AJ47" i="11"/>
  <c r="AJ996" i="4"/>
  <c r="AJ1000" i="4" s="1"/>
  <c r="AJ1004" i="4" s="1"/>
  <c r="AJ1005" i="4" l="1"/>
  <c r="AJ1016" i="4" s="1"/>
  <c r="AJ1013" i="4" s="1"/>
  <c r="AJ1006" i="4" s="1"/>
  <c r="AJ1007" i="4" s="1"/>
  <c r="AJ1012" i="4"/>
  <c r="AJ61" i="11"/>
  <c r="AJ48" i="11"/>
  <c r="AJ55" i="11" s="1"/>
  <c r="AJ62" i="11"/>
  <c r="AJ64" i="11" l="1"/>
  <c r="AJ1395" i="4"/>
  <c r="AJ62" i="62"/>
  <c r="AJ63" i="62" s="1"/>
  <c r="AJ67" i="62" s="1"/>
  <c r="AJ63" i="11"/>
  <c r="AJ1014" i="4"/>
  <c r="AK1011" i="4" s="1"/>
  <c r="AJ1222" i="4"/>
  <c r="AJ1223" i="4" s="1"/>
  <c r="AJ1246" i="4"/>
  <c r="AJ61" i="64"/>
  <c r="AJ1046" i="4"/>
  <c r="AJ1053" i="4" s="1"/>
  <c r="AJ1055" i="4" s="1"/>
  <c r="AJ1058" i="4" s="1"/>
  <c r="AJ56" i="11"/>
  <c r="AJ57" i="11" s="1"/>
  <c r="AJ75" i="11"/>
  <c r="AJ1236" i="4" l="1"/>
  <c r="AJ68" i="62"/>
  <c r="AJ1394" i="4"/>
  <c r="AJ1206" i="4"/>
  <c r="AJ66" i="64"/>
  <c r="AJ40" i="64" s="1"/>
  <c r="AJ42" i="64" s="1"/>
  <c r="AJ69" i="64"/>
  <c r="AJ74" i="64" s="1"/>
  <c r="AJ77" i="64"/>
  <c r="AJ82" i="64" s="1"/>
  <c r="AJ52" i="64" l="1"/>
  <c r="AJ49" i="64"/>
  <c r="AJ1116" i="4"/>
  <c r="AJ1117" i="4" s="1"/>
  <c r="AJ1119" i="4" s="1"/>
  <c r="AJ1121" i="4" s="1"/>
  <c r="AJ1087" i="4" s="1"/>
  <c r="AJ1088" i="4" l="1"/>
  <c r="AJ1137" i="4"/>
  <c r="AJ88" i="11" l="1"/>
  <c r="AJ1225" i="4"/>
  <c r="AJ1226" i="4" s="1"/>
  <c r="AJ1404" i="4"/>
  <c r="AJ1247" i="4"/>
  <c r="AJ1347" i="4"/>
  <c r="AJ38" i="66"/>
  <c r="AJ1138" i="4"/>
  <c r="AK1085" i="4"/>
  <c r="AK1130" i="4"/>
  <c r="AK1148" i="4" s="1"/>
  <c r="AK1086" i="4" l="1"/>
  <c r="AJ1194" i="4"/>
  <c r="AJ1204" i="4"/>
  <c r="AK1135" i="4"/>
  <c r="AJ1412" i="4"/>
  <c r="AJ1413" i="4" s="1"/>
  <c r="AJ1428" i="4"/>
  <c r="AJ1438" i="4"/>
  <c r="AJ31" i="11"/>
  <c r="AJ1418" i="4" l="1"/>
  <c r="AJ1416" i="4"/>
  <c r="AK1415" i="4"/>
  <c r="AJ1175" i="4"/>
  <c r="AJ1197" i="4"/>
  <c r="AJ1198" i="4" s="1"/>
  <c r="AJ1188" i="4" s="1"/>
  <c r="AJ30" i="11"/>
  <c r="AJ45" i="62"/>
  <c r="AK1129" i="4"/>
  <c r="AK1147" i="4" s="1"/>
  <c r="AK1149" i="4" s="1"/>
  <c r="AK1136" i="4"/>
  <c r="AK1125" i="4"/>
  <c r="AK1101" i="4"/>
  <c r="AJ1419" i="4" l="1"/>
  <c r="AJ1180" i="4"/>
  <c r="AJ1184" i="4"/>
  <c r="AJ1191" i="4" s="1"/>
  <c r="AK1112" i="4"/>
  <c r="AK1141" i="4" s="1"/>
  <c r="AK1103" i="4"/>
  <c r="AK1102" i="4"/>
  <c r="AK1259" i="4"/>
  <c r="AK1346" i="4"/>
  <c r="AK1233" i="4"/>
  <c r="AK87" i="11"/>
  <c r="AK18" i="66"/>
  <c r="AK1249" i="4"/>
  <c r="AK50" i="11"/>
  <c r="AK999" i="4"/>
  <c r="AK37" i="66"/>
  <c r="AK1218" i="4"/>
  <c r="AK297" i="4"/>
  <c r="AK305" i="4" s="1"/>
  <c r="AK330" i="4" s="1"/>
  <c r="AK72" i="11"/>
  <c r="AK1045" i="4"/>
  <c r="AJ1187" i="4"/>
  <c r="AJ1176" i="4" s="1"/>
  <c r="AJ1189" i="4"/>
  <c r="AK1104" i="4" l="1"/>
  <c r="AK1113" i="4" s="1"/>
  <c r="AK1144" i="4" s="1"/>
  <c r="AK49" i="11"/>
  <c r="AK1091" i="4"/>
  <c r="AK1092" i="4"/>
  <c r="AK1143" i="4"/>
  <c r="AK1142" i="4"/>
  <c r="AK294" i="4" s="1"/>
  <c r="AK997" i="4"/>
  <c r="AJ1250" i="4"/>
  <c r="AJ1227" i="4"/>
  <c r="AJ1195" i="4"/>
  <c r="AJ1199" i="4" s="1"/>
  <c r="AJ1177" i="4" s="1"/>
  <c r="AJ74" i="11"/>
  <c r="AJ78" i="11" s="1"/>
  <c r="AJ1309" i="4"/>
  <c r="AJ36" i="66"/>
  <c r="AL479" i="4"/>
  <c r="AL468" i="4"/>
  <c r="AL457" i="4"/>
  <c r="AK456" i="4"/>
  <c r="AK458" i="4" s="1"/>
  <c r="AK459" i="4" s="1"/>
  <c r="AK467" i="4"/>
  <c r="AK469" i="4" s="1"/>
  <c r="AK470" i="4" s="1"/>
  <c r="AK471" i="4" s="1"/>
  <c r="AK472" i="4" s="1"/>
  <c r="AL466" i="4" s="1"/>
  <c r="AK478" i="4"/>
  <c r="AK480" i="4" s="1"/>
  <c r="AK481" i="4" s="1"/>
  <c r="AK482" i="4" s="1"/>
  <c r="AK483" i="4" s="1"/>
  <c r="AL477" i="4" s="1"/>
  <c r="AJ19" i="66"/>
  <c r="AJ17" i="66" s="1"/>
  <c r="AJ1261" i="4"/>
  <c r="AJ86" i="11"/>
  <c r="AJ1232" i="4"/>
  <c r="AJ1403" i="4"/>
  <c r="AK1120" i="4" l="1"/>
  <c r="AK53" i="11"/>
  <c r="AK52" i="11" s="1"/>
  <c r="AK460" i="4"/>
  <c r="AK461" i="4" s="1"/>
  <c r="AL455" i="4" s="1"/>
  <c r="AK494" i="4"/>
  <c r="AK994" i="4" s="1"/>
  <c r="AJ1344" i="4"/>
  <c r="AJ1308" i="4"/>
  <c r="AJ1311" i="4" s="1"/>
  <c r="AK1093" i="4"/>
  <c r="AK1111" i="4" s="1"/>
  <c r="AJ89" i="11"/>
  <c r="AJ39" i="66"/>
  <c r="AJ35" i="66" s="1"/>
  <c r="AJ1228" i="4"/>
  <c r="AJ1205" i="4" s="1"/>
  <c r="AJ1251" i="4"/>
  <c r="AJ1406" i="4"/>
  <c r="AL495" i="4"/>
  <c r="AL995" i="4" s="1"/>
  <c r="AK1224" i="4"/>
  <c r="AK73" i="11"/>
  <c r="AK1248" i="4"/>
  <c r="AK1044" i="4"/>
  <c r="AK1067" i="4" s="1"/>
  <c r="AK299" i="4"/>
  <c r="AK302" i="4"/>
  <c r="AJ1178" i="4"/>
  <c r="AJ1313" i="4" l="1"/>
  <c r="AJ1325" i="4"/>
  <c r="AJ1348" i="4"/>
  <c r="AK1157" i="4"/>
  <c r="AK1158" i="4"/>
  <c r="AK1174" i="4" s="1"/>
  <c r="AK1068" i="4"/>
  <c r="AK1173" i="4"/>
  <c r="AJ27" i="11"/>
  <c r="AJ1429" i="4"/>
  <c r="AJ1207" i="4"/>
  <c r="AJ1209" i="4" s="1"/>
  <c r="AK307" i="4"/>
  <c r="AK331" i="4"/>
  <c r="AK332" i="4" l="1"/>
  <c r="AK14" i="11" s="1"/>
  <c r="AJ1432" i="4"/>
  <c r="AJ1430" i="4"/>
  <c r="AJ1431" i="4" s="1"/>
  <c r="AJ1363" i="4"/>
  <c r="AJ1326" i="4"/>
  <c r="AJ1327" i="4" s="1"/>
  <c r="AJ1252" i="4"/>
  <c r="AJ1229" i="4"/>
  <c r="AJ1230" i="4" s="1"/>
  <c r="AJ1234" i="4" s="1"/>
  <c r="AK1213" i="4" s="1"/>
  <c r="AJ58" i="11"/>
  <c r="AJ59" i="11" s="1"/>
  <c r="AJ28" i="11" s="1"/>
  <c r="AJ25" i="11" s="1"/>
  <c r="AJ48" i="62"/>
  <c r="AJ24" i="62" s="1"/>
  <c r="AJ26" i="62" s="1"/>
  <c r="AJ90" i="11"/>
  <c r="AJ91" i="11" s="1"/>
  <c r="AJ93" i="11" s="1"/>
  <c r="AJ96" i="11" s="1"/>
  <c r="AJ97" i="11" s="1"/>
  <c r="AJ22" i="66"/>
  <c r="AK385" i="4"/>
  <c r="AK405" i="4"/>
  <c r="AK406" i="4" s="1"/>
  <c r="AK407" i="4" s="1"/>
  <c r="AK408" i="4" s="1"/>
  <c r="AK409" i="4" s="1"/>
  <c r="AL404" i="4" s="1"/>
  <c r="AK395" i="4"/>
  <c r="AK396" i="4" s="1"/>
  <c r="AK397" i="4" s="1"/>
  <c r="AK398" i="4" s="1"/>
  <c r="AK399" i="4" s="1"/>
  <c r="AL394" i="4" s="1"/>
  <c r="AJ1208" i="4"/>
  <c r="AK1164" i="4"/>
  <c r="AK1159" i="4"/>
  <c r="AJ44" i="66" l="1"/>
  <c r="AJ40" i="66" s="1"/>
  <c r="AJ46" i="66" s="1"/>
  <c r="AJ21" i="11"/>
  <c r="AJ17" i="11" s="1"/>
  <c r="AJ100" i="11"/>
  <c r="AJ101" i="67"/>
  <c r="AJ100" i="67"/>
  <c r="AJ1263" i="4"/>
  <c r="AJ1264" i="4" s="1"/>
  <c r="AK95" i="11"/>
  <c r="AJ1253" i="4"/>
  <c r="AJ1254" i="4" s="1"/>
  <c r="AJ24" i="66"/>
  <c r="AJ20" i="66" s="1"/>
  <c r="AJ26" i="66" s="1"/>
  <c r="AJ101" i="11"/>
  <c r="AJ1385" i="4"/>
  <c r="AJ1384" i="4" s="1"/>
  <c r="AJ46" i="62"/>
  <c r="AJ1398" i="4"/>
  <c r="AJ1393" i="4" s="1"/>
  <c r="AJ37" i="11"/>
  <c r="AJ1397" i="4"/>
  <c r="AJ1392" i="4" s="1"/>
  <c r="AJ1364" i="4"/>
  <c r="AJ1365" i="4" s="1"/>
  <c r="AK500" i="4"/>
  <c r="AK489" i="4"/>
  <c r="AK386" i="4"/>
  <c r="AK387" i="4" s="1"/>
  <c r="AK1051" i="4"/>
  <c r="AK1231" i="4"/>
  <c r="AK1260" i="4"/>
  <c r="AK42" i="62"/>
  <c r="AK1167" i="4"/>
  <c r="AK1168" i="4" s="1"/>
  <c r="AK85" i="11"/>
  <c r="AJ1266" i="4" l="1"/>
  <c r="AJ99" i="11"/>
  <c r="AK501" i="4"/>
  <c r="AK502" i="4" s="1"/>
  <c r="AK388" i="4"/>
  <c r="AK389" i="4" s="1"/>
  <c r="AL384" i="4" s="1"/>
  <c r="AK490" i="4"/>
  <c r="AK491" i="4" s="1"/>
  <c r="AK26" i="11"/>
  <c r="AL1163" i="4"/>
  <c r="AK52" i="62"/>
  <c r="AK43" i="62"/>
  <c r="AK23" i="62" s="1"/>
  <c r="AK16" i="66" s="1"/>
  <c r="AK14" i="66" s="1"/>
  <c r="AK13" i="66" s="1"/>
  <c r="AJ1386" i="4"/>
  <c r="AJ1383" i="4" s="1"/>
  <c r="AJ23" i="11"/>
  <c r="AJ48" i="66"/>
  <c r="AK15" i="11" l="1"/>
  <c r="AK13" i="11" s="1"/>
  <c r="AL488" i="4"/>
  <c r="AJ1439" i="4"/>
  <c r="AJ1440" i="4" s="1"/>
  <c r="AJ1396" i="4"/>
  <c r="AJ1391" i="4" s="1"/>
  <c r="AK64" i="62"/>
  <c r="AK51" i="11"/>
  <c r="AK1024" i="4"/>
  <c r="AK1026" i="4" s="1"/>
  <c r="AK1027" i="4" s="1"/>
  <c r="AK1028" i="4" s="1"/>
  <c r="AL499" i="4"/>
  <c r="AL1023" i="4" s="1"/>
  <c r="AJ39" i="11"/>
  <c r="AJ40" i="11" s="1"/>
  <c r="AK62" i="64" l="1"/>
  <c r="AK907" i="4"/>
  <c r="AK911" i="4" s="1"/>
  <c r="AK1243" i="4" l="1"/>
  <c r="AK1217" i="4"/>
  <c r="AK1221" i="4" s="1"/>
  <c r="AK71" i="11"/>
  <c r="AK1043" i="4"/>
  <c r="AK915" i="4"/>
  <c r="AK70" i="64"/>
  <c r="AK78" i="64"/>
  <c r="AK996" i="4" l="1"/>
  <c r="AK1000" i="4" s="1"/>
  <c r="AK1004" i="4" s="1"/>
  <c r="AK47" i="11"/>
  <c r="AK48" i="11" l="1"/>
  <c r="AK55" i="11" s="1"/>
  <c r="AK61" i="11"/>
  <c r="AK62" i="11"/>
  <c r="AK1005" i="4"/>
  <c r="AK1016" i="4" s="1"/>
  <c r="AK1013" i="4" s="1"/>
  <c r="AK1006" i="4" s="1"/>
  <c r="AK1007" i="4" s="1"/>
  <c r="AK1012" i="4"/>
  <c r="AK1014" i="4" l="1"/>
  <c r="AL1011" i="4" s="1"/>
  <c r="AK1395" i="4"/>
  <c r="AK62" i="62"/>
  <c r="AK63" i="62" s="1"/>
  <c r="AK67" i="62" s="1"/>
  <c r="AK64" i="11"/>
  <c r="AK1222" i="4"/>
  <c r="AK1223" i="4" s="1"/>
  <c r="AK75" i="11"/>
  <c r="AK1046" i="4"/>
  <c r="AK1053" i="4" s="1"/>
  <c r="AK1055" i="4" s="1"/>
  <c r="AK1058" i="4" s="1"/>
  <c r="AK61" i="64"/>
  <c r="AK1246" i="4"/>
  <c r="AK56" i="11"/>
  <c r="AK57" i="11" s="1"/>
  <c r="AK63" i="11"/>
  <c r="AK66" i="64" l="1"/>
  <c r="AK40" i="64" s="1"/>
  <c r="AK42" i="64" s="1"/>
  <c r="AK77" i="64"/>
  <c r="AK82" i="64" s="1"/>
  <c r="AK69" i="64"/>
  <c r="AK74" i="64" s="1"/>
  <c r="AK1236" i="4"/>
  <c r="AK68" i="62"/>
  <c r="AK1394" i="4"/>
  <c r="AK1206" i="4"/>
  <c r="AK1116" i="4" l="1"/>
  <c r="AK1117" i="4" s="1"/>
  <c r="AK1119" i="4" s="1"/>
  <c r="AK1121" i="4" s="1"/>
  <c r="AK1087" i="4" s="1"/>
  <c r="AK52" i="64"/>
  <c r="AK49" i="64"/>
  <c r="AK1137" i="4" l="1"/>
  <c r="AK1088" i="4"/>
  <c r="AL1085" i="4" l="1"/>
  <c r="AL1130" i="4"/>
  <c r="AL1148" i="4" s="1"/>
  <c r="AK88" i="11"/>
  <c r="AK1247" i="4"/>
  <c r="AK1225" i="4"/>
  <c r="AK1226" i="4" s="1"/>
  <c r="AK1347" i="4"/>
  <c r="AK1404" i="4"/>
  <c r="AK38" i="66"/>
  <c r="AK1138" i="4"/>
  <c r="AK1204" i="4" l="1"/>
  <c r="AK1194" i="4"/>
  <c r="AK31" i="11"/>
  <c r="AK1438" i="4"/>
  <c r="AK1412" i="4"/>
  <c r="AK1413" i="4" s="1"/>
  <c r="AL1135" i="4"/>
  <c r="AK1428" i="4"/>
  <c r="AL1086" i="4"/>
  <c r="AK1418" i="4" l="1"/>
  <c r="AK1416" i="4"/>
  <c r="AK45" i="62"/>
  <c r="AK30" i="11"/>
  <c r="AK1197" i="4"/>
  <c r="AK1198" i="4" s="1"/>
  <c r="AK1188" i="4" s="1"/>
  <c r="AK1175" i="4"/>
  <c r="AL1415" i="4"/>
  <c r="AL1136" i="4"/>
  <c r="AL1129" i="4"/>
  <c r="AL1147" i="4" s="1"/>
  <c r="AL1149" i="4" s="1"/>
  <c r="AL1125" i="4"/>
  <c r="AL1101" i="4"/>
  <c r="AK1419" i="4" l="1"/>
  <c r="AK1187" i="4"/>
  <c r="AK1176" i="4" s="1"/>
  <c r="AK1189" i="4"/>
  <c r="AK1184" i="4"/>
  <c r="AK1191" i="4" s="1"/>
  <c r="AK1180" i="4"/>
  <c r="AL1103" i="4"/>
  <c r="AL1112" i="4"/>
  <c r="AL1141" i="4" s="1"/>
  <c r="AL1102" i="4"/>
  <c r="AL37" i="66"/>
  <c r="AL1045" i="4"/>
  <c r="AL1218" i="4"/>
  <c r="AL999" i="4"/>
  <c r="AL297" i="4"/>
  <c r="AL305" i="4" s="1"/>
  <c r="AL330" i="4" s="1"/>
  <c r="AL1249" i="4"/>
  <c r="AL50" i="11"/>
  <c r="AL72" i="11"/>
  <c r="AL1346" i="4"/>
  <c r="AL1259" i="4"/>
  <c r="AL87" i="11"/>
  <c r="AL18" i="66"/>
  <c r="AL1233" i="4"/>
  <c r="AL1104" i="4" l="1"/>
  <c r="AL1113" i="4" s="1"/>
  <c r="AL1144" i="4" s="1"/>
  <c r="AL49" i="11"/>
  <c r="AL1143" i="4"/>
  <c r="AL997" i="4"/>
  <c r="AL1142" i="4"/>
  <c r="AL294" i="4" s="1"/>
  <c r="AL456" i="4"/>
  <c r="AL458" i="4" s="1"/>
  <c r="AL459" i="4" s="1"/>
  <c r="AM457" i="4"/>
  <c r="AM468" i="4"/>
  <c r="AL467" i="4"/>
  <c r="AL469" i="4" s="1"/>
  <c r="AL470" i="4" s="1"/>
  <c r="AL471" i="4" s="1"/>
  <c r="AL472" i="4" s="1"/>
  <c r="AM466" i="4" s="1"/>
  <c r="AL478" i="4"/>
  <c r="AL480" i="4" s="1"/>
  <c r="AL481" i="4" s="1"/>
  <c r="AL482" i="4" s="1"/>
  <c r="AL483" i="4" s="1"/>
  <c r="AM477" i="4" s="1"/>
  <c r="AM479" i="4"/>
  <c r="AL1092" i="4"/>
  <c r="AL1091" i="4"/>
  <c r="AK1261" i="4"/>
  <c r="AK86" i="11"/>
  <c r="AK19" i="66"/>
  <c r="AK17" i="66" s="1"/>
  <c r="AK1232" i="4"/>
  <c r="AK1403" i="4"/>
  <c r="AK1227" i="4"/>
  <c r="AK74" i="11"/>
  <c r="AK78" i="11" s="1"/>
  <c r="AK1250" i="4"/>
  <c r="AK1195" i="4"/>
  <c r="AK1199" i="4" s="1"/>
  <c r="AK1177" i="4" s="1"/>
  <c r="AK1309" i="4"/>
  <c r="AK36" i="66"/>
  <c r="AL1093" i="4" l="1"/>
  <c r="AL1111" i="4" s="1"/>
  <c r="AL1120" i="4"/>
  <c r="AL460" i="4"/>
  <c r="AL461" i="4" s="1"/>
  <c r="AM455" i="4" s="1"/>
  <c r="AL494" i="4"/>
  <c r="AL994" i="4" s="1"/>
  <c r="AL299" i="4"/>
  <c r="AL302" i="4"/>
  <c r="AK39" i="66"/>
  <c r="AK35" i="66" s="1"/>
  <c r="AK1251" i="4"/>
  <c r="AK1228" i="4"/>
  <c r="AK1205" i="4" s="1"/>
  <c r="AK89" i="11"/>
  <c r="AK1178" i="4"/>
  <c r="AL53" i="11"/>
  <c r="AL52" i="11" s="1"/>
  <c r="AL1224" i="4"/>
  <c r="AL1044" i="4"/>
  <c r="AL1067" i="4" s="1"/>
  <c r="AL1248" i="4"/>
  <c r="AL73" i="11"/>
  <c r="AK1308" i="4"/>
  <c r="AK1311" i="4" s="1"/>
  <c r="AK1344" i="4"/>
  <c r="AK1406" i="4"/>
  <c r="AM495" i="4"/>
  <c r="AM995" i="4" s="1"/>
  <c r="AK1348" i="4" l="1"/>
  <c r="AK1207" i="4"/>
  <c r="AK1209" i="4" s="1"/>
  <c r="AK1313" i="4"/>
  <c r="AK1325" i="4"/>
  <c r="AL1068" i="4"/>
  <c r="AL1158" i="4"/>
  <c r="AL1174" i="4" s="1"/>
  <c r="AL1157" i="4"/>
  <c r="AL307" i="4"/>
  <c r="AL331" i="4"/>
  <c r="AK27" i="11"/>
  <c r="AL1173" i="4"/>
  <c r="AK1429" i="4"/>
  <c r="AK1208" i="4" l="1"/>
  <c r="AL385" i="4"/>
  <c r="AL395" i="4"/>
  <c r="AL396" i="4" s="1"/>
  <c r="AL397" i="4" s="1"/>
  <c r="AL398" i="4" s="1"/>
  <c r="AL399" i="4" s="1"/>
  <c r="AM394" i="4" s="1"/>
  <c r="AL405" i="4"/>
  <c r="AL406" i="4" s="1"/>
  <c r="AL407" i="4" s="1"/>
  <c r="AL408" i="4" s="1"/>
  <c r="AL409" i="4" s="1"/>
  <c r="AM404" i="4" s="1"/>
  <c r="AK1326" i="4"/>
  <c r="AK1327" i="4" s="1"/>
  <c r="AL332" i="4"/>
  <c r="AL14" i="11" s="1"/>
  <c r="AK1229" i="4"/>
  <c r="AK1230" i="4" s="1"/>
  <c r="AK1234" i="4" s="1"/>
  <c r="AL1213" i="4" s="1"/>
  <c r="AK90" i="11"/>
  <c r="AK91" i="11" s="1"/>
  <c r="AK93" i="11" s="1"/>
  <c r="AK96" i="11" s="1"/>
  <c r="AK97" i="11" s="1"/>
  <c r="AK58" i="11"/>
  <c r="AK59" i="11" s="1"/>
  <c r="AK28" i="11" s="1"/>
  <c r="AK25" i="11" s="1"/>
  <c r="AK1252" i="4"/>
  <c r="AK48" i="62"/>
  <c r="AK24" i="62" s="1"/>
  <c r="AK26" i="62" s="1"/>
  <c r="AK22" i="66"/>
  <c r="AK1432" i="4"/>
  <c r="AK1430" i="4"/>
  <c r="AK1431" i="4" s="1"/>
  <c r="AL1159" i="4"/>
  <c r="AL1164" i="4"/>
  <c r="AK1363" i="4"/>
  <c r="AK1398" i="4" l="1"/>
  <c r="AK1393" i="4" s="1"/>
  <c r="AK37" i="11"/>
  <c r="AK1397" i="4"/>
  <c r="AK1392" i="4" s="1"/>
  <c r="AK1364" i="4"/>
  <c r="AK1365" i="4" s="1"/>
  <c r="AL85" i="11"/>
  <c r="AL1231" i="4"/>
  <c r="AL1167" i="4"/>
  <c r="AL1168" i="4" s="1"/>
  <c r="AL1260" i="4"/>
  <c r="AL42" i="62"/>
  <c r="AK44" i="66"/>
  <c r="AK40" i="66" s="1"/>
  <c r="AK46" i="66" s="1"/>
  <c r="AK1253" i="4"/>
  <c r="AK1254" i="4" s="1"/>
  <c r="AK101" i="67"/>
  <c r="AK101" i="11"/>
  <c r="AL95" i="11"/>
  <c r="AK100" i="11"/>
  <c r="AK1385" i="4"/>
  <c r="AK1384" i="4" s="1"/>
  <c r="AK1263" i="4"/>
  <c r="AK1264" i="4" s="1"/>
  <c r="AK100" i="67"/>
  <c r="AK21" i="11"/>
  <c r="AK17" i="11" s="1"/>
  <c r="AK24" i="66"/>
  <c r="AK20" i="66" s="1"/>
  <c r="AK26" i="66" s="1"/>
  <c r="AK46" i="62"/>
  <c r="AL1051" i="4"/>
  <c r="AL489" i="4"/>
  <c r="AL500" i="4"/>
  <c r="AL386" i="4"/>
  <c r="AL387" i="4" s="1"/>
  <c r="AM1163" i="4" l="1"/>
  <c r="AL26" i="11"/>
  <c r="AL501" i="4"/>
  <c r="AL502" i="4" s="1"/>
  <c r="AL490" i="4"/>
  <c r="AL388" i="4"/>
  <c r="AL389" i="4" s="1"/>
  <c r="AM384" i="4" s="1"/>
  <c r="AK1266" i="4"/>
  <c r="AK48" i="66"/>
  <c r="AL52" i="62"/>
  <c r="AL43" i="62"/>
  <c r="AL23" i="62" s="1"/>
  <c r="AL16" i="66" s="1"/>
  <c r="AL14" i="66" s="1"/>
  <c r="AL13" i="66" s="1"/>
  <c r="AK1386" i="4"/>
  <c r="AK1383" i="4" s="1"/>
  <c r="AK23" i="11"/>
  <c r="AK99" i="11"/>
  <c r="AK1439" i="4" l="1"/>
  <c r="AK1440" i="4" s="1"/>
  <c r="AK1396" i="4"/>
  <c r="AK1391" i="4" s="1"/>
  <c r="AK39" i="11"/>
  <c r="AK40" i="11" s="1"/>
  <c r="AL64" i="62"/>
  <c r="AL51" i="11"/>
  <c r="AL1024" i="4"/>
  <c r="AL1026" i="4" s="1"/>
  <c r="AL1027" i="4" s="1"/>
  <c r="AL1028" i="4" s="1"/>
  <c r="AM499" i="4"/>
  <c r="AM1023" i="4" s="1"/>
  <c r="AL491" i="4"/>
  <c r="AL62" i="64" l="1"/>
  <c r="AL907" i="4"/>
  <c r="AL911" i="4" s="1"/>
  <c r="AM488" i="4"/>
  <c r="AL15" i="11"/>
  <c r="AL13" i="11" s="1"/>
  <c r="AL1243" i="4" l="1"/>
  <c r="AL71" i="11"/>
  <c r="AL1217" i="4"/>
  <c r="AL1221" i="4" s="1"/>
  <c r="AL1043" i="4"/>
  <c r="AL915" i="4"/>
  <c r="AL70" i="64"/>
  <c r="AL78" i="64"/>
  <c r="AL47" i="11" l="1"/>
  <c r="AL996" i="4"/>
  <c r="AL1000" i="4" s="1"/>
  <c r="AL1004" i="4" s="1"/>
  <c r="AL1012" i="4" l="1"/>
  <c r="AL1005" i="4"/>
  <c r="AL1016" i="4" s="1"/>
  <c r="AL1013" i="4" s="1"/>
  <c r="AL1006" i="4" s="1"/>
  <c r="AL1007" i="4" s="1"/>
  <c r="AL62" i="11"/>
  <c r="AL61" i="11"/>
  <c r="AL48" i="11"/>
  <c r="AL55" i="11" s="1"/>
  <c r="AL63" i="11" l="1"/>
  <c r="AL62" i="62"/>
  <c r="AL63" i="62" s="1"/>
  <c r="AL67" i="62" s="1"/>
  <c r="AL1395" i="4"/>
  <c r="AL64" i="11"/>
  <c r="AL1046" i="4"/>
  <c r="AL1053" i="4" s="1"/>
  <c r="AL1055" i="4" s="1"/>
  <c r="AL1058" i="4" s="1"/>
  <c r="AL61" i="64"/>
  <c r="AL75" i="11"/>
  <c r="AL56" i="11"/>
  <c r="AL57" i="11" s="1"/>
  <c r="AL1246" i="4"/>
  <c r="AL1222" i="4"/>
  <c r="AL1223" i="4" s="1"/>
  <c r="AL1014" i="4"/>
  <c r="AM1011" i="4" s="1"/>
  <c r="AL66" i="64" l="1"/>
  <c r="AL40" i="64" s="1"/>
  <c r="AL42" i="64" s="1"/>
  <c r="AL69" i="64"/>
  <c r="AL74" i="64" s="1"/>
  <c r="AL77" i="64"/>
  <c r="AL82" i="64" s="1"/>
  <c r="AL68" i="62"/>
  <c r="AL1236" i="4"/>
  <c r="AL1394" i="4"/>
  <c r="AL1206" i="4"/>
  <c r="AL1116" i="4" l="1"/>
  <c r="AL1117" i="4" s="1"/>
  <c r="AL1119" i="4" s="1"/>
  <c r="AL1121" i="4" s="1"/>
  <c r="AL1087" i="4" s="1"/>
  <c r="AL52" i="64"/>
  <c r="AL49" i="64"/>
  <c r="AL1137" i="4" l="1"/>
  <c r="AL1088" i="4"/>
  <c r="AM1085" i="4" l="1"/>
  <c r="AM1130" i="4"/>
  <c r="AM1148" i="4" s="1"/>
  <c r="AL88" i="11"/>
  <c r="AL1347" i="4"/>
  <c r="AL1404" i="4"/>
  <c r="AL38" i="66"/>
  <c r="AL1247" i="4"/>
  <c r="AL1225" i="4"/>
  <c r="AL1226" i="4" s="1"/>
  <c r="AL1138" i="4"/>
  <c r="AL1438" i="4" l="1"/>
  <c r="AM1135" i="4"/>
  <c r="AL1428" i="4"/>
  <c r="AL1412" i="4"/>
  <c r="AL1413" i="4" s="1"/>
  <c r="AL31" i="11"/>
  <c r="AL1204" i="4"/>
  <c r="AL1194" i="4"/>
  <c r="AM1086" i="4"/>
  <c r="AL30" i="11" l="1"/>
  <c r="AL45" i="62"/>
  <c r="AL1418" i="4"/>
  <c r="AL1416" i="4"/>
  <c r="AM1415" i="4"/>
  <c r="AM1136" i="4"/>
  <c r="AM1129" i="4"/>
  <c r="AM1147" i="4" s="1"/>
  <c r="AM1149" i="4" s="1"/>
  <c r="AM1125" i="4"/>
  <c r="AM1101" i="4"/>
  <c r="AL1197" i="4"/>
  <c r="AL1198" i="4" s="1"/>
  <c r="AL1188" i="4" s="1"/>
  <c r="AL1175" i="4"/>
  <c r="AL1419" i="4" l="1"/>
  <c r="AL1184" i="4"/>
  <c r="AL1191" i="4" s="1"/>
  <c r="AL1180" i="4"/>
  <c r="AM1112" i="4"/>
  <c r="AM1141" i="4" s="1"/>
  <c r="AM1102" i="4"/>
  <c r="AM1103" i="4"/>
  <c r="AL1189" i="4"/>
  <c r="AL1187" i="4"/>
  <c r="AL1176" i="4" s="1"/>
  <c r="AM37" i="66"/>
  <c r="AM72" i="11"/>
  <c r="AM999" i="4"/>
  <c r="AM1249" i="4"/>
  <c r="AM50" i="11"/>
  <c r="AM1045" i="4"/>
  <c r="AM1218" i="4"/>
  <c r="AM297" i="4"/>
  <c r="AM305" i="4" s="1"/>
  <c r="AM330" i="4" s="1"/>
  <c r="R72" i="67"/>
  <c r="AM1259" i="4"/>
  <c r="AM1233" i="4"/>
  <c r="AM87" i="11"/>
  <c r="AM1346" i="4"/>
  <c r="AM18" i="66"/>
  <c r="R87" i="67"/>
  <c r="AL1227" i="4" l="1"/>
  <c r="AL1250" i="4"/>
  <c r="AL74" i="11"/>
  <c r="AL78" i="11" s="1"/>
  <c r="AL1195" i="4"/>
  <c r="AL1199" i="4" s="1"/>
  <c r="AL1177" i="4" s="1"/>
  <c r="AL36" i="66"/>
  <c r="AL1309" i="4"/>
  <c r="AM49" i="11"/>
  <c r="R50" i="67"/>
  <c r="AM1091" i="4"/>
  <c r="AM1092" i="4"/>
  <c r="AM1104" i="4"/>
  <c r="AM1143" i="4"/>
  <c r="AM997" i="4"/>
  <c r="AM1142" i="4"/>
  <c r="AM294" i="4" s="1"/>
  <c r="AL1261" i="4"/>
  <c r="AL86" i="11"/>
  <c r="AL19" i="66"/>
  <c r="AL17" i="66" s="1"/>
  <c r="AL1232" i="4"/>
  <c r="AL1403" i="4"/>
  <c r="AN479" i="4"/>
  <c r="AN457" i="4"/>
  <c r="AM467" i="4"/>
  <c r="AM469" i="4" s="1"/>
  <c r="AM470" i="4" s="1"/>
  <c r="AM471" i="4" s="1"/>
  <c r="AM472" i="4" s="1"/>
  <c r="AN466" i="4" s="1"/>
  <c r="AN468" i="4"/>
  <c r="AM456" i="4"/>
  <c r="AM458" i="4" s="1"/>
  <c r="AM459" i="4" s="1"/>
  <c r="AM478" i="4"/>
  <c r="AM480" i="4" s="1"/>
  <c r="AM481" i="4" s="1"/>
  <c r="AM482" i="4" s="1"/>
  <c r="AM483" i="4" s="1"/>
  <c r="AN477" i="4" s="1"/>
  <c r="AN495" i="4" l="1"/>
  <c r="AN995" i="4" s="1"/>
  <c r="AM299" i="4"/>
  <c r="AM302" i="4"/>
  <c r="AL1406" i="4"/>
  <c r="AM53" i="11"/>
  <c r="AM52" i="11" s="1"/>
  <c r="R53" i="67"/>
  <c r="AM1120" i="4"/>
  <c r="AM1113" i="4"/>
  <c r="AM1144" i="4" s="1"/>
  <c r="AL1228" i="4"/>
  <c r="AL1205" i="4" s="1"/>
  <c r="AL1251" i="4"/>
  <c r="AL39" i="66"/>
  <c r="AL35" i="66" s="1"/>
  <c r="AL89" i="11"/>
  <c r="AL1344" i="4"/>
  <c r="AL1308" i="4"/>
  <c r="AL1311" i="4" s="1"/>
  <c r="AM460" i="4"/>
  <c r="AM461" i="4" s="1"/>
  <c r="AN455" i="4" s="1"/>
  <c r="AM494" i="4"/>
  <c r="AM994" i="4" s="1"/>
  <c r="AM1093" i="4"/>
  <c r="AM1111" i="4" s="1"/>
  <c r="R49" i="67"/>
  <c r="AL1178" i="4"/>
  <c r="AL1313" i="4" l="1"/>
  <c r="AL1325" i="4"/>
  <c r="R52" i="67"/>
  <c r="AL1207" i="4"/>
  <c r="AL1209" i="4" s="1"/>
  <c r="AL27" i="11"/>
  <c r="AM1173" i="4"/>
  <c r="AL1429" i="4"/>
  <c r="AM307" i="4"/>
  <c r="AM331" i="4"/>
  <c r="AL1348" i="4"/>
  <c r="AM1044" i="4"/>
  <c r="AM1067" i="4" s="1"/>
  <c r="AM73" i="11"/>
  <c r="AM1248" i="4"/>
  <c r="AM1224" i="4"/>
  <c r="R73" i="67"/>
  <c r="R23" i="13"/>
  <c r="AM332" i="4" l="1"/>
  <c r="AM14" i="11" s="1"/>
  <c r="AL1208" i="4"/>
  <c r="AL1363" i="4"/>
  <c r="AL48" i="62"/>
  <c r="AL24" i="62" s="1"/>
  <c r="AL26" i="62" s="1"/>
  <c r="AL90" i="11"/>
  <c r="AL91" i="11" s="1"/>
  <c r="AL93" i="11" s="1"/>
  <c r="AL96" i="11" s="1"/>
  <c r="AL97" i="11" s="1"/>
  <c r="AL1229" i="4"/>
  <c r="AL1230" i="4" s="1"/>
  <c r="AL1234" i="4" s="1"/>
  <c r="AM1213" i="4" s="1"/>
  <c r="AL1252" i="4"/>
  <c r="AL58" i="11"/>
  <c r="AL59" i="11" s="1"/>
  <c r="AL28" i="11" s="1"/>
  <c r="AL25" i="11" s="1"/>
  <c r="AL22" i="66"/>
  <c r="AM385" i="4"/>
  <c r="AM405" i="4"/>
  <c r="AM406" i="4" s="1"/>
  <c r="AM407" i="4" s="1"/>
  <c r="AM408" i="4" s="1"/>
  <c r="AM409" i="4" s="1"/>
  <c r="AN404" i="4" s="1"/>
  <c r="AM395" i="4"/>
  <c r="AM396" i="4" s="1"/>
  <c r="AM397" i="4" s="1"/>
  <c r="AM398" i="4" s="1"/>
  <c r="AM399" i="4" s="1"/>
  <c r="AN394" i="4" s="1"/>
  <c r="AL1430" i="4"/>
  <c r="AL1431" i="4" s="1"/>
  <c r="AL1432" i="4"/>
  <c r="AM1068" i="4"/>
  <c r="AM1158" i="4"/>
  <c r="AM1174" i="4" s="1"/>
  <c r="AM1157" i="4"/>
  <c r="AL1326" i="4"/>
  <c r="AL1327" i="4" s="1"/>
  <c r="R14" i="67" l="1"/>
  <c r="AM1051" i="4"/>
  <c r="AL101" i="67"/>
  <c r="AL100" i="67"/>
  <c r="AL44" i="66"/>
  <c r="AL40" i="66" s="1"/>
  <c r="AL46" i="66" s="1"/>
  <c r="AL101" i="11"/>
  <c r="AM95" i="11"/>
  <c r="AL1263" i="4"/>
  <c r="AL1264" i="4" s="1"/>
  <c r="AL1253" i="4"/>
  <c r="AL1254" i="4" s="1"/>
  <c r="AL24" i="66"/>
  <c r="AL20" i="66" s="1"/>
  <c r="AL26" i="66" s="1"/>
  <c r="AL21" i="11"/>
  <c r="AL17" i="11" s="1"/>
  <c r="AL46" i="62"/>
  <c r="AL1385" i="4"/>
  <c r="AL1384" i="4" s="1"/>
  <c r="AL100" i="11"/>
  <c r="AL37" i="11"/>
  <c r="AL1398" i="4"/>
  <c r="AL1393" i="4" s="1"/>
  <c r="AL1397" i="4"/>
  <c r="AL1392" i="4" s="1"/>
  <c r="AM500" i="4"/>
  <c r="AM489" i="4"/>
  <c r="AM386" i="4"/>
  <c r="AM387" i="4" s="1"/>
  <c r="AM1159" i="4"/>
  <c r="AM1164" i="4"/>
  <c r="AL1364" i="4"/>
  <c r="AL1365" i="4" s="1"/>
  <c r="AL48" i="66" l="1"/>
  <c r="AL1266" i="4"/>
  <c r="AL99" i="11"/>
  <c r="AM388" i="4"/>
  <c r="AM389" i="4" s="1"/>
  <c r="AN384" i="4" s="1"/>
  <c r="AM490" i="4"/>
  <c r="AM491" i="4" s="1"/>
  <c r="AM501" i="4"/>
  <c r="AM502" i="4" s="1"/>
  <c r="AL1386" i="4"/>
  <c r="AL1383" i="4" s="1"/>
  <c r="AL23" i="11"/>
  <c r="AL39" i="11" s="1"/>
  <c r="AL40" i="11" s="1"/>
  <c r="AM42" i="62"/>
  <c r="AM85" i="11"/>
  <c r="AM1231" i="4"/>
  <c r="AM1260" i="4"/>
  <c r="AM1167" i="4"/>
  <c r="AM1168" i="4" s="1"/>
  <c r="R85" i="67"/>
  <c r="AM52" i="62" l="1"/>
  <c r="AM43" i="62"/>
  <c r="AM23" i="62" s="1"/>
  <c r="AM16" i="66" s="1"/>
  <c r="AM14" i="66" s="1"/>
  <c r="AM13" i="66" s="1"/>
  <c r="AL1439" i="4"/>
  <c r="AL1440" i="4" s="1"/>
  <c r="AL1396" i="4"/>
  <c r="AL1391" i="4" s="1"/>
  <c r="AM15" i="11"/>
  <c r="AM13" i="11" s="1"/>
  <c r="AN488" i="4"/>
  <c r="R15" i="67"/>
  <c r="R13" i="67" s="1"/>
  <c r="AM1024" i="4"/>
  <c r="AM1026" i="4" s="1"/>
  <c r="AM1027" i="4" s="1"/>
  <c r="AM1028" i="4" s="1"/>
  <c r="AN499" i="4"/>
  <c r="AN1023" i="4" s="1"/>
  <c r="R26" i="67"/>
  <c r="AN1163" i="4"/>
  <c r="AM26" i="11"/>
  <c r="AM51" i="11"/>
  <c r="AM64" i="62"/>
  <c r="R51" i="67"/>
  <c r="AM907" i="4" l="1"/>
  <c r="AM911" i="4" s="1"/>
  <c r="AM62" i="64"/>
  <c r="AM78" i="64" l="1"/>
  <c r="AM70" i="64"/>
  <c r="AM1217" i="4"/>
  <c r="AM1221" i="4" s="1"/>
  <c r="AM915" i="4"/>
  <c r="AM1043" i="4"/>
  <c r="AM71" i="11"/>
  <c r="AM1243" i="4"/>
  <c r="R40" i="13"/>
  <c r="R71" i="67"/>
  <c r="AM996" i="4" l="1"/>
  <c r="AM1000" i="4" s="1"/>
  <c r="AM1004" i="4" s="1"/>
  <c r="AM47" i="11"/>
  <c r="R47" i="67"/>
  <c r="R20" i="72"/>
  <c r="R48" i="67" l="1"/>
  <c r="R61" i="67"/>
  <c r="R62" i="67"/>
  <c r="AM1005" i="4"/>
  <c r="AM1012" i="4"/>
  <c r="AM61" i="11"/>
  <c r="AM48" i="11"/>
  <c r="AM55" i="11" s="1"/>
  <c r="AM62" i="11"/>
  <c r="AM63" i="11" l="1"/>
  <c r="R1449" i="4"/>
  <c r="AM1016" i="4"/>
  <c r="AM1013" i="4" s="1"/>
  <c r="AM1014" i="4" s="1"/>
  <c r="AN1011" i="4" s="1"/>
  <c r="R64" i="67"/>
  <c r="R63" i="67"/>
  <c r="AM62" i="62"/>
  <c r="AM64" i="11"/>
  <c r="AM1395" i="4"/>
  <c r="R55" i="67"/>
  <c r="AM1006" i="4" l="1"/>
  <c r="AM1007" i="4" s="1"/>
  <c r="AM63" i="62" s="1"/>
  <c r="AM67" i="62" s="1"/>
  <c r="AM68" i="62" s="1"/>
  <c r="R41" i="13" l="1"/>
  <c r="R43" i="13" s="1"/>
  <c r="R75" i="67"/>
  <c r="R56" i="67"/>
  <c r="R57" i="67" s="1"/>
  <c r="AM61" i="64"/>
  <c r="AM66" i="64" s="1"/>
  <c r="AM40" i="64" s="1"/>
  <c r="AM42" i="64" s="1"/>
  <c r="AM1246" i="4"/>
  <c r="AM1222" i="4"/>
  <c r="AM1223" i="4" s="1"/>
  <c r="AM1236" i="4" s="1"/>
  <c r="AM56" i="11"/>
  <c r="AM57" i="11" s="1"/>
  <c r="AM1394" i="4" s="1"/>
  <c r="AM1046" i="4"/>
  <c r="AM1053" i="4" s="1"/>
  <c r="AM1055" i="4" s="1"/>
  <c r="AM1058" i="4" s="1"/>
  <c r="AM75" i="11"/>
  <c r="AM69" i="64" l="1"/>
  <c r="AM74" i="64" s="1"/>
  <c r="AM77" i="64"/>
  <c r="AM82" i="64" s="1"/>
  <c r="AM1206" i="4"/>
  <c r="AM1116" i="4"/>
  <c r="AM1117" i="4" s="1"/>
  <c r="AM1119" i="4" s="1"/>
  <c r="AM1121" i="4" s="1"/>
  <c r="AM1087" i="4" s="1"/>
  <c r="AM49" i="64"/>
  <c r="AM52" i="64"/>
  <c r="AM1137" i="4" l="1"/>
  <c r="AM1088" i="4"/>
  <c r="AN1085" i="4" l="1"/>
  <c r="AN1130" i="4"/>
  <c r="AN1148" i="4" s="1"/>
  <c r="AM88" i="11"/>
  <c r="AM1247" i="4"/>
  <c r="AM1225" i="4"/>
  <c r="AM1226" i="4" s="1"/>
  <c r="AM1347" i="4"/>
  <c r="AM1404" i="4"/>
  <c r="AM38" i="66"/>
  <c r="R24" i="13"/>
  <c r="R88" i="67"/>
  <c r="AM1138" i="4"/>
  <c r="AM1204" i="4" l="1"/>
  <c r="AM1194" i="4"/>
  <c r="R1448" i="4"/>
  <c r="R1452" i="4" s="1"/>
  <c r="AM1428" i="4"/>
  <c r="R31" i="67"/>
  <c r="R30" i="67" s="1"/>
  <c r="AN1135" i="4"/>
  <c r="AM31" i="11"/>
  <c r="AM1412" i="4"/>
  <c r="AM1413" i="4" s="1"/>
  <c r="AM1438" i="4"/>
  <c r="AN1086" i="4"/>
  <c r="AN1415" i="4" l="1"/>
  <c r="AM45" i="62"/>
  <c r="AM30" i="11"/>
  <c r="AM1197" i="4"/>
  <c r="AM1198" i="4" s="1"/>
  <c r="AM1188" i="4" s="1"/>
  <c r="AM1175" i="4"/>
  <c r="AN1101" i="4"/>
  <c r="AN1129" i="4"/>
  <c r="AN1147" i="4" s="1"/>
  <c r="AN1149" i="4" s="1"/>
  <c r="AN1136" i="4"/>
  <c r="AN1125" i="4"/>
  <c r="AM1418" i="4"/>
  <c r="AM1416" i="4"/>
  <c r="AM1419" i="4" l="1"/>
  <c r="AN18" i="66"/>
  <c r="AN1233" i="4"/>
  <c r="AN1346" i="4"/>
  <c r="AN87" i="11"/>
  <c r="AN1259" i="4"/>
  <c r="AN72" i="11"/>
  <c r="AN1249" i="4"/>
  <c r="AN999" i="4"/>
  <c r="AN297" i="4"/>
  <c r="AN305" i="4" s="1"/>
  <c r="AN330" i="4" s="1"/>
  <c r="AN37" i="66"/>
  <c r="AN1218" i="4"/>
  <c r="AN1045" i="4"/>
  <c r="AN50" i="11"/>
  <c r="AN1103" i="4"/>
  <c r="AN1102" i="4"/>
  <c r="AN1112" i="4"/>
  <c r="AN1141" i="4" s="1"/>
  <c r="AM1180" i="4"/>
  <c r="AM1184" i="4"/>
  <c r="AM1191" i="4" s="1"/>
  <c r="AM1189" i="4"/>
  <c r="AM1187" i="4"/>
  <c r="AM1176" i="4" s="1"/>
  <c r="AN1104" i="4" l="1"/>
  <c r="AN1113" i="4" s="1"/>
  <c r="AN1144" i="4" s="1"/>
  <c r="AN49" i="11"/>
  <c r="AM19" i="66"/>
  <c r="AM17" i="66" s="1"/>
  <c r="R19" i="72" s="1"/>
  <c r="AM1232" i="4"/>
  <c r="AM86" i="11"/>
  <c r="AM1261" i="4"/>
  <c r="R86" i="67"/>
  <c r="AM1403" i="4"/>
  <c r="AO479" i="4"/>
  <c r="AO468" i="4"/>
  <c r="AN478" i="4"/>
  <c r="AN480" i="4" s="1"/>
  <c r="AN481" i="4" s="1"/>
  <c r="AN482" i="4" s="1"/>
  <c r="AN483" i="4" s="1"/>
  <c r="AO477" i="4" s="1"/>
  <c r="AN467" i="4"/>
  <c r="AN469" i="4" s="1"/>
  <c r="AN470" i="4" s="1"/>
  <c r="AN471" i="4" s="1"/>
  <c r="AN472" i="4" s="1"/>
  <c r="AO466" i="4" s="1"/>
  <c r="AN456" i="4"/>
  <c r="AN458" i="4" s="1"/>
  <c r="AN459" i="4" s="1"/>
  <c r="AO457" i="4"/>
  <c r="AN1143" i="4"/>
  <c r="AN997" i="4"/>
  <c r="AN1142" i="4"/>
  <c r="AN294" i="4" s="1"/>
  <c r="AN1091" i="4"/>
  <c r="AN1092" i="4"/>
  <c r="AM1227" i="4"/>
  <c r="AM1250" i="4"/>
  <c r="AM74" i="11"/>
  <c r="AM78" i="11" s="1"/>
  <c r="AM1195" i="4"/>
  <c r="AM1199" i="4" s="1"/>
  <c r="AM1177" i="4" s="1"/>
  <c r="R74" i="67"/>
  <c r="R78" i="67" s="1"/>
  <c r="AM1309" i="4"/>
  <c r="AM36" i="66"/>
  <c r="AN1120" i="4" l="1"/>
  <c r="AO495" i="4"/>
  <c r="AO995" i="4" s="1"/>
  <c r="AM39" i="66"/>
  <c r="AM35" i="66" s="1"/>
  <c r="AM89" i="11"/>
  <c r="AM1228" i="4"/>
  <c r="AM1205" i="4" s="1"/>
  <c r="AM1251" i="4"/>
  <c r="R89" i="67"/>
  <c r="AN53" i="11"/>
  <c r="AN52" i="11" s="1"/>
  <c r="AN299" i="4"/>
  <c r="AN302" i="4"/>
  <c r="AM1344" i="4"/>
  <c r="AM1308" i="4"/>
  <c r="AM1311" i="4" s="1"/>
  <c r="AN73" i="11"/>
  <c r="AN1224" i="4"/>
  <c r="AN1044" i="4"/>
  <c r="AN1067" i="4" s="1"/>
  <c r="AN1248" i="4"/>
  <c r="AN1093" i="4"/>
  <c r="AN1111" i="4" s="1"/>
  <c r="AN460" i="4"/>
  <c r="AN461" i="4" s="1"/>
  <c r="AO455" i="4" s="1"/>
  <c r="AN494" i="4"/>
  <c r="AN994" i="4" s="1"/>
  <c r="R25" i="13"/>
  <c r="AM1406" i="4"/>
  <c r="AM1178" i="4"/>
  <c r="AN1157" i="4" l="1"/>
  <c r="AN1158" i="4"/>
  <c r="AN1174" i="4" s="1"/>
  <c r="AN1068" i="4"/>
  <c r="AN1173" i="4"/>
  <c r="R27" i="67"/>
  <c r="AM27" i="11"/>
  <c r="AM1429" i="4"/>
  <c r="AM1313" i="4"/>
  <c r="R14" i="72"/>
  <c r="AM1325" i="4"/>
  <c r="AM1207" i="4"/>
  <c r="AM1209" i="4" s="1"/>
  <c r="AM1348" i="4"/>
  <c r="R13" i="13"/>
  <c r="AN331" i="4"/>
  <c r="AN307" i="4"/>
  <c r="AM1208" i="4" l="1"/>
  <c r="AM90" i="11"/>
  <c r="AM91" i="11" s="1"/>
  <c r="AM93" i="11" s="1"/>
  <c r="AM96" i="11" s="1"/>
  <c r="AM97" i="11" s="1"/>
  <c r="AM1229" i="4"/>
  <c r="AM1230" i="4" s="1"/>
  <c r="AM1234" i="4" s="1"/>
  <c r="AN1213" i="4" s="1"/>
  <c r="AM1252" i="4"/>
  <c r="AM58" i="11"/>
  <c r="AM59" i="11" s="1"/>
  <c r="AM28" i="11" s="1"/>
  <c r="AM48" i="62"/>
  <c r="AM24" i="62" s="1"/>
  <c r="AM26" i="62" s="1"/>
  <c r="R90" i="67"/>
  <c r="R91" i="67" s="1"/>
  <c r="R93" i="67" s="1"/>
  <c r="R96" i="67" s="1"/>
  <c r="R97" i="67" s="1"/>
  <c r="R58" i="67"/>
  <c r="R59" i="67" s="1"/>
  <c r="AM22" i="66"/>
  <c r="AN332" i="4"/>
  <c r="AN14" i="11" s="1"/>
  <c r="AM1326" i="4"/>
  <c r="AM1327" i="4" s="1"/>
  <c r="AN405" i="4"/>
  <c r="AN406" i="4" s="1"/>
  <c r="AN407" i="4" s="1"/>
  <c r="AN408" i="4" s="1"/>
  <c r="AN409" i="4" s="1"/>
  <c r="AO404" i="4" s="1"/>
  <c r="AN385" i="4"/>
  <c r="AN395" i="4"/>
  <c r="AN396" i="4" s="1"/>
  <c r="AN397" i="4" s="1"/>
  <c r="AN398" i="4" s="1"/>
  <c r="AN399" i="4" s="1"/>
  <c r="AO394" i="4" s="1"/>
  <c r="R15" i="72"/>
  <c r="AM1363" i="4"/>
  <c r="AM1364" i="4" s="1"/>
  <c r="AM1365" i="4" s="1"/>
  <c r="AM1430" i="4"/>
  <c r="AM1431" i="4" s="1"/>
  <c r="AM1432" i="4"/>
  <c r="AN1164" i="4"/>
  <c r="AN1159" i="4"/>
  <c r="S95" i="67" l="1"/>
  <c r="AN42" i="62"/>
  <c r="AN1260" i="4"/>
  <c r="AN85" i="11"/>
  <c r="AN1231" i="4"/>
  <c r="AN1167" i="4"/>
  <c r="AN1168" i="4" s="1"/>
  <c r="AM25" i="11"/>
  <c r="R28" i="67"/>
  <c r="R25" i="67" s="1"/>
  <c r="R37" i="67" s="1"/>
  <c r="AN1051" i="4"/>
  <c r="AN500" i="4"/>
  <c r="AN489" i="4"/>
  <c r="AN386" i="4"/>
  <c r="AN387" i="4" s="1"/>
  <c r="R21" i="67"/>
  <c r="R17" i="67" s="1"/>
  <c r="R23" i="67" s="1"/>
  <c r="AM1253" i="4"/>
  <c r="AM1254" i="4" s="1"/>
  <c r="AN95" i="11"/>
  <c r="R1450" i="4"/>
  <c r="R1457" i="4" s="1"/>
  <c r="AM44" i="66"/>
  <c r="AM40" i="66" s="1"/>
  <c r="AM46" i="66" s="1"/>
  <c r="AM21" i="11"/>
  <c r="AM17" i="11" s="1"/>
  <c r="AM101" i="67"/>
  <c r="AM100" i="11"/>
  <c r="AM1263" i="4"/>
  <c r="AM1264" i="4" s="1"/>
  <c r="AM24" i="66"/>
  <c r="AM20" i="66" s="1"/>
  <c r="AM26" i="66" s="1"/>
  <c r="AM46" i="62"/>
  <c r="AM101" i="11"/>
  <c r="AM1385" i="4"/>
  <c r="AM1384" i="4" s="1"/>
  <c r="AM100" i="67"/>
  <c r="AM99" i="11" l="1"/>
  <c r="R39" i="67"/>
  <c r="R40" i="67" s="1"/>
  <c r="AN388" i="4"/>
  <c r="AN389" i="4" s="1"/>
  <c r="AO384" i="4" s="1"/>
  <c r="AN501" i="4"/>
  <c r="AN502" i="4" s="1"/>
  <c r="AN490" i="4"/>
  <c r="AN491" i="4" s="1"/>
  <c r="AN26" i="11"/>
  <c r="AO1163" i="4"/>
  <c r="AM1386" i="4"/>
  <c r="AM1383" i="4" s="1"/>
  <c r="AM23" i="11"/>
  <c r="AM48" i="66"/>
  <c r="AN52" i="62"/>
  <c r="AN43" i="62"/>
  <c r="AN23" i="62" s="1"/>
  <c r="AN16" i="66" s="1"/>
  <c r="AN14" i="66" s="1"/>
  <c r="AN13" i="66" s="1"/>
  <c r="AM1266" i="4"/>
  <c r="R99" i="67"/>
  <c r="AM37" i="11"/>
  <c r="AM1398" i="4"/>
  <c r="AM1393" i="4" s="1"/>
  <c r="AM1397" i="4"/>
  <c r="AM1392" i="4" s="1"/>
  <c r="AO488" i="4" l="1"/>
  <c r="AN15" i="11"/>
  <c r="AN13" i="11" s="1"/>
  <c r="AN51" i="11"/>
  <c r="AN64" i="62"/>
  <c r="AO499" i="4"/>
  <c r="AO1023" i="4" s="1"/>
  <c r="AN1024" i="4"/>
  <c r="AN1026" i="4" s="1"/>
  <c r="AN1027" i="4" s="1"/>
  <c r="AN1028" i="4" s="1"/>
  <c r="AM39" i="11"/>
  <c r="AM40" i="11" s="1"/>
  <c r="AM1439" i="4"/>
  <c r="AM1440" i="4" s="1"/>
  <c r="AM1396" i="4"/>
  <c r="AM1391" i="4" s="1"/>
  <c r="AN907" i="4" l="1"/>
  <c r="AN911" i="4" s="1"/>
  <c r="AN62" i="64"/>
  <c r="AN1043" i="4" l="1"/>
  <c r="AN1217" i="4"/>
  <c r="AN1221" i="4" s="1"/>
  <c r="AN915" i="4"/>
  <c r="AN71" i="11"/>
  <c r="AN1243" i="4"/>
  <c r="AN78" i="64"/>
  <c r="AN70" i="64"/>
  <c r="AN47" i="11" l="1"/>
  <c r="AN996" i="4"/>
  <c r="AN1000" i="4" s="1"/>
  <c r="AN1004" i="4" s="1"/>
  <c r="AN1005" i="4" l="1"/>
  <c r="AN1012" i="4"/>
  <c r="AN62" i="11"/>
  <c r="AN61" i="11"/>
  <c r="AN48" i="11"/>
  <c r="AN55" i="11" s="1"/>
  <c r="AN63" i="11" l="1"/>
  <c r="AN62" i="62"/>
  <c r="AN64" i="11"/>
  <c r="AN1395" i="4"/>
  <c r="AN1016" i="4"/>
  <c r="AN1013" i="4" s="1"/>
  <c r="AN1014" i="4" s="1"/>
  <c r="AO1011" i="4" s="1"/>
  <c r="AN1006" i="4" l="1"/>
  <c r="AN1007" i="4" s="1"/>
  <c r="AN63" i="62" s="1"/>
  <c r="AN67" i="62" s="1"/>
  <c r="AN75" i="11" l="1"/>
  <c r="AN1222" i="4"/>
  <c r="AN1223" i="4" s="1"/>
  <c r="AN56" i="11"/>
  <c r="AN57" i="11" s="1"/>
  <c r="AN61" i="64"/>
  <c r="AN1046" i="4"/>
  <c r="AN1053" i="4" s="1"/>
  <c r="AN1055" i="4" s="1"/>
  <c r="AN1058" i="4" s="1"/>
  <c r="AN1246" i="4"/>
  <c r="AN68" i="62"/>
  <c r="AN69" i="64" l="1"/>
  <c r="AN74" i="64" s="1"/>
  <c r="AN66" i="64"/>
  <c r="AN40" i="64" s="1"/>
  <c r="AN42" i="64" s="1"/>
  <c r="AN77" i="64"/>
  <c r="AN82" i="64" s="1"/>
  <c r="AN1394" i="4"/>
  <c r="AN1206" i="4"/>
  <c r="AN1236" i="4"/>
  <c r="AN1116" i="4" l="1"/>
  <c r="AN1117" i="4" s="1"/>
  <c r="AN1119" i="4" s="1"/>
  <c r="AN1121" i="4" s="1"/>
  <c r="AN1087" i="4" s="1"/>
  <c r="AN49" i="64"/>
  <c r="AN52" i="64"/>
  <c r="AN1137" i="4" l="1"/>
  <c r="AN1088" i="4"/>
  <c r="AO1085" i="4" l="1"/>
  <c r="AO1130" i="4"/>
  <c r="AO1148" i="4" s="1"/>
  <c r="AN1247" i="4"/>
  <c r="AN38" i="66"/>
  <c r="AN88" i="11"/>
  <c r="AN1347" i="4"/>
  <c r="AN1225" i="4"/>
  <c r="AN1226" i="4" s="1"/>
  <c r="AN1404" i="4"/>
  <c r="AN1138" i="4"/>
  <c r="AN1194" i="4" l="1"/>
  <c r="AN1204" i="4"/>
  <c r="AN31" i="11"/>
  <c r="AN1428" i="4"/>
  <c r="AN1412" i="4"/>
  <c r="AN1413" i="4" s="1"/>
  <c r="AO1135" i="4"/>
  <c r="AN1438" i="4"/>
  <c r="AO1086" i="4"/>
  <c r="AN45" i="62" l="1"/>
  <c r="AN30" i="11"/>
  <c r="AO1415" i="4"/>
  <c r="AN1418" i="4"/>
  <c r="AN1416" i="4"/>
  <c r="AO1136" i="4"/>
  <c r="AO1129" i="4"/>
  <c r="AO1147" i="4" s="1"/>
  <c r="AO1149" i="4" s="1"/>
  <c r="AO1125" i="4"/>
  <c r="AO1101" i="4"/>
  <c r="AN1175" i="4"/>
  <c r="AN1197" i="4"/>
  <c r="AN1198" i="4" s="1"/>
  <c r="AN1188" i="4" s="1"/>
  <c r="AN1184" i="4" l="1"/>
  <c r="AN1191" i="4" s="1"/>
  <c r="AN1180" i="4"/>
  <c r="AO1102" i="4"/>
  <c r="AO1112" i="4"/>
  <c r="AO1141" i="4" s="1"/>
  <c r="AO1103" i="4"/>
  <c r="AN1189" i="4"/>
  <c r="AN1187" i="4"/>
  <c r="AN1176" i="4" s="1"/>
  <c r="AO1218" i="4"/>
  <c r="AO37" i="66"/>
  <c r="AO999" i="4"/>
  <c r="AO50" i="11"/>
  <c r="AO72" i="11"/>
  <c r="AO1045" i="4"/>
  <c r="AO1249" i="4"/>
  <c r="AO297" i="4"/>
  <c r="AO305" i="4" s="1"/>
  <c r="AO330" i="4" s="1"/>
  <c r="AO1259" i="4"/>
  <c r="AO87" i="11"/>
  <c r="AO1346" i="4"/>
  <c r="AO18" i="66"/>
  <c r="AO1233" i="4"/>
  <c r="AN1419" i="4"/>
  <c r="AN1195" i="4" l="1"/>
  <c r="AN1199" i="4" s="1"/>
  <c r="AN1177" i="4" s="1"/>
  <c r="AN1250" i="4"/>
  <c r="AN1227" i="4"/>
  <c r="AN74" i="11"/>
  <c r="AN78" i="11" s="1"/>
  <c r="AN1309" i="4"/>
  <c r="AN36" i="66"/>
  <c r="AO1091" i="4"/>
  <c r="AO1092" i="4"/>
  <c r="AO997" i="4"/>
  <c r="AO1143" i="4"/>
  <c r="AO1142" i="4"/>
  <c r="AO294" i="4" s="1"/>
  <c r="AO49" i="11"/>
  <c r="AO1104" i="4"/>
  <c r="AN19" i="66"/>
  <c r="AN17" i="66" s="1"/>
  <c r="AN1261" i="4"/>
  <c r="AN86" i="11"/>
  <c r="AN1232" i="4"/>
  <c r="AN1403" i="4"/>
  <c r="AP468" i="4"/>
  <c r="AO456" i="4"/>
  <c r="AO458" i="4" s="1"/>
  <c r="AO459" i="4" s="1"/>
  <c r="AP479" i="4"/>
  <c r="AP457" i="4"/>
  <c r="AO478" i="4"/>
  <c r="AO480" i="4" s="1"/>
  <c r="AO481" i="4" s="1"/>
  <c r="AO482" i="4" s="1"/>
  <c r="AO483" i="4" s="1"/>
  <c r="AP477" i="4" s="1"/>
  <c r="AO467" i="4"/>
  <c r="AO469" i="4" s="1"/>
  <c r="AO470" i="4" s="1"/>
  <c r="AO471" i="4" s="1"/>
  <c r="AO472" i="4" s="1"/>
  <c r="AP466" i="4" s="1"/>
  <c r="AO1093" i="4" l="1"/>
  <c r="AO1111" i="4" s="1"/>
  <c r="AN1406" i="4"/>
  <c r="AO299" i="4"/>
  <c r="AO302" i="4"/>
  <c r="AO53" i="11"/>
  <c r="AO52" i="11" s="1"/>
  <c r="AN1344" i="4"/>
  <c r="AN1308" i="4"/>
  <c r="AN1311" i="4" s="1"/>
  <c r="AO494" i="4"/>
  <c r="AO994" i="4" s="1"/>
  <c r="AO460" i="4"/>
  <c r="AO461" i="4" s="1"/>
  <c r="AP455" i="4" s="1"/>
  <c r="AO1120" i="4"/>
  <c r="AO1113" i="4"/>
  <c r="AO1144" i="4" s="1"/>
  <c r="AP495" i="4"/>
  <c r="AP995" i="4" s="1"/>
  <c r="AN39" i="66"/>
  <c r="AN35" i="66" s="1"/>
  <c r="AN1228" i="4"/>
  <c r="AN1205" i="4" s="1"/>
  <c r="AN89" i="11"/>
  <c r="AN1251" i="4"/>
  <c r="AN1178" i="4"/>
  <c r="AN1207" i="4" l="1"/>
  <c r="AN1209" i="4" s="1"/>
  <c r="AN1348" i="4"/>
  <c r="AO1044" i="4"/>
  <c r="AO1067" i="4" s="1"/>
  <c r="AO1248" i="4"/>
  <c r="AO73" i="11"/>
  <c r="AO1224" i="4"/>
  <c r="AO331" i="4"/>
  <c r="AO307" i="4"/>
  <c r="AO1173" i="4"/>
  <c r="AN27" i="11"/>
  <c r="AN1429" i="4"/>
  <c r="AN1313" i="4"/>
  <c r="AN1325" i="4"/>
  <c r="AO332" i="4" l="1"/>
  <c r="AO14" i="11" s="1"/>
  <c r="AN1208" i="4"/>
  <c r="AN1326" i="4"/>
  <c r="AN1327" i="4" s="1"/>
  <c r="AO395" i="4"/>
  <c r="AO396" i="4" s="1"/>
  <c r="AO397" i="4" s="1"/>
  <c r="AO398" i="4" s="1"/>
  <c r="AO399" i="4" s="1"/>
  <c r="AP394" i="4" s="1"/>
  <c r="AO385" i="4"/>
  <c r="AO405" i="4"/>
  <c r="AO406" i="4" s="1"/>
  <c r="AO407" i="4" s="1"/>
  <c r="AO408" i="4" s="1"/>
  <c r="AO409" i="4" s="1"/>
  <c r="AP404" i="4" s="1"/>
  <c r="AO1068" i="4"/>
  <c r="AO1157" i="4"/>
  <c r="AO1158" i="4"/>
  <c r="AO1174" i="4" s="1"/>
  <c r="AN1363" i="4"/>
  <c r="AN1432" i="4"/>
  <c r="AN1430" i="4"/>
  <c r="AN1431" i="4" s="1"/>
  <c r="AN1229" i="4"/>
  <c r="AN1230" i="4" s="1"/>
  <c r="AN1234" i="4" s="1"/>
  <c r="AO1213" i="4" s="1"/>
  <c r="AN1252" i="4"/>
  <c r="AN90" i="11"/>
  <c r="AN91" i="11" s="1"/>
  <c r="AN93" i="11" s="1"/>
  <c r="AN96" i="11" s="1"/>
  <c r="AN97" i="11" s="1"/>
  <c r="AN58" i="11"/>
  <c r="AN59" i="11" s="1"/>
  <c r="AN28" i="11" s="1"/>
  <c r="AN48" i="62"/>
  <c r="AN24" i="62" s="1"/>
  <c r="AN26" i="62" s="1"/>
  <c r="AN22" i="66"/>
  <c r="AO1051" i="4" l="1"/>
  <c r="AO500" i="4"/>
  <c r="AO489" i="4"/>
  <c r="AO386" i="4"/>
  <c r="AO387" i="4" s="1"/>
  <c r="AN1364" i="4"/>
  <c r="AN1365" i="4" s="1"/>
  <c r="AN46" i="62"/>
  <c r="AN101" i="11"/>
  <c r="AN1253" i="4"/>
  <c r="AN1254" i="4" s="1"/>
  <c r="AN1385" i="4"/>
  <c r="AN1384" i="4" s="1"/>
  <c r="AN24" i="66"/>
  <c r="AN20" i="66" s="1"/>
  <c r="AN26" i="66" s="1"/>
  <c r="AN21" i="11"/>
  <c r="AN17" i="11" s="1"/>
  <c r="AN101" i="67"/>
  <c r="AN1263" i="4"/>
  <c r="AN1264" i="4" s="1"/>
  <c r="AN100" i="67"/>
  <c r="AO95" i="11"/>
  <c r="AN100" i="11"/>
  <c r="AN44" i="66"/>
  <c r="AN40" i="66" s="1"/>
  <c r="AN46" i="66" s="1"/>
  <c r="AO1164" i="4"/>
  <c r="AO1159" i="4"/>
  <c r="AN25" i="11"/>
  <c r="AN48" i="66" l="1"/>
  <c r="AN99" i="11"/>
  <c r="AN1266" i="4"/>
  <c r="AO501" i="4"/>
  <c r="AO502" i="4" s="1"/>
  <c r="AO388" i="4"/>
  <c r="AO389" i="4" s="1"/>
  <c r="AP384" i="4" s="1"/>
  <c r="AO490" i="4"/>
  <c r="AO491" i="4" s="1"/>
  <c r="AN1398" i="4"/>
  <c r="AN1393" i="4" s="1"/>
  <c r="AN1397" i="4"/>
  <c r="AN1392" i="4" s="1"/>
  <c r="AN37" i="11"/>
  <c r="AN1386" i="4"/>
  <c r="AN1383" i="4" s="1"/>
  <c r="AN23" i="11"/>
  <c r="AO85" i="11"/>
  <c r="AO1260" i="4"/>
  <c r="AO1167" i="4"/>
  <c r="AO1168" i="4" s="1"/>
  <c r="AO1231" i="4"/>
  <c r="AO42" i="62"/>
  <c r="AN39" i="11" l="1"/>
  <c r="AN40" i="11" s="1"/>
  <c r="AP488" i="4"/>
  <c r="AO15" i="11"/>
  <c r="AO13" i="11" s="1"/>
  <c r="AO26" i="11"/>
  <c r="AP1163" i="4"/>
  <c r="AO52" i="62"/>
  <c r="AO43" i="62"/>
  <c r="AO23" i="62" s="1"/>
  <c r="AO16" i="66" s="1"/>
  <c r="AO14" i="66" s="1"/>
  <c r="AO13" i="66" s="1"/>
  <c r="AO64" i="62"/>
  <c r="AO51" i="11"/>
  <c r="AN1439" i="4"/>
  <c r="AN1440" i="4" s="1"/>
  <c r="AN1396" i="4"/>
  <c r="AN1391" i="4" s="1"/>
  <c r="AP499" i="4"/>
  <c r="AP1023" i="4" s="1"/>
  <c r="AO1024" i="4"/>
  <c r="AO1026" i="4" s="1"/>
  <c r="AO1027" i="4" s="1"/>
  <c r="AO1028" i="4" s="1"/>
  <c r="AO62" i="64" l="1"/>
  <c r="AO907" i="4"/>
  <c r="AO911" i="4" s="1"/>
  <c r="AO1217" i="4" l="1"/>
  <c r="AO1221" i="4" s="1"/>
  <c r="AO71" i="11"/>
  <c r="AO1243" i="4"/>
  <c r="AO1043" i="4"/>
  <c r="AO915" i="4"/>
  <c r="AO78" i="64"/>
  <c r="AO70" i="64"/>
  <c r="AO47" i="11" l="1"/>
  <c r="AO996" i="4"/>
  <c r="AO1000" i="4" s="1"/>
  <c r="AO1004" i="4" s="1"/>
  <c r="AO1005" i="4" l="1"/>
  <c r="AO1012" i="4"/>
  <c r="AO61" i="11"/>
  <c r="AO62" i="11"/>
  <c r="AO48" i="11"/>
  <c r="AO55" i="11" s="1"/>
  <c r="AO1395" i="4" l="1"/>
  <c r="AO62" i="62"/>
  <c r="AO64" i="11"/>
  <c r="AO63" i="11"/>
  <c r="AO1016" i="4"/>
  <c r="AO1013" i="4" s="1"/>
  <c r="AO1014" i="4" s="1"/>
  <c r="AP1011" i="4" s="1"/>
  <c r="AO1006" i="4" l="1"/>
  <c r="AO1007" i="4" s="1"/>
  <c r="AO63" i="62" l="1"/>
  <c r="AO67" i="62" s="1"/>
  <c r="AO1046" i="4"/>
  <c r="AO1053" i="4" s="1"/>
  <c r="AO1055" i="4" s="1"/>
  <c r="AO1058" i="4" s="1"/>
  <c r="AO56" i="11"/>
  <c r="AO57" i="11" s="1"/>
  <c r="AO61" i="64"/>
  <c r="AO75" i="11"/>
  <c r="AO1246" i="4"/>
  <c r="AO1222" i="4"/>
  <c r="AO1223" i="4" s="1"/>
  <c r="AO1236" i="4" l="1"/>
  <c r="AO66" i="64"/>
  <c r="AO40" i="64" s="1"/>
  <c r="AO42" i="64" s="1"/>
  <c r="AO77" i="64"/>
  <c r="AO82" i="64" s="1"/>
  <c r="AO69" i="64"/>
  <c r="AO74" i="64" s="1"/>
  <c r="AO1394" i="4"/>
  <c r="AO1206" i="4"/>
  <c r="AO68" i="62"/>
  <c r="AO49" i="64" l="1"/>
  <c r="AO52" i="64"/>
  <c r="AO1116" i="4"/>
  <c r="AO1117" i="4" s="1"/>
  <c r="AO1119" i="4" s="1"/>
  <c r="AO1121" i="4" s="1"/>
  <c r="AO1087" i="4" s="1"/>
  <c r="AO1137" i="4" l="1"/>
  <c r="AO1088" i="4"/>
  <c r="AP1085" i="4" l="1"/>
  <c r="AP1130" i="4"/>
  <c r="AP1148" i="4" s="1"/>
  <c r="AO1225" i="4"/>
  <c r="AO1226" i="4" s="1"/>
  <c r="AO88" i="11"/>
  <c r="AO38" i="66"/>
  <c r="AO1247" i="4"/>
  <c r="AO1404" i="4"/>
  <c r="AO1347" i="4"/>
  <c r="AO1138" i="4"/>
  <c r="AO1412" i="4" l="1"/>
  <c r="AO1413" i="4" s="1"/>
  <c r="AO31" i="11"/>
  <c r="AO1428" i="4"/>
  <c r="AP1135" i="4"/>
  <c r="AO1438" i="4"/>
  <c r="AO1194" i="4"/>
  <c r="AO1204" i="4"/>
  <c r="AP1086" i="4"/>
  <c r="AO1175" i="4" l="1"/>
  <c r="AO1197" i="4"/>
  <c r="AO1198" i="4" s="1"/>
  <c r="AO1188" i="4" s="1"/>
  <c r="AP1415" i="4"/>
  <c r="AO30" i="11"/>
  <c r="AO45" i="62"/>
  <c r="AP1136" i="4"/>
  <c r="AP1129" i="4"/>
  <c r="AP1147" i="4" s="1"/>
  <c r="AP1149" i="4" s="1"/>
  <c r="AP1125" i="4"/>
  <c r="AP1101" i="4"/>
  <c r="AO1418" i="4"/>
  <c r="AO1416" i="4"/>
  <c r="AO1419" i="4" l="1"/>
  <c r="AP1102" i="4"/>
  <c r="AP1112" i="4"/>
  <c r="AP1141" i="4" s="1"/>
  <c r="AP1103" i="4"/>
  <c r="AP297" i="4"/>
  <c r="AP305" i="4" s="1"/>
  <c r="AP330" i="4" s="1"/>
  <c r="AP1218" i="4"/>
  <c r="AP1249" i="4"/>
  <c r="AP37" i="66"/>
  <c r="AP1045" i="4"/>
  <c r="AP999" i="4"/>
  <c r="AP72" i="11"/>
  <c r="AP50" i="11"/>
  <c r="AO1189" i="4"/>
  <c r="AO1187" i="4"/>
  <c r="AO1176" i="4" s="1"/>
  <c r="AP1259" i="4"/>
  <c r="AP1346" i="4"/>
  <c r="AP1233" i="4"/>
  <c r="AP18" i="66"/>
  <c r="AP87" i="11"/>
  <c r="AO1180" i="4"/>
  <c r="AO1184" i="4"/>
  <c r="AO1191" i="4" s="1"/>
  <c r="AO1195" i="4" l="1"/>
  <c r="AO1199" i="4" s="1"/>
  <c r="AO1177" i="4" s="1"/>
  <c r="AO74" i="11"/>
  <c r="AO78" i="11" s="1"/>
  <c r="AO1250" i="4"/>
  <c r="AO1227" i="4"/>
  <c r="AO1309" i="4"/>
  <c r="AO36" i="66"/>
  <c r="AP467" i="4"/>
  <c r="AP469" i="4" s="1"/>
  <c r="AP470" i="4" s="1"/>
  <c r="AP471" i="4" s="1"/>
  <c r="AP472" i="4" s="1"/>
  <c r="AQ466" i="4" s="1"/>
  <c r="AQ479" i="4"/>
  <c r="AQ457" i="4"/>
  <c r="AP456" i="4"/>
  <c r="AP458" i="4" s="1"/>
  <c r="AP459" i="4" s="1"/>
  <c r="AP478" i="4"/>
  <c r="AP480" i="4" s="1"/>
  <c r="AP481" i="4" s="1"/>
  <c r="AP482" i="4" s="1"/>
  <c r="AP483" i="4" s="1"/>
  <c r="AQ477" i="4" s="1"/>
  <c r="AQ468" i="4"/>
  <c r="AP49" i="11"/>
  <c r="AP1092" i="4"/>
  <c r="AP1091" i="4"/>
  <c r="AP1143" i="4"/>
  <c r="AP997" i="4"/>
  <c r="AP1142" i="4"/>
  <c r="AP294" i="4" s="1"/>
  <c r="AP1104" i="4"/>
  <c r="AO86" i="11"/>
  <c r="AO1261" i="4"/>
  <c r="AO19" i="66"/>
  <c r="AO17" i="66" s="1"/>
  <c r="AO1232" i="4"/>
  <c r="AO1403" i="4"/>
  <c r="AP1093" i="4" l="1"/>
  <c r="AP1111" i="4" s="1"/>
  <c r="AP299" i="4"/>
  <c r="AP302" i="4"/>
  <c r="AO1406" i="4"/>
  <c r="AP53" i="11"/>
  <c r="AP52" i="11" s="1"/>
  <c r="AP460" i="4"/>
  <c r="AP461" i="4" s="1"/>
  <c r="AQ455" i="4" s="1"/>
  <c r="AP494" i="4"/>
  <c r="AP994" i="4" s="1"/>
  <c r="AQ495" i="4"/>
  <c r="AQ995" i="4" s="1"/>
  <c r="AO1308" i="4"/>
  <c r="AO1311" i="4" s="1"/>
  <c r="AO1344" i="4"/>
  <c r="AP1113" i="4"/>
  <c r="AP1144" i="4" s="1"/>
  <c r="AP1120" i="4"/>
  <c r="AO1228" i="4"/>
  <c r="AO1205" i="4" s="1"/>
  <c r="AO39" i="66"/>
  <c r="AO35" i="66" s="1"/>
  <c r="AO89" i="11"/>
  <c r="AO1251" i="4"/>
  <c r="AO1178" i="4"/>
  <c r="AO1207" i="4" l="1"/>
  <c r="AO1209" i="4" s="1"/>
  <c r="AP73" i="11"/>
  <c r="AP1248" i="4"/>
  <c r="AP1044" i="4"/>
  <c r="AP1067" i="4" s="1"/>
  <c r="AP1224" i="4"/>
  <c r="AP1173" i="4"/>
  <c r="AO27" i="11"/>
  <c r="AO1429" i="4"/>
  <c r="AO1348" i="4"/>
  <c r="AO1313" i="4"/>
  <c r="AO1325" i="4"/>
  <c r="AP307" i="4"/>
  <c r="AP331" i="4"/>
  <c r="AP332" i="4" l="1"/>
  <c r="AP14" i="11" s="1"/>
  <c r="AP405" i="4"/>
  <c r="AP406" i="4" s="1"/>
  <c r="AP407" i="4" s="1"/>
  <c r="AP408" i="4" s="1"/>
  <c r="AP409" i="4" s="1"/>
  <c r="AQ404" i="4" s="1"/>
  <c r="AP385" i="4"/>
  <c r="AP395" i="4"/>
  <c r="AP396" i="4" s="1"/>
  <c r="AP397" i="4" s="1"/>
  <c r="AP398" i="4" s="1"/>
  <c r="AP399" i="4" s="1"/>
  <c r="AQ394" i="4" s="1"/>
  <c r="AO1363" i="4"/>
  <c r="AO1430" i="4"/>
  <c r="AO1431" i="4" s="1"/>
  <c r="AO1432" i="4"/>
  <c r="AO1326" i="4"/>
  <c r="AO1327" i="4" s="1"/>
  <c r="AP1158" i="4"/>
  <c r="AP1174" i="4" s="1"/>
  <c r="AP1157" i="4"/>
  <c r="AP1068" i="4"/>
  <c r="AO1208" i="4"/>
  <c r="AO90" i="11"/>
  <c r="AO91" i="11" s="1"/>
  <c r="AO93" i="11" s="1"/>
  <c r="AO96" i="11" s="1"/>
  <c r="AO97" i="11" s="1"/>
  <c r="AO1252" i="4"/>
  <c r="AO48" i="62"/>
  <c r="AO24" i="62" s="1"/>
  <c r="AO26" i="62" s="1"/>
  <c r="AO1229" i="4"/>
  <c r="AO1230" i="4" s="1"/>
  <c r="AO1234" i="4" s="1"/>
  <c r="AP1213" i="4" s="1"/>
  <c r="AO58" i="11"/>
  <c r="AO59" i="11" s="1"/>
  <c r="AO28" i="11" s="1"/>
  <c r="AO25" i="11" s="1"/>
  <c r="AO22" i="66"/>
  <c r="AO37" i="11" l="1"/>
  <c r="AO1398" i="4"/>
  <c r="AO1393" i="4" s="1"/>
  <c r="AO1397" i="4"/>
  <c r="AO1392" i="4" s="1"/>
  <c r="AO46" i="62"/>
  <c r="AO1385" i="4"/>
  <c r="AO1384" i="4" s="1"/>
  <c r="AP95" i="11"/>
  <c r="AO44" i="66"/>
  <c r="AO40" i="66" s="1"/>
  <c r="AO46" i="66" s="1"/>
  <c r="AO101" i="67"/>
  <c r="AO1263" i="4"/>
  <c r="AO1264" i="4" s="1"/>
  <c r="AO100" i="67"/>
  <c r="AO100" i="11"/>
  <c r="AO1253" i="4"/>
  <c r="AO1254" i="4" s="1"/>
  <c r="AO21" i="11"/>
  <c r="AO17" i="11" s="1"/>
  <c r="AO24" i="66"/>
  <c r="AO20" i="66" s="1"/>
  <c r="AO26" i="66" s="1"/>
  <c r="AO101" i="11"/>
  <c r="AO1364" i="4"/>
  <c r="AO1365" i="4" s="1"/>
  <c r="AP1051" i="4"/>
  <c r="AP1159" i="4"/>
  <c r="AP1164" i="4"/>
  <c r="AP489" i="4"/>
  <c r="AP386" i="4"/>
  <c r="AP387" i="4" s="1"/>
  <c r="AP500" i="4"/>
  <c r="AO99" i="11" l="1"/>
  <c r="AO1266" i="4"/>
  <c r="AO48" i="66"/>
  <c r="AP85" i="11"/>
  <c r="AP1167" i="4"/>
  <c r="AP1168" i="4" s="1"/>
  <c r="AP1260" i="4"/>
  <c r="AP42" i="62"/>
  <c r="AP1231" i="4"/>
  <c r="AO1386" i="4"/>
  <c r="AO1383" i="4" s="1"/>
  <c r="AO23" i="11"/>
  <c r="AO39" i="11" s="1"/>
  <c r="AO40" i="11" s="1"/>
  <c r="AP388" i="4"/>
  <c r="AP389" i="4" s="1"/>
  <c r="AQ384" i="4" s="1"/>
  <c r="AP490" i="4"/>
  <c r="AP491" i="4" s="1"/>
  <c r="AP501" i="4"/>
  <c r="AP502" i="4" s="1"/>
  <c r="AP15" i="11" l="1"/>
  <c r="AP13" i="11" s="1"/>
  <c r="AQ488" i="4"/>
  <c r="AQ499" i="4"/>
  <c r="AQ1023" i="4" s="1"/>
  <c r="AP1024" i="4"/>
  <c r="AP1026" i="4" s="1"/>
  <c r="AP1027" i="4" s="1"/>
  <c r="AP1028" i="4" s="1"/>
  <c r="AP52" i="62"/>
  <c r="AP43" i="62"/>
  <c r="AP23" i="62" s="1"/>
  <c r="AP16" i="66" s="1"/>
  <c r="AP14" i="66" s="1"/>
  <c r="AP13" i="66" s="1"/>
  <c r="AP51" i="11"/>
  <c r="AP64" i="62"/>
  <c r="AP26" i="11"/>
  <c r="AQ1163" i="4"/>
  <c r="AO1439" i="4"/>
  <c r="AO1440" i="4" s="1"/>
  <c r="AO1396" i="4"/>
  <c r="AO1391" i="4" s="1"/>
  <c r="AP907" i="4" l="1"/>
  <c r="AP911" i="4" s="1"/>
  <c r="AP62" i="64"/>
  <c r="AP78" i="64" l="1"/>
  <c r="AP70" i="64"/>
  <c r="AP1217" i="4"/>
  <c r="AP1221" i="4" s="1"/>
  <c r="AP1243" i="4"/>
  <c r="AP1043" i="4"/>
  <c r="AP915" i="4"/>
  <c r="AP71" i="11"/>
  <c r="AP996" i="4" l="1"/>
  <c r="AP1000" i="4" s="1"/>
  <c r="AP1004" i="4" s="1"/>
  <c r="AP47" i="11"/>
  <c r="AP61" i="11" l="1"/>
  <c r="AP62" i="11"/>
  <c r="AP48" i="11"/>
  <c r="AP55" i="11" s="1"/>
  <c r="AP1005" i="4"/>
  <c r="AP1016" i="4" s="1"/>
  <c r="AP1013" i="4" s="1"/>
  <c r="AP1006" i="4" s="1"/>
  <c r="AP1007" i="4" s="1"/>
  <c r="AP1012" i="4"/>
  <c r="AP1014" i="4" l="1"/>
  <c r="AQ1011" i="4" s="1"/>
  <c r="AP56" i="11"/>
  <c r="AP57" i="11" s="1"/>
  <c r="AP75" i="11"/>
  <c r="AP1246" i="4"/>
  <c r="AP61" i="64"/>
  <c r="AP1222" i="4"/>
  <c r="AP1223" i="4" s="1"/>
  <c r="AP1046" i="4"/>
  <c r="AP1053" i="4" s="1"/>
  <c r="AP1055" i="4" s="1"/>
  <c r="AP1058" i="4" s="1"/>
  <c r="AP62" i="62"/>
  <c r="AP63" i="62" s="1"/>
  <c r="AP67" i="62" s="1"/>
  <c r="AP64" i="11"/>
  <c r="AP1395" i="4"/>
  <c r="AP63" i="11"/>
  <c r="AP1236" i="4" l="1"/>
  <c r="AP69" i="64"/>
  <c r="AP74" i="64" s="1"/>
  <c r="AP77" i="64"/>
  <c r="AP82" i="64" s="1"/>
  <c r="AP66" i="64"/>
  <c r="AP40" i="64" s="1"/>
  <c r="AP42" i="64" s="1"/>
  <c r="AP68" i="62"/>
  <c r="AP1394" i="4"/>
  <c r="AP1206" i="4"/>
  <c r="AP52" i="64" l="1"/>
  <c r="AP49" i="64"/>
  <c r="AP1116" i="4"/>
  <c r="AP1117" i="4" s="1"/>
  <c r="AP1119" i="4" s="1"/>
  <c r="AP1121" i="4" s="1"/>
  <c r="AP1087" i="4" s="1"/>
  <c r="AP1137" i="4" l="1"/>
  <c r="AP1088" i="4"/>
  <c r="AQ1085" i="4" l="1"/>
  <c r="AQ1130" i="4"/>
  <c r="AQ1148" i="4" s="1"/>
  <c r="AP1404" i="4"/>
  <c r="AP1225" i="4"/>
  <c r="AP1226" i="4" s="1"/>
  <c r="AP38" i="66"/>
  <c r="AP1347" i="4"/>
  <c r="AP1247" i="4"/>
  <c r="AP88" i="11"/>
  <c r="AP1138" i="4"/>
  <c r="AP1204" i="4" l="1"/>
  <c r="AP1194" i="4"/>
  <c r="AQ1135" i="4"/>
  <c r="AP1438" i="4"/>
  <c r="AP1428" i="4"/>
  <c r="AP31" i="11"/>
  <c r="AP1412" i="4"/>
  <c r="AP1413" i="4" s="1"/>
  <c r="AQ1086" i="4"/>
  <c r="AP30" i="11" l="1"/>
  <c r="AP45" i="62"/>
  <c r="AP1418" i="4"/>
  <c r="AP1416" i="4"/>
  <c r="AQ1415" i="4"/>
  <c r="AP1197" i="4"/>
  <c r="AP1198" i="4" s="1"/>
  <c r="AP1188" i="4" s="1"/>
  <c r="AP1175" i="4"/>
  <c r="AQ1129" i="4"/>
  <c r="AQ1147" i="4" s="1"/>
  <c r="AQ1149" i="4" s="1"/>
  <c r="AQ1136" i="4"/>
  <c r="AQ1125" i="4"/>
  <c r="AQ1101" i="4"/>
  <c r="AP1419" i="4" l="1"/>
  <c r="AQ1103" i="4"/>
  <c r="AQ1102" i="4"/>
  <c r="AQ1112" i="4"/>
  <c r="AQ1141" i="4" s="1"/>
  <c r="AQ18" i="66"/>
  <c r="AQ1259" i="4"/>
  <c r="AQ1346" i="4"/>
  <c r="AQ87" i="11"/>
  <c r="AQ1233" i="4"/>
  <c r="S87" i="67"/>
  <c r="AQ1045" i="4"/>
  <c r="AQ1218" i="4"/>
  <c r="AQ297" i="4"/>
  <c r="AQ305" i="4" s="1"/>
  <c r="AQ330" i="4" s="1"/>
  <c r="AQ72" i="11"/>
  <c r="AQ50" i="11"/>
  <c r="AQ999" i="4"/>
  <c r="AQ1249" i="4"/>
  <c r="AQ37" i="66"/>
  <c r="S72" i="67"/>
  <c r="AP1180" i="4"/>
  <c r="AP1184" i="4"/>
  <c r="AP1191" i="4" s="1"/>
  <c r="AP1187" i="4"/>
  <c r="AP1176" i="4" s="1"/>
  <c r="AP1189" i="4"/>
  <c r="AQ1104" i="4" l="1"/>
  <c r="AQ1113" i="4" s="1"/>
  <c r="AQ1144" i="4" s="1"/>
  <c r="AQ49" i="11"/>
  <c r="S50" i="67"/>
  <c r="AP1232" i="4"/>
  <c r="AP1261" i="4"/>
  <c r="AP86" i="11"/>
  <c r="AP19" i="66"/>
  <c r="AP17" i="66" s="1"/>
  <c r="AP1403" i="4"/>
  <c r="AR457" i="4"/>
  <c r="AR479" i="4"/>
  <c r="AQ456" i="4"/>
  <c r="AQ458" i="4" s="1"/>
  <c r="AQ459" i="4" s="1"/>
  <c r="AQ467" i="4"/>
  <c r="AQ469" i="4" s="1"/>
  <c r="AQ470" i="4" s="1"/>
  <c r="AQ471" i="4" s="1"/>
  <c r="AQ472" i="4" s="1"/>
  <c r="AR466" i="4" s="1"/>
  <c r="AQ478" i="4"/>
  <c r="AQ480" i="4" s="1"/>
  <c r="AQ481" i="4" s="1"/>
  <c r="AQ482" i="4" s="1"/>
  <c r="AQ483" i="4" s="1"/>
  <c r="AR477" i="4" s="1"/>
  <c r="AR468" i="4"/>
  <c r="AQ1142" i="4"/>
  <c r="AQ294" i="4" s="1"/>
  <c r="AQ997" i="4"/>
  <c r="AQ1143" i="4"/>
  <c r="AP1250" i="4"/>
  <c r="AP1227" i="4"/>
  <c r="AP74" i="11"/>
  <c r="AP78" i="11" s="1"/>
  <c r="AP1195" i="4"/>
  <c r="AP1199" i="4" s="1"/>
  <c r="AP1177" i="4" s="1"/>
  <c r="AP1309" i="4"/>
  <c r="AP36" i="66"/>
  <c r="AQ1092" i="4"/>
  <c r="AQ1091" i="4"/>
  <c r="AQ1093" i="4" l="1"/>
  <c r="AQ1111" i="4" s="1"/>
  <c r="AQ1120" i="4"/>
  <c r="AQ1248" i="4"/>
  <c r="AQ1224" i="4"/>
  <c r="AQ73" i="11"/>
  <c r="AQ1044" i="4"/>
  <c r="AQ1067" i="4" s="1"/>
  <c r="S73" i="67"/>
  <c r="S23" i="13"/>
  <c r="AQ53" i="11"/>
  <c r="AQ52" i="11" s="1"/>
  <c r="S53" i="67"/>
  <c r="AQ460" i="4"/>
  <c r="AQ461" i="4" s="1"/>
  <c r="AR455" i="4" s="1"/>
  <c r="AQ494" i="4"/>
  <c r="AQ994" i="4" s="1"/>
  <c r="S49" i="67"/>
  <c r="AQ299" i="4"/>
  <c r="AQ302" i="4"/>
  <c r="AP1344" i="4"/>
  <c r="AP1308" i="4"/>
  <c r="AP1311" i="4" s="1"/>
  <c r="AR495" i="4"/>
  <c r="AR995" i="4" s="1"/>
  <c r="AP1228" i="4"/>
  <c r="AP1205" i="4" s="1"/>
  <c r="AP1251" i="4"/>
  <c r="AP89" i="11"/>
  <c r="AP39" i="66"/>
  <c r="AP35" i="66" s="1"/>
  <c r="AP1406" i="4"/>
  <c r="AP1178" i="4"/>
  <c r="AQ331" i="4" l="1"/>
  <c r="AQ307" i="4"/>
  <c r="AP1207" i="4"/>
  <c r="AP1209" i="4" s="1"/>
  <c r="AP27" i="11"/>
  <c r="AQ1173" i="4"/>
  <c r="AP1429" i="4"/>
  <c r="AQ1158" i="4"/>
  <c r="AQ1174" i="4" s="1"/>
  <c r="AQ1068" i="4"/>
  <c r="AQ1157" i="4"/>
  <c r="AP1313" i="4"/>
  <c r="AP1325" i="4"/>
  <c r="S52" i="67"/>
  <c r="AP1348" i="4"/>
  <c r="AQ332" i="4" l="1"/>
  <c r="AQ14" i="11" s="1"/>
  <c r="AP1208" i="4"/>
  <c r="AP1432" i="4"/>
  <c r="AP1430" i="4"/>
  <c r="AP1431" i="4" s="1"/>
  <c r="AP1326" i="4"/>
  <c r="AP1327" i="4" s="1"/>
  <c r="AQ1164" i="4"/>
  <c r="AQ1159" i="4"/>
  <c r="AP1229" i="4"/>
  <c r="AP1230" i="4" s="1"/>
  <c r="AP1234" i="4" s="1"/>
  <c r="AQ1213" i="4" s="1"/>
  <c r="AP90" i="11"/>
  <c r="AP91" i="11" s="1"/>
  <c r="AP93" i="11" s="1"/>
  <c r="AP96" i="11" s="1"/>
  <c r="AP97" i="11" s="1"/>
  <c r="AP1252" i="4"/>
  <c r="AP58" i="11"/>
  <c r="AP59" i="11" s="1"/>
  <c r="AP28" i="11" s="1"/>
  <c r="AP25" i="11" s="1"/>
  <c r="AP48" i="62"/>
  <c r="AP24" i="62" s="1"/>
  <c r="AP26" i="62" s="1"/>
  <c r="AP22" i="66"/>
  <c r="AP1363" i="4"/>
  <c r="AQ385" i="4"/>
  <c r="AQ405" i="4"/>
  <c r="AQ406" i="4" s="1"/>
  <c r="AQ407" i="4" s="1"/>
  <c r="AQ408" i="4" s="1"/>
  <c r="AQ409" i="4" s="1"/>
  <c r="AR404" i="4" s="1"/>
  <c r="AQ395" i="4"/>
  <c r="AQ396" i="4" s="1"/>
  <c r="AQ397" i="4" s="1"/>
  <c r="AQ398" i="4" s="1"/>
  <c r="AQ399" i="4" s="1"/>
  <c r="AR394" i="4" s="1"/>
  <c r="S14" i="67" l="1"/>
  <c r="AP1397" i="4"/>
  <c r="AP1392" i="4" s="1"/>
  <c r="AP37" i="11"/>
  <c r="AP1398" i="4"/>
  <c r="AP1393" i="4" s="1"/>
  <c r="AQ1167" i="4"/>
  <c r="AQ1168" i="4" s="1"/>
  <c r="AQ42" i="62"/>
  <c r="AQ1231" i="4"/>
  <c r="AQ1260" i="4"/>
  <c r="AQ85" i="11"/>
  <c r="S85" i="67"/>
  <c r="AQ489" i="4"/>
  <c r="AQ500" i="4"/>
  <c r="AQ386" i="4"/>
  <c r="AQ387" i="4" s="1"/>
  <c r="AP1364" i="4"/>
  <c r="AP1365" i="4" s="1"/>
  <c r="AP101" i="67"/>
  <c r="AP1263" i="4"/>
  <c r="AP1264" i="4" s="1"/>
  <c r="AP1253" i="4"/>
  <c r="AP1254" i="4" s="1"/>
  <c r="AP100" i="67"/>
  <c r="AP46" i="62"/>
  <c r="AP24" i="66"/>
  <c r="AP20" i="66" s="1"/>
  <c r="AP26" i="66" s="1"/>
  <c r="AP100" i="11"/>
  <c r="AP101" i="11"/>
  <c r="AP44" i="66"/>
  <c r="AP40" i="66" s="1"/>
  <c r="AP46" i="66" s="1"/>
  <c r="AQ95" i="11"/>
  <c r="AP1385" i="4"/>
  <c r="AP1384" i="4" s="1"/>
  <c r="AP21" i="11"/>
  <c r="AP17" i="11" s="1"/>
  <c r="AQ1051" i="4"/>
  <c r="AP48" i="66" l="1"/>
  <c r="AP99" i="11"/>
  <c r="AQ52" i="62"/>
  <c r="AQ43" i="62"/>
  <c r="AQ23" i="62" s="1"/>
  <c r="AQ16" i="66" s="1"/>
  <c r="AQ14" i="66" s="1"/>
  <c r="AQ13" i="66" s="1"/>
  <c r="AP1386" i="4"/>
  <c r="AP1383" i="4" s="1"/>
  <c r="AP23" i="11"/>
  <c r="AP39" i="11" s="1"/>
  <c r="AP40" i="11" s="1"/>
  <c r="AQ388" i="4"/>
  <c r="AQ389" i="4" s="1"/>
  <c r="AR384" i="4" s="1"/>
  <c r="AQ490" i="4"/>
  <c r="AQ501" i="4"/>
  <c r="AQ502" i="4" s="1"/>
  <c r="S26" i="67"/>
  <c r="AR1163" i="4"/>
  <c r="AQ26" i="11"/>
  <c r="AP1266" i="4"/>
  <c r="AQ1024" i="4" l="1"/>
  <c r="AQ1026" i="4" s="1"/>
  <c r="AQ1027" i="4" s="1"/>
  <c r="AQ1028" i="4" s="1"/>
  <c r="AR499" i="4"/>
  <c r="AR1023" i="4" s="1"/>
  <c r="AQ51" i="11"/>
  <c r="AQ64" i="62"/>
  <c r="S51" i="67"/>
  <c r="AQ491" i="4"/>
  <c r="AP1439" i="4"/>
  <c r="AP1440" i="4" s="1"/>
  <c r="AP1396" i="4"/>
  <c r="AP1391" i="4" s="1"/>
  <c r="AR488" i="4" l="1"/>
  <c r="S15" i="67"/>
  <c r="S13" i="67" s="1"/>
  <c r="AQ15" i="11"/>
  <c r="AQ13" i="11" s="1"/>
  <c r="AQ907" i="4"/>
  <c r="AQ911" i="4" s="1"/>
  <c r="AQ62" i="64"/>
  <c r="AQ70" i="64" l="1"/>
  <c r="AQ78" i="64"/>
  <c r="AQ1043" i="4"/>
  <c r="AQ1243" i="4"/>
  <c r="AQ915" i="4"/>
  <c r="AQ71" i="11"/>
  <c r="AQ1217" i="4"/>
  <c r="AQ1221" i="4" s="1"/>
  <c r="S71" i="67"/>
  <c r="S40" i="13"/>
  <c r="AQ996" i="4" l="1"/>
  <c r="AQ1000" i="4" s="1"/>
  <c r="AQ1004" i="4" s="1"/>
  <c r="AQ47" i="11"/>
  <c r="S20" i="72"/>
  <c r="S47" i="67"/>
  <c r="S48" i="67" l="1"/>
  <c r="S61" i="67"/>
  <c r="S62" i="67"/>
  <c r="AQ48" i="11"/>
  <c r="AQ55" i="11" s="1"/>
  <c r="AQ62" i="11"/>
  <c r="AQ61" i="11"/>
  <c r="AQ1012" i="4"/>
  <c r="AQ1005" i="4"/>
  <c r="AQ1016" i="4" s="1"/>
  <c r="AQ1013" i="4" s="1"/>
  <c r="AQ1006" i="4" s="1"/>
  <c r="AQ1007" i="4" s="1"/>
  <c r="AQ1014" i="4" l="1"/>
  <c r="AR1011" i="4" s="1"/>
  <c r="AQ1395" i="4"/>
  <c r="AQ62" i="62"/>
  <c r="AQ63" i="62" s="1"/>
  <c r="AQ67" i="62" s="1"/>
  <c r="AQ64" i="11"/>
  <c r="AQ63" i="11"/>
  <c r="S1449" i="4"/>
  <c r="S64" i="67"/>
  <c r="S63" i="67"/>
  <c r="AQ56" i="11"/>
  <c r="AQ57" i="11" s="1"/>
  <c r="AQ1246" i="4"/>
  <c r="AQ1046" i="4"/>
  <c r="AQ1053" i="4" s="1"/>
  <c r="AQ1055" i="4" s="1"/>
  <c r="AQ1058" i="4" s="1"/>
  <c r="AQ75" i="11"/>
  <c r="AQ1222" i="4"/>
  <c r="AQ1223" i="4" s="1"/>
  <c r="AQ61" i="64"/>
  <c r="S75" i="67"/>
  <c r="S56" i="67"/>
  <c r="S41" i="13"/>
  <c r="S55" i="67"/>
  <c r="AQ66" i="64" l="1"/>
  <c r="AQ40" i="64" s="1"/>
  <c r="AQ42" i="64" s="1"/>
  <c r="AQ69" i="64"/>
  <c r="AQ74" i="64" s="1"/>
  <c r="AQ77" i="64"/>
  <c r="AQ82" i="64" s="1"/>
  <c r="AQ1236" i="4"/>
  <c r="S43" i="13"/>
  <c r="AQ1394" i="4"/>
  <c r="AQ1206" i="4"/>
  <c r="S57" i="67"/>
  <c r="AQ68" i="62"/>
  <c r="AQ1116" i="4" l="1"/>
  <c r="AQ1117" i="4" s="1"/>
  <c r="AQ1119" i="4" s="1"/>
  <c r="AQ1121" i="4" s="1"/>
  <c r="AQ1087" i="4" s="1"/>
  <c r="AQ52" i="64"/>
  <c r="AQ49" i="64"/>
  <c r="AQ1137" i="4" l="1"/>
  <c r="AQ1088" i="4"/>
  <c r="AR1085" i="4" l="1"/>
  <c r="AR1130" i="4"/>
  <c r="AR1148" i="4" s="1"/>
  <c r="AQ1404" i="4"/>
  <c r="AQ1225" i="4"/>
  <c r="AQ1226" i="4" s="1"/>
  <c r="AQ1247" i="4"/>
  <c r="AQ38" i="66"/>
  <c r="AQ88" i="11"/>
  <c r="AQ1347" i="4"/>
  <c r="S24" i="13"/>
  <c r="S88" i="67"/>
  <c r="AQ1138" i="4"/>
  <c r="AQ1194" i="4" l="1"/>
  <c r="AQ1204" i="4"/>
  <c r="AQ1438" i="4"/>
  <c r="AR1135" i="4"/>
  <c r="S1448" i="4"/>
  <c r="S1452" i="4" s="1"/>
  <c r="AQ1412" i="4"/>
  <c r="AQ1413" i="4" s="1"/>
  <c r="AQ1428" i="4"/>
  <c r="AQ31" i="11"/>
  <c r="S31" i="67"/>
  <c r="S30" i="67" s="1"/>
  <c r="AR1086" i="4"/>
  <c r="AR1415" i="4" l="1"/>
  <c r="AQ1418" i="4"/>
  <c r="AQ1416" i="4"/>
  <c r="AR1136" i="4"/>
  <c r="AR1129" i="4"/>
  <c r="AR1147" i="4" s="1"/>
  <c r="AR1149" i="4" s="1"/>
  <c r="AR1125" i="4"/>
  <c r="AR1101" i="4"/>
  <c r="AQ30" i="11"/>
  <c r="AQ45" i="62"/>
  <c r="AQ1197" i="4"/>
  <c r="AQ1198" i="4" s="1"/>
  <c r="AQ1188" i="4" s="1"/>
  <c r="AQ1175" i="4"/>
  <c r="AQ1419" i="4" l="1"/>
  <c r="AR37" i="66"/>
  <c r="AR999" i="4"/>
  <c r="AR1218" i="4"/>
  <c r="AR72" i="11"/>
  <c r="AR1249" i="4"/>
  <c r="AR50" i="11"/>
  <c r="AR297" i="4"/>
  <c r="AR305" i="4" s="1"/>
  <c r="AR330" i="4" s="1"/>
  <c r="AR1045" i="4"/>
  <c r="AR1259" i="4"/>
  <c r="AR1233" i="4"/>
  <c r="AR87" i="11"/>
  <c r="AR18" i="66"/>
  <c r="AR1346" i="4"/>
  <c r="AQ1187" i="4"/>
  <c r="AQ1176" i="4" s="1"/>
  <c r="AQ1189" i="4"/>
  <c r="AQ1184" i="4"/>
  <c r="AQ1191" i="4" s="1"/>
  <c r="AQ1180" i="4"/>
  <c r="AR1112" i="4"/>
  <c r="AR1141" i="4" s="1"/>
  <c r="AR1102" i="4"/>
  <c r="AR1103" i="4"/>
  <c r="AR1104" i="4" l="1"/>
  <c r="AR1120" i="4" s="1"/>
  <c r="AR467" i="4"/>
  <c r="AR469" i="4" s="1"/>
  <c r="AR470" i="4" s="1"/>
  <c r="AR471" i="4" s="1"/>
  <c r="AR472" i="4" s="1"/>
  <c r="AS466" i="4" s="1"/>
  <c r="AR478" i="4"/>
  <c r="AR480" i="4" s="1"/>
  <c r="AR481" i="4" s="1"/>
  <c r="AR482" i="4" s="1"/>
  <c r="AR483" i="4" s="1"/>
  <c r="AS477" i="4" s="1"/>
  <c r="AS479" i="4"/>
  <c r="AR456" i="4"/>
  <c r="AR458" i="4" s="1"/>
  <c r="AR459" i="4" s="1"/>
  <c r="AS468" i="4"/>
  <c r="AS457" i="4"/>
  <c r="AQ86" i="11"/>
  <c r="AQ1232" i="4"/>
  <c r="AQ1261" i="4"/>
  <c r="AQ19" i="66"/>
  <c r="AQ17" i="66" s="1"/>
  <c r="S19" i="72" s="1"/>
  <c r="S86" i="67"/>
  <c r="AQ1403" i="4"/>
  <c r="AR49" i="11"/>
  <c r="AR997" i="4"/>
  <c r="AR1142" i="4"/>
  <c r="AR294" i="4" s="1"/>
  <c r="AR1143" i="4"/>
  <c r="AR1092" i="4"/>
  <c r="AR1091" i="4"/>
  <c r="AQ1227" i="4"/>
  <c r="AQ74" i="11"/>
  <c r="AQ78" i="11" s="1"/>
  <c r="AQ1250" i="4"/>
  <c r="AQ1195" i="4"/>
  <c r="AQ1199" i="4" s="1"/>
  <c r="AQ1177" i="4" s="1"/>
  <c r="S74" i="67"/>
  <c r="S78" i="67" s="1"/>
  <c r="AQ36" i="66"/>
  <c r="AQ1309" i="4"/>
  <c r="AR1113" i="4" l="1"/>
  <c r="AR1144" i="4" s="1"/>
  <c r="AR1224" i="4" s="1"/>
  <c r="AS495" i="4"/>
  <c r="AS995" i="4" s="1"/>
  <c r="S25" i="13"/>
  <c r="AQ1406" i="4"/>
  <c r="AR53" i="11"/>
  <c r="AR52" i="11" s="1"/>
  <c r="AQ1251" i="4"/>
  <c r="AQ39" i="66"/>
  <c r="AQ35" i="66" s="1"/>
  <c r="AQ89" i="11"/>
  <c r="AQ1228" i="4"/>
  <c r="AQ1205" i="4" s="1"/>
  <c r="S89" i="67"/>
  <c r="AR299" i="4"/>
  <c r="AR302" i="4"/>
  <c r="AR494" i="4"/>
  <c r="AR994" i="4" s="1"/>
  <c r="AR460" i="4"/>
  <c r="AR461" i="4" s="1"/>
  <c r="AS455" i="4" s="1"/>
  <c r="AQ1344" i="4"/>
  <c r="AQ1308" i="4"/>
  <c r="AQ1311" i="4" s="1"/>
  <c r="AR1093" i="4"/>
  <c r="AR1111" i="4" s="1"/>
  <c r="AQ1178" i="4"/>
  <c r="AR1248" i="4" l="1"/>
  <c r="AR73" i="11"/>
  <c r="AR1044" i="4"/>
  <c r="AR1067" i="4" s="1"/>
  <c r="AR1158" i="4" s="1"/>
  <c r="AR1174" i="4" s="1"/>
  <c r="AQ1207" i="4"/>
  <c r="AQ1209" i="4" s="1"/>
  <c r="AR1173" i="4"/>
  <c r="S27" i="67"/>
  <c r="AQ27" i="11"/>
  <c r="AQ1429" i="4"/>
  <c r="AQ1313" i="4"/>
  <c r="S14" i="72"/>
  <c r="AQ1325" i="4"/>
  <c r="AQ1348" i="4"/>
  <c r="S13" i="13"/>
  <c r="AR307" i="4"/>
  <c r="AR331" i="4"/>
  <c r="AR1157" i="4" l="1"/>
  <c r="AR1164" i="4" s="1"/>
  <c r="AR1068" i="4"/>
  <c r="AQ1432" i="4"/>
  <c r="AQ1430" i="4"/>
  <c r="AQ1431" i="4" s="1"/>
  <c r="AR395" i="4"/>
  <c r="AR396" i="4" s="1"/>
  <c r="AR397" i="4" s="1"/>
  <c r="AR398" i="4" s="1"/>
  <c r="AR399" i="4" s="1"/>
  <c r="AS394" i="4" s="1"/>
  <c r="AR385" i="4"/>
  <c r="AR405" i="4"/>
  <c r="AR406" i="4" s="1"/>
  <c r="AR407" i="4" s="1"/>
  <c r="AR408" i="4" s="1"/>
  <c r="AR409" i="4" s="1"/>
  <c r="AS404" i="4" s="1"/>
  <c r="S15" i="72"/>
  <c r="AQ1363" i="4"/>
  <c r="AQ1364" i="4" s="1"/>
  <c r="AQ1365" i="4" s="1"/>
  <c r="AQ1326" i="4"/>
  <c r="AQ1327" i="4" s="1"/>
  <c r="AQ1208" i="4"/>
  <c r="AQ58" i="11"/>
  <c r="AQ59" i="11" s="1"/>
  <c r="AQ28" i="11" s="1"/>
  <c r="AQ25" i="11" s="1"/>
  <c r="AQ1252" i="4"/>
  <c r="AQ90" i="11"/>
  <c r="AQ91" i="11" s="1"/>
  <c r="AQ93" i="11" s="1"/>
  <c r="AQ96" i="11" s="1"/>
  <c r="AQ97" i="11" s="1"/>
  <c r="AQ1229" i="4"/>
  <c r="AQ1230" i="4" s="1"/>
  <c r="AQ1234" i="4" s="1"/>
  <c r="AR1213" i="4" s="1"/>
  <c r="AQ48" i="62"/>
  <c r="AQ24" i="62" s="1"/>
  <c r="AQ26" i="62" s="1"/>
  <c r="S58" i="67"/>
  <c r="S59" i="67" s="1"/>
  <c r="S90" i="67"/>
  <c r="S91" i="67" s="1"/>
  <c r="S93" i="67" s="1"/>
  <c r="S96" i="67" s="1"/>
  <c r="S97" i="67" s="1"/>
  <c r="AQ22" i="66"/>
  <c r="AR332" i="4"/>
  <c r="AR14" i="11" s="1"/>
  <c r="AR1159" i="4" l="1"/>
  <c r="AQ1398" i="4"/>
  <c r="AQ1393" i="4" s="1"/>
  <c r="AQ37" i="11"/>
  <c r="AQ1397" i="4"/>
  <c r="AQ1392" i="4" s="1"/>
  <c r="AR1051" i="4"/>
  <c r="AQ1263" i="4"/>
  <c r="AQ1264" i="4" s="1"/>
  <c r="S1450" i="4"/>
  <c r="S1457" i="4" s="1"/>
  <c r="S21" i="67"/>
  <c r="S17" i="67" s="1"/>
  <c r="S23" i="67" s="1"/>
  <c r="AQ21" i="11"/>
  <c r="AQ17" i="11" s="1"/>
  <c r="AQ24" i="66"/>
  <c r="AQ20" i="66" s="1"/>
  <c r="AQ26" i="66" s="1"/>
  <c r="AQ1253" i="4"/>
  <c r="AQ1254" i="4" s="1"/>
  <c r="AQ101" i="67"/>
  <c r="AQ101" i="11"/>
  <c r="AQ46" i="62"/>
  <c r="AQ100" i="11"/>
  <c r="AQ100" i="67"/>
  <c r="AQ44" i="66"/>
  <c r="AQ40" i="66" s="1"/>
  <c r="AQ46" i="66" s="1"/>
  <c r="AR95" i="11"/>
  <c r="AQ1385" i="4"/>
  <c r="AQ1384" i="4" s="1"/>
  <c r="S28" i="67"/>
  <c r="S25" i="67" s="1"/>
  <c r="S37" i="67" s="1"/>
  <c r="AR1260" i="4"/>
  <c r="AR1167" i="4"/>
  <c r="AR1168" i="4" s="1"/>
  <c r="AR42" i="62"/>
  <c r="AR85" i="11"/>
  <c r="AR1231" i="4"/>
  <c r="T95" i="67"/>
  <c r="AR489" i="4"/>
  <c r="AR500" i="4"/>
  <c r="AR386" i="4"/>
  <c r="AR387" i="4" s="1"/>
  <c r="AQ48" i="66" l="1"/>
  <c r="S39" i="67"/>
  <c r="S40" i="67" s="1"/>
  <c r="AQ1266" i="4"/>
  <c r="AQ99" i="11"/>
  <c r="AR26" i="11"/>
  <c r="AS1163" i="4"/>
  <c r="S99" i="67"/>
  <c r="AR388" i="4"/>
  <c r="AR389" i="4" s="1"/>
  <c r="AS384" i="4" s="1"/>
  <c r="AR501" i="4"/>
  <c r="AR502" i="4" s="1"/>
  <c r="AR490" i="4"/>
  <c r="AR491" i="4" s="1"/>
  <c r="AR52" i="62"/>
  <c r="AR43" i="62"/>
  <c r="AR23" i="62" s="1"/>
  <c r="AR16" i="66" s="1"/>
  <c r="AR14" i="66" s="1"/>
  <c r="AR13" i="66" s="1"/>
  <c r="AQ1386" i="4"/>
  <c r="AQ1383" i="4" s="1"/>
  <c r="AQ23" i="11"/>
  <c r="AS488" i="4" l="1"/>
  <c r="AR15" i="11"/>
  <c r="AR13" i="11" s="1"/>
  <c r="AR1024" i="4"/>
  <c r="AR1026" i="4" s="1"/>
  <c r="AR1027" i="4" s="1"/>
  <c r="AR1028" i="4" s="1"/>
  <c r="AS499" i="4"/>
  <c r="AS1023" i="4" s="1"/>
  <c r="AQ39" i="11"/>
  <c r="AQ40" i="11" s="1"/>
  <c r="AQ1439" i="4"/>
  <c r="AQ1440" i="4" s="1"/>
  <c r="AQ1396" i="4"/>
  <c r="AQ1391" i="4" s="1"/>
  <c r="AR51" i="11"/>
  <c r="AR64" i="62"/>
  <c r="AR62" i="64" l="1"/>
  <c r="AR907" i="4"/>
  <c r="AR911" i="4" s="1"/>
  <c r="AR1217" i="4" l="1"/>
  <c r="AR1221" i="4" s="1"/>
  <c r="AR71" i="11"/>
  <c r="AR1243" i="4"/>
  <c r="AR915" i="4"/>
  <c r="AR1043" i="4"/>
  <c r="AR78" i="64"/>
  <c r="AR70" i="64"/>
  <c r="AR996" i="4" l="1"/>
  <c r="AR1000" i="4" s="1"/>
  <c r="AR1004" i="4" s="1"/>
  <c r="AR47" i="11"/>
  <c r="AR61" i="11" l="1"/>
  <c r="AR62" i="11"/>
  <c r="AR48" i="11"/>
  <c r="AR55" i="11" s="1"/>
  <c r="AR1012" i="4"/>
  <c r="AR1005" i="4"/>
  <c r="AR1016" i="4" s="1"/>
  <c r="AR1013" i="4" s="1"/>
  <c r="AR1006" i="4" s="1"/>
  <c r="AR1007" i="4" s="1"/>
  <c r="AR1246" i="4" l="1"/>
  <c r="AR1222" i="4"/>
  <c r="AR1223" i="4" s="1"/>
  <c r="AR75" i="11"/>
  <c r="AR56" i="11"/>
  <c r="AR57" i="11" s="1"/>
  <c r="AR61" i="64"/>
  <c r="AR1046" i="4"/>
  <c r="AR1053" i="4" s="1"/>
  <c r="AR1055" i="4" s="1"/>
  <c r="AR1058" i="4" s="1"/>
  <c r="AR64" i="11"/>
  <c r="AR1395" i="4"/>
  <c r="AR62" i="62"/>
  <c r="AR63" i="62" s="1"/>
  <c r="AR67" i="62" s="1"/>
  <c r="AR1014" i="4"/>
  <c r="AS1011" i="4" s="1"/>
  <c r="AR63" i="11"/>
  <c r="AR68" i="62" l="1"/>
  <c r="AR77" i="64"/>
  <c r="AR82" i="64" s="1"/>
  <c r="AR66" i="64"/>
  <c r="AR40" i="64" s="1"/>
  <c r="AR42" i="64" s="1"/>
  <c r="AR69" i="64"/>
  <c r="AR74" i="64" s="1"/>
  <c r="AR1394" i="4"/>
  <c r="AR1206" i="4"/>
  <c r="AR1236" i="4"/>
  <c r="AR49" i="64" l="1"/>
  <c r="AR52" i="64"/>
  <c r="AR1116" i="4"/>
  <c r="AR1117" i="4" s="1"/>
  <c r="AR1119" i="4" s="1"/>
  <c r="AR1121" i="4" s="1"/>
  <c r="AR1087" i="4" s="1"/>
  <c r="AR1137" i="4" l="1"/>
  <c r="AR1088" i="4"/>
  <c r="AS1085" i="4" l="1"/>
  <c r="AS1130" i="4"/>
  <c r="AS1148" i="4" s="1"/>
  <c r="AR1225" i="4"/>
  <c r="AR1226" i="4" s="1"/>
  <c r="AR1347" i="4"/>
  <c r="AR38" i="66"/>
  <c r="AR1247" i="4"/>
  <c r="AR1404" i="4"/>
  <c r="AR88" i="11"/>
  <c r="AR1138" i="4"/>
  <c r="AS1135" i="4" l="1"/>
  <c r="AR1428" i="4"/>
  <c r="AR1438" i="4"/>
  <c r="AR31" i="11"/>
  <c r="AR1412" i="4"/>
  <c r="AR1413" i="4" s="1"/>
  <c r="AR1204" i="4"/>
  <c r="AR1194" i="4"/>
  <c r="AS1086" i="4"/>
  <c r="AR1175" i="4" l="1"/>
  <c r="AR1197" i="4"/>
  <c r="AR1198" i="4" s="1"/>
  <c r="AR1188" i="4" s="1"/>
  <c r="AS1101" i="4"/>
  <c r="AS1136" i="4"/>
  <c r="AS1129" i="4"/>
  <c r="AS1147" i="4" s="1"/>
  <c r="AS1149" i="4" s="1"/>
  <c r="AS1125" i="4"/>
  <c r="AR1418" i="4"/>
  <c r="AR1416" i="4"/>
  <c r="AR30" i="11"/>
  <c r="AR45" i="62"/>
  <c r="AS1415" i="4"/>
  <c r="AS1218" i="4" l="1"/>
  <c r="AS999" i="4"/>
  <c r="AS50" i="11"/>
  <c r="AS72" i="11"/>
  <c r="AS37" i="66"/>
  <c r="AS1249" i="4"/>
  <c r="AS1045" i="4"/>
  <c r="AS297" i="4"/>
  <c r="AS305" i="4" s="1"/>
  <c r="AS330" i="4" s="1"/>
  <c r="AS1233" i="4"/>
  <c r="AS1259" i="4"/>
  <c r="AS1346" i="4"/>
  <c r="AS18" i="66"/>
  <c r="AS87" i="11"/>
  <c r="AS1103" i="4"/>
  <c r="AS1112" i="4"/>
  <c r="AS1141" i="4" s="1"/>
  <c r="AS1102" i="4"/>
  <c r="AR1189" i="4"/>
  <c r="AR1187" i="4"/>
  <c r="AR1176" i="4" s="1"/>
  <c r="AR1419" i="4"/>
  <c r="AR1184" i="4"/>
  <c r="AR1191" i="4" s="1"/>
  <c r="AR1180" i="4"/>
  <c r="AR1261" i="4" l="1"/>
  <c r="AR19" i="66"/>
  <c r="AR17" i="66" s="1"/>
  <c r="AR1232" i="4"/>
  <c r="AR86" i="11"/>
  <c r="AR1403" i="4"/>
  <c r="AR74" i="11"/>
  <c r="AR78" i="11" s="1"/>
  <c r="AR1195" i="4"/>
  <c r="AR1199" i="4" s="1"/>
  <c r="AR1177" i="4" s="1"/>
  <c r="AR1250" i="4"/>
  <c r="AR1227" i="4"/>
  <c r="AR1309" i="4"/>
  <c r="AR36" i="66"/>
  <c r="AS1104" i="4"/>
  <c r="AS49" i="11"/>
  <c r="AS1143" i="4"/>
  <c r="AS1142" i="4"/>
  <c r="AS294" i="4" s="1"/>
  <c r="AS997" i="4"/>
  <c r="AS1091" i="4"/>
  <c r="AS1092" i="4"/>
  <c r="AT479" i="4"/>
  <c r="AS478" i="4"/>
  <c r="AS480" i="4" s="1"/>
  <c r="AS481" i="4" s="1"/>
  <c r="AS482" i="4" s="1"/>
  <c r="AS483" i="4" s="1"/>
  <c r="AT477" i="4" s="1"/>
  <c r="AS467" i="4"/>
  <c r="AS469" i="4" s="1"/>
  <c r="AS470" i="4" s="1"/>
  <c r="AS471" i="4" s="1"/>
  <c r="AS472" i="4" s="1"/>
  <c r="AT466" i="4" s="1"/>
  <c r="AT457" i="4"/>
  <c r="AS456" i="4"/>
  <c r="AS458" i="4" s="1"/>
  <c r="AS459" i="4" s="1"/>
  <c r="AT468" i="4"/>
  <c r="AR1344" i="4" l="1"/>
  <c r="AR1308" i="4"/>
  <c r="AR1311" i="4" s="1"/>
  <c r="AR1406" i="4"/>
  <c r="AS1093" i="4"/>
  <c r="AS1111" i="4" s="1"/>
  <c r="AS1120" i="4"/>
  <c r="AS1113" i="4"/>
  <c r="AS1144" i="4" s="1"/>
  <c r="AS299" i="4"/>
  <c r="AS302" i="4"/>
  <c r="AS494" i="4"/>
  <c r="AS994" i="4" s="1"/>
  <c r="AS460" i="4"/>
  <c r="AS461" i="4" s="1"/>
  <c r="AT455" i="4" s="1"/>
  <c r="AT495" i="4"/>
  <c r="AT995" i="4" s="1"/>
  <c r="AS53" i="11"/>
  <c r="AS52" i="11" s="1"/>
  <c r="AR39" i="66"/>
  <c r="AR35" i="66" s="1"/>
  <c r="AR89" i="11"/>
  <c r="AR1251" i="4"/>
  <c r="AR1228" i="4"/>
  <c r="AR1205" i="4" s="1"/>
  <c r="AR1178" i="4"/>
  <c r="AR1207" i="4" l="1"/>
  <c r="AR1209" i="4" s="1"/>
  <c r="AS1248" i="4"/>
  <c r="AS73" i="11"/>
  <c r="AS1224" i="4"/>
  <c r="AS1044" i="4"/>
  <c r="AS1067" i="4" s="1"/>
  <c r="AR1313" i="4"/>
  <c r="AR1325" i="4"/>
  <c r="AS1173" i="4"/>
  <c r="AR27" i="11"/>
  <c r="AR1429" i="4"/>
  <c r="AS307" i="4"/>
  <c r="AS331" i="4"/>
  <c r="AR1348" i="4"/>
  <c r="AS332" i="4" l="1"/>
  <c r="AS14" i="11" s="1"/>
  <c r="AR1326" i="4"/>
  <c r="AR1327" i="4" s="1"/>
  <c r="AS385" i="4"/>
  <c r="AS395" i="4"/>
  <c r="AS396" i="4" s="1"/>
  <c r="AS397" i="4" s="1"/>
  <c r="AS398" i="4" s="1"/>
  <c r="AS399" i="4" s="1"/>
  <c r="AT394" i="4" s="1"/>
  <c r="AS405" i="4"/>
  <c r="AS406" i="4" s="1"/>
  <c r="AS407" i="4" s="1"/>
  <c r="AS408" i="4" s="1"/>
  <c r="AS409" i="4" s="1"/>
  <c r="AT404" i="4" s="1"/>
  <c r="AS1157" i="4"/>
  <c r="AS1068" i="4"/>
  <c r="AS1158" i="4"/>
  <c r="AS1174" i="4" s="1"/>
  <c r="AR1430" i="4"/>
  <c r="AR1431" i="4" s="1"/>
  <c r="AR1432" i="4"/>
  <c r="AR1363" i="4"/>
  <c r="AR1364" i="4" s="1"/>
  <c r="AR1365" i="4" s="1"/>
  <c r="AR1208" i="4"/>
  <c r="AR90" i="11"/>
  <c r="AR91" i="11" s="1"/>
  <c r="AR93" i="11" s="1"/>
  <c r="AR96" i="11" s="1"/>
  <c r="AR97" i="11" s="1"/>
  <c r="AR48" i="62"/>
  <c r="AR24" i="62" s="1"/>
  <c r="AR26" i="62" s="1"/>
  <c r="AR1229" i="4"/>
  <c r="AR1230" i="4" s="1"/>
  <c r="AR1234" i="4" s="1"/>
  <c r="AS1213" i="4" s="1"/>
  <c r="AR58" i="11"/>
  <c r="AR59" i="11" s="1"/>
  <c r="AR28" i="11" s="1"/>
  <c r="AR25" i="11" s="1"/>
  <c r="AR1252" i="4"/>
  <c r="AR22" i="66"/>
  <c r="AR37" i="11" l="1"/>
  <c r="AR1397" i="4"/>
  <c r="AR1392" i="4" s="1"/>
  <c r="AR1398" i="4"/>
  <c r="AR1393" i="4" s="1"/>
  <c r="AR101" i="11"/>
  <c r="AR1253" i="4"/>
  <c r="AR1254" i="4" s="1"/>
  <c r="AR1385" i="4"/>
  <c r="AR1384" i="4" s="1"/>
  <c r="AR101" i="67"/>
  <c r="AR21" i="11"/>
  <c r="AR17" i="11" s="1"/>
  <c r="AR24" i="66"/>
  <c r="AR20" i="66" s="1"/>
  <c r="AR26" i="66" s="1"/>
  <c r="AR44" i="66"/>
  <c r="AR40" i="66" s="1"/>
  <c r="AR46" i="66" s="1"/>
  <c r="AR46" i="62"/>
  <c r="AR100" i="67"/>
  <c r="AR1263" i="4"/>
  <c r="AR1264" i="4" s="1"/>
  <c r="AS95" i="11"/>
  <c r="AR100" i="11"/>
  <c r="AS1159" i="4"/>
  <c r="AS1164" i="4"/>
  <c r="AS500" i="4"/>
  <c r="AS489" i="4"/>
  <c r="AS386" i="4"/>
  <c r="AS387" i="4" s="1"/>
  <c r="AS1051" i="4"/>
  <c r="AR99" i="11" l="1"/>
  <c r="AR48" i="66"/>
  <c r="AR1386" i="4"/>
  <c r="AR1383" i="4" s="1"/>
  <c r="AR23" i="11"/>
  <c r="AR39" i="11" s="1"/>
  <c r="AR40" i="11" s="1"/>
  <c r="AR1266" i="4"/>
  <c r="AS1231" i="4"/>
  <c r="AS42" i="62"/>
  <c r="AS1260" i="4"/>
  <c r="AS1167" i="4"/>
  <c r="AS1168" i="4" s="1"/>
  <c r="AS85" i="11"/>
  <c r="AS388" i="4"/>
  <c r="AS389" i="4" s="1"/>
  <c r="AT384" i="4" s="1"/>
  <c r="AS490" i="4"/>
  <c r="AS501" i="4"/>
  <c r="AS502" i="4" s="1"/>
  <c r="AS26" i="11" l="1"/>
  <c r="AT1163" i="4"/>
  <c r="AT499" i="4"/>
  <c r="AT1023" i="4" s="1"/>
  <c r="AS1024" i="4"/>
  <c r="AS1026" i="4" s="1"/>
  <c r="AS1027" i="4" s="1"/>
  <c r="AS1028" i="4" s="1"/>
  <c r="AS52" i="62"/>
  <c r="AS43" i="62"/>
  <c r="AS23" i="62" s="1"/>
  <c r="AS16" i="66" s="1"/>
  <c r="AS14" i="66" s="1"/>
  <c r="AS13" i="66" s="1"/>
  <c r="AS51" i="11"/>
  <c r="AS64" i="62"/>
  <c r="AR1439" i="4"/>
  <c r="AR1440" i="4" s="1"/>
  <c r="AR1396" i="4"/>
  <c r="AR1391" i="4" s="1"/>
  <c r="AS491" i="4"/>
  <c r="AS15" i="11" l="1"/>
  <c r="AS13" i="11" s="1"/>
  <c r="AT488" i="4"/>
  <c r="AS62" i="64"/>
  <c r="AS907" i="4"/>
  <c r="AS911" i="4" s="1"/>
  <c r="AS1043" i="4" l="1"/>
  <c r="AS915" i="4"/>
  <c r="AS71" i="11"/>
  <c r="AS1217" i="4"/>
  <c r="AS1221" i="4" s="1"/>
  <c r="AS1243" i="4"/>
  <c r="AS70" i="64"/>
  <c r="AS78" i="64"/>
  <c r="AS996" i="4" l="1"/>
  <c r="AS1000" i="4" s="1"/>
  <c r="AS1004" i="4" s="1"/>
  <c r="AS47" i="11"/>
  <c r="AS62" i="11" l="1"/>
  <c r="AS61" i="11"/>
  <c r="AS48" i="11"/>
  <c r="AS55" i="11" s="1"/>
  <c r="AS1012" i="4"/>
  <c r="AS1005" i="4"/>
  <c r="AS1016" i="4" l="1"/>
  <c r="AS1013" i="4" s="1"/>
  <c r="AS1014" i="4" s="1"/>
  <c r="AT1011" i="4" s="1"/>
  <c r="AS63" i="11"/>
  <c r="AS1395" i="4"/>
  <c r="AS62" i="62"/>
  <c r="AS64" i="11"/>
  <c r="AS1006" i="4" l="1"/>
  <c r="AS1007" i="4" s="1"/>
  <c r="AS63" i="62" s="1"/>
  <c r="AS67" i="62" s="1"/>
  <c r="AS1246" i="4" l="1"/>
  <c r="AS56" i="11"/>
  <c r="AS57" i="11" s="1"/>
  <c r="AS75" i="11"/>
  <c r="AS1046" i="4"/>
  <c r="AS1053" i="4" s="1"/>
  <c r="AS1055" i="4" s="1"/>
  <c r="AS1058" i="4" s="1"/>
  <c r="AS1222" i="4"/>
  <c r="AS1223" i="4" s="1"/>
  <c r="AS61" i="64"/>
  <c r="AS68" i="62"/>
  <c r="AS69" i="64" l="1"/>
  <c r="AS74" i="64" s="1"/>
  <c r="AS66" i="64"/>
  <c r="AS40" i="64" s="1"/>
  <c r="AS42" i="64" s="1"/>
  <c r="AS77" i="64"/>
  <c r="AS82" i="64" s="1"/>
  <c r="AS1236" i="4"/>
  <c r="AS1394" i="4"/>
  <c r="AS1206" i="4"/>
  <c r="AS1116" i="4" l="1"/>
  <c r="AS1117" i="4" s="1"/>
  <c r="AS1119" i="4" s="1"/>
  <c r="AS1121" i="4" s="1"/>
  <c r="AS1087" i="4" s="1"/>
  <c r="AS49" i="64"/>
  <c r="AS52" i="64"/>
  <c r="AS1137" i="4" l="1"/>
  <c r="AS1088" i="4"/>
  <c r="AT1085" i="4" l="1"/>
  <c r="AT1130" i="4"/>
  <c r="AT1148" i="4" s="1"/>
  <c r="AS1347" i="4"/>
  <c r="AS1247" i="4"/>
  <c r="AS38" i="66"/>
  <c r="AS1404" i="4"/>
  <c r="AS1225" i="4"/>
  <c r="AS1226" i="4" s="1"/>
  <c r="AS88" i="11"/>
  <c r="AS1138" i="4"/>
  <c r="AS1204" i="4" l="1"/>
  <c r="AS1194" i="4"/>
  <c r="AS1412" i="4"/>
  <c r="AS1413" i="4" s="1"/>
  <c r="AS1438" i="4"/>
  <c r="AS1428" i="4"/>
  <c r="AS31" i="11"/>
  <c r="AT1135" i="4"/>
  <c r="AT1086" i="4"/>
  <c r="AT1415" i="4" l="1"/>
  <c r="AS45" i="62"/>
  <c r="AS30" i="11"/>
  <c r="AS1418" i="4"/>
  <c r="AS1416" i="4"/>
  <c r="AS1175" i="4"/>
  <c r="AS1197" i="4"/>
  <c r="AS1198" i="4" s="1"/>
  <c r="AS1188" i="4" s="1"/>
  <c r="AT1129" i="4"/>
  <c r="AT1147" i="4" s="1"/>
  <c r="AT1149" i="4" s="1"/>
  <c r="AT1136" i="4"/>
  <c r="AT1125" i="4"/>
  <c r="AT1101" i="4"/>
  <c r="AT1259" i="4" l="1"/>
  <c r="AT1233" i="4"/>
  <c r="AT18" i="66"/>
  <c r="AT87" i="11"/>
  <c r="AT1346" i="4"/>
  <c r="AT72" i="11"/>
  <c r="AT50" i="11"/>
  <c r="AT297" i="4"/>
  <c r="AT305" i="4" s="1"/>
  <c r="AT330" i="4" s="1"/>
  <c r="AT1249" i="4"/>
  <c r="AT37" i="66"/>
  <c r="AT999" i="4"/>
  <c r="AT1218" i="4"/>
  <c r="AT1045" i="4"/>
  <c r="AS1189" i="4"/>
  <c r="AS1187" i="4"/>
  <c r="AS1176" i="4" s="1"/>
  <c r="AT1112" i="4"/>
  <c r="AT1141" i="4" s="1"/>
  <c r="AT1103" i="4"/>
  <c r="AT1102" i="4"/>
  <c r="AS1180" i="4"/>
  <c r="AS1184" i="4"/>
  <c r="AS1191" i="4" s="1"/>
  <c r="AS1419" i="4"/>
  <c r="AT1104" i="4" l="1"/>
  <c r="AT1113" i="4" s="1"/>
  <c r="AT1144" i="4" s="1"/>
  <c r="AT1092" i="4"/>
  <c r="AT1091" i="4"/>
  <c r="AT1142" i="4"/>
  <c r="AT294" i="4" s="1"/>
  <c r="AT1143" i="4"/>
  <c r="AT997" i="4"/>
  <c r="AS1261" i="4"/>
  <c r="AS86" i="11"/>
  <c r="AS19" i="66"/>
  <c r="AS17" i="66" s="1"/>
  <c r="AS1232" i="4"/>
  <c r="AS1403" i="4"/>
  <c r="AS1195" i="4"/>
  <c r="AS1199" i="4" s="1"/>
  <c r="AS1177" i="4" s="1"/>
  <c r="AS1250" i="4"/>
  <c r="AS1227" i="4"/>
  <c r="AS74" i="11"/>
  <c r="AS78" i="11" s="1"/>
  <c r="AS36" i="66"/>
  <c r="AS1309" i="4"/>
  <c r="AU468" i="4"/>
  <c r="AT467" i="4"/>
  <c r="AT469" i="4" s="1"/>
  <c r="AT470" i="4" s="1"/>
  <c r="AT471" i="4" s="1"/>
  <c r="AT472" i="4" s="1"/>
  <c r="AU466" i="4" s="1"/>
  <c r="AT478" i="4"/>
  <c r="AT480" i="4" s="1"/>
  <c r="AT481" i="4" s="1"/>
  <c r="AT482" i="4" s="1"/>
  <c r="AT483" i="4" s="1"/>
  <c r="AU477" i="4" s="1"/>
  <c r="AT456" i="4"/>
  <c r="AT458" i="4" s="1"/>
  <c r="AT459" i="4" s="1"/>
  <c r="AU457" i="4"/>
  <c r="AU479" i="4"/>
  <c r="AT49" i="11"/>
  <c r="AT1120" i="4" l="1"/>
  <c r="AT1093" i="4"/>
  <c r="AT1111" i="4" s="1"/>
  <c r="AS89" i="11"/>
  <c r="AS1228" i="4"/>
  <c r="AS1205" i="4" s="1"/>
  <c r="AS1251" i="4"/>
  <c r="AS39" i="66"/>
  <c r="AS35" i="66" s="1"/>
  <c r="AS1178" i="4"/>
  <c r="AT53" i="11"/>
  <c r="AT52" i="11" s="1"/>
  <c r="AS1406" i="4"/>
  <c r="AT299" i="4"/>
  <c r="AT302" i="4"/>
  <c r="AT460" i="4"/>
  <c r="AT461" i="4" s="1"/>
  <c r="AU455" i="4" s="1"/>
  <c r="AT494" i="4"/>
  <c r="AT994" i="4" s="1"/>
  <c r="AU495" i="4"/>
  <c r="AU995" i="4" s="1"/>
  <c r="AS1344" i="4"/>
  <c r="AS1308" i="4"/>
  <c r="AS1311" i="4" s="1"/>
  <c r="AT1248" i="4"/>
  <c r="AT1044" i="4"/>
  <c r="AT1067" i="4" s="1"/>
  <c r="AT1224" i="4"/>
  <c r="AT73" i="11"/>
  <c r="AS1313" i="4" l="1"/>
  <c r="AS1325" i="4"/>
  <c r="AS27" i="11"/>
  <c r="AT1173" i="4"/>
  <c r="AS1429" i="4"/>
  <c r="AT1158" i="4"/>
  <c r="AT1174" i="4" s="1"/>
  <c r="AT1068" i="4"/>
  <c r="AT1157" i="4"/>
  <c r="AT307" i="4"/>
  <c r="AT331" i="4"/>
  <c r="AS1207" i="4"/>
  <c r="AS1209" i="4" s="1"/>
  <c r="AS1348" i="4"/>
  <c r="AS1363" i="4" l="1"/>
  <c r="AS1430" i="4"/>
  <c r="AS1431" i="4" s="1"/>
  <c r="AS1432" i="4"/>
  <c r="AS1208" i="4"/>
  <c r="AS1252" i="4"/>
  <c r="AS48" i="62"/>
  <c r="AS24" i="62" s="1"/>
  <c r="AS26" i="62" s="1"/>
  <c r="AS1229" i="4"/>
  <c r="AS1230" i="4" s="1"/>
  <c r="AS1234" i="4" s="1"/>
  <c r="AT1213" i="4" s="1"/>
  <c r="AS90" i="11"/>
  <c r="AS91" i="11" s="1"/>
  <c r="AS93" i="11" s="1"/>
  <c r="AS96" i="11" s="1"/>
  <c r="AS97" i="11" s="1"/>
  <c r="AS58" i="11"/>
  <c r="AS59" i="11" s="1"/>
  <c r="AS28" i="11" s="1"/>
  <c r="AS25" i="11" s="1"/>
  <c r="AS22" i="66"/>
  <c r="AT385" i="4"/>
  <c r="AT405" i="4"/>
  <c r="AT406" i="4" s="1"/>
  <c r="AT407" i="4" s="1"/>
  <c r="AT408" i="4" s="1"/>
  <c r="AT409" i="4" s="1"/>
  <c r="AU404" i="4" s="1"/>
  <c r="AT395" i="4"/>
  <c r="AT396" i="4" s="1"/>
  <c r="AT397" i="4" s="1"/>
  <c r="AT398" i="4" s="1"/>
  <c r="AT399" i="4" s="1"/>
  <c r="AU394" i="4" s="1"/>
  <c r="AT332" i="4"/>
  <c r="AT14" i="11" s="1"/>
  <c r="AS1326" i="4"/>
  <c r="AS1327" i="4" s="1"/>
  <c r="AT1164" i="4"/>
  <c r="AT1159" i="4"/>
  <c r="AT1260" i="4" l="1"/>
  <c r="AT1167" i="4"/>
  <c r="AT1168" i="4" s="1"/>
  <c r="AT42" i="62"/>
  <c r="AT85" i="11"/>
  <c r="AT1231" i="4"/>
  <c r="AT95" i="11"/>
  <c r="AS1253" i="4"/>
  <c r="AS1254" i="4" s="1"/>
  <c r="AS101" i="67"/>
  <c r="AS46" i="62"/>
  <c r="AS1385" i="4"/>
  <c r="AS1384" i="4" s="1"/>
  <c r="AS1263" i="4"/>
  <c r="AS1264" i="4" s="1"/>
  <c r="AS100" i="11"/>
  <c r="AS44" i="66"/>
  <c r="AS40" i="66" s="1"/>
  <c r="AS46" i="66" s="1"/>
  <c r="AS21" i="11"/>
  <c r="AS17" i="11" s="1"/>
  <c r="AS24" i="66"/>
  <c r="AS20" i="66" s="1"/>
  <c r="AS26" i="66" s="1"/>
  <c r="AS100" i="67"/>
  <c r="AS101" i="11"/>
  <c r="AS37" i="11"/>
  <c r="AS1398" i="4"/>
  <c r="AS1393" i="4" s="1"/>
  <c r="AS1397" i="4"/>
  <c r="AS1392" i="4" s="1"/>
  <c r="AT1051" i="4"/>
  <c r="AS1364" i="4"/>
  <c r="AS1365" i="4" s="1"/>
  <c r="AT386" i="4"/>
  <c r="AT387" i="4" s="1"/>
  <c r="AT489" i="4"/>
  <c r="AT500" i="4"/>
  <c r="AS48" i="66" l="1"/>
  <c r="AS99" i="11"/>
  <c r="AS1386" i="4"/>
  <c r="AS1383" i="4" s="1"/>
  <c r="AS23" i="11"/>
  <c r="AS39" i="11" s="1"/>
  <c r="AS40" i="11" s="1"/>
  <c r="AT501" i="4"/>
  <c r="AT502" i="4" s="1"/>
  <c r="AT388" i="4"/>
  <c r="AT389" i="4" s="1"/>
  <c r="AU384" i="4" s="1"/>
  <c r="AT490" i="4"/>
  <c r="AT52" i="62"/>
  <c r="AT43" i="62"/>
  <c r="AT23" i="62" s="1"/>
  <c r="AT16" i="66" s="1"/>
  <c r="AT14" i="66" s="1"/>
  <c r="AT13" i="66" s="1"/>
  <c r="AU1163" i="4"/>
  <c r="AT26" i="11"/>
  <c r="AS1266" i="4"/>
  <c r="AT51" i="11" l="1"/>
  <c r="AT64" i="62"/>
  <c r="AT1024" i="4"/>
  <c r="AT1026" i="4" s="1"/>
  <c r="AT1027" i="4" s="1"/>
  <c r="AT1028" i="4" s="1"/>
  <c r="AU499" i="4"/>
  <c r="AU1023" i="4" s="1"/>
  <c r="AT491" i="4"/>
  <c r="AS1439" i="4"/>
  <c r="AS1440" i="4" s="1"/>
  <c r="AS1396" i="4"/>
  <c r="AS1391" i="4" s="1"/>
  <c r="AU488" i="4" l="1"/>
  <c r="AT15" i="11"/>
  <c r="AT13" i="11" s="1"/>
  <c r="AT62" i="64"/>
  <c r="AT907" i="4"/>
  <c r="AT911" i="4" s="1"/>
  <c r="AT915" i="4" l="1"/>
  <c r="AT1043" i="4"/>
  <c r="AT1243" i="4"/>
  <c r="AT71" i="11"/>
  <c r="AT1217" i="4"/>
  <c r="AT1221" i="4" s="1"/>
  <c r="AT78" i="64"/>
  <c r="AT70" i="64"/>
  <c r="AT47" i="11" l="1"/>
  <c r="AT996" i="4"/>
  <c r="AT1000" i="4" s="1"/>
  <c r="AT1004" i="4" s="1"/>
  <c r="AT1005" i="4" l="1"/>
  <c r="AT1012" i="4"/>
  <c r="AT62" i="11"/>
  <c r="AT61" i="11"/>
  <c r="AT48" i="11"/>
  <c r="AT55" i="11" s="1"/>
  <c r="AT62" i="62" l="1"/>
  <c r="AT64" i="11"/>
  <c r="AT1395" i="4"/>
  <c r="AT63" i="11"/>
  <c r="AT1016" i="4"/>
  <c r="AT1013" i="4" s="1"/>
  <c r="AT1014" i="4" s="1"/>
  <c r="AU1011" i="4" s="1"/>
  <c r="AT1006" i="4" l="1"/>
  <c r="AT1007" i="4" s="1"/>
  <c r="AT63" i="62" s="1"/>
  <c r="AT67" i="62" s="1"/>
  <c r="AT68" i="62" l="1"/>
  <c r="AT61" i="64"/>
  <c r="AT1222" i="4"/>
  <c r="AT1223" i="4" s="1"/>
  <c r="AT1046" i="4"/>
  <c r="AT1053" i="4" s="1"/>
  <c r="AT1055" i="4" s="1"/>
  <c r="AT1058" i="4" s="1"/>
  <c r="AT75" i="11"/>
  <c r="AT1246" i="4"/>
  <c r="AT56" i="11"/>
  <c r="AT57" i="11" s="1"/>
  <c r="AT1236" i="4" l="1"/>
  <c r="AT66" i="64"/>
  <c r="AT40" i="64" s="1"/>
  <c r="AT42" i="64" s="1"/>
  <c r="AT69" i="64"/>
  <c r="AT74" i="64" s="1"/>
  <c r="AT77" i="64"/>
  <c r="AT82" i="64" s="1"/>
  <c r="AT1394" i="4"/>
  <c r="AT1206" i="4"/>
  <c r="AT49" i="64" l="1"/>
  <c r="AT52" i="64"/>
  <c r="AT1116" i="4"/>
  <c r="AT1117" i="4" s="1"/>
  <c r="AT1119" i="4" s="1"/>
  <c r="AT1121" i="4" s="1"/>
  <c r="AT1087" i="4" s="1"/>
  <c r="AT1137" i="4" l="1"/>
  <c r="AT1088" i="4"/>
  <c r="AU1085" i="4" l="1"/>
  <c r="AU1130" i="4"/>
  <c r="AU1148" i="4" s="1"/>
  <c r="AT88" i="11"/>
  <c r="AT1347" i="4"/>
  <c r="AT38" i="66"/>
  <c r="AT1404" i="4"/>
  <c r="AT1247" i="4"/>
  <c r="AT1225" i="4"/>
  <c r="AT1226" i="4" s="1"/>
  <c r="AT1138" i="4"/>
  <c r="AT1204" i="4" l="1"/>
  <c r="AT1194" i="4"/>
  <c r="AT1412" i="4"/>
  <c r="AT1413" i="4" s="1"/>
  <c r="AT1438" i="4"/>
  <c r="AT31" i="11"/>
  <c r="AT1428" i="4"/>
  <c r="AU1135" i="4"/>
  <c r="AU1086" i="4"/>
  <c r="AT45" i="62" l="1"/>
  <c r="AT30" i="11"/>
  <c r="AT1418" i="4"/>
  <c r="AT1416" i="4"/>
  <c r="AU1101" i="4"/>
  <c r="AU1129" i="4"/>
  <c r="AU1147" i="4" s="1"/>
  <c r="AU1149" i="4" s="1"/>
  <c r="AU1136" i="4"/>
  <c r="AU1125" i="4"/>
  <c r="AT1175" i="4"/>
  <c r="AT1197" i="4"/>
  <c r="AT1198" i="4" s="1"/>
  <c r="AT1188" i="4" s="1"/>
  <c r="AU1415" i="4"/>
  <c r="AT1419" i="4" l="1"/>
  <c r="AU1102" i="4"/>
  <c r="AU1103" i="4"/>
  <c r="AU1112" i="4"/>
  <c r="AU1141" i="4" s="1"/>
  <c r="AT1187" i="4"/>
  <c r="AT1176" i="4" s="1"/>
  <c r="AT1189" i="4"/>
  <c r="AT1180" i="4"/>
  <c r="AT1184" i="4"/>
  <c r="AT1191" i="4" s="1"/>
  <c r="AU87" i="11"/>
  <c r="AU18" i="66"/>
  <c r="AU1259" i="4"/>
  <c r="AU1233" i="4"/>
  <c r="AU1346" i="4"/>
  <c r="T87" i="67"/>
  <c r="AU1045" i="4"/>
  <c r="AU37" i="66"/>
  <c r="AU999" i="4"/>
  <c r="AU50" i="11"/>
  <c r="AU1218" i="4"/>
  <c r="AU297" i="4"/>
  <c r="AU305" i="4" s="1"/>
  <c r="AU330" i="4" s="1"/>
  <c r="AU72" i="11"/>
  <c r="AU1249" i="4"/>
  <c r="T72" i="67"/>
  <c r="AT1232" i="4" l="1"/>
  <c r="AT1261" i="4"/>
  <c r="AT86" i="11"/>
  <c r="AT19" i="66"/>
  <c r="AT17" i="66" s="1"/>
  <c r="AT1403" i="4"/>
  <c r="AV457" i="4"/>
  <c r="AV479" i="4"/>
  <c r="AU456" i="4"/>
  <c r="AU458" i="4" s="1"/>
  <c r="AU459" i="4" s="1"/>
  <c r="AV468" i="4"/>
  <c r="AU478" i="4"/>
  <c r="AU480" i="4" s="1"/>
  <c r="AU481" i="4" s="1"/>
  <c r="AU482" i="4" s="1"/>
  <c r="AU483" i="4" s="1"/>
  <c r="AV477" i="4" s="1"/>
  <c r="AU467" i="4"/>
  <c r="AU469" i="4" s="1"/>
  <c r="AU470" i="4" s="1"/>
  <c r="AU471" i="4" s="1"/>
  <c r="AU472" i="4" s="1"/>
  <c r="AV466" i="4" s="1"/>
  <c r="AT1227" i="4"/>
  <c r="AT1195" i="4"/>
  <c r="AT1199" i="4" s="1"/>
  <c r="AT1177" i="4" s="1"/>
  <c r="AT1250" i="4"/>
  <c r="AT74" i="11"/>
  <c r="AT78" i="11" s="1"/>
  <c r="AT36" i="66"/>
  <c r="AT1309" i="4"/>
  <c r="AU49" i="11"/>
  <c r="T50" i="67"/>
  <c r="AU1143" i="4"/>
  <c r="AU997" i="4"/>
  <c r="AU1142" i="4"/>
  <c r="AU294" i="4" s="1"/>
  <c r="AU1092" i="4"/>
  <c r="AU1091" i="4"/>
  <c r="AU1104" i="4"/>
  <c r="AU1093" i="4" l="1"/>
  <c r="AU1111" i="4" s="1"/>
  <c r="AV495" i="4"/>
  <c r="AV995" i="4" s="1"/>
  <c r="T49" i="67"/>
  <c r="AU1113" i="4"/>
  <c r="AU1144" i="4" s="1"/>
  <c r="AU1120" i="4"/>
  <c r="AT1406" i="4"/>
  <c r="AT1344" i="4"/>
  <c r="AT1308" i="4"/>
  <c r="AT1311" i="4" s="1"/>
  <c r="AU299" i="4"/>
  <c r="AU302" i="4"/>
  <c r="AU53" i="11"/>
  <c r="AU52" i="11" s="1"/>
  <c r="T53" i="67"/>
  <c r="AT1228" i="4"/>
  <c r="AT1205" i="4" s="1"/>
  <c r="AT1251" i="4"/>
  <c r="AT89" i="11"/>
  <c r="AT39" i="66"/>
  <c r="AT35" i="66" s="1"/>
  <c r="AT1178" i="4"/>
  <c r="AU494" i="4"/>
  <c r="AU994" i="4" s="1"/>
  <c r="AU460" i="4"/>
  <c r="AU461" i="4" s="1"/>
  <c r="AV455" i="4" s="1"/>
  <c r="AT1348" i="4" l="1"/>
  <c r="AT1207" i="4"/>
  <c r="AT1209" i="4" s="1"/>
  <c r="T52" i="67"/>
  <c r="AT27" i="11"/>
  <c r="AU1173" i="4"/>
  <c r="AT1429" i="4"/>
  <c r="AU331" i="4"/>
  <c r="AU307" i="4"/>
  <c r="AU1248" i="4"/>
  <c r="AU1044" i="4"/>
  <c r="AU1067" i="4" s="1"/>
  <c r="AU1224" i="4"/>
  <c r="AU73" i="11"/>
  <c r="T73" i="67"/>
  <c r="T23" i="13"/>
  <c r="AT1313" i="4"/>
  <c r="AT1325" i="4"/>
  <c r="AT1208" i="4" l="1"/>
  <c r="AU332" i="4"/>
  <c r="AU14" i="11" s="1"/>
  <c r="AU1157" i="4"/>
  <c r="AU1068" i="4"/>
  <c r="AU1158" i="4"/>
  <c r="AU1174" i="4" s="1"/>
  <c r="AU405" i="4"/>
  <c r="AU406" i="4" s="1"/>
  <c r="AU407" i="4" s="1"/>
  <c r="AU408" i="4" s="1"/>
  <c r="AU409" i="4" s="1"/>
  <c r="AV404" i="4" s="1"/>
  <c r="AU385" i="4"/>
  <c r="AU395" i="4"/>
  <c r="AU396" i="4" s="1"/>
  <c r="AU397" i="4" s="1"/>
  <c r="AU398" i="4" s="1"/>
  <c r="AU399" i="4" s="1"/>
  <c r="AV394" i="4" s="1"/>
  <c r="AT1432" i="4"/>
  <c r="AT1430" i="4"/>
  <c r="AT1431" i="4" s="1"/>
  <c r="AT1252" i="4"/>
  <c r="AT1229" i="4"/>
  <c r="AT1230" i="4" s="1"/>
  <c r="AT1234" i="4" s="1"/>
  <c r="AU1213" i="4" s="1"/>
  <c r="AT48" i="62"/>
  <c r="AT24" i="62" s="1"/>
  <c r="AT26" i="62" s="1"/>
  <c r="AT58" i="11"/>
  <c r="AT59" i="11" s="1"/>
  <c r="AT28" i="11" s="1"/>
  <c r="AT90" i="11"/>
  <c r="AT91" i="11" s="1"/>
  <c r="AT93" i="11" s="1"/>
  <c r="AT96" i="11" s="1"/>
  <c r="AT97" i="11" s="1"/>
  <c r="AT22" i="66"/>
  <c r="AT1326" i="4"/>
  <c r="AT1327" i="4" s="1"/>
  <c r="AT1363" i="4"/>
  <c r="T14" i="67" l="1"/>
  <c r="AT100" i="67"/>
  <c r="AT100" i="11"/>
  <c r="AU95" i="11"/>
  <c r="AT101" i="11"/>
  <c r="AT1263" i="4"/>
  <c r="AT1264" i="4" s="1"/>
  <c r="AT24" i="66"/>
  <c r="AT20" i="66" s="1"/>
  <c r="AT26" i="66" s="1"/>
  <c r="AT44" i="66"/>
  <c r="AT40" i="66" s="1"/>
  <c r="AT46" i="66" s="1"/>
  <c r="AT1385" i="4"/>
  <c r="AT1384" i="4" s="1"/>
  <c r="AT21" i="11"/>
  <c r="AT17" i="11" s="1"/>
  <c r="AT46" i="62"/>
  <c r="AT101" i="67"/>
  <c r="AT1253" i="4"/>
  <c r="AT1254" i="4" s="1"/>
  <c r="AU489" i="4"/>
  <c r="AU386" i="4"/>
  <c r="AU387" i="4" s="1"/>
  <c r="AU500" i="4"/>
  <c r="AT25" i="11"/>
  <c r="AU1051" i="4"/>
  <c r="AT1364" i="4"/>
  <c r="AT1365" i="4" s="1"/>
  <c r="AU1164" i="4"/>
  <c r="AU1159" i="4"/>
  <c r="AT1266" i="4" l="1"/>
  <c r="AT48" i="66"/>
  <c r="AT99" i="11"/>
  <c r="AU490" i="4"/>
  <c r="AU501" i="4"/>
  <c r="AU502" i="4" s="1"/>
  <c r="AU388" i="4"/>
  <c r="AU389" i="4" s="1"/>
  <c r="AV384" i="4" s="1"/>
  <c r="AT37" i="11"/>
  <c r="AT1398" i="4"/>
  <c r="AT1393" i="4" s="1"/>
  <c r="AT1397" i="4"/>
  <c r="AT1392" i="4" s="1"/>
  <c r="AT1386" i="4"/>
  <c r="AT1383" i="4" s="1"/>
  <c r="AT23" i="11"/>
  <c r="AU1260" i="4"/>
  <c r="AU42" i="62"/>
  <c r="AU1167" i="4"/>
  <c r="AU1168" i="4" s="1"/>
  <c r="AU1231" i="4"/>
  <c r="AU85" i="11"/>
  <c r="T85" i="67"/>
  <c r="AT39" i="11" l="1"/>
  <c r="AT40" i="11" s="1"/>
  <c r="AU52" i="62"/>
  <c r="AU43" i="62"/>
  <c r="AU23" i="62" s="1"/>
  <c r="AU16" i="66" s="1"/>
  <c r="AU14" i="66" s="1"/>
  <c r="AU13" i="66" s="1"/>
  <c r="AV499" i="4"/>
  <c r="AV1023" i="4" s="1"/>
  <c r="AU1024" i="4"/>
  <c r="AU1026" i="4" s="1"/>
  <c r="AU1027" i="4" s="1"/>
  <c r="AU1028" i="4" s="1"/>
  <c r="T26" i="67"/>
  <c r="AV1163" i="4"/>
  <c r="AU26" i="11"/>
  <c r="AU51" i="11"/>
  <c r="AU64" i="62"/>
  <c r="T51" i="67"/>
  <c r="AT1439" i="4"/>
  <c r="AT1440" i="4" s="1"/>
  <c r="AT1396" i="4"/>
  <c r="AT1391" i="4" s="1"/>
  <c r="AU491" i="4"/>
  <c r="AU15" i="11" l="1"/>
  <c r="AU13" i="11" s="1"/>
  <c r="T15" i="67"/>
  <c r="T13" i="67" s="1"/>
  <c r="AV488" i="4"/>
  <c r="AU907" i="4"/>
  <c r="AU911" i="4" s="1"/>
  <c r="AU62" i="64"/>
  <c r="AU78" i="64" l="1"/>
  <c r="AU70" i="64"/>
  <c r="AU915" i="4"/>
  <c r="AU71" i="11"/>
  <c r="AU1243" i="4"/>
  <c r="AU1043" i="4"/>
  <c r="AU1217" i="4"/>
  <c r="AU1221" i="4" s="1"/>
  <c r="T40" i="13"/>
  <c r="T71" i="67"/>
  <c r="AU996" i="4" l="1"/>
  <c r="AU1000" i="4" s="1"/>
  <c r="AU1004" i="4" s="1"/>
  <c r="AU47" i="11"/>
  <c r="T47" i="67"/>
  <c r="T20" i="72"/>
  <c r="AU61" i="11" l="1"/>
  <c r="AU62" i="11"/>
  <c r="AU48" i="11"/>
  <c r="AU55" i="11" s="1"/>
  <c r="T62" i="67"/>
  <c r="T61" i="67"/>
  <c r="T48" i="67"/>
  <c r="AU1005" i="4"/>
  <c r="AU1012" i="4"/>
  <c r="T63" i="67" l="1"/>
  <c r="T55" i="67"/>
  <c r="T64" i="67"/>
  <c r="AU64" i="11"/>
  <c r="AU1395" i="4"/>
  <c r="AU62" i="62"/>
  <c r="AU1016" i="4"/>
  <c r="AU1013" i="4" s="1"/>
  <c r="AU1014" i="4" s="1"/>
  <c r="AV1011" i="4" s="1"/>
  <c r="AU63" i="11"/>
  <c r="T1449" i="4"/>
  <c r="AU1006" i="4" l="1"/>
  <c r="AU1007" i="4" s="1"/>
  <c r="AU63" i="62" l="1"/>
  <c r="AU67" i="62" s="1"/>
  <c r="AU75" i="11"/>
  <c r="AU1246" i="4"/>
  <c r="AU1222" i="4"/>
  <c r="AU1223" i="4" s="1"/>
  <c r="AU1046" i="4"/>
  <c r="AU1053" i="4" s="1"/>
  <c r="AU1055" i="4" s="1"/>
  <c r="AU1058" i="4" s="1"/>
  <c r="AU61" i="64"/>
  <c r="AU56" i="11"/>
  <c r="AU57" i="11" s="1"/>
  <c r="T41" i="13"/>
  <c r="T56" i="67"/>
  <c r="T75" i="67"/>
  <c r="T43" i="13" l="1"/>
  <c r="AU66" i="64"/>
  <c r="AU40" i="64" s="1"/>
  <c r="AU42" i="64" s="1"/>
  <c r="AU69" i="64"/>
  <c r="AU74" i="64" s="1"/>
  <c r="AU77" i="64"/>
  <c r="AU82" i="64" s="1"/>
  <c r="AU1394" i="4"/>
  <c r="AU1206" i="4"/>
  <c r="AU1236" i="4"/>
  <c r="T57" i="67"/>
  <c r="AU68" i="62"/>
  <c r="AU49" i="64" l="1"/>
  <c r="AU52" i="64"/>
  <c r="AU1116" i="4"/>
  <c r="AU1117" i="4" s="1"/>
  <c r="AU1119" i="4" s="1"/>
  <c r="AU1121" i="4" s="1"/>
  <c r="AU1087" i="4" s="1"/>
  <c r="AU1137" i="4" l="1"/>
  <c r="AU1088" i="4"/>
  <c r="AV1085" i="4" l="1"/>
  <c r="AV1130" i="4"/>
  <c r="AV1148" i="4" s="1"/>
  <c r="AU88" i="11"/>
  <c r="AU1404" i="4"/>
  <c r="AU1225" i="4"/>
  <c r="AU1226" i="4" s="1"/>
  <c r="AU38" i="66"/>
  <c r="AU1247" i="4"/>
  <c r="AU1347" i="4"/>
  <c r="T88" i="67"/>
  <c r="T24" i="13"/>
  <c r="AU1138" i="4"/>
  <c r="AU1204" i="4" l="1"/>
  <c r="AU1194" i="4"/>
  <c r="AU1412" i="4"/>
  <c r="AU1413" i="4" s="1"/>
  <c r="T31" i="67"/>
  <c r="T30" i="67" s="1"/>
  <c r="AU1438" i="4"/>
  <c r="AV1135" i="4"/>
  <c r="AU1428" i="4"/>
  <c r="T1448" i="4"/>
  <c r="T1452" i="4" s="1"/>
  <c r="AU31" i="11"/>
  <c r="AV1086" i="4"/>
  <c r="AV1415" i="4" l="1"/>
  <c r="AU1418" i="4"/>
  <c r="AU1416" i="4"/>
  <c r="AV1101" i="4"/>
  <c r="AV1136" i="4"/>
  <c r="AV1129" i="4"/>
  <c r="AV1147" i="4" s="1"/>
  <c r="AV1149" i="4" s="1"/>
  <c r="AV1125" i="4"/>
  <c r="AU30" i="11"/>
  <c r="AU45" i="62"/>
  <c r="AU1175" i="4"/>
  <c r="AU1197" i="4"/>
  <c r="AU1198" i="4" s="1"/>
  <c r="AU1188" i="4" s="1"/>
  <c r="AU1419" i="4" l="1"/>
  <c r="AV18" i="66"/>
  <c r="AV1233" i="4"/>
  <c r="AV1346" i="4"/>
  <c r="AV1259" i="4"/>
  <c r="AV87" i="11"/>
  <c r="AU1180" i="4"/>
  <c r="AU1184" i="4"/>
  <c r="AU1191" i="4" s="1"/>
  <c r="AV1112" i="4"/>
  <c r="AV1141" i="4" s="1"/>
  <c r="AV1103" i="4"/>
  <c r="AV1102" i="4"/>
  <c r="AU1189" i="4"/>
  <c r="AU1187" i="4"/>
  <c r="AU1176" i="4" s="1"/>
  <c r="AV50" i="11"/>
  <c r="AV37" i="66"/>
  <c r="AV72" i="11"/>
  <c r="AV1045" i="4"/>
  <c r="AV999" i="4"/>
  <c r="AV1249" i="4"/>
  <c r="AV297" i="4"/>
  <c r="AV305" i="4" s="1"/>
  <c r="AV330" i="4" s="1"/>
  <c r="AV1218" i="4"/>
  <c r="AV1091" i="4" l="1"/>
  <c r="AV1092" i="4"/>
  <c r="AU19" i="66"/>
  <c r="AU17" i="66" s="1"/>
  <c r="T19" i="72" s="1"/>
  <c r="AU86" i="11"/>
  <c r="AU1261" i="4"/>
  <c r="AU1232" i="4"/>
  <c r="T86" i="67"/>
  <c r="AU1403" i="4"/>
  <c r="AU74" i="11"/>
  <c r="AU78" i="11" s="1"/>
  <c r="AU1250" i="4"/>
  <c r="AU1227" i="4"/>
  <c r="AU1195" i="4"/>
  <c r="AU1199" i="4" s="1"/>
  <c r="AU1177" i="4" s="1"/>
  <c r="T74" i="67"/>
  <c r="T78" i="67" s="1"/>
  <c r="AU36" i="66"/>
  <c r="AU1309" i="4"/>
  <c r="AV456" i="4"/>
  <c r="AV458" i="4" s="1"/>
  <c r="AV459" i="4" s="1"/>
  <c r="AW457" i="4"/>
  <c r="AW468" i="4"/>
  <c r="AV478" i="4"/>
  <c r="AV480" i="4" s="1"/>
  <c r="AV481" i="4" s="1"/>
  <c r="AV482" i="4" s="1"/>
  <c r="AV483" i="4" s="1"/>
  <c r="AW477" i="4" s="1"/>
  <c r="AV467" i="4"/>
  <c r="AV469" i="4" s="1"/>
  <c r="AV470" i="4" s="1"/>
  <c r="AV471" i="4" s="1"/>
  <c r="AV472" i="4" s="1"/>
  <c r="AW466" i="4" s="1"/>
  <c r="AW479" i="4"/>
  <c r="AV1104" i="4"/>
  <c r="AV1142" i="4"/>
  <c r="AV294" i="4" s="1"/>
  <c r="AV997" i="4"/>
  <c r="AV1143" i="4"/>
  <c r="AV49" i="11"/>
  <c r="AV1093" i="4" l="1"/>
  <c r="AV1111" i="4" s="1"/>
  <c r="AV53" i="11"/>
  <c r="AV52" i="11" s="1"/>
  <c r="AU1228" i="4"/>
  <c r="AU1205" i="4" s="1"/>
  <c r="AU39" i="66"/>
  <c r="AU35" i="66" s="1"/>
  <c r="AU89" i="11"/>
  <c r="AU1251" i="4"/>
  <c r="T89" i="67"/>
  <c r="AV299" i="4"/>
  <c r="AV302" i="4"/>
  <c r="AV1120" i="4"/>
  <c r="AV1113" i="4"/>
  <c r="AV1144" i="4" s="1"/>
  <c r="AW495" i="4"/>
  <c r="AW995" i="4" s="1"/>
  <c r="AU1344" i="4"/>
  <c r="AU1308" i="4"/>
  <c r="AU1311" i="4" s="1"/>
  <c r="AV494" i="4"/>
  <c r="AV994" i="4" s="1"/>
  <c r="AV460" i="4"/>
  <c r="AV461" i="4" s="1"/>
  <c r="AW455" i="4" s="1"/>
  <c r="T25" i="13"/>
  <c r="AU1406" i="4"/>
  <c r="AU1178" i="4"/>
  <c r="AU1348" i="4" l="1"/>
  <c r="T13" i="13"/>
  <c r="T27" i="67"/>
  <c r="AV1173" i="4"/>
  <c r="AU27" i="11"/>
  <c r="AU1429" i="4"/>
  <c r="AV73" i="11"/>
  <c r="AV1044" i="4"/>
  <c r="AV1067" i="4" s="1"/>
  <c r="AV1224" i="4"/>
  <c r="AV1248" i="4"/>
  <c r="AU1313" i="4"/>
  <c r="T14" i="72"/>
  <c r="AU1325" i="4"/>
  <c r="AU1207" i="4"/>
  <c r="AU1209" i="4" s="1"/>
  <c r="AV331" i="4"/>
  <c r="AV307" i="4"/>
  <c r="AV332" i="4" l="1"/>
  <c r="AV14" i="11" s="1"/>
  <c r="AV385" i="4"/>
  <c r="AV395" i="4"/>
  <c r="AV396" i="4" s="1"/>
  <c r="AV397" i="4" s="1"/>
  <c r="AV398" i="4" s="1"/>
  <c r="AV399" i="4" s="1"/>
  <c r="AW394" i="4" s="1"/>
  <c r="AV405" i="4"/>
  <c r="AV406" i="4" s="1"/>
  <c r="AV407" i="4" s="1"/>
  <c r="AV408" i="4" s="1"/>
  <c r="AV409" i="4" s="1"/>
  <c r="AW404" i="4" s="1"/>
  <c r="AU1432" i="4"/>
  <c r="AU1430" i="4"/>
  <c r="AU1431" i="4" s="1"/>
  <c r="AU58" i="11"/>
  <c r="AU59" i="11" s="1"/>
  <c r="AU28" i="11" s="1"/>
  <c r="AU1229" i="4"/>
  <c r="AU1230" i="4" s="1"/>
  <c r="AU1234" i="4" s="1"/>
  <c r="AV1213" i="4" s="1"/>
  <c r="AU90" i="11"/>
  <c r="AU91" i="11" s="1"/>
  <c r="AU93" i="11" s="1"/>
  <c r="AU96" i="11" s="1"/>
  <c r="AU97" i="11" s="1"/>
  <c r="AU48" i="62"/>
  <c r="AU24" i="62" s="1"/>
  <c r="AU26" i="62" s="1"/>
  <c r="AU1252" i="4"/>
  <c r="T58" i="67"/>
  <c r="T59" i="67" s="1"/>
  <c r="T90" i="67"/>
  <c r="T91" i="67" s="1"/>
  <c r="T93" i="67" s="1"/>
  <c r="T96" i="67" s="1"/>
  <c r="T97" i="67" s="1"/>
  <c r="AU22" i="66"/>
  <c r="AU1208" i="4"/>
  <c r="AU1326" i="4"/>
  <c r="AU1327" i="4" s="1"/>
  <c r="AV1158" i="4"/>
  <c r="AV1174" i="4" s="1"/>
  <c r="AV1157" i="4"/>
  <c r="AV1068" i="4"/>
  <c r="T15" i="72"/>
  <c r="AU1363" i="4"/>
  <c r="AU1364" i="4" s="1"/>
  <c r="AU1365" i="4" s="1"/>
  <c r="AU21" i="11" l="1"/>
  <c r="AU17" i="11" s="1"/>
  <c r="T1450" i="4"/>
  <c r="T1457" i="4" s="1"/>
  <c r="AU101" i="11"/>
  <c r="AU1263" i="4"/>
  <c r="AU1264" i="4" s="1"/>
  <c r="AU100" i="11"/>
  <c r="AV95" i="11"/>
  <c r="AU101" i="67"/>
  <c r="AU1385" i="4"/>
  <c r="AU1384" i="4" s="1"/>
  <c r="AU1253" i="4"/>
  <c r="AU1254" i="4" s="1"/>
  <c r="AU44" i="66"/>
  <c r="AU40" i="66" s="1"/>
  <c r="AU46" i="66" s="1"/>
  <c r="AU46" i="62"/>
  <c r="T21" i="67"/>
  <c r="T17" i="67" s="1"/>
  <c r="T23" i="67" s="1"/>
  <c r="AU24" i="66"/>
  <c r="AU20" i="66" s="1"/>
  <c r="AU26" i="66" s="1"/>
  <c r="AU100" i="67"/>
  <c r="AV1051" i="4"/>
  <c r="AU25" i="11"/>
  <c r="T28" i="67"/>
  <c r="T25" i="67" s="1"/>
  <c r="T37" i="67" s="1"/>
  <c r="U95" i="67"/>
  <c r="AV1164" i="4"/>
  <c r="AV1159" i="4"/>
  <c r="AV489" i="4"/>
  <c r="AV386" i="4"/>
  <c r="AV387" i="4" s="1"/>
  <c r="AV500" i="4"/>
  <c r="AU48" i="66" l="1"/>
  <c r="T39" i="67"/>
  <c r="T40" i="67" s="1"/>
  <c r="AU1266" i="4"/>
  <c r="T99" i="67"/>
  <c r="AV501" i="4"/>
  <c r="AV502" i="4" s="1"/>
  <c r="AV388" i="4"/>
  <c r="AV389" i="4" s="1"/>
  <c r="AW384" i="4" s="1"/>
  <c r="AV490" i="4"/>
  <c r="AV491" i="4" s="1"/>
  <c r="AU99" i="11"/>
  <c r="AU1398" i="4"/>
  <c r="AU1393" i="4" s="1"/>
  <c r="AU37" i="11"/>
  <c r="AU1397" i="4"/>
  <c r="AU1392" i="4" s="1"/>
  <c r="AV1167" i="4"/>
  <c r="AV1168" i="4" s="1"/>
  <c r="AV1231" i="4"/>
  <c r="AV42" i="62"/>
  <c r="AV1260" i="4"/>
  <c r="AV85" i="11"/>
  <c r="AU1386" i="4"/>
  <c r="AU1383" i="4" s="1"/>
  <c r="AU23" i="11"/>
  <c r="AW488" i="4" l="1"/>
  <c r="AV15" i="11"/>
  <c r="AV13" i="11" s="1"/>
  <c r="AV52" i="62"/>
  <c r="AV43" i="62"/>
  <c r="AV23" i="62" s="1"/>
  <c r="AV16" i="66" s="1"/>
  <c r="AV14" i="66" s="1"/>
  <c r="AV13" i="66" s="1"/>
  <c r="AV64" i="62"/>
  <c r="AV51" i="11"/>
  <c r="AV26" i="11"/>
  <c r="AW1163" i="4"/>
  <c r="AW499" i="4"/>
  <c r="AW1023" i="4" s="1"/>
  <c r="AV1024" i="4"/>
  <c r="AV1026" i="4" s="1"/>
  <c r="AV1027" i="4" s="1"/>
  <c r="AV1028" i="4" s="1"/>
  <c r="AU1439" i="4"/>
  <c r="AU1440" i="4" s="1"/>
  <c r="AU1396" i="4"/>
  <c r="AU1391" i="4" s="1"/>
  <c r="AU39" i="11"/>
  <c r="AU40" i="11" s="1"/>
  <c r="AV62" i="64" l="1"/>
  <c r="AV907" i="4"/>
  <c r="AV911" i="4" s="1"/>
  <c r="AV1043" i="4" l="1"/>
  <c r="AV1243" i="4"/>
  <c r="AV1217" i="4"/>
  <c r="AV1221" i="4" s="1"/>
  <c r="AV915" i="4"/>
  <c r="AV71" i="11"/>
  <c r="AV70" i="64"/>
  <c r="AV78" i="64"/>
  <c r="AV47" i="11" l="1"/>
  <c r="AV996" i="4"/>
  <c r="AV1000" i="4" s="1"/>
  <c r="AV1004" i="4" s="1"/>
  <c r="AV1005" i="4" l="1"/>
  <c r="AV1012" i="4"/>
  <c r="AV62" i="11"/>
  <c r="AV61" i="11"/>
  <c r="AV48" i="11"/>
  <c r="AV55" i="11" s="1"/>
  <c r="AV64" i="11" l="1"/>
  <c r="AV62" i="62"/>
  <c r="AV1395" i="4"/>
  <c r="AV63" i="11"/>
  <c r="AV1016" i="4"/>
  <c r="AV1013" i="4" s="1"/>
  <c r="AV1014" i="4" s="1"/>
  <c r="AW1011" i="4" s="1"/>
  <c r="AV1006" i="4" l="1"/>
  <c r="AV1007" i="4" s="1"/>
  <c r="AV63" i="62" s="1"/>
  <c r="AV67" i="62" s="1"/>
  <c r="AV68" i="62" l="1"/>
  <c r="AV75" i="11"/>
  <c r="AV1222" i="4"/>
  <c r="AV1223" i="4" s="1"/>
  <c r="AV61" i="64"/>
  <c r="AV1046" i="4"/>
  <c r="AV1053" i="4" s="1"/>
  <c r="AV1055" i="4" s="1"/>
  <c r="AV1058" i="4" s="1"/>
  <c r="AV56" i="11"/>
  <c r="AV57" i="11" s="1"/>
  <c r="AV1246" i="4"/>
  <c r="AV1394" i="4" l="1"/>
  <c r="AV1206" i="4"/>
  <c r="AV69" i="64"/>
  <c r="AV74" i="64" s="1"/>
  <c r="AV66" i="64"/>
  <c r="AV40" i="64" s="1"/>
  <c r="AV42" i="64" s="1"/>
  <c r="AV77" i="64"/>
  <c r="AV82" i="64" s="1"/>
  <c r="AV1236" i="4"/>
  <c r="AV1116" i="4" l="1"/>
  <c r="AV1117" i="4" s="1"/>
  <c r="AV1119" i="4" s="1"/>
  <c r="AV1121" i="4" s="1"/>
  <c r="AV1087" i="4" s="1"/>
  <c r="AV52" i="64"/>
  <c r="AV49" i="64"/>
  <c r="AV1137" i="4" l="1"/>
  <c r="AV1088" i="4"/>
  <c r="AW1085" i="4" l="1"/>
  <c r="AW1086" i="4" s="1"/>
  <c r="AW1130" i="4"/>
  <c r="AW1148" i="4" s="1"/>
  <c r="AV88" i="11"/>
  <c r="AV38" i="66"/>
  <c r="AV1225" i="4"/>
  <c r="AV1226" i="4" s="1"/>
  <c r="AV1404" i="4"/>
  <c r="AV1247" i="4"/>
  <c r="AV1347" i="4"/>
  <c r="AV1138" i="4"/>
  <c r="AV1204" i="4" l="1"/>
  <c r="AV1194" i="4"/>
  <c r="AV31" i="11"/>
  <c r="AV1412" i="4"/>
  <c r="AV1413" i="4" s="1"/>
  <c r="AV1438" i="4"/>
  <c r="AV1428" i="4"/>
  <c r="AW1135" i="4"/>
  <c r="AW1101" i="4"/>
  <c r="AW1136" i="4"/>
  <c r="AW1129" i="4"/>
  <c r="AW1147" i="4" s="1"/>
  <c r="AW1149" i="4" s="1"/>
  <c r="AW1125" i="4"/>
  <c r="AW1415" i="4" l="1"/>
  <c r="AW1102" i="4"/>
  <c r="AW1112" i="4"/>
  <c r="AW1141" i="4" s="1"/>
  <c r="AW1103" i="4"/>
  <c r="AV1418" i="4"/>
  <c r="AV1416" i="4"/>
  <c r="AV45" i="62"/>
  <c r="AV30" i="11"/>
  <c r="AW50" i="11"/>
  <c r="AW1249" i="4"/>
  <c r="AW999" i="4"/>
  <c r="AW1218" i="4"/>
  <c r="AW37" i="66"/>
  <c r="AW1045" i="4"/>
  <c r="AW72" i="11"/>
  <c r="AW297" i="4"/>
  <c r="AW305" i="4" s="1"/>
  <c r="AW330" i="4" s="1"/>
  <c r="AV1175" i="4"/>
  <c r="AV1197" i="4"/>
  <c r="AV1198" i="4" s="1"/>
  <c r="AV1188" i="4" s="1"/>
  <c r="AW1233" i="4"/>
  <c r="AW1346" i="4"/>
  <c r="AW87" i="11"/>
  <c r="AW1259" i="4"/>
  <c r="AW18" i="66"/>
  <c r="AV1189" i="4" l="1"/>
  <c r="AV1187" i="4"/>
  <c r="AV1176" i="4" s="1"/>
  <c r="AV1180" i="4"/>
  <c r="AV1184" i="4"/>
  <c r="AV1191" i="4" s="1"/>
  <c r="AW1092" i="4"/>
  <c r="AW1091" i="4"/>
  <c r="AW49" i="11"/>
  <c r="AW1142" i="4"/>
  <c r="AW294" i="4" s="1"/>
  <c r="AW997" i="4"/>
  <c r="AW1143" i="4"/>
  <c r="AW456" i="4"/>
  <c r="AW458" i="4" s="1"/>
  <c r="AW459" i="4" s="1"/>
  <c r="AX479" i="4"/>
  <c r="AX468" i="4"/>
  <c r="AX457" i="4"/>
  <c r="AW478" i="4"/>
  <c r="AW480" i="4" s="1"/>
  <c r="AW481" i="4" s="1"/>
  <c r="AW482" i="4" s="1"/>
  <c r="AW483" i="4" s="1"/>
  <c r="AX477" i="4" s="1"/>
  <c r="AW467" i="4"/>
  <c r="AW469" i="4" s="1"/>
  <c r="AW470" i="4" s="1"/>
  <c r="AW471" i="4" s="1"/>
  <c r="AW472" i="4" s="1"/>
  <c r="AX466" i="4" s="1"/>
  <c r="AW1104" i="4"/>
  <c r="AV1419" i="4"/>
  <c r="AW1093" i="4" l="1"/>
  <c r="AW1111" i="4" s="1"/>
  <c r="AX495" i="4"/>
  <c r="AX995" i="4" s="1"/>
  <c r="AW1120" i="4"/>
  <c r="AW1113" i="4"/>
  <c r="AW1144" i="4" s="1"/>
  <c r="AW460" i="4"/>
  <c r="AW461" i="4" s="1"/>
  <c r="AX455" i="4" s="1"/>
  <c r="AW494" i="4"/>
  <c r="AW994" i="4" s="1"/>
  <c r="AW53" i="11"/>
  <c r="AW52" i="11" s="1"/>
  <c r="AV19" i="66"/>
  <c r="AV17" i="66" s="1"/>
  <c r="AV1261" i="4"/>
  <c r="AV1232" i="4"/>
  <c r="AV86" i="11"/>
  <c r="AV1403" i="4"/>
  <c r="AW299" i="4"/>
  <c r="AW302" i="4"/>
  <c r="AV74" i="11"/>
  <c r="AV78" i="11" s="1"/>
  <c r="AV1195" i="4"/>
  <c r="AV1199" i="4" s="1"/>
  <c r="AV1177" i="4" s="1"/>
  <c r="AV1227" i="4"/>
  <c r="AV1250" i="4"/>
  <c r="AV36" i="66"/>
  <c r="AV1309" i="4"/>
  <c r="AV1406" i="4" l="1"/>
  <c r="AW1248" i="4"/>
  <c r="AW73" i="11"/>
  <c r="AW1224" i="4"/>
  <c r="AW1044" i="4"/>
  <c r="AW1067" i="4" s="1"/>
  <c r="AV39" i="66"/>
  <c r="AV35" i="66" s="1"/>
  <c r="AV89" i="11"/>
  <c r="AV1251" i="4"/>
  <c r="AV1228" i="4"/>
  <c r="AV1205" i="4" s="1"/>
  <c r="AW331" i="4"/>
  <c r="AW307" i="4"/>
  <c r="AV1308" i="4"/>
  <c r="AV1311" i="4" s="1"/>
  <c r="AV1344" i="4"/>
  <c r="AV1178" i="4"/>
  <c r="AW332" i="4" l="1"/>
  <c r="AW14" i="11" s="1"/>
  <c r="AW385" i="4"/>
  <c r="AW395" i="4"/>
  <c r="AW396" i="4" s="1"/>
  <c r="AW397" i="4" s="1"/>
  <c r="AW398" i="4" s="1"/>
  <c r="AW399" i="4" s="1"/>
  <c r="AX394" i="4" s="1"/>
  <c r="AW405" i="4"/>
  <c r="AW406" i="4" s="1"/>
  <c r="AW407" i="4" s="1"/>
  <c r="AW408" i="4" s="1"/>
  <c r="AW409" i="4" s="1"/>
  <c r="AX404" i="4" s="1"/>
  <c r="AW1157" i="4"/>
  <c r="AW1158" i="4"/>
  <c r="AW1174" i="4" s="1"/>
  <c r="AW1068" i="4"/>
  <c r="AV1207" i="4"/>
  <c r="AV1209" i="4" s="1"/>
  <c r="AW1173" i="4"/>
  <c r="AV27" i="11"/>
  <c r="AV1429" i="4"/>
  <c r="AV1348" i="4"/>
  <c r="AV1313" i="4"/>
  <c r="AV1325" i="4"/>
  <c r="AV1208" i="4" l="1"/>
  <c r="AV1252" i="4"/>
  <c r="AV58" i="11"/>
  <c r="AV59" i="11" s="1"/>
  <c r="AV28" i="11" s="1"/>
  <c r="AV1229" i="4"/>
  <c r="AV1230" i="4" s="1"/>
  <c r="AV1234" i="4" s="1"/>
  <c r="AW1213" i="4" s="1"/>
  <c r="AV48" i="62"/>
  <c r="AV24" i="62" s="1"/>
  <c r="AV26" i="62" s="1"/>
  <c r="AV90" i="11"/>
  <c r="AV91" i="11" s="1"/>
  <c r="AV93" i="11" s="1"/>
  <c r="AV96" i="11" s="1"/>
  <c r="AV97" i="11" s="1"/>
  <c r="AV22" i="66"/>
  <c r="AV1363" i="4"/>
  <c r="AV1364" i="4" s="1"/>
  <c r="AV1365" i="4" s="1"/>
  <c r="AV1430" i="4"/>
  <c r="AV1431" i="4" s="1"/>
  <c r="AV1432" i="4"/>
  <c r="AW1159" i="4"/>
  <c r="AW1164" i="4"/>
  <c r="AV1326" i="4"/>
  <c r="AV1327" i="4" s="1"/>
  <c r="AW489" i="4"/>
  <c r="AW386" i="4"/>
  <c r="AW387" i="4" s="1"/>
  <c r="AW500" i="4"/>
  <c r="AW42" i="62" l="1"/>
  <c r="AW1231" i="4"/>
  <c r="AW85" i="11"/>
  <c r="AW1260" i="4"/>
  <c r="AW1167" i="4"/>
  <c r="AW1168" i="4" s="1"/>
  <c r="AV101" i="67"/>
  <c r="AV1385" i="4"/>
  <c r="AV1384" i="4" s="1"/>
  <c r="AV44" i="66"/>
  <c r="AV40" i="66" s="1"/>
  <c r="AV46" i="66" s="1"/>
  <c r="AV21" i="11"/>
  <c r="AV17" i="11" s="1"/>
  <c r="AW95" i="11"/>
  <c r="AV1263" i="4"/>
  <c r="AV1264" i="4" s="1"/>
  <c r="AV24" i="66"/>
  <c r="AV20" i="66" s="1"/>
  <c r="AV26" i="66" s="1"/>
  <c r="AV1253" i="4"/>
  <c r="AV1254" i="4" s="1"/>
  <c r="AV46" i="62"/>
  <c r="AV101" i="11"/>
  <c r="AV100" i="11"/>
  <c r="AV100" i="67"/>
  <c r="AW1051" i="4"/>
  <c r="AW388" i="4"/>
  <c r="AW389" i="4" s="1"/>
  <c r="AX384" i="4" s="1"/>
  <c r="AW490" i="4"/>
  <c r="AW491" i="4" s="1"/>
  <c r="AW501" i="4"/>
  <c r="AW502" i="4" s="1"/>
  <c r="AV25" i="11"/>
  <c r="AV1266" i="4" l="1"/>
  <c r="AV99" i="11"/>
  <c r="AX488" i="4"/>
  <c r="AW15" i="11"/>
  <c r="AW13" i="11" s="1"/>
  <c r="AX1163" i="4"/>
  <c r="AW26" i="11"/>
  <c r="AV1397" i="4"/>
  <c r="AV1392" i="4" s="1"/>
  <c r="AV37" i="11"/>
  <c r="AV1398" i="4"/>
  <c r="AV1393" i="4" s="1"/>
  <c r="AV1386" i="4"/>
  <c r="AV1383" i="4" s="1"/>
  <c r="AV23" i="11"/>
  <c r="AX499" i="4"/>
  <c r="AX1023" i="4" s="1"/>
  <c r="AW1024" i="4"/>
  <c r="AW1026" i="4" s="1"/>
  <c r="AW1027" i="4" s="1"/>
  <c r="AW1028" i="4" s="1"/>
  <c r="AV48" i="66"/>
  <c r="AW51" i="11"/>
  <c r="AW64" i="62"/>
  <c r="AW52" i="62"/>
  <c r="AW43" i="62"/>
  <c r="AW23" i="62" s="1"/>
  <c r="AW16" i="66" s="1"/>
  <c r="AW14" i="66" s="1"/>
  <c r="AW13" i="66" s="1"/>
  <c r="AV39" i="11" l="1"/>
  <c r="AV40" i="11" s="1"/>
  <c r="AW62" i="64"/>
  <c r="AW907" i="4"/>
  <c r="AW911" i="4" s="1"/>
  <c r="AV1439" i="4"/>
  <c r="AV1440" i="4" s="1"/>
  <c r="AV1396" i="4"/>
  <c r="AV1391" i="4" s="1"/>
  <c r="AW915" i="4" l="1"/>
  <c r="AW71" i="11"/>
  <c r="AW1217" i="4"/>
  <c r="AW1221" i="4" s="1"/>
  <c r="AW1243" i="4"/>
  <c r="AW1043" i="4"/>
  <c r="AW70" i="64"/>
  <c r="AW78" i="64"/>
  <c r="AW47" i="11" l="1"/>
  <c r="AW996" i="4"/>
  <c r="AW1000" i="4" s="1"/>
  <c r="AW1004" i="4" s="1"/>
  <c r="AW1005" i="4" l="1"/>
  <c r="AW1012" i="4"/>
  <c r="AW48" i="11"/>
  <c r="AW55" i="11" s="1"/>
  <c r="AW61" i="11"/>
  <c r="AW62" i="11"/>
  <c r="AW1395" i="4" l="1"/>
  <c r="AW62" i="62"/>
  <c r="AW64" i="11"/>
  <c r="AW63" i="11"/>
  <c r="AW1016" i="4"/>
  <c r="AW1013" i="4" s="1"/>
  <c r="AW1014" i="4" s="1"/>
  <c r="AX1011" i="4" s="1"/>
  <c r="AW1006" i="4" l="1"/>
  <c r="AW1007" i="4" s="1"/>
  <c r="AW63" i="62" s="1"/>
  <c r="AW67" i="62" s="1"/>
  <c r="AW1046" i="4" l="1"/>
  <c r="AW1053" i="4" s="1"/>
  <c r="AW1055" i="4" s="1"/>
  <c r="AW1058" i="4" s="1"/>
  <c r="AW61" i="64"/>
  <c r="AW75" i="11"/>
  <c r="AW56" i="11"/>
  <c r="AW57" i="11" s="1"/>
  <c r="AW1246" i="4"/>
  <c r="AW1222" i="4"/>
  <c r="AW1223" i="4" s="1"/>
  <c r="AW68" i="62"/>
  <c r="AW1236" i="4" l="1"/>
  <c r="AW1394" i="4"/>
  <c r="AW1206" i="4"/>
  <c r="AW69" i="64"/>
  <c r="AW74" i="64" s="1"/>
  <c r="AW77" i="64"/>
  <c r="AW82" i="64" s="1"/>
  <c r="AW66" i="64"/>
  <c r="AW40" i="64" s="1"/>
  <c r="AW42" i="64" s="1"/>
  <c r="AW52" i="64" l="1"/>
  <c r="AW49" i="64"/>
  <c r="AW1116" i="4"/>
  <c r="AW1117" i="4" s="1"/>
  <c r="AW1119" i="4" s="1"/>
  <c r="AW1121" i="4" s="1"/>
  <c r="AW1087" i="4" s="1"/>
  <c r="AW1088" i="4" l="1"/>
  <c r="AW1137" i="4"/>
  <c r="AW88" i="11" l="1"/>
  <c r="AW1347" i="4"/>
  <c r="AW1247" i="4"/>
  <c r="AW38" i="66"/>
  <c r="AW1404" i="4"/>
  <c r="AW1225" i="4"/>
  <c r="AW1226" i="4" s="1"/>
  <c r="AW1138" i="4"/>
  <c r="AX1085" i="4"/>
  <c r="AX1130" i="4"/>
  <c r="AX1148" i="4" s="1"/>
  <c r="AW1194" i="4" l="1"/>
  <c r="AW1204" i="4"/>
  <c r="AX1086" i="4"/>
  <c r="AW1428" i="4"/>
  <c r="AW31" i="11"/>
  <c r="AX1135" i="4"/>
  <c r="AW1438" i="4"/>
  <c r="AW1412" i="4"/>
  <c r="AW1413" i="4" s="1"/>
  <c r="AX1415" i="4" l="1"/>
  <c r="AW45" i="62"/>
  <c r="AW30" i="11"/>
  <c r="AX1129" i="4"/>
  <c r="AX1147" i="4" s="1"/>
  <c r="AX1149" i="4" s="1"/>
  <c r="AX1136" i="4"/>
  <c r="AX1125" i="4"/>
  <c r="AX1101" i="4"/>
  <c r="AW1418" i="4"/>
  <c r="AW1416" i="4"/>
  <c r="AW1175" i="4"/>
  <c r="AW1197" i="4"/>
  <c r="AW1198" i="4" s="1"/>
  <c r="AW1188" i="4" s="1"/>
  <c r="AW1419" i="4" l="1"/>
  <c r="AX1045" i="4"/>
  <c r="AX297" i="4"/>
  <c r="AX305" i="4" s="1"/>
  <c r="AX330" i="4" s="1"/>
  <c r="AX999" i="4"/>
  <c r="AX1249" i="4"/>
  <c r="AX1218" i="4"/>
  <c r="AX37" i="66"/>
  <c r="AX50" i="11"/>
  <c r="AX72" i="11"/>
  <c r="AW1184" i="4"/>
  <c r="AW1191" i="4" s="1"/>
  <c r="AW1180" i="4"/>
  <c r="AX1102" i="4"/>
  <c r="AX1112" i="4"/>
  <c r="AX1141" i="4" s="1"/>
  <c r="AX1103" i="4"/>
  <c r="AW1189" i="4"/>
  <c r="AW1187" i="4"/>
  <c r="AW1176" i="4" s="1"/>
  <c r="AX1233" i="4"/>
  <c r="AX18" i="66"/>
  <c r="AX1259" i="4"/>
  <c r="AX87" i="11"/>
  <c r="AX1346" i="4"/>
  <c r="AX1091" i="4" l="1"/>
  <c r="AX1092" i="4"/>
  <c r="AX49" i="11"/>
  <c r="AW1250" i="4"/>
  <c r="AW74" i="11"/>
  <c r="AW78" i="11" s="1"/>
  <c r="AW1195" i="4"/>
  <c r="AW1199" i="4" s="1"/>
  <c r="AW1177" i="4" s="1"/>
  <c r="AW1227" i="4"/>
  <c r="AW36" i="66"/>
  <c r="AW1309" i="4"/>
  <c r="AX1104" i="4"/>
  <c r="AW19" i="66"/>
  <c r="AW17" i="66" s="1"/>
  <c r="AW1261" i="4"/>
  <c r="AW1232" i="4"/>
  <c r="AW86" i="11"/>
  <c r="AW1403" i="4"/>
  <c r="AX1143" i="4"/>
  <c r="AX997" i="4"/>
  <c r="AX1142" i="4"/>
  <c r="AX294" i="4" s="1"/>
  <c r="AY457" i="4"/>
  <c r="AY468" i="4"/>
  <c r="AX467" i="4"/>
  <c r="AX469" i="4" s="1"/>
  <c r="AX470" i="4" s="1"/>
  <c r="AX471" i="4" s="1"/>
  <c r="AX472" i="4" s="1"/>
  <c r="AY466" i="4" s="1"/>
  <c r="AX478" i="4"/>
  <c r="AX480" i="4" s="1"/>
  <c r="AX481" i="4" s="1"/>
  <c r="AX482" i="4" s="1"/>
  <c r="AX483" i="4" s="1"/>
  <c r="AY477" i="4" s="1"/>
  <c r="AY479" i="4"/>
  <c r="AX456" i="4"/>
  <c r="AX458" i="4" s="1"/>
  <c r="AX459" i="4" s="1"/>
  <c r="AX1093" i="4" l="1"/>
  <c r="AX1111" i="4" s="1"/>
  <c r="AY495" i="4"/>
  <c r="AY995" i="4" s="1"/>
  <c r="AW1251" i="4"/>
  <c r="AW89" i="11"/>
  <c r="AW39" i="66"/>
  <c r="AW35" i="66" s="1"/>
  <c r="AW1228" i="4"/>
  <c r="AW1205" i="4" s="1"/>
  <c r="AW1178" i="4"/>
  <c r="AX299" i="4"/>
  <c r="AX302" i="4"/>
  <c r="AW1308" i="4"/>
  <c r="AW1311" i="4" s="1"/>
  <c r="AW1344" i="4"/>
  <c r="AX460" i="4"/>
  <c r="AX461" i="4" s="1"/>
  <c r="AY455" i="4" s="1"/>
  <c r="AX494" i="4"/>
  <c r="AX994" i="4" s="1"/>
  <c r="AX53" i="11"/>
  <c r="AX52" i="11" s="1"/>
  <c r="AX1120" i="4"/>
  <c r="AX1113" i="4"/>
  <c r="AX1144" i="4" s="1"/>
  <c r="AW1406" i="4"/>
  <c r="AW27" i="11" l="1"/>
  <c r="AX1173" i="4"/>
  <c r="AW1429" i="4"/>
  <c r="AW1207" i="4"/>
  <c r="AW1209" i="4" s="1"/>
  <c r="AW1348" i="4"/>
  <c r="AW1313" i="4"/>
  <c r="AW1325" i="4"/>
  <c r="AX73" i="11"/>
  <c r="AX1224" i="4"/>
  <c r="AX1044" i="4"/>
  <c r="AX1067" i="4" s="1"/>
  <c r="AX1248" i="4"/>
  <c r="AX331" i="4"/>
  <c r="AX307" i="4"/>
  <c r="AX332" i="4" l="1"/>
  <c r="AX14" i="11" s="1"/>
  <c r="AW1363" i="4"/>
  <c r="AX385" i="4"/>
  <c r="AX395" i="4"/>
  <c r="AX396" i="4" s="1"/>
  <c r="AX397" i="4" s="1"/>
  <c r="AX398" i="4" s="1"/>
  <c r="AX399" i="4" s="1"/>
  <c r="AY394" i="4" s="1"/>
  <c r="AX405" i="4"/>
  <c r="AX406" i="4" s="1"/>
  <c r="AX407" i="4" s="1"/>
  <c r="AX408" i="4" s="1"/>
  <c r="AX409" i="4" s="1"/>
  <c r="AY404" i="4" s="1"/>
  <c r="AW1208" i="4"/>
  <c r="AW1326" i="4"/>
  <c r="AW1327" i="4" s="1"/>
  <c r="AW1229" i="4"/>
  <c r="AW1230" i="4" s="1"/>
  <c r="AW1234" i="4" s="1"/>
  <c r="AX1213" i="4" s="1"/>
  <c r="AW58" i="11"/>
  <c r="AW59" i="11" s="1"/>
  <c r="AW28" i="11" s="1"/>
  <c r="AW25" i="11" s="1"/>
  <c r="AW90" i="11"/>
  <c r="AW91" i="11" s="1"/>
  <c r="AW93" i="11" s="1"/>
  <c r="AW96" i="11" s="1"/>
  <c r="AW97" i="11" s="1"/>
  <c r="AW48" i="62"/>
  <c r="AW24" i="62" s="1"/>
  <c r="AW26" i="62" s="1"/>
  <c r="AW1252" i="4"/>
  <c r="AW22" i="66"/>
  <c r="AX1157" i="4"/>
  <c r="AX1068" i="4"/>
  <c r="AX1158" i="4"/>
  <c r="AX1174" i="4" s="1"/>
  <c r="AW1430" i="4"/>
  <c r="AW1431" i="4" s="1"/>
  <c r="AW1432" i="4"/>
  <c r="AW1397" i="4" l="1"/>
  <c r="AW1392" i="4" s="1"/>
  <c r="AW1398" i="4"/>
  <c r="AW1393" i="4" s="1"/>
  <c r="AW37" i="11"/>
  <c r="AW101" i="11"/>
  <c r="AW100" i="11"/>
  <c r="AW101" i="67"/>
  <c r="AW44" i="66"/>
  <c r="AW40" i="66" s="1"/>
  <c r="AW46" i="66" s="1"/>
  <c r="AW21" i="11"/>
  <c r="AW17" i="11" s="1"/>
  <c r="AX95" i="11"/>
  <c r="AW24" i="66"/>
  <c r="AW20" i="66" s="1"/>
  <c r="AW26" i="66" s="1"/>
  <c r="AW46" i="62"/>
  <c r="AW1385" i="4"/>
  <c r="AW1384" i="4" s="1"/>
  <c r="AW100" i="67"/>
  <c r="AW1253" i="4"/>
  <c r="AW1254" i="4" s="1"/>
  <c r="AW1263" i="4"/>
  <c r="AW1264" i="4" s="1"/>
  <c r="AX386" i="4"/>
  <c r="AX387" i="4" s="1"/>
  <c r="AX500" i="4"/>
  <c r="AX489" i="4"/>
  <c r="AX1164" i="4"/>
  <c r="AX1159" i="4"/>
  <c r="AX1051" i="4"/>
  <c r="AW1364" i="4"/>
  <c r="AW1365" i="4" s="1"/>
  <c r="L25" i="13"/>
  <c r="M25" i="13"/>
  <c r="N25" i="13"/>
  <c r="O25" i="13"/>
  <c r="AW48" i="66" l="1"/>
  <c r="AW99" i="11"/>
  <c r="AX1260" i="4"/>
  <c r="AX1167" i="4"/>
  <c r="AX1168" i="4" s="1"/>
  <c r="AX85" i="11"/>
  <c r="AX1231" i="4"/>
  <c r="AX42" i="62"/>
  <c r="AX388" i="4"/>
  <c r="AX389" i="4" s="1"/>
  <c r="AY384" i="4" s="1"/>
  <c r="AX501" i="4"/>
  <c r="AX502" i="4" s="1"/>
  <c r="AX490" i="4"/>
  <c r="AX491" i="4" s="1"/>
  <c r="AW1386" i="4"/>
  <c r="AW1383" i="4" s="1"/>
  <c r="AW23" i="11"/>
  <c r="AW39" i="11" s="1"/>
  <c r="AW40" i="11" s="1"/>
  <c r="AW1266" i="4"/>
  <c r="AY488" i="4" l="1"/>
  <c r="AX15" i="11"/>
  <c r="AX13" i="11" s="1"/>
  <c r="AX52" i="62"/>
  <c r="AX43" i="62"/>
  <c r="AX23" i="62" s="1"/>
  <c r="AX16" i="66" s="1"/>
  <c r="AX14" i="66" s="1"/>
  <c r="AX13" i="66" s="1"/>
  <c r="AW1439" i="4"/>
  <c r="AW1440" i="4" s="1"/>
  <c r="AW1396" i="4"/>
  <c r="AW1391" i="4" s="1"/>
  <c r="AX64" i="62"/>
  <c r="AX51" i="11"/>
  <c r="AY1163" i="4"/>
  <c r="AX26" i="11"/>
  <c r="AY499" i="4"/>
  <c r="AY1023" i="4" s="1"/>
  <c r="AX1024" i="4"/>
  <c r="AX1026" i="4" s="1"/>
  <c r="AX1027" i="4" s="1"/>
  <c r="AX1028" i="4" s="1"/>
  <c r="I165" i="15"/>
  <c r="J165" i="15"/>
  <c r="K165" i="15"/>
  <c r="L165" i="15"/>
  <c r="M165" i="15"/>
  <c r="AX907" i="4" l="1"/>
  <c r="AX911" i="4" s="1"/>
  <c r="AX62" i="64"/>
  <c r="AX78" i="64" l="1"/>
  <c r="AX70" i="64"/>
  <c r="AX1243" i="4"/>
  <c r="AX71" i="11"/>
  <c r="AX915" i="4"/>
  <c r="AX1217" i="4"/>
  <c r="AX1221" i="4" s="1"/>
  <c r="AX1043" i="4"/>
  <c r="M1316" i="4"/>
  <c r="N1316" i="4"/>
  <c r="O1316" i="4"/>
  <c r="P1316" i="4"/>
  <c r="Q1316" i="4"/>
  <c r="R1316" i="4"/>
  <c r="S1316" i="4"/>
  <c r="T1316" i="4"/>
  <c r="AX47" i="11" l="1"/>
  <c r="AX996" i="4"/>
  <c r="AX1000" i="4" s="1"/>
  <c r="AX1004" i="4" s="1"/>
  <c r="J148" i="15"/>
  <c r="K148" i="15"/>
  <c r="AX1012" i="4" l="1"/>
  <c r="AX1005" i="4"/>
  <c r="AX62" i="11"/>
  <c r="AX48" i="11"/>
  <c r="AX55" i="11" s="1"/>
  <c r="AX61" i="11"/>
  <c r="AX63" i="11" l="1"/>
  <c r="AX1395" i="4"/>
  <c r="AX64" i="11"/>
  <c r="AX62" i="62"/>
  <c r="AX1016" i="4"/>
  <c r="AX1013" i="4" s="1"/>
  <c r="AX1014" i="4" s="1"/>
  <c r="AY1011" i="4" s="1"/>
  <c r="AX1006" i="4" l="1"/>
  <c r="AX1007" i="4" s="1"/>
  <c r="AX1046" i="4" s="1"/>
  <c r="AX1053" i="4" s="1"/>
  <c r="AX63" i="62" l="1"/>
  <c r="AX67" i="62" s="1"/>
  <c r="AX68" i="62" s="1"/>
  <c r="AX56" i="11"/>
  <c r="AX57" i="11" s="1"/>
  <c r="AX1206" i="4" s="1"/>
  <c r="AX1222" i="4"/>
  <c r="AX1223" i="4" s="1"/>
  <c r="AX1236" i="4" s="1"/>
  <c r="AX61" i="64"/>
  <c r="AX69" i="64" s="1"/>
  <c r="AX74" i="64" s="1"/>
  <c r="AX75" i="11"/>
  <c r="AX1246" i="4"/>
  <c r="AX1055" i="4"/>
  <c r="AX1394" i="4" l="1"/>
  <c r="AX66" i="64"/>
  <c r="AX40" i="64" s="1"/>
  <c r="AX42" i="64" s="1"/>
  <c r="AX52" i="64" s="1"/>
  <c r="AX77" i="64"/>
  <c r="AX82" i="64" s="1"/>
  <c r="AX1058" i="4"/>
  <c r="AX1116" i="4"/>
  <c r="AX49" i="64" l="1"/>
  <c r="AX1117" i="4"/>
  <c r="AX1119" i="4" l="1"/>
  <c r="AX1121" i="4" l="1"/>
  <c r="AX1087" i="4" s="1"/>
  <c r="AX1137" i="4" l="1"/>
  <c r="AX1088" i="4"/>
  <c r="AY1085" i="4" l="1"/>
  <c r="AY1130" i="4"/>
  <c r="AY1148" i="4" s="1"/>
  <c r="AX1225" i="4"/>
  <c r="AX1226" i="4" s="1"/>
  <c r="AX88" i="11"/>
  <c r="AX1404" i="4"/>
  <c r="AX1347" i="4"/>
  <c r="AX38" i="66"/>
  <c r="AX1247" i="4"/>
  <c r="AX1138" i="4"/>
  <c r="AX1438" i="4" l="1"/>
  <c r="AX31" i="11"/>
  <c r="AX1428" i="4"/>
  <c r="AX1412" i="4"/>
  <c r="AX1413" i="4" s="1"/>
  <c r="AY1135" i="4"/>
  <c r="AX1204" i="4"/>
  <c r="AX1194" i="4"/>
  <c r="AY1086" i="4"/>
  <c r="AX1175" i="4" l="1"/>
  <c r="AX1197" i="4"/>
  <c r="AX1198" i="4" s="1"/>
  <c r="AX1188" i="4" s="1"/>
  <c r="AY1415" i="4"/>
  <c r="AX1418" i="4"/>
  <c r="AX1416" i="4"/>
  <c r="AX30" i="11"/>
  <c r="AX45" i="62"/>
  <c r="AY1129" i="4"/>
  <c r="AY1147" i="4" s="1"/>
  <c r="AY1149" i="4" s="1"/>
  <c r="AY1136" i="4"/>
  <c r="AY1125" i="4"/>
  <c r="AY1101" i="4"/>
  <c r="AX1419" i="4" l="1"/>
  <c r="AY1102" i="4"/>
  <c r="AY1112" i="4"/>
  <c r="AY1141" i="4" s="1"/>
  <c r="AY1103" i="4"/>
  <c r="AY18" i="66"/>
  <c r="AY1233" i="4"/>
  <c r="AY87" i="11"/>
  <c r="AY1259" i="4"/>
  <c r="AY1346" i="4"/>
  <c r="U87" i="67"/>
  <c r="AY72" i="11"/>
  <c r="AY1218" i="4"/>
  <c r="AY1249" i="4"/>
  <c r="AY297" i="4"/>
  <c r="AY305" i="4" s="1"/>
  <c r="AY330" i="4" s="1"/>
  <c r="AY1045" i="4"/>
  <c r="AY999" i="4"/>
  <c r="AY37" i="66"/>
  <c r="AY50" i="11"/>
  <c r="U72" i="67"/>
  <c r="AX1189" i="4"/>
  <c r="AX1187" i="4"/>
  <c r="AX1180" i="4"/>
  <c r="AX1184" i="4"/>
  <c r="AX1191" i="4" l="1"/>
  <c r="AY478" i="4"/>
  <c r="AY480" i="4" s="1"/>
  <c r="AY481" i="4" s="1"/>
  <c r="AY482" i="4" s="1"/>
  <c r="AY483" i="4" s="1"/>
  <c r="AZ477" i="4" s="1"/>
  <c r="AZ468" i="4"/>
  <c r="AY456" i="4"/>
  <c r="AY458" i="4" s="1"/>
  <c r="AY459" i="4" s="1"/>
  <c r="AZ457" i="4"/>
  <c r="AZ479" i="4"/>
  <c r="AY467" i="4"/>
  <c r="AY469" i="4" s="1"/>
  <c r="AY470" i="4" s="1"/>
  <c r="AY471" i="4" s="1"/>
  <c r="AY472" i="4" s="1"/>
  <c r="AZ466" i="4" s="1"/>
  <c r="AX1176" i="4"/>
  <c r="AX1195" i="4"/>
  <c r="AX74" i="11"/>
  <c r="AX1227" i="4"/>
  <c r="AX1250" i="4"/>
  <c r="AX36" i="66"/>
  <c r="AX1309" i="4"/>
  <c r="AY1091" i="4"/>
  <c r="AY1092" i="4"/>
  <c r="AX19" i="66"/>
  <c r="AX1261" i="4"/>
  <c r="AX1232" i="4"/>
  <c r="AX86" i="11"/>
  <c r="AX1403" i="4"/>
  <c r="AY1143" i="4"/>
  <c r="AY1142" i="4"/>
  <c r="AY294" i="4" s="1"/>
  <c r="AY997" i="4"/>
  <c r="AY49" i="11"/>
  <c r="U50" i="67"/>
  <c r="U49" i="67" s="1"/>
  <c r="AY1104" i="4"/>
  <c r="AX17" i="66" l="1"/>
  <c r="AX1406" i="4"/>
  <c r="AX78" i="11"/>
  <c r="AY53" i="11"/>
  <c r="AY52" i="11" s="1"/>
  <c r="U53" i="67"/>
  <c r="U52" i="67" s="1"/>
  <c r="AY1093" i="4"/>
  <c r="AY1111" i="4" s="1"/>
  <c r="AX1199" i="4"/>
  <c r="AX1177" i="4" s="1"/>
  <c r="AX1178" i="4" s="1"/>
  <c r="AZ495" i="4"/>
  <c r="AZ995" i="4" s="1"/>
  <c r="AY1113" i="4"/>
  <c r="AY1144" i="4" s="1"/>
  <c r="AY1120" i="4"/>
  <c r="AY460" i="4"/>
  <c r="AY461" i="4" s="1"/>
  <c r="AZ455" i="4" s="1"/>
  <c r="AY494" i="4"/>
  <c r="AY994" i="4" s="1"/>
  <c r="AY299" i="4"/>
  <c r="AY302" i="4"/>
  <c r="AY331" i="4" l="1"/>
  <c r="AY307" i="4"/>
  <c r="AY73" i="11"/>
  <c r="AY1224" i="4"/>
  <c r="AY1248" i="4"/>
  <c r="AY1044" i="4"/>
  <c r="AY1067" i="4" s="1"/>
  <c r="U73" i="67"/>
  <c r="U23" i="13"/>
  <c r="AX1308" i="4"/>
  <c r="AX1344" i="4"/>
  <c r="AY1173" i="4"/>
  <c r="AX27" i="11"/>
  <c r="AX1429" i="4"/>
  <c r="AX89" i="11"/>
  <c r="AX1251" i="4"/>
  <c r="AX1228" i="4"/>
  <c r="AX39" i="66"/>
  <c r="AY332" i="4" l="1"/>
  <c r="AY14" i="11" s="1"/>
  <c r="AY1157" i="4"/>
  <c r="AY1158" i="4"/>
  <c r="AY1174" i="4" s="1"/>
  <c r="AY1068" i="4"/>
  <c r="AX35" i="66"/>
  <c r="AX1205" i="4"/>
  <c r="AX1348" i="4"/>
  <c r="AX1430" i="4"/>
  <c r="AX1431" i="4" s="1"/>
  <c r="AX1432" i="4"/>
  <c r="AX1311" i="4"/>
  <c r="AY385" i="4"/>
  <c r="AY395" i="4"/>
  <c r="AY396" i="4" s="1"/>
  <c r="AY397" i="4" s="1"/>
  <c r="AY398" i="4" s="1"/>
  <c r="AY399" i="4" s="1"/>
  <c r="AZ394" i="4" s="1"/>
  <c r="AY405" i="4"/>
  <c r="AY406" i="4" s="1"/>
  <c r="AY407" i="4" s="1"/>
  <c r="AY408" i="4" s="1"/>
  <c r="AY409" i="4" s="1"/>
  <c r="AZ404" i="4" s="1"/>
  <c r="U14" i="67" l="1"/>
  <c r="AX1313" i="4"/>
  <c r="AX1325" i="4"/>
  <c r="AX1207" i="4"/>
  <c r="AX1209" i="4" s="1"/>
  <c r="AY386" i="4"/>
  <c r="AY387" i="4" s="1"/>
  <c r="AY500" i="4"/>
  <c r="AY489" i="4"/>
  <c r="AX1363" i="4"/>
  <c r="AY1164" i="4"/>
  <c r="AY1159" i="4"/>
  <c r="AX1364" i="4" l="1"/>
  <c r="AX1365" i="4" s="1"/>
  <c r="AY388" i="4"/>
  <c r="AY389" i="4" s="1"/>
  <c r="AZ384" i="4" s="1"/>
  <c r="AY501" i="4"/>
  <c r="AY502" i="4" s="1"/>
  <c r="AY490" i="4"/>
  <c r="AY491" i="4" s="1"/>
  <c r="AX1208" i="4"/>
  <c r="AX48" i="62"/>
  <c r="AX58" i="11"/>
  <c r="AX1252" i="4"/>
  <c r="AX90" i="11"/>
  <c r="AX1229" i="4"/>
  <c r="AX22" i="66"/>
  <c r="AY1231" i="4"/>
  <c r="AY42" i="62"/>
  <c r="AY1260" i="4"/>
  <c r="AY1167" i="4"/>
  <c r="AY1168" i="4" s="1"/>
  <c r="AY85" i="11"/>
  <c r="U85" i="67"/>
  <c r="AX1326" i="4"/>
  <c r="AX1327" i="4" s="1"/>
  <c r="U15" i="67" l="1"/>
  <c r="U13" i="67" s="1"/>
  <c r="AY15" i="11"/>
  <c r="AY13" i="11" s="1"/>
  <c r="AZ488" i="4"/>
  <c r="AX59" i="11"/>
  <c r="AX24" i="62"/>
  <c r="AY64" i="62"/>
  <c r="AY51" i="11"/>
  <c r="U51" i="67"/>
  <c r="AY1024" i="4"/>
  <c r="AY1026" i="4" s="1"/>
  <c r="AY1027" i="4" s="1"/>
  <c r="AY1028" i="4" s="1"/>
  <c r="AZ499" i="4"/>
  <c r="AZ1023" i="4" s="1"/>
  <c r="AZ1163" i="4"/>
  <c r="AY26" i="11"/>
  <c r="U26" i="67"/>
  <c r="AX1230" i="4"/>
  <c r="AX1234" i="4" s="1"/>
  <c r="AY1213" i="4" s="1"/>
  <c r="AX91" i="11"/>
  <c r="AY52" i="62"/>
  <c r="AY43" i="62"/>
  <c r="AY23" i="62" s="1"/>
  <c r="AX26" i="62" l="1"/>
  <c r="AY16" i="66"/>
  <c r="AY14" i="66" s="1"/>
  <c r="AY13" i="66" s="1"/>
  <c r="AX93" i="11"/>
  <c r="AX96" i="11" s="1"/>
  <c r="AX97" i="11" s="1"/>
  <c r="AY907" i="4"/>
  <c r="AY911" i="4" s="1"/>
  <c r="AY62" i="64"/>
  <c r="AX28" i="11"/>
  <c r="AY1051" i="4"/>
  <c r="AX25" i="11" l="1"/>
  <c r="AY71" i="11"/>
  <c r="AY1217" i="4"/>
  <c r="AY1221" i="4" s="1"/>
  <c r="AY915" i="4"/>
  <c r="AY1243" i="4"/>
  <c r="AY1043" i="4"/>
  <c r="U40" i="13"/>
  <c r="U71" i="67"/>
  <c r="AY78" i="64"/>
  <c r="AY70" i="64"/>
  <c r="AX100" i="67"/>
  <c r="AX1253" i="4"/>
  <c r="AX101" i="11"/>
  <c r="AY95" i="11"/>
  <c r="AX1263" i="4"/>
  <c r="AX46" i="62"/>
  <c r="AX44" i="66"/>
  <c r="AX1385" i="4"/>
  <c r="AX1384" i="4" s="1"/>
  <c r="AX21" i="11"/>
  <c r="AX17" i="11" s="1"/>
  <c r="AX101" i="67"/>
  <c r="AX100" i="11"/>
  <c r="AX24" i="66"/>
  <c r="AX1264" i="4" l="1"/>
  <c r="AX1386" i="4"/>
  <c r="AX1383" i="4" s="1"/>
  <c r="AX23" i="11"/>
  <c r="AX1254" i="4"/>
  <c r="AY996" i="4"/>
  <c r="AY1000" i="4" s="1"/>
  <c r="AY1004" i="4" s="1"/>
  <c r="AY47" i="11"/>
  <c r="U47" i="67"/>
  <c r="U20" i="72"/>
  <c r="AX20" i="66"/>
  <c r="AX99" i="11"/>
  <c r="AX40" i="66"/>
  <c r="AX1397" i="4"/>
  <c r="AX1392" i="4" s="1"/>
  <c r="AX1398" i="4"/>
  <c r="AX1393" i="4" s="1"/>
  <c r="AX37" i="11"/>
  <c r="AX39" i="11" l="1"/>
  <c r="AX40" i="11" s="1"/>
  <c r="AY62" i="11"/>
  <c r="AY48" i="11"/>
  <c r="AY55" i="11" s="1"/>
  <c r="AY61" i="11"/>
  <c r="AX46" i="66"/>
  <c r="AY1012" i="4"/>
  <c r="AY1005" i="4"/>
  <c r="AX26" i="66"/>
  <c r="AX1266" i="4"/>
  <c r="AX1439" i="4"/>
  <c r="AX1440" i="4" s="1"/>
  <c r="AX1396" i="4"/>
  <c r="AX1391" i="4" s="1"/>
  <c r="U61" i="67"/>
  <c r="U63" i="67" s="1"/>
  <c r="U48" i="67"/>
  <c r="U55" i="67" s="1"/>
  <c r="U62" i="67"/>
  <c r="U64" i="67" s="1"/>
  <c r="AY1016" i="4" l="1"/>
  <c r="AY1013" i="4" s="1"/>
  <c r="AY1014" i="4" s="1"/>
  <c r="AZ1011" i="4" s="1"/>
  <c r="AX48" i="66"/>
  <c r="AY63" i="11"/>
  <c r="U1449" i="4"/>
  <c r="AY62" i="62"/>
  <c r="AY1395" i="4"/>
  <c r="AY64" i="11"/>
  <c r="AY1006" i="4" l="1"/>
  <c r="AY1007" i="4" s="1"/>
  <c r="AY63" i="62" s="1"/>
  <c r="AY67" i="62" s="1"/>
  <c r="AY75" i="11" l="1"/>
  <c r="AY1246" i="4"/>
  <c r="AY1222" i="4"/>
  <c r="AY1223" i="4" s="1"/>
  <c r="AY56" i="11"/>
  <c r="AY57" i="11" s="1"/>
  <c r="AY61" i="64"/>
  <c r="AY1046" i="4"/>
  <c r="AY1053" i="4" s="1"/>
  <c r="U56" i="67"/>
  <c r="U57" i="67" s="1"/>
  <c r="U75" i="67"/>
  <c r="U41" i="13"/>
  <c r="U43" i="13" s="1"/>
  <c r="AY68" i="62"/>
  <c r="AY77" i="64" l="1"/>
  <c r="AY82" i="64" s="1"/>
  <c r="AY66" i="64"/>
  <c r="AY40" i="64" s="1"/>
  <c r="AY42" i="64" s="1"/>
  <c r="AY69" i="64"/>
  <c r="AY74" i="64" s="1"/>
  <c r="AY1394" i="4"/>
  <c r="AY1206" i="4"/>
  <c r="AY1055" i="4"/>
  <c r="AY1236" i="4"/>
  <c r="AY1058" i="4" l="1"/>
  <c r="AY52" i="64"/>
  <c r="AY49" i="64"/>
  <c r="AY1116" i="4"/>
  <c r="AY1117" i="4" l="1"/>
  <c r="AY1119" i="4" l="1"/>
  <c r="AY1121" i="4" l="1"/>
  <c r="AY1087" i="4" s="1"/>
  <c r="AY1137" i="4" l="1"/>
  <c r="AY1088" i="4"/>
  <c r="AZ1085" i="4" l="1"/>
  <c r="AZ1130" i="4"/>
  <c r="AZ1148" i="4" s="1"/>
  <c r="AY1347" i="4"/>
  <c r="AY1404" i="4"/>
  <c r="AY38" i="66"/>
  <c r="AY1225" i="4"/>
  <c r="AY1226" i="4" s="1"/>
  <c r="AY1247" i="4"/>
  <c r="AY88" i="11"/>
  <c r="U24" i="13"/>
  <c r="U88" i="67"/>
  <c r="AY1138" i="4"/>
  <c r="AY1194" i="4" l="1"/>
  <c r="AY1204" i="4"/>
  <c r="AY1428" i="4"/>
  <c r="U31" i="67"/>
  <c r="U30" i="67" s="1"/>
  <c r="AZ1135" i="4"/>
  <c r="AY1438" i="4"/>
  <c r="U1448" i="4"/>
  <c r="U1452" i="4" s="1"/>
  <c r="AY31" i="11"/>
  <c r="AY1412" i="4"/>
  <c r="AY1413" i="4" s="1"/>
  <c r="AZ1086" i="4"/>
  <c r="AZ1415" i="4" l="1"/>
  <c r="AZ1136" i="4"/>
  <c r="AZ1129" i="4"/>
  <c r="AZ1147" i="4" s="1"/>
  <c r="AZ1149" i="4" s="1"/>
  <c r="AZ1125" i="4"/>
  <c r="AZ1101" i="4"/>
  <c r="AY1418" i="4"/>
  <c r="AY1416" i="4"/>
  <c r="AY1175" i="4"/>
  <c r="AY1197" i="4"/>
  <c r="AY1198" i="4" s="1"/>
  <c r="AY1188" i="4" s="1"/>
  <c r="AY30" i="11"/>
  <c r="AY45" i="62"/>
  <c r="AY1419" i="4" l="1"/>
  <c r="AZ297" i="4"/>
  <c r="AZ305" i="4" s="1"/>
  <c r="AZ330" i="4" s="1"/>
  <c r="AZ1045" i="4"/>
  <c r="AZ1249" i="4"/>
  <c r="AZ1218" i="4"/>
  <c r="AZ50" i="11"/>
  <c r="AZ37" i="66"/>
  <c r="AZ72" i="11"/>
  <c r="AZ999" i="4"/>
  <c r="AZ18" i="66"/>
  <c r="AZ1233" i="4"/>
  <c r="AZ1346" i="4"/>
  <c r="AZ87" i="11"/>
  <c r="AZ1259" i="4"/>
  <c r="AY1180" i="4"/>
  <c r="AY1184" i="4"/>
  <c r="AZ1102" i="4"/>
  <c r="AZ1103" i="4"/>
  <c r="AZ1112" i="4"/>
  <c r="AZ1141" i="4" s="1"/>
  <c r="AY1189" i="4"/>
  <c r="AY1187" i="4"/>
  <c r="AZ1104" i="4" l="1"/>
  <c r="AZ1120" i="4" s="1"/>
  <c r="AZ1092" i="4"/>
  <c r="AZ1091" i="4"/>
  <c r="AZ49" i="11"/>
  <c r="AZ1143" i="4"/>
  <c r="AZ1142" i="4"/>
  <c r="AZ294" i="4" s="1"/>
  <c r="AZ997" i="4"/>
  <c r="AY1191" i="4"/>
  <c r="AY1232" i="4"/>
  <c r="AY1261" i="4"/>
  <c r="AY86" i="11"/>
  <c r="AY19" i="66"/>
  <c r="U86" i="67"/>
  <c r="AY1403" i="4"/>
  <c r="AY1250" i="4"/>
  <c r="AY1227" i="4"/>
  <c r="AY74" i="11"/>
  <c r="AY1195" i="4"/>
  <c r="U74" i="67"/>
  <c r="AY1309" i="4"/>
  <c r="AY36" i="66"/>
  <c r="AY1176" i="4"/>
  <c r="AZ478" i="4"/>
  <c r="AZ480" i="4" s="1"/>
  <c r="AZ481" i="4" s="1"/>
  <c r="AZ482" i="4" s="1"/>
  <c r="AZ483" i="4" s="1"/>
  <c r="BA477" i="4" s="1"/>
  <c r="AZ456" i="4"/>
  <c r="AZ458" i="4" s="1"/>
  <c r="AZ459" i="4" s="1"/>
  <c r="AZ467" i="4"/>
  <c r="AZ469" i="4" s="1"/>
  <c r="AZ470" i="4" s="1"/>
  <c r="AZ471" i="4" s="1"/>
  <c r="AZ472" i="4" s="1"/>
  <c r="BA466" i="4" s="1"/>
  <c r="BA479" i="4"/>
  <c r="BA457" i="4"/>
  <c r="BA468" i="4"/>
  <c r="AZ1113" i="4" l="1"/>
  <c r="AZ1144" i="4" s="1"/>
  <c r="AZ1248" i="4" s="1"/>
  <c r="AZ1093" i="4"/>
  <c r="AZ1111" i="4" s="1"/>
  <c r="BA495" i="4"/>
  <c r="BA995" i="4" s="1"/>
  <c r="U78" i="67"/>
  <c r="AZ494" i="4"/>
  <c r="AZ994" i="4" s="1"/>
  <c r="AZ460" i="4"/>
  <c r="AZ461" i="4" s="1"/>
  <c r="BA455" i="4" s="1"/>
  <c r="AY1199" i="4"/>
  <c r="AY1177" i="4" s="1"/>
  <c r="AY1178" i="4" s="1"/>
  <c r="AY17" i="66"/>
  <c r="AZ299" i="4"/>
  <c r="AZ302" i="4"/>
  <c r="AY78" i="11"/>
  <c r="AZ53" i="11"/>
  <c r="AZ52" i="11" s="1"/>
  <c r="U25" i="13"/>
  <c r="AY1406" i="4"/>
  <c r="AZ1224" i="4" l="1"/>
  <c r="AZ1044" i="4"/>
  <c r="AZ1067" i="4" s="1"/>
  <c r="AZ1158" i="4" s="1"/>
  <c r="AZ1174" i="4" s="1"/>
  <c r="AZ73" i="11"/>
  <c r="U19" i="72"/>
  <c r="AY39" i="66"/>
  <c r="AY1251" i="4"/>
  <c r="AY1228" i="4"/>
  <c r="AY89" i="11"/>
  <c r="U89" i="67"/>
  <c r="AY1308" i="4"/>
  <c r="AY1344" i="4"/>
  <c r="U27" i="67"/>
  <c r="AY27" i="11"/>
  <c r="AZ1173" i="4"/>
  <c r="AY1429" i="4"/>
  <c r="AZ331" i="4"/>
  <c r="AZ307" i="4"/>
  <c r="AZ1157" i="4" l="1"/>
  <c r="AZ1159" i="4" s="1"/>
  <c r="AZ1068" i="4"/>
  <c r="AZ332" i="4"/>
  <c r="AZ14" i="11" s="1"/>
  <c r="AY1348" i="4"/>
  <c r="U13" i="13"/>
  <c r="AY1205" i="4"/>
  <c r="AZ405" i="4"/>
  <c r="AZ406" i="4" s="1"/>
  <c r="AZ407" i="4" s="1"/>
  <c r="AZ408" i="4" s="1"/>
  <c r="AZ409" i="4" s="1"/>
  <c r="BA404" i="4" s="1"/>
  <c r="AZ395" i="4"/>
  <c r="AZ396" i="4" s="1"/>
  <c r="AZ397" i="4" s="1"/>
  <c r="AZ398" i="4" s="1"/>
  <c r="AZ399" i="4" s="1"/>
  <c r="BA394" i="4" s="1"/>
  <c r="AZ385" i="4"/>
  <c r="AY1311" i="4"/>
  <c r="AY1430" i="4"/>
  <c r="AY1431" i="4" s="1"/>
  <c r="AY1432" i="4"/>
  <c r="AY35" i="66"/>
  <c r="AZ1164" i="4" l="1"/>
  <c r="AZ1167" i="4" s="1"/>
  <c r="AZ1168" i="4" s="1"/>
  <c r="U15" i="72"/>
  <c r="AY1363" i="4"/>
  <c r="AY1364" i="4" s="1"/>
  <c r="AY1365" i="4" s="1"/>
  <c r="AY1207" i="4"/>
  <c r="AY1209" i="4" s="1"/>
  <c r="AY1313" i="4"/>
  <c r="U14" i="72"/>
  <c r="AY1325" i="4"/>
  <c r="AZ386" i="4"/>
  <c r="AZ387" i="4" s="1"/>
  <c r="AZ500" i="4"/>
  <c r="AZ489" i="4"/>
  <c r="AZ1260" i="4" l="1"/>
  <c r="AZ1231" i="4"/>
  <c r="AZ42" i="62"/>
  <c r="AZ52" i="62" s="1"/>
  <c r="AZ85" i="11"/>
  <c r="AY1208" i="4"/>
  <c r="AY1326" i="4"/>
  <c r="AY1327" i="4" s="1"/>
  <c r="BA1163" i="4"/>
  <c r="AZ26" i="11"/>
  <c r="AZ388" i="4"/>
  <c r="AZ389" i="4" s="1"/>
  <c r="BA384" i="4" s="1"/>
  <c r="AZ501" i="4"/>
  <c r="AZ502" i="4" s="1"/>
  <c r="AZ490" i="4"/>
  <c r="U1316" i="4"/>
  <c r="AY1229" i="4"/>
  <c r="AY90" i="11"/>
  <c r="AY1252" i="4"/>
  <c r="AY58" i="11"/>
  <c r="AY48" i="62"/>
  <c r="U90" i="67"/>
  <c r="U58" i="67"/>
  <c r="AY22" i="66"/>
  <c r="AZ43" i="62" l="1"/>
  <c r="AZ23" i="62" s="1"/>
  <c r="AZ16" i="66" s="1"/>
  <c r="AZ14" i="66" s="1"/>
  <c r="AZ13" i="66" s="1"/>
  <c r="AY59" i="11"/>
  <c r="AY91" i="11"/>
  <c r="AY1230" i="4"/>
  <c r="AY1234" i="4" s="1"/>
  <c r="AZ1213" i="4" s="1"/>
  <c r="U59" i="67"/>
  <c r="U91" i="67"/>
  <c r="AZ491" i="4"/>
  <c r="AZ64" i="62"/>
  <c r="AZ51" i="11"/>
  <c r="AY24" i="62"/>
  <c r="AZ1024" i="4"/>
  <c r="AZ1026" i="4" s="1"/>
  <c r="AZ1027" i="4" s="1"/>
  <c r="AZ1028" i="4" s="1"/>
  <c r="BA499" i="4"/>
  <c r="BA1023" i="4" s="1"/>
  <c r="AZ1051" i="4" l="1"/>
  <c r="AZ907" i="4"/>
  <c r="AZ911" i="4" s="1"/>
  <c r="AZ62" i="64"/>
  <c r="AY26" i="62"/>
  <c r="AY93" i="11"/>
  <c r="AY96" i="11" s="1"/>
  <c r="AY97" i="11" s="1"/>
  <c r="U93" i="67"/>
  <c r="U96" i="67" s="1"/>
  <c r="U97" i="67" s="1"/>
  <c r="AZ15" i="11"/>
  <c r="AZ13" i="11" s="1"/>
  <c r="BA488" i="4"/>
  <c r="AY28" i="11"/>
  <c r="AZ95" i="11" l="1"/>
  <c r="AY100" i="11"/>
  <c r="AY100" i="67"/>
  <c r="AY24" i="66"/>
  <c r="AY44" i="66"/>
  <c r="U21" i="67"/>
  <c r="U17" i="67" s="1"/>
  <c r="U23" i="67" s="1"/>
  <c r="AY21" i="11"/>
  <c r="AY17" i="11" s="1"/>
  <c r="AY101" i="67"/>
  <c r="AY1385" i="4"/>
  <c r="AY1384" i="4" s="1"/>
  <c r="AY1263" i="4"/>
  <c r="AY101" i="11"/>
  <c r="AY1253" i="4"/>
  <c r="U1450" i="4"/>
  <c r="U1457" i="4" s="1"/>
  <c r="AY46" i="62"/>
  <c r="U28" i="67"/>
  <c r="U25" i="67" s="1"/>
  <c r="U37" i="67" s="1"/>
  <c r="AY25" i="11"/>
  <c r="AZ70" i="64"/>
  <c r="AZ78" i="64"/>
  <c r="AZ1043" i="4"/>
  <c r="AZ1243" i="4"/>
  <c r="AZ71" i="11"/>
  <c r="AZ1217" i="4"/>
  <c r="AZ1221" i="4" s="1"/>
  <c r="AZ915" i="4"/>
  <c r="V95" i="67"/>
  <c r="U39" i="67" l="1"/>
  <c r="U40" i="67" s="1"/>
  <c r="AY99" i="11"/>
  <c r="AZ996" i="4"/>
  <c r="AZ1000" i="4" s="1"/>
  <c r="AZ1004" i="4" s="1"/>
  <c r="AZ47" i="11"/>
  <c r="AY1386" i="4"/>
  <c r="AY1383" i="4" s="1"/>
  <c r="AY23" i="11"/>
  <c r="AY40" i="66"/>
  <c r="U99" i="67"/>
  <c r="AY1254" i="4"/>
  <c r="AY20" i="66"/>
  <c r="AY1397" i="4"/>
  <c r="AY1392" i="4" s="1"/>
  <c r="AY37" i="11"/>
  <c r="AY1398" i="4"/>
  <c r="AY1393" i="4" s="1"/>
  <c r="AY1264" i="4"/>
  <c r="AY39" i="11" l="1"/>
  <c r="AY40" i="11" s="1"/>
  <c r="AY26" i="66"/>
  <c r="AY1439" i="4"/>
  <c r="AY1440" i="4" s="1"/>
  <c r="AY1396" i="4"/>
  <c r="AY1391" i="4" s="1"/>
  <c r="AY1266" i="4"/>
  <c r="AY46" i="66"/>
  <c r="AZ48" i="11"/>
  <c r="AZ55" i="11" s="1"/>
  <c r="AZ62" i="11"/>
  <c r="AZ61" i="11"/>
  <c r="AZ1012" i="4"/>
  <c r="AZ1005" i="4"/>
  <c r="AZ1016" i="4" s="1"/>
  <c r="AZ1013" i="4" s="1"/>
  <c r="AZ1006" i="4" s="1"/>
  <c r="AZ1007" i="4" s="1"/>
  <c r="AZ1014" i="4" l="1"/>
  <c r="BA1011" i="4" s="1"/>
  <c r="AZ64" i="11"/>
  <c r="AZ1395" i="4"/>
  <c r="AZ62" i="62"/>
  <c r="AY48" i="66"/>
  <c r="AZ63" i="11"/>
  <c r="AZ75" i="11"/>
  <c r="AZ1046" i="4"/>
  <c r="AZ1053" i="4" s="1"/>
  <c r="AZ1246" i="4"/>
  <c r="AZ1222" i="4"/>
  <c r="AZ1223" i="4" s="1"/>
  <c r="AZ56" i="11"/>
  <c r="AZ57" i="11" s="1"/>
  <c r="AZ61" i="64"/>
  <c r="AZ69" i="64" l="1"/>
  <c r="AZ74" i="64" s="1"/>
  <c r="AZ66" i="64"/>
  <c r="AZ40" i="64" s="1"/>
  <c r="AZ42" i="64" s="1"/>
  <c r="AZ77" i="64"/>
  <c r="AZ82" i="64" s="1"/>
  <c r="AZ1394" i="4"/>
  <c r="AZ1206" i="4"/>
  <c r="AZ1236" i="4"/>
  <c r="AZ1055" i="4"/>
  <c r="AZ63" i="62"/>
  <c r="AZ67" i="62" s="1"/>
  <c r="AZ68" i="62" l="1"/>
  <c r="AZ1058" i="4"/>
  <c r="AZ1116" i="4"/>
  <c r="AZ49" i="64"/>
  <c r="AZ52" i="64"/>
  <c r="AZ1117" i="4" l="1"/>
  <c r="AZ1119" i="4" l="1"/>
  <c r="AZ1121" i="4" l="1"/>
  <c r="AZ1087" i="4" s="1"/>
  <c r="AZ1137" i="4" l="1"/>
  <c r="AZ1088" i="4"/>
  <c r="BA1130" i="4" l="1"/>
  <c r="BA1148" i="4" s="1"/>
  <c r="BA1085" i="4"/>
  <c r="AZ88" i="11"/>
  <c r="AZ1347" i="4"/>
  <c r="AZ1404" i="4"/>
  <c r="AZ1225" i="4"/>
  <c r="AZ1226" i="4" s="1"/>
  <c r="AZ38" i="66"/>
  <c r="AZ1247" i="4"/>
  <c r="AZ1138" i="4"/>
  <c r="BA1086" i="4" l="1"/>
  <c r="AZ1204" i="4"/>
  <c r="AZ1194" i="4"/>
  <c r="AZ31" i="11"/>
  <c r="AZ1412" i="4"/>
  <c r="AZ1413" i="4" s="1"/>
  <c r="AZ1428" i="4"/>
  <c r="AZ1438" i="4"/>
  <c r="BA1135" i="4"/>
  <c r="AZ1418" i="4" l="1"/>
  <c r="AZ1416" i="4"/>
  <c r="AZ1175" i="4"/>
  <c r="AZ1197" i="4"/>
  <c r="AZ1198" i="4" s="1"/>
  <c r="AZ1188" i="4" s="1"/>
  <c r="AZ30" i="11"/>
  <c r="AZ45" i="62"/>
  <c r="BA1415" i="4"/>
  <c r="BA1136" i="4"/>
  <c r="BA1129" i="4"/>
  <c r="BA1147" i="4" s="1"/>
  <c r="BA1149" i="4" s="1"/>
  <c r="BA1125" i="4"/>
  <c r="BA1101" i="4"/>
  <c r="AZ1419" i="4" l="1"/>
  <c r="BA1045" i="4"/>
  <c r="BA50" i="11"/>
  <c r="BA1249" i="4"/>
  <c r="BA297" i="4"/>
  <c r="BA305" i="4" s="1"/>
  <c r="BA330" i="4" s="1"/>
  <c r="BA37" i="66"/>
  <c r="BA999" i="4"/>
  <c r="BA72" i="11"/>
  <c r="BA1218" i="4"/>
  <c r="BA1112" i="4"/>
  <c r="BA1141" i="4" s="1"/>
  <c r="BA1102" i="4"/>
  <c r="BA1103" i="4"/>
  <c r="BA1233" i="4"/>
  <c r="BA1346" i="4"/>
  <c r="BA1259" i="4"/>
  <c r="BA87" i="11"/>
  <c r="BA18" i="66"/>
  <c r="AZ1187" i="4"/>
  <c r="AZ1189" i="4"/>
  <c r="AZ1184" i="4"/>
  <c r="AZ1180" i="4"/>
  <c r="BA1104" i="4" l="1"/>
  <c r="BA1113" i="4" s="1"/>
  <c r="BA1144" i="4" s="1"/>
  <c r="AZ1176" i="4"/>
  <c r="BA1092" i="4"/>
  <c r="BA1091" i="4"/>
  <c r="AZ1227" i="4"/>
  <c r="AZ1195" i="4"/>
  <c r="AZ1250" i="4"/>
  <c r="AZ74" i="11"/>
  <c r="AZ1309" i="4"/>
  <c r="AZ36" i="66"/>
  <c r="AZ19" i="66"/>
  <c r="AZ1261" i="4"/>
  <c r="AZ86" i="11"/>
  <c r="AZ1232" i="4"/>
  <c r="AZ1403" i="4"/>
  <c r="BA467" i="4"/>
  <c r="BA469" i="4" s="1"/>
  <c r="BA470" i="4" s="1"/>
  <c r="BA471" i="4" s="1"/>
  <c r="BA472" i="4" s="1"/>
  <c r="BB466" i="4" s="1"/>
  <c r="BB479" i="4"/>
  <c r="BB468" i="4"/>
  <c r="BB457" i="4"/>
  <c r="BA456" i="4"/>
  <c r="BA458" i="4" s="1"/>
  <c r="BA459" i="4" s="1"/>
  <c r="BA478" i="4"/>
  <c r="BA480" i="4" s="1"/>
  <c r="BA481" i="4" s="1"/>
  <c r="BA482" i="4" s="1"/>
  <c r="BA483" i="4" s="1"/>
  <c r="BB477" i="4" s="1"/>
  <c r="BA1142" i="4"/>
  <c r="BA294" i="4" s="1"/>
  <c r="BA997" i="4"/>
  <c r="BA1143" i="4"/>
  <c r="BA49" i="11"/>
  <c r="AZ1191" i="4"/>
  <c r="BA1120" i="4" l="1"/>
  <c r="BA1093" i="4"/>
  <c r="BA1111" i="4" s="1"/>
  <c r="BA299" i="4"/>
  <c r="BA302" i="4"/>
  <c r="AZ78" i="11"/>
  <c r="AZ1199" i="4"/>
  <c r="AZ1177" i="4" s="1"/>
  <c r="AZ1178" i="4" s="1"/>
  <c r="BA73" i="11"/>
  <c r="BA1248" i="4"/>
  <c r="BA1224" i="4"/>
  <c r="BA1044" i="4"/>
  <c r="BA1067" i="4" s="1"/>
  <c r="AZ17" i="66"/>
  <c r="AZ1406" i="4"/>
  <c r="BA494" i="4"/>
  <c r="BA994" i="4" s="1"/>
  <c r="BA460" i="4"/>
  <c r="BA461" i="4" s="1"/>
  <c r="BB455" i="4" s="1"/>
  <c r="BA53" i="11"/>
  <c r="BA52" i="11" s="1"/>
  <c r="BB495" i="4"/>
  <c r="BB995" i="4" s="1"/>
  <c r="AZ1228" i="4" l="1"/>
  <c r="AZ39" i="66"/>
  <c r="AZ1251" i="4"/>
  <c r="AZ89" i="11"/>
  <c r="BA1158" i="4"/>
  <c r="BA1174" i="4" s="1"/>
  <c r="BA1157" i="4"/>
  <c r="BA1068" i="4"/>
  <c r="AZ1344" i="4"/>
  <c r="AZ1308" i="4"/>
  <c r="BA1173" i="4"/>
  <c r="AZ27" i="11"/>
  <c r="AZ1429" i="4"/>
  <c r="BA331" i="4"/>
  <c r="BA307" i="4"/>
  <c r="BA332" i="4" l="1"/>
  <c r="BA14" i="11" s="1"/>
  <c r="BA385" i="4"/>
  <c r="BA395" i="4"/>
  <c r="BA396" i="4" s="1"/>
  <c r="BA397" i="4" s="1"/>
  <c r="BA398" i="4" s="1"/>
  <c r="BA399" i="4" s="1"/>
  <c r="BB394" i="4" s="1"/>
  <c r="BA405" i="4"/>
  <c r="BA406" i="4" s="1"/>
  <c r="BA407" i="4" s="1"/>
  <c r="BA408" i="4" s="1"/>
  <c r="BA409" i="4" s="1"/>
  <c r="BB404" i="4" s="1"/>
  <c r="AZ1311" i="4"/>
  <c r="AZ1348" i="4"/>
  <c r="AZ1432" i="4"/>
  <c r="AZ1430" i="4"/>
  <c r="AZ1431" i="4" s="1"/>
  <c r="BA1159" i="4"/>
  <c r="BA1164" i="4"/>
  <c r="AZ35" i="66"/>
  <c r="AZ1205" i="4"/>
  <c r="BA1231" i="4" l="1"/>
  <c r="BA85" i="11"/>
  <c r="BA42" i="62"/>
  <c r="BA1167" i="4"/>
  <c r="BA1168" i="4" s="1"/>
  <c r="BA1260" i="4"/>
  <c r="AZ1313" i="4"/>
  <c r="AZ1325" i="4"/>
  <c r="AZ1207" i="4"/>
  <c r="AZ1209" i="4" s="1"/>
  <c r="AZ1363" i="4"/>
  <c r="AZ1364" i="4" s="1"/>
  <c r="AZ1365" i="4" s="1"/>
  <c r="BA500" i="4"/>
  <c r="BA489" i="4"/>
  <c r="BA386" i="4"/>
  <c r="BA387" i="4" s="1"/>
  <c r="AZ1208" i="4" l="1"/>
  <c r="BB1163" i="4"/>
  <c r="BA26" i="11"/>
  <c r="AZ58" i="11"/>
  <c r="AZ1229" i="4"/>
  <c r="AZ48" i="62"/>
  <c r="AZ1252" i="4"/>
  <c r="AZ90" i="11"/>
  <c r="AZ22" i="66"/>
  <c r="BA52" i="62"/>
  <c r="BA43" i="62"/>
  <c r="BA23" i="62" s="1"/>
  <c r="AZ1326" i="4"/>
  <c r="AZ1327" i="4" s="1"/>
  <c r="BA490" i="4"/>
  <c r="BA388" i="4"/>
  <c r="BA389" i="4" s="1"/>
  <c r="BB384" i="4" s="1"/>
  <c r="BA501" i="4"/>
  <c r="BA502" i="4" s="1"/>
  <c r="AZ1230" i="4" l="1"/>
  <c r="AZ1234" i="4" s="1"/>
  <c r="BA1213" i="4" s="1"/>
  <c r="AZ59" i="11"/>
  <c r="BA1024" i="4"/>
  <c r="BA1026" i="4" s="1"/>
  <c r="BA1027" i="4" s="1"/>
  <c r="BA1028" i="4" s="1"/>
  <c r="BB499" i="4"/>
  <c r="BB1023" i="4" s="1"/>
  <c r="AZ91" i="11"/>
  <c r="BA491" i="4"/>
  <c r="BA51" i="11"/>
  <c r="BA64" i="62"/>
  <c r="BA16" i="66"/>
  <c r="BA14" i="66" s="1"/>
  <c r="BA13" i="66" s="1"/>
  <c r="AZ24" i="62"/>
  <c r="AZ93" i="11" l="1"/>
  <c r="AZ96" i="11" s="1"/>
  <c r="AZ97" i="11" s="1"/>
  <c r="BA907" i="4"/>
  <c r="BA911" i="4" s="1"/>
  <c r="BA62" i="64"/>
  <c r="BB488" i="4"/>
  <c r="BA15" i="11"/>
  <c r="BA13" i="11" s="1"/>
  <c r="AZ28" i="11"/>
  <c r="AZ26" i="62"/>
  <c r="BA1051" i="4"/>
  <c r="AZ25" i="11" l="1"/>
  <c r="BA78" i="64"/>
  <c r="BA70" i="64"/>
  <c r="BA1217" i="4"/>
  <c r="BA1221" i="4" s="1"/>
  <c r="BA1043" i="4"/>
  <c r="BA71" i="11"/>
  <c r="BA915" i="4"/>
  <c r="BA1243" i="4"/>
  <c r="AZ100" i="67"/>
  <c r="AZ1385" i="4"/>
  <c r="AZ1384" i="4" s="1"/>
  <c r="AZ44" i="66"/>
  <c r="AZ21" i="11"/>
  <c r="AZ17" i="11" s="1"/>
  <c r="AZ100" i="11"/>
  <c r="AZ1253" i="4"/>
  <c r="AZ101" i="11"/>
  <c r="AZ24" i="66"/>
  <c r="AZ101" i="67"/>
  <c r="AZ1263" i="4"/>
  <c r="BA95" i="11"/>
  <c r="AZ46" i="62"/>
  <c r="AZ1254" i="4" l="1"/>
  <c r="AZ1264" i="4"/>
  <c r="AZ99" i="11"/>
  <c r="BA47" i="11"/>
  <c r="BA996" i="4"/>
  <c r="BA1000" i="4" s="1"/>
  <c r="BA1004" i="4" s="1"/>
  <c r="AZ1386" i="4"/>
  <c r="AZ1383" i="4" s="1"/>
  <c r="AZ23" i="11"/>
  <c r="AZ1398" i="4"/>
  <c r="AZ1393" i="4" s="1"/>
  <c r="AZ1397" i="4"/>
  <c r="AZ1392" i="4" s="1"/>
  <c r="AZ37" i="11"/>
  <c r="AZ20" i="66"/>
  <c r="AZ40" i="66"/>
  <c r="BA61" i="11" l="1"/>
  <c r="BA48" i="11"/>
  <c r="BA55" i="11" s="1"/>
  <c r="BA62" i="11"/>
  <c r="AZ1439" i="4"/>
  <c r="AZ1440" i="4" s="1"/>
  <c r="AZ1396" i="4"/>
  <c r="AZ1391" i="4" s="1"/>
  <c r="AZ1266" i="4"/>
  <c r="AZ46" i="66"/>
  <c r="AZ26" i="66"/>
  <c r="AZ39" i="11"/>
  <c r="BA1005" i="4"/>
  <c r="BA1012" i="4"/>
  <c r="AZ40" i="11" l="1"/>
  <c r="BA1395" i="4"/>
  <c r="BA64" i="11"/>
  <c r="BA62" i="62"/>
  <c r="BA1016" i="4"/>
  <c r="BA1013" i="4" s="1"/>
  <c r="BA1014" i="4" s="1"/>
  <c r="BB1011" i="4" s="1"/>
  <c r="AZ48" i="66"/>
  <c r="BA63" i="11"/>
  <c r="BA1006" i="4" l="1"/>
  <c r="BA1007" i="4" s="1"/>
  <c r="BA63" i="62" s="1"/>
  <c r="BA67" i="62" s="1"/>
  <c r="BA68" i="62" l="1"/>
  <c r="BA1222" i="4"/>
  <c r="BA1223" i="4" s="1"/>
  <c r="BA61" i="64"/>
  <c r="BA1046" i="4"/>
  <c r="BA1053" i="4" s="1"/>
  <c r="BA75" i="11"/>
  <c r="BA1246" i="4"/>
  <c r="BA56" i="11"/>
  <c r="BA57" i="11" s="1"/>
  <c r="BA1055" i="4" l="1"/>
  <c r="BA69" i="64"/>
  <c r="BA74" i="64" s="1"/>
  <c r="BA77" i="64"/>
  <c r="BA82" i="64" s="1"/>
  <c r="BA66" i="64"/>
  <c r="BA40" i="64" s="1"/>
  <c r="BA42" i="64" s="1"/>
  <c r="BA1236" i="4"/>
  <c r="BA1394" i="4"/>
  <c r="BA1206" i="4"/>
  <c r="BA1116" i="4" l="1"/>
  <c r="BA52" i="64"/>
  <c r="BA49" i="64"/>
  <c r="BA1058" i="4"/>
  <c r="BA1117" i="4" l="1"/>
  <c r="BA1119" i="4" l="1"/>
  <c r="BA1121" i="4" l="1"/>
  <c r="BA1087" i="4" s="1"/>
  <c r="BA1137" i="4" l="1"/>
  <c r="BA1088" i="4"/>
  <c r="BB1085" i="4" l="1"/>
  <c r="BB1130" i="4"/>
  <c r="BB1148" i="4" s="1"/>
  <c r="BA38" i="66"/>
  <c r="BA1347" i="4"/>
  <c r="BA1225" i="4"/>
  <c r="BA1226" i="4" s="1"/>
  <c r="BA1247" i="4"/>
  <c r="BA88" i="11"/>
  <c r="BA1404" i="4"/>
  <c r="BA1138" i="4"/>
  <c r="BA1194" i="4" l="1"/>
  <c r="BA1204" i="4"/>
  <c r="BB1135" i="4"/>
  <c r="BA31" i="11"/>
  <c r="BA1428" i="4"/>
  <c r="BA1438" i="4"/>
  <c r="BA1412" i="4"/>
  <c r="BA1413" i="4" s="1"/>
  <c r="BB1086" i="4"/>
  <c r="BA1418" i="4" l="1"/>
  <c r="BA1416" i="4"/>
  <c r="BB1415" i="4"/>
  <c r="BA45" i="62"/>
  <c r="BA30" i="11"/>
  <c r="BB1136" i="4"/>
  <c r="BB1129" i="4"/>
  <c r="BB1147" i="4" s="1"/>
  <c r="BB1149" i="4" s="1"/>
  <c r="BB1125" i="4"/>
  <c r="BB1101" i="4"/>
  <c r="BA1197" i="4"/>
  <c r="BA1198" i="4" s="1"/>
  <c r="BA1188" i="4" s="1"/>
  <c r="BA1175" i="4"/>
  <c r="BA1419" i="4" l="1"/>
  <c r="BA1187" i="4"/>
  <c r="BA1189" i="4"/>
  <c r="BB1112" i="4"/>
  <c r="BB1141" i="4" s="1"/>
  <c r="BB1103" i="4"/>
  <c r="BB1102" i="4"/>
  <c r="BB1249" i="4"/>
  <c r="BB1218" i="4"/>
  <c r="BB297" i="4"/>
  <c r="BB305" i="4" s="1"/>
  <c r="BB330" i="4" s="1"/>
  <c r="BB999" i="4"/>
  <c r="BB1045" i="4"/>
  <c r="BB37" i="66"/>
  <c r="BB72" i="11"/>
  <c r="BB50" i="11"/>
  <c r="BB18" i="66"/>
  <c r="BB1259" i="4"/>
  <c r="BB1346" i="4"/>
  <c r="BB87" i="11"/>
  <c r="BB1233" i="4"/>
  <c r="BA1184" i="4"/>
  <c r="BA1180" i="4"/>
  <c r="BB1104" i="4" l="1"/>
  <c r="BB1113" i="4" s="1"/>
  <c r="BB1144" i="4" s="1"/>
  <c r="BA1191" i="4"/>
  <c r="BA19" i="66"/>
  <c r="BA1232" i="4"/>
  <c r="BA86" i="11"/>
  <c r="BA1261" i="4"/>
  <c r="BA1403" i="4"/>
  <c r="BB1091" i="4"/>
  <c r="BB1092" i="4"/>
  <c r="BC457" i="4"/>
  <c r="BC479" i="4"/>
  <c r="BC468" i="4"/>
  <c r="BB478" i="4"/>
  <c r="BB480" i="4" s="1"/>
  <c r="BB481" i="4" s="1"/>
  <c r="BB482" i="4" s="1"/>
  <c r="BB483" i="4" s="1"/>
  <c r="BC477" i="4" s="1"/>
  <c r="BB456" i="4"/>
  <c r="BB458" i="4" s="1"/>
  <c r="BB459" i="4" s="1"/>
  <c r="BB467" i="4"/>
  <c r="BB469" i="4" s="1"/>
  <c r="BB470" i="4" s="1"/>
  <c r="BB471" i="4" s="1"/>
  <c r="BB472" i="4" s="1"/>
  <c r="BC466" i="4" s="1"/>
  <c r="BB1143" i="4"/>
  <c r="BB1142" i="4"/>
  <c r="BB294" i="4" s="1"/>
  <c r="BB997" i="4"/>
  <c r="BA1227" i="4"/>
  <c r="BA1250" i="4"/>
  <c r="BA1195" i="4"/>
  <c r="BA74" i="11"/>
  <c r="BA1309" i="4"/>
  <c r="BA36" i="66"/>
  <c r="BB49" i="11"/>
  <c r="BA1176" i="4"/>
  <c r="BB1120" i="4" l="1"/>
  <c r="BB1093" i="4"/>
  <c r="BB1111" i="4" s="1"/>
  <c r="BC495" i="4"/>
  <c r="BC995" i="4" s="1"/>
  <c r="BA78" i="11"/>
  <c r="BA1199" i="4"/>
  <c r="BA1177" i="4" s="1"/>
  <c r="BA1178" i="4" s="1"/>
  <c r="BA17" i="66"/>
  <c r="BA1406" i="4"/>
  <c r="BB460" i="4"/>
  <c r="BB461" i="4" s="1"/>
  <c r="BC455" i="4" s="1"/>
  <c r="BB494" i="4"/>
  <c r="BB994" i="4" s="1"/>
  <c r="BB299" i="4"/>
  <c r="BB302" i="4"/>
  <c r="BB1224" i="4"/>
  <c r="BB1044" i="4"/>
  <c r="BB1067" i="4" s="1"/>
  <c r="BB1248" i="4"/>
  <c r="BB73" i="11"/>
  <c r="BB53" i="11"/>
  <c r="BB52" i="11" s="1"/>
  <c r="BB331" i="4" l="1"/>
  <c r="BB307" i="4"/>
  <c r="BB1173" i="4"/>
  <c r="BA27" i="11"/>
  <c r="BA1429" i="4"/>
  <c r="BA39" i="66"/>
  <c r="BA1228" i="4"/>
  <c r="BA1251" i="4"/>
  <c r="BA89" i="11"/>
  <c r="BA1308" i="4"/>
  <c r="BA1344" i="4"/>
  <c r="BB1158" i="4"/>
  <c r="BB1174" i="4" s="1"/>
  <c r="BB1068" i="4"/>
  <c r="BB1157" i="4"/>
  <c r="BB332" i="4" l="1"/>
  <c r="BB14" i="11" s="1"/>
  <c r="BA1348" i="4"/>
  <c r="BA1205" i="4"/>
  <c r="BA35" i="66"/>
  <c r="BA1311" i="4"/>
  <c r="BA1430" i="4"/>
  <c r="BA1431" i="4" s="1"/>
  <c r="BA1432" i="4"/>
  <c r="BB1159" i="4"/>
  <c r="BB1164" i="4"/>
  <c r="BB395" i="4"/>
  <c r="BB396" i="4" s="1"/>
  <c r="BB397" i="4" s="1"/>
  <c r="BB398" i="4" s="1"/>
  <c r="BB399" i="4" s="1"/>
  <c r="BC394" i="4" s="1"/>
  <c r="BB405" i="4"/>
  <c r="BB406" i="4" s="1"/>
  <c r="BB407" i="4" s="1"/>
  <c r="BB408" i="4" s="1"/>
  <c r="BB409" i="4" s="1"/>
  <c r="BC404" i="4" s="1"/>
  <c r="BB385" i="4"/>
  <c r="BA1207" i="4" l="1"/>
  <c r="BA1209" i="4" s="1"/>
  <c r="BB489" i="4"/>
  <c r="BB386" i="4"/>
  <c r="BB387" i="4" s="1"/>
  <c r="BB500" i="4"/>
  <c r="BA1363" i="4"/>
  <c r="BA1364" i="4" s="1"/>
  <c r="BA1365" i="4" s="1"/>
  <c r="BB42" i="62"/>
  <c r="BB1260" i="4"/>
  <c r="BB1167" i="4"/>
  <c r="BB1168" i="4" s="1"/>
  <c r="BB85" i="11"/>
  <c r="BB1231" i="4"/>
  <c r="BA1313" i="4"/>
  <c r="BA1325" i="4"/>
  <c r="BA1326" i="4" l="1"/>
  <c r="BA1327" i="4" s="1"/>
  <c r="BB501" i="4"/>
  <c r="BB502" i="4" s="1"/>
  <c r="BB490" i="4"/>
  <c r="BB388" i="4"/>
  <c r="BB389" i="4" s="1"/>
  <c r="BC384" i="4" s="1"/>
  <c r="BB52" i="62"/>
  <c r="BB43" i="62"/>
  <c r="BB23" i="62" s="1"/>
  <c r="BA1208" i="4"/>
  <c r="BC1163" i="4"/>
  <c r="BB26" i="11"/>
  <c r="BA48" i="62"/>
  <c r="BA1229" i="4"/>
  <c r="BA58" i="11"/>
  <c r="BA90" i="11"/>
  <c r="BA1252" i="4"/>
  <c r="BA22" i="66"/>
  <c r="BA59" i="11" l="1"/>
  <c r="BB16" i="66"/>
  <c r="BB14" i="66" s="1"/>
  <c r="BB13" i="66" s="1"/>
  <c r="BA24" i="62"/>
  <c r="BA91" i="11"/>
  <c r="BA1230" i="4"/>
  <c r="BA1234" i="4" s="1"/>
  <c r="BB1213" i="4" s="1"/>
  <c r="BB491" i="4"/>
  <c r="BB51" i="11"/>
  <c r="BB64" i="62"/>
  <c r="BB1024" i="4"/>
  <c r="BB1026" i="4" s="1"/>
  <c r="BB1027" i="4" s="1"/>
  <c r="BB1028" i="4" s="1"/>
  <c r="BC499" i="4"/>
  <c r="BC1023" i="4" s="1"/>
  <c r="BA93" i="11" l="1"/>
  <c r="BA96" i="11" s="1"/>
  <c r="BA97" i="11" s="1"/>
  <c r="BA26" i="62"/>
  <c r="BB62" i="64"/>
  <c r="BB907" i="4"/>
  <c r="BB911" i="4" s="1"/>
  <c r="BC488" i="4"/>
  <c r="BB15" i="11"/>
  <c r="BB13" i="11" s="1"/>
  <c r="BB1051" i="4"/>
  <c r="BA28" i="11"/>
  <c r="BB70" i="64" l="1"/>
  <c r="BB78" i="64"/>
  <c r="BB71" i="11"/>
  <c r="BB915" i="4"/>
  <c r="BB1217" i="4"/>
  <c r="BB1221" i="4" s="1"/>
  <c r="BB1243" i="4"/>
  <c r="BB1043" i="4"/>
  <c r="BA25" i="11"/>
  <c r="BA1385" i="4"/>
  <c r="BA1384" i="4" s="1"/>
  <c r="BA44" i="66"/>
  <c r="BB95" i="11"/>
  <c r="BA21" i="11"/>
  <c r="BA17" i="11" s="1"/>
  <c r="BA1253" i="4"/>
  <c r="BA1263" i="4"/>
  <c r="BA101" i="67"/>
  <c r="BA100" i="67"/>
  <c r="BA101" i="11"/>
  <c r="BA100" i="11"/>
  <c r="BA24" i="66"/>
  <c r="BA46" i="62"/>
  <c r="BA99" i="11" l="1"/>
  <c r="BA1264" i="4"/>
  <c r="BA1254" i="4"/>
  <c r="BB996" i="4"/>
  <c r="BB1000" i="4" s="1"/>
  <c r="BB1004" i="4" s="1"/>
  <c r="BB47" i="11"/>
  <c r="BA20" i="66"/>
  <c r="BA1386" i="4"/>
  <c r="BA1383" i="4" s="1"/>
  <c r="BA23" i="11"/>
  <c r="BA1397" i="4"/>
  <c r="BA1392" i="4" s="1"/>
  <c r="BA37" i="11"/>
  <c r="BA1398" i="4"/>
  <c r="BA1393" i="4" s="1"/>
  <c r="BA40" i="66"/>
  <c r="BA39" i="11" l="1"/>
  <c r="BA40" i="11" s="1"/>
  <c r="BB61" i="11"/>
  <c r="BB62" i="11"/>
  <c r="BB48" i="11"/>
  <c r="BB55" i="11" s="1"/>
  <c r="BA46" i="66"/>
  <c r="BA1439" i="4"/>
  <c r="BA1440" i="4" s="1"/>
  <c r="BA1396" i="4"/>
  <c r="BA1391" i="4" s="1"/>
  <c r="BA1266" i="4"/>
  <c r="BB1012" i="4"/>
  <c r="BB1005" i="4"/>
  <c r="BA26" i="66"/>
  <c r="BA48" i="66" l="1"/>
  <c r="BB1395" i="4"/>
  <c r="BB64" i="11"/>
  <c r="BB62" i="62"/>
  <c r="BB1016" i="4"/>
  <c r="BB1013" i="4" s="1"/>
  <c r="BB1006" i="4" s="1"/>
  <c r="BB1007" i="4" s="1"/>
  <c r="BB63" i="11"/>
  <c r="BB1046" i="4" l="1"/>
  <c r="BB1053" i="4" s="1"/>
  <c r="BB56" i="11"/>
  <c r="BB57" i="11" s="1"/>
  <c r="BB1222" i="4"/>
  <c r="BB1223" i="4" s="1"/>
  <c r="BB1246" i="4"/>
  <c r="BB61" i="64"/>
  <c r="BB75" i="11"/>
  <c r="BB1014" i="4"/>
  <c r="BC1011" i="4" s="1"/>
  <c r="BB63" i="62"/>
  <c r="BB67" i="62" s="1"/>
  <c r="BB68" i="62" l="1"/>
  <c r="BB66" i="64"/>
  <c r="BB40" i="64" s="1"/>
  <c r="BB42" i="64" s="1"/>
  <c r="BB69" i="64"/>
  <c r="BB74" i="64" s="1"/>
  <c r="BB77" i="64"/>
  <c r="BB82" i="64" s="1"/>
  <c r="BB1236" i="4"/>
  <c r="BB1394" i="4"/>
  <c r="BB1206" i="4"/>
  <c r="BB1055" i="4"/>
  <c r="BB1058" i="4" l="1"/>
  <c r="BB52" i="64"/>
  <c r="BB49" i="64"/>
  <c r="BB1116" i="4"/>
  <c r="BB1117" i="4" l="1"/>
  <c r="BB1119" i="4" l="1"/>
  <c r="BB1121" i="4" l="1"/>
  <c r="BB1087" i="4" s="1"/>
  <c r="BB1137" i="4" l="1"/>
  <c r="BB1088" i="4"/>
  <c r="BC1085" i="4" l="1"/>
  <c r="BC1130" i="4"/>
  <c r="BC1148" i="4" s="1"/>
  <c r="BB1225" i="4"/>
  <c r="BB1226" i="4" s="1"/>
  <c r="BB88" i="11"/>
  <c r="BB38" i="66"/>
  <c r="BB1404" i="4"/>
  <c r="BB1347" i="4"/>
  <c r="BB1247" i="4"/>
  <c r="BB1138" i="4"/>
  <c r="BB1438" i="4" l="1"/>
  <c r="BB31" i="11"/>
  <c r="BB1428" i="4"/>
  <c r="BB1412" i="4"/>
  <c r="BB1413" i="4" s="1"/>
  <c r="BC1135" i="4"/>
  <c r="BB1194" i="4"/>
  <c r="BB1204" i="4"/>
  <c r="BC1086" i="4"/>
  <c r="BC1136" i="4" l="1"/>
  <c r="BC1129" i="4"/>
  <c r="BC1147" i="4" s="1"/>
  <c r="BC1149" i="4" s="1"/>
  <c r="BC1125" i="4"/>
  <c r="BC1101" i="4"/>
  <c r="BB1175" i="4"/>
  <c r="BB1197" i="4"/>
  <c r="BB1198" i="4" s="1"/>
  <c r="BB1188" i="4" s="1"/>
  <c r="BC1415" i="4"/>
  <c r="BB45" i="62"/>
  <c r="BB30" i="11"/>
  <c r="BB1418" i="4"/>
  <c r="BB1416" i="4"/>
  <c r="BB1419" i="4" l="1"/>
  <c r="BB1184" i="4"/>
  <c r="BB1180" i="4"/>
  <c r="BC1102" i="4"/>
  <c r="BC1112" i="4"/>
  <c r="BC1141" i="4" s="1"/>
  <c r="BC1103" i="4"/>
  <c r="BC72" i="11"/>
  <c r="BC1045" i="4"/>
  <c r="BC1249" i="4"/>
  <c r="BC37" i="66"/>
  <c r="BC297" i="4"/>
  <c r="BC305" i="4" s="1"/>
  <c r="BC330" i="4" s="1"/>
  <c r="BC50" i="11"/>
  <c r="BC1218" i="4"/>
  <c r="BC999" i="4"/>
  <c r="V72" i="67"/>
  <c r="BB1189" i="4"/>
  <c r="BB1187" i="4"/>
  <c r="BC1233" i="4"/>
  <c r="BC1259" i="4"/>
  <c r="BC87" i="11"/>
  <c r="BC18" i="66"/>
  <c r="BC1346" i="4"/>
  <c r="V87" i="67"/>
  <c r="BC1104" i="4" l="1"/>
  <c r="BC1120" i="4" s="1"/>
  <c r="BC478" i="4"/>
  <c r="BC480" i="4" s="1"/>
  <c r="BC481" i="4" s="1"/>
  <c r="BC482" i="4" s="1"/>
  <c r="BC483" i="4" s="1"/>
  <c r="BD477" i="4" s="1"/>
  <c r="BD468" i="4"/>
  <c r="BC467" i="4"/>
  <c r="BC469" i="4" s="1"/>
  <c r="BC470" i="4" s="1"/>
  <c r="BC471" i="4" s="1"/>
  <c r="BC472" i="4" s="1"/>
  <c r="BD466" i="4" s="1"/>
  <c r="BD457" i="4"/>
  <c r="BD479" i="4"/>
  <c r="BC456" i="4"/>
  <c r="BC458" i="4" s="1"/>
  <c r="BC459" i="4" s="1"/>
  <c r="BC49" i="11"/>
  <c r="V50" i="67"/>
  <c r="V49" i="67" s="1"/>
  <c r="BB1227" i="4"/>
  <c r="BB1250" i="4"/>
  <c r="BB1195" i="4"/>
  <c r="BB74" i="11"/>
  <c r="BB1309" i="4"/>
  <c r="BB36" i="66"/>
  <c r="BB1176" i="4"/>
  <c r="BB19" i="66"/>
  <c r="BB1261" i="4"/>
  <c r="BB86" i="11"/>
  <c r="BB1232" i="4"/>
  <c r="BB1403" i="4"/>
  <c r="BC1092" i="4"/>
  <c r="BC1091" i="4"/>
  <c r="BB1191" i="4"/>
  <c r="BC997" i="4"/>
  <c r="BC1142" i="4"/>
  <c r="BC294" i="4" s="1"/>
  <c r="BC1143" i="4"/>
  <c r="BC1113" i="4" l="1"/>
  <c r="BC1144" i="4" s="1"/>
  <c r="BC1044" i="4" s="1"/>
  <c r="BC1067" i="4" s="1"/>
  <c r="BB17" i="66"/>
  <c r="BB1199" i="4"/>
  <c r="BB1177" i="4" s="1"/>
  <c r="BC494" i="4"/>
  <c r="BC994" i="4" s="1"/>
  <c r="BC460" i="4"/>
  <c r="BC461" i="4" s="1"/>
  <c r="BD455" i="4" s="1"/>
  <c r="BB1406" i="4"/>
  <c r="BD495" i="4"/>
  <c r="BD995" i="4" s="1"/>
  <c r="BC53" i="11"/>
  <c r="BC52" i="11" s="1"/>
  <c r="V53" i="67"/>
  <c r="V52" i="67" s="1"/>
  <c r="BC299" i="4"/>
  <c r="BC302" i="4"/>
  <c r="BC1093" i="4"/>
  <c r="BC1111" i="4" s="1"/>
  <c r="BB78" i="11"/>
  <c r="V23" i="13" l="1"/>
  <c r="BC1224" i="4"/>
  <c r="V73" i="67"/>
  <c r="BC73" i="11"/>
  <c r="BC1248" i="4"/>
  <c r="BC331" i="4"/>
  <c r="BC307" i="4"/>
  <c r="BC1068" i="4"/>
  <c r="BC1158" i="4"/>
  <c r="BC1174" i="4" s="1"/>
  <c r="BC1157" i="4"/>
  <c r="BB89" i="11"/>
  <c r="BB39" i="66"/>
  <c r="BB1251" i="4"/>
  <c r="BB1228" i="4"/>
  <c r="BB1344" i="4"/>
  <c r="BB1308" i="4"/>
  <c r="BB1178" i="4"/>
  <c r="BC332" i="4" l="1"/>
  <c r="BC14" i="11" s="1"/>
  <c r="BB1311" i="4"/>
  <c r="BB1348" i="4"/>
  <c r="BC1164" i="4"/>
  <c r="BC1159" i="4"/>
  <c r="BB1205" i="4"/>
  <c r="BC1173" i="4"/>
  <c r="BB27" i="11"/>
  <c r="BB1429" i="4"/>
  <c r="BB35" i="66"/>
  <c r="BC385" i="4"/>
  <c r="BC395" i="4"/>
  <c r="BC396" i="4" s="1"/>
  <c r="BC397" i="4" s="1"/>
  <c r="BC398" i="4" s="1"/>
  <c r="BC399" i="4" s="1"/>
  <c r="BD394" i="4" s="1"/>
  <c r="BC405" i="4"/>
  <c r="BC406" i="4" s="1"/>
  <c r="BC407" i="4" s="1"/>
  <c r="BC408" i="4" s="1"/>
  <c r="BC409" i="4" s="1"/>
  <c r="BD404" i="4" s="1"/>
  <c r="V14" i="67" l="1"/>
  <c r="BC1231" i="4"/>
  <c r="BC42" i="62"/>
  <c r="BC1167" i="4"/>
  <c r="BC1168" i="4" s="1"/>
  <c r="BC1260" i="4"/>
  <c r="BC85" i="11"/>
  <c r="V85" i="67"/>
  <c r="BC489" i="4"/>
  <c r="BC386" i="4"/>
  <c r="BC387" i="4" s="1"/>
  <c r="BC500" i="4"/>
  <c r="BB1363" i="4"/>
  <c r="BB1430" i="4"/>
  <c r="BB1431" i="4" s="1"/>
  <c r="BB1432" i="4"/>
  <c r="BB1207" i="4"/>
  <c r="BB1209" i="4" s="1"/>
  <c r="BB1313" i="4"/>
  <c r="BB1325" i="4"/>
  <c r="BB1208" i="4" l="1"/>
  <c r="V26" i="67"/>
  <c r="BD1163" i="4"/>
  <c r="BC26" i="11"/>
  <c r="BB1364" i="4"/>
  <c r="BB1365" i="4" s="1"/>
  <c r="BC52" i="62"/>
  <c r="BC43" i="62"/>
  <c r="BC23" i="62" s="1"/>
  <c r="BB90" i="11"/>
  <c r="BB48" i="62"/>
  <c r="BB1229" i="4"/>
  <c r="BB1252" i="4"/>
  <c r="BB58" i="11"/>
  <c r="BB22" i="66"/>
  <c r="BB1326" i="4"/>
  <c r="BB1327" i="4" s="1"/>
  <c r="BC388" i="4"/>
  <c r="BC389" i="4" s="1"/>
  <c r="BD384" i="4" s="1"/>
  <c r="BC490" i="4"/>
  <c r="BC501" i="4"/>
  <c r="BC502" i="4" s="1"/>
  <c r="BB1230" i="4" l="1"/>
  <c r="BB1234" i="4" s="1"/>
  <c r="BC1213" i="4" s="1"/>
  <c r="BB24" i="62"/>
  <c r="BB91" i="11"/>
  <c r="BC16" i="66"/>
  <c r="BC14" i="66" s="1"/>
  <c r="BC13" i="66" s="1"/>
  <c r="BC1024" i="4"/>
  <c r="BC1026" i="4" s="1"/>
  <c r="BC1027" i="4" s="1"/>
  <c r="BC1028" i="4" s="1"/>
  <c r="BD499" i="4"/>
  <c r="BD1023" i="4" s="1"/>
  <c r="BC51" i="11"/>
  <c r="BC64" i="62"/>
  <c r="V51" i="67"/>
  <c r="BB59" i="11"/>
  <c r="BC491" i="4"/>
  <c r="BC907" i="4" l="1"/>
  <c r="BC911" i="4" s="1"/>
  <c r="BC62" i="64"/>
  <c r="BD488" i="4"/>
  <c r="BC15" i="11"/>
  <c r="BC13" i="11" s="1"/>
  <c r="V15" i="67"/>
  <c r="V13" i="67" s="1"/>
  <c r="BB28" i="11"/>
  <c r="BB93" i="11"/>
  <c r="BB96" i="11" s="1"/>
  <c r="BB97" i="11" s="1"/>
  <c r="BB26" i="62"/>
  <c r="BC1051" i="4"/>
  <c r="BB25" i="11" l="1"/>
  <c r="BC70" i="64"/>
  <c r="BC78" i="64"/>
  <c r="BB46" i="62"/>
  <c r="BB100" i="11"/>
  <c r="BB21" i="11"/>
  <c r="BB17" i="11" s="1"/>
  <c r="BB1253" i="4"/>
  <c r="BB101" i="67"/>
  <c r="BC95" i="11"/>
  <c r="BB101" i="11"/>
  <c r="BB1385" i="4"/>
  <c r="BB1384" i="4" s="1"/>
  <c r="BB44" i="66"/>
  <c r="BB1263" i="4"/>
  <c r="BB24" i="66"/>
  <c r="BB100" i="67"/>
  <c r="BC1243" i="4"/>
  <c r="BC71" i="11"/>
  <c r="BC1217" i="4"/>
  <c r="BC1221" i="4" s="1"/>
  <c r="BC915" i="4"/>
  <c r="BC1043" i="4"/>
  <c r="V71" i="67"/>
  <c r="V40" i="13"/>
  <c r="BB99" i="11" l="1"/>
  <c r="BB1264" i="4"/>
  <c r="BB40" i="66"/>
  <c r="BC47" i="11"/>
  <c r="BC996" i="4"/>
  <c r="BC1000" i="4" s="1"/>
  <c r="BC1004" i="4" s="1"/>
  <c r="V47" i="67"/>
  <c r="V20" i="72"/>
  <c r="BB1254" i="4"/>
  <c r="BB1398" i="4"/>
  <c r="BB1393" i="4" s="1"/>
  <c r="BB37" i="11"/>
  <c r="BB1397" i="4"/>
  <c r="BB1392" i="4" s="1"/>
  <c r="BB20" i="66"/>
  <c r="BB1386" i="4"/>
  <c r="BB1383" i="4" s="1"/>
  <c r="BB23" i="11"/>
  <c r="BB39" i="11" l="1"/>
  <c r="BB40" i="11" s="1"/>
  <c r="BC1005" i="4"/>
  <c r="BC1016" i="4" s="1"/>
  <c r="BC1013" i="4" s="1"/>
  <c r="BC1006" i="4" s="1"/>
  <c r="BC1007" i="4" s="1"/>
  <c r="BC1012" i="4"/>
  <c r="BC48" i="11"/>
  <c r="BC55" i="11" s="1"/>
  <c r="BC61" i="11"/>
  <c r="BC62" i="11"/>
  <c r="BB26" i="66"/>
  <c r="BB1439" i="4"/>
  <c r="BB1440" i="4" s="1"/>
  <c r="BB1396" i="4"/>
  <c r="BB1391" i="4" s="1"/>
  <c r="BB1266" i="4"/>
  <c r="BB46" i="66"/>
  <c r="V61" i="67"/>
  <c r="V63" i="67" s="1"/>
  <c r="V62" i="67"/>
  <c r="V64" i="67" s="1"/>
  <c r="V48" i="67"/>
  <c r="V55" i="67" s="1"/>
  <c r="BB48" i="66" l="1"/>
  <c r="BC1395" i="4"/>
  <c r="BC62" i="62"/>
  <c r="BC64" i="11"/>
  <c r="BC63" i="11"/>
  <c r="V1449" i="4"/>
  <c r="BC1014" i="4"/>
  <c r="BD1011" i="4" s="1"/>
  <c r="BC1046" i="4"/>
  <c r="BC1053" i="4" s="1"/>
  <c r="BC1055" i="4" s="1"/>
  <c r="BC1058" i="4" s="1"/>
  <c r="BC1246" i="4"/>
  <c r="BC1222" i="4"/>
  <c r="BC1223" i="4" s="1"/>
  <c r="BC75" i="11"/>
  <c r="BC56" i="11"/>
  <c r="BC57" i="11" s="1"/>
  <c r="BC61" i="64"/>
  <c r="V41" i="13"/>
  <c r="V43" i="13" s="1"/>
  <c r="V75" i="67"/>
  <c r="V56" i="67"/>
  <c r="V57" i="67" s="1"/>
  <c r="BC1394" i="4" l="1"/>
  <c r="BC1206" i="4"/>
  <c r="BC1236" i="4"/>
  <c r="BC63" i="62"/>
  <c r="BC67" i="62" s="1"/>
  <c r="BC66" i="64"/>
  <c r="BC40" i="64" s="1"/>
  <c r="BC42" i="64" s="1"/>
  <c r="BC69" i="64"/>
  <c r="BC74" i="64" s="1"/>
  <c r="BC77" i="64"/>
  <c r="BC82" i="64" s="1"/>
  <c r="BC68" i="62" l="1"/>
  <c r="BC1116" i="4"/>
  <c r="BC1117" i="4" s="1"/>
  <c r="BC1119" i="4" s="1"/>
  <c r="BC1121" i="4" s="1"/>
  <c r="BC1087" i="4" s="1"/>
  <c r="BC52" i="64"/>
  <c r="BC49" i="64"/>
  <c r="BC1137" i="4" l="1"/>
  <c r="BC1088" i="4"/>
  <c r="BD1130" i="4" l="1"/>
  <c r="BD1148" i="4" s="1"/>
  <c r="BD1085" i="4"/>
  <c r="BC1404" i="4"/>
  <c r="BC1347" i="4"/>
  <c r="BC1225" i="4"/>
  <c r="BC1226" i="4" s="1"/>
  <c r="BC38" i="66"/>
  <c r="BC88" i="11"/>
  <c r="BC1247" i="4"/>
  <c r="V88" i="67"/>
  <c r="V24" i="13"/>
  <c r="BC1138" i="4"/>
  <c r="BC1204" i="4" l="1"/>
  <c r="BC1194" i="4"/>
  <c r="BC31" i="11"/>
  <c r="V1448" i="4"/>
  <c r="V1452" i="4" s="1"/>
  <c r="BC1412" i="4"/>
  <c r="BC1413" i="4" s="1"/>
  <c r="BD1135" i="4"/>
  <c r="BC1428" i="4"/>
  <c r="BC1438" i="4"/>
  <c r="V31" i="67"/>
  <c r="V30" i="67" s="1"/>
  <c r="BD1086" i="4"/>
  <c r="BD1415" i="4" l="1"/>
  <c r="BC1418" i="4"/>
  <c r="BC1416" i="4"/>
  <c r="BC30" i="11"/>
  <c r="BC45" i="62"/>
  <c r="BD1136" i="4"/>
  <c r="BD1129" i="4"/>
  <c r="BD1147" i="4" s="1"/>
  <c r="BD1149" i="4" s="1"/>
  <c r="BD1125" i="4"/>
  <c r="BD1101" i="4"/>
  <c r="BC1197" i="4"/>
  <c r="BC1198" i="4" s="1"/>
  <c r="BC1188" i="4" s="1"/>
  <c r="BC1175" i="4"/>
  <c r="BC1419" i="4" l="1"/>
  <c r="BC1184" i="4"/>
  <c r="BC1191" i="4" s="1"/>
  <c r="BC1180" i="4"/>
  <c r="BD297" i="4"/>
  <c r="BD305" i="4" s="1"/>
  <c r="BD330" i="4" s="1"/>
  <c r="BD1249" i="4"/>
  <c r="BD1218" i="4"/>
  <c r="BD999" i="4"/>
  <c r="BD1045" i="4"/>
  <c r="BD50" i="11"/>
  <c r="BD37" i="66"/>
  <c r="BD72" i="11"/>
  <c r="BC1189" i="4"/>
  <c r="BC1187" i="4"/>
  <c r="BC1176" i="4" s="1"/>
  <c r="BD1103" i="4"/>
  <c r="BD1112" i="4"/>
  <c r="BD1141" i="4" s="1"/>
  <c r="BD1102" i="4"/>
  <c r="BD1346" i="4"/>
  <c r="BD18" i="66"/>
  <c r="BD1259" i="4"/>
  <c r="BD1233" i="4"/>
  <c r="BD87" i="11"/>
  <c r="BD1104" i="4" l="1"/>
  <c r="BD1113" i="4" s="1"/>
  <c r="BD1144" i="4" s="1"/>
  <c r="BD49" i="11"/>
  <c r="BD1092" i="4"/>
  <c r="BD1091" i="4"/>
  <c r="BD1142" i="4"/>
  <c r="BD294" i="4" s="1"/>
  <c r="BD1143" i="4"/>
  <c r="BD997" i="4"/>
  <c r="BC1250" i="4"/>
  <c r="BC1227" i="4"/>
  <c r="BC1195" i="4"/>
  <c r="BC1199" i="4" s="1"/>
  <c r="BC1177" i="4" s="1"/>
  <c r="BC74" i="11"/>
  <c r="BC78" i="11" s="1"/>
  <c r="V74" i="67"/>
  <c r="BC36" i="66"/>
  <c r="BC1309" i="4"/>
  <c r="BC19" i="66"/>
  <c r="BC17" i="66" s="1"/>
  <c r="V19" i="72" s="1"/>
  <c r="BC1232" i="4"/>
  <c r="BC86" i="11"/>
  <c r="BC1261" i="4"/>
  <c r="V86" i="67"/>
  <c r="BC1403" i="4"/>
  <c r="BD467" i="4"/>
  <c r="BD469" i="4" s="1"/>
  <c r="BD470" i="4" s="1"/>
  <c r="BD471" i="4" s="1"/>
  <c r="BD472" i="4" s="1"/>
  <c r="BE466" i="4" s="1"/>
  <c r="BE479" i="4"/>
  <c r="BE468" i="4"/>
  <c r="BD456" i="4"/>
  <c r="BD458" i="4" s="1"/>
  <c r="BD459" i="4" s="1"/>
  <c r="BE457" i="4"/>
  <c r="BD478" i="4"/>
  <c r="BD480" i="4" s="1"/>
  <c r="BD481" i="4" s="1"/>
  <c r="BD482" i="4" s="1"/>
  <c r="BD483" i="4" s="1"/>
  <c r="BE477" i="4" s="1"/>
  <c r="V25" i="13" l="1"/>
  <c r="BC1406" i="4"/>
  <c r="BD1120" i="4"/>
  <c r="BD1093" i="4"/>
  <c r="BD1111" i="4" s="1"/>
  <c r="V78" i="67"/>
  <c r="BD299" i="4"/>
  <c r="BD302" i="4"/>
  <c r="BC1308" i="4"/>
  <c r="BC1311" i="4" s="1"/>
  <c r="BC1344" i="4"/>
  <c r="BC1228" i="4"/>
  <c r="BC1205" i="4" s="1"/>
  <c r="BC39" i="66"/>
  <c r="BC35" i="66" s="1"/>
  <c r="BC1251" i="4"/>
  <c r="BC89" i="11"/>
  <c r="V89" i="67"/>
  <c r="BD1044" i="4"/>
  <c r="BD1067" i="4" s="1"/>
  <c r="BD73" i="11"/>
  <c r="BD1224" i="4"/>
  <c r="BD1248" i="4"/>
  <c r="BE495" i="4"/>
  <c r="BE995" i="4" s="1"/>
  <c r="BD460" i="4"/>
  <c r="BD461" i="4" s="1"/>
  <c r="BE455" i="4" s="1"/>
  <c r="BD494" i="4"/>
  <c r="BD994" i="4" s="1"/>
  <c r="BD53" i="11"/>
  <c r="BD52" i="11" s="1"/>
  <c r="BC1178" i="4"/>
  <c r="BC1207" i="4" l="1"/>
  <c r="BC1209" i="4" s="1"/>
  <c r="BC1348" i="4"/>
  <c r="V13" i="13"/>
  <c r="BC1313" i="4"/>
  <c r="V1316" i="4" s="1"/>
  <c r="V14" i="72"/>
  <c r="BC1325" i="4"/>
  <c r="BD1158" i="4"/>
  <c r="BD1174" i="4" s="1"/>
  <c r="BD1157" i="4"/>
  <c r="BD1068" i="4"/>
  <c r="BD331" i="4"/>
  <c r="BD307" i="4"/>
  <c r="V27" i="67"/>
  <c r="BD1173" i="4"/>
  <c r="BC27" i="11"/>
  <c r="BC1429" i="4"/>
  <c r="BD332" i="4" l="1"/>
  <c r="BD14" i="11" s="1"/>
  <c r="BC1326" i="4"/>
  <c r="BC1327" i="4" s="1"/>
  <c r="V15" i="72"/>
  <c r="BC1363" i="4"/>
  <c r="BC1364" i="4" s="1"/>
  <c r="BC1365" i="4" s="1"/>
  <c r="BD385" i="4"/>
  <c r="BD405" i="4"/>
  <c r="BD406" i="4" s="1"/>
  <c r="BD407" i="4" s="1"/>
  <c r="BD408" i="4" s="1"/>
  <c r="BD409" i="4" s="1"/>
  <c r="BE404" i="4" s="1"/>
  <c r="BD395" i="4"/>
  <c r="BD396" i="4" s="1"/>
  <c r="BD397" i="4" s="1"/>
  <c r="BD398" i="4" s="1"/>
  <c r="BD399" i="4" s="1"/>
  <c r="BE394" i="4" s="1"/>
  <c r="BC1432" i="4"/>
  <c r="BC1430" i="4"/>
  <c r="BC1431" i="4" s="1"/>
  <c r="BD1159" i="4"/>
  <c r="BD1164" i="4"/>
  <c r="BC1208" i="4"/>
  <c r="BC1252" i="4"/>
  <c r="BC48" i="62"/>
  <c r="BC24" i="62" s="1"/>
  <c r="BC1229" i="4"/>
  <c r="BC1230" i="4" s="1"/>
  <c r="BC1234" i="4" s="1"/>
  <c r="BD1213" i="4" s="1"/>
  <c r="BC90" i="11"/>
  <c r="BC91" i="11" s="1"/>
  <c r="BC93" i="11" s="1"/>
  <c r="BC96" i="11" s="1"/>
  <c r="BC97" i="11" s="1"/>
  <c r="BC58" i="11"/>
  <c r="BC59" i="11" s="1"/>
  <c r="BC28" i="11" s="1"/>
  <c r="V90" i="67"/>
  <c r="V58" i="67"/>
  <c r="BC22" i="66"/>
  <c r="BC26" i="62" l="1"/>
  <c r="BD489" i="4"/>
  <c r="BD386" i="4"/>
  <c r="BD387" i="4" s="1"/>
  <c r="BD500" i="4"/>
  <c r="V59" i="67"/>
  <c r="V91" i="67"/>
  <c r="BD42" i="62"/>
  <c r="BD1260" i="4"/>
  <c r="BD1231" i="4"/>
  <c r="BD1167" i="4"/>
  <c r="BD1168" i="4" s="1"/>
  <c r="BD85" i="11"/>
  <c r="BC1263" i="4"/>
  <c r="BC1264" i="4" s="1"/>
  <c r="BC101" i="11"/>
  <c r="V1450" i="4"/>
  <c r="V1457" i="4" s="1"/>
  <c r="BC100" i="67"/>
  <c r="BC101" i="67"/>
  <c r="BC1253" i="4"/>
  <c r="BC1254" i="4" s="1"/>
  <c r="BC24" i="66"/>
  <c r="BC20" i="66" s="1"/>
  <c r="BC26" i="66" s="1"/>
  <c r="V21" i="67"/>
  <c r="V17" i="67" s="1"/>
  <c r="V23" i="67" s="1"/>
  <c r="BC100" i="11"/>
  <c r="BC21" i="11"/>
  <c r="BC17" i="11" s="1"/>
  <c r="BC46" i="62"/>
  <c r="BC44" i="66"/>
  <c r="BC40" i="66" s="1"/>
  <c r="BC46" i="66" s="1"/>
  <c r="BC1385" i="4"/>
  <c r="BC1384" i="4" s="1"/>
  <c r="BD95" i="11"/>
  <c r="BC25" i="11"/>
  <c r="V28" i="67"/>
  <c r="V25" i="67" s="1"/>
  <c r="V37" i="67" s="1"/>
  <c r="BD1051" i="4"/>
  <c r="V39" i="67" l="1"/>
  <c r="V40" i="67" s="1"/>
  <c r="BC99" i="11"/>
  <c r="BC48" i="66"/>
  <c r="V93" i="67"/>
  <c r="V96" i="67" s="1"/>
  <c r="V97" i="67" s="1"/>
  <c r="BC1398" i="4"/>
  <c r="BC1393" i="4" s="1"/>
  <c r="BC1397" i="4"/>
  <c r="BC1392" i="4" s="1"/>
  <c r="BC37" i="11"/>
  <c r="BC1266" i="4"/>
  <c r="BE1163" i="4"/>
  <c r="BD26" i="11"/>
  <c r="BD501" i="4"/>
  <c r="BD502" i="4" s="1"/>
  <c r="BD490" i="4"/>
  <c r="BD388" i="4"/>
  <c r="BD389" i="4" s="1"/>
  <c r="BE384" i="4" s="1"/>
  <c r="BD52" i="62"/>
  <c r="BD43" i="62"/>
  <c r="BD23" i="62" s="1"/>
  <c r="BC1386" i="4"/>
  <c r="BC1383" i="4" s="1"/>
  <c r="BC23" i="11"/>
  <c r="BC39" i="11" l="1"/>
  <c r="BC40" i="11" s="1"/>
  <c r="BD491" i="4"/>
  <c r="BD51" i="11"/>
  <c r="BD64" i="62"/>
  <c r="BE499" i="4"/>
  <c r="BE1023" i="4" s="1"/>
  <c r="BD1024" i="4"/>
  <c r="BD1026" i="4" s="1"/>
  <c r="BD1027" i="4" s="1"/>
  <c r="BD1028" i="4" s="1"/>
  <c r="W95" i="67"/>
  <c r="V99" i="67"/>
  <c r="BC1439" i="4"/>
  <c r="BC1440" i="4" s="1"/>
  <c r="BC1396" i="4"/>
  <c r="BC1391" i="4" s="1"/>
  <c r="BD16" i="66"/>
  <c r="BD14" i="66" s="1"/>
  <c r="BD13" i="66" s="1"/>
  <c r="BD907" i="4" l="1"/>
  <c r="BD911" i="4" s="1"/>
  <c r="BD62" i="64"/>
  <c r="BD15" i="11"/>
  <c r="BD13" i="11" s="1"/>
  <c r="BE488" i="4"/>
  <c r="BD71" i="11" l="1"/>
  <c r="BD915" i="4"/>
  <c r="BD1217" i="4"/>
  <c r="BD1221" i="4" s="1"/>
  <c r="BD1043" i="4"/>
  <c r="BD1243" i="4"/>
  <c r="BD78" i="64"/>
  <c r="BD70" i="64"/>
  <c r="BD47" i="11" l="1"/>
  <c r="BD996" i="4"/>
  <c r="BD1000" i="4" s="1"/>
  <c r="BD1004" i="4" s="1"/>
  <c r="BD1012" i="4" l="1"/>
  <c r="BD1005" i="4"/>
  <c r="BD1016" i="4" s="1"/>
  <c r="BD1013" i="4" s="1"/>
  <c r="BD1006" i="4" s="1"/>
  <c r="BD1007" i="4" s="1"/>
  <c r="BD62" i="11"/>
  <c r="BD61" i="11"/>
  <c r="BD48" i="11"/>
  <c r="BD55" i="11" s="1"/>
  <c r="BD62" i="62" l="1"/>
  <c r="BD63" i="62" s="1"/>
  <c r="BD64" i="11"/>
  <c r="BD1395" i="4"/>
  <c r="BD1046" i="4"/>
  <c r="BD1053" i="4" s="1"/>
  <c r="BD1055" i="4" s="1"/>
  <c r="BD1058" i="4" s="1"/>
  <c r="BD1222" i="4"/>
  <c r="BD1223" i="4" s="1"/>
  <c r="BD1246" i="4"/>
  <c r="BD56" i="11"/>
  <c r="BD57" i="11" s="1"/>
  <c r="BD75" i="11"/>
  <c r="BD61" i="64"/>
  <c r="BD63" i="11"/>
  <c r="BD1014" i="4"/>
  <c r="BE1011" i="4" s="1"/>
  <c r="BD1394" i="4" l="1"/>
  <c r="BD1206" i="4"/>
  <c r="BD1236" i="4"/>
  <c r="BD69" i="64"/>
  <c r="BD74" i="64" s="1"/>
  <c r="BD77" i="64"/>
  <c r="BD82" i="64" s="1"/>
  <c r="BD66" i="64"/>
  <c r="BD40" i="64" s="1"/>
  <c r="BD42" i="64" s="1"/>
  <c r="BD67" i="62"/>
  <c r="BD52" i="64" l="1"/>
  <c r="BD49" i="64"/>
  <c r="BD1116" i="4"/>
  <c r="BD1117" i="4" s="1"/>
  <c r="BD1119" i="4" s="1"/>
  <c r="BD1121" i="4" s="1"/>
  <c r="BD1087" i="4" s="1"/>
  <c r="BD68" i="62"/>
  <c r="BD1137" i="4" l="1"/>
  <c r="BD1088" i="4"/>
  <c r="BE1130" i="4" l="1"/>
  <c r="BE1148" i="4" s="1"/>
  <c r="BE1085" i="4"/>
  <c r="BD38" i="66"/>
  <c r="BD1225" i="4"/>
  <c r="BD1226" i="4" s="1"/>
  <c r="BD1247" i="4"/>
  <c r="BD1347" i="4"/>
  <c r="BD88" i="11"/>
  <c r="BD1404" i="4"/>
  <c r="BD1138" i="4"/>
  <c r="BD1194" i="4" l="1"/>
  <c r="BD1204" i="4"/>
  <c r="BE1086" i="4"/>
  <c r="BD1438" i="4"/>
  <c r="BD1412" i="4"/>
  <c r="BD1413" i="4" s="1"/>
  <c r="BE1135" i="4"/>
  <c r="BD31" i="11"/>
  <c r="BD1428" i="4"/>
  <c r="BD45" i="62" l="1"/>
  <c r="BD30" i="11"/>
  <c r="BE1415" i="4"/>
  <c r="BD1418" i="4"/>
  <c r="BD1416" i="4"/>
  <c r="BE1136" i="4"/>
  <c r="BE1129" i="4"/>
  <c r="BE1147" i="4" s="1"/>
  <c r="BE1149" i="4" s="1"/>
  <c r="BE1125" i="4"/>
  <c r="BE1101" i="4"/>
  <c r="BD1175" i="4"/>
  <c r="BD1197" i="4"/>
  <c r="BD1198" i="4" s="1"/>
  <c r="BD1188" i="4" s="1"/>
  <c r="BD1419" i="4" l="1"/>
  <c r="BE72" i="11"/>
  <c r="BE1045" i="4"/>
  <c r="BE37" i="66"/>
  <c r="BE1249" i="4"/>
  <c r="BE50" i="11"/>
  <c r="BE1218" i="4"/>
  <c r="BE297" i="4"/>
  <c r="BE305" i="4" s="1"/>
  <c r="BE330" i="4" s="1"/>
  <c r="BE999" i="4"/>
  <c r="BD1187" i="4"/>
  <c r="BD1176" i="4" s="1"/>
  <c r="BD1189" i="4"/>
  <c r="BD1184" i="4"/>
  <c r="BD1191" i="4" s="1"/>
  <c r="BD1180" i="4"/>
  <c r="BE1102" i="4"/>
  <c r="BE1112" i="4"/>
  <c r="BE1141" i="4" s="1"/>
  <c r="BE1103" i="4"/>
  <c r="BE18" i="66"/>
  <c r="BE1233" i="4"/>
  <c r="BE87" i="11"/>
  <c r="BE1259" i="4"/>
  <c r="BE1346" i="4"/>
  <c r="BE467" i="4" l="1"/>
  <c r="BE469" i="4" s="1"/>
  <c r="BE470" i="4" s="1"/>
  <c r="BE471" i="4" s="1"/>
  <c r="BE472" i="4" s="1"/>
  <c r="BF466" i="4" s="1"/>
  <c r="BF457" i="4"/>
  <c r="BE456" i="4"/>
  <c r="BE458" i="4" s="1"/>
  <c r="BE459" i="4" s="1"/>
  <c r="BF479" i="4"/>
  <c r="BF468" i="4"/>
  <c r="BE478" i="4"/>
  <c r="BE480" i="4" s="1"/>
  <c r="BE481" i="4" s="1"/>
  <c r="BE482" i="4" s="1"/>
  <c r="BE483" i="4" s="1"/>
  <c r="BF477" i="4" s="1"/>
  <c r="BE1143" i="4"/>
  <c r="BE1142" i="4"/>
  <c r="BE294" i="4" s="1"/>
  <c r="BE997" i="4"/>
  <c r="BE1104" i="4"/>
  <c r="BE49" i="11"/>
  <c r="BD19" i="66"/>
  <c r="BD17" i="66" s="1"/>
  <c r="BD1232" i="4"/>
  <c r="BD1261" i="4"/>
  <c r="BD86" i="11"/>
  <c r="BD1403" i="4"/>
  <c r="BD1250" i="4"/>
  <c r="BD1195" i="4"/>
  <c r="BD1199" i="4" s="1"/>
  <c r="BD1177" i="4" s="1"/>
  <c r="BD74" i="11"/>
  <c r="BD78" i="11" s="1"/>
  <c r="BD1227" i="4"/>
  <c r="BD1309" i="4"/>
  <c r="BD36" i="66"/>
  <c r="BE1092" i="4"/>
  <c r="BE1091" i="4"/>
  <c r="BE1093" i="4" l="1"/>
  <c r="BE1111" i="4" s="1"/>
  <c r="BD1406" i="4"/>
  <c r="BE1120" i="4"/>
  <c r="BE1113" i="4"/>
  <c r="BE1144" i="4" s="1"/>
  <c r="BE299" i="4"/>
  <c r="BE302" i="4"/>
  <c r="BE494" i="4"/>
  <c r="BE994" i="4" s="1"/>
  <c r="BE460" i="4"/>
  <c r="BE461" i="4" s="1"/>
  <c r="BF455" i="4" s="1"/>
  <c r="BD1308" i="4"/>
  <c r="BD1311" i="4" s="1"/>
  <c r="BD1344" i="4"/>
  <c r="BD1251" i="4"/>
  <c r="BD89" i="11"/>
  <c r="BD1228" i="4"/>
  <c r="BD1205" i="4" s="1"/>
  <c r="BD39" i="66"/>
  <c r="BD35" i="66" s="1"/>
  <c r="BD1178" i="4"/>
  <c r="BE53" i="11"/>
  <c r="BE52" i="11" s="1"/>
  <c r="BF495" i="4"/>
  <c r="BF995" i="4" s="1"/>
  <c r="BE331" i="4" l="1"/>
  <c r="BE307" i="4"/>
  <c r="BD1207" i="4"/>
  <c r="BD1209" i="4" s="1"/>
  <c r="BE1044" i="4"/>
  <c r="BE1067" i="4" s="1"/>
  <c r="BE73" i="11"/>
  <c r="BE1224" i="4"/>
  <c r="BE1248" i="4"/>
  <c r="BD1348" i="4"/>
  <c r="BD1313" i="4"/>
  <c r="BD1325" i="4"/>
  <c r="BE1173" i="4"/>
  <c r="BD27" i="11"/>
  <c r="BD1429" i="4"/>
  <c r="BE332" i="4" l="1"/>
  <c r="BE14" i="11" s="1"/>
  <c r="BD1208" i="4"/>
  <c r="BD1432" i="4"/>
  <c r="BD1430" i="4"/>
  <c r="BD1431" i="4" s="1"/>
  <c r="BD1363" i="4"/>
  <c r="BD1364" i="4" s="1"/>
  <c r="BD1365" i="4" s="1"/>
  <c r="BE1157" i="4"/>
  <c r="BE1068" i="4"/>
  <c r="BE1158" i="4"/>
  <c r="BE1174" i="4" s="1"/>
  <c r="BD58" i="11"/>
  <c r="BD59" i="11" s="1"/>
  <c r="BD28" i="11" s="1"/>
  <c r="BD90" i="11"/>
  <c r="BD91" i="11" s="1"/>
  <c r="BD93" i="11" s="1"/>
  <c r="BD96" i="11" s="1"/>
  <c r="BD97" i="11" s="1"/>
  <c r="BD48" i="62"/>
  <c r="BD24" i="62" s="1"/>
  <c r="BD1229" i="4"/>
  <c r="BD1230" i="4" s="1"/>
  <c r="BD1234" i="4" s="1"/>
  <c r="BE1213" i="4" s="1"/>
  <c r="BD1252" i="4"/>
  <c r="BD22" i="66"/>
  <c r="BD1326" i="4"/>
  <c r="BD1327" i="4" s="1"/>
  <c r="BE405" i="4"/>
  <c r="BE406" i="4" s="1"/>
  <c r="BE407" i="4" s="1"/>
  <c r="BE408" i="4" s="1"/>
  <c r="BE409" i="4" s="1"/>
  <c r="BF404" i="4" s="1"/>
  <c r="BE385" i="4"/>
  <c r="BE395" i="4"/>
  <c r="BE396" i="4" s="1"/>
  <c r="BE397" i="4" s="1"/>
  <c r="BE398" i="4" s="1"/>
  <c r="BE399" i="4" s="1"/>
  <c r="BF394" i="4" s="1"/>
  <c r="BE1051" i="4" l="1"/>
  <c r="BD26" i="62"/>
  <c r="BD21" i="11"/>
  <c r="BD17" i="11" s="1"/>
  <c r="BD1263" i="4"/>
  <c r="BD1264" i="4" s="1"/>
  <c r="BD1253" i="4"/>
  <c r="BD1254" i="4" s="1"/>
  <c r="BD101" i="11"/>
  <c r="BD100" i="11"/>
  <c r="BD100" i="67"/>
  <c r="BE95" i="11"/>
  <c r="BD101" i="67"/>
  <c r="BD24" i="66"/>
  <c r="BD20" i="66" s="1"/>
  <c r="BD26" i="66" s="1"/>
  <c r="BD46" i="62"/>
  <c r="BD1385" i="4"/>
  <c r="BD1384" i="4" s="1"/>
  <c r="BD44" i="66"/>
  <c r="BD40" i="66" s="1"/>
  <c r="BD46" i="66" s="1"/>
  <c r="BD25" i="11"/>
  <c r="BE386" i="4"/>
  <c r="BE387" i="4" s="1"/>
  <c r="BE500" i="4"/>
  <c r="BE489" i="4"/>
  <c r="BE1164" i="4"/>
  <c r="BE1159" i="4"/>
  <c r="BD1266" i="4" l="1"/>
  <c r="BD99" i="11"/>
  <c r="BE490" i="4"/>
  <c r="BE388" i="4"/>
  <c r="BE389" i="4" s="1"/>
  <c r="BF384" i="4" s="1"/>
  <c r="BE501" i="4"/>
  <c r="BE502" i="4" s="1"/>
  <c r="BD1398" i="4"/>
  <c r="BD1393" i="4" s="1"/>
  <c r="BD1397" i="4"/>
  <c r="BD1392" i="4" s="1"/>
  <c r="BD37" i="11"/>
  <c r="BD1386" i="4"/>
  <c r="BD1383" i="4" s="1"/>
  <c r="BD23" i="11"/>
  <c r="BE1231" i="4"/>
  <c r="BE1260" i="4"/>
  <c r="BE42" i="62"/>
  <c r="BE1167" i="4"/>
  <c r="BE1168" i="4" s="1"/>
  <c r="BE85" i="11"/>
  <c r="BD48" i="66"/>
  <c r="BD39" i="11" l="1"/>
  <c r="BD40" i="11" s="1"/>
  <c r="BD1439" i="4"/>
  <c r="BD1440" i="4" s="1"/>
  <c r="BD1396" i="4"/>
  <c r="BD1391" i="4" s="1"/>
  <c r="BF1163" i="4"/>
  <c r="BE26" i="11"/>
  <c r="BF499" i="4"/>
  <c r="BF1023" i="4" s="1"/>
  <c r="BE1024" i="4"/>
  <c r="BE1026" i="4" s="1"/>
  <c r="BE1027" i="4" s="1"/>
  <c r="BE1028" i="4" s="1"/>
  <c r="BE52" i="62"/>
  <c r="BE43" i="62"/>
  <c r="BE23" i="62" s="1"/>
  <c r="BE491" i="4"/>
  <c r="BE51" i="11"/>
  <c r="BE64" i="62"/>
  <c r="BE15" i="11" l="1"/>
  <c r="BE13" i="11" s="1"/>
  <c r="BF488" i="4"/>
  <c r="BE907" i="4"/>
  <c r="BE911" i="4" s="1"/>
  <c r="BE62" i="64"/>
  <c r="BE16" i="66"/>
  <c r="BE14" i="66" s="1"/>
  <c r="BE13" i="66" s="1"/>
  <c r="BE78" i="64" l="1"/>
  <c r="BE70" i="64"/>
  <c r="BE1217" i="4"/>
  <c r="BE1221" i="4" s="1"/>
  <c r="BE1043" i="4"/>
  <c r="BE1243" i="4"/>
  <c r="BE915" i="4"/>
  <c r="BE71" i="11"/>
  <c r="BE47" i="11" l="1"/>
  <c r="BE996" i="4"/>
  <c r="BE1000" i="4" s="1"/>
  <c r="BE1004" i="4" s="1"/>
  <c r="BE1005" i="4" l="1"/>
  <c r="BE1016" i="4" s="1"/>
  <c r="BE1013" i="4" s="1"/>
  <c r="BE1006" i="4" s="1"/>
  <c r="BE1007" i="4" s="1"/>
  <c r="BE1012" i="4"/>
  <c r="BE48" i="11"/>
  <c r="BE55" i="11" s="1"/>
  <c r="BE61" i="11"/>
  <c r="BE62" i="11"/>
  <c r="BE1395" i="4" l="1"/>
  <c r="BE62" i="62"/>
  <c r="BE63" i="62" s="1"/>
  <c r="BE67" i="62" s="1"/>
  <c r="BE64" i="11"/>
  <c r="BE63" i="11"/>
  <c r="BE1014" i="4"/>
  <c r="BF1011" i="4" s="1"/>
  <c r="BE56" i="11"/>
  <c r="BE57" i="11" s="1"/>
  <c r="BE61" i="64"/>
  <c r="BE1222" i="4"/>
  <c r="BE1223" i="4" s="1"/>
  <c r="BE1046" i="4"/>
  <c r="BE1053" i="4" s="1"/>
  <c r="BE1055" i="4" s="1"/>
  <c r="BE1058" i="4" s="1"/>
  <c r="BE1246" i="4"/>
  <c r="BE75" i="11"/>
  <c r="BE66" i="64" l="1"/>
  <c r="BE40" i="64" s="1"/>
  <c r="BE42" i="64" s="1"/>
  <c r="BE77" i="64"/>
  <c r="BE82" i="64" s="1"/>
  <c r="BE69" i="64"/>
  <c r="BE74" i="64" s="1"/>
  <c r="BE1394" i="4"/>
  <c r="BE1206" i="4"/>
  <c r="BE68" i="62"/>
  <c r="BE1236" i="4"/>
  <c r="BE1116" i="4" l="1"/>
  <c r="BE1117" i="4" s="1"/>
  <c r="BE1119" i="4" s="1"/>
  <c r="BE1121" i="4" s="1"/>
  <c r="BE1087" i="4" s="1"/>
  <c r="BE52" i="64"/>
  <c r="BE49" i="64"/>
  <c r="BE1137" i="4" l="1"/>
  <c r="BE1088" i="4"/>
  <c r="BF1085" i="4" l="1"/>
  <c r="BF1130" i="4"/>
  <c r="BF1148" i="4" s="1"/>
  <c r="BE1347" i="4"/>
  <c r="BE1225" i="4"/>
  <c r="BE1226" i="4" s="1"/>
  <c r="BE1404" i="4"/>
  <c r="BE88" i="11"/>
  <c r="BE1247" i="4"/>
  <c r="BE38" i="66"/>
  <c r="BE1138" i="4"/>
  <c r="BE1194" i="4" l="1"/>
  <c r="BE1204" i="4"/>
  <c r="BF1135" i="4"/>
  <c r="BE1428" i="4"/>
  <c r="BE1438" i="4"/>
  <c r="BE1412" i="4"/>
  <c r="BE1413" i="4" s="1"/>
  <c r="BE31" i="11"/>
  <c r="BF1086" i="4"/>
  <c r="BE45" i="62" l="1"/>
  <c r="BE30" i="11"/>
  <c r="BF1415" i="4"/>
  <c r="BE1418" i="4"/>
  <c r="BE1416" i="4"/>
  <c r="BF1129" i="4"/>
  <c r="BF1147" i="4" s="1"/>
  <c r="BF1149" i="4" s="1"/>
  <c r="BF1136" i="4"/>
  <c r="BF1125" i="4"/>
  <c r="BF1101" i="4"/>
  <c r="BE1175" i="4"/>
  <c r="BE1197" i="4"/>
  <c r="BE1198" i="4" s="1"/>
  <c r="BE1188" i="4" s="1"/>
  <c r="BE1180" i="4" l="1"/>
  <c r="BE1184" i="4"/>
  <c r="BE1191" i="4" s="1"/>
  <c r="BF1103" i="4"/>
  <c r="BF1112" i="4"/>
  <c r="BF1141" i="4" s="1"/>
  <c r="BF1102" i="4"/>
  <c r="BE1189" i="4"/>
  <c r="BE1187" i="4"/>
  <c r="BE1176" i="4" s="1"/>
  <c r="BF1259" i="4"/>
  <c r="BF87" i="11"/>
  <c r="BF1346" i="4"/>
  <c r="BF18" i="66"/>
  <c r="BF1233" i="4"/>
  <c r="BF72" i="11"/>
  <c r="BF50" i="11"/>
  <c r="BF999" i="4"/>
  <c r="BF37" i="66"/>
  <c r="BF1045" i="4"/>
  <c r="BF1249" i="4"/>
  <c r="BF297" i="4"/>
  <c r="BF305" i="4" s="1"/>
  <c r="BF330" i="4" s="1"/>
  <c r="BF1218" i="4"/>
  <c r="BE1419" i="4"/>
  <c r="BF1104" i="4" l="1"/>
  <c r="BF1120" i="4" s="1"/>
  <c r="BE1195" i="4"/>
  <c r="BE1199" i="4" s="1"/>
  <c r="BE1177" i="4" s="1"/>
  <c r="BE74" i="11"/>
  <c r="BE78" i="11" s="1"/>
  <c r="BE1227" i="4"/>
  <c r="BE1250" i="4"/>
  <c r="BE1309" i="4"/>
  <c r="BE36" i="66"/>
  <c r="BF997" i="4"/>
  <c r="BF1142" i="4"/>
  <c r="BF294" i="4" s="1"/>
  <c r="BF1143" i="4"/>
  <c r="BG457" i="4"/>
  <c r="BG468" i="4"/>
  <c r="BG479" i="4"/>
  <c r="BF456" i="4"/>
  <c r="BF458" i="4" s="1"/>
  <c r="BF459" i="4" s="1"/>
  <c r="BF478" i="4"/>
  <c r="BF480" i="4" s="1"/>
  <c r="BF481" i="4" s="1"/>
  <c r="BF482" i="4" s="1"/>
  <c r="BF483" i="4" s="1"/>
  <c r="BG477" i="4" s="1"/>
  <c r="BF467" i="4"/>
  <c r="BF469" i="4" s="1"/>
  <c r="BF470" i="4" s="1"/>
  <c r="BF471" i="4" s="1"/>
  <c r="BF472" i="4" s="1"/>
  <c r="BG466" i="4" s="1"/>
  <c r="BF1092" i="4"/>
  <c r="BF1091" i="4"/>
  <c r="BE19" i="66"/>
  <c r="BE17" i="66" s="1"/>
  <c r="BE1232" i="4"/>
  <c r="BE1261" i="4"/>
  <c r="BE86" i="11"/>
  <c r="BE1403" i="4"/>
  <c r="BF49" i="11"/>
  <c r="BF1113" i="4" l="1"/>
  <c r="BF1144" i="4" s="1"/>
  <c r="BF1224" i="4" s="1"/>
  <c r="BF1093" i="4"/>
  <c r="BF1111" i="4" s="1"/>
  <c r="BG495" i="4"/>
  <c r="BG995" i="4" s="1"/>
  <c r="BF53" i="11"/>
  <c r="BF52" i="11" s="1"/>
  <c r="BE1406" i="4"/>
  <c r="BF299" i="4"/>
  <c r="BF302" i="4"/>
  <c r="BE1308" i="4"/>
  <c r="BE1311" i="4" s="1"/>
  <c r="BE1344" i="4"/>
  <c r="BE89" i="11"/>
  <c r="BE1228" i="4"/>
  <c r="BE1205" i="4" s="1"/>
  <c r="BE1251" i="4"/>
  <c r="BE39" i="66"/>
  <c r="BE35" i="66" s="1"/>
  <c r="BF494" i="4"/>
  <c r="BF994" i="4" s="1"/>
  <c r="BF460" i="4"/>
  <c r="BF461" i="4" s="1"/>
  <c r="BG455" i="4" s="1"/>
  <c r="BE1178" i="4"/>
  <c r="BF73" i="11" l="1"/>
  <c r="BF1248" i="4"/>
  <c r="BF1044" i="4"/>
  <c r="BF1067" i="4" s="1"/>
  <c r="BF1158" i="4" s="1"/>
  <c r="BF1174" i="4" s="1"/>
  <c r="BF331" i="4"/>
  <c r="BF307" i="4"/>
  <c r="BE1207" i="4"/>
  <c r="BE1209" i="4" s="1"/>
  <c r="BF1173" i="4"/>
  <c r="BE27" i="11"/>
  <c r="BE1429" i="4"/>
  <c r="BE1348" i="4"/>
  <c r="BE1313" i="4"/>
  <c r="BE1325" i="4"/>
  <c r="BF1068" i="4" l="1"/>
  <c r="BF1157" i="4"/>
  <c r="BF1164" i="4" s="1"/>
  <c r="BF332" i="4"/>
  <c r="BF14" i="11" s="1"/>
  <c r="BE1326" i="4"/>
  <c r="BE1327" i="4" s="1"/>
  <c r="BE1252" i="4"/>
  <c r="BE58" i="11"/>
  <c r="BE59" i="11" s="1"/>
  <c r="BE28" i="11" s="1"/>
  <c r="BE25" i="11" s="1"/>
  <c r="BE1229" i="4"/>
  <c r="BE1230" i="4" s="1"/>
  <c r="BE1234" i="4" s="1"/>
  <c r="BF1213" i="4" s="1"/>
  <c r="BE90" i="11"/>
  <c r="BE91" i="11" s="1"/>
  <c r="BE93" i="11" s="1"/>
  <c r="BE96" i="11" s="1"/>
  <c r="BE97" i="11" s="1"/>
  <c r="BE48" i="62"/>
  <c r="BE24" i="62" s="1"/>
  <c r="BE22" i="66"/>
  <c r="BE1208" i="4"/>
  <c r="BE1363" i="4"/>
  <c r="BE1430" i="4"/>
  <c r="BE1431" i="4" s="1"/>
  <c r="BE1432" i="4"/>
  <c r="BF385" i="4"/>
  <c r="BF395" i="4"/>
  <c r="BF396" i="4" s="1"/>
  <c r="BF397" i="4" s="1"/>
  <c r="BF398" i="4" s="1"/>
  <c r="BF399" i="4" s="1"/>
  <c r="BG394" i="4" s="1"/>
  <c r="BF405" i="4"/>
  <c r="BF406" i="4" s="1"/>
  <c r="BF407" i="4" s="1"/>
  <c r="BF408" i="4" s="1"/>
  <c r="BF409" i="4" s="1"/>
  <c r="BG404" i="4" s="1"/>
  <c r="BF1159" i="4" l="1"/>
  <c r="BE26" i="62"/>
  <c r="BE1397" i="4"/>
  <c r="BE1392" i="4" s="1"/>
  <c r="BE1398" i="4"/>
  <c r="BE1393" i="4" s="1"/>
  <c r="BE37" i="11"/>
  <c r="BF95" i="11"/>
  <c r="BE24" i="66"/>
  <c r="BE20" i="66" s="1"/>
  <c r="BE26" i="66" s="1"/>
  <c r="BE44" i="66"/>
  <c r="BE40" i="66" s="1"/>
  <c r="BE46" i="66" s="1"/>
  <c r="BE101" i="67"/>
  <c r="BE101" i="11"/>
  <c r="BE21" i="11"/>
  <c r="BE17" i="11" s="1"/>
  <c r="BE46" i="62"/>
  <c r="BE100" i="11"/>
  <c r="BE100" i="67"/>
  <c r="BE1253" i="4"/>
  <c r="BE1254" i="4" s="1"/>
  <c r="BE1385" i="4"/>
  <c r="BE1384" i="4" s="1"/>
  <c r="BE1263" i="4"/>
  <c r="BE1264" i="4" s="1"/>
  <c r="BE1364" i="4"/>
  <c r="BE1365" i="4" s="1"/>
  <c r="BF1051" i="4"/>
  <c r="BF1167" i="4"/>
  <c r="BF1168" i="4" s="1"/>
  <c r="BF85" i="11"/>
  <c r="BF1231" i="4"/>
  <c r="BF42" i="62"/>
  <c r="BF1260" i="4"/>
  <c r="BF386" i="4"/>
  <c r="BF387" i="4" s="1"/>
  <c r="BF489" i="4"/>
  <c r="BF500" i="4"/>
  <c r="BE1266" i="4" l="1"/>
  <c r="BE48" i="66"/>
  <c r="BE99" i="11"/>
  <c r="BF388" i="4"/>
  <c r="BF389" i="4" s="1"/>
  <c r="BG384" i="4" s="1"/>
  <c r="BF490" i="4"/>
  <c r="BF501" i="4"/>
  <c r="BF502" i="4" s="1"/>
  <c r="BF52" i="62"/>
  <c r="BF43" i="62"/>
  <c r="BF23" i="62" s="1"/>
  <c r="BE1386" i="4"/>
  <c r="BE1383" i="4" s="1"/>
  <c r="BE23" i="11"/>
  <c r="BF26" i="11"/>
  <c r="BG1163" i="4"/>
  <c r="BE1439" i="4" l="1"/>
  <c r="BE1440" i="4" s="1"/>
  <c r="BE1396" i="4"/>
  <c r="BE1391" i="4" s="1"/>
  <c r="BG499" i="4"/>
  <c r="BG1023" i="4" s="1"/>
  <c r="BF1024" i="4"/>
  <c r="BF1026" i="4" s="1"/>
  <c r="BF1027" i="4" s="1"/>
  <c r="BF1028" i="4" s="1"/>
  <c r="BF491" i="4"/>
  <c r="BF51" i="11"/>
  <c r="BF64" i="62"/>
  <c r="BF16" i="66"/>
  <c r="BF14" i="66" s="1"/>
  <c r="BF13" i="66" s="1"/>
  <c r="BE39" i="11"/>
  <c r="BE40" i="11" s="1"/>
  <c r="BF907" i="4" l="1"/>
  <c r="BF911" i="4" s="1"/>
  <c r="BF62" i="64"/>
  <c r="BF15" i="11"/>
  <c r="BF13" i="11" s="1"/>
  <c r="BG488" i="4"/>
  <c r="BF78" i="64" l="1"/>
  <c r="BF70" i="64"/>
  <c r="BF1217" i="4"/>
  <c r="BF1221" i="4" s="1"/>
  <c r="BF71" i="11"/>
  <c r="BF915" i="4"/>
  <c r="BF1243" i="4"/>
  <c r="BF1043" i="4"/>
  <c r="BF996" i="4" l="1"/>
  <c r="BF1000" i="4" s="1"/>
  <c r="BF1004" i="4" s="1"/>
  <c r="BF47" i="11"/>
  <c r="BF61" i="11" l="1"/>
  <c r="BF62" i="11"/>
  <c r="BF48" i="11"/>
  <c r="BF55" i="11" s="1"/>
  <c r="BF1005" i="4"/>
  <c r="BF1016" i="4" s="1"/>
  <c r="BF1013" i="4" s="1"/>
  <c r="BF1006" i="4" s="1"/>
  <c r="BF1007" i="4" s="1"/>
  <c r="BF1012" i="4"/>
  <c r="BF61" i="64" l="1"/>
  <c r="BF75" i="11"/>
  <c r="BF1046" i="4"/>
  <c r="BF1053" i="4" s="1"/>
  <c r="BF1055" i="4" s="1"/>
  <c r="BF1058" i="4" s="1"/>
  <c r="BF1222" i="4"/>
  <c r="BF1223" i="4" s="1"/>
  <c r="BF56" i="11"/>
  <c r="BF57" i="11" s="1"/>
  <c r="BF1246" i="4"/>
  <c r="BF1014" i="4"/>
  <c r="BG1011" i="4" s="1"/>
  <c r="BF62" i="62"/>
  <c r="BF63" i="62" s="1"/>
  <c r="BF67" i="62" s="1"/>
  <c r="BF1395" i="4"/>
  <c r="BF64" i="11"/>
  <c r="BF63" i="11"/>
  <c r="BF1394" i="4" l="1"/>
  <c r="BF1206" i="4"/>
  <c r="BF68" i="62"/>
  <c r="BF1236" i="4"/>
  <c r="BF77" i="64"/>
  <c r="BF82" i="64" s="1"/>
  <c r="BF69" i="64"/>
  <c r="BF74" i="64" s="1"/>
  <c r="BF66" i="64"/>
  <c r="BF40" i="64" s="1"/>
  <c r="BF42" i="64" s="1"/>
  <c r="BF1116" i="4" l="1"/>
  <c r="BF1117" i="4" s="1"/>
  <c r="BF1119" i="4" s="1"/>
  <c r="BF1121" i="4" s="1"/>
  <c r="BF1087" i="4" s="1"/>
  <c r="BF52" i="64"/>
  <c r="BF49" i="64"/>
  <c r="BF1137" i="4" l="1"/>
  <c r="BF1088" i="4"/>
  <c r="BG1085" i="4" l="1"/>
  <c r="BG1130" i="4"/>
  <c r="BG1148" i="4" s="1"/>
  <c r="BF88" i="11"/>
  <c r="BF1225" i="4"/>
  <c r="BF1226" i="4" s="1"/>
  <c r="BF1347" i="4"/>
  <c r="BF1404" i="4"/>
  <c r="BF1247" i="4"/>
  <c r="BF38" i="66"/>
  <c r="BF1138" i="4"/>
  <c r="BF1194" i="4" l="1"/>
  <c r="BF1204" i="4"/>
  <c r="BF1412" i="4"/>
  <c r="BF1413" i="4" s="1"/>
  <c r="BF1438" i="4"/>
  <c r="BF1428" i="4"/>
  <c r="BG1135" i="4"/>
  <c r="BF31" i="11"/>
  <c r="BG1086" i="4"/>
  <c r="BF1418" i="4" l="1"/>
  <c r="BF1416" i="4"/>
  <c r="BF30" i="11"/>
  <c r="BF45" i="62"/>
  <c r="BG1129" i="4"/>
  <c r="BG1147" i="4" s="1"/>
  <c r="BG1149" i="4" s="1"/>
  <c r="BG1136" i="4"/>
  <c r="BG1125" i="4"/>
  <c r="BG1101" i="4"/>
  <c r="BG1415" i="4"/>
  <c r="BF1197" i="4"/>
  <c r="BF1198" i="4" s="1"/>
  <c r="BF1188" i="4" s="1"/>
  <c r="BF1175" i="4"/>
  <c r="BF1419" i="4" l="1"/>
  <c r="BG87" i="11"/>
  <c r="BG18" i="66"/>
  <c r="BG1233" i="4"/>
  <c r="BG1346" i="4"/>
  <c r="BG1259" i="4"/>
  <c r="W87" i="67"/>
  <c r="BF1184" i="4"/>
  <c r="BF1191" i="4" s="1"/>
  <c r="BF1180" i="4"/>
  <c r="BF1187" i="4"/>
  <c r="BF1176" i="4" s="1"/>
  <c r="BF1189" i="4"/>
  <c r="BG1112" i="4"/>
  <c r="BG1141" i="4" s="1"/>
  <c r="BG1102" i="4"/>
  <c r="BG1103" i="4"/>
  <c r="BG1218" i="4"/>
  <c r="BG297" i="4"/>
  <c r="BG305" i="4" s="1"/>
  <c r="BG330" i="4" s="1"/>
  <c r="BG37" i="66"/>
  <c r="BG1045" i="4"/>
  <c r="BG72" i="11"/>
  <c r="BG1249" i="4"/>
  <c r="BG50" i="11"/>
  <c r="BG999" i="4"/>
  <c r="W72" i="67"/>
  <c r="BG1143" i="4" l="1"/>
  <c r="BG1142" i="4"/>
  <c r="BG294" i="4" s="1"/>
  <c r="BG997" i="4"/>
  <c r="BG1092" i="4"/>
  <c r="BG1091" i="4"/>
  <c r="BG1104" i="4"/>
  <c r="BF1250" i="4"/>
  <c r="BF74" i="11"/>
  <c r="BF78" i="11" s="1"/>
  <c r="BF1227" i="4"/>
  <c r="BF1195" i="4"/>
  <c r="BF1199" i="4" s="1"/>
  <c r="BF1177" i="4" s="1"/>
  <c r="BF1309" i="4"/>
  <c r="BF36" i="66"/>
  <c r="BG49" i="11"/>
  <c r="W50" i="67"/>
  <c r="W49" i="67" s="1"/>
  <c r="BG467" i="4"/>
  <c r="BG469" i="4" s="1"/>
  <c r="BG470" i="4" s="1"/>
  <c r="BG471" i="4" s="1"/>
  <c r="BG472" i="4" s="1"/>
  <c r="BH466" i="4" s="1"/>
  <c r="BG456" i="4"/>
  <c r="BG458" i="4" s="1"/>
  <c r="BG459" i="4" s="1"/>
  <c r="BH457" i="4"/>
  <c r="BG478" i="4"/>
  <c r="BG480" i="4" s="1"/>
  <c r="BG481" i="4" s="1"/>
  <c r="BG482" i="4" s="1"/>
  <c r="BG483" i="4" s="1"/>
  <c r="BH477" i="4" s="1"/>
  <c r="BH468" i="4"/>
  <c r="BH479" i="4"/>
  <c r="BF86" i="11"/>
  <c r="BF19" i="66"/>
  <c r="BF17" i="66" s="1"/>
  <c r="BF1232" i="4"/>
  <c r="BF1261" i="4"/>
  <c r="BF1403" i="4"/>
  <c r="BF1406" i="4" s="1"/>
  <c r="BF1344" i="4" l="1"/>
  <c r="BF1308" i="4"/>
  <c r="BF1311" i="4" s="1"/>
  <c r="BG1120" i="4"/>
  <c r="BG1113" i="4"/>
  <c r="BG1144" i="4" s="1"/>
  <c r="BG1093" i="4"/>
  <c r="BG1111" i="4" s="1"/>
  <c r="I1091" i="4"/>
  <c r="BH495" i="4"/>
  <c r="BH995" i="4" s="1"/>
  <c r="BF89" i="11"/>
  <c r="BF1228" i="4"/>
  <c r="BF1205" i="4" s="1"/>
  <c r="BF1251" i="4"/>
  <c r="BF39" i="66"/>
  <c r="BF35" i="66" s="1"/>
  <c r="BF1178" i="4"/>
  <c r="BG299" i="4"/>
  <c r="BG302" i="4"/>
  <c r="BG494" i="4"/>
  <c r="BG994" i="4" s="1"/>
  <c r="BG460" i="4"/>
  <c r="BG461" i="4" s="1"/>
  <c r="BH455" i="4" s="1"/>
  <c r="BG53" i="11"/>
  <c r="BG52" i="11" s="1"/>
  <c r="W53" i="67"/>
  <c r="W52" i="67" s="1"/>
  <c r="BG331" i="4" l="1"/>
  <c r="BG307" i="4"/>
  <c r="BG1173" i="4"/>
  <c r="BF27" i="11"/>
  <c r="BF1429" i="4"/>
  <c r="BG1044" i="4"/>
  <c r="BG1067" i="4" s="1"/>
  <c r="BG73" i="11"/>
  <c r="BG1224" i="4"/>
  <c r="BG1248" i="4"/>
  <c r="W23" i="13"/>
  <c r="W73" i="67"/>
  <c r="BF1207" i="4"/>
  <c r="BF1209" i="4" s="1"/>
  <c r="BF1313" i="4"/>
  <c r="BF1325" i="4"/>
  <c r="BF1348" i="4"/>
  <c r="BG332" i="4" l="1"/>
  <c r="BG14" i="11" s="1"/>
  <c r="BF1208" i="4"/>
  <c r="BG1157" i="4"/>
  <c r="BG1158" i="4"/>
  <c r="BG1174" i="4" s="1"/>
  <c r="BG1068" i="4"/>
  <c r="BF1432" i="4"/>
  <c r="BF1430" i="4"/>
  <c r="BF1431" i="4" s="1"/>
  <c r="BF1363" i="4"/>
  <c r="BF1326" i="4"/>
  <c r="BF1327" i="4" s="1"/>
  <c r="BF58" i="11"/>
  <c r="BF59" i="11" s="1"/>
  <c r="BF28" i="11" s="1"/>
  <c r="BF25" i="11" s="1"/>
  <c r="BF1229" i="4"/>
  <c r="BF1230" i="4" s="1"/>
  <c r="BF1234" i="4" s="1"/>
  <c r="BG1213" i="4" s="1"/>
  <c r="BF90" i="11"/>
  <c r="BF91" i="11" s="1"/>
  <c r="BF93" i="11" s="1"/>
  <c r="BF96" i="11" s="1"/>
  <c r="BF97" i="11" s="1"/>
  <c r="BF1252" i="4"/>
  <c r="BF48" i="62"/>
  <c r="BF24" i="62" s="1"/>
  <c r="BF22" i="66"/>
  <c r="BG405" i="4"/>
  <c r="BG406" i="4" s="1"/>
  <c r="BG407" i="4" s="1"/>
  <c r="BG408" i="4" s="1"/>
  <c r="BG409" i="4" s="1"/>
  <c r="BH404" i="4" s="1"/>
  <c r="BG395" i="4"/>
  <c r="BG396" i="4" s="1"/>
  <c r="BG397" i="4" s="1"/>
  <c r="BG398" i="4" s="1"/>
  <c r="BG399" i="4" s="1"/>
  <c r="BH394" i="4" s="1"/>
  <c r="BG385" i="4"/>
  <c r="W14" i="67" l="1"/>
  <c r="BF37" i="11"/>
  <c r="BF1398" i="4"/>
  <c r="BF1393" i="4" s="1"/>
  <c r="BF1397" i="4"/>
  <c r="BF1392" i="4" s="1"/>
  <c r="BF26" i="62"/>
  <c r="BG489" i="4"/>
  <c r="BG386" i="4"/>
  <c r="BG387" i="4" s="1"/>
  <c r="BG500" i="4"/>
  <c r="BF44" i="66"/>
  <c r="BF40" i="66" s="1"/>
  <c r="BF46" i="66" s="1"/>
  <c r="BF100" i="67"/>
  <c r="BG95" i="11"/>
  <c r="BF1385" i="4"/>
  <c r="BF1384" i="4" s="1"/>
  <c r="BF1263" i="4"/>
  <c r="BF1264" i="4" s="1"/>
  <c r="BF21" i="11"/>
  <c r="BF17" i="11" s="1"/>
  <c r="BF101" i="11"/>
  <c r="BF46" i="62"/>
  <c r="BF100" i="11"/>
  <c r="BF101" i="67"/>
  <c r="BF24" i="66"/>
  <c r="BF20" i="66" s="1"/>
  <c r="BF26" i="66" s="1"/>
  <c r="BF1253" i="4"/>
  <c r="BF1254" i="4" s="1"/>
  <c r="BG1051" i="4"/>
  <c r="BF1364" i="4"/>
  <c r="BF1365" i="4" s="1"/>
  <c r="BG1159" i="4"/>
  <c r="BG1164" i="4"/>
  <c r="BF1266" i="4" l="1"/>
  <c r="BF99" i="11"/>
  <c r="BG388" i="4"/>
  <c r="BG389" i="4" s="1"/>
  <c r="BH384" i="4" s="1"/>
  <c r="BG501" i="4"/>
  <c r="BG502" i="4" s="1"/>
  <c r="BG490" i="4"/>
  <c r="BG1231" i="4"/>
  <c r="BG85" i="11"/>
  <c r="BG1167" i="4"/>
  <c r="BG1168" i="4" s="1"/>
  <c r="BG42" i="62"/>
  <c r="BG1260" i="4"/>
  <c r="W85" i="67"/>
  <c r="BF1386" i="4"/>
  <c r="BF1383" i="4" s="1"/>
  <c r="BF23" i="11"/>
  <c r="BF39" i="11" s="1"/>
  <c r="BF40" i="11" s="1"/>
  <c r="BF48" i="66"/>
  <c r="BH1163" i="4" l="1"/>
  <c r="W26" i="67"/>
  <c r="BG26" i="11"/>
  <c r="BG52" i="62"/>
  <c r="BG43" i="62"/>
  <c r="BG23" i="62" s="1"/>
  <c r="BF1439" i="4"/>
  <c r="BF1440" i="4" s="1"/>
  <c r="BF1396" i="4"/>
  <c r="BF1391" i="4" s="1"/>
  <c r="BG491" i="4"/>
  <c r="BG51" i="11"/>
  <c r="BG64" i="62"/>
  <c r="W51" i="67"/>
  <c r="BG1024" i="4"/>
  <c r="BG1026" i="4" s="1"/>
  <c r="BG1027" i="4" s="1"/>
  <c r="BG1028" i="4" s="1"/>
  <c r="BH499" i="4"/>
  <c r="BH1023" i="4" s="1"/>
  <c r="BG16" i="66" l="1"/>
  <c r="BG14" i="66" s="1"/>
  <c r="BG13" i="66" s="1"/>
  <c r="BG907" i="4"/>
  <c r="BG911" i="4" s="1"/>
  <c r="BG62" i="64"/>
  <c r="BG15" i="11"/>
  <c r="BG13" i="11" s="1"/>
  <c r="W15" i="67"/>
  <c r="W13" i="67" s="1"/>
  <c r="BH488" i="4"/>
  <c r="BG70" i="64" l="1"/>
  <c r="BG78" i="64"/>
  <c r="BG1043" i="4"/>
  <c r="BG915" i="4"/>
  <c r="BG1243" i="4"/>
  <c r="BG71" i="11"/>
  <c r="BG1217" i="4"/>
  <c r="BG1221" i="4" s="1"/>
  <c r="W71" i="67"/>
  <c r="W40" i="13"/>
  <c r="BG996" i="4" l="1"/>
  <c r="BG1000" i="4" s="1"/>
  <c r="BG1004" i="4" s="1"/>
  <c r="BG47" i="11"/>
  <c r="W47" i="67"/>
  <c r="W20" i="72"/>
  <c r="BG61" i="11" l="1"/>
  <c r="BG62" i="11"/>
  <c r="BG48" i="11"/>
  <c r="BG55" i="11" s="1"/>
  <c r="W62" i="67"/>
  <c r="W64" i="67" s="1"/>
  <c r="W48" i="67"/>
  <c r="W55" i="67" s="1"/>
  <c r="W61" i="67"/>
  <c r="W63" i="67" s="1"/>
  <c r="BG1012" i="4"/>
  <c r="BG1005" i="4"/>
  <c r="BG1395" i="4" l="1"/>
  <c r="BG62" i="62"/>
  <c r="BG64" i="11"/>
  <c r="BG1016" i="4"/>
  <c r="BG1013" i="4" s="1"/>
  <c r="BG1014" i="4" s="1"/>
  <c r="BH1011" i="4" s="1"/>
  <c r="BG63" i="11"/>
  <c r="W1449" i="4"/>
  <c r="BG1006" i="4" l="1"/>
  <c r="BG1007" i="4" s="1"/>
  <c r="BG63" i="62" s="1"/>
  <c r="BG67" i="62" s="1"/>
  <c r="BG68" i="62" l="1"/>
  <c r="BG61" i="64"/>
  <c r="BG75" i="11"/>
  <c r="BG56" i="11"/>
  <c r="BG57" i="11" s="1"/>
  <c r="BG1222" i="4"/>
  <c r="BG1223" i="4" s="1"/>
  <c r="BG1046" i="4"/>
  <c r="BG1053" i="4" s="1"/>
  <c r="BG1055" i="4" s="1"/>
  <c r="BG1058" i="4" s="1"/>
  <c r="BG1246" i="4"/>
  <c r="W75" i="67"/>
  <c r="W41" i="13"/>
  <c r="W43" i="13" s="1"/>
  <c r="W56" i="67"/>
  <c r="W57" i="67" s="1"/>
  <c r="BG1394" i="4" l="1"/>
  <c r="BG1206" i="4"/>
  <c r="BG1236" i="4"/>
  <c r="BG66" i="64"/>
  <c r="BG40" i="64" s="1"/>
  <c r="BG42" i="64" s="1"/>
  <c r="BG69" i="64"/>
  <c r="BG74" i="64" s="1"/>
  <c r="BG77" i="64"/>
  <c r="BG82" i="64" s="1"/>
  <c r="BG49" i="64" l="1"/>
  <c r="BG52" i="64"/>
  <c r="BG1116" i="4"/>
  <c r="BG1117" i="4" s="1"/>
  <c r="BG1119" i="4" s="1"/>
  <c r="BG1121" i="4" s="1"/>
  <c r="BG1087" i="4" s="1"/>
  <c r="BG1137" i="4" l="1"/>
  <c r="BG1088" i="4"/>
  <c r="BH1085" i="4" l="1"/>
  <c r="BH1130" i="4"/>
  <c r="BH1148" i="4" s="1"/>
  <c r="BG1347" i="4"/>
  <c r="BG1225" i="4"/>
  <c r="BG1226" i="4" s="1"/>
  <c r="BG88" i="11"/>
  <c r="BG1247" i="4"/>
  <c r="BG38" i="66"/>
  <c r="BG1404" i="4"/>
  <c r="W24" i="13"/>
  <c r="W88" i="67"/>
  <c r="BG1138" i="4"/>
  <c r="BG1204" i="4" l="1"/>
  <c r="BG1194" i="4"/>
  <c r="BG31" i="11"/>
  <c r="W1448" i="4"/>
  <c r="W1452" i="4" s="1"/>
  <c r="BH1135" i="4"/>
  <c r="BG1412" i="4"/>
  <c r="BG1413" i="4" s="1"/>
  <c r="BG1438" i="4"/>
  <c r="W31" i="67"/>
  <c r="W30" i="67" s="1"/>
  <c r="BG1428" i="4"/>
  <c r="BH1086" i="4"/>
  <c r="BG1418" i="4" l="1"/>
  <c r="BG1416" i="4"/>
  <c r="BH1415" i="4"/>
  <c r="BG30" i="11"/>
  <c r="BG45" i="62"/>
  <c r="BG1197" i="4"/>
  <c r="BG1198" i="4" s="1"/>
  <c r="BG1188" i="4" s="1"/>
  <c r="BG1175" i="4"/>
  <c r="BH1136" i="4"/>
  <c r="BH1129" i="4"/>
  <c r="BH1147" i="4" s="1"/>
  <c r="BH1149" i="4" s="1"/>
  <c r="BH1125" i="4"/>
  <c r="BH1101" i="4"/>
  <c r="BG1419" i="4" l="1"/>
  <c r="BH1103" i="4"/>
  <c r="BH1092" i="4" s="1"/>
  <c r="BH1093" i="4" s="1"/>
  <c r="BH1111" i="4" s="1"/>
  <c r="BH1112" i="4"/>
  <c r="BH1141" i="4" s="1"/>
  <c r="BH1102" i="4"/>
  <c r="BH1249" i="4"/>
  <c r="BH999" i="4"/>
  <c r="BH1218" i="4"/>
  <c r="BH37" i="66"/>
  <c r="BH50" i="11"/>
  <c r="BH297" i="4"/>
  <c r="BH305" i="4" s="1"/>
  <c r="BH330" i="4" s="1"/>
  <c r="BH72" i="11"/>
  <c r="BH1045" i="4"/>
  <c r="BH87" i="11"/>
  <c r="BH1259" i="4"/>
  <c r="BH1233" i="4"/>
  <c r="BH18" i="66"/>
  <c r="BH1346" i="4"/>
  <c r="BG1180" i="4"/>
  <c r="BG1184" i="4"/>
  <c r="BG1191" i="4" s="1"/>
  <c r="BG1189" i="4"/>
  <c r="BG1187" i="4"/>
  <c r="BG1176" i="4" s="1"/>
  <c r="BH1104" i="4" l="1"/>
  <c r="BH1120" i="4" s="1"/>
  <c r="BH49" i="11"/>
  <c r="BG86" i="11"/>
  <c r="BG1261" i="4"/>
  <c r="BG1232" i="4"/>
  <c r="BG19" i="66"/>
  <c r="BG17" i="66" s="1"/>
  <c r="W86" i="67"/>
  <c r="BG1403" i="4"/>
  <c r="BH997" i="4"/>
  <c r="BH1143" i="4"/>
  <c r="BH1142" i="4"/>
  <c r="BH294" i="4" s="1"/>
  <c r="BG74" i="11"/>
  <c r="BG78" i="11" s="1"/>
  <c r="BG1195" i="4"/>
  <c r="BG1199" i="4" s="1"/>
  <c r="BG1177" i="4" s="1"/>
  <c r="BG1227" i="4"/>
  <c r="BG1250" i="4"/>
  <c r="W74" i="67"/>
  <c r="BG1309" i="4"/>
  <c r="BG36" i="66"/>
  <c r="BH467" i="4"/>
  <c r="BH469" i="4" s="1"/>
  <c r="BH470" i="4" s="1"/>
  <c r="BH471" i="4" s="1"/>
  <c r="BH472" i="4" s="1"/>
  <c r="BI466" i="4" s="1"/>
  <c r="BH478" i="4"/>
  <c r="BH480" i="4" s="1"/>
  <c r="BH481" i="4" s="1"/>
  <c r="BH482" i="4" s="1"/>
  <c r="BH483" i="4" s="1"/>
  <c r="BI477" i="4" s="1"/>
  <c r="BI468" i="4"/>
  <c r="BH456" i="4"/>
  <c r="BH458" i="4" s="1"/>
  <c r="BH459" i="4" s="1"/>
  <c r="BI479" i="4"/>
  <c r="BI457" i="4"/>
  <c r="BH1113" i="4" l="1"/>
  <c r="BH1144" i="4" s="1"/>
  <c r="BH1224" i="4" s="1"/>
  <c r="W25" i="13"/>
  <c r="BG1406" i="4"/>
  <c r="BH299" i="4"/>
  <c r="BH302" i="4"/>
  <c r="BG1308" i="4"/>
  <c r="BG1311" i="4" s="1"/>
  <c r="BG1344" i="4"/>
  <c r="BH53" i="11"/>
  <c r="BH52" i="11" s="1"/>
  <c r="BG1228" i="4"/>
  <c r="BG1205" i="4" s="1"/>
  <c r="BG39" i="66"/>
  <c r="BG35" i="66" s="1"/>
  <c r="BG1251" i="4"/>
  <c r="BG89" i="11"/>
  <c r="W89" i="67"/>
  <c r="BG1178" i="4"/>
  <c r="W78" i="67"/>
  <c r="BI495" i="4"/>
  <c r="BI995" i="4" s="1"/>
  <c r="BH494" i="4"/>
  <c r="BH994" i="4" s="1"/>
  <c r="BH460" i="4"/>
  <c r="BH461" i="4" s="1"/>
  <c r="BI455" i="4" s="1"/>
  <c r="BH73" i="11" l="1"/>
  <c r="BH1044" i="4"/>
  <c r="BH1067" i="4" s="1"/>
  <c r="BH1068" i="4" s="1"/>
  <c r="BH1248" i="4"/>
  <c r="BG1207" i="4"/>
  <c r="BG1209" i="4" s="1"/>
  <c r="BG27" i="11"/>
  <c r="W27" i="67"/>
  <c r="BH1173" i="4"/>
  <c r="BG1429" i="4"/>
  <c r="BG1348" i="4"/>
  <c r="W13" i="13"/>
  <c r="BG1313" i="4"/>
  <c r="W14" i="72"/>
  <c r="BG1325" i="4"/>
  <c r="BH331" i="4"/>
  <c r="BH307" i="4"/>
  <c r="BH1157" i="4" l="1"/>
  <c r="BH1164" i="4" s="1"/>
  <c r="BH1158" i="4"/>
  <c r="BH1174" i="4" s="1"/>
  <c r="BH332" i="4"/>
  <c r="BH14" i="11" s="1"/>
  <c r="BG1432" i="4"/>
  <c r="BG1430" i="4"/>
  <c r="BG1431" i="4" s="1"/>
  <c r="BG1208" i="4"/>
  <c r="BH385" i="4"/>
  <c r="BH395" i="4"/>
  <c r="BH396" i="4" s="1"/>
  <c r="BH397" i="4" s="1"/>
  <c r="BH398" i="4" s="1"/>
  <c r="BH399" i="4" s="1"/>
  <c r="BI394" i="4" s="1"/>
  <c r="BH405" i="4"/>
  <c r="BH406" i="4" s="1"/>
  <c r="BH407" i="4" s="1"/>
  <c r="BH408" i="4" s="1"/>
  <c r="BH409" i="4" s="1"/>
  <c r="BI404" i="4" s="1"/>
  <c r="BG1326" i="4"/>
  <c r="BG1327" i="4" s="1"/>
  <c r="W15" i="72"/>
  <c r="BG1363" i="4"/>
  <c r="BG1252" i="4"/>
  <c r="BG1229" i="4"/>
  <c r="BG1230" i="4" s="1"/>
  <c r="BG1234" i="4" s="1"/>
  <c r="BH1213" i="4" s="1"/>
  <c r="BG90" i="11"/>
  <c r="BG91" i="11" s="1"/>
  <c r="BG93" i="11" s="1"/>
  <c r="BG96" i="11" s="1"/>
  <c r="BG97" i="11" s="1"/>
  <c r="BG58" i="11"/>
  <c r="BG59" i="11" s="1"/>
  <c r="BG28" i="11" s="1"/>
  <c r="BG48" i="62"/>
  <c r="BG24" i="62" s="1"/>
  <c r="W58" i="67"/>
  <c r="W90" i="67"/>
  <c r="BG22" i="66"/>
  <c r="BH1159" i="4" l="1"/>
  <c r="BH1051" i="4"/>
  <c r="W28" i="67"/>
  <c r="W25" i="67" s="1"/>
  <c r="W37" i="67" s="1"/>
  <c r="BG1364" i="4"/>
  <c r="BG1365" i="4" s="1"/>
  <c r="BH1231" i="4"/>
  <c r="BH85" i="11"/>
  <c r="BH42" i="62"/>
  <c r="BH1167" i="4"/>
  <c r="BH1168" i="4" s="1"/>
  <c r="BH1260" i="4"/>
  <c r="W91" i="67"/>
  <c r="W59" i="67"/>
  <c r="BG25" i="11"/>
  <c r="BG26" i="62"/>
  <c r="BG100" i="67"/>
  <c r="BG44" i="66"/>
  <c r="BG40" i="66" s="1"/>
  <c r="BG46" i="66" s="1"/>
  <c r="BG21" i="11"/>
  <c r="BG17" i="11" s="1"/>
  <c r="BG1385" i="4"/>
  <c r="BG1384" i="4" s="1"/>
  <c r="BG1253" i="4"/>
  <c r="BG1254" i="4" s="1"/>
  <c r="BG24" i="66"/>
  <c r="BG20" i="66" s="1"/>
  <c r="BG26" i="66" s="1"/>
  <c r="BG1263" i="4"/>
  <c r="BG1264" i="4" s="1"/>
  <c r="W21" i="67"/>
  <c r="W17" i="67" s="1"/>
  <c r="W23" i="67" s="1"/>
  <c r="BG46" i="62"/>
  <c r="W1450" i="4"/>
  <c r="W1457" i="4" s="1"/>
  <c r="BH95" i="11"/>
  <c r="BG101" i="67"/>
  <c r="BG100" i="11"/>
  <c r="BG101" i="11"/>
  <c r="BH386" i="4"/>
  <c r="BH387" i="4" s="1"/>
  <c r="BH500" i="4"/>
  <c r="BH489" i="4"/>
  <c r="BG1266" i="4" l="1"/>
  <c r="BG48" i="66"/>
  <c r="BG99" i="11"/>
  <c r="BG1386" i="4"/>
  <c r="BG1383" i="4" s="1"/>
  <c r="BG23" i="11"/>
  <c r="W93" i="67"/>
  <c r="W96" i="67" s="1"/>
  <c r="W97" i="67" s="1"/>
  <c r="W39" i="67"/>
  <c r="BH26" i="11"/>
  <c r="BI1163" i="4"/>
  <c r="BH501" i="4"/>
  <c r="BH502" i="4" s="1"/>
  <c r="BH490" i="4"/>
  <c r="BH388" i="4"/>
  <c r="BH389" i="4" s="1"/>
  <c r="BI384" i="4" s="1"/>
  <c r="BG1398" i="4"/>
  <c r="BG1393" i="4" s="1"/>
  <c r="BG37" i="11"/>
  <c r="BG1397" i="4"/>
  <c r="BG1392" i="4" s="1"/>
  <c r="BH52" i="62"/>
  <c r="BH43" i="62"/>
  <c r="BH23" i="62" s="1"/>
  <c r="BG39" i="11" l="1"/>
  <c r="BG40" i="11" s="1"/>
  <c r="W40" i="67"/>
  <c r="X95" i="67"/>
  <c r="W99" i="67"/>
  <c r="BI499" i="4"/>
  <c r="BI1023" i="4" s="1"/>
  <c r="BH1024" i="4"/>
  <c r="BH1026" i="4" s="1"/>
  <c r="BH1027" i="4" s="1"/>
  <c r="BH1028" i="4" s="1"/>
  <c r="BG1439" i="4"/>
  <c r="BG1440" i="4" s="1"/>
  <c r="BG1396" i="4"/>
  <c r="BG1391" i="4" s="1"/>
  <c r="BH491" i="4"/>
  <c r="BH51" i="11"/>
  <c r="BH64" i="62"/>
  <c r="BH16" i="66"/>
  <c r="BH14" i="66" s="1"/>
  <c r="BH13" i="66" s="1"/>
  <c r="BH907" i="4" l="1"/>
  <c r="BH911" i="4" s="1"/>
  <c r="BH62" i="64"/>
  <c r="BH15" i="11"/>
  <c r="BH13" i="11" s="1"/>
  <c r="BI488" i="4"/>
  <c r="BH70" i="64" l="1"/>
  <c r="BH78" i="64"/>
  <c r="BH1243" i="4"/>
  <c r="BH71" i="11"/>
  <c r="BH915" i="4"/>
  <c r="BH1043" i="4"/>
  <c r="BH1217" i="4"/>
  <c r="BH1221" i="4" s="1"/>
  <c r="BH47" i="11" l="1"/>
  <c r="BH996" i="4"/>
  <c r="BH1000" i="4" s="1"/>
  <c r="BH1004" i="4" s="1"/>
  <c r="BH1012" i="4" l="1"/>
  <c r="BH1005" i="4"/>
  <c r="BH62" i="11"/>
  <c r="BH48" i="11"/>
  <c r="BH55" i="11" s="1"/>
  <c r="BH61" i="11"/>
  <c r="BH63" i="11" l="1"/>
  <c r="BH1016" i="4"/>
  <c r="BH1013" i="4" s="1"/>
  <c r="BH1014" i="4" s="1"/>
  <c r="BI1011" i="4" s="1"/>
  <c r="BH62" i="62"/>
  <c r="BH1395" i="4"/>
  <c r="BH64" i="11"/>
  <c r="BH1006" i="4" l="1"/>
  <c r="BH1007" i="4" s="1"/>
  <c r="BH63" i="62" s="1"/>
  <c r="BH67" i="62" s="1"/>
  <c r="BH68" i="62" s="1"/>
  <c r="BH75" i="11" l="1"/>
  <c r="BH61" i="64"/>
  <c r="BH77" i="64" s="1"/>
  <c r="BH82" i="64" s="1"/>
  <c r="BH1222" i="4"/>
  <c r="BH1223" i="4" s="1"/>
  <c r="BH1236" i="4" s="1"/>
  <c r="BH56" i="11"/>
  <c r="BH57" i="11" s="1"/>
  <c r="BH1206" i="4" s="1"/>
  <c r="BH1246" i="4"/>
  <c r="BH1046" i="4"/>
  <c r="BH1053" i="4" s="1"/>
  <c r="BH1055" i="4" s="1"/>
  <c r="BH1058" i="4" s="1"/>
  <c r="BH69" i="64" l="1"/>
  <c r="BH74" i="64" s="1"/>
  <c r="BH66" i="64"/>
  <c r="BH40" i="64" s="1"/>
  <c r="BH42" i="64" s="1"/>
  <c r="BH49" i="64" s="1"/>
  <c r="BH1394" i="4"/>
  <c r="BH1116" i="4"/>
  <c r="BH1117" i="4" s="1"/>
  <c r="BH1119" i="4" s="1"/>
  <c r="BH1121" i="4" s="1"/>
  <c r="BH1087" i="4" s="1"/>
  <c r="BH52" i="64" l="1"/>
  <c r="BH1137" i="4"/>
  <c r="BH1088" i="4"/>
  <c r="BI1085" i="4" l="1"/>
  <c r="BI1130" i="4"/>
  <c r="BI1148" i="4" s="1"/>
  <c r="BH88" i="11"/>
  <c r="BH1225" i="4"/>
  <c r="BH1226" i="4" s="1"/>
  <c r="BH1347" i="4"/>
  <c r="BH1247" i="4"/>
  <c r="BH38" i="66"/>
  <c r="BH1404" i="4"/>
  <c r="BH1138" i="4"/>
  <c r="BH1204" i="4" l="1"/>
  <c r="BH1194" i="4"/>
  <c r="BH1438" i="4"/>
  <c r="BH31" i="11"/>
  <c r="BH1428" i="4"/>
  <c r="BI1135" i="4"/>
  <c r="BH1412" i="4"/>
  <c r="BI1086" i="4"/>
  <c r="BI1415" i="4" l="1"/>
  <c r="BH45" i="62"/>
  <c r="BH30" i="11"/>
  <c r="BH1413" i="4"/>
  <c r="BH1422" i="4" s="1"/>
  <c r="BI1136" i="4"/>
  <c r="BI1129" i="4"/>
  <c r="BI1147" i="4" s="1"/>
  <c r="BI1149" i="4" s="1"/>
  <c r="BI1125" i="4"/>
  <c r="BI1101" i="4"/>
  <c r="BH1175" i="4"/>
  <c r="BH1197" i="4"/>
  <c r="BH1198" i="4" s="1"/>
  <c r="BH1188" i="4" s="1"/>
  <c r="BH1184" i="4" l="1"/>
  <c r="BH1191" i="4" s="1"/>
  <c r="BH1180" i="4"/>
  <c r="BH1187" i="4"/>
  <c r="BH1176" i="4" s="1"/>
  <c r="BH1189" i="4"/>
  <c r="BH1418" i="4"/>
  <c r="BH1416" i="4"/>
  <c r="BI1112" i="4"/>
  <c r="BI1141" i="4" s="1"/>
  <c r="BI1102" i="4"/>
  <c r="BI1103" i="4"/>
  <c r="BI1092" i="4" s="1"/>
  <c r="BI1093" i="4" s="1"/>
  <c r="BI1111" i="4" s="1"/>
  <c r="BI50" i="11"/>
  <c r="BI72" i="11"/>
  <c r="BI297" i="4"/>
  <c r="BI305" i="4" s="1"/>
  <c r="BI330" i="4" s="1"/>
  <c r="BI1249" i="4"/>
  <c r="BI37" i="66"/>
  <c r="BI999" i="4"/>
  <c r="BI1218" i="4"/>
  <c r="BI1045" i="4"/>
  <c r="BI1233" i="4"/>
  <c r="BI1259" i="4"/>
  <c r="BI87" i="11"/>
  <c r="BI18" i="66"/>
  <c r="BI1346" i="4"/>
  <c r="BI1104" i="4" l="1"/>
  <c r="BI1120" i="4" s="1"/>
  <c r="BH1419" i="4"/>
  <c r="BJ468" i="4"/>
  <c r="BJ479" i="4"/>
  <c r="BJ457" i="4"/>
  <c r="BI456" i="4"/>
  <c r="BI458" i="4" s="1"/>
  <c r="BI459" i="4" s="1"/>
  <c r="BI467" i="4"/>
  <c r="BI469" i="4" s="1"/>
  <c r="BI470" i="4" s="1"/>
  <c r="BI471" i="4" s="1"/>
  <c r="BI472" i="4" s="1"/>
  <c r="BJ466" i="4" s="1"/>
  <c r="BI478" i="4"/>
  <c r="BI480" i="4" s="1"/>
  <c r="BI481" i="4" s="1"/>
  <c r="BI482" i="4" s="1"/>
  <c r="BI483" i="4" s="1"/>
  <c r="BJ477" i="4" s="1"/>
  <c r="BH1250" i="4"/>
  <c r="BH74" i="11"/>
  <c r="BH78" i="11" s="1"/>
  <c r="BH1227" i="4"/>
  <c r="BH1195" i="4"/>
  <c r="BH1199" i="4" s="1"/>
  <c r="BH1177" i="4" s="1"/>
  <c r="BH1309" i="4"/>
  <c r="BH36" i="66"/>
  <c r="BI49" i="11"/>
  <c r="BH86" i="11"/>
  <c r="BH1261" i="4"/>
  <c r="BH1232" i="4"/>
  <c r="BH19" i="66"/>
  <c r="BH17" i="66" s="1"/>
  <c r="BH1403" i="4"/>
  <c r="BH1406" i="4" s="1"/>
  <c r="BI1142" i="4"/>
  <c r="BI294" i="4" s="1"/>
  <c r="BI997" i="4"/>
  <c r="BI1143" i="4"/>
  <c r="BI1113" i="4" l="1"/>
  <c r="BI1144" i="4" s="1"/>
  <c r="BI1248" i="4" s="1"/>
  <c r="BJ495" i="4"/>
  <c r="BJ995" i="4" s="1"/>
  <c r="BI494" i="4"/>
  <c r="BI994" i="4" s="1"/>
  <c r="BI460" i="4"/>
  <c r="BI461" i="4" s="1"/>
  <c r="BJ455" i="4" s="1"/>
  <c r="BI53" i="11"/>
  <c r="BI52" i="11" s="1"/>
  <c r="BI299" i="4"/>
  <c r="BI302" i="4"/>
  <c r="BH1308" i="4"/>
  <c r="BH1311" i="4" s="1"/>
  <c r="BH1344" i="4"/>
  <c r="BH1228" i="4"/>
  <c r="BH1205" i="4" s="1"/>
  <c r="BH39" i="66"/>
  <c r="BH35" i="66" s="1"/>
  <c r="BH1251" i="4"/>
  <c r="BH89" i="11"/>
  <c r="BH1178" i="4"/>
  <c r="BI1224" i="4" l="1"/>
  <c r="BI1044" i="4"/>
  <c r="BI1067" i="4" s="1"/>
  <c r="BI1157" i="4" s="1"/>
  <c r="BI73" i="11"/>
  <c r="BH1313" i="4"/>
  <c r="BH1325" i="4"/>
  <c r="BI331" i="4"/>
  <c r="BI307" i="4"/>
  <c r="BI1173" i="4"/>
  <c r="BH27" i="11"/>
  <c r="BH1429" i="4"/>
  <c r="BH1207" i="4"/>
  <c r="BH1209" i="4" s="1"/>
  <c r="BH1348" i="4"/>
  <c r="BI332" i="4" l="1"/>
  <c r="BI14" i="11" s="1"/>
  <c r="BI1068" i="4"/>
  <c r="BI1158" i="4"/>
  <c r="BI1174" i="4" s="1"/>
  <c r="BH1363" i="4"/>
  <c r="BH1208" i="4"/>
  <c r="BH1326" i="4"/>
  <c r="BH1327" i="4" s="1"/>
  <c r="BI395" i="4"/>
  <c r="BI396" i="4" s="1"/>
  <c r="BI397" i="4" s="1"/>
  <c r="BI398" i="4" s="1"/>
  <c r="BI399" i="4" s="1"/>
  <c r="BJ394" i="4" s="1"/>
  <c r="BI385" i="4"/>
  <c r="BI405" i="4"/>
  <c r="BI406" i="4" s="1"/>
  <c r="BI407" i="4" s="1"/>
  <c r="BI408" i="4" s="1"/>
  <c r="BI409" i="4" s="1"/>
  <c r="BJ404" i="4" s="1"/>
  <c r="BH1432" i="4"/>
  <c r="BH1430" i="4"/>
  <c r="BH1431" i="4" s="1"/>
  <c r="BH90" i="11"/>
  <c r="BH91" i="11" s="1"/>
  <c r="BH93" i="11" s="1"/>
  <c r="BH96" i="11" s="1"/>
  <c r="BH97" i="11" s="1"/>
  <c r="BH58" i="11"/>
  <c r="BH59" i="11" s="1"/>
  <c r="BH28" i="11" s="1"/>
  <c r="BH1252" i="4"/>
  <c r="BH48" i="62"/>
  <c r="BH24" i="62" s="1"/>
  <c r="BH1229" i="4"/>
  <c r="BH1230" i="4" s="1"/>
  <c r="BH1234" i="4" s="1"/>
  <c r="BI1213" i="4" s="1"/>
  <c r="BH22" i="66"/>
  <c r="BI1164" i="4"/>
  <c r="BI1159" i="4" l="1"/>
  <c r="BH1364" i="4"/>
  <c r="BH1365" i="4" s="1"/>
  <c r="BI1051" i="4"/>
  <c r="BH26" i="62"/>
  <c r="BI386" i="4"/>
  <c r="BI387" i="4" s="1"/>
  <c r="BI489" i="4"/>
  <c r="BI500" i="4"/>
  <c r="BI42" i="62"/>
  <c r="BI1260" i="4"/>
  <c r="BI1167" i="4"/>
  <c r="BI1168" i="4" s="1"/>
  <c r="BI1231" i="4"/>
  <c r="BI85" i="11"/>
  <c r="BH25" i="11"/>
  <c r="BH44" i="66"/>
  <c r="BH40" i="66" s="1"/>
  <c r="BH46" i="66" s="1"/>
  <c r="BH100" i="11"/>
  <c r="BI95" i="11"/>
  <c r="BH21" i="11"/>
  <c r="BH17" i="11" s="1"/>
  <c r="BH24" i="66"/>
  <c r="BH20" i="66" s="1"/>
  <c r="BH26" i="66" s="1"/>
  <c r="BH100" i="67"/>
  <c r="BH1385" i="4"/>
  <c r="BH1384" i="4" s="1"/>
  <c r="BH1263" i="4"/>
  <c r="BH1264" i="4" s="1"/>
  <c r="BH1253" i="4"/>
  <c r="BH1254" i="4" s="1"/>
  <c r="BH101" i="11"/>
  <c r="BH101" i="67"/>
  <c r="BH46" i="62"/>
  <c r="BH48" i="66" l="1"/>
  <c r="BH1266" i="4"/>
  <c r="BH99" i="11"/>
  <c r="BH1386" i="4"/>
  <c r="BH1383" i="4" s="1"/>
  <c r="BH23" i="11"/>
  <c r="BI52" i="62"/>
  <c r="BI43" i="62"/>
  <c r="BI23" i="62" s="1"/>
  <c r="BJ1163" i="4"/>
  <c r="BI26" i="11"/>
  <c r="BH1397" i="4"/>
  <c r="BH1392" i="4" s="1"/>
  <c r="BH37" i="11"/>
  <c r="BH1398" i="4"/>
  <c r="BH1393" i="4" s="1"/>
  <c r="BI490" i="4"/>
  <c r="BI388" i="4"/>
  <c r="BI389" i="4" s="1"/>
  <c r="BJ384" i="4" s="1"/>
  <c r="BI501" i="4"/>
  <c r="BI502" i="4" s="1"/>
  <c r="BJ499" i="4" l="1"/>
  <c r="BJ1023" i="4" s="1"/>
  <c r="BI1024" i="4"/>
  <c r="BI1026" i="4" s="1"/>
  <c r="BI1027" i="4" s="1"/>
  <c r="BI1028" i="4" s="1"/>
  <c r="BI16" i="66"/>
  <c r="BI14" i="66" s="1"/>
  <c r="BI13" i="66" s="1"/>
  <c r="BI491" i="4"/>
  <c r="BI64" i="62"/>
  <c r="BI51" i="11"/>
  <c r="BH39" i="11"/>
  <c r="BH40" i="11" s="1"/>
  <c r="BH1439" i="4"/>
  <c r="BH1440" i="4" s="1"/>
  <c r="BH1396" i="4"/>
  <c r="BH1391" i="4" s="1"/>
  <c r="BJ488" i="4" l="1"/>
  <c r="BI15" i="11"/>
  <c r="BI13" i="11" s="1"/>
  <c r="BI62" i="64"/>
  <c r="BI907" i="4"/>
  <c r="BI911" i="4" s="1"/>
  <c r="BI71" i="11" l="1"/>
  <c r="BI1217" i="4"/>
  <c r="BI1221" i="4" s="1"/>
  <c r="BI915" i="4"/>
  <c r="BI1043" i="4"/>
  <c r="BI1243" i="4"/>
  <c r="BI78" i="64"/>
  <c r="BI70" i="64"/>
  <c r="BI47" i="11" l="1"/>
  <c r="BI996" i="4"/>
  <c r="BI1000" i="4" s="1"/>
  <c r="BI1004" i="4" s="1"/>
  <c r="BI62" i="11" l="1"/>
  <c r="BI48" i="11"/>
  <c r="BI55" i="11" s="1"/>
  <c r="BI61" i="11"/>
  <c r="BI1012" i="4"/>
  <c r="BI1005" i="4"/>
  <c r="BI63" i="11" l="1"/>
  <c r="BI1016" i="4"/>
  <c r="BI1013" i="4" s="1"/>
  <c r="BI1014" i="4" s="1"/>
  <c r="BJ1011" i="4" s="1"/>
  <c r="BI62" i="62"/>
  <c r="BI1395" i="4"/>
  <c r="BI64" i="11"/>
  <c r="BI1006" i="4" l="1"/>
  <c r="BI1007" i="4" s="1"/>
  <c r="BI63" i="62" s="1"/>
  <c r="BI67" i="62" s="1"/>
  <c r="BI68" i="62" s="1"/>
  <c r="BI75" i="11" l="1"/>
  <c r="BI56" i="11"/>
  <c r="BI57" i="11" s="1"/>
  <c r="BI1206" i="4" s="1"/>
  <c r="BI61" i="64"/>
  <c r="BI77" i="64" s="1"/>
  <c r="BI82" i="64" s="1"/>
  <c r="BI1246" i="4"/>
  <c r="BI1046" i="4"/>
  <c r="BI1053" i="4" s="1"/>
  <c r="BI1055" i="4" s="1"/>
  <c r="BI1058" i="4" s="1"/>
  <c r="BI1222" i="4"/>
  <c r="BI1223" i="4" s="1"/>
  <c r="BI1236" i="4" s="1"/>
  <c r="BI1394" i="4" l="1"/>
  <c r="BI69" i="64"/>
  <c r="BI74" i="64" s="1"/>
  <c r="BI66" i="64"/>
  <c r="BI40" i="64" s="1"/>
  <c r="BI42" i="64" s="1"/>
  <c r="BI52" i="64" s="1"/>
  <c r="BI1116" i="4"/>
  <c r="BI1117" i="4" s="1"/>
  <c r="BI1119" i="4" s="1"/>
  <c r="BI1121" i="4" s="1"/>
  <c r="BI1087" i="4" s="1"/>
  <c r="BI49" i="64" l="1"/>
  <c r="BI1137" i="4"/>
  <c r="BI1088" i="4"/>
  <c r="BJ1085" i="4" l="1"/>
  <c r="BJ1130" i="4"/>
  <c r="BJ1148" i="4" s="1"/>
  <c r="BI1404" i="4"/>
  <c r="BI1347" i="4"/>
  <c r="BI1247" i="4"/>
  <c r="BI88" i="11"/>
  <c r="BI38" i="66"/>
  <c r="BI1225" i="4"/>
  <c r="BI1226" i="4" s="1"/>
  <c r="BI1138" i="4"/>
  <c r="BI1438" i="4" l="1"/>
  <c r="BI1412" i="4"/>
  <c r="BI1428" i="4"/>
  <c r="BI31" i="11"/>
  <c r="BJ1135" i="4"/>
  <c r="BI1194" i="4"/>
  <c r="BI1204" i="4"/>
  <c r="BJ1086" i="4"/>
  <c r="BI1175" i="4" l="1"/>
  <c r="BI1197" i="4"/>
  <c r="BI1198" i="4" s="1"/>
  <c r="BI1188" i="4" s="1"/>
  <c r="BI45" i="62"/>
  <c r="BI30" i="11"/>
  <c r="BJ1415" i="4"/>
  <c r="BI1413" i="4"/>
  <c r="BI1422" i="4" s="1"/>
  <c r="BJ1136" i="4"/>
  <c r="BJ1129" i="4"/>
  <c r="BJ1147" i="4" s="1"/>
  <c r="BJ1149" i="4" s="1"/>
  <c r="BJ1125" i="4"/>
  <c r="BJ1101" i="4"/>
  <c r="BJ1102" i="4" l="1"/>
  <c r="BJ1112" i="4"/>
  <c r="BJ1141" i="4" s="1"/>
  <c r="BJ1103" i="4"/>
  <c r="BJ1092" i="4" s="1"/>
  <c r="BJ1093" i="4" s="1"/>
  <c r="BJ1111" i="4" s="1"/>
  <c r="BI1189" i="4"/>
  <c r="BI1187" i="4"/>
  <c r="BI1176" i="4" s="1"/>
  <c r="BI1184" i="4"/>
  <c r="BI1191" i="4" s="1"/>
  <c r="BI1180" i="4"/>
  <c r="BJ1249" i="4"/>
  <c r="BJ1218" i="4"/>
  <c r="BJ1045" i="4"/>
  <c r="BJ999" i="4"/>
  <c r="BJ297" i="4"/>
  <c r="BJ305" i="4" s="1"/>
  <c r="BJ330" i="4" s="1"/>
  <c r="BJ50" i="11"/>
  <c r="BJ37" i="66"/>
  <c r="BJ72" i="11"/>
  <c r="BJ87" i="11"/>
  <c r="BJ1346" i="4"/>
  <c r="BJ18" i="66"/>
  <c r="BJ1233" i="4"/>
  <c r="BJ1259" i="4"/>
  <c r="BI1418" i="4"/>
  <c r="BI1416" i="4"/>
  <c r="BI1419" i="4" l="1"/>
  <c r="BI86" i="11"/>
  <c r="BI19" i="66"/>
  <c r="BI17" i="66" s="1"/>
  <c r="BI1261" i="4"/>
  <c r="BI1232" i="4"/>
  <c r="BI1403" i="4"/>
  <c r="BI1406" i="4" s="1"/>
  <c r="BJ49" i="11"/>
  <c r="BJ478" i="4"/>
  <c r="BJ480" i="4" s="1"/>
  <c r="BJ481" i="4" s="1"/>
  <c r="BJ482" i="4" s="1"/>
  <c r="BJ483" i="4" s="1"/>
  <c r="BK477" i="4" s="1"/>
  <c r="BJ456" i="4"/>
  <c r="BJ458" i="4" s="1"/>
  <c r="BJ459" i="4" s="1"/>
  <c r="BJ467" i="4"/>
  <c r="BJ469" i="4" s="1"/>
  <c r="BJ470" i="4" s="1"/>
  <c r="BJ471" i="4" s="1"/>
  <c r="BJ472" i="4" s="1"/>
  <c r="BK466" i="4" s="1"/>
  <c r="BK479" i="4"/>
  <c r="BK457" i="4"/>
  <c r="BK468" i="4"/>
  <c r="BI74" i="11"/>
  <c r="BI78" i="11" s="1"/>
  <c r="BI1227" i="4"/>
  <c r="BI1250" i="4"/>
  <c r="BI1195" i="4"/>
  <c r="BI1199" i="4" s="1"/>
  <c r="BI1177" i="4" s="1"/>
  <c r="BI1309" i="4"/>
  <c r="BI36" i="66"/>
  <c r="BJ1143" i="4"/>
  <c r="BJ1142" i="4"/>
  <c r="BJ294" i="4" s="1"/>
  <c r="BJ997" i="4"/>
  <c r="BJ1104" i="4"/>
  <c r="BJ53" i="11" l="1"/>
  <c r="BJ52" i="11" s="1"/>
  <c r="BI89" i="11"/>
  <c r="BI39" i="66"/>
  <c r="BI35" i="66" s="1"/>
  <c r="BI1251" i="4"/>
  <c r="BI1228" i="4"/>
  <c r="BI1205" i="4" s="1"/>
  <c r="BK495" i="4"/>
  <c r="BK995" i="4" s="1"/>
  <c r="BJ1113" i="4"/>
  <c r="BJ1144" i="4" s="1"/>
  <c r="BJ1120" i="4"/>
  <c r="BI1344" i="4"/>
  <c r="BI1308" i="4"/>
  <c r="BI1311" i="4" s="1"/>
  <c r="BJ460" i="4"/>
  <c r="BJ461" i="4" s="1"/>
  <c r="BK455" i="4" s="1"/>
  <c r="BJ494" i="4"/>
  <c r="BJ994" i="4" s="1"/>
  <c r="BJ299" i="4"/>
  <c r="BJ302" i="4"/>
  <c r="BI1178" i="4"/>
  <c r="BI1207" i="4" l="1"/>
  <c r="BI1209" i="4" s="1"/>
  <c r="BI1313" i="4"/>
  <c r="BI1325" i="4"/>
  <c r="BI1348" i="4"/>
  <c r="BJ1173" i="4"/>
  <c r="BI27" i="11"/>
  <c r="BI1429" i="4"/>
  <c r="BJ307" i="4"/>
  <c r="BJ331" i="4"/>
  <c r="BJ1044" i="4"/>
  <c r="BJ1067" i="4" s="1"/>
  <c r="BJ73" i="11"/>
  <c r="BJ1248" i="4"/>
  <c r="BJ1224" i="4"/>
  <c r="BJ332" i="4" l="1"/>
  <c r="BJ14" i="11" s="1"/>
  <c r="BJ1157" i="4"/>
  <c r="BJ1158" i="4"/>
  <c r="BJ1174" i="4" s="1"/>
  <c r="BJ1068" i="4"/>
  <c r="BI1363" i="4"/>
  <c r="BJ385" i="4"/>
  <c r="BJ395" i="4"/>
  <c r="BJ396" i="4" s="1"/>
  <c r="BJ397" i="4" s="1"/>
  <c r="BJ398" i="4" s="1"/>
  <c r="BJ399" i="4" s="1"/>
  <c r="BK394" i="4" s="1"/>
  <c r="BJ405" i="4"/>
  <c r="BJ406" i="4" s="1"/>
  <c r="BJ407" i="4" s="1"/>
  <c r="BJ408" i="4" s="1"/>
  <c r="BJ409" i="4" s="1"/>
  <c r="BK404" i="4" s="1"/>
  <c r="BI1326" i="4"/>
  <c r="BI1327" i="4" s="1"/>
  <c r="BI1430" i="4"/>
  <c r="BI1431" i="4" s="1"/>
  <c r="BI1432" i="4"/>
  <c r="BI1208" i="4"/>
  <c r="BI1252" i="4"/>
  <c r="BI58" i="11"/>
  <c r="BI59" i="11" s="1"/>
  <c r="BI28" i="11" s="1"/>
  <c r="BI25" i="11" s="1"/>
  <c r="BI48" i="62"/>
  <c r="BI24" i="62" s="1"/>
  <c r="BI90" i="11"/>
  <c r="BI91" i="11" s="1"/>
  <c r="BI93" i="11" s="1"/>
  <c r="BI96" i="11" s="1"/>
  <c r="BI97" i="11" s="1"/>
  <c r="BI1229" i="4"/>
  <c r="BI1230" i="4" s="1"/>
  <c r="BI1234" i="4" s="1"/>
  <c r="BJ1213" i="4" s="1"/>
  <c r="BI22" i="66"/>
  <c r="BI37" i="11" l="1"/>
  <c r="BI1397" i="4"/>
  <c r="BI1392" i="4" s="1"/>
  <c r="BI1398" i="4"/>
  <c r="BI1393" i="4" s="1"/>
  <c r="BI26" i="62"/>
  <c r="BI101" i="67"/>
  <c r="BI1263" i="4"/>
  <c r="BI1264" i="4" s="1"/>
  <c r="BI1253" i="4"/>
  <c r="BI1254" i="4" s="1"/>
  <c r="BI100" i="67"/>
  <c r="BI101" i="11"/>
  <c r="BI1385" i="4"/>
  <c r="BI1384" i="4" s="1"/>
  <c r="BI100" i="11"/>
  <c r="BI24" i="66"/>
  <c r="BI20" i="66" s="1"/>
  <c r="BI26" i="66" s="1"/>
  <c r="BI44" i="66"/>
  <c r="BI40" i="66" s="1"/>
  <c r="BI46" i="66" s="1"/>
  <c r="BJ95" i="11"/>
  <c r="BI21" i="11"/>
  <c r="BI17" i="11" s="1"/>
  <c r="BI46" i="62"/>
  <c r="BJ500" i="4"/>
  <c r="BJ489" i="4"/>
  <c r="BJ386" i="4"/>
  <c r="BJ387" i="4" s="1"/>
  <c r="BI1364" i="4"/>
  <c r="BI1365" i="4" s="1"/>
  <c r="BJ1159" i="4"/>
  <c r="BJ1164" i="4"/>
  <c r="BJ1051" i="4"/>
  <c r="BI48" i="66" l="1"/>
  <c r="BI1266" i="4"/>
  <c r="BJ501" i="4"/>
  <c r="BJ502" i="4" s="1"/>
  <c r="BJ388" i="4"/>
  <c r="BJ389" i="4" s="1"/>
  <c r="BK384" i="4" s="1"/>
  <c r="BJ490" i="4"/>
  <c r="BJ42" i="62"/>
  <c r="BJ1260" i="4"/>
  <c r="BJ85" i="11"/>
  <c r="BJ1231" i="4"/>
  <c r="BJ1167" i="4"/>
  <c r="BJ1168" i="4" s="1"/>
  <c r="BI1386" i="4"/>
  <c r="BI1383" i="4" s="1"/>
  <c r="BI23" i="11"/>
  <c r="BI39" i="11" s="1"/>
  <c r="BI40" i="11" s="1"/>
  <c r="BI99" i="11"/>
  <c r="BJ52" i="62" l="1"/>
  <c r="BJ43" i="62"/>
  <c r="BJ23" i="62" s="1"/>
  <c r="BJ51" i="11"/>
  <c r="BJ64" i="62"/>
  <c r="BI1439" i="4"/>
  <c r="BI1440" i="4" s="1"/>
  <c r="BI1396" i="4"/>
  <c r="BI1391" i="4" s="1"/>
  <c r="BJ491" i="4"/>
  <c r="BJ1024" i="4"/>
  <c r="BJ1026" i="4" s="1"/>
  <c r="BJ1027" i="4" s="1"/>
  <c r="BJ1028" i="4" s="1"/>
  <c r="BK499" i="4"/>
  <c r="BK1023" i="4" s="1"/>
  <c r="BJ26" i="11"/>
  <c r="BK1163" i="4"/>
  <c r="BJ16" i="66" l="1"/>
  <c r="BJ14" i="66" s="1"/>
  <c r="BJ13" i="66" s="1"/>
  <c r="BJ907" i="4"/>
  <c r="BJ911" i="4" s="1"/>
  <c r="BJ62" i="64"/>
  <c r="BJ15" i="11"/>
  <c r="BJ13" i="11" s="1"/>
  <c r="BK488" i="4"/>
  <c r="BJ78" i="64" l="1"/>
  <c r="BJ70" i="64"/>
  <c r="BJ915" i="4"/>
  <c r="BJ1043" i="4"/>
  <c r="BJ71" i="11"/>
  <c r="BJ1217" i="4"/>
  <c r="BJ1221" i="4" s="1"/>
  <c r="BJ1243" i="4"/>
  <c r="BJ996" i="4" l="1"/>
  <c r="BJ1000" i="4" s="1"/>
  <c r="BJ1004" i="4" s="1"/>
  <c r="BJ47" i="11"/>
  <c r="BJ48" i="11" l="1"/>
  <c r="BJ55" i="11" s="1"/>
  <c r="BJ61" i="11"/>
  <c r="BJ62" i="11"/>
  <c r="BJ1012" i="4"/>
  <c r="BJ1005" i="4"/>
  <c r="BJ1395" i="4" l="1"/>
  <c r="BJ64" i="11"/>
  <c r="BJ62" i="62"/>
  <c r="BJ1016" i="4"/>
  <c r="BJ1013" i="4" s="1"/>
  <c r="BJ1014" i="4" s="1"/>
  <c r="BK1011" i="4" s="1"/>
  <c r="BJ63" i="11"/>
  <c r="BJ1006" i="4" l="1"/>
  <c r="BJ1007" i="4" s="1"/>
  <c r="BJ63" i="62" s="1"/>
  <c r="BJ67" i="62" s="1"/>
  <c r="BJ75" i="11" l="1"/>
  <c r="BJ1222" i="4"/>
  <c r="BJ1223" i="4" s="1"/>
  <c r="BJ1246" i="4"/>
  <c r="BJ56" i="11"/>
  <c r="BJ57" i="11" s="1"/>
  <c r="BJ61" i="64"/>
  <c r="BJ1046" i="4"/>
  <c r="BJ1053" i="4" s="1"/>
  <c r="BJ1055" i="4" s="1"/>
  <c r="BJ1058" i="4" s="1"/>
  <c r="BJ68" i="62"/>
  <c r="BJ77" i="64" l="1"/>
  <c r="BJ82" i="64" s="1"/>
  <c r="BJ69" i="64"/>
  <c r="BJ74" i="64" s="1"/>
  <c r="BJ66" i="64"/>
  <c r="BJ40" i="64" s="1"/>
  <c r="BJ42" i="64" s="1"/>
  <c r="BJ1394" i="4"/>
  <c r="BJ1206" i="4"/>
  <c r="BJ1236" i="4"/>
  <c r="BJ52" i="64" l="1"/>
  <c r="BJ49" i="64"/>
  <c r="BJ1116" i="4"/>
  <c r="BJ1117" i="4" s="1"/>
  <c r="BJ1119" i="4" s="1"/>
  <c r="BJ1121" i="4" s="1"/>
  <c r="BJ1087" i="4" s="1"/>
  <c r="BJ1137" i="4" l="1"/>
  <c r="BJ1088" i="4"/>
  <c r="BK1085" i="4" l="1"/>
  <c r="BK1130" i="4"/>
  <c r="BK1148" i="4" s="1"/>
  <c r="BJ1247" i="4"/>
  <c r="BJ1404" i="4"/>
  <c r="BJ1347" i="4"/>
  <c r="BJ88" i="11"/>
  <c r="BJ38" i="66"/>
  <c r="BJ1225" i="4"/>
  <c r="BJ1226" i="4" s="1"/>
  <c r="BJ1138" i="4"/>
  <c r="BJ31" i="11" l="1"/>
  <c r="BK1135" i="4"/>
  <c r="BJ1412" i="4"/>
  <c r="BJ1428" i="4"/>
  <c r="BJ1438" i="4"/>
  <c r="BJ1204" i="4"/>
  <c r="BJ1194" i="4"/>
  <c r="BK1086" i="4"/>
  <c r="BK1129" i="4" l="1"/>
  <c r="BK1147" i="4" s="1"/>
  <c r="BK1149" i="4" s="1"/>
  <c r="BK1136" i="4"/>
  <c r="BK1125" i="4"/>
  <c r="BK1101" i="4"/>
  <c r="BJ1175" i="4"/>
  <c r="BJ1197" i="4"/>
  <c r="BJ1198" i="4" s="1"/>
  <c r="BJ1188" i="4" s="1"/>
  <c r="BJ1413" i="4"/>
  <c r="BJ1422" i="4" s="1"/>
  <c r="BK1415" i="4"/>
  <c r="BJ45" i="62"/>
  <c r="BJ30" i="11"/>
  <c r="BJ1180" i="4" l="1"/>
  <c r="BJ1184" i="4"/>
  <c r="BJ1191" i="4" s="1"/>
  <c r="BK1112" i="4"/>
  <c r="BK1141" i="4" s="1"/>
  <c r="BK1102" i="4"/>
  <c r="BK1103" i="4"/>
  <c r="BK1092" i="4" s="1"/>
  <c r="BK1093" i="4" s="1"/>
  <c r="BK1111" i="4" s="1"/>
  <c r="BJ1189" i="4"/>
  <c r="BJ1187" i="4"/>
  <c r="BJ1176" i="4" s="1"/>
  <c r="BJ1418" i="4"/>
  <c r="BJ1416" i="4"/>
  <c r="BK18" i="66"/>
  <c r="BK1259" i="4"/>
  <c r="BK1346" i="4"/>
  <c r="BK1233" i="4"/>
  <c r="BK87" i="11"/>
  <c r="X87" i="67"/>
  <c r="BK50" i="11"/>
  <c r="BK297" i="4"/>
  <c r="BK305" i="4" s="1"/>
  <c r="BK330" i="4" s="1"/>
  <c r="BK1249" i="4"/>
  <c r="BK37" i="66"/>
  <c r="BK72" i="11"/>
  <c r="BK1218" i="4"/>
  <c r="BK1045" i="4"/>
  <c r="BK999" i="4"/>
  <c r="X72" i="67"/>
  <c r="BJ1419" i="4" l="1"/>
  <c r="BJ1250" i="4"/>
  <c r="BJ74" i="11"/>
  <c r="BJ78" i="11" s="1"/>
  <c r="BJ1227" i="4"/>
  <c r="BJ1195" i="4"/>
  <c r="BJ1199" i="4" s="1"/>
  <c r="BJ1177" i="4" s="1"/>
  <c r="BJ36" i="66"/>
  <c r="BJ1309" i="4"/>
  <c r="BK1104" i="4"/>
  <c r="BK997" i="4"/>
  <c r="BK1142" i="4"/>
  <c r="BK294" i="4" s="1"/>
  <c r="BK1143" i="4"/>
  <c r="BL457" i="4"/>
  <c r="BL468" i="4"/>
  <c r="BL479" i="4"/>
  <c r="BK456" i="4"/>
  <c r="BK458" i="4" s="1"/>
  <c r="BK459" i="4" s="1"/>
  <c r="BK478" i="4"/>
  <c r="BK480" i="4" s="1"/>
  <c r="BK481" i="4" s="1"/>
  <c r="BK482" i="4" s="1"/>
  <c r="BK483" i="4" s="1"/>
  <c r="BL477" i="4" s="1"/>
  <c r="BK467" i="4"/>
  <c r="BK469" i="4" s="1"/>
  <c r="BK470" i="4" s="1"/>
  <c r="BK471" i="4" s="1"/>
  <c r="BK472" i="4" s="1"/>
  <c r="BL466" i="4" s="1"/>
  <c r="BK49" i="11"/>
  <c r="X50" i="67"/>
  <c r="X49" i="67" s="1"/>
  <c r="BJ1232" i="4"/>
  <c r="BJ19" i="66"/>
  <c r="BJ17" i="66" s="1"/>
  <c r="BJ1261" i="4"/>
  <c r="BJ86" i="11"/>
  <c r="BJ1403" i="4"/>
  <c r="BJ1406" i="4" s="1"/>
  <c r="BK494" i="4" l="1"/>
  <c r="BK994" i="4" s="1"/>
  <c r="BK460" i="4"/>
  <c r="BK461" i="4" s="1"/>
  <c r="BL455" i="4" s="1"/>
  <c r="BK53" i="11"/>
  <c r="BK52" i="11" s="1"/>
  <c r="X53" i="67"/>
  <c r="X52" i="67" s="1"/>
  <c r="BJ1228" i="4"/>
  <c r="BJ1205" i="4" s="1"/>
  <c r="BJ1251" i="4"/>
  <c r="BJ39" i="66"/>
  <c r="BJ35" i="66" s="1"/>
  <c r="BJ89" i="11"/>
  <c r="BJ1178" i="4"/>
  <c r="BL495" i="4"/>
  <c r="BL995" i="4" s="1"/>
  <c r="BK299" i="4"/>
  <c r="BK302" i="4"/>
  <c r="BJ1308" i="4"/>
  <c r="BJ1311" i="4" s="1"/>
  <c r="BJ1344" i="4"/>
  <c r="BK1113" i="4"/>
  <c r="BK1144" i="4" s="1"/>
  <c r="BK1120" i="4"/>
  <c r="BK1173" i="4" l="1"/>
  <c r="BJ27" i="11"/>
  <c r="BJ1429" i="4"/>
  <c r="BJ1207" i="4"/>
  <c r="BJ1209" i="4" s="1"/>
  <c r="BK331" i="4"/>
  <c r="BK307" i="4"/>
  <c r="BK1224" i="4"/>
  <c r="BK1248" i="4"/>
  <c r="BK1044" i="4"/>
  <c r="BK1067" i="4" s="1"/>
  <c r="BK73" i="11"/>
  <c r="X73" i="67"/>
  <c r="X23" i="13"/>
  <c r="BJ1348" i="4"/>
  <c r="BJ1313" i="4"/>
  <c r="BJ1325" i="4"/>
  <c r="BK332" i="4" l="1"/>
  <c r="BK14" i="11" s="1"/>
  <c r="BJ1326" i="4"/>
  <c r="BJ1327" i="4" s="1"/>
  <c r="BK395" i="4"/>
  <c r="BK396" i="4" s="1"/>
  <c r="BK397" i="4" s="1"/>
  <c r="BK398" i="4" s="1"/>
  <c r="BK399" i="4" s="1"/>
  <c r="BL394" i="4" s="1"/>
  <c r="BK385" i="4"/>
  <c r="BK405" i="4"/>
  <c r="BK406" i="4" s="1"/>
  <c r="BK407" i="4" s="1"/>
  <c r="BK408" i="4" s="1"/>
  <c r="BK409" i="4" s="1"/>
  <c r="BL404" i="4" s="1"/>
  <c r="BJ1208" i="4"/>
  <c r="BJ48" i="62"/>
  <c r="BJ24" i="62" s="1"/>
  <c r="BJ1229" i="4"/>
  <c r="BJ1230" i="4" s="1"/>
  <c r="BJ1234" i="4" s="1"/>
  <c r="BK1213" i="4" s="1"/>
  <c r="BJ90" i="11"/>
  <c r="BJ91" i="11" s="1"/>
  <c r="BJ93" i="11" s="1"/>
  <c r="BJ96" i="11" s="1"/>
  <c r="BJ97" i="11" s="1"/>
  <c r="BJ58" i="11"/>
  <c r="BJ59" i="11" s="1"/>
  <c r="BJ28" i="11" s="1"/>
  <c r="BJ25" i="11" s="1"/>
  <c r="BJ1252" i="4"/>
  <c r="BJ22" i="66"/>
  <c r="BK1157" i="4"/>
  <c r="BK1158" i="4"/>
  <c r="BK1174" i="4" s="1"/>
  <c r="BK1068" i="4"/>
  <c r="BJ1430" i="4"/>
  <c r="BJ1431" i="4" s="1"/>
  <c r="BJ1432" i="4"/>
  <c r="BJ1363" i="4"/>
  <c r="X14" i="67" l="1"/>
  <c r="BK1164" i="4"/>
  <c r="BK1159" i="4"/>
  <c r="BK489" i="4"/>
  <c r="BK386" i="4"/>
  <c r="BK387" i="4" s="1"/>
  <c r="BK500" i="4"/>
  <c r="BJ1397" i="4"/>
  <c r="BJ1392" i="4" s="1"/>
  <c r="BJ1398" i="4"/>
  <c r="BJ1393" i="4" s="1"/>
  <c r="BJ37" i="11"/>
  <c r="BJ1364" i="4"/>
  <c r="BJ1365" i="4" s="1"/>
  <c r="BJ100" i="67"/>
  <c r="BJ100" i="11"/>
  <c r="BJ46" i="62"/>
  <c r="BJ1263" i="4"/>
  <c r="BJ1264" i="4" s="1"/>
  <c r="BJ101" i="67"/>
  <c r="BJ21" i="11"/>
  <c r="BJ17" i="11" s="1"/>
  <c r="BJ24" i="66"/>
  <c r="BJ20" i="66" s="1"/>
  <c r="BJ26" i="66" s="1"/>
  <c r="BJ1385" i="4"/>
  <c r="BJ1384" i="4" s="1"/>
  <c r="BK95" i="11"/>
  <c r="BJ101" i="11"/>
  <c r="BJ1253" i="4"/>
  <c r="BJ1254" i="4" s="1"/>
  <c r="BJ44" i="66"/>
  <c r="BJ40" i="66" s="1"/>
  <c r="BJ46" i="66" s="1"/>
  <c r="BK1051" i="4"/>
  <c r="BJ26" i="62"/>
  <c r="BK388" i="4" l="1"/>
  <c r="BK389" i="4" s="1"/>
  <c r="BL384" i="4" s="1"/>
  <c r="BK490" i="4"/>
  <c r="BK491" i="4" s="1"/>
  <c r="BK501" i="4"/>
  <c r="BK502" i="4" s="1"/>
  <c r="BJ1386" i="4"/>
  <c r="BJ1383" i="4" s="1"/>
  <c r="BJ23" i="11"/>
  <c r="BJ39" i="11" s="1"/>
  <c r="BJ40" i="11" s="1"/>
  <c r="BJ99" i="11"/>
  <c r="BJ48" i="66"/>
  <c r="BK42" i="62"/>
  <c r="BK1167" i="4"/>
  <c r="BK1168" i="4" s="1"/>
  <c r="BK1260" i="4"/>
  <c r="BK1231" i="4"/>
  <c r="BK85" i="11"/>
  <c r="X85" i="67"/>
  <c r="BJ1266" i="4"/>
  <c r="BL488" i="4" l="1"/>
  <c r="BK15" i="11"/>
  <c r="BK13" i="11" s="1"/>
  <c r="X15" i="67"/>
  <c r="X13" i="67" s="1"/>
  <c r="BL1163" i="4"/>
  <c r="X26" i="67"/>
  <c r="BK26" i="11"/>
  <c r="BK1024" i="4"/>
  <c r="BK1026" i="4" s="1"/>
  <c r="BK1027" i="4" s="1"/>
  <c r="BK1028" i="4" s="1"/>
  <c r="BL499" i="4"/>
  <c r="BL1023" i="4" s="1"/>
  <c r="BK52" i="62"/>
  <c r="BK43" i="62"/>
  <c r="BK23" i="62" s="1"/>
  <c r="BK64" i="62"/>
  <c r="BK51" i="11"/>
  <c r="X51" i="67"/>
  <c r="BJ1439" i="4"/>
  <c r="BJ1440" i="4" s="1"/>
  <c r="BJ1396" i="4"/>
  <c r="BJ1391" i="4" s="1"/>
  <c r="BK62" i="64" l="1"/>
  <c r="BK907" i="4"/>
  <c r="BK911" i="4" s="1"/>
  <c r="BK16" i="66"/>
  <c r="BK14" i="66" s="1"/>
  <c r="BK13" i="66" s="1"/>
  <c r="BK1043" i="4" l="1"/>
  <c r="BK71" i="11"/>
  <c r="BK1243" i="4"/>
  <c r="BK1217" i="4"/>
  <c r="BK1221" i="4" s="1"/>
  <c r="BK915" i="4"/>
  <c r="X71" i="67"/>
  <c r="X40" i="13"/>
  <c r="BK78" i="64"/>
  <c r="BK70" i="64"/>
  <c r="BK996" i="4" l="1"/>
  <c r="BK1000" i="4" s="1"/>
  <c r="BK1004" i="4" s="1"/>
  <c r="BK47" i="11"/>
  <c r="X20" i="72"/>
  <c r="X47" i="67"/>
  <c r="X61" i="67" l="1"/>
  <c r="X63" i="67" s="1"/>
  <c r="X62" i="67"/>
  <c r="X64" i="67" s="1"/>
  <c r="X48" i="67"/>
  <c r="X55" i="67" s="1"/>
  <c r="BK48" i="11"/>
  <c r="BK55" i="11" s="1"/>
  <c r="BK62" i="11"/>
  <c r="BK61" i="11"/>
  <c r="BK1012" i="4"/>
  <c r="BK1005" i="4"/>
  <c r="BK1016" i="4" l="1"/>
  <c r="BK1013" i="4" s="1"/>
  <c r="BK1014" i="4" s="1"/>
  <c r="BL1011" i="4" s="1"/>
  <c r="BK63" i="11"/>
  <c r="X1449" i="4"/>
  <c r="BK62" i="62"/>
  <c r="BK64" i="11"/>
  <c r="BK1395" i="4"/>
  <c r="BK1006" i="4" l="1"/>
  <c r="BK1007" i="4" s="1"/>
  <c r="BK1222" i="4" l="1"/>
  <c r="BK1223" i="4" s="1"/>
  <c r="BK75" i="11"/>
  <c r="BK56" i="11"/>
  <c r="BK57" i="11" s="1"/>
  <c r="BK1046" i="4"/>
  <c r="BK1053" i="4" s="1"/>
  <c r="BK1055" i="4" s="1"/>
  <c r="BK1058" i="4" s="1"/>
  <c r="BK61" i="64"/>
  <c r="BK1246" i="4"/>
  <c r="X75" i="67"/>
  <c r="X41" i="13"/>
  <c r="X43" i="13" s="1"/>
  <c r="X56" i="67"/>
  <c r="X57" i="67" s="1"/>
  <c r="BK63" i="62"/>
  <c r="BK67" i="62" s="1"/>
  <c r="BK69" i="64" l="1"/>
  <c r="BK74" i="64" s="1"/>
  <c r="BK66" i="64"/>
  <c r="BK40" i="64" s="1"/>
  <c r="BK42" i="64" s="1"/>
  <c r="BK77" i="64"/>
  <c r="BK82" i="64" s="1"/>
  <c r="BK68" i="62"/>
  <c r="BK1394" i="4"/>
  <c r="BK1206" i="4"/>
  <c r="BK1236" i="4"/>
  <c r="BK1116" i="4" l="1"/>
  <c r="BK1117" i="4" s="1"/>
  <c r="BK1119" i="4" s="1"/>
  <c r="BK1121" i="4" s="1"/>
  <c r="BK1087" i="4" s="1"/>
  <c r="BK49" i="64"/>
  <c r="BK52" i="64"/>
  <c r="BK1137" i="4" l="1"/>
  <c r="BK1088" i="4"/>
  <c r="BL1085" i="4" l="1"/>
  <c r="BL1130" i="4"/>
  <c r="BL1148" i="4" s="1"/>
  <c r="BK1247" i="4"/>
  <c r="BK1225" i="4"/>
  <c r="BK1226" i="4" s="1"/>
  <c r="BK38" i="66"/>
  <c r="BK88" i="11"/>
  <c r="BK1347" i="4"/>
  <c r="X24" i="13"/>
  <c r="X88" i="67"/>
  <c r="BK1138" i="4"/>
  <c r="BK1404" i="4"/>
  <c r="BK1204" i="4" l="1"/>
  <c r="BK1194" i="4"/>
  <c r="BK1438" i="4"/>
  <c r="X31" i="67"/>
  <c r="X30" i="67" s="1"/>
  <c r="BK1412" i="4"/>
  <c r="BK31" i="11"/>
  <c r="BL1135" i="4"/>
  <c r="BK1428" i="4"/>
  <c r="X1448" i="4"/>
  <c r="X1452" i="4" s="1"/>
  <c r="BL1086" i="4"/>
  <c r="BK45" i="62" l="1"/>
  <c r="BK30" i="11"/>
  <c r="BK1413" i="4"/>
  <c r="BK1422" i="4" s="1"/>
  <c r="BL1129" i="4"/>
  <c r="BL1147" i="4" s="1"/>
  <c r="BL1149" i="4" s="1"/>
  <c r="BL1136" i="4"/>
  <c r="BL1125" i="4"/>
  <c r="BL1101" i="4"/>
  <c r="BK1175" i="4"/>
  <c r="BK1197" i="4"/>
  <c r="BK1198" i="4" s="1"/>
  <c r="BK1188" i="4" s="1"/>
  <c r="BL1415" i="4"/>
  <c r="BL1218" i="4" l="1"/>
  <c r="BL1249" i="4"/>
  <c r="BL297" i="4"/>
  <c r="BL305" i="4" s="1"/>
  <c r="BL330" i="4" s="1"/>
  <c r="BL50" i="11"/>
  <c r="BL999" i="4"/>
  <c r="BL72" i="11"/>
  <c r="BL37" i="66"/>
  <c r="BL1045" i="4"/>
  <c r="BK1418" i="4"/>
  <c r="BK1416" i="4"/>
  <c r="BK1184" i="4"/>
  <c r="BK1191" i="4" s="1"/>
  <c r="BK1180" i="4"/>
  <c r="BL1259" i="4"/>
  <c r="BL1233" i="4"/>
  <c r="BL1346" i="4"/>
  <c r="BL87" i="11"/>
  <c r="BL18" i="66"/>
  <c r="BK1187" i="4"/>
  <c r="BK1176" i="4" s="1"/>
  <c r="BK1189" i="4"/>
  <c r="BL1112" i="4"/>
  <c r="BL1141" i="4" s="1"/>
  <c r="BL1103" i="4"/>
  <c r="BL1092" i="4" s="1"/>
  <c r="BL1093" i="4" s="1"/>
  <c r="BL1111" i="4" s="1"/>
  <c r="BL1102" i="4"/>
  <c r="BK1419" i="4" l="1"/>
  <c r="BL997" i="4"/>
  <c r="BL1143" i="4"/>
  <c r="BL1142" i="4"/>
  <c r="BL294" i="4" s="1"/>
  <c r="BK1195" i="4"/>
  <c r="BK1199" i="4" s="1"/>
  <c r="BK1177" i="4" s="1"/>
  <c r="BK1227" i="4"/>
  <c r="BK74" i="11"/>
  <c r="BK78" i="11" s="1"/>
  <c r="BK1250" i="4"/>
  <c r="X74" i="67"/>
  <c r="BK36" i="66"/>
  <c r="BK1309" i="4"/>
  <c r="BK86" i="11"/>
  <c r="BK19" i="66"/>
  <c r="BK17" i="66" s="1"/>
  <c r="BK1261" i="4"/>
  <c r="BK1232" i="4"/>
  <c r="X86" i="67"/>
  <c r="BK1403" i="4"/>
  <c r="BK1406" i="4" s="1"/>
  <c r="BL1104" i="4"/>
  <c r="BL49" i="11"/>
  <c r="BM468" i="4"/>
  <c r="BL478" i="4"/>
  <c r="BL480" i="4" s="1"/>
  <c r="BL481" i="4" s="1"/>
  <c r="BL482" i="4" s="1"/>
  <c r="BL483" i="4" s="1"/>
  <c r="BM477" i="4" s="1"/>
  <c r="BL467" i="4"/>
  <c r="BL469" i="4" s="1"/>
  <c r="BL470" i="4" s="1"/>
  <c r="BL471" i="4" s="1"/>
  <c r="BL472" i="4" s="1"/>
  <c r="BM466" i="4" s="1"/>
  <c r="BL456" i="4"/>
  <c r="BL458" i="4" s="1"/>
  <c r="BL459" i="4" s="1"/>
  <c r="BM457" i="4"/>
  <c r="BM479" i="4"/>
  <c r="X78" i="67" l="1"/>
  <c r="BK1308" i="4"/>
  <c r="BK1311" i="4" s="1"/>
  <c r="BK1344" i="4"/>
  <c r="BM495" i="4"/>
  <c r="BM995" i="4" s="1"/>
  <c r="BL460" i="4"/>
  <c r="BL461" i="4" s="1"/>
  <c r="BM455" i="4" s="1"/>
  <c r="BL494" i="4"/>
  <c r="BL994" i="4" s="1"/>
  <c r="BK89" i="11"/>
  <c r="BK39" i="66"/>
  <c r="BK35" i="66" s="1"/>
  <c r="BK1251" i="4"/>
  <c r="BK1228" i="4"/>
  <c r="BK1205" i="4" s="1"/>
  <c r="X89" i="67"/>
  <c r="BK1178" i="4"/>
  <c r="BL299" i="4"/>
  <c r="BL302" i="4"/>
  <c r="BL53" i="11"/>
  <c r="BL52" i="11" s="1"/>
  <c r="BL1113" i="4"/>
  <c r="BL1144" i="4" s="1"/>
  <c r="BL1120" i="4"/>
  <c r="BL307" i="4" l="1"/>
  <c r="BL331" i="4"/>
  <c r="BK1348" i="4"/>
  <c r="X13" i="13"/>
  <c r="BK27" i="11"/>
  <c r="X27" i="67"/>
  <c r="BL1173" i="4"/>
  <c r="BK1429" i="4"/>
  <c r="BK1207" i="4"/>
  <c r="BK1209" i="4" s="1"/>
  <c r="BK1313" i="4"/>
  <c r="X14" i="72"/>
  <c r="BK1325" i="4"/>
  <c r="BL1224" i="4"/>
  <c r="BL1248" i="4"/>
  <c r="BL73" i="11"/>
  <c r="BL1044" i="4"/>
  <c r="BL1067" i="4" s="1"/>
  <c r="BL332" i="4" l="1"/>
  <c r="BL14" i="11" s="1"/>
  <c r="BK1326" i="4"/>
  <c r="BK1327" i="4" s="1"/>
  <c r="BK1430" i="4"/>
  <c r="BK1431" i="4" s="1"/>
  <c r="BK1432" i="4"/>
  <c r="BK1208" i="4"/>
  <c r="X15" i="72"/>
  <c r="BK1363" i="4"/>
  <c r="BL1157" i="4"/>
  <c r="BL1158" i="4"/>
  <c r="BL1174" i="4" s="1"/>
  <c r="BL1068" i="4"/>
  <c r="BK1252" i="4"/>
  <c r="BK90" i="11"/>
  <c r="BK91" i="11" s="1"/>
  <c r="BK93" i="11" s="1"/>
  <c r="BK96" i="11" s="1"/>
  <c r="BK97" i="11" s="1"/>
  <c r="BK48" i="62"/>
  <c r="BK24" i="62" s="1"/>
  <c r="BK58" i="11"/>
  <c r="BK59" i="11" s="1"/>
  <c r="BK28" i="11" s="1"/>
  <c r="BK1229" i="4"/>
  <c r="BK1230" i="4" s="1"/>
  <c r="BK1234" i="4" s="1"/>
  <c r="BL1213" i="4" s="1"/>
  <c r="X90" i="67"/>
  <c r="X58" i="67"/>
  <c r="BK22" i="66"/>
  <c r="BL405" i="4"/>
  <c r="BL406" i="4" s="1"/>
  <c r="BL407" i="4" s="1"/>
  <c r="BL408" i="4" s="1"/>
  <c r="BL409" i="4" s="1"/>
  <c r="BM404" i="4" s="1"/>
  <c r="BL385" i="4"/>
  <c r="BL395" i="4"/>
  <c r="BL396" i="4" s="1"/>
  <c r="BL397" i="4" s="1"/>
  <c r="BL398" i="4" s="1"/>
  <c r="BL399" i="4" s="1"/>
  <c r="BM394" i="4" s="1"/>
  <c r="BK26" i="62" l="1"/>
  <c r="BL1051" i="4"/>
  <c r="BK1364" i="4"/>
  <c r="BK1365" i="4" s="1"/>
  <c r="X28" i="67"/>
  <c r="X25" i="67" s="1"/>
  <c r="X37" i="67" s="1"/>
  <c r="BK25" i="11"/>
  <c r="X1450" i="4"/>
  <c r="X1457" i="4" s="1"/>
  <c r="BK1253" i="4"/>
  <c r="BK1254" i="4" s="1"/>
  <c r="BK44" i="66"/>
  <c r="BK40" i="66" s="1"/>
  <c r="BK46" i="66" s="1"/>
  <c r="BK21" i="11"/>
  <c r="BK17" i="11" s="1"/>
  <c r="BL95" i="11"/>
  <c r="BK101" i="67"/>
  <c r="BK100" i="11"/>
  <c r="X21" i="67"/>
  <c r="X17" i="67" s="1"/>
  <c r="X23" i="67" s="1"/>
  <c r="BK101" i="11"/>
  <c r="BK46" i="62"/>
  <c r="BK100" i="67"/>
  <c r="BK1263" i="4"/>
  <c r="BK1264" i="4" s="1"/>
  <c r="BK24" i="66"/>
  <c r="BK20" i="66" s="1"/>
  <c r="BK26" i="66" s="1"/>
  <c r="BK1385" i="4"/>
  <c r="BK1384" i="4" s="1"/>
  <c r="BL489" i="4"/>
  <c r="BL386" i="4"/>
  <c r="BL387" i="4" s="1"/>
  <c r="BL500" i="4"/>
  <c r="X59" i="67"/>
  <c r="X91" i="67"/>
  <c r="BL1164" i="4"/>
  <c r="BL1159" i="4"/>
  <c r="X39" i="67" l="1"/>
  <c r="X40" i="67" s="1"/>
  <c r="BK1386" i="4"/>
  <c r="BK1383" i="4" s="1"/>
  <c r="BK23" i="11"/>
  <c r="BL42" i="62"/>
  <c r="BL1260" i="4"/>
  <c r="BL85" i="11"/>
  <c r="BL1231" i="4"/>
  <c r="BL1167" i="4"/>
  <c r="BL1168" i="4" s="1"/>
  <c r="BK48" i="66"/>
  <c r="BK1266" i="4"/>
  <c r="BK37" i="11"/>
  <c r="BK1397" i="4"/>
  <c r="BK1392" i="4" s="1"/>
  <c r="BK1398" i="4"/>
  <c r="BK1393" i="4" s="1"/>
  <c r="X93" i="67"/>
  <c r="X96" i="67" s="1"/>
  <c r="X97" i="67" s="1"/>
  <c r="BL501" i="4"/>
  <c r="BL502" i="4" s="1"/>
  <c r="BL388" i="4"/>
  <c r="BL389" i="4" s="1"/>
  <c r="BM384" i="4" s="1"/>
  <c r="BL490" i="4"/>
  <c r="BL491" i="4" s="1"/>
  <c r="BK99" i="11"/>
  <c r="BK39" i="11" l="1"/>
  <c r="BK40" i="11" s="1"/>
  <c r="BM488" i="4"/>
  <c r="BL15" i="11"/>
  <c r="BL13" i="11" s="1"/>
  <c r="BL1024" i="4"/>
  <c r="BL1026" i="4" s="1"/>
  <c r="BL1027" i="4" s="1"/>
  <c r="BL1028" i="4" s="1"/>
  <c r="BM499" i="4"/>
  <c r="BM1023" i="4" s="1"/>
  <c r="BL52" i="62"/>
  <c r="BL43" i="62"/>
  <c r="BL23" i="62" s="1"/>
  <c r="BL51" i="11"/>
  <c r="BL64" i="62"/>
  <c r="BK1439" i="4"/>
  <c r="BK1440" i="4" s="1"/>
  <c r="BK1396" i="4"/>
  <c r="BK1391" i="4" s="1"/>
  <c r="Y95" i="67"/>
  <c r="X99" i="67"/>
  <c r="BM1163" i="4"/>
  <c r="BL26" i="11"/>
  <c r="BL16" i="66" l="1"/>
  <c r="BL14" i="66" s="1"/>
  <c r="BL13" i="66" s="1"/>
  <c r="BL907" i="4"/>
  <c r="BL911" i="4" s="1"/>
  <c r="BL62" i="64"/>
  <c r="BL70" i="64" l="1"/>
  <c r="BL78" i="64"/>
  <c r="BL1243" i="4"/>
  <c r="BL1043" i="4"/>
  <c r="BL1217" i="4"/>
  <c r="BL1221" i="4" s="1"/>
  <c r="BL71" i="11"/>
  <c r="BL915" i="4"/>
  <c r="BL996" i="4" l="1"/>
  <c r="BL1000" i="4" s="1"/>
  <c r="BL1004" i="4" s="1"/>
  <c r="BL47" i="11"/>
  <c r="BL62" i="11" l="1"/>
  <c r="BL61" i="11"/>
  <c r="BL48" i="11"/>
  <c r="BL55" i="11" s="1"/>
  <c r="BL1012" i="4"/>
  <c r="BL1005" i="4"/>
  <c r="BL1016" i="4" l="1"/>
  <c r="BL1013" i="4" s="1"/>
  <c r="BL1014" i="4" s="1"/>
  <c r="BM1011" i="4" s="1"/>
  <c r="BL63" i="11"/>
  <c r="BL1395" i="4"/>
  <c r="BL64" i="11"/>
  <c r="BL62" i="62"/>
  <c r="BL1006" i="4" l="1"/>
  <c r="BL1007" i="4" s="1"/>
  <c r="BL63" i="62" s="1"/>
  <c r="BL67" i="62" s="1"/>
  <c r="BL75" i="11" l="1"/>
  <c r="BL61" i="64"/>
  <c r="BL1046" i="4"/>
  <c r="BL1053" i="4" s="1"/>
  <c r="BL1055" i="4" s="1"/>
  <c r="BL1058" i="4" s="1"/>
  <c r="BL1246" i="4"/>
  <c r="BL56" i="11"/>
  <c r="BL57" i="11" s="1"/>
  <c r="BL1222" i="4"/>
  <c r="BL1223" i="4" s="1"/>
  <c r="BL68" i="62"/>
  <c r="BL1236" i="4" l="1"/>
  <c r="BL1394" i="4"/>
  <c r="BL1206" i="4"/>
  <c r="BL69" i="64"/>
  <c r="BL74" i="64" s="1"/>
  <c r="BL66" i="64"/>
  <c r="BL40" i="64" s="1"/>
  <c r="BL42" i="64" s="1"/>
  <c r="BL77" i="64"/>
  <c r="BL82" i="64" s="1"/>
  <c r="BL49" i="64" l="1"/>
  <c r="BL52" i="64"/>
  <c r="BL1116" i="4"/>
  <c r="BL1117" i="4" s="1"/>
  <c r="BL1119" i="4" s="1"/>
  <c r="BL1121" i="4" s="1"/>
  <c r="BL1087" i="4" s="1"/>
  <c r="BL1137" i="4" l="1"/>
  <c r="BL1088" i="4"/>
  <c r="BM1085" i="4" l="1"/>
  <c r="BM1130" i="4"/>
  <c r="BM1148" i="4" s="1"/>
  <c r="BL1404" i="4"/>
  <c r="BL38" i="66"/>
  <c r="BL1225" i="4"/>
  <c r="BL1226" i="4" s="1"/>
  <c r="BL88" i="11"/>
  <c r="BL1247" i="4"/>
  <c r="BL1347" i="4"/>
  <c r="BL1138" i="4"/>
  <c r="BM1135" i="4" l="1"/>
  <c r="BL1412" i="4"/>
  <c r="BL1428" i="4"/>
  <c r="BL1438" i="4"/>
  <c r="BL31" i="11"/>
  <c r="BL1194" i="4"/>
  <c r="BL1204" i="4"/>
  <c r="BM1086" i="4"/>
  <c r="BL45" i="62" l="1"/>
  <c r="BL30" i="11"/>
  <c r="BL1175" i="4"/>
  <c r="BL1197" i="4"/>
  <c r="BL1198" i="4" s="1"/>
  <c r="BL1188" i="4" s="1"/>
  <c r="BM1136" i="4"/>
  <c r="BM1129" i="4"/>
  <c r="BM1147" i="4" s="1"/>
  <c r="BM1149" i="4" s="1"/>
  <c r="BM1125" i="4"/>
  <c r="BM1101" i="4"/>
  <c r="BL1413" i="4"/>
  <c r="BL1422" i="4" s="1"/>
  <c r="BM1415" i="4"/>
  <c r="BM1249" i="4" l="1"/>
  <c r="BM50" i="11"/>
  <c r="BM999" i="4"/>
  <c r="BM1045" i="4"/>
  <c r="BM72" i="11"/>
  <c r="BM37" i="66"/>
  <c r="BM1218" i="4"/>
  <c r="BM297" i="4"/>
  <c r="BM305" i="4" s="1"/>
  <c r="BM330" i="4" s="1"/>
  <c r="BM1233" i="4"/>
  <c r="BM1346" i="4"/>
  <c r="BM1259" i="4"/>
  <c r="BM87" i="11"/>
  <c r="BM18" i="66"/>
  <c r="BL1180" i="4"/>
  <c r="BL1184" i="4"/>
  <c r="BL1191" i="4" s="1"/>
  <c r="BL1187" i="4"/>
  <c r="BL1176" i="4" s="1"/>
  <c r="BL1189" i="4"/>
  <c r="BM1112" i="4"/>
  <c r="BM1141" i="4" s="1"/>
  <c r="BM1102" i="4"/>
  <c r="BM1103" i="4"/>
  <c r="BM1092" i="4" s="1"/>
  <c r="BM1093" i="4" s="1"/>
  <c r="BM1111" i="4" s="1"/>
  <c r="BL1418" i="4"/>
  <c r="BL1416" i="4"/>
  <c r="BM467" i="4" l="1"/>
  <c r="BM469" i="4" s="1"/>
  <c r="BM470" i="4" s="1"/>
  <c r="BM471" i="4" s="1"/>
  <c r="BM472" i="4" s="1"/>
  <c r="BN466" i="4" s="1"/>
  <c r="BM456" i="4"/>
  <c r="BM458" i="4" s="1"/>
  <c r="BM459" i="4" s="1"/>
  <c r="BN457" i="4"/>
  <c r="BN468" i="4"/>
  <c r="BN479" i="4"/>
  <c r="BM478" i="4"/>
  <c r="BM480" i="4" s="1"/>
  <c r="BM481" i="4" s="1"/>
  <c r="BM482" i="4" s="1"/>
  <c r="BM483" i="4" s="1"/>
  <c r="BN477" i="4" s="1"/>
  <c r="BL1195" i="4"/>
  <c r="BL1199" i="4" s="1"/>
  <c r="BL1177" i="4" s="1"/>
  <c r="BL1227" i="4"/>
  <c r="BL74" i="11"/>
  <c r="BL78" i="11" s="1"/>
  <c r="BL1250" i="4"/>
  <c r="BL1309" i="4"/>
  <c r="BL36" i="66"/>
  <c r="BM1104" i="4"/>
  <c r="BM997" i="4"/>
  <c r="BM1143" i="4"/>
  <c r="BM1142" i="4"/>
  <c r="BM294" i="4" s="1"/>
  <c r="BL1419" i="4"/>
  <c r="BL19" i="66"/>
  <c r="BL17" i="66" s="1"/>
  <c r="BL1261" i="4"/>
  <c r="BL1232" i="4"/>
  <c r="BL86" i="11"/>
  <c r="BL1403" i="4"/>
  <c r="BL1406" i="4" s="1"/>
  <c r="BM49" i="11"/>
  <c r="BL1344" i="4" l="1"/>
  <c r="BL1308" i="4"/>
  <c r="BL1311" i="4" s="1"/>
  <c r="BM53" i="11"/>
  <c r="BM52" i="11" s="1"/>
  <c r="BN495" i="4"/>
  <c r="BN995" i="4" s="1"/>
  <c r="BL89" i="11"/>
  <c r="BL1251" i="4"/>
  <c r="BL39" i="66"/>
  <c r="BL35" i="66" s="1"/>
  <c r="BL1228" i="4"/>
  <c r="BL1205" i="4" s="1"/>
  <c r="BL1178" i="4"/>
  <c r="BM460" i="4"/>
  <c r="BM461" i="4" s="1"/>
  <c r="BN455" i="4" s="1"/>
  <c r="BM494" i="4"/>
  <c r="BM994" i="4" s="1"/>
  <c r="BM299" i="4"/>
  <c r="BM302" i="4"/>
  <c r="BM1113" i="4"/>
  <c r="BM1144" i="4" s="1"/>
  <c r="BM1120" i="4"/>
  <c r="BL1313" i="4" l="1"/>
  <c r="BL1325" i="4"/>
  <c r="BL1348" i="4"/>
  <c r="BM1224" i="4"/>
  <c r="BM1044" i="4"/>
  <c r="BM1067" i="4" s="1"/>
  <c r="BM1248" i="4"/>
  <c r="BM73" i="11"/>
  <c r="BM331" i="4"/>
  <c r="BM307" i="4"/>
  <c r="BM1173" i="4"/>
  <c r="BL27" i="11"/>
  <c r="BL1429" i="4"/>
  <c r="BL1207" i="4"/>
  <c r="BL1209" i="4" s="1"/>
  <c r="BM332" i="4" l="1"/>
  <c r="BM14" i="11" s="1"/>
  <c r="BL1208" i="4"/>
  <c r="BM1157" i="4"/>
  <c r="BM1158" i="4"/>
  <c r="BM1174" i="4" s="1"/>
  <c r="BM1068" i="4"/>
  <c r="BM405" i="4"/>
  <c r="BM406" i="4" s="1"/>
  <c r="BM407" i="4" s="1"/>
  <c r="BM408" i="4" s="1"/>
  <c r="BM409" i="4" s="1"/>
  <c r="BN404" i="4" s="1"/>
  <c r="BM395" i="4"/>
  <c r="BM396" i="4" s="1"/>
  <c r="BM397" i="4" s="1"/>
  <c r="BM398" i="4" s="1"/>
  <c r="BM399" i="4" s="1"/>
  <c r="BN394" i="4" s="1"/>
  <c r="BM385" i="4"/>
  <c r="BL1432" i="4"/>
  <c r="BL1430" i="4"/>
  <c r="BL1431" i="4" s="1"/>
  <c r="BL1363" i="4"/>
  <c r="BL58" i="11"/>
  <c r="BL59" i="11" s="1"/>
  <c r="BL28" i="11" s="1"/>
  <c r="BL48" i="62"/>
  <c r="BL24" i="62" s="1"/>
  <c r="BL1252" i="4"/>
  <c r="BL90" i="11"/>
  <c r="BL91" i="11" s="1"/>
  <c r="BL93" i="11" s="1"/>
  <c r="BL96" i="11" s="1"/>
  <c r="BL97" i="11" s="1"/>
  <c r="BL1229" i="4"/>
  <c r="BL1230" i="4" s="1"/>
  <c r="BL1234" i="4" s="1"/>
  <c r="BM1213" i="4" s="1"/>
  <c r="BL22" i="66"/>
  <c r="BL1326" i="4"/>
  <c r="BL1327" i="4" s="1"/>
  <c r="BL26" i="62" l="1"/>
  <c r="BL1364" i="4"/>
  <c r="BL1365" i="4" s="1"/>
  <c r="BM489" i="4"/>
  <c r="BM500" i="4"/>
  <c r="BM386" i="4"/>
  <c r="BM387" i="4" s="1"/>
  <c r="BM1051" i="4"/>
  <c r="BL1263" i="4"/>
  <c r="BL1264" i="4" s="1"/>
  <c r="BL21" i="11"/>
  <c r="BL17" i="11" s="1"/>
  <c r="BL1253" i="4"/>
  <c r="BL1254" i="4" s="1"/>
  <c r="BL24" i="66"/>
  <c r="BL20" i="66" s="1"/>
  <c r="BL26" i="66" s="1"/>
  <c r="BL46" i="62"/>
  <c r="BL44" i="66"/>
  <c r="BL40" i="66" s="1"/>
  <c r="BL46" i="66" s="1"/>
  <c r="BL100" i="11"/>
  <c r="BL1385" i="4"/>
  <c r="BL1384" i="4" s="1"/>
  <c r="BL101" i="11"/>
  <c r="BL101" i="67"/>
  <c r="BM95" i="11"/>
  <c r="BL100" i="67"/>
  <c r="BL25" i="11"/>
  <c r="BM1164" i="4"/>
  <c r="BM1159" i="4"/>
  <c r="BL1266" i="4" l="1"/>
  <c r="BL1386" i="4"/>
  <c r="BL1383" i="4" s="1"/>
  <c r="BL23" i="11"/>
  <c r="BL1397" i="4"/>
  <c r="BL1392" i="4" s="1"/>
  <c r="BL37" i="11"/>
  <c r="BL1398" i="4"/>
  <c r="BL1393" i="4" s="1"/>
  <c r="BM1167" i="4"/>
  <c r="BM1168" i="4" s="1"/>
  <c r="BM42" i="62"/>
  <c r="BM85" i="11"/>
  <c r="BM1231" i="4"/>
  <c r="BM1260" i="4"/>
  <c r="BL48" i="66"/>
  <c r="BM501" i="4"/>
  <c r="BM502" i="4" s="1"/>
  <c r="BM490" i="4"/>
  <c r="BM388" i="4"/>
  <c r="BM389" i="4" s="1"/>
  <c r="BN384" i="4" s="1"/>
  <c r="BL99" i="11"/>
  <c r="BL39" i="11" l="1"/>
  <c r="BL40" i="11" s="1"/>
  <c r="BM52" i="62"/>
  <c r="BM43" i="62"/>
  <c r="BM23" i="62" s="1"/>
  <c r="BN1163" i="4"/>
  <c r="BM26" i="11"/>
  <c r="BM1024" i="4"/>
  <c r="BM1026" i="4" s="1"/>
  <c r="BM1027" i="4" s="1"/>
  <c r="BM1028" i="4" s="1"/>
  <c r="BN499" i="4"/>
  <c r="BN1023" i="4" s="1"/>
  <c r="BL1439" i="4"/>
  <c r="BL1440" i="4" s="1"/>
  <c r="BL1396" i="4"/>
  <c r="BL1391" i="4" s="1"/>
  <c r="BM491" i="4"/>
  <c r="BM51" i="11"/>
  <c r="BM64" i="62"/>
  <c r="BM907" i="4" l="1"/>
  <c r="BM911" i="4" s="1"/>
  <c r="BM62" i="64"/>
  <c r="BM15" i="11"/>
  <c r="BM13" i="11" s="1"/>
  <c r="BN488" i="4"/>
  <c r="BM16" i="66"/>
  <c r="BM14" i="66" s="1"/>
  <c r="BM13" i="66" s="1"/>
  <c r="BM70" i="64" l="1"/>
  <c r="BM78" i="64"/>
  <c r="BM1217" i="4"/>
  <c r="BM1221" i="4" s="1"/>
  <c r="BM71" i="11"/>
  <c r="BM915" i="4"/>
  <c r="BM1243" i="4"/>
  <c r="BM1043" i="4"/>
  <c r="BM996" i="4" l="1"/>
  <c r="BM1000" i="4" s="1"/>
  <c r="BM1004" i="4" s="1"/>
  <c r="BM47" i="11"/>
  <c r="BM1012" i="4" l="1"/>
  <c r="BM1005" i="4"/>
  <c r="BM61" i="11"/>
  <c r="BM48" i="11"/>
  <c r="BM55" i="11" s="1"/>
  <c r="BM62" i="11"/>
  <c r="BM1016" i="4" l="1"/>
  <c r="BM1013" i="4" s="1"/>
  <c r="BM1014" i="4" s="1"/>
  <c r="BN1011" i="4" s="1"/>
  <c r="BM1395" i="4"/>
  <c r="BM64" i="11"/>
  <c r="BM62" i="62"/>
  <c r="BM63" i="11"/>
  <c r="BM1006" i="4" l="1"/>
  <c r="BM1007" i="4" s="1"/>
  <c r="BM63" i="62" s="1"/>
  <c r="BM67" i="62" s="1"/>
  <c r="BM1222" i="4" l="1"/>
  <c r="BM1223" i="4" s="1"/>
  <c r="BM1246" i="4"/>
  <c r="BM75" i="11"/>
  <c r="BM56" i="11"/>
  <c r="BM57" i="11" s="1"/>
  <c r="BM61" i="64"/>
  <c r="BM1046" i="4"/>
  <c r="BM1053" i="4" s="1"/>
  <c r="BM1055" i="4" s="1"/>
  <c r="BM1058" i="4" s="1"/>
  <c r="BM68" i="62"/>
  <c r="BM77" i="64" l="1"/>
  <c r="BM82" i="64" s="1"/>
  <c r="BM69" i="64"/>
  <c r="BM74" i="64" s="1"/>
  <c r="BM66" i="64"/>
  <c r="BM40" i="64" s="1"/>
  <c r="BM42" i="64" s="1"/>
  <c r="BM1394" i="4"/>
  <c r="BM1206" i="4"/>
  <c r="BM1236" i="4"/>
  <c r="BM52" i="64" l="1"/>
  <c r="BM49" i="64"/>
  <c r="BM1116" i="4"/>
  <c r="BM1117" i="4" s="1"/>
  <c r="BM1119" i="4" s="1"/>
  <c r="BM1121" i="4" s="1"/>
  <c r="BM1087" i="4" s="1"/>
  <c r="BM1137" i="4" l="1"/>
  <c r="BM1088" i="4"/>
  <c r="BN1085" i="4" l="1"/>
  <c r="BN1130" i="4"/>
  <c r="BN1148" i="4" s="1"/>
  <c r="BM38" i="66"/>
  <c r="BM1347" i="4"/>
  <c r="BM1225" i="4"/>
  <c r="BM1226" i="4" s="1"/>
  <c r="BM1247" i="4"/>
  <c r="BM88" i="11"/>
  <c r="BM1138" i="4"/>
  <c r="BM1404" i="4"/>
  <c r="BM1194" i="4" l="1"/>
  <c r="BM1204" i="4"/>
  <c r="BM1412" i="4"/>
  <c r="BN1135" i="4"/>
  <c r="BM31" i="11"/>
  <c r="BM1438" i="4"/>
  <c r="BM1428" i="4"/>
  <c r="BN1086" i="4"/>
  <c r="BN1415" i="4" l="1"/>
  <c r="BM30" i="11"/>
  <c r="BM45" i="62"/>
  <c r="BN1129" i="4"/>
  <c r="BN1147" i="4" s="1"/>
  <c r="BN1149" i="4" s="1"/>
  <c r="BN1136" i="4"/>
  <c r="BN1125" i="4"/>
  <c r="BN1101" i="4"/>
  <c r="BM1413" i="4"/>
  <c r="BM1422" i="4" s="1"/>
  <c r="BM1197" i="4"/>
  <c r="BM1198" i="4" s="1"/>
  <c r="BM1188" i="4" s="1"/>
  <c r="BM1175" i="4"/>
  <c r="BM1180" i="4" l="1"/>
  <c r="BM1184" i="4"/>
  <c r="BM1191" i="4" s="1"/>
  <c r="BN1103" i="4"/>
  <c r="BN1092" i="4" s="1"/>
  <c r="BN1093" i="4" s="1"/>
  <c r="BN1111" i="4" s="1"/>
  <c r="BN1112" i="4"/>
  <c r="BN1141" i="4" s="1"/>
  <c r="BN1102" i="4"/>
  <c r="BN87" i="11"/>
  <c r="BN18" i="66"/>
  <c r="BN1346" i="4"/>
  <c r="BN1259" i="4"/>
  <c r="BN1233" i="4"/>
  <c r="BM1187" i="4"/>
  <c r="BM1176" i="4" s="1"/>
  <c r="BM1189" i="4"/>
  <c r="BM1418" i="4"/>
  <c r="BM1416" i="4"/>
  <c r="BN1218" i="4"/>
  <c r="BN297" i="4"/>
  <c r="BN305" i="4" s="1"/>
  <c r="BN330" i="4" s="1"/>
  <c r="BN1045" i="4"/>
  <c r="BN999" i="4"/>
  <c r="BN37" i="66"/>
  <c r="BN72" i="11"/>
  <c r="BN1249" i="4"/>
  <c r="BN50" i="11"/>
  <c r="BN1104" i="4" l="1"/>
  <c r="BN1113" i="4" s="1"/>
  <c r="BN1144" i="4" s="1"/>
  <c r="BN1143" i="4"/>
  <c r="BN997" i="4"/>
  <c r="BN1142" i="4"/>
  <c r="BN294" i="4" s="1"/>
  <c r="BM74" i="11"/>
  <c r="BM78" i="11" s="1"/>
  <c r="BM1195" i="4"/>
  <c r="BM1199" i="4" s="1"/>
  <c r="BM1177" i="4" s="1"/>
  <c r="BM1227" i="4"/>
  <c r="BM1250" i="4"/>
  <c r="BM1309" i="4"/>
  <c r="BM36" i="66"/>
  <c r="BN467" i="4"/>
  <c r="BN469" i="4" s="1"/>
  <c r="BN470" i="4" s="1"/>
  <c r="BN471" i="4" s="1"/>
  <c r="BN472" i="4" s="1"/>
  <c r="BO466" i="4" s="1"/>
  <c r="BO457" i="4"/>
  <c r="BO468" i="4"/>
  <c r="BN478" i="4"/>
  <c r="BN480" i="4" s="1"/>
  <c r="BN481" i="4" s="1"/>
  <c r="BN482" i="4" s="1"/>
  <c r="BN483" i="4" s="1"/>
  <c r="BO477" i="4" s="1"/>
  <c r="BN456" i="4"/>
  <c r="BN458" i="4" s="1"/>
  <c r="BN459" i="4" s="1"/>
  <c r="BO479" i="4"/>
  <c r="BM1232" i="4"/>
  <c r="BM86" i="11"/>
  <c r="BM1261" i="4"/>
  <c r="BM19" i="66"/>
  <c r="BM17" i="66" s="1"/>
  <c r="BM1403" i="4"/>
  <c r="BM1406" i="4" s="1"/>
  <c r="BN49" i="11"/>
  <c r="BM1419" i="4"/>
  <c r="BN1120" i="4" l="1"/>
  <c r="BO495" i="4"/>
  <c r="BO995" i="4" s="1"/>
  <c r="BM89" i="11"/>
  <c r="BM39" i="66"/>
  <c r="BM35" i="66" s="1"/>
  <c r="BM1228" i="4"/>
  <c r="BM1205" i="4" s="1"/>
  <c r="BM1251" i="4"/>
  <c r="BM1344" i="4"/>
  <c r="BM1308" i="4"/>
  <c r="BM1311" i="4" s="1"/>
  <c r="BN299" i="4"/>
  <c r="BN302" i="4"/>
  <c r="BN53" i="11"/>
  <c r="BN52" i="11" s="1"/>
  <c r="BN73" i="11"/>
  <c r="BN1224" i="4"/>
  <c r="BN1248" i="4"/>
  <c r="BN1044" i="4"/>
  <c r="BN1067" i="4" s="1"/>
  <c r="BN494" i="4"/>
  <c r="BN994" i="4" s="1"/>
  <c r="BN460" i="4"/>
  <c r="BN461" i="4" s="1"/>
  <c r="BO455" i="4" s="1"/>
  <c r="BM1178" i="4"/>
  <c r="BM1313" i="4" l="1"/>
  <c r="BM1325" i="4"/>
  <c r="BN1157" i="4"/>
  <c r="BN1158" i="4"/>
  <c r="BN1174" i="4" s="1"/>
  <c r="BN1068" i="4"/>
  <c r="BN1173" i="4"/>
  <c r="BM27" i="11"/>
  <c r="BM1429" i="4"/>
  <c r="BM1348" i="4"/>
  <c r="BM1207" i="4"/>
  <c r="BM1209" i="4" s="1"/>
  <c r="BN307" i="4"/>
  <c r="BN331" i="4"/>
  <c r="BN332" i="4" l="1"/>
  <c r="BN14" i="11" s="1"/>
  <c r="BN395" i="4"/>
  <c r="BN396" i="4" s="1"/>
  <c r="BN397" i="4" s="1"/>
  <c r="BN398" i="4" s="1"/>
  <c r="BN399" i="4" s="1"/>
  <c r="BO394" i="4" s="1"/>
  <c r="BN405" i="4"/>
  <c r="BN406" i="4" s="1"/>
  <c r="BN407" i="4" s="1"/>
  <c r="BN408" i="4" s="1"/>
  <c r="BN409" i="4" s="1"/>
  <c r="BO404" i="4" s="1"/>
  <c r="BN385" i="4"/>
  <c r="BM1208" i="4"/>
  <c r="BM1430" i="4"/>
  <c r="BM1431" i="4" s="1"/>
  <c r="BM1432" i="4"/>
  <c r="BM1252" i="4"/>
  <c r="BM1229" i="4"/>
  <c r="BM1230" i="4" s="1"/>
  <c r="BM1234" i="4" s="1"/>
  <c r="BN1213" i="4" s="1"/>
  <c r="BM58" i="11"/>
  <c r="BM59" i="11" s="1"/>
  <c r="BM28" i="11" s="1"/>
  <c r="BM48" i="62"/>
  <c r="BM24" i="62" s="1"/>
  <c r="BM90" i="11"/>
  <c r="BM91" i="11" s="1"/>
  <c r="BM93" i="11" s="1"/>
  <c r="BM96" i="11" s="1"/>
  <c r="BM97" i="11" s="1"/>
  <c r="BM22" i="66"/>
  <c r="BN1164" i="4"/>
  <c r="BN1159" i="4"/>
  <c r="BM1363" i="4"/>
  <c r="BM1326" i="4"/>
  <c r="BM1327" i="4" s="1"/>
  <c r="BM1253" i="4" l="1"/>
  <c r="BM1254" i="4" s="1"/>
  <c r="BN95" i="11"/>
  <c r="BM1385" i="4"/>
  <c r="BM1384" i="4" s="1"/>
  <c r="BM100" i="67"/>
  <c r="BM100" i="11"/>
  <c r="BM24" i="66"/>
  <c r="BM20" i="66" s="1"/>
  <c r="BM26" i="66" s="1"/>
  <c r="BM101" i="11"/>
  <c r="BM21" i="11"/>
  <c r="BM17" i="11" s="1"/>
  <c r="BM1263" i="4"/>
  <c r="BM1264" i="4" s="1"/>
  <c r="BM101" i="67"/>
  <c r="BM44" i="66"/>
  <c r="BM40" i="66" s="1"/>
  <c r="BM46" i="66" s="1"/>
  <c r="BM46" i="62"/>
  <c r="BM26" i="62"/>
  <c r="BN500" i="4"/>
  <c r="BN386" i="4"/>
  <c r="BN387" i="4" s="1"/>
  <c r="BN489" i="4"/>
  <c r="BN1051" i="4"/>
  <c r="BN1167" i="4"/>
  <c r="BN1168" i="4" s="1"/>
  <c r="BN42" i="62"/>
  <c r="BN1260" i="4"/>
  <c r="BN1231" i="4"/>
  <c r="BN85" i="11"/>
  <c r="BM1364" i="4"/>
  <c r="BM1365" i="4" s="1"/>
  <c r="BM25" i="11"/>
  <c r="BM48" i="66" l="1"/>
  <c r="BM1398" i="4"/>
  <c r="BM1393" i="4" s="1"/>
  <c r="BM37" i="11"/>
  <c r="BM1397" i="4"/>
  <c r="BM1392" i="4" s="1"/>
  <c r="BM1386" i="4"/>
  <c r="BM1383" i="4" s="1"/>
  <c r="BM23" i="11"/>
  <c r="BN52" i="62"/>
  <c r="BN43" i="62"/>
  <c r="BN23" i="62" s="1"/>
  <c r="BO1163" i="4"/>
  <c r="BN26" i="11"/>
  <c r="BM99" i="11"/>
  <c r="BN388" i="4"/>
  <c r="BN389" i="4" s="1"/>
  <c r="BO384" i="4" s="1"/>
  <c r="BN501" i="4"/>
  <c r="BN502" i="4" s="1"/>
  <c r="BN490" i="4"/>
  <c r="BN491" i="4" s="1"/>
  <c r="BM1266" i="4"/>
  <c r="BO488" i="4" l="1"/>
  <c r="BN15" i="11"/>
  <c r="BN13" i="11" s="1"/>
  <c r="BN16" i="66"/>
  <c r="BN14" i="66" s="1"/>
  <c r="BN13" i="66" s="1"/>
  <c r="BM1439" i="4"/>
  <c r="BM1440" i="4" s="1"/>
  <c r="BM1396" i="4"/>
  <c r="BM1391" i="4" s="1"/>
  <c r="BO499" i="4"/>
  <c r="BO1023" i="4" s="1"/>
  <c r="BN1024" i="4"/>
  <c r="BN1026" i="4" s="1"/>
  <c r="BN1027" i="4" s="1"/>
  <c r="BN1028" i="4" s="1"/>
  <c r="BN51" i="11"/>
  <c r="BN64" i="62"/>
  <c r="BM39" i="11"/>
  <c r="BM40" i="11" s="1"/>
  <c r="BN907" i="4" l="1"/>
  <c r="BN911" i="4" s="1"/>
  <c r="BN62" i="64"/>
  <c r="BN78" i="64" l="1"/>
  <c r="BN70" i="64"/>
  <c r="BN71" i="11"/>
  <c r="BN1043" i="4"/>
  <c r="BN1243" i="4"/>
  <c r="BN915" i="4"/>
  <c r="BN1217" i="4"/>
  <c r="BN1221" i="4" s="1"/>
  <c r="BN996" i="4" l="1"/>
  <c r="BN1000" i="4" s="1"/>
  <c r="BN1004" i="4" s="1"/>
  <c r="BN47" i="11"/>
  <c r="BN1012" i="4" l="1"/>
  <c r="BN1005" i="4"/>
  <c r="BN48" i="11"/>
  <c r="BN55" i="11" s="1"/>
  <c r="BN61" i="11"/>
  <c r="BN62" i="11"/>
  <c r="BN63" i="11" l="1"/>
  <c r="BN64" i="11"/>
  <c r="BN1395" i="4"/>
  <c r="BN62" i="62"/>
  <c r="BN1016" i="4"/>
  <c r="BN1013" i="4" s="1"/>
  <c r="BN1014" i="4" s="1"/>
  <c r="BO1011" i="4" s="1"/>
  <c r="BN1006" i="4" l="1"/>
  <c r="BN1007" i="4" s="1"/>
  <c r="BN63" i="62" s="1"/>
  <c r="BN67" i="62" s="1"/>
  <c r="BN68" i="62" l="1"/>
  <c r="BN1046" i="4"/>
  <c r="BN1053" i="4" s="1"/>
  <c r="BN1055" i="4" s="1"/>
  <c r="BN1058" i="4" s="1"/>
  <c r="BN1246" i="4"/>
  <c r="BN75" i="11"/>
  <c r="BN56" i="11"/>
  <c r="BN57" i="11" s="1"/>
  <c r="BN61" i="64"/>
  <c r="BN1222" i="4"/>
  <c r="BN1223" i="4" s="1"/>
  <c r="BN1394" i="4" l="1"/>
  <c r="BN1206" i="4"/>
  <c r="BN1236" i="4"/>
  <c r="BN69" i="64"/>
  <c r="BN74" i="64" s="1"/>
  <c r="BN66" i="64"/>
  <c r="BN40" i="64" s="1"/>
  <c r="BN42" i="64" s="1"/>
  <c r="BN77" i="64"/>
  <c r="BN82" i="64" s="1"/>
  <c r="BN49" i="64" l="1"/>
  <c r="BN52" i="64"/>
  <c r="BN1116" i="4"/>
  <c r="BN1117" i="4" s="1"/>
  <c r="BN1119" i="4" s="1"/>
  <c r="BN1121" i="4" s="1"/>
  <c r="BN1087" i="4" s="1"/>
  <c r="BN1137" i="4" l="1"/>
  <c r="BN1088" i="4"/>
  <c r="BO1085" i="4" l="1"/>
  <c r="BO1130" i="4"/>
  <c r="BO1148" i="4" s="1"/>
  <c r="BN1225" i="4"/>
  <c r="BN1226" i="4" s="1"/>
  <c r="BN1347" i="4"/>
  <c r="BN38" i="66"/>
  <c r="BN1247" i="4"/>
  <c r="BN1404" i="4"/>
  <c r="BN88" i="11"/>
  <c r="BN1138" i="4"/>
  <c r="BN1194" i="4" l="1"/>
  <c r="BN1204" i="4"/>
  <c r="BN31" i="11"/>
  <c r="BO1135" i="4"/>
  <c r="BN1412" i="4"/>
  <c r="BN1428" i="4"/>
  <c r="BN1438" i="4"/>
  <c r="BO1086" i="4"/>
  <c r="BN45" i="62" l="1"/>
  <c r="BN30" i="11"/>
  <c r="BN1413" i="4"/>
  <c r="BN1422" i="4" s="1"/>
  <c r="BO1415" i="4"/>
  <c r="BO1136" i="4"/>
  <c r="BO1129" i="4"/>
  <c r="BO1147" i="4" s="1"/>
  <c r="BO1149" i="4" s="1"/>
  <c r="BO1125" i="4"/>
  <c r="BO1101" i="4"/>
  <c r="BN1175" i="4"/>
  <c r="BN1197" i="4"/>
  <c r="BN1198" i="4" s="1"/>
  <c r="BN1188" i="4" s="1"/>
  <c r="BO37" i="66" l="1"/>
  <c r="BO50" i="11"/>
  <c r="BO297" i="4"/>
  <c r="BO305" i="4" s="1"/>
  <c r="BO330" i="4" s="1"/>
  <c r="BO1045" i="4"/>
  <c r="BO1218" i="4"/>
  <c r="BO1249" i="4"/>
  <c r="BO999" i="4"/>
  <c r="BO72" i="11"/>
  <c r="Y72" i="67"/>
  <c r="BO1259" i="4"/>
  <c r="BO87" i="11"/>
  <c r="BO1233" i="4"/>
  <c r="BO18" i="66"/>
  <c r="BO1346" i="4"/>
  <c r="Y87" i="67"/>
  <c r="BN1184" i="4"/>
  <c r="BN1191" i="4" s="1"/>
  <c r="BN1180" i="4"/>
  <c r="BN1418" i="4"/>
  <c r="BN1416" i="4"/>
  <c r="BO1103" i="4"/>
  <c r="BO1092" i="4" s="1"/>
  <c r="BO1093" i="4" s="1"/>
  <c r="BO1111" i="4" s="1"/>
  <c r="BO1102" i="4"/>
  <c r="BO1112" i="4"/>
  <c r="BO1141" i="4" s="1"/>
  <c r="BN1189" i="4"/>
  <c r="BN1187" i="4"/>
  <c r="BN1176" i="4" s="1"/>
  <c r="BO1104" i="4" l="1"/>
  <c r="BO1113" i="4" s="1"/>
  <c r="BO1144" i="4" s="1"/>
  <c r="BN1419" i="4"/>
  <c r="BN1250" i="4"/>
  <c r="BN1227" i="4"/>
  <c r="BN74" i="11"/>
  <c r="BN78" i="11" s="1"/>
  <c r="BN1195" i="4"/>
  <c r="BN1199" i="4" s="1"/>
  <c r="BN1177" i="4" s="1"/>
  <c r="BN36" i="66"/>
  <c r="BN1309" i="4"/>
  <c r="BO997" i="4"/>
  <c r="BO1142" i="4"/>
  <c r="BO294" i="4" s="1"/>
  <c r="BO1143" i="4"/>
  <c r="BN1232" i="4"/>
  <c r="BN1261" i="4"/>
  <c r="BN86" i="11"/>
  <c r="BN19" i="66"/>
  <c r="BN17" i="66" s="1"/>
  <c r="BN1403" i="4"/>
  <c r="BN1406" i="4" s="1"/>
  <c r="BO456" i="4"/>
  <c r="BO458" i="4" s="1"/>
  <c r="BO459" i="4" s="1"/>
  <c r="BP457" i="4"/>
  <c r="BP479" i="4"/>
  <c r="BP468" i="4"/>
  <c r="BO467" i="4"/>
  <c r="BO469" i="4" s="1"/>
  <c r="BO470" i="4" s="1"/>
  <c r="BO471" i="4" s="1"/>
  <c r="BO472" i="4" s="1"/>
  <c r="BP466" i="4" s="1"/>
  <c r="BO478" i="4"/>
  <c r="BO480" i="4" s="1"/>
  <c r="BO481" i="4" s="1"/>
  <c r="BO482" i="4" s="1"/>
  <c r="BO483" i="4" s="1"/>
  <c r="BP477" i="4" s="1"/>
  <c r="BO49" i="11"/>
  <c r="Y50" i="67"/>
  <c r="Y49" i="67" s="1"/>
  <c r="BO1120" i="4" l="1"/>
  <c r="BN39" i="66"/>
  <c r="BN35" i="66" s="1"/>
  <c r="BN89" i="11"/>
  <c r="BN1228" i="4"/>
  <c r="BN1205" i="4" s="1"/>
  <c r="BN1251" i="4"/>
  <c r="BN1344" i="4"/>
  <c r="BN1308" i="4"/>
  <c r="BN1311" i="4" s="1"/>
  <c r="BP495" i="4"/>
  <c r="BP995" i="4" s="1"/>
  <c r="BO53" i="11"/>
  <c r="BO52" i="11" s="1"/>
  <c r="Y53" i="67"/>
  <c r="Y52" i="67" s="1"/>
  <c r="BO460" i="4"/>
  <c r="BO461" i="4" s="1"/>
  <c r="BP455" i="4" s="1"/>
  <c r="BO494" i="4"/>
  <c r="BO994" i="4" s="1"/>
  <c r="BO1044" i="4"/>
  <c r="BO1067" i="4" s="1"/>
  <c r="BO1224" i="4"/>
  <c r="BO1248" i="4"/>
  <c r="BO73" i="11"/>
  <c r="Y73" i="67"/>
  <c r="Y23" i="13"/>
  <c r="BO299" i="4"/>
  <c r="BO302" i="4"/>
  <c r="BN1178" i="4"/>
  <c r="BO1173" i="4" l="1"/>
  <c r="BN27" i="11"/>
  <c r="BN1429" i="4"/>
  <c r="BN1313" i="4"/>
  <c r="BN1325" i="4"/>
  <c r="BO1158" i="4"/>
  <c r="BO1174" i="4" s="1"/>
  <c r="BO1157" i="4"/>
  <c r="BO1068" i="4"/>
  <c r="BN1348" i="4"/>
  <c r="BN1207" i="4"/>
  <c r="BN1209" i="4" s="1"/>
  <c r="BO331" i="4"/>
  <c r="BO307" i="4"/>
  <c r="BO332" i="4" l="1"/>
  <c r="BO14" i="11" s="1"/>
  <c r="BN90" i="11"/>
  <c r="BN91" i="11" s="1"/>
  <c r="BN93" i="11" s="1"/>
  <c r="BN96" i="11" s="1"/>
  <c r="BN97" i="11" s="1"/>
  <c r="BN48" i="62"/>
  <c r="BN24" i="62" s="1"/>
  <c r="BN1252" i="4"/>
  <c r="BN58" i="11"/>
  <c r="BN59" i="11" s="1"/>
  <c r="BN28" i="11" s="1"/>
  <c r="BN1229" i="4"/>
  <c r="BN1230" i="4" s="1"/>
  <c r="BN1234" i="4" s="1"/>
  <c r="BO1213" i="4" s="1"/>
  <c r="BN22" i="66"/>
  <c r="BN1430" i="4"/>
  <c r="BN1431" i="4" s="1"/>
  <c r="BN1432" i="4"/>
  <c r="BN1363" i="4"/>
  <c r="BO395" i="4"/>
  <c r="BO396" i="4" s="1"/>
  <c r="BO397" i="4" s="1"/>
  <c r="BO398" i="4" s="1"/>
  <c r="BO399" i="4" s="1"/>
  <c r="BP394" i="4" s="1"/>
  <c r="BO405" i="4"/>
  <c r="BO406" i="4" s="1"/>
  <c r="BO407" i="4" s="1"/>
  <c r="BO408" i="4" s="1"/>
  <c r="BO409" i="4" s="1"/>
  <c r="BP404" i="4" s="1"/>
  <c r="BO385" i="4"/>
  <c r="BN1326" i="4"/>
  <c r="BN1327" i="4" s="1"/>
  <c r="BN1208" i="4"/>
  <c r="BO1164" i="4"/>
  <c r="BO1159" i="4"/>
  <c r="Y14" i="67" l="1"/>
  <c r="BN25" i="11"/>
  <c r="BN26" i="62"/>
  <c r="BO1167" i="4"/>
  <c r="BO1168" i="4" s="1"/>
  <c r="BO1260" i="4"/>
  <c r="BO85" i="11"/>
  <c r="BO1231" i="4"/>
  <c r="BO42" i="62"/>
  <c r="Y85" i="67"/>
  <c r="BN1263" i="4"/>
  <c r="BN1264" i="4" s="1"/>
  <c r="BN1385" i="4"/>
  <c r="BN1384" i="4" s="1"/>
  <c r="BN101" i="11"/>
  <c r="BN21" i="11"/>
  <c r="BN17" i="11" s="1"/>
  <c r="BN100" i="11"/>
  <c r="BN44" i="66"/>
  <c r="BN40" i="66" s="1"/>
  <c r="BN46" i="66" s="1"/>
  <c r="BN24" i="66"/>
  <c r="BN20" i="66" s="1"/>
  <c r="BN26" i="66" s="1"/>
  <c r="BO95" i="11"/>
  <c r="BN1253" i="4"/>
  <c r="BN1254" i="4" s="1"/>
  <c r="BN100" i="67"/>
  <c r="BN101" i="67"/>
  <c r="BN46" i="62"/>
  <c r="BN1364" i="4"/>
  <c r="BN1365" i="4" s="1"/>
  <c r="BO489" i="4"/>
  <c r="BO500" i="4"/>
  <c r="BO386" i="4"/>
  <c r="BO387" i="4" s="1"/>
  <c r="BO1051" i="4"/>
  <c r="BN1266" i="4" l="1"/>
  <c r="BN99" i="11"/>
  <c r="Y26" i="67"/>
  <c r="BO26" i="11"/>
  <c r="BP1163" i="4"/>
  <c r="BO501" i="4"/>
  <c r="BO502" i="4" s="1"/>
  <c r="BO388" i="4"/>
  <c r="BO389" i="4" s="1"/>
  <c r="BP384" i="4" s="1"/>
  <c r="BO490" i="4"/>
  <c r="BO491" i="4" s="1"/>
  <c r="BN48" i="66"/>
  <c r="BN1397" i="4"/>
  <c r="BN1392" i="4" s="1"/>
  <c r="BN1398" i="4"/>
  <c r="BN1393" i="4" s="1"/>
  <c r="BN37" i="11"/>
  <c r="BO52" i="62"/>
  <c r="BO43" i="62"/>
  <c r="BO23" i="62" s="1"/>
  <c r="BN1386" i="4"/>
  <c r="BN1383" i="4" s="1"/>
  <c r="BN23" i="11"/>
  <c r="BP488" i="4" l="1"/>
  <c r="Y15" i="67"/>
  <c r="Y13" i="67" s="1"/>
  <c r="BO15" i="11"/>
  <c r="BO13" i="11" s="1"/>
  <c r="BO64" i="62"/>
  <c r="BO51" i="11"/>
  <c r="Y51" i="67"/>
  <c r="BO16" i="66"/>
  <c r="BO14" i="66" s="1"/>
  <c r="BO13" i="66" s="1"/>
  <c r="BO1024" i="4"/>
  <c r="BO1026" i="4" s="1"/>
  <c r="BO1027" i="4" s="1"/>
  <c r="BO1028" i="4" s="1"/>
  <c r="BP499" i="4"/>
  <c r="BP1023" i="4" s="1"/>
  <c r="BN39" i="11"/>
  <c r="BN40" i="11" s="1"/>
  <c r="BN1439" i="4"/>
  <c r="BN1440" i="4" s="1"/>
  <c r="BN1396" i="4"/>
  <c r="BN1391" i="4" s="1"/>
  <c r="BO907" i="4" l="1"/>
  <c r="BO911" i="4" s="1"/>
  <c r="BO62" i="64"/>
  <c r="BO70" i="64" l="1"/>
  <c r="BO78" i="64"/>
  <c r="BO915" i="4"/>
  <c r="BO1243" i="4"/>
  <c r="BO1217" i="4"/>
  <c r="BO1221" i="4" s="1"/>
  <c r="BO71" i="11"/>
  <c r="BO1043" i="4"/>
  <c r="Y40" i="13"/>
  <c r="Y71" i="67"/>
  <c r="BO996" i="4" l="1"/>
  <c r="BO1000" i="4" s="1"/>
  <c r="BO1004" i="4" s="1"/>
  <c r="BO47" i="11"/>
  <c r="Y20" i="72"/>
  <c r="Y47" i="67"/>
  <c r="Y61" i="67" l="1"/>
  <c r="Y63" i="67" s="1"/>
  <c r="Y48" i="67"/>
  <c r="Y55" i="67" s="1"/>
  <c r="Y62" i="67"/>
  <c r="Y64" i="67" s="1"/>
  <c r="BO1005" i="4"/>
  <c r="BO1012" i="4"/>
  <c r="BO62" i="11"/>
  <c r="BO61" i="11"/>
  <c r="BO48" i="11"/>
  <c r="BO55" i="11" s="1"/>
  <c r="BO63" i="11" l="1"/>
  <c r="Y1449" i="4"/>
  <c r="BO1395" i="4"/>
  <c r="BO64" i="11"/>
  <c r="BO62" i="62"/>
  <c r="BO1016" i="4"/>
  <c r="BO1013" i="4" s="1"/>
  <c r="BO1014" i="4" s="1"/>
  <c r="BP1011" i="4" s="1"/>
  <c r="BO1006" i="4" l="1"/>
  <c r="BO1007" i="4" s="1"/>
  <c r="BO63" i="62" s="1"/>
  <c r="BO67" i="62" s="1"/>
  <c r="BO61" i="64" l="1"/>
  <c r="BO75" i="11"/>
  <c r="BO1222" i="4"/>
  <c r="BO1223" i="4" s="1"/>
  <c r="BO1046" i="4"/>
  <c r="BO1053" i="4" s="1"/>
  <c r="BO1055" i="4" s="1"/>
  <c r="BO1058" i="4" s="1"/>
  <c r="BO56" i="11"/>
  <c r="BO57" i="11" s="1"/>
  <c r="BO1246" i="4"/>
  <c r="Y41" i="13"/>
  <c r="Y43" i="13" s="1"/>
  <c r="Y56" i="67"/>
  <c r="Y57" i="67" s="1"/>
  <c r="Y75" i="67"/>
  <c r="BO68" i="62"/>
  <c r="BO1394" i="4" l="1"/>
  <c r="BO1206" i="4"/>
  <c r="BO1236" i="4"/>
  <c r="BO66" i="64"/>
  <c r="BO40" i="64" s="1"/>
  <c r="BO42" i="64" s="1"/>
  <c r="BO77" i="64"/>
  <c r="BO82" i="64" s="1"/>
  <c r="BO69" i="64"/>
  <c r="BO74" i="64" s="1"/>
  <c r="BO52" i="64" l="1"/>
  <c r="BO49" i="64"/>
  <c r="BO1116" i="4"/>
  <c r="BO1117" i="4" s="1"/>
  <c r="BO1119" i="4" s="1"/>
  <c r="BO1121" i="4" s="1"/>
  <c r="BO1087" i="4" s="1"/>
  <c r="BO1137" i="4" l="1"/>
  <c r="BO1088" i="4"/>
  <c r="BP1085" i="4" l="1"/>
  <c r="BP1130" i="4"/>
  <c r="BP1148" i="4" s="1"/>
  <c r="BO1225" i="4"/>
  <c r="BO1226" i="4" s="1"/>
  <c r="BO1347" i="4"/>
  <c r="BO38" i="66"/>
  <c r="BO1247" i="4"/>
  <c r="BO88" i="11"/>
  <c r="Y24" i="13"/>
  <c r="Y88" i="67"/>
  <c r="BO1138" i="4"/>
  <c r="BO1404" i="4"/>
  <c r="BO1194" i="4" l="1"/>
  <c r="BO1204" i="4"/>
  <c r="BO31" i="11"/>
  <c r="BP1135" i="4"/>
  <c r="BO1428" i="4"/>
  <c r="BO1412" i="4"/>
  <c r="Y1448" i="4"/>
  <c r="Y1452" i="4" s="1"/>
  <c r="BO1438" i="4"/>
  <c r="Y31" i="67"/>
  <c r="Y30" i="67" s="1"/>
  <c r="BP1086" i="4"/>
  <c r="BO1413" i="4" l="1"/>
  <c r="BO1422" i="4" s="1"/>
  <c r="BP1129" i="4"/>
  <c r="BP1147" i="4" s="1"/>
  <c r="BP1149" i="4" s="1"/>
  <c r="BP1136" i="4"/>
  <c r="BP1125" i="4"/>
  <c r="BP1101" i="4"/>
  <c r="BP1415" i="4"/>
  <c r="BO45" i="62"/>
  <c r="BO30" i="11"/>
  <c r="BO1197" i="4"/>
  <c r="BO1198" i="4" s="1"/>
  <c r="BO1188" i="4" s="1"/>
  <c r="BO1175" i="4"/>
  <c r="BO1184" i="4" l="1"/>
  <c r="BO1191" i="4" s="1"/>
  <c r="BO1180" i="4"/>
  <c r="BO1187" i="4"/>
  <c r="BO1176" i="4" s="1"/>
  <c r="BO1189" i="4"/>
  <c r="BP1112" i="4"/>
  <c r="BP1141" i="4" s="1"/>
  <c r="BP1103" i="4"/>
  <c r="BP1092" i="4" s="1"/>
  <c r="BP1093" i="4" s="1"/>
  <c r="BP1111" i="4" s="1"/>
  <c r="BP1102" i="4"/>
  <c r="BP1233" i="4"/>
  <c r="BP1346" i="4"/>
  <c r="BP1259" i="4"/>
  <c r="BP87" i="11"/>
  <c r="BP18" i="66"/>
  <c r="BP50" i="11"/>
  <c r="BP999" i="4"/>
  <c r="BP297" i="4"/>
  <c r="BP305" i="4" s="1"/>
  <c r="BP330" i="4" s="1"/>
  <c r="BP1045" i="4"/>
  <c r="BP1249" i="4"/>
  <c r="BP72" i="11"/>
  <c r="BP1218" i="4"/>
  <c r="BP37" i="66"/>
  <c r="BO1418" i="4"/>
  <c r="BO1416" i="4"/>
  <c r="BO1419" i="4" l="1"/>
  <c r="BP1104" i="4"/>
  <c r="BP1113" i="4" s="1"/>
  <c r="BP1144" i="4" s="1"/>
  <c r="BP1143" i="4"/>
  <c r="BP1142" i="4"/>
  <c r="BP294" i="4" s="1"/>
  <c r="BP997" i="4"/>
  <c r="BO1195" i="4"/>
  <c r="BO1199" i="4" s="1"/>
  <c r="BO1177" i="4" s="1"/>
  <c r="BO1250" i="4"/>
  <c r="BO1227" i="4"/>
  <c r="BO74" i="11"/>
  <c r="BO78" i="11" s="1"/>
  <c r="Y74" i="67"/>
  <c r="BO36" i="66"/>
  <c r="BO1309" i="4"/>
  <c r="BP49" i="11"/>
  <c r="BO1261" i="4"/>
  <c r="BO19" i="66"/>
  <c r="BO17" i="66" s="1"/>
  <c r="BO86" i="11"/>
  <c r="BO1232" i="4"/>
  <c r="Y86" i="67"/>
  <c r="BO1403" i="4"/>
  <c r="BO1406" i="4" s="1"/>
  <c r="BQ479" i="4"/>
  <c r="BQ468" i="4"/>
  <c r="BP456" i="4"/>
  <c r="BP458" i="4" s="1"/>
  <c r="BP459" i="4" s="1"/>
  <c r="BQ457" i="4"/>
  <c r="BP467" i="4"/>
  <c r="BP469" i="4" s="1"/>
  <c r="BP470" i="4" s="1"/>
  <c r="BP471" i="4" s="1"/>
  <c r="BP472" i="4" s="1"/>
  <c r="BQ466" i="4" s="1"/>
  <c r="BP478" i="4"/>
  <c r="BP480" i="4" s="1"/>
  <c r="BP481" i="4" s="1"/>
  <c r="BP482" i="4" s="1"/>
  <c r="BP483" i="4" s="1"/>
  <c r="BQ477" i="4" s="1"/>
  <c r="BP1120" i="4" l="1"/>
  <c r="BO39" i="66"/>
  <c r="BO35" i="66" s="1"/>
  <c r="BO1251" i="4"/>
  <c r="BO89" i="11"/>
  <c r="BO1228" i="4"/>
  <c r="BO1205" i="4" s="1"/>
  <c r="Y89" i="67"/>
  <c r="BQ495" i="4"/>
  <c r="BQ995" i="4" s="1"/>
  <c r="BP494" i="4"/>
  <c r="BP994" i="4" s="1"/>
  <c r="BP460" i="4"/>
  <c r="BP461" i="4" s="1"/>
  <c r="BQ455" i="4" s="1"/>
  <c r="BP299" i="4"/>
  <c r="BP302" i="4"/>
  <c r="BP53" i="11"/>
  <c r="BP52" i="11" s="1"/>
  <c r="Y78" i="67"/>
  <c r="BO1308" i="4"/>
  <c r="BO1311" i="4" s="1"/>
  <c r="BO1344" i="4"/>
  <c r="BP1224" i="4"/>
  <c r="BP1044" i="4"/>
  <c r="BP1067" i="4" s="1"/>
  <c r="BP1248" i="4"/>
  <c r="BP73" i="11"/>
  <c r="BO1178" i="4"/>
  <c r="BO1348" i="4" l="1"/>
  <c r="Y13" i="13"/>
  <c r="BO1207" i="4"/>
  <c r="BO1209" i="4" s="1"/>
  <c r="BO1313" i="4"/>
  <c r="Y14" i="72"/>
  <c r="BO1325" i="4"/>
  <c r="BP1068" i="4"/>
  <c r="BP1157" i="4"/>
  <c r="BP1158" i="4"/>
  <c r="BP1174" i="4" s="1"/>
  <c r="BP331" i="4"/>
  <c r="BP307" i="4"/>
  <c r="BO27" i="11"/>
  <c r="Y27" i="67"/>
  <c r="BP1173" i="4"/>
  <c r="BO1429" i="4"/>
  <c r="BP332" i="4" l="1"/>
  <c r="BP14" i="11" s="1"/>
  <c r="BO1208" i="4"/>
  <c r="BO1326" i="4"/>
  <c r="BO1327" i="4" s="1"/>
  <c r="BP395" i="4"/>
  <c r="BP396" i="4" s="1"/>
  <c r="BP397" i="4" s="1"/>
  <c r="BP398" i="4" s="1"/>
  <c r="BP399" i="4" s="1"/>
  <c r="BQ394" i="4" s="1"/>
  <c r="BP405" i="4"/>
  <c r="BP406" i="4" s="1"/>
  <c r="BP407" i="4" s="1"/>
  <c r="BP408" i="4" s="1"/>
  <c r="BP409" i="4" s="1"/>
  <c r="BQ404" i="4" s="1"/>
  <c r="BP385" i="4"/>
  <c r="BO1252" i="4"/>
  <c r="BO58" i="11"/>
  <c r="BO59" i="11" s="1"/>
  <c r="BO28" i="11" s="1"/>
  <c r="BO25" i="11" s="1"/>
  <c r="BO1229" i="4"/>
  <c r="BO1230" i="4" s="1"/>
  <c r="BO1234" i="4" s="1"/>
  <c r="BP1213" i="4" s="1"/>
  <c r="BO90" i="11"/>
  <c r="BO91" i="11" s="1"/>
  <c r="BO93" i="11" s="1"/>
  <c r="BO96" i="11" s="1"/>
  <c r="BO97" i="11" s="1"/>
  <c r="BO48" i="62"/>
  <c r="BO24" i="62" s="1"/>
  <c r="Y90" i="67"/>
  <c r="Y58" i="67"/>
  <c r="BO22" i="66"/>
  <c r="BO1432" i="4"/>
  <c r="BO1430" i="4"/>
  <c r="BO1431" i="4" s="1"/>
  <c r="BP1164" i="4"/>
  <c r="BP1159" i="4"/>
  <c r="Y15" i="72"/>
  <c r="BO1363" i="4"/>
  <c r="BO1397" i="4" l="1"/>
  <c r="BO1392" i="4" s="1"/>
  <c r="BO1398" i="4"/>
  <c r="BO1393" i="4" s="1"/>
  <c r="BO37" i="11"/>
  <c r="BP489" i="4"/>
  <c r="BP386" i="4"/>
  <c r="BP387" i="4" s="1"/>
  <c r="BP500" i="4"/>
  <c r="Y59" i="67"/>
  <c r="Y91" i="67"/>
  <c r="BO26" i="62"/>
  <c r="BP95" i="11"/>
  <c r="BO100" i="67"/>
  <c r="Y21" i="67"/>
  <c r="Y17" i="67" s="1"/>
  <c r="Y23" i="67" s="1"/>
  <c r="Y1450" i="4"/>
  <c r="Y1457" i="4" s="1"/>
  <c r="BO1263" i="4"/>
  <c r="BO1264" i="4" s="1"/>
  <c r="BO100" i="11"/>
  <c r="BO44" i="66"/>
  <c r="BO40" i="66" s="1"/>
  <c r="BO46" i="66" s="1"/>
  <c r="BO1385" i="4"/>
  <c r="BO1384" i="4" s="1"/>
  <c r="BO101" i="11"/>
  <c r="BO46" i="62"/>
  <c r="BO1253" i="4"/>
  <c r="BO1254" i="4" s="1"/>
  <c r="BO101" i="67"/>
  <c r="BO21" i="11"/>
  <c r="BO17" i="11" s="1"/>
  <c r="BO24" i="66"/>
  <c r="BO20" i="66" s="1"/>
  <c r="BO26" i="66" s="1"/>
  <c r="BP1051" i="4"/>
  <c r="BP1231" i="4"/>
  <c r="BP42" i="62"/>
  <c r="BP1260" i="4"/>
  <c r="BP1167" i="4"/>
  <c r="BP1168" i="4" s="1"/>
  <c r="BP85" i="11"/>
  <c r="BO1364" i="4"/>
  <c r="BO1365" i="4" s="1"/>
  <c r="Y28" i="67"/>
  <c r="Y25" i="67" s="1"/>
  <c r="Y37" i="67" s="1"/>
  <c r="Y39" i="67" l="1"/>
  <c r="Y40" i="67" s="1"/>
  <c r="BO1386" i="4"/>
  <c r="BO1383" i="4" s="1"/>
  <c r="BO23" i="11"/>
  <c r="BP52" i="62"/>
  <c r="BP43" i="62"/>
  <c r="BP23" i="62" s="1"/>
  <c r="BP26" i="11"/>
  <c r="BQ1163" i="4"/>
  <c r="BO1266" i="4"/>
  <c r="BO99" i="11"/>
  <c r="BO48" i="66"/>
  <c r="BP490" i="4"/>
  <c r="BP388" i="4"/>
  <c r="BP389" i="4" s="1"/>
  <c r="BQ384" i="4" s="1"/>
  <c r="BP501" i="4"/>
  <c r="BP502" i="4" s="1"/>
  <c r="Y93" i="67"/>
  <c r="Y96" i="67" s="1"/>
  <c r="Y97" i="67" s="1"/>
  <c r="BP1024" i="4" l="1"/>
  <c r="BP1026" i="4" s="1"/>
  <c r="BP1027" i="4" s="1"/>
  <c r="BP1028" i="4" s="1"/>
  <c r="BQ499" i="4"/>
  <c r="BQ1023" i="4" s="1"/>
  <c r="BP16" i="66"/>
  <c r="BP14" i="66" s="1"/>
  <c r="BP13" i="66" s="1"/>
  <c r="BP491" i="4"/>
  <c r="BP51" i="11"/>
  <c r="BP64" i="62"/>
  <c r="BO1439" i="4"/>
  <c r="BO1440" i="4" s="1"/>
  <c r="BO1396" i="4"/>
  <c r="BO1391" i="4" s="1"/>
  <c r="Z95" i="67"/>
  <c r="Y99" i="67"/>
  <c r="BO39" i="11"/>
  <c r="BO40" i="11" s="1"/>
  <c r="BP15" i="11" l="1"/>
  <c r="BP13" i="11" s="1"/>
  <c r="BQ488" i="4"/>
  <c r="BP907" i="4"/>
  <c r="BP911" i="4" s="1"/>
  <c r="BP62" i="64"/>
  <c r="BP915" i="4" l="1"/>
  <c r="BP1217" i="4"/>
  <c r="BP1221" i="4" s="1"/>
  <c r="BP1243" i="4"/>
  <c r="BP71" i="11"/>
  <c r="BP1043" i="4"/>
  <c r="BP70" i="64"/>
  <c r="BP78" i="64"/>
  <c r="BP996" i="4" l="1"/>
  <c r="BP1000" i="4" s="1"/>
  <c r="BP1004" i="4" s="1"/>
  <c r="BP47" i="11"/>
  <c r="BP48" i="11" l="1"/>
  <c r="BP55" i="11" s="1"/>
  <c r="BP61" i="11"/>
  <c r="BP62" i="11"/>
  <c r="BP1012" i="4"/>
  <c r="BP1005" i="4"/>
  <c r="BP1395" i="4" l="1"/>
  <c r="BP62" i="62"/>
  <c r="BP64" i="11"/>
  <c r="BP1016" i="4"/>
  <c r="BP1013" i="4" s="1"/>
  <c r="BP1014" i="4" s="1"/>
  <c r="BQ1011" i="4" s="1"/>
  <c r="BP63" i="11"/>
  <c r="BP1006" i="4" l="1"/>
  <c r="BP1007" i="4" s="1"/>
  <c r="BP63" i="62" l="1"/>
  <c r="BP67" i="62" s="1"/>
  <c r="BP56" i="11"/>
  <c r="BP57" i="11" s="1"/>
  <c r="BP1046" i="4"/>
  <c r="BP1053" i="4" s="1"/>
  <c r="BP1055" i="4" s="1"/>
  <c r="BP1058" i="4" s="1"/>
  <c r="BP61" i="64"/>
  <c r="BP1246" i="4"/>
  <c r="BP75" i="11"/>
  <c r="BP1222" i="4"/>
  <c r="BP1223" i="4" s="1"/>
  <c r="BP1236" i="4" l="1"/>
  <c r="BP69" i="64"/>
  <c r="BP74" i="64" s="1"/>
  <c r="BP66" i="64"/>
  <c r="BP40" i="64" s="1"/>
  <c r="BP42" i="64" s="1"/>
  <c r="BP77" i="64"/>
  <c r="BP82" i="64" s="1"/>
  <c r="BP1394" i="4"/>
  <c r="BP1206" i="4"/>
  <c r="BP68" i="62"/>
  <c r="BP52" i="64" l="1"/>
  <c r="BP49" i="64"/>
  <c r="BP1116" i="4"/>
  <c r="BP1117" i="4" s="1"/>
  <c r="BP1119" i="4" s="1"/>
  <c r="BP1121" i="4" s="1"/>
  <c r="BP1087" i="4" s="1"/>
  <c r="BP1137" i="4" l="1"/>
  <c r="BP1088" i="4"/>
  <c r="BQ1085" i="4" l="1"/>
  <c r="BQ1130" i="4"/>
  <c r="BQ1148" i="4" s="1"/>
  <c r="BP88" i="11"/>
  <c r="BP38" i="66"/>
  <c r="BP1347" i="4"/>
  <c r="BP1404" i="4"/>
  <c r="BP1225" i="4"/>
  <c r="BP1226" i="4" s="1"/>
  <c r="BP1247" i="4"/>
  <c r="BP1138" i="4"/>
  <c r="BP1204" i="4" l="1"/>
  <c r="BP1194" i="4"/>
  <c r="BP1438" i="4"/>
  <c r="BQ1135" i="4"/>
  <c r="BP31" i="11"/>
  <c r="BP1428" i="4"/>
  <c r="BP1412" i="4"/>
  <c r="BQ1086" i="4"/>
  <c r="BQ1415" i="4" l="1"/>
  <c r="BP1413" i="4"/>
  <c r="BP1422" i="4" s="1"/>
  <c r="BP30" i="11"/>
  <c r="BP45" i="62"/>
  <c r="BQ1136" i="4"/>
  <c r="BQ1129" i="4"/>
  <c r="BQ1147" i="4" s="1"/>
  <c r="BQ1149" i="4" s="1"/>
  <c r="BQ1125" i="4"/>
  <c r="BQ1101" i="4"/>
  <c r="BP1197" i="4"/>
  <c r="BP1198" i="4" s="1"/>
  <c r="BP1188" i="4" s="1"/>
  <c r="BP1175" i="4"/>
  <c r="BP1189" i="4" l="1"/>
  <c r="BP1187" i="4"/>
  <c r="BP1176" i="4" s="1"/>
  <c r="BQ1102" i="4"/>
  <c r="BQ1103" i="4"/>
  <c r="BQ1092" i="4" s="1"/>
  <c r="BQ1093" i="4" s="1"/>
  <c r="BQ1111" i="4" s="1"/>
  <c r="BQ1112" i="4"/>
  <c r="BQ1141" i="4" s="1"/>
  <c r="BP1184" i="4"/>
  <c r="BP1191" i="4" s="1"/>
  <c r="BP1180" i="4"/>
  <c r="BP1418" i="4"/>
  <c r="BP1416" i="4"/>
  <c r="BQ72" i="11"/>
  <c r="BQ999" i="4"/>
  <c r="BQ1218" i="4"/>
  <c r="BQ297" i="4"/>
  <c r="BQ305" i="4" s="1"/>
  <c r="BQ330" i="4" s="1"/>
  <c r="BQ50" i="11"/>
  <c r="BQ1045" i="4"/>
  <c r="BQ1249" i="4"/>
  <c r="BQ37" i="66"/>
  <c r="BQ1346" i="4"/>
  <c r="BQ18" i="66"/>
  <c r="BQ1233" i="4"/>
  <c r="BQ87" i="11"/>
  <c r="BQ1259" i="4"/>
  <c r="BP1419" i="4" l="1"/>
  <c r="BQ49" i="11"/>
  <c r="BR479" i="4"/>
  <c r="BR468" i="4"/>
  <c r="BQ467" i="4"/>
  <c r="BQ469" i="4" s="1"/>
  <c r="BQ470" i="4" s="1"/>
  <c r="BQ471" i="4" s="1"/>
  <c r="BQ472" i="4" s="1"/>
  <c r="BR466" i="4" s="1"/>
  <c r="BQ456" i="4"/>
  <c r="BQ458" i="4" s="1"/>
  <c r="BQ459" i="4" s="1"/>
  <c r="BQ478" i="4"/>
  <c r="BQ480" i="4" s="1"/>
  <c r="BQ481" i="4" s="1"/>
  <c r="BQ482" i="4" s="1"/>
  <c r="BQ483" i="4" s="1"/>
  <c r="BR477" i="4" s="1"/>
  <c r="BR457" i="4"/>
  <c r="BP1261" i="4"/>
  <c r="BP1232" i="4"/>
  <c r="BP19" i="66"/>
  <c r="BP17" i="66" s="1"/>
  <c r="BP86" i="11"/>
  <c r="BP1403" i="4"/>
  <c r="BP1406" i="4" s="1"/>
  <c r="BQ997" i="4"/>
  <c r="BQ1143" i="4"/>
  <c r="BQ1142" i="4"/>
  <c r="BQ294" i="4" s="1"/>
  <c r="BQ1104" i="4"/>
  <c r="BP1250" i="4"/>
  <c r="BP74" i="11"/>
  <c r="BP78" i="11" s="1"/>
  <c r="BP1227" i="4"/>
  <c r="BP1195" i="4"/>
  <c r="BP1199" i="4" s="1"/>
  <c r="BP1177" i="4" s="1"/>
  <c r="BP1309" i="4"/>
  <c r="BP36" i="66"/>
  <c r="BR495" i="4" l="1"/>
  <c r="BR995" i="4" s="1"/>
  <c r="BQ494" i="4"/>
  <c r="BQ994" i="4" s="1"/>
  <c r="BQ460" i="4"/>
  <c r="BQ461" i="4" s="1"/>
  <c r="BR455" i="4" s="1"/>
  <c r="BQ299" i="4"/>
  <c r="BQ302" i="4"/>
  <c r="BP89" i="11"/>
  <c r="BP39" i="66"/>
  <c r="BP35" i="66" s="1"/>
  <c r="BP1228" i="4"/>
  <c r="BP1205" i="4" s="1"/>
  <c r="BP1251" i="4"/>
  <c r="BP1178" i="4"/>
  <c r="BQ1113" i="4"/>
  <c r="BQ1144" i="4" s="1"/>
  <c r="BQ1120" i="4"/>
  <c r="BQ53" i="11"/>
  <c r="BQ52" i="11" s="1"/>
  <c r="BP1344" i="4"/>
  <c r="BP1308" i="4"/>
  <c r="BP1311" i="4" s="1"/>
  <c r="BP1313" i="4" l="1"/>
  <c r="BP1325" i="4"/>
  <c r="BP1207" i="4"/>
  <c r="BP1209" i="4" s="1"/>
  <c r="BP1348" i="4"/>
  <c r="BQ331" i="4"/>
  <c r="BQ307" i="4"/>
  <c r="BQ1044" i="4"/>
  <c r="BQ1067" i="4" s="1"/>
  <c r="BQ1248" i="4"/>
  <c r="BQ73" i="11"/>
  <c r="BQ1224" i="4"/>
  <c r="BQ1173" i="4"/>
  <c r="BP27" i="11"/>
  <c r="BP1429" i="4"/>
  <c r="BQ332" i="4" l="1"/>
  <c r="BQ14" i="11" s="1"/>
  <c r="BQ405" i="4"/>
  <c r="BQ406" i="4" s="1"/>
  <c r="BQ407" i="4" s="1"/>
  <c r="BQ408" i="4" s="1"/>
  <c r="BQ409" i="4" s="1"/>
  <c r="BR404" i="4" s="1"/>
  <c r="BQ395" i="4"/>
  <c r="BQ396" i="4" s="1"/>
  <c r="BQ397" i="4" s="1"/>
  <c r="BQ398" i="4" s="1"/>
  <c r="BQ399" i="4" s="1"/>
  <c r="BR394" i="4" s="1"/>
  <c r="BQ385" i="4"/>
  <c r="BP1363" i="4"/>
  <c r="BP1432" i="4"/>
  <c r="BP1430" i="4"/>
  <c r="BP1431" i="4" s="1"/>
  <c r="BP1208" i="4"/>
  <c r="BQ1068" i="4"/>
  <c r="BQ1158" i="4"/>
  <c r="BQ1174" i="4" s="1"/>
  <c r="BQ1157" i="4"/>
  <c r="BP48" i="62"/>
  <c r="BP24" i="62" s="1"/>
  <c r="BP1229" i="4"/>
  <c r="BP1230" i="4" s="1"/>
  <c r="BP1234" i="4" s="1"/>
  <c r="BQ1213" i="4" s="1"/>
  <c r="BP90" i="11"/>
  <c r="BP91" i="11" s="1"/>
  <c r="BP93" i="11" s="1"/>
  <c r="BP96" i="11" s="1"/>
  <c r="BP97" i="11" s="1"/>
  <c r="BP1252" i="4"/>
  <c r="BP58" i="11"/>
  <c r="BP59" i="11" s="1"/>
  <c r="BP28" i="11" s="1"/>
  <c r="BP22" i="66"/>
  <c r="BP1326" i="4"/>
  <c r="BP1327" i="4" s="1"/>
  <c r="BQ1159" i="4" l="1"/>
  <c r="BQ1164" i="4"/>
  <c r="BQ95" i="11"/>
  <c r="BP1263" i="4"/>
  <c r="BP1264" i="4" s="1"/>
  <c r="BP1385" i="4"/>
  <c r="BP1384" i="4" s="1"/>
  <c r="BP21" i="11"/>
  <c r="BP17" i="11" s="1"/>
  <c r="BP46" i="62"/>
  <c r="BP1253" i="4"/>
  <c r="BP1254" i="4" s="1"/>
  <c r="BP100" i="67"/>
  <c r="BP101" i="67"/>
  <c r="BP101" i="11"/>
  <c r="BP44" i="66"/>
  <c r="BP40" i="66" s="1"/>
  <c r="BP46" i="66" s="1"/>
  <c r="BP24" i="66"/>
  <c r="BP20" i="66" s="1"/>
  <c r="BP26" i="66" s="1"/>
  <c r="BP100" i="11"/>
  <c r="BQ489" i="4"/>
  <c r="BQ386" i="4"/>
  <c r="BQ387" i="4" s="1"/>
  <c r="BQ500" i="4"/>
  <c r="BQ1051" i="4"/>
  <c r="BP1364" i="4"/>
  <c r="BP1365" i="4" s="1"/>
  <c r="BP25" i="11"/>
  <c r="BP26" i="62"/>
  <c r="BP99" i="11" l="1"/>
  <c r="BP48" i="66"/>
  <c r="BP1266" i="4"/>
  <c r="BQ490" i="4"/>
  <c r="BQ501" i="4"/>
  <c r="BQ502" i="4" s="1"/>
  <c r="BQ388" i="4"/>
  <c r="BQ389" i="4" s="1"/>
  <c r="BR384" i="4" s="1"/>
  <c r="BP1398" i="4"/>
  <c r="BP1393" i="4" s="1"/>
  <c r="BP1397" i="4"/>
  <c r="BP1392" i="4" s="1"/>
  <c r="BP37" i="11"/>
  <c r="BP1386" i="4"/>
  <c r="BP1383" i="4" s="1"/>
  <c r="BP23" i="11"/>
  <c r="BQ42" i="62"/>
  <c r="BQ1167" i="4"/>
  <c r="BQ1168" i="4" s="1"/>
  <c r="BQ85" i="11"/>
  <c r="BQ1260" i="4"/>
  <c r="BQ1231" i="4"/>
  <c r="BP39" i="11" l="1"/>
  <c r="BP40" i="11" s="1"/>
  <c r="BR499" i="4"/>
  <c r="BR1023" i="4" s="1"/>
  <c r="BQ1024" i="4"/>
  <c r="BQ1026" i="4" s="1"/>
  <c r="BQ1027" i="4" s="1"/>
  <c r="BQ1028" i="4" s="1"/>
  <c r="BQ52" i="62"/>
  <c r="BQ43" i="62"/>
  <c r="BQ23" i="62" s="1"/>
  <c r="BQ491" i="4"/>
  <c r="BQ64" i="62"/>
  <c r="BQ51" i="11"/>
  <c r="BR1163" i="4"/>
  <c r="BQ26" i="11"/>
  <c r="BP1439" i="4"/>
  <c r="BP1440" i="4" s="1"/>
  <c r="BP1396" i="4"/>
  <c r="BP1391" i="4" s="1"/>
  <c r="BQ15" i="11" l="1"/>
  <c r="BQ13" i="11" s="1"/>
  <c r="BR488" i="4"/>
  <c r="BQ16" i="66"/>
  <c r="BQ14" i="66" s="1"/>
  <c r="BQ13" i="66" s="1"/>
  <c r="BQ907" i="4"/>
  <c r="BQ911" i="4" s="1"/>
  <c r="BQ62" i="64"/>
  <c r="BQ78" i="64" l="1"/>
  <c r="BQ70" i="64"/>
  <c r="BQ915" i="4"/>
  <c r="BQ1043" i="4"/>
  <c r="BQ1217" i="4"/>
  <c r="BQ1221" i="4" s="1"/>
  <c r="BQ71" i="11"/>
  <c r="BQ1243" i="4"/>
  <c r="BQ47" i="11" l="1"/>
  <c r="BQ996" i="4"/>
  <c r="BQ1000" i="4" s="1"/>
  <c r="BQ1004" i="4" s="1"/>
  <c r="BQ61" i="11" l="1"/>
  <c r="BQ62" i="11"/>
  <c r="BQ48" i="11"/>
  <c r="BQ55" i="11" s="1"/>
  <c r="BQ1005" i="4"/>
  <c r="BQ1012" i="4"/>
  <c r="BQ1395" i="4" l="1"/>
  <c r="BQ62" i="62"/>
  <c r="BQ64" i="11"/>
  <c r="BQ1016" i="4"/>
  <c r="BQ1013" i="4" s="1"/>
  <c r="BQ1014" i="4" s="1"/>
  <c r="BR1011" i="4" s="1"/>
  <c r="BQ63" i="11"/>
  <c r="BQ1006" i="4" l="1"/>
  <c r="BQ1007" i="4" s="1"/>
  <c r="BQ63" i="62" s="1"/>
  <c r="BQ67" i="62" s="1"/>
  <c r="BQ68" i="62" l="1"/>
  <c r="BQ1246" i="4"/>
  <c r="BQ1222" i="4"/>
  <c r="BQ1223" i="4" s="1"/>
  <c r="BQ56" i="11"/>
  <c r="BQ57" i="11" s="1"/>
  <c r="BQ61" i="64"/>
  <c r="BQ75" i="11"/>
  <c r="BQ1046" i="4"/>
  <c r="BQ1053" i="4" s="1"/>
  <c r="BQ1055" i="4" s="1"/>
  <c r="BQ1058" i="4" s="1"/>
  <c r="BQ69" i="64" l="1"/>
  <c r="BQ74" i="64" s="1"/>
  <c r="BQ66" i="64"/>
  <c r="BQ40" i="64" s="1"/>
  <c r="BQ42" i="64" s="1"/>
  <c r="BQ77" i="64"/>
  <c r="BQ82" i="64" s="1"/>
  <c r="BQ1394" i="4"/>
  <c r="BQ1206" i="4"/>
  <c r="BQ1236" i="4"/>
  <c r="BQ1116" i="4" l="1"/>
  <c r="BQ1117" i="4" s="1"/>
  <c r="BQ1119" i="4" s="1"/>
  <c r="BQ1121" i="4" s="1"/>
  <c r="BQ1087" i="4" s="1"/>
  <c r="BQ52" i="64"/>
  <c r="BQ49" i="64"/>
  <c r="BQ1137" i="4" l="1"/>
  <c r="BQ1088" i="4"/>
  <c r="BR1085" i="4" l="1"/>
  <c r="BR1130" i="4"/>
  <c r="BR1148" i="4" s="1"/>
  <c r="BQ88" i="11"/>
  <c r="BQ1404" i="4"/>
  <c r="BQ1247" i="4"/>
  <c r="BQ1225" i="4"/>
  <c r="BQ1226" i="4" s="1"/>
  <c r="BQ38" i="66"/>
  <c r="BQ1347" i="4"/>
  <c r="BQ1138" i="4"/>
  <c r="BQ1204" i="4" l="1"/>
  <c r="BQ1194" i="4"/>
  <c r="BQ1412" i="4"/>
  <c r="BR1135" i="4"/>
  <c r="BQ1428" i="4"/>
  <c r="BQ31" i="11"/>
  <c r="BQ1438" i="4"/>
  <c r="BR1086" i="4"/>
  <c r="BQ30" i="11" l="1"/>
  <c r="BQ45" i="62"/>
  <c r="BQ1413" i="4"/>
  <c r="BQ1422" i="4" s="1"/>
  <c r="BR1415" i="4"/>
  <c r="BR1136" i="4"/>
  <c r="BR1129" i="4"/>
  <c r="BR1147" i="4" s="1"/>
  <c r="BR1149" i="4" s="1"/>
  <c r="BR1125" i="4"/>
  <c r="BR1101" i="4"/>
  <c r="BQ1175" i="4"/>
  <c r="BQ1197" i="4"/>
  <c r="BQ1198" i="4" s="1"/>
  <c r="BQ1188" i="4" s="1"/>
  <c r="BQ1187" i="4" l="1"/>
  <c r="BQ1176" i="4" s="1"/>
  <c r="BQ1189" i="4"/>
  <c r="BR1112" i="4"/>
  <c r="BR1141" i="4" s="1"/>
  <c r="BR1102" i="4"/>
  <c r="BR1103" i="4"/>
  <c r="BR1092" i="4" s="1"/>
  <c r="BR1093" i="4" s="1"/>
  <c r="BR1111" i="4" s="1"/>
  <c r="BQ1418" i="4"/>
  <c r="BQ1416" i="4"/>
  <c r="BQ1180" i="4"/>
  <c r="BQ1184" i="4"/>
  <c r="BQ1191" i="4" s="1"/>
  <c r="BR1218" i="4"/>
  <c r="BR37" i="66"/>
  <c r="BR1249" i="4"/>
  <c r="BR297" i="4"/>
  <c r="BR305" i="4" s="1"/>
  <c r="BR330" i="4" s="1"/>
  <c r="BR999" i="4"/>
  <c r="BR1045" i="4"/>
  <c r="BR50" i="11"/>
  <c r="BR72" i="11"/>
  <c r="BR1346" i="4"/>
  <c r="BR1233" i="4"/>
  <c r="BR18" i="66"/>
  <c r="BR87" i="11"/>
  <c r="BR1259" i="4"/>
  <c r="BQ1419" i="4" l="1"/>
  <c r="BR1104" i="4"/>
  <c r="BR1120" i="4" s="1"/>
  <c r="BS468" i="4"/>
  <c r="BR478" i="4"/>
  <c r="BR480" i="4" s="1"/>
  <c r="BR481" i="4" s="1"/>
  <c r="BR482" i="4" s="1"/>
  <c r="BR483" i="4" s="1"/>
  <c r="BS477" i="4" s="1"/>
  <c r="BR456" i="4"/>
  <c r="BR458" i="4" s="1"/>
  <c r="BR459" i="4" s="1"/>
  <c r="BR467" i="4"/>
  <c r="BR469" i="4" s="1"/>
  <c r="BR470" i="4" s="1"/>
  <c r="BR471" i="4" s="1"/>
  <c r="BR472" i="4" s="1"/>
  <c r="BS466" i="4" s="1"/>
  <c r="BS457" i="4"/>
  <c r="BS479" i="4"/>
  <c r="BR1143" i="4"/>
  <c r="BR1142" i="4"/>
  <c r="BR294" i="4" s="1"/>
  <c r="BR997" i="4"/>
  <c r="BR49" i="11"/>
  <c r="BQ1227" i="4"/>
  <c r="BQ1250" i="4"/>
  <c r="BQ1195" i="4"/>
  <c r="BQ1199" i="4" s="1"/>
  <c r="BQ1177" i="4" s="1"/>
  <c r="BQ74" i="11"/>
  <c r="BQ78" i="11" s="1"/>
  <c r="BQ36" i="66"/>
  <c r="BQ1309" i="4"/>
  <c r="BQ19" i="66"/>
  <c r="BQ17" i="66" s="1"/>
  <c r="BQ1261" i="4"/>
  <c r="BQ86" i="11"/>
  <c r="BQ1232" i="4"/>
  <c r="BQ1403" i="4"/>
  <c r="BQ1406" i="4" s="1"/>
  <c r="BR1113" i="4" l="1"/>
  <c r="BR1144" i="4" s="1"/>
  <c r="BR1044" i="4" s="1"/>
  <c r="BR1067" i="4" s="1"/>
  <c r="BR299" i="4"/>
  <c r="BR302" i="4"/>
  <c r="BQ1344" i="4"/>
  <c r="BQ1308" i="4"/>
  <c r="BQ1311" i="4" s="1"/>
  <c r="BR53" i="11"/>
  <c r="BR52" i="11" s="1"/>
  <c r="BS495" i="4"/>
  <c r="BS995" i="4" s="1"/>
  <c r="BQ89" i="11"/>
  <c r="BQ1228" i="4"/>
  <c r="BQ1205" i="4" s="1"/>
  <c r="BQ39" i="66"/>
  <c r="BQ35" i="66" s="1"/>
  <c r="BQ1251" i="4"/>
  <c r="BQ1178" i="4"/>
  <c r="BR494" i="4"/>
  <c r="BR994" i="4" s="1"/>
  <c r="BR460" i="4"/>
  <c r="BR461" i="4" s="1"/>
  <c r="BS455" i="4" s="1"/>
  <c r="BR1224" i="4" l="1"/>
  <c r="BR1248" i="4"/>
  <c r="BR73" i="11"/>
  <c r="BQ1313" i="4"/>
  <c r="BQ1325" i="4"/>
  <c r="BQ1348" i="4"/>
  <c r="BR307" i="4"/>
  <c r="BR331" i="4"/>
  <c r="BQ27" i="11"/>
  <c r="BR1173" i="4"/>
  <c r="BQ1429" i="4"/>
  <c r="BQ1207" i="4"/>
  <c r="BQ1209" i="4" s="1"/>
  <c r="BR1158" i="4"/>
  <c r="BR1174" i="4" s="1"/>
  <c r="BR1068" i="4"/>
  <c r="BR1157" i="4"/>
  <c r="BR332" i="4" l="1"/>
  <c r="BR14" i="11" s="1"/>
  <c r="BQ1208" i="4"/>
  <c r="BR1159" i="4"/>
  <c r="BR1164" i="4"/>
  <c r="BR395" i="4"/>
  <c r="BR396" i="4" s="1"/>
  <c r="BR397" i="4" s="1"/>
  <c r="BR398" i="4" s="1"/>
  <c r="BR399" i="4" s="1"/>
  <c r="BS394" i="4" s="1"/>
  <c r="BR405" i="4"/>
  <c r="BR406" i="4" s="1"/>
  <c r="BR407" i="4" s="1"/>
  <c r="BR408" i="4" s="1"/>
  <c r="BR409" i="4" s="1"/>
  <c r="BS404" i="4" s="1"/>
  <c r="BR385" i="4"/>
  <c r="BQ1363" i="4"/>
  <c r="BQ90" i="11"/>
  <c r="BQ91" i="11" s="1"/>
  <c r="BQ93" i="11" s="1"/>
  <c r="BQ96" i="11" s="1"/>
  <c r="BQ97" i="11" s="1"/>
  <c r="BQ58" i="11"/>
  <c r="BQ59" i="11" s="1"/>
  <c r="BQ28" i="11" s="1"/>
  <c r="BQ48" i="62"/>
  <c r="BQ24" i="62" s="1"/>
  <c r="BQ1252" i="4"/>
  <c r="BQ1229" i="4"/>
  <c r="BQ1230" i="4" s="1"/>
  <c r="BQ1234" i="4" s="1"/>
  <c r="BR1213" i="4" s="1"/>
  <c r="BQ22" i="66"/>
  <c r="BQ1430" i="4"/>
  <c r="BQ1431" i="4" s="1"/>
  <c r="BQ1432" i="4"/>
  <c r="BQ1326" i="4"/>
  <c r="BQ1327" i="4" s="1"/>
  <c r="BQ26" i="62" l="1"/>
  <c r="BQ25" i="11"/>
  <c r="BR95" i="11"/>
  <c r="BQ46" i="62"/>
  <c r="BQ24" i="66"/>
  <c r="BQ20" i="66" s="1"/>
  <c r="BQ26" i="66" s="1"/>
  <c r="BQ1263" i="4"/>
  <c r="BQ1264" i="4" s="1"/>
  <c r="BQ21" i="11"/>
  <c r="BQ17" i="11" s="1"/>
  <c r="BQ100" i="67"/>
  <c r="BQ44" i="66"/>
  <c r="BQ40" i="66" s="1"/>
  <c r="BQ46" i="66" s="1"/>
  <c r="BQ101" i="67"/>
  <c r="BQ1253" i="4"/>
  <c r="BQ1254" i="4" s="1"/>
  <c r="BQ1385" i="4"/>
  <c r="BQ1384" i="4" s="1"/>
  <c r="BQ101" i="11"/>
  <c r="BQ100" i="11"/>
  <c r="BR489" i="4"/>
  <c r="BR386" i="4"/>
  <c r="BR387" i="4" s="1"/>
  <c r="BR500" i="4"/>
  <c r="BQ1364" i="4"/>
  <c r="BQ1365" i="4" s="1"/>
  <c r="BR1051" i="4"/>
  <c r="BR1231" i="4"/>
  <c r="BR85" i="11"/>
  <c r="BR1167" i="4"/>
  <c r="BR1168" i="4" s="1"/>
  <c r="BR1260" i="4"/>
  <c r="BR42" i="62"/>
  <c r="BQ99" i="11" l="1"/>
  <c r="BQ1266" i="4"/>
  <c r="BQ48" i="66"/>
  <c r="BR26" i="11"/>
  <c r="BS1163" i="4"/>
  <c r="BR501" i="4"/>
  <c r="BR502" i="4" s="1"/>
  <c r="BR388" i="4"/>
  <c r="BR389" i="4" s="1"/>
  <c r="BS384" i="4" s="1"/>
  <c r="BR490" i="4"/>
  <c r="BQ1386" i="4"/>
  <c r="BQ1383" i="4" s="1"/>
  <c r="BQ23" i="11"/>
  <c r="BQ37" i="11"/>
  <c r="BQ1397" i="4"/>
  <c r="BQ1392" i="4" s="1"/>
  <c r="BQ1398" i="4"/>
  <c r="BQ1393" i="4" s="1"/>
  <c r="BR52" i="62"/>
  <c r="BR43" i="62"/>
  <c r="BR23" i="62" s="1"/>
  <c r="BQ39" i="11" l="1"/>
  <c r="BQ40" i="11" s="1"/>
  <c r="BQ1439" i="4"/>
  <c r="BQ1440" i="4" s="1"/>
  <c r="BQ1396" i="4"/>
  <c r="BQ1391" i="4" s="1"/>
  <c r="BR491" i="4"/>
  <c r="BR64" i="62"/>
  <c r="BR51" i="11"/>
  <c r="BS499" i="4"/>
  <c r="BS1023" i="4" s="1"/>
  <c r="BR1024" i="4"/>
  <c r="BR1026" i="4" s="1"/>
  <c r="BR1027" i="4" s="1"/>
  <c r="BR1028" i="4" s="1"/>
  <c r="BR16" i="66"/>
  <c r="BR14" i="66" s="1"/>
  <c r="BR13" i="66" s="1"/>
  <c r="BS488" i="4" l="1"/>
  <c r="BR15" i="11"/>
  <c r="BR13" i="11" s="1"/>
  <c r="BR907" i="4"/>
  <c r="BR911" i="4" s="1"/>
  <c r="BR62" i="64"/>
  <c r="BR70" i="64" l="1"/>
  <c r="BR78" i="64"/>
  <c r="BR1243" i="4"/>
  <c r="BR1043" i="4"/>
  <c r="BR1217" i="4"/>
  <c r="BR1221" i="4" s="1"/>
  <c r="BR71" i="11"/>
  <c r="BR915" i="4"/>
  <c r="BR47" i="11" l="1"/>
  <c r="BR996" i="4"/>
  <c r="BR1000" i="4" s="1"/>
  <c r="BR1004" i="4" s="1"/>
  <c r="BR61" i="11" l="1"/>
  <c r="BR48" i="11"/>
  <c r="BR55" i="11" s="1"/>
  <c r="BR62" i="11"/>
  <c r="BR1012" i="4"/>
  <c r="BR1005" i="4"/>
  <c r="BR1016" i="4" s="1"/>
  <c r="BR1013" i="4" s="1"/>
  <c r="BR1006" i="4" s="1"/>
  <c r="BR1007" i="4" s="1"/>
  <c r="BR62" i="62" l="1"/>
  <c r="BR63" i="62" s="1"/>
  <c r="BR67" i="62" s="1"/>
  <c r="BR1395" i="4"/>
  <c r="BR64" i="11"/>
  <c r="BR56" i="11"/>
  <c r="BR57" i="11" s="1"/>
  <c r="BR1046" i="4"/>
  <c r="BR1053" i="4" s="1"/>
  <c r="BR1055" i="4" s="1"/>
  <c r="BR1058" i="4" s="1"/>
  <c r="BR1222" i="4"/>
  <c r="BR1223" i="4" s="1"/>
  <c r="BR61" i="64"/>
  <c r="BR75" i="11"/>
  <c r="BR1246" i="4"/>
  <c r="BR1014" i="4"/>
  <c r="BS1011" i="4" s="1"/>
  <c r="BR63" i="11"/>
  <c r="BR69" i="64" l="1"/>
  <c r="BR74" i="64" s="1"/>
  <c r="BR77" i="64"/>
  <c r="BR82" i="64" s="1"/>
  <c r="BR66" i="64"/>
  <c r="BR40" i="64" s="1"/>
  <c r="BR42" i="64" s="1"/>
  <c r="BR1236" i="4"/>
  <c r="BR1394" i="4"/>
  <c r="BR1206" i="4"/>
  <c r="BR68" i="62"/>
  <c r="BR1116" i="4" l="1"/>
  <c r="BR1117" i="4" s="1"/>
  <c r="BR1119" i="4" s="1"/>
  <c r="BR1121" i="4" s="1"/>
  <c r="BR1087" i="4" s="1"/>
  <c r="BR49" i="64"/>
  <c r="BR52" i="64"/>
  <c r="BR1137" i="4" l="1"/>
  <c r="BR1088" i="4"/>
  <c r="BS1085" i="4" l="1"/>
  <c r="BS1130" i="4"/>
  <c r="BS1148" i="4" s="1"/>
  <c r="BR1225" i="4"/>
  <c r="BR1226" i="4" s="1"/>
  <c r="BR38" i="66"/>
  <c r="BR1247" i="4"/>
  <c r="BR1347" i="4"/>
  <c r="BR88" i="11"/>
  <c r="BR1138" i="4"/>
  <c r="BR1404" i="4"/>
  <c r="BR1204" i="4" l="1"/>
  <c r="BR1194" i="4"/>
  <c r="BR31" i="11"/>
  <c r="BR1438" i="4"/>
  <c r="BR1428" i="4"/>
  <c r="BR1412" i="4"/>
  <c r="BS1135" i="4"/>
  <c r="BS1086" i="4"/>
  <c r="BR30" i="11" l="1"/>
  <c r="BR45" i="62"/>
  <c r="BR1413" i="4"/>
  <c r="BS1136" i="4"/>
  <c r="BS1129" i="4"/>
  <c r="BS1147" i="4" s="1"/>
  <c r="BS1149" i="4" s="1"/>
  <c r="BS1125" i="4"/>
  <c r="BS1101" i="4"/>
  <c r="BR1175" i="4"/>
  <c r="BR1197" i="4"/>
  <c r="BR1198" i="4" s="1"/>
  <c r="BR1188" i="4" s="1"/>
  <c r="BS1415" i="4"/>
  <c r="BS1346" i="4" l="1"/>
  <c r="BS1233" i="4"/>
  <c r="BS87" i="11"/>
  <c r="BS1259" i="4"/>
  <c r="BS18" i="66"/>
  <c r="Z87" i="67"/>
  <c r="BR1418" i="4"/>
  <c r="BR1416" i="4"/>
  <c r="BS1249" i="4"/>
  <c r="BS297" i="4"/>
  <c r="BS305" i="4" s="1"/>
  <c r="BS330" i="4" s="1"/>
  <c r="BS50" i="11"/>
  <c r="BS1045" i="4"/>
  <c r="BS1218" i="4"/>
  <c r="BS37" i="66"/>
  <c r="BS72" i="11"/>
  <c r="BS999" i="4"/>
  <c r="Z72" i="67"/>
  <c r="BR1422" i="4"/>
  <c r="BR1184" i="4"/>
  <c r="BR1191" i="4" s="1"/>
  <c r="BR1180" i="4"/>
  <c r="BR1187" i="4"/>
  <c r="BR1176" i="4" s="1"/>
  <c r="BR1189" i="4"/>
  <c r="BS1112" i="4"/>
  <c r="BS1141" i="4" s="1"/>
  <c r="BS1103" i="4"/>
  <c r="BS1092" i="4" s="1"/>
  <c r="BS1093" i="4" s="1"/>
  <c r="BS1111" i="4" s="1"/>
  <c r="BS1102" i="4"/>
  <c r="BR1419" i="4" l="1"/>
  <c r="BS1143" i="4"/>
  <c r="BS997" i="4"/>
  <c r="BS1142" i="4"/>
  <c r="BS294" i="4" s="1"/>
  <c r="BR1250" i="4"/>
  <c r="BR74" i="11"/>
  <c r="BR78" i="11" s="1"/>
  <c r="BR1227" i="4"/>
  <c r="BR1195" i="4"/>
  <c r="BR1199" i="4" s="1"/>
  <c r="BR1177" i="4" s="1"/>
  <c r="BR36" i="66"/>
  <c r="BR1309" i="4"/>
  <c r="BR1261" i="4"/>
  <c r="BR19" i="66"/>
  <c r="BR17" i="66" s="1"/>
  <c r="BR86" i="11"/>
  <c r="BR1232" i="4"/>
  <c r="BR1403" i="4"/>
  <c r="BR1406" i="4" s="1"/>
  <c r="BS1104" i="4"/>
  <c r="BS49" i="11"/>
  <c r="Z50" i="67"/>
  <c r="Z49" i="67" s="1"/>
  <c r="BT479" i="4"/>
  <c r="BS467" i="4"/>
  <c r="BS469" i="4" s="1"/>
  <c r="BS470" i="4" s="1"/>
  <c r="BS471" i="4" s="1"/>
  <c r="BS472" i="4" s="1"/>
  <c r="BT466" i="4" s="1"/>
  <c r="BT457" i="4"/>
  <c r="BS456" i="4"/>
  <c r="BS458" i="4" s="1"/>
  <c r="BS459" i="4" s="1"/>
  <c r="BS478" i="4"/>
  <c r="BS480" i="4" s="1"/>
  <c r="BS481" i="4" s="1"/>
  <c r="BS482" i="4" s="1"/>
  <c r="BS483" i="4" s="1"/>
  <c r="BT477" i="4" s="1"/>
  <c r="BT468" i="4"/>
  <c r="BS1113" i="4" l="1"/>
  <c r="BS1144" i="4" s="1"/>
  <c r="BS1120" i="4"/>
  <c r="BR1344" i="4"/>
  <c r="BR1308" i="4"/>
  <c r="BR1311" i="4" s="1"/>
  <c r="BS494" i="4"/>
  <c r="BS994" i="4" s="1"/>
  <c r="BS460" i="4"/>
  <c r="BS461" i="4" s="1"/>
  <c r="BT455" i="4" s="1"/>
  <c r="BT495" i="4"/>
  <c r="BT995" i="4" s="1"/>
  <c r="BS299" i="4"/>
  <c r="BS302" i="4"/>
  <c r="BS53" i="11"/>
  <c r="BS52" i="11" s="1"/>
  <c r="Z53" i="67"/>
  <c r="Z52" i="67" s="1"/>
  <c r="BR1251" i="4"/>
  <c r="BR89" i="11"/>
  <c r="BR1228" i="4"/>
  <c r="BR1205" i="4" s="1"/>
  <c r="BR39" i="66"/>
  <c r="BR35" i="66" s="1"/>
  <c r="BR1178" i="4"/>
  <c r="BR1207" i="4" l="1"/>
  <c r="BR1209" i="4" s="1"/>
  <c r="BR1313" i="4"/>
  <c r="BR1325" i="4"/>
  <c r="BR1348" i="4"/>
  <c r="BS331" i="4"/>
  <c r="BS307" i="4"/>
  <c r="BS1173" i="4"/>
  <c r="BR27" i="11"/>
  <c r="BR1429" i="4"/>
  <c r="BS1044" i="4"/>
  <c r="BS1067" i="4" s="1"/>
  <c r="BS73" i="11"/>
  <c r="BS1224" i="4"/>
  <c r="BS1248" i="4"/>
  <c r="Z73" i="67"/>
  <c r="Z23" i="13"/>
  <c r="BS332" i="4" l="1"/>
  <c r="BS14" i="11" s="1"/>
  <c r="BS385" i="4"/>
  <c r="BS395" i="4"/>
  <c r="BS396" i="4" s="1"/>
  <c r="BS397" i="4" s="1"/>
  <c r="BS398" i="4" s="1"/>
  <c r="BS399" i="4" s="1"/>
  <c r="BT394" i="4" s="1"/>
  <c r="BS405" i="4"/>
  <c r="BS406" i="4" s="1"/>
  <c r="BS407" i="4" s="1"/>
  <c r="BS408" i="4" s="1"/>
  <c r="BS409" i="4" s="1"/>
  <c r="BT404" i="4" s="1"/>
  <c r="BS1158" i="4"/>
  <c r="BS1174" i="4" s="1"/>
  <c r="BS1157" i="4"/>
  <c r="BS1068" i="4"/>
  <c r="BR1363" i="4"/>
  <c r="BR1430" i="4"/>
  <c r="BR1431" i="4" s="1"/>
  <c r="BR1432" i="4"/>
  <c r="BR1326" i="4"/>
  <c r="BR1327" i="4" s="1"/>
  <c r="BR1208" i="4"/>
  <c r="BR1229" i="4"/>
  <c r="BR1230" i="4" s="1"/>
  <c r="BR1234" i="4" s="1"/>
  <c r="BS1213" i="4" s="1"/>
  <c r="BR90" i="11"/>
  <c r="BR91" i="11" s="1"/>
  <c r="BR93" i="11" s="1"/>
  <c r="BR96" i="11" s="1"/>
  <c r="BR97" i="11" s="1"/>
  <c r="BR1252" i="4"/>
  <c r="BR58" i="11"/>
  <c r="BR59" i="11" s="1"/>
  <c r="BR28" i="11" s="1"/>
  <c r="BR48" i="62"/>
  <c r="BR24" i="62" s="1"/>
  <c r="BR22" i="66"/>
  <c r="Z14" i="67" l="1"/>
  <c r="BR1253" i="4"/>
  <c r="BR1254" i="4" s="1"/>
  <c r="BR100" i="11"/>
  <c r="BR1263" i="4"/>
  <c r="BR1264" i="4" s="1"/>
  <c r="BS95" i="11"/>
  <c r="BR46" i="62"/>
  <c r="BR101" i="11"/>
  <c r="BR24" i="66"/>
  <c r="BR20" i="66" s="1"/>
  <c r="BR26" i="66" s="1"/>
  <c r="BR21" i="11"/>
  <c r="BR17" i="11" s="1"/>
  <c r="BR101" i="67"/>
  <c r="BR44" i="66"/>
  <c r="BR40" i="66" s="1"/>
  <c r="BR46" i="66" s="1"/>
  <c r="BR1385" i="4"/>
  <c r="BR1384" i="4" s="1"/>
  <c r="BR100" i="67"/>
  <c r="BS1159" i="4"/>
  <c r="BS1164" i="4"/>
  <c r="BR1364" i="4"/>
  <c r="BR1365" i="4" s="1"/>
  <c r="BS1051" i="4"/>
  <c r="BR26" i="62"/>
  <c r="BR25" i="11"/>
  <c r="BS500" i="4"/>
  <c r="BS489" i="4"/>
  <c r="BS386" i="4"/>
  <c r="BS387" i="4" s="1"/>
  <c r="BR1386" i="4" l="1"/>
  <c r="BR1383" i="4" s="1"/>
  <c r="BR23" i="11"/>
  <c r="BS490" i="4"/>
  <c r="BS501" i="4"/>
  <c r="BS502" i="4" s="1"/>
  <c r="BS388" i="4"/>
  <c r="BS389" i="4" s="1"/>
  <c r="BT384" i="4" s="1"/>
  <c r="BR99" i="11"/>
  <c r="BR48" i="66"/>
  <c r="BR37" i="11"/>
  <c r="BR1398" i="4"/>
  <c r="BR1393" i="4" s="1"/>
  <c r="BR1397" i="4"/>
  <c r="BR1392" i="4" s="1"/>
  <c r="BS42" i="62"/>
  <c r="BS1260" i="4"/>
  <c r="BS85" i="11"/>
  <c r="BS1167" i="4"/>
  <c r="BS1168" i="4" s="1"/>
  <c r="BS1231" i="4"/>
  <c r="Z85" i="67"/>
  <c r="BR1266" i="4"/>
  <c r="BR39" i="11" l="1"/>
  <c r="BR40" i="11" s="1"/>
  <c r="BS1024" i="4"/>
  <c r="BS1026" i="4" s="1"/>
  <c r="BS1027" i="4" s="1"/>
  <c r="BS1028" i="4" s="1"/>
  <c r="BT499" i="4"/>
  <c r="BT1023" i="4" s="1"/>
  <c r="Z26" i="67"/>
  <c r="BS26" i="11"/>
  <c r="BT1163" i="4"/>
  <c r="BS491" i="4"/>
  <c r="BS51" i="11"/>
  <c r="BS64" i="62"/>
  <c r="Z51" i="67"/>
  <c r="BS52" i="62"/>
  <c r="BS43" i="62"/>
  <c r="BS23" i="62" s="1"/>
  <c r="BR1439" i="4"/>
  <c r="BR1440" i="4" s="1"/>
  <c r="BR1396" i="4"/>
  <c r="BR1391" i="4" s="1"/>
  <c r="BS16" i="66" l="1"/>
  <c r="BS14" i="66" s="1"/>
  <c r="BS13" i="66" s="1"/>
  <c r="Z15" i="67"/>
  <c r="Z13" i="67" s="1"/>
  <c r="BT488" i="4"/>
  <c r="BS15" i="11"/>
  <c r="BS13" i="11" s="1"/>
  <c r="BS62" i="64"/>
  <c r="BS907" i="4"/>
  <c r="BS911" i="4" s="1"/>
  <c r="BS1217" i="4" l="1"/>
  <c r="BS1221" i="4" s="1"/>
  <c r="BS71" i="11"/>
  <c r="BS915" i="4"/>
  <c r="BS1243" i="4"/>
  <c r="BS1043" i="4"/>
  <c r="Z71" i="67"/>
  <c r="Z40" i="13"/>
  <c r="BS70" i="64"/>
  <c r="BS78" i="64"/>
  <c r="BS47" i="11" l="1"/>
  <c r="BS996" i="4"/>
  <c r="BS1000" i="4" s="1"/>
  <c r="BS1004" i="4" s="1"/>
  <c r="Z47" i="67"/>
  <c r="Z20" i="72"/>
  <c r="Z62" i="67" l="1"/>
  <c r="Z64" i="67" s="1"/>
  <c r="Z61" i="67"/>
  <c r="Z63" i="67" s="1"/>
  <c r="Z48" i="67"/>
  <c r="Z55" i="67" s="1"/>
  <c r="BS1005" i="4"/>
  <c r="BS1016" i="4" s="1"/>
  <c r="BS1013" i="4" s="1"/>
  <c r="BS1006" i="4" s="1"/>
  <c r="BS1007" i="4" s="1"/>
  <c r="BS1012" i="4"/>
  <c r="BS61" i="11"/>
  <c r="BS48" i="11"/>
  <c r="BS55" i="11" s="1"/>
  <c r="BS62" i="11"/>
  <c r="BS64" i="11" l="1"/>
  <c r="BS62" i="62"/>
  <c r="BS63" i="62" s="1"/>
  <c r="BS67" i="62" s="1"/>
  <c r="BS1395" i="4"/>
  <c r="BS63" i="11"/>
  <c r="Z1449" i="4"/>
  <c r="BS1014" i="4"/>
  <c r="BT1011" i="4" s="1"/>
  <c r="BS56" i="11"/>
  <c r="BS57" i="11" s="1"/>
  <c r="BS1046" i="4"/>
  <c r="BS1053" i="4" s="1"/>
  <c r="BS1055" i="4" s="1"/>
  <c r="BS1058" i="4" s="1"/>
  <c r="BS1246" i="4"/>
  <c r="BS75" i="11"/>
  <c r="BS1222" i="4"/>
  <c r="BS1223" i="4" s="1"/>
  <c r="BS61" i="64"/>
  <c r="Z75" i="67"/>
  <c r="Z41" i="13"/>
  <c r="Z43" i="13" s="1"/>
  <c r="Z56" i="67"/>
  <c r="Z57" i="67" s="1"/>
  <c r="BS1394" i="4" l="1"/>
  <c r="BS1206" i="4"/>
  <c r="BS66" i="64"/>
  <c r="BS40" i="64" s="1"/>
  <c r="BS42" i="64" s="1"/>
  <c r="BS69" i="64"/>
  <c r="BS74" i="64" s="1"/>
  <c r="BS77" i="64"/>
  <c r="BS82" i="64" s="1"/>
  <c r="BS1236" i="4"/>
  <c r="BS68" i="62"/>
  <c r="BS52" i="64" l="1"/>
  <c r="BS49" i="64"/>
  <c r="BS1116" i="4"/>
  <c r="BS1117" i="4" s="1"/>
  <c r="BS1119" i="4" s="1"/>
  <c r="BS1121" i="4" s="1"/>
  <c r="BS1087" i="4" s="1"/>
  <c r="BS1137" i="4" l="1"/>
  <c r="BS1088" i="4"/>
  <c r="BT1085" i="4" l="1"/>
  <c r="BT1130" i="4"/>
  <c r="BT1148" i="4" s="1"/>
  <c r="BS1347" i="4"/>
  <c r="BS1225" i="4"/>
  <c r="BS1226" i="4" s="1"/>
  <c r="BS88" i="11"/>
  <c r="BS38" i="66"/>
  <c r="BS1247" i="4"/>
  <c r="BS1404" i="4"/>
  <c r="Z24" i="13"/>
  <c r="Z88" i="67"/>
  <c r="BS1138" i="4"/>
  <c r="BS1194" i="4" l="1"/>
  <c r="BS1204" i="4"/>
  <c r="Z31" i="67"/>
  <c r="Z30" i="67" s="1"/>
  <c r="BS1428" i="4"/>
  <c r="Z1448" i="4"/>
  <c r="Z1452" i="4" s="1"/>
  <c r="BS31" i="11"/>
  <c r="BS1438" i="4"/>
  <c r="BT1135" i="4"/>
  <c r="BS1412" i="4"/>
  <c r="BT1086" i="4"/>
  <c r="BT1415" i="4" l="1"/>
  <c r="BS45" i="62"/>
  <c r="BS30" i="11"/>
  <c r="BT1136" i="4"/>
  <c r="BT1129" i="4"/>
  <c r="BT1147" i="4" s="1"/>
  <c r="BT1149" i="4" s="1"/>
  <c r="BT1125" i="4"/>
  <c r="BT1101" i="4"/>
  <c r="BS1413" i="4"/>
  <c r="BS1422" i="4" s="1"/>
  <c r="BS1197" i="4"/>
  <c r="BS1198" i="4" s="1"/>
  <c r="BS1188" i="4" s="1"/>
  <c r="BS1175" i="4"/>
  <c r="BT72" i="11" l="1"/>
  <c r="BT1045" i="4"/>
  <c r="BT1249" i="4"/>
  <c r="BT297" i="4"/>
  <c r="BT305" i="4" s="1"/>
  <c r="BT330" i="4" s="1"/>
  <c r="BT1218" i="4"/>
  <c r="BT37" i="66"/>
  <c r="BT999" i="4"/>
  <c r="BT50" i="11"/>
  <c r="BS1189" i="4"/>
  <c r="BS1187" i="4"/>
  <c r="BS1176" i="4" s="1"/>
  <c r="BT1259" i="4"/>
  <c r="BT1233" i="4"/>
  <c r="BT87" i="11"/>
  <c r="BT18" i="66"/>
  <c r="BT1346" i="4"/>
  <c r="BS1418" i="4"/>
  <c r="BS1416" i="4"/>
  <c r="BT1102" i="4"/>
  <c r="BT1112" i="4"/>
  <c r="BT1141" i="4" s="1"/>
  <c r="BT1103" i="4"/>
  <c r="BT1092" i="4" s="1"/>
  <c r="BT1093" i="4" s="1"/>
  <c r="BT1111" i="4" s="1"/>
  <c r="BS1180" i="4"/>
  <c r="BS1184" i="4"/>
  <c r="BS1191" i="4" s="1"/>
  <c r="BS1419" i="4" l="1"/>
  <c r="BT49" i="11"/>
  <c r="BS1232" i="4"/>
  <c r="BS1261" i="4"/>
  <c r="BS86" i="11"/>
  <c r="BS19" i="66"/>
  <c r="BS17" i="66" s="1"/>
  <c r="Z86" i="67"/>
  <c r="BS1403" i="4"/>
  <c r="BS1406" i="4" s="1"/>
  <c r="BT1142" i="4"/>
  <c r="BT294" i="4" s="1"/>
  <c r="BT997" i="4"/>
  <c r="BT1143" i="4"/>
  <c r="BT1104" i="4"/>
  <c r="BU457" i="4"/>
  <c r="BT456" i="4"/>
  <c r="BT458" i="4" s="1"/>
  <c r="BT459" i="4" s="1"/>
  <c r="BU479" i="4"/>
  <c r="BT467" i="4"/>
  <c r="BT469" i="4" s="1"/>
  <c r="BT470" i="4" s="1"/>
  <c r="BT471" i="4" s="1"/>
  <c r="BT472" i="4" s="1"/>
  <c r="BU466" i="4" s="1"/>
  <c r="BU468" i="4"/>
  <c r="BT478" i="4"/>
  <c r="BT480" i="4" s="1"/>
  <c r="BT481" i="4" s="1"/>
  <c r="BT482" i="4" s="1"/>
  <c r="BT483" i="4" s="1"/>
  <c r="BU477" i="4" s="1"/>
  <c r="BS1227" i="4"/>
  <c r="BS1250" i="4"/>
  <c r="BS74" i="11"/>
  <c r="BS78" i="11" s="1"/>
  <c r="BS1195" i="4"/>
  <c r="BS1199" i="4" s="1"/>
  <c r="BS1177" i="4" s="1"/>
  <c r="Z74" i="67"/>
  <c r="Z78" i="67" s="1"/>
  <c r="BS1309" i="4"/>
  <c r="BS36" i="66"/>
  <c r="BU495" i="4" l="1"/>
  <c r="BU995" i="4" s="1"/>
  <c r="BT494" i="4"/>
  <c r="BT994" i="4" s="1"/>
  <c r="BT460" i="4"/>
  <c r="BT461" i="4" s="1"/>
  <c r="BU455" i="4" s="1"/>
  <c r="BT1120" i="4"/>
  <c r="BT1113" i="4"/>
  <c r="BT1144" i="4" s="1"/>
  <c r="BS1308" i="4"/>
  <c r="BS1311" i="4" s="1"/>
  <c r="BS1344" i="4"/>
  <c r="BT53" i="11"/>
  <c r="BT52" i="11" s="1"/>
  <c r="BS1228" i="4"/>
  <c r="BS1205" i="4" s="1"/>
  <c r="BS1251" i="4"/>
  <c r="BS39" i="66"/>
  <c r="BS35" i="66" s="1"/>
  <c r="BS89" i="11"/>
  <c r="Z89" i="67"/>
  <c r="BS1178" i="4"/>
  <c r="BT299" i="4"/>
  <c r="BT302" i="4"/>
  <c r="BS1207" i="4" l="1"/>
  <c r="BS1209" i="4" s="1"/>
  <c r="BT307" i="4"/>
  <c r="BT331" i="4"/>
  <c r="Z27" i="67"/>
  <c r="BS27" i="11"/>
  <c r="BT1173" i="4"/>
  <c r="BS1429" i="4"/>
  <c r="BT1044" i="4"/>
  <c r="BT1067" i="4" s="1"/>
  <c r="BT73" i="11"/>
  <c r="BT1224" i="4"/>
  <c r="BT1248" i="4"/>
  <c r="BS1313" i="4"/>
  <c r="Z14" i="72"/>
  <c r="BS1325" i="4"/>
  <c r="BS1348" i="4"/>
  <c r="Z13" i="13"/>
  <c r="BT332" i="4" l="1"/>
  <c r="BT14" i="11" s="1"/>
  <c r="Z15" i="72"/>
  <c r="BS1363" i="4"/>
  <c r="BS1326" i="4"/>
  <c r="BS1327" i="4" s="1"/>
  <c r="BT395" i="4"/>
  <c r="BT396" i="4" s="1"/>
  <c r="BT397" i="4" s="1"/>
  <c r="BT398" i="4" s="1"/>
  <c r="BT399" i="4" s="1"/>
  <c r="BU394" i="4" s="1"/>
  <c r="BT385" i="4"/>
  <c r="BT405" i="4"/>
  <c r="BT406" i="4" s="1"/>
  <c r="BT407" i="4" s="1"/>
  <c r="BT408" i="4" s="1"/>
  <c r="BT409" i="4" s="1"/>
  <c r="BU404" i="4" s="1"/>
  <c r="BT1157" i="4"/>
  <c r="BT1158" i="4"/>
  <c r="BT1174" i="4" s="1"/>
  <c r="BT1068" i="4"/>
  <c r="BS1208" i="4"/>
  <c r="BS1432" i="4"/>
  <c r="BS1430" i="4"/>
  <c r="BS1431" i="4" s="1"/>
  <c r="BS90" i="11"/>
  <c r="BS91" i="11" s="1"/>
  <c r="BS93" i="11" s="1"/>
  <c r="BS96" i="11" s="1"/>
  <c r="BS97" i="11" s="1"/>
  <c r="BS48" i="62"/>
  <c r="BS24" i="62" s="1"/>
  <c r="BS1229" i="4"/>
  <c r="BS1230" i="4" s="1"/>
  <c r="BS1234" i="4" s="1"/>
  <c r="BT1213" i="4" s="1"/>
  <c r="BS58" i="11"/>
  <c r="BS59" i="11" s="1"/>
  <c r="BS28" i="11" s="1"/>
  <c r="BS25" i="11" s="1"/>
  <c r="BS1252" i="4"/>
  <c r="Z90" i="67"/>
  <c r="Z91" i="67" s="1"/>
  <c r="Z93" i="67" s="1"/>
  <c r="Z96" i="67" s="1"/>
  <c r="Z97" i="67" s="1"/>
  <c r="Z58" i="67"/>
  <c r="Z59" i="67" s="1"/>
  <c r="BS22" i="66"/>
  <c r="BS37" i="11" l="1"/>
  <c r="BS1398" i="4"/>
  <c r="BS1393" i="4" s="1"/>
  <c r="BS1397" i="4"/>
  <c r="BS1392" i="4" s="1"/>
  <c r="BT1051" i="4"/>
  <c r="BS1364" i="4"/>
  <c r="BS1365" i="4" s="1"/>
  <c r="BS100" i="11"/>
  <c r="BS101" i="67"/>
  <c r="BS101" i="11"/>
  <c r="Z1450" i="4"/>
  <c r="Z1457" i="4" s="1"/>
  <c r="BS24" i="66"/>
  <c r="BS20" i="66" s="1"/>
  <c r="BS26" i="66" s="1"/>
  <c r="BS1263" i="4"/>
  <c r="BS1264" i="4" s="1"/>
  <c r="BS1385" i="4"/>
  <c r="BS1384" i="4" s="1"/>
  <c r="BS46" i="62"/>
  <c r="BT95" i="11"/>
  <c r="BS1253" i="4"/>
  <c r="BS1254" i="4" s="1"/>
  <c r="BS100" i="67"/>
  <c r="BS21" i="11"/>
  <c r="BS17" i="11" s="1"/>
  <c r="Z21" i="67"/>
  <c r="Z17" i="67" s="1"/>
  <c r="Z23" i="67" s="1"/>
  <c r="BS44" i="66"/>
  <c r="BS40" i="66" s="1"/>
  <c r="BS46" i="66" s="1"/>
  <c r="BT1164" i="4"/>
  <c r="BT1159" i="4"/>
  <c r="BT489" i="4"/>
  <c r="BT386" i="4"/>
  <c r="BT387" i="4" s="1"/>
  <c r="BT500" i="4"/>
  <c r="AA95" i="67"/>
  <c r="BS26" i="62"/>
  <c r="Z28" i="67"/>
  <c r="Z25" i="67" s="1"/>
  <c r="Z37" i="67" s="1"/>
  <c r="Z39" i="67" l="1"/>
  <c r="Z40" i="67" s="1"/>
  <c r="BS1266" i="4"/>
  <c r="BS48" i="66"/>
  <c r="Z99" i="67"/>
  <c r="BT85" i="11"/>
  <c r="BT1231" i="4"/>
  <c r="BT1167" i="4"/>
  <c r="BT1168" i="4" s="1"/>
  <c r="BT1260" i="4"/>
  <c r="BT42" i="62"/>
  <c r="BT501" i="4"/>
  <c r="BT502" i="4" s="1"/>
  <c r="BT388" i="4"/>
  <c r="BT389" i="4" s="1"/>
  <c r="BU384" i="4" s="1"/>
  <c r="BT490" i="4"/>
  <c r="BS99" i="11"/>
  <c r="BS1386" i="4"/>
  <c r="BS1383" i="4" s="1"/>
  <c r="BS23" i="11"/>
  <c r="BU499" i="4" l="1"/>
  <c r="BU1023" i="4" s="1"/>
  <c r="BT1024" i="4"/>
  <c r="BT1026" i="4" s="1"/>
  <c r="BT1027" i="4" s="1"/>
  <c r="BT1028" i="4" s="1"/>
  <c r="BS1439" i="4"/>
  <c r="BS1440" i="4" s="1"/>
  <c r="BS1396" i="4"/>
  <c r="BS1391" i="4" s="1"/>
  <c r="BT52" i="62"/>
  <c r="BT43" i="62"/>
  <c r="BT23" i="62" s="1"/>
  <c r="BT26" i="11"/>
  <c r="BU1163" i="4"/>
  <c r="BT491" i="4"/>
  <c r="BT51" i="11"/>
  <c r="BT64" i="62"/>
  <c r="BS39" i="11"/>
  <c r="BS40" i="11" s="1"/>
  <c r="BT16" i="66" l="1"/>
  <c r="BT14" i="66" s="1"/>
  <c r="BT13" i="66" s="1"/>
  <c r="BU488" i="4"/>
  <c r="BT15" i="11"/>
  <c r="BT13" i="11" s="1"/>
  <c r="BT907" i="4"/>
  <c r="BT911" i="4" s="1"/>
  <c r="BT62" i="64"/>
  <c r="BT78" i="64" l="1"/>
  <c r="BT70" i="64"/>
  <c r="BT915" i="4"/>
  <c r="BT1043" i="4"/>
  <c r="BT1243" i="4"/>
  <c r="BT1217" i="4"/>
  <c r="BT1221" i="4" s="1"/>
  <c r="BT71" i="11"/>
  <c r="BT996" i="4" l="1"/>
  <c r="BT1000" i="4" s="1"/>
  <c r="BT1004" i="4" s="1"/>
  <c r="BT47" i="11"/>
  <c r="BT1005" i="4" l="1"/>
  <c r="BT1016" i="4" s="1"/>
  <c r="BT1013" i="4" s="1"/>
  <c r="BT1006" i="4" s="1"/>
  <c r="BT1007" i="4" s="1"/>
  <c r="BT1012" i="4"/>
  <c r="BT61" i="11"/>
  <c r="BT62" i="11"/>
  <c r="BT48" i="11"/>
  <c r="BT55" i="11" s="1"/>
  <c r="BT63" i="11" l="1"/>
  <c r="BT62" i="62"/>
  <c r="BT63" i="62" s="1"/>
  <c r="BT67" i="62" s="1"/>
  <c r="BT1395" i="4"/>
  <c r="BT64" i="11"/>
  <c r="BT1014" i="4"/>
  <c r="BU1011" i="4" s="1"/>
  <c r="BT1222" i="4"/>
  <c r="BT1223" i="4" s="1"/>
  <c r="BT56" i="11"/>
  <c r="BT57" i="11" s="1"/>
  <c r="BT61" i="64"/>
  <c r="BT1046" i="4"/>
  <c r="BT1053" i="4" s="1"/>
  <c r="BT1055" i="4" s="1"/>
  <c r="BT1058" i="4" s="1"/>
  <c r="BT1246" i="4"/>
  <c r="BT75" i="11"/>
  <c r="BT1394" i="4" l="1"/>
  <c r="BT1206" i="4"/>
  <c r="BT1236" i="4"/>
  <c r="BT68" i="62"/>
  <c r="BT69" i="64"/>
  <c r="BT74" i="64" s="1"/>
  <c r="BT77" i="64"/>
  <c r="BT82" i="64" s="1"/>
  <c r="BT66" i="64"/>
  <c r="BT40" i="64" s="1"/>
  <c r="BT42" i="64" s="1"/>
  <c r="BT1116" i="4" l="1"/>
  <c r="BT1117" i="4" s="1"/>
  <c r="BT1119" i="4" s="1"/>
  <c r="BT1121" i="4" s="1"/>
  <c r="BT1087" i="4" s="1"/>
  <c r="BT52" i="64"/>
  <c r="BT49" i="64"/>
  <c r="BT1137" i="4" l="1"/>
  <c r="BT1088" i="4"/>
  <c r="BU1085" i="4" l="1"/>
  <c r="BU1130" i="4"/>
  <c r="BU1148" i="4" s="1"/>
  <c r="BT1225" i="4"/>
  <c r="BT1226" i="4" s="1"/>
  <c r="BT1347" i="4"/>
  <c r="BT38" i="66"/>
  <c r="BT88" i="11"/>
  <c r="BT1247" i="4"/>
  <c r="BT1404" i="4"/>
  <c r="BT1138" i="4"/>
  <c r="BU1135" i="4" l="1"/>
  <c r="BT31" i="11"/>
  <c r="BT1438" i="4"/>
  <c r="BT1428" i="4"/>
  <c r="BT1412" i="4"/>
  <c r="BT1204" i="4"/>
  <c r="BT1194" i="4"/>
  <c r="BU1086" i="4"/>
  <c r="BT1413" i="4" l="1"/>
  <c r="BT1422" i="4" s="1"/>
  <c r="BT1175" i="4"/>
  <c r="BT1197" i="4"/>
  <c r="BT1198" i="4" s="1"/>
  <c r="BT1188" i="4" s="1"/>
  <c r="BU1136" i="4"/>
  <c r="BU1129" i="4"/>
  <c r="BU1147" i="4" s="1"/>
  <c r="BU1149" i="4" s="1"/>
  <c r="BU1125" i="4"/>
  <c r="BU1101" i="4"/>
  <c r="BT30" i="11"/>
  <c r="BT45" i="62"/>
  <c r="BU1415" i="4"/>
  <c r="BT1187" i="4" l="1"/>
  <c r="BT1176" i="4" s="1"/>
  <c r="BT1189" i="4"/>
  <c r="BU1103" i="4"/>
  <c r="BU1092" i="4" s="1"/>
  <c r="BU1093" i="4" s="1"/>
  <c r="BU1111" i="4" s="1"/>
  <c r="BU1102" i="4"/>
  <c r="BU1112" i="4"/>
  <c r="BU1141" i="4" s="1"/>
  <c r="BT1180" i="4"/>
  <c r="BT1184" i="4"/>
  <c r="BT1191" i="4" s="1"/>
  <c r="BT1418" i="4"/>
  <c r="BT1416" i="4"/>
  <c r="BU37" i="66"/>
  <c r="BU297" i="4"/>
  <c r="BU305" i="4" s="1"/>
  <c r="BU330" i="4" s="1"/>
  <c r="BU1045" i="4"/>
  <c r="BU1218" i="4"/>
  <c r="BU999" i="4"/>
  <c r="BU72" i="11"/>
  <c r="BU1249" i="4"/>
  <c r="BU50" i="11"/>
  <c r="BU1346" i="4"/>
  <c r="BU1233" i="4"/>
  <c r="BU1259" i="4"/>
  <c r="BU18" i="66"/>
  <c r="BU87" i="11"/>
  <c r="BU1104" i="4" l="1"/>
  <c r="BU1120" i="4" s="1"/>
  <c r="BT1419" i="4"/>
  <c r="BT1261" i="4"/>
  <c r="BT1232" i="4"/>
  <c r="BT86" i="11"/>
  <c r="BT19" i="66"/>
  <c r="BT17" i="66" s="1"/>
  <c r="BT1403" i="4"/>
  <c r="BT1406" i="4" s="1"/>
  <c r="BV457" i="4"/>
  <c r="BV479" i="4"/>
  <c r="BU478" i="4"/>
  <c r="BU480" i="4" s="1"/>
  <c r="BU481" i="4" s="1"/>
  <c r="BU482" i="4" s="1"/>
  <c r="BU483" i="4" s="1"/>
  <c r="BV477" i="4" s="1"/>
  <c r="BU456" i="4"/>
  <c r="BU458" i="4" s="1"/>
  <c r="BU459" i="4" s="1"/>
  <c r="BV468" i="4"/>
  <c r="BU467" i="4"/>
  <c r="BU469" i="4" s="1"/>
  <c r="BU470" i="4" s="1"/>
  <c r="BU471" i="4" s="1"/>
  <c r="BU472" i="4" s="1"/>
  <c r="BV466" i="4" s="1"/>
  <c r="BU1143" i="4"/>
  <c r="BU997" i="4"/>
  <c r="BU1142" i="4"/>
  <c r="BU294" i="4" s="1"/>
  <c r="BU49" i="11"/>
  <c r="BT1250" i="4"/>
  <c r="BT1227" i="4"/>
  <c r="BT74" i="11"/>
  <c r="BT78" i="11" s="1"/>
  <c r="BT1195" i="4"/>
  <c r="BT1199" i="4" s="1"/>
  <c r="BT1177" i="4" s="1"/>
  <c r="BT1309" i="4"/>
  <c r="BT36" i="66"/>
  <c r="BU1113" i="4" l="1"/>
  <c r="BU1144" i="4" s="1"/>
  <c r="BU1224" i="4" s="1"/>
  <c r="BT1228" i="4"/>
  <c r="BT1205" i="4" s="1"/>
  <c r="BT89" i="11"/>
  <c r="BT39" i="66"/>
  <c r="BT35" i="66" s="1"/>
  <c r="BT1251" i="4"/>
  <c r="BT1178" i="4"/>
  <c r="BU53" i="11"/>
  <c r="BU52" i="11" s="1"/>
  <c r="BT1344" i="4"/>
  <c r="BT1308" i="4"/>
  <c r="BT1311" i="4" s="1"/>
  <c r="BV495" i="4"/>
  <c r="BV995" i="4" s="1"/>
  <c r="BU299" i="4"/>
  <c r="BU302" i="4"/>
  <c r="BU460" i="4"/>
  <c r="BU461" i="4" s="1"/>
  <c r="BV455" i="4" s="1"/>
  <c r="BU494" i="4"/>
  <c r="BU994" i="4" s="1"/>
  <c r="BU1044" i="4" l="1"/>
  <c r="BU1067" i="4" s="1"/>
  <c r="BU1068" i="4" s="1"/>
  <c r="BU73" i="11"/>
  <c r="BU1248" i="4"/>
  <c r="BT1207" i="4"/>
  <c r="BT1209" i="4" s="1"/>
  <c r="BU1173" i="4"/>
  <c r="BT27" i="11"/>
  <c r="BT1429" i="4"/>
  <c r="BT1313" i="4"/>
  <c r="BT1325" i="4"/>
  <c r="BU331" i="4"/>
  <c r="BU307" i="4"/>
  <c r="BT1348" i="4"/>
  <c r="BU1158" i="4" l="1"/>
  <c r="BU1174" i="4" s="1"/>
  <c r="BU1157" i="4"/>
  <c r="BU1164" i="4" s="1"/>
  <c r="BU332" i="4"/>
  <c r="BU14" i="11" s="1"/>
  <c r="BT1430" i="4"/>
  <c r="BT1431" i="4" s="1"/>
  <c r="BT1432" i="4"/>
  <c r="BT1363" i="4"/>
  <c r="BU385" i="4"/>
  <c r="BU405" i="4"/>
  <c r="BU406" i="4" s="1"/>
  <c r="BU407" i="4" s="1"/>
  <c r="BU408" i="4" s="1"/>
  <c r="BU409" i="4" s="1"/>
  <c r="BV404" i="4" s="1"/>
  <c r="BU395" i="4"/>
  <c r="BU396" i="4" s="1"/>
  <c r="BU397" i="4" s="1"/>
  <c r="BU398" i="4" s="1"/>
  <c r="BU399" i="4" s="1"/>
  <c r="BV394" i="4" s="1"/>
  <c r="BT1208" i="4"/>
  <c r="BT1326" i="4"/>
  <c r="BT1327" i="4" s="1"/>
  <c r="BT90" i="11"/>
  <c r="BT91" i="11" s="1"/>
  <c r="BT93" i="11" s="1"/>
  <c r="BT96" i="11" s="1"/>
  <c r="BT97" i="11" s="1"/>
  <c r="BT1229" i="4"/>
  <c r="BT1230" i="4" s="1"/>
  <c r="BT1234" i="4" s="1"/>
  <c r="BU1213" i="4" s="1"/>
  <c r="BT58" i="11"/>
  <c r="BT59" i="11" s="1"/>
  <c r="BT28" i="11" s="1"/>
  <c r="BT1252" i="4"/>
  <c r="BT48" i="62"/>
  <c r="BT24" i="62" s="1"/>
  <c r="BT22" i="66"/>
  <c r="BU1159" i="4" l="1"/>
  <c r="BT25" i="11"/>
  <c r="BU1051" i="4"/>
  <c r="BT100" i="67"/>
  <c r="BT24" i="66"/>
  <c r="BT20" i="66" s="1"/>
  <c r="BT26" i="66" s="1"/>
  <c r="BT1263" i="4"/>
  <c r="BT1264" i="4" s="1"/>
  <c r="BT1253" i="4"/>
  <c r="BT1254" i="4" s="1"/>
  <c r="BT1385" i="4"/>
  <c r="BT1384" i="4" s="1"/>
  <c r="BT46" i="62"/>
  <c r="BT100" i="11"/>
  <c r="BT101" i="11"/>
  <c r="BT44" i="66"/>
  <c r="BT40" i="66" s="1"/>
  <c r="BT46" i="66" s="1"/>
  <c r="BU95" i="11"/>
  <c r="BT21" i="11"/>
  <c r="BT17" i="11" s="1"/>
  <c r="BT101" i="67"/>
  <c r="BU386" i="4"/>
  <c r="BU387" i="4" s="1"/>
  <c r="BU500" i="4"/>
  <c r="BU489" i="4"/>
  <c r="BT1364" i="4"/>
  <c r="BT1365" i="4" s="1"/>
  <c r="BU1231" i="4"/>
  <c r="BU42" i="62"/>
  <c r="BU85" i="11"/>
  <c r="BU1167" i="4"/>
  <c r="BU1168" i="4" s="1"/>
  <c r="BU1260" i="4"/>
  <c r="BT26" i="62"/>
  <c r="BT1266" i="4" l="1"/>
  <c r="BT48" i="66"/>
  <c r="BU388" i="4"/>
  <c r="BU389" i="4" s="1"/>
  <c r="BV384" i="4" s="1"/>
  <c r="BU490" i="4"/>
  <c r="BU501" i="4"/>
  <c r="BU502" i="4" s="1"/>
  <c r="BV1163" i="4"/>
  <c r="BU26" i="11"/>
  <c r="BT99" i="11"/>
  <c r="BU52" i="62"/>
  <c r="BU43" i="62"/>
  <c r="BU23" i="62" s="1"/>
  <c r="BT1397" i="4"/>
  <c r="BT1392" i="4" s="1"/>
  <c r="BT37" i="11"/>
  <c r="BT1398" i="4"/>
  <c r="BT1393" i="4" s="1"/>
  <c r="BT1386" i="4"/>
  <c r="BT1383" i="4" s="1"/>
  <c r="BT23" i="11"/>
  <c r="BT39" i="11" l="1"/>
  <c r="BT40" i="11" s="1"/>
  <c r="BT1439" i="4"/>
  <c r="BT1440" i="4" s="1"/>
  <c r="BT1396" i="4"/>
  <c r="BT1391" i="4" s="1"/>
  <c r="BV499" i="4"/>
  <c r="BV1023" i="4" s="1"/>
  <c r="BU1024" i="4"/>
  <c r="BU1026" i="4" s="1"/>
  <c r="BU1027" i="4" s="1"/>
  <c r="BU1028" i="4" s="1"/>
  <c r="BU16" i="66"/>
  <c r="BU14" i="66" s="1"/>
  <c r="BU13" i="66" s="1"/>
  <c r="BU491" i="4"/>
  <c r="BU51" i="11"/>
  <c r="BU64" i="62"/>
  <c r="BU15" i="11" l="1"/>
  <c r="BU13" i="11" s="1"/>
  <c r="BV488" i="4"/>
  <c r="BU62" i="64"/>
  <c r="BU907" i="4"/>
  <c r="BU911" i="4" s="1"/>
  <c r="BU71" i="11" l="1"/>
  <c r="BU1243" i="4"/>
  <c r="BU915" i="4"/>
  <c r="BU1217" i="4"/>
  <c r="BU1221" i="4" s="1"/>
  <c r="BU1043" i="4"/>
  <c r="BU78" i="64"/>
  <c r="BU70" i="64"/>
  <c r="BU996" i="4" l="1"/>
  <c r="BU1000" i="4" s="1"/>
  <c r="BU1004" i="4" s="1"/>
  <c r="BU47" i="11"/>
  <c r="BU61" i="11" l="1"/>
  <c r="BU48" i="11"/>
  <c r="BU55" i="11" s="1"/>
  <c r="BU62" i="11"/>
  <c r="BU1005" i="4"/>
  <c r="BU1016" i="4" s="1"/>
  <c r="BU1013" i="4" s="1"/>
  <c r="BU1006" i="4" s="1"/>
  <c r="BU1007" i="4" s="1"/>
  <c r="BU1012" i="4"/>
  <c r="BU56" i="11" l="1"/>
  <c r="BU57" i="11" s="1"/>
  <c r="BU1222" i="4"/>
  <c r="BU1223" i="4" s="1"/>
  <c r="BU1046" i="4"/>
  <c r="BU1053" i="4" s="1"/>
  <c r="BU1055" i="4" s="1"/>
  <c r="BU1058" i="4" s="1"/>
  <c r="BU1246" i="4"/>
  <c r="BU61" i="64"/>
  <c r="BU75" i="11"/>
  <c r="BU1014" i="4"/>
  <c r="BV1011" i="4" s="1"/>
  <c r="BU62" i="62"/>
  <c r="BU63" i="62" s="1"/>
  <c r="BU67" i="62" s="1"/>
  <c r="BU1395" i="4"/>
  <c r="BU64" i="11"/>
  <c r="BU63" i="11"/>
  <c r="BU69" i="64" l="1"/>
  <c r="BU74" i="64" s="1"/>
  <c r="BU66" i="64"/>
  <c r="BU40" i="64" s="1"/>
  <c r="BU42" i="64" s="1"/>
  <c r="BU77" i="64"/>
  <c r="BU82" i="64" s="1"/>
  <c r="BU68" i="62"/>
  <c r="BU1236" i="4"/>
  <c r="BU1394" i="4"/>
  <c r="BU1206" i="4"/>
  <c r="BU52" i="64" l="1"/>
  <c r="BU49" i="64"/>
  <c r="BU1116" i="4"/>
  <c r="BU1117" i="4" s="1"/>
  <c r="BU1119" i="4" s="1"/>
  <c r="BU1121" i="4" s="1"/>
  <c r="BU1087" i="4" s="1"/>
  <c r="BU1137" i="4" l="1"/>
  <c r="BU1088" i="4"/>
  <c r="BV1085" i="4" l="1"/>
  <c r="BV1130" i="4"/>
  <c r="BV1148" i="4" s="1"/>
  <c r="BU1347" i="4"/>
  <c r="BU1404" i="4"/>
  <c r="BU38" i="66"/>
  <c r="BU88" i="11"/>
  <c r="BU1225" i="4"/>
  <c r="BU1226" i="4" s="1"/>
  <c r="BU1247" i="4"/>
  <c r="BU1138" i="4"/>
  <c r="BU1204" i="4" l="1"/>
  <c r="BU1194" i="4"/>
  <c r="BU1428" i="4"/>
  <c r="BU31" i="11"/>
  <c r="BV1135" i="4"/>
  <c r="BU1412" i="4"/>
  <c r="BU1438" i="4"/>
  <c r="BV1086" i="4"/>
  <c r="BU45" i="62" l="1"/>
  <c r="BU30" i="11"/>
  <c r="BU1413" i="4"/>
  <c r="BU1422" i="4" s="1"/>
  <c r="BV1415" i="4"/>
  <c r="BU1175" i="4"/>
  <c r="BU1197" i="4"/>
  <c r="BU1198" i="4" s="1"/>
  <c r="BU1188" i="4" s="1"/>
  <c r="BV1129" i="4"/>
  <c r="BV1147" i="4" s="1"/>
  <c r="BV1149" i="4" s="1"/>
  <c r="BV1136" i="4"/>
  <c r="BV1125" i="4"/>
  <c r="BV1101" i="4"/>
  <c r="BV1102" i="4" l="1"/>
  <c r="BV1103" i="4"/>
  <c r="BV1092" i="4" s="1"/>
  <c r="BV1093" i="4" s="1"/>
  <c r="BV1111" i="4" s="1"/>
  <c r="BV1112" i="4"/>
  <c r="BV1141" i="4" s="1"/>
  <c r="BV1259" i="4"/>
  <c r="BV18" i="66"/>
  <c r="BV1346" i="4"/>
  <c r="BV87" i="11"/>
  <c r="BV1233" i="4"/>
  <c r="BV297" i="4"/>
  <c r="BV305" i="4" s="1"/>
  <c r="BV330" i="4" s="1"/>
  <c r="BV999" i="4"/>
  <c r="BV72" i="11"/>
  <c r="BV37" i="66"/>
  <c r="BV1045" i="4"/>
  <c r="BV1218" i="4"/>
  <c r="BV1249" i="4"/>
  <c r="BV50" i="11"/>
  <c r="BU1418" i="4"/>
  <c r="BU1416" i="4"/>
  <c r="BU1189" i="4"/>
  <c r="BU1187" i="4"/>
  <c r="BU1176" i="4" s="1"/>
  <c r="BU1180" i="4"/>
  <c r="BU1184" i="4"/>
  <c r="BU1191" i="4" s="1"/>
  <c r="BU1419" i="4" l="1"/>
  <c r="BU74" i="11"/>
  <c r="BU78" i="11" s="1"/>
  <c r="BU1227" i="4"/>
  <c r="BU1250" i="4"/>
  <c r="BU1195" i="4"/>
  <c r="BU1199" i="4" s="1"/>
  <c r="BU1177" i="4" s="1"/>
  <c r="BU36" i="66"/>
  <c r="BU1309" i="4"/>
  <c r="BW468" i="4"/>
  <c r="BV478" i="4"/>
  <c r="BV480" i="4" s="1"/>
  <c r="BV481" i="4" s="1"/>
  <c r="BV482" i="4" s="1"/>
  <c r="BV483" i="4" s="1"/>
  <c r="BW477" i="4" s="1"/>
  <c r="BV467" i="4"/>
  <c r="BV469" i="4" s="1"/>
  <c r="BV470" i="4" s="1"/>
  <c r="BV471" i="4" s="1"/>
  <c r="BV472" i="4" s="1"/>
  <c r="BW466" i="4" s="1"/>
  <c r="BW479" i="4"/>
  <c r="BV456" i="4"/>
  <c r="BV458" i="4" s="1"/>
  <c r="BV459" i="4" s="1"/>
  <c r="BW457" i="4"/>
  <c r="BV1143" i="4"/>
  <c r="BV997" i="4"/>
  <c r="BV1142" i="4"/>
  <c r="BV294" i="4" s="1"/>
  <c r="BV49" i="11"/>
  <c r="BU19" i="66"/>
  <c r="BU17" i="66" s="1"/>
  <c r="BU1261" i="4"/>
  <c r="BU1232" i="4"/>
  <c r="BU86" i="11"/>
  <c r="BU1403" i="4"/>
  <c r="BU1406" i="4" s="1"/>
  <c r="BV1104" i="4"/>
  <c r="BW495" i="4" l="1"/>
  <c r="BW995" i="4" s="1"/>
  <c r="BU1344" i="4"/>
  <c r="BU1308" i="4"/>
  <c r="BU1311" i="4" s="1"/>
  <c r="BV1113" i="4"/>
  <c r="BV1144" i="4" s="1"/>
  <c r="BV1120" i="4"/>
  <c r="BV299" i="4"/>
  <c r="BV302" i="4"/>
  <c r="BV53" i="11"/>
  <c r="BV52" i="11" s="1"/>
  <c r="BV494" i="4"/>
  <c r="BV994" i="4" s="1"/>
  <c r="BV460" i="4"/>
  <c r="BV461" i="4" s="1"/>
  <c r="BW455" i="4" s="1"/>
  <c r="BU39" i="66"/>
  <c r="BU35" i="66" s="1"/>
  <c r="BU89" i="11"/>
  <c r="BU1251" i="4"/>
  <c r="BU1228" i="4"/>
  <c r="BU1205" i="4" s="1"/>
  <c r="BU1178" i="4"/>
  <c r="BU1207" i="4" l="1"/>
  <c r="BU1209" i="4" s="1"/>
  <c r="BV307" i="4"/>
  <c r="BV331" i="4"/>
  <c r="BV1173" i="4"/>
  <c r="BU27" i="11"/>
  <c r="BU1429" i="4"/>
  <c r="BV1224" i="4"/>
  <c r="BV1044" i="4"/>
  <c r="BV1067" i="4" s="1"/>
  <c r="BV1248" i="4"/>
  <c r="BV73" i="11"/>
  <c r="BU1313" i="4"/>
  <c r="BU1325" i="4"/>
  <c r="BU1348" i="4"/>
  <c r="BV332" i="4" l="1"/>
  <c r="BV14" i="11" s="1"/>
  <c r="BU1430" i="4"/>
  <c r="BU1431" i="4" s="1"/>
  <c r="BU1432" i="4"/>
  <c r="BV1158" i="4"/>
  <c r="BV1174" i="4" s="1"/>
  <c r="BV1157" i="4"/>
  <c r="BV1068" i="4"/>
  <c r="BU1363" i="4"/>
  <c r="BU1326" i="4"/>
  <c r="BU1327" i="4" s="1"/>
  <c r="BV405" i="4"/>
  <c r="BV406" i="4" s="1"/>
  <c r="BV407" i="4" s="1"/>
  <c r="BV408" i="4" s="1"/>
  <c r="BV409" i="4" s="1"/>
  <c r="BW404" i="4" s="1"/>
  <c r="BV385" i="4"/>
  <c r="BV395" i="4"/>
  <c r="BV396" i="4" s="1"/>
  <c r="BV397" i="4" s="1"/>
  <c r="BV398" i="4" s="1"/>
  <c r="BV399" i="4" s="1"/>
  <c r="BW394" i="4" s="1"/>
  <c r="BU1208" i="4"/>
  <c r="BU90" i="11"/>
  <c r="BU91" i="11" s="1"/>
  <c r="BU93" i="11" s="1"/>
  <c r="BU96" i="11" s="1"/>
  <c r="BU97" i="11" s="1"/>
  <c r="BU1229" i="4"/>
  <c r="BU1230" i="4" s="1"/>
  <c r="BU1234" i="4" s="1"/>
  <c r="BV1213" i="4" s="1"/>
  <c r="BU58" i="11"/>
  <c r="BU59" i="11" s="1"/>
  <c r="BU28" i="11" s="1"/>
  <c r="BU1252" i="4"/>
  <c r="BU48" i="62"/>
  <c r="BU24" i="62" s="1"/>
  <c r="BU22" i="66"/>
  <c r="BV1051" i="4" l="1"/>
  <c r="BU25" i="11"/>
  <c r="BU100" i="67"/>
  <c r="BU1385" i="4"/>
  <c r="BU1384" i="4" s="1"/>
  <c r="BU24" i="66"/>
  <c r="BU20" i="66" s="1"/>
  <c r="BU26" i="66" s="1"/>
  <c r="BU46" i="62"/>
  <c r="BU44" i="66"/>
  <c r="BU40" i="66" s="1"/>
  <c r="BU46" i="66" s="1"/>
  <c r="BU101" i="11"/>
  <c r="BV95" i="11"/>
  <c r="BU101" i="67"/>
  <c r="BU1263" i="4"/>
  <c r="BU1264" i="4" s="1"/>
  <c r="BU100" i="11"/>
  <c r="BU1253" i="4"/>
  <c r="BU1254" i="4" s="1"/>
  <c r="BU21" i="11"/>
  <c r="BU17" i="11" s="1"/>
  <c r="BU1364" i="4"/>
  <c r="BU1365" i="4" s="1"/>
  <c r="BV1159" i="4"/>
  <c r="BV1164" i="4"/>
  <c r="BU26" i="62"/>
  <c r="BV500" i="4"/>
  <c r="BV489" i="4"/>
  <c r="BV386" i="4"/>
  <c r="BV387" i="4" s="1"/>
  <c r="BU1266" i="4" l="1"/>
  <c r="BU1386" i="4"/>
  <c r="BU1383" i="4" s="1"/>
  <c r="BU23" i="11"/>
  <c r="BU1397" i="4"/>
  <c r="BU1392" i="4" s="1"/>
  <c r="BU37" i="11"/>
  <c r="BU1398" i="4"/>
  <c r="BU1393" i="4" s="1"/>
  <c r="BV1167" i="4"/>
  <c r="BV1168" i="4" s="1"/>
  <c r="BV1260" i="4"/>
  <c r="BV85" i="11"/>
  <c r="BV42" i="62"/>
  <c r="BV1231" i="4"/>
  <c r="BV490" i="4"/>
  <c r="BV501" i="4"/>
  <c r="BV502" i="4" s="1"/>
  <c r="BV388" i="4"/>
  <c r="BV389" i="4" s="1"/>
  <c r="BW384" i="4" s="1"/>
  <c r="BU99" i="11"/>
  <c r="BU48" i="66"/>
  <c r="BU39" i="11" l="1"/>
  <c r="BU40" i="11" s="1"/>
  <c r="BV26" i="11"/>
  <c r="BW1163" i="4"/>
  <c r="BV491" i="4"/>
  <c r="BV51" i="11"/>
  <c r="BV64" i="62"/>
  <c r="BU1439" i="4"/>
  <c r="BU1440" i="4" s="1"/>
  <c r="BU1396" i="4"/>
  <c r="BU1391" i="4" s="1"/>
  <c r="BW499" i="4"/>
  <c r="BW1023" i="4" s="1"/>
  <c r="BV1024" i="4"/>
  <c r="BV1026" i="4" s="1"/>
  <c r="BV1027" i="4" s="1"/>
  <c r="BV1028" i="4" s="1"/>
  <c r="BV52" i="62"/>
  <c r="BV43" i="62"/>
  <c r="BV23" i="62" s="1"/>
  <c r="BW488" i="4" l="1"/>
  <c r="BV15" i="11"/>
  <c r="BV13" i="11" s="1"/>
  <c r="BV62" i="64"/>
  <c r="BV907" i="4"/>
  <c r="BV911" i="4" s="1"/>
  <c r="BV16" i="66"/>
  <c r="BV14" i="66" s="1"/>
  <c r="BV13" i="66" s="1"/>
  <c r="BV1043" i="4" l="1"/>
  <c r="BV1217" i="4"/>
  <c r="BV1221" i="4" s="1"/>
  <c r="BV1243" i="4"/>
  <c r="BV71" i="11"/>
  <c r="BV915" i="4"/>
  <c r="BV70" i="64"/>
  <c r="BV78" i="64"/>
  <c r="BV996" i="4" l="1"/>
  <c r="BV1000" i="4" s="1"/>
  <c r="BV1004" i="4" s="1"/>
  <c r="BV47" i="11"/>
  <c r="BV48" i="11" l="1"/>
  <c r="BV55" i="11" s="1"/>
  <c r="BV61" i="11"/>
  <c r="BV62" i="11"/>
  <c r="BV1012" i="4"/>
  <c r="BV1005" i="4"/>
  <c r="BV1016" i="4" s="1"/>
  <c r="BV1013" i="4" s="1"/>
  <c r="BV1006" i="4" s="1"/>
  <c r="BV1007" i="4" s="1"/>
  <c r="BV1395" i="4" l="1"/>
  <c r="BV62" i="62"/>
  <c r="BV63" i="62" s="1"/>
  <c r="BV67" i="62" s="1"/>
  <c r="BV64" i="11"/>
  <c r="BV1222" i="4"/>
  <c r="BV1223" i="4" s="1"/>
  <c r="BV1046" i="4"/>
  <c r="BV1053" i="4" s="1"/>
  <c r="BV1055" i="4" s="1"/>
  <c r="BV1058" i="4" s="1"/>
  <c r="BV1246" i="4"/>
  <c r="BV75" i="11"/>
  <c r="BV61" i="64"/>
  <c r="BV56" i="11"/>
  <c r="BV57" i="11" s="1"/>
  <c r="BV63" i="11"/>
  <c r="BV1014" i="4"/>
  <c r="BW1011" i="4" s="1"/>
  <c r="BV69" i="64" l="1"/>
  <c r="BV74" i="64" s="1"/>
  <c r="BV77" i="64"/>
  <c r="BV82" i="64" s="1"/>
  <c r="BV66" i="64"/>
  <c r="BV40" i="64" s="1"/>
  <c r="BV42" i="64" s="1"/>
  <c r="BV1236" i="4"/>
  <c r="BV68" i="62"/>
  <c r="BV1394" i="4"/>
  <c r="BV1206" i="4"/>
  <c r="BV1116" i="4" l="1"/>
  <c r="BV1117" i="4" s="1"/>
  <c r="BV1119" i="4" s="1"/>
  <c r="BV1121" i="4" s="1"/>
  <c r="BV1087" i="4" s="1"/>
  <c r="BV52" i="64"/>
  <c r="BV49" i="64"/>
  <c r="BV1137" i="4" l="1"/>
  <c r="BV1088" i="4"/>
  <c r="BW1085" i="4" l="1"/>
  <c r="BW1130" i="4"/>
  <c r="BW1148" i="4" s="1"/>
  <c r="BV1225" i="4"/>
  <c r="BV1226" i="4" s="1"/>
  <c r="BV88" i="11"/>
  <c r="BV1247" i="4"/>
  <c r="BV1347" i="4"/>
  <c r="BV38" i="66"/>
  <c r="BV1138" i="4"/>
  <c r="BV1404" i="4"/>
  <c r="BV1194" i="4" l="1"/>
  <c r="BV1204" i="4"/>
  <c r="BV31" i="11"/>
  <c r="BV1412" i="4"/>
  <c r="BV1428" i="4"/>
  <c r="BV1438" i="4"/>
  <c r="BW1135" i="4"/>
  <c r="BW1086" i="4"/>
  <c r="BV1413" i="4" l="1"/>
  <c r="BV1422" i="4" s="1"/>
  <c r="BV45" i="62"/>
  <c r="BV30" i="11"/>
  <c r="BW1136" i="4"/>
  <c r="BW1129" i="4"/>
  <c r="BW1147" i="4" s="1"/>
  <c r="BW1149" i="4" s="1"/>
  <c r="BW1125" i="4"/>
  <c r="BW1101" i="4"/>
  <c r="BW1415" i="4"/>
  <c r="BV1175" i="4"/>
  <c r="BV1197" i="4"/>
  <c r="BV1198" i="4" s="1"/>
  <c r="BV1188" i="4" s="1"/>
  <c r="BV1180" i="4" l="1"/>
  <c r="BV1184" i="4"/>
  <c r="BV1191" i="4" s="1"/>
  <c r="BW1218" i="4"/>
  <c r="BW1045" i="4"/>
  <c r="BW50" i="11"/>
  <c r="BW999" i="4"/>
  <c r="BW72" i="11"/>
  <c r="BW1249" i="4"/>
  <c r="BW297" i="4"/>
  <c r="BW305" i="4" s="1"/>
  <c r="BW330" i="4" s="1"/>
  <c r="BW37" i="66"/>
  <c r="AA72" i="67"/>
  <c r="BV1189" i="4"/>
  <c r="BV1187" i="4"/>
  <c r="BV1176" i="4" s="1"/>
  <c r="BW1259" i="4"/>
  <c r="BW87" i="11"/>
  <c r="BW18" i="66"/>
  <c r="BW1346" i="4"/>
  <c r="BW1233" i="4"/>
  <c r="AA87" i="67"/>
  <c r="BV1418" i="4"/>
  <c r="BV1416" i="4"/>
  <c r="BW1112" i="4"/>
  <c r="BW1141" i="4" s="1"/>
  <c r="BW1102" i="4"/>
  <c r="BW1103" i="4"/>
  <c r="BW1092" i="4" s="1"/>
  <c r="BW1093" i="4" s="1"/>
  <c r="BW1111" i="4" s="1"/>
  <c r="BV1419" i="4" l="1"/>
  <c r="BW49" i="11"/>
  <c r="AA50" i="67"/>
  <c r="AA49" i="67" s="1"/>
  <c r="BX457" i="4"/>
  <c r="BX479" i="4"/>
  <c r="BX468" i="4"/>
  <c r="BW478" i="4"/>
  <c r="BW480" i="4" s="1"/>
  <c r="BW481" i="4" s="1"/>
  <c r="BW482" i="4" s="1"/>
  <c r="BW483" i="4" s="1"/>
  <c r="BX477" i="4" s="1"/>
  <c r="BW456" i="4"/>
  <c r="BW458" i="4" s="1"/>
  <c r="BW459" i="4" s="1"/>
  <c r="BW467" i="4"/>
  <c r="BW469" i="4" s="1"/>
  <c r="BW470" i="4" s="1"/>
  <c r="BW471" i="4" s="1"/>
  <c r="BW472" i="4" s="1"/>
  <c r="BX466" i="4" s="1"/>
  <c r="BV86" i="11"/>
  <c r="BV1232" i="4"/>
  <c r="BV1261" i="4"/>
  <c r="BV19" i="66"/>
  <c r="BV17" i="66" s="1"/>
  <c r="BV1403" i="4"/>
  <c r="BV1406" i="4" s="1"/>
  <c r="BW1104" i="4"/>
  <c r="BV74" i="11"/>
  <c r="BV78" i="11" s="1"/>
  <c r="BV1250" i="4"/>
  <c r="BV1195" i="4"/>
  <c r="BV1199" i="4" s="1"/>
  <c r="BV1177" i="4" s="1"/>
  <c r="BV1227" i="4"/>
  <c r="BV36" i="66"/>
  <c r="BV1309" i="4"/>
  <c r="BW1143" i="4"/>
  <c r="BW1142" i="4"/>
  <c r="BW294" i="4" s="1"/>
  <c r="BW997" i="4"/>
  <c r="BW494" i="4" l="1"/>
  <c r="BW994" i="4" s="1"/>
  <c r="BW460" i="4"/>
  <c r="BW461" i="4" s="1"/>
  <c r="BX455" i="4" s="1"/>
  <c r="BV39" i="66"/>
  <c r="BV35" i="66" s="1"/>
  <c r="BV1228" i="4"/>
  <c r="BV1205" i="4" s="1"/>
  <c r="BV89" i="11"/>
  <c r="BV1251" i="4"/>
  <c r="BV1308" i="4"/>
  <c r="BV1311" i="4" s="1"/>
  <c r="BV1344" i="4"/>
  <c r="BX495" i="4"/>
  <c r="BX995" i="4" s="1"/>
  <c r="BW299" i="4"/>
  <c r="BW302" i="4"/>
  <c r="BW53" i="11"/>
  <c r="BW52" i="11" s="1"/>
  <c r="AA53" i="67"/>
  <c r="AA52" i="67" s="1"/>
  <c r="BW1120" i="4"/>
  <c r="BW1113" i="4"/>
  <c r="BW1144" i="4" s="1"/>
  <c r="BV1178" i="4"/>
  <c r="BV1207" i="4" l="1"/>
  <c r="BV1209" i="4" s="1"/>
  <c r="BW307" i="4"/>
  <c r="BW331" i="4"/>
  <c r="BV1348" i="4"/>
  <c r="BW1173" i="4"/>
  <c r="BV27" i="11"/>
  <c r="BV1429" i="4"/>
  <c r="BW1044" i="4"/>
  <c r="BW1067" i="4" s="1"/>
  <c r="BW73" i="11"/>
  <c r="BW1224" i="4"/>
  <c r="BW1248" i="4"/>
  <c r="AA23" i="13"/>
  <c r="AA73" i="67"/>
  <c r="BV1313" i="4"/>
  <c r="BV1325" i="4"/>
  <c r="BW332" i="4" l="1"/>
  <c r="AA14" i="67" s="1"/>
  <c r="BV1326" i="4"/>
  <c r="BV1327" i="4" s="1"/>
  <c r="BV1363" i="4"/>
  <c r="BW1158" i="4"/>
  <c r="BW1174" i="4" s="1"/>
  <c r="BW1157" i="4"/>
  <c r="BW1068" i="4"/>
  <c r="BW395" i="4"/>
  <c r="BW396" i="4" s="1"/>
  <c r="BW397" i="4" s="1"/>
  <c r="BW398" i="4" s="1"/>
  <c r="BW399" i="4" s="1"/>
  <c r="BX394" i="4" s="1"/>
  <c r="BW405" i="4"/>
  <c r="BW406" i="4" s="1"/>
  <c r="BW407" i="4" s="1"/>
  <c r="BW408" i="4" s="1"/>
  <c r="BW409" i="4" s="1"/>
  <c r="BX404" i="4" s="1"/>
  <c r="BW385" i="4"/>
  <c r="BV1430" i="4"/>
  <c r="BV1431" i="4" s="1"/>
  <c r="BV1432" i="4"/>
  <c r="BV1208" i="4"/>
  <c r="BV48" i="62"/>
  <c r="BV24" i="62" s="1"/>
  <c r="BV1229" i="4"/>
  <c r="BV1230" i="4" s="1"/>
  <c r="BV1234" i="4" s="1"/>
  <c r="BW1213" i="4" s="1"/>
  <c r="BV58" i="11"/>
  <c r="BV59" i="11" s="1"/>
  <c r="BV28" i="11" s="1"/>
  <c r="BV1252" i="4"/>
  <c r="BV90" i="11"/>
  <c r="BV91" i="11" s="1"/>
  <c r="BV93" i="11" s="1"/>
  <c r="BV96" i="11" s="1"/>
  <c r="BV97" i="11" s="1"/>
  <c r="BV22" i="66"/>
  <c r="BW14" i="11" l="1"/>
  <c r="BW1051" i="4"/>
  <c r="BV26" i="62"/>
  <c r="BW1164" i="4"/>
  <c r="BW1159" i="4"/>
  <c r="BV100" i="11"/>
  <c r="BV1263" i="4"/>
  <c r="BV1264" i="4" s="1"/>
  <c r="BV100" i="67"/>
  <c r="BV1385" i="4"/>
  <c r="BV1384" i="4" s="1"/>
  <c r="BV101" i="67"/>
  <c r="BV24" i="66"/>
  <c r="BV20" i="66" s="1"/>
  <c r="BV26" i="66" s="1"/>
  <c r="BV1253" i="4"/>
  <c r="BV1254" i="4" s="1"/>
  <c r="BV21" i="11"/>
  <c r="BV17" i="11" s="1"/>
  <c r="BV44" i="66"/>
  <c r="BV40" i="66" s="1"/>
  <c r="BV46" i="66" s="1"/>
  <c r="BV101" i="11"/>
  <c r="BV46" i="62"/>
  <c r="BW95" i="11"/>
  <c r="BV1364" i="4"/>
  <c r="BV1365" i="4" s="1"/>
  <c r="BW500" i="4"/>
  <c r="BW489" i="4"/>
  <c r="BW386" i="4"/>
  <c r="BW387" i="4" s="1"/>
  <c r="BV25" i="11"/>
  <c r="BV99" i="11" l="1"/>
  <c r="BV1266" i="4"/>
  <c r="BW1231" i="4"/>
  <c r="BW1260" i="4"/>
  <c r="BW42" i="62"/>
  <c r="BW85" i="11"/>
  <c r="BW1167" i="4"/>
  <c r="BW1168" i="4" s="1"/>
  <c r="AA85" i="67"/>
  <c r="BW501" i="4"/>
  <c r="BW502" i="4" s="1"/>
  <c r="BW490" i="4"/>
  <c r="BW388" i="4"/>
  <c r="BW389" i="4" s="1"/>
  <c r="BX384" i="4" s="1"/>
  <c r="BV1397" i="4"/>
  <c r="BV1392" i="4" s="1"/>
  <c r="BV1398" i="4"/>
  <c r="BV1393" i="4" s="1"/>
  <c r="BV37" i="11"/>
  <c r="BV48" i="66"/>
  <c r="BV1386" i="4"/>
  <c r="BV1383" i="4" s="1"/>
  <c r="BV23" i="11"/>
  <c r="BV39" i="11" l="1"/>
  <c r="BV40" i="11" s="1"/>
  <c r="BW51" i="11"/>
  <c r="BW64" i="62"/>
  <c r="AA51" i="67"/>
  <c r="BX499" i="4"/>
  <c r="BX1023" i="4" s="1"/>
  <c r="BW1024" i="4"/>
  <c r="BW1026" i="4" s="1"/>
  <c r="BW1027" i="4" s="1"/>
  <c r="BW1028" i="4" s="1"/>
  <c r="BX1163" i="4"/>
  <c r="BW26" i="11"/>
  <c r="AA26" i="67"/>
  <c r="BW52" i="62"/>
  <c r="BW43" i="62"/>
  <c r="BW23" i="62" s="1"/>
  <c r="BW491" i="4"/>
  <c r="BV1439" i="4"/>
  <c r="BV1440" i="4" s="1"/>
  <c r="BV1396" i="4"/>
  <c r="BV1391" i="4" s="1"/>
  <c r="BW907" i="4" l="1"/>
  <c r="BW911" i="4" s="1"/>
  <c r="BW62" i="64"/>
  <c r="AA15" i="67"/>
  <c r="AA13" i="67" s="1"/>
  <c r="BX488" i="4"/>
  <c r="BW15" i="11"/>
  <c r="BW13" i="11" s="1"/>
  <c r="BW16" i="66"/>
  <c r="BW14" i="66" s="1"/>
  <c r="BW13" i="66" s="1"/>
  <c r="BW78" i="64" l="1"/>
  <c r="BW70" i="64"/>
  <c r="BW1217" i="4"/>
  <c r="BW1221" i="4" s="1"/>
  <c r="BW1043" i="4"/>
  <c r="BW915" i="4"/>
  <c r="BW1243" i="4"/>
  <c r="BW71" i="11"/>
  <c r="AA40" i="13"/>
  <c r="AA71" i="67"/>
  <c r="BW996" i="4" l="1"/>
  <c r="BW1000" i="4" s="1"/>
  <c r="BW1004" i="4" s="1"/>
  <c r="BW47" i="11"/>
  <c r="AA20" i="72"/>
  <c r="AA47" i="67"/>
  <c r="AA62" i="67" l="1"/>
  <c r="AA64" i="67" s="1"/>
  <c r="AA48" i="67"/>
  <c r="AA55" i="67" s="1"/>
  <c r="AA61" i="67"/>
  <c r="AA63" i="67" s="1"/>
  <c r="BW1012" i="4"/>
  <c r="BW1005" i="4"/>
  <c r="BW61" i="11"/>
  <c r="BW62" i="11"/>
  <c r="BW48" i="11"/>
  <c r="BW55" i="11" s="1"/>
  <c r="BW1395" i="4" l="1"/>
  <c r="BW62" i="62"/>
  <c r="BW64" i="11"/>
  <c r="BW1016" i="4"/>
  <c r="BW1013" i="4" s="1"/>
  <c r="BW1014" i="4" s="1"/>
  <c r="BX1011" i="4" s="1"/>
  <c r="BW63" i="11"/>
  <c r="AA1449" i="4"/>
  <c r="BW1006" i="4" l="1"/>
  <c r="BW1007" i="4" s="1"/>
  <c r="BW63" i="62" s="1"/>
  <c r="BW67" i="62" s="1"/>
  <c r="BW61" i="64" l="1"/>
  <c r="BW1246" i="4"/>
  <c r="BW56" i="11"/>
  <c r="BW57" i="11" s="1"/>
  <c r="BW1222" i="4"/>
  <c r="BW1223" i="4" s="1"/>
  <c r="BW75" i="11"/>
  <c r="BW1046" i="4"/>
  <c r="BW1053" i="4" s="1"/>
  <c r="BW1055" i="4" s="1"/>
  <c r="BW1058" i="4" s="1"/>
  <c r="AA41" i="13"/>
  <c r="AA43" i="13" s="1"/>
  <c r="AA56" i="67"/>
  <c r="AA57" i="67" s="1"/>
  <c r="AA75" i="67"/>
  <c r="BW68" i="62"/>
  <c r="BW1236" i="4" l="1"/>
  <c r="BW1394" i="4"/>
  <c r="BW1206" i="4"/>
  <c r="BW77" i="64"/>
  <c r="BW82" i="64" s="1"/>
  <c r="BW69" i="64"/>
  <c r="BW74" i="64" s="1"/>
  <c r="BW66" i="64"/>
  <c r="BW40" i="64" s="1"/>
  <c r="BW42" i="64" s="1"/>
  <c r="BW52" i="64" l="1"/>
  <c r="BW49" i="64"/>
  <c r="BW1116" i="4"/>
  <c r="BW1117" i="4" s="1"/>
  <c r="BW1119" i="4" s="1"/>
  <c r="BW1121" i="4" s="1"/>
  <c r="BW1087" i="4" s="1"/>
  <c r="BW1137" i="4" l="1"/>
  <c r="BW1088" i="4"/>
  <c r="BX1085" i="4" l="1"/>
  <c r="BX1130" i="4"/>
  <c r="BX1148" i="4" s="1"/>
  <c r="BW1225" i="4"/>
  <c r="BW1226" i="4" s="1"/>
  <c r="BW1247" i="4"/>
  <c r="BW1347" i="4"/>
  <c r="BW38" i="66"/>
  <c r="BW88" i="11"/>
  <c r="AA24" i="13"/>
  <c r="AA88" i="67"/>
  <c r="BW1138" i="4"/>
  <c r="BW1404" i="4"/>
  <c r="BW1204" i="4" l="1"/>
  <c r="BW1194" i="4"/>
  <c r="AA31" i="67"/>
  <c r="AA30" i="67" s="1"/>
  <c r="AA1448" i="4"/>
  <c r="AA1452" i="4" s="1"/>
  <c r="BW31" i="11"/>
  <c r="BW1438" i="4"/>
  <c r="BW1412" i="4"/>
  <c r="BW1428" i="4"/>
  <c r="BX1135" i="4"/>
  <c r="BX1086" i="4"/>
  <c r="BW30" i="11" l="1"/>
  <c r="BW45" i="62"/>
  <c r="BX1415" i="4"/>
  <c r="BW1175" i="4"/>
  <c r="BW1197" i="4"/>
  <c r="BW1198" i="4" s="1"/>
  <c r="BW1188" i="4" s="1"/>
  <c r="BX1136" i="4"/>
  <c r="BX1129" i="4"/>
  <c r="BX1147" i="4" s="1"/>
  <c r="BX1149" i="4" s="1"/>
  <c r="BX1125" i="4"/>
  <c r="BX1101" i="4"/>
  <c r="BW1413" i="4"/>
  <c r="BX1103" i="4" l="1"/>
  <c r="BX1092" i="4" s="1"/>
  <c r="BX1093" i="4" s="1"/>
  <c r="BX1111" i="4" s="1"/>
  <c r="BX1102" i="4"/>
  <c r="BX1112" i="4"/>
  <c r="BX1141" i="4" s="1"/>
  <c r="BX297" i="4"/>
  <c r="BX305" i="4" s="1"/>
  <c r="BX330" i="4" s="1"/>
  <c r="BX1249" i="4"/>
  <c r="BX1218" i="4"/>
  <c r="BX72" i="11"/>
  <c r="BX37" i="66"/>
  <c r="BX1045" i="4"/>
  <c r="BX50" i="11"/>
  <c r="BX999" i="4"/>
  <c r="BX18" i="66"/>
  <c r="BX1259" i="4"/>
  <c r="BX1233" i="4"/>
  <c r="BX87" i="11"/>
  <c r="BX1346" i="4"/>
  <c r="BW1418" i="4"/>
  <c r="BW1416" i="4"/>
  <c r="BW1187" i="4"/>
  <c r="BW1176" i="4" s="1"/>
  <c r="BW1189" i="4"/>
  <c r="BW1180" i="4"/>
  <c r="BW1184" i="4"/>
  <c r="BW1191" i="4" s="1"/>
  <c r="BW1422" i="4"/>
  <c r="BX1104" i="4" l="1"/>
  <c r="BX1120" i="4" s="1"/>
  <c r="BW74" i="11"/>
  <c r="BW78" i="11" s="1"/>
  <c r="BW1250" i="4"/>
  <c r="BW1227" i="4"/>
  <c r="BW1195" i="4"/>
  <c r="BW1199" i="4" s="1"/>
  <c r="BW1177" i="4" s="1"/>
  <c r="AA74" i="67"/>
  <c r="AA78" i="67" s="1"/>
  <c r="BW36" i="66"/>
  <c r="BW1309" i="4"/>
  <c r="BW1419" i="4"/>
  <c r="BX456" i="4"/>
  <c r="BX458" i="4" s="1"/>
  <c r="BX459" i="4" s="1"/>
  <c r="BY468" i="4"/>
  <c r="BX478" i="4"/>
  <c r="BX480" i="4" s="1"/>
  <c r="BX481" i="4" s="1"/>
  <c r="BX482" i="4" s="1"/>
  <c r="BX483" i="4" s="1"/>
  <c r="BY477" i="4" s="1"/>
  <c r="BX467" i="4"/>
  <c r="BX469" i="4" s="1"/>
  <c r="BX470" i="4" s="1"/>
  <c r="BX471" i="4" s="1"/>
  <c r="BX472" i="4" s="1"/>
  <c r="BY466" i="4" s="1"/>
  <c r="BY457" i="4"/>
  <c r="BY479" i="4"/>
  <c r="BX997" i="4"/>
  <c r="BX1142" i="4"/>
  <c r="BX294" i="4" s="1"/>
  <c r="BX1143" i="4"/>
  <c r="BX49" i="11"/>
  <c r="BW1261" i="4"/>
  <c r="BW19" i="66"/>
  <c r="BW17" i="66" s="1"/>
  <c r="BW1232" i="4"/>
  <c r="BW86" i="11"/>
  <c r="AA86" i="67"/>
  <c r="BW1403" i="4"/>
  <c r="BW1406" i="4" s="1"/>
  <c r="BX1113" i="4" l="1"/>
  <c r="BX1144" i="4" s="1"/>
  <c r="BX1248" i="4" s="1"/>
  <c r="BY495" i="4"/>
  <c r="BY995" i="4" s="1"/>
  <c r="BW39" i="66"/>
  <c r="BW35" i="66" s="1"/>
  <c r="BW1228" i="4"/>
  <c r="BW1205" i="4" s="1"/>
  <c r="BW1251" i="4"/>
  <c r="BW89" i="11"/>
  <c r="AA89" i="67"/>
  <c r="BX53" i="11"/>
  <c r="BX52" i="11" s="1"/>
  <c r="BX460" i="4"/>
  <c r="BX461" i="4" s="1"/>
  <c r="BY455" i="4" s="1"/>
  <c r="BX494" i="4"/>
  <c r="BX994" i="4" s="1"/>
  <c r="BW1308" i="4"/>
  <c r="BW1311" i="4" s="1"/>
  <c r="BW1344" i="4"/>
  <c r="BX299" i="4"/>
  <c r="BX302" i="4"/>
  <c r="BW1178" i="4"/>
  <c r="BX1044" i="4" l="1"/>
  <c r="BX1067" i="4" s="1"/>
  <c r="BX1068" i="4" s="1"/>
  <c r="BX73" i="11"/>
  <c r="BX1224" i="4"/>
  <c r="BW1348" i="4"/>
  <c r="AA13" i="13"/>
  <c r="BX307" i="4"/>
  <c r="BX331" i="4"/>
  <c r="BW1313" i="4"/>
  <c r="AA14" i="72"/>
  <c r="BW1325" i="4"/>
  <c r="BW1207" i="4"/>
  <c r="BW1209" i="4" s="1"/>
  <c r="BW27" i="11"/>
  <c r="AA27" i="67"/>
  <c r="BX1173" i="4"/>
  <c r="BW1429" i="4"/>
  <c r="BX1158" i="4" l="1"/>
  <c r="BX1174" i="4" s="1"/>
  <c r="BX1157" i="4"/>
  <c r="BX332" i="4"/>
  <c r="BX14" i="11" s="1"/>
  <c r="BW1252" i="4"/>
  <c r="BW58" i="11"/>
  <c r="BW59" i="11" s="1"/>
  <c r="BW28" i="11" s="1"/>
  <c r="BW25" i="11" s="1"/>
  <c r="BW1229" i="4"/>
  <c r="BW1230" i="4" s="1"/>
  <c r="BW1234" i="4" s="1"/>
  <c r="BX1213" i="4" s="1"/>
  <c r="BW90" i="11"/>
  <c r="BW91" i="11" s="1"/>
  <c r="BW93" i="11" s="1"/>
  <c r="BW96" i="11" s="1"/>
  <c r="BW97" i="11" s="1"/>
  <c r="BW48" i="62"/>
  <c r="BW24" i="62" s="1"/>
  <c r="AA58" i="67"/>
  <c r="AA59" i="67" s="1"/>
  <c r="AA90" i="67"/>
  <c r="AA91" i="67" s="1"/>
  <c r="AA93" i="67" s="1"/>
  <c r="AA96" i="67" s="1"/>
  <c r="AA97" i="67" s="1"/>
  <c r="BW22" i="66"/>
  <c r="BW1326" i="4"/>
  <c r="BW1327" i="4" s="1"/>
  <c r="BX385" i="4"/>
  <c r="BX395" i="4"/>
  <c r="BX396" i="4" s="1"/>
  <c r="BX397" i="4" s="1"/>
  <c r="BX398" i="4" s="1"/>
  <c r="BX399" i="4" s="1"/>
  <c r="BY394" i="4" s="1"/>
  <c r="BX405" i="4"/>
  <c r="BX406" i="4" s="1"/>
  <c r="BX407" i="4" s="1"/>
  <c r="BX408" i="4" s="1"/>
  <c r="BX409" i="4" s="1"/>
  <c r="BY404" i="4" s="1"/>
  <c r="BW1430" i="4"/>
  <c r="BW1431" i="4" s="1"/>
  <c r="BW1432" i="4"/>
  <c r="BW1208" i="4"/>
  <c r="AA15" i="72"/>
  <c r="BW1363" i="4"/>
  <c r="BX1159" i="4" l="1"/>
  <c r="BX1164" i="4"/>
  <c r="BX1231" i="4" s="1"/>
  <c r="BW37" i="11"/>
  <c r="BW1397" i="4"/>
  <c r="BW1392" i="4" s="1"/>
  <c r="BW1398" i="4"/>
  <c r="BW1393" i="4" s="1"/>
  <c r="AB95" i="67"/>
  <c r="BW26" i="62"/>
  <c r="BW1385" i="4"/>
  <c r="BW1384" i="4" s="1"/>
  <c r="BX95" i="11"/>
  <c r="BW101" i="67"/>
  <c r="BW100" i="11"/>
  <c r="BW100" i="67"/>
  <c r="AA1450" i="4"/>
  <c r="AA1457" i="4" s="1"/>
  <c r="BW46" i="62"/>
  <c r="BW1263" i="4"/>
  <c r="BW1264" i="4" s="1"/>
  <c r="BW101" i="11"/>
  <c r="BW21" i="11"/>
  <c r="BW17" i="11" s="1"/>
  <c r="BW44" i="66"/>
  <c r="BW40" i="66" s="1"/>
  <c r="BW46" i="66" s="1"/>
  <c r="BW1253" i="4"/>
  <c r="BW1254" i="4" s="1"/>
  <c r="BW24" i="66"/>
  <c r="BW20" i="66" s="1"/>
  <c r="BW26" i="66" s="1"/>
  <c r="AA21" i="67"/>
  <c r="AA17" i="67" s="1"/>
  <c r="AA23" i="67" s="1"/>
  <c r="BX1051" i="4"/>
  <c r="BW1364" i="4"/>
  <c r="BW1365" i="4" s="1"/>
  <c r="AA28" i="67"/>
  <c r="AA25" i="67" s="1"/>
  <c r="AA37" i="67" s="1"/>
  <c r="BX500" i="4"/>
  <c r="BX489" i="4"/>
  <c r="BX386" i="4"/>
  <c r="BX387" i="4" s="1"/>
  <c r="BX1167" i="4" l="1"/>
  <c r="BX1168" i="4" s="1"/>
  <c r="BY1163" i="4" s="1"/>
  <c r="BX1260" i="4"/>
  <c r="BX85" i="11"/>
  <c r="BX42" i="62"/>
  <c r="BX52" i="62" s="1"/>
  <c r="BW1266" i="4"/>
  <c r="AA39" i="67"/>
  <c r="AA40" i="67" s="1"/>
  <c r="BW99" i="11"/>
  <c r="BX501" i="4"/>
  <c r="BX502" i="4" s="1"/>
  <c r="BX490" i="4"/>
  <c r="BX491" i="4" s="1"/>
  <c r="BX388" i="4"/>
  <c r="BX389" i="4" s="1"/>
  <c r="BY384" i="4" s="1"/>
  <c r="AA99" i="67"/>
  <c r="BW48" i="66"/>
  <c r="BW1386" i="4"/>
  <c r="BW1383" i="4" s="1"/>
  <c r="BW23" i="11"/>
  <c r="BX26" i="11" l="1"/>
  <c r="BX43" i="62"/>
  <c r="BX23" i="62" s="1"/>
  <c r="BX16" i="66" s="1"/>
  <c r="BX14" i="66" s="1"/>
  <c r="BX13" i="66" s="1"/>
  <c r="BY488" i="4"/>
  <c r="BX15" i="11"/>
  <c r="BX13" i="11" s="1"/>
  <c r="BW1439" i="4"/>
  <c r="BW1440" i="4" s="1"/>
  <c r="BW1396" i="4"/>
  <c r="BW1391" i="4" s="1"/>
  <c r="BW39" i="11"/>
  <c r="BW40" i="11" s="1"/>
  <c r="BX64" i="62"/>
  <c r="BX51" i="11"/>
  <c r="BY499" i="4"/>
  <c r="BY1023" i="4" s="1"/>
  <c r="BX1024" i="4"/>
  <c r="BX1026" i="4" s="1"/>
  <c r="BX1027" i="4" s="1"/>
  <c r="BX1028" i="4" s="1"/>
  <c r="BX62" i="64" l="1"/>
  <c r="BX907" i="4"/>
  <c r="BX911" i="4" s="1"/>
  <c r="BX78" i="64" l="1"/>
  <c r="BX70" i="64"/>
  <c r="BX915" i="4"/>
  <c r="BX71" i="11"/>
  <c r="BX1243" i="4"/>
  <c r="BX1043" i="4"/>
  <c r="BX1217" i="4"/>
  <c r="BX1221" i="4" s="1"/>
  <c r="BX996" i="4" l="1"/>
  <c r="BX1000" i="4" s="1"/>
  <c r="BX1004" i="4" s="1"/>
  <c r="BX47" i="11"/>
  <c r="BX61" i="11" l="1"/>
  <c r="BX62" i="11"/>
  <c r="BX48" i="11"/>
  <c r="BX55" i="11" s="1"/>
  <c r="BX1005" i="4"/>
  <c r="BX1012" i="4"/>
  <c r="BX62" i="62" l="1"/>
  <c r="BX64" i="11"/>
  <c r="BX1395" i="4"/>
  <c r="BX1016" i="4"/>
  <c r="BX1013" i="4" s="1"/>
  <c r="BX1014" i="4" s="1"/>
  <c r="BY1011" i="4" s="1"/>
  <c r="BX63" i="11"/>
  <c r="BX1006" i="4" l="1"/>
  <c r="BX1007" i="4" s="1"/>
  <c r="BX63" i="62" s="1"/>
  <c r="BX67" i="62" s="1"/>
  <c r="BX68" i="62" l="1"/>
  <c r="BX75" i="11"/>
  <c r="BX1246" i="4"/>
  <c r="BX1222" i="4"/>
  <c r="BX1223" i="4" s="1"/>
  <c r="BX56" i="11"/>
  <c r="BX57" i="11" s="1"/>
  <c r="BX61" i="64"/>
  <c r="BX1046" i="4"/>
  <c r="BX1053" i="4" s="1"/>
  <c r="BX1055" i="4" s="1"/>
  <c r="BX1058" i="4" s="1"/>
  <c r="BX1394" i="4" l="1"/>
  <c r="BX1206" i="4"/>
  <c r="BX1236" i="4"/>
  <c r="BX69" i="64"/>
  <c r="BX74" i="64" s="1"/>
  <c r="BX66" i="64"/>
  <c r="BX40" i="64" s="1"/>
  <c r="BX42" i="64" s="1"/>
  <c r="BX77" i="64"/>
  <c r="BX82" i="64" s="1"/>
  <c r="BX52" i="64" l="1"/>
  <c r="BX49" i="64"/>
  <c r="BX1116" i="4"/>
  <c r="BX1117" i="4" s="1"/>
  <c r="BX1119" i="4" s="1"/>
  <c r="BX1121" i="4" s="1"/>
  <c r="BX1087" i="4" s="1"/>
  <c r="BX1137" i="4" l="1"/>
  <c r="BX1088" i="4"/>
  <c r="BY1085" i="4" l="1"/>
  <c r="BY1130" i="4"/>
  <c r="BY1148" i="4" s="1"/>
  <c r="BX1347" i="4"/>
  <c r="BX1225" i="4"/>
  <c r="BX1226" i="4" s="1"/>
  <c r="BX1247" i="4"/>
  <c r="BX88" i="11"/>
  <c r="BX38" i="66"/>
  <c r="BX1138" i="4"/>
  <c r="BX1404" i="4"/>
  <c r="BX1204" i="4" l="1"/>
  <c r="BX1194" i="4"/>
  <c r="BX1428" i="4"/>
  <c r="BX1438" i="4"/>
  <c r="BX31" i="11"/>
  <c r="BY1135" i="4"/>
  <c r="BX1412" i="4"/>
  <c r="BY1086" i="4"/>
  <c r="BX45" i="62" l="1"/>
  <c r="BX30" i="11"/>
  <c r="BY1129" i="4"/>
  <c r="BY1147" i="4" s="1"/>
  <c r="BY1149" i="4" s="1"/>
  <c r="BY1136" i="4"/>
  <c r="BY1125" i="4"/>
  <c r="BY1101" i="4"/>
  <c r="BX1197" i="4"/>
  <c r="BX1198" i="4" s="1"/>
  <c r="BX1188" i="4" s="1"/>
  <c r="BX1175" i="4"/>
  <c r="BX1413" i="4"/>
  <c r="BX1422" i="4" s="1"/>
  <c r="BY1415" i="4"/>
  <c r="BY1103" i="4" l="1"/>
  <c r="BY1092" i="4" s="1"/>
  <c r="BY1093" i="4" s="1"/>
  <c r="BY1111" i="4" s="1"/>
  <c r="BY1112" i="4"/>
  <c r="BY1141" i="4" s="1"/>
  <c r="BY1102" i="4"/>
  <c r="BX1187" i="4"/>
  <c r="BX1176" i="4" s="1"/>
  <c r="BX1189" i="4"/>
  <c r="BY1249" i="4"/>
  <c r="BY1045" i="4"/>
  <c r="BY999" i="4"/>
  <c r="BY1218" i="4"/>
  <c r="BY37" i="66"/>
  <c r="BY297" i="4"/>
  <c r="BY305" i="4" s="1"/>
  <c r="BY330" i="4" s="1"/>
  <c r="BY50" i="11"/>
  <c r="BY72" i="11"/>
  <c r="BY18" i="66"/>
  <c r="BY1233" i="4"/>
  <c r="BY1346" i="4"/>
  <c r="BY87" i="11"/>
  <c r="BY1259" i="4"/>
  <c r="BX1184" i="4"/>
  <c r="BX1191" i="4" s="1"/>
  <c r="BX1180" i="4"/>
  <c r="BX1418" i="4"/>
  <c r="BX1416" i="4"/>
  <c r="BY1104" i="4" l="1"/>
  <c r="BY1120" i="4" s="1"/>
  <c r="BX1419" i="4"/>
  <c r="BX1250" i="4"/>
  <c r="BX1195" i="4"/>
  <c r="BX1199" i="4" s="1"/>
  <c r="BX1177" i="4" s="1"/>
  <c r="BX1227" i="4"/>
  <c r="BX74" i="11"/>
  <c r="BX78" i="11" s="1"/>
  <c r="BX1309" i="4"/>
  <c r="BX36" i="66"/>
  <c r="BY49" i="11"/>
  <c r="BY478" i="4"/>
  <c r="BY480" i="4" s="1"/>
  <c r="BY481" i="4" s="1"/>
  <c r="BY482" i="4" s="1"/>
  <c r="BY483" i="4" s="1"/>
  <c r="BZ477" i="4" s="1"/>
  <c r="BY456" i="4"/>
  <c r="BY458" i="4" s="1"/>
  <c r="BY459" i="4" s="1"/>
  <c r="BY467" i="4"/>
  <c r="BY469" i="4" s="1"/>
  <c r="BY470" i="4" s="1"/>
  <c r="BY471" i="4" s="1"/>
  <c r="BY472" i="4" s="1"/>
  <c r="BZ466" i="4" s="1"/>
  <c r="BZ457" i="4"/>
  <c r="BZ468" i="4"/>
  <c r="BZ479" i="4"/>
  <c r="BY997" i="4"/>
  <c r="BY1142" i="4"/>
  <c r="BY294" i="4" s="1"/>
  <c r="BY1143" i="4"/>
  <c r="BX1232" i="4"/>
  <c r="BX19" i="66"/>
  <c r="BX17" i="66" s="1"/>
  <c r="BX86" i="11"/>
  <c r="BX1261" i="4"/>
  <c r="BX1403" i="4"/>
  <c r="BX1406" i="4" s="1"/>
  <c r="BY1113" i="4" l="1"/>
  <c r="BY1144" i="4" s="1"/>
  <c r="BY73" i="11" s="1"/>
  <c r="BY460" i="4"/>
  <c r="BY461" i="4" s="1"/>
  <c r="BZ455" i="4" s="1"/>
  <c r="BY494" i="4"/>
  <c r="BY994" i="4" s="1"/>
  <c r="BY53" i="11"/>
  <c r="BY52" i="11" s="1"/>
  <c r="BY299" i="4"/>
  <c r="BY302" i="4"/>
  <c r="BX1308" i="4"/>
  <c r="BX1311" i="4" s="1"/>
  <c r="BX1344" i="4"/>
  <c r="BZ495" i="4"/>
  <c r="BZ995" i="4" s="1"/>
  <c r="BX39" i="66"/>
  <c r="BX35" i="66" s="1"/>
  <c r="BX89" i="11"/>
  <c r="BX1228" i="4"/>
  <c r="BX1205" i="4" s="1"/>
  <c r="BX1251" i="4"/>
  <c r="BX1178" i="4"/>
  <c r="BY1224" i="4" l="1"/>
  <c r="BY1044" i="4"/>
  <c r="BY1067" i="4" s="1"/>
  <c r="BY1068" i="4" s="1"/>
  <c r="BY1248" i="4"/>
  <c r="BX1313" i="4"/>
  <c r="BX1325" i="4"/>
  <c r="BX1207" i="4"/>
  <c r="BX1209" i="4" s="1"/>
  <c r="BY331" i="4"/>
  <c r="BY307" i="4"/>
  <c r="BX27" i="11"/>
  <c r="BY1173" i="4"/>
  <c r="BX1429" i="4"/>
  <c r="BX1348" i="4"/>
  <c r="BY1158" i="4" l="1"/>
  <c r="BY1174" i="4" s="1"/>
  <c r="BY1157" i="4"/>
  <c r="BY332" i="4"/>
  <c r="BY14" i="11" s="1"/>
  <c r="BY395" i="4"/>
  <c r="BY396" i="4" s="1"/>
  <c r="BY397" i="4" s="1"/>
  <c r="BY398" i="4" s="1"/>
  <c r="BY399" i="4" s="1"/>
  <c r="BZ394" i="4" s="1"/>
  <c r="BY405" i="4"/>
  <c r="BY406" i="4" s="1"/>
  <c r="BY407" i="4" s="1"/>
  <c r="BY408" i="4" s="1"/>
  <c r="BY409" i="4" s="1"/>
  <c r="BZ404" i="4" s="1"/>
  <c r="BY385" i="4"/>
  <c r="BX1432" i="4"/>
  <c r="BX1430" i="4"/>
  <c r="BX1431" i="4" s="1"/>
  <c r="BX1208" i="4"/>
  <c r="BX1363" i="4"/>
  <c r="BX90" i="11"/>
  <c r="BX91" i="11" s="1"/>
  <c r="BX93" i="11" s="1"/>
  <c r="BX96" i="11" s="1"/>
  <c r="BX97" i="11" s="1"/>
  <c r="BX58" i="11"/>
  <c r="BX59" i="11" s="1"/>
  <c r="BX28" i="11" s="1"/>
  <c r="BX25" i="11" s="1"/>
  <c r="BX1229" i="4"/>
  <c r="BX1230" i="4" s="1"/>
  <c r="BX1234" i="4" s="1"/>
  <c r="BY1213" i="4" s="1"/>
  <c r="BX48" i="62"/>
  <c r="BX24" i="62" s="1"/>
  <c r="BX1252" i="4"/>
  <c r="BX22" i="66"/>
  <c r="BX1326" i="4"/>
  <c r="BX1327" i="4" s="1"/>
  <c r="BY1159" i="4" l="1"/>
  <c r="BY1164" i="4"/>
  <c r="BY1231" i="4" s="1"/>
  <c r="BX1364" i="4"/>
  <c r="BX1365" i="4" s="1"/>
  <c r="BY500" i="4"/>
  <c r="BY386" i="4"/>
  <c r="BY387" i="4" s="1"/>
  <c r="BY489" i="4"/>
  <c r="BX26" i="62"/>
  <c r="BY1051" i="4"/>
  <c r="BX1397" i="4"/>
  <c r="BX1392" i="4" s="1"/>
  <c r="BX1398" i="4"/>
  <c r="BX1393" i="4" s="1"/>
  <c r="BX37" i="11"/>
  <c r="BX1385" i="4"/>
  <c r="BX1384" i="4" s="1"/>
  <c r="BX101" i="67"/>
  <c r="BX44" i="66"/>
  <c r="BX40" i="66" s="1"/>
  <c r="BX46" i="66" s="1"/>
  <c r="BX1253" i="4"/>
  <c r="BX1254" i="4" s="1"/>
  <c r="BX1263" i="4"/>
  <c r="BX1264" i="4" s="1"/>
  <c r="BX24" i="66"/>
  <c r="BX20" i="66" s="1"/>
  <c r="BX26" i="66" s="1"/>
  <c r="BX21" i="11"/>
  <c r="BX17" i="11" s="1"/>
  <c r="BX100" i="67"/>
  <c r="BX46" i="62"/>
  <c r="BX100" i="11"/>
  <c r="BX101" i="11"/>
  <c r="BY95" i="11"/>
  <c r="BY42" i="62" l="1"/>
  <c r="BY52" i="62" s="1"/>
  <c r="BY1260" i="4"/>
  <c r="BY1167" i="4"/>
  <c r="BY1168" i="4" s="1"/>
  <c r="BZ1163" i="4" s="1"/>
  <c r="BY85" i="11"/>
  <c r="BX1266" i="4"/>
  <c r="BX1386" i="4"/>
  <c r="BX1383" i="4" s="1"/>
  <c r="BX23" i="11"/>
  <c r="BX39" i="11" s="1"/>
  <c r="BX40" i="11" s="1"/>
  <c r="BX48" i="66"/>
  <c r="BY501" i="4"/>
  <c r="BY502" i="4" s="1"/>
  <c r="BY490" i="4"/>
  <c r="BY388" i="4"/>
  <c r="BY389" i="4" s="1"/>
  <c r="BZ384" i="4" s="1"/>
  <c r="BX99" i="11"/>
  <c r="BY43" i="62" l="1"/>
  <c r="BY23" i="62" s="1"/>
  <c r="BY16" i="66" s="1"/>
  <c r="BY14" i="66" s="1"/>
  <c r="BY13" i="66" s="1"/>
  <c r="BY26" i="11"/>
  <c r="BY1024" i="4"/>
  <c r="BY1026" i="4" s="1"/>
  <c r="BY1027" i="4" s="1"/>
  <c r="BY1028" i="4" s="1"/>
  <c r="BZ499" i="4"/>
  <c r="BZ1023" i="4" s="1"/>
  <c r="BY51" i="11"/>
  <c r="BY64" i="62"/>
  <c r="BY491" i="4"/>
  <c r="BX1439" i="4"/>
  <c r="BX1440" i="4" s="1"/>
  <c r="BX1396" i="4"/>
  <c r="BX1391" i="4" s="1"/>
  <c r="BZ488" i="4" l="1"/>
  <c r="BY15" i="11"/>
  <c r="BY13" i="11" s="1"/>
  <c r="BY907" i="4"/>
  <c r="BY911" i="4" s="1"/>
  <c r="BY62" i="64"/>
  <c r="BY70" i="64" l="1"/>
  <c r="BY78" i="64"/>
  <c r="BY1243" i="4"/>
  <c r="BY71" i="11"/>
  <c r="BY1217" i="4"/>
  <c r="BY1221" i="4" s="1"/>
  <c r="BY1043" i="4"/>
  <c r="BY915" i="4"/>
  <c r="BY996" i="4" l="1"/>
  <c r="BY1000" i="4" s="1"/>
  <c r="BY1004" i="4" s="1"/>
  <c r="BY47" i="11"/>
  <c r="BY48" i="11" l="1"/>
  <c r="BY55" i="11" s="1"/>
  <c r="BY61" i="11"/>
  <c r="BY62" i="11"/>
  <c r="BY1005" i="4"/>
  <c r="BY1012" i="4"/>
  <c r="BY62" i="62" l="1"/>
  <c r="BY64" i="11"/>
  <c r="BY1395" i="4"/>
  <c r="BY63" i="11"/>
  <c r="BY1016" i="4"/>
  <c r="BY1013" i="4" s="1"/>
  <c r="BY1014" i="4" s="1"/>
  <c r="BZ1011" i="4" s="1"/>
  <c r="BY1006" i="4" l="1"/>
  <c r="BY1007" i="4" s="1"/>
  <c r="BY63" i="62" s="1"/>
  <c r="BY67" i="62" s="1"/>
  <c r="BY68" i="62" l="1"/>
  <c r="BY56" i="11"/>
  <c r="BY57" i="11" s="1"/>
  <c r="BY1246" i="4"/>
  <c r="BY1222" i="4"/>
  <c r="BY1223" i="4" s="1"/>
  <c r="BY1046" i="4"/>
  <c r="BY1053" i="4" s="1"/>
  <c r="BY1055" i="4" s="1"/>
  <c r="BY1058" i="4" s="1"/>
  <c r="BY61" i="64"/>
  <c r="BY75" i="11"/>
  <c r="BY1236" i="4" l="1"/>
  <c r="BY1394" i="4"/>
  <c r="BY1206" i="4"/>
  <c r="BY69" i="64"/>
  <c r="BY74" i="64" s="1"/>
  <c r="BY77" i="64"/>
  <c r="BY82" i="64" s="1"/>
  <c r="BY66" i="64"/>
  <c r="BY40" i="64" s="1"/>
  <c r="BY42" i="64" s="1"/>
  <c r="BY49" i="64" l="1"/>
  <c r="BY52" i="64"/>
  <c r="BY1116" i="4"/>
  <c r="BY1117" i="4" s="1"/>
  <c r="BY1119" i="4" s="1"/>
  <c r="BY1121" i="4" s="1"/>
  <c r="BY1087" i="4" s="1"/>
  <c r="BY1137" i="4" l="1"/>
  <c r="BY1088" i="4"/>
  <c r="BZ1085" i="4" l="1"/>
  <c r="BZ1130" i="4"/>
  <c r="BZ1148" i="4" s="1"/>
  <c r="BY1225" i="4"/>
  <c r="BY1226" i="4" s="1"/>
  <c r="BY88" i="11"/>
  <c r="BY38" i="66"/>
  <c r="BY1247" i="4"/>
  <c r="BY1347" i="4"/>
  <c r="BY1138" i="4"/>
  <c r="BY1404" i="4"/>
  <c r="BY1194" i="4" l="1"/>
  <c r="BY1204" i="4"/>
  <c r="BY1438" i="4"/>
  <c r="BZ1135" i="4"/>
  <c r="BY1428" i="4"/>
  <c r="BY31" i="11"/>
  <c r="BY1412" i="4"/>
  <c r="BZ1086" i="4"/>
  <c r="BY30" i="11" l="1"/>
  <c r="BY45" i="62"/>
  <c r="BZ1415" i="4"/>
  <c r="BZ1129" i="4"/>
  <c r="BZ1147" i="4" s="1"/>
  <c r="BZ1149" i="4" s="1"/>
  <c r="BZ1136" i="4"/>
  <c r="BZ1125" i="4"/>
  <c r="BZ1101" i="4"/>
  <c r="BY1413" i="4"/>
  <c r="BY1422" i="4" s="1"/>
  <c r="BY1197" i="4"/>
  <c r="BY1198" i="4" s="1"/>
  <c r="BY1188" i="4" s="1"/>
  <c r="BY1175" i="4"/>
  <c r="BZ1346" i="4" l="1"/>
  <c r="BZ87" i="11"/>
  <c r="BZ18" i="66"/>
  <c r="BZ1259" i="4"/>
  <c r="BZ1233" i="4"/>
  <c r="BZ999" i="4"/>
  <c r="BZ50" i="11"/>
  <c r="BZ1045" i="4"/>
  <c r="BZ297" i="4"/>
  <c r="BZ305" i="4" s="1"/>
  <c r="BZ330" i="4" s="1"/>
  <c r="BZ1249" i="4"/>
  <c r="BZ1218" i="4"/>
  <c r="BZ72" i="11"/>
  <c r="BZ37" i="66"/>
  <c r="BY1418" i="4"/>
  <c r="BY1416" i="4"/>
  <c r="BY1187" i="4"/>
  <c r="BY1176" i="4" s="1"/>
  <c r="BY1189" i="4"/>
  <c r="BZ1112" i="4"/>
  <c r="BZ1141" i="4" s="1"/>
  <c r="BZ1102" i="4"/>
  <c r="BZ1103" i="4"/>
  <c r="BZ1092" i="4" s="1"/>
  <c r="BZ1093" i="4" s="1"/>
  <c r="BZ1111" i="4" s="1"/>
  <c r="BY1184" i="4"/>
  <c r="BY1191" i="4" s="1"/>
  <c r="BY1180" i="4"/>
  <c r="BZ49" i="11" l="1"/>
  <c r="BZ1104" i="4"/>
  <c r="BZ997" i="4"/>
  <c r="BZ1142" i="4"/>
  <c r="BZ294" i="4" s="1"/>
  <c r="BZ1143" i="4"/>
  <c r="BY1227" i="4"/>
  <c r="BY1195" i="4"/>
  <c r="BY1199" i="4" s="1"/>
  <c r="BY1177" i="4" s="1"/>
  <c r="BY74" i="11"/>
  <c r="BY78" i="11" s="1"/>
  <c r="BY1250" i="4"/>
  <c r="BY36" i="66"/>
  <c r="BY1309" i="4"/>
  <c r="BY1232" i="4"/>
  <c r="BY86" i="11"/>
  <c r="BY1261" i="4"/>
  <c r="BY19" i="66"/>
  <c r="BY17" i="66" s="1"/>
  <c r="BY1403" i="4"/>
  <c r="BY1406" i="4" s="1"/>
  <c r="BY1419" i="4"/>
  <c r="BZ467" i="4"/>
  <c r="BZ469" i="4" s="1"/>
  <c r="BZ470" i="4" s="1"/>
  <c r="BZ471" i="4" s="1"/>
  <c r="BZ472" i="4" s="1"/>
  <c r="CA466" i="4" s="1"/>
  <c r="CA457" i="4"/>
  <c r="BZ456" i="4"/>
  <c r="BZ458" i="4" s="1"/>
  <c r="BZ459" i="4" s="1"/>
  <c r="CA468" i="4"/>
  <c r="CA479" i="4"/>
  <c r="BZ478" i="4"/>
  <c r="BZ480" i="4" s="1"/>
  <c r="BZ481" i="4" s="1"/>
  <c r="BZ482" i="4" s="1"/>
  <c r="BZ483" i="4" s="1"/>
  <c r="CA477" i="4" s="1"/>
  <c r="CA495" i="4" l="1"/>
  <c r="CA995" i="4" s="1"/>
  <c r="BZ494" i="4"/>
  <c r="BZ994" i="4" s="1"/>
  <c r="BZ460" i="4"/>
  <c r="BZ461" i="4" s="1"/>
  <c r="CA455" i="4" s="1"/>
  <c r="BZ53" i="11"/>
  <c r="BZ52" i="11" s="1"/>
  <c r="BZ299" i="4"/>
  <c r="BZ302" i="4"/>
  <c r="BZ1120" i="4"/>
  <c r="BZ1113" i="4"/>
  <c r="BZ1144" i="4" s="1"/>
  <c r="BY1344" i="4"/>
  <c r="BY1308" i="4"/>
  <c r="BY1311" i="4" s="1"/>
  <c r="BY39" i="66"/>
  <c r="BY35" i="66" s="1"/>
  <c r="BY1228" i="4"/>
  <c r="BY1205" i="4" s="1"/>
  <c r="BY1251" i="4"/>
  <c r="BY89" i="11"/>
  <c r="BY1178" i="4"/>
  <c r="BY1207" i="4" l="1"/>
  <c r="BY1209" i="4" s="1"/>
  <c r="BZ331" i="4"/>
  <c r="BZ307" i="4"/>
  <c r="BZ1248" i="4"/>
  <c r="BZ1224" i="4"/>
  <c r="BZ73" i="11"/>
  <c r="BZ1044" i="4"/>
  <c r="BZ1067" i="4" s="1"/>
  <c r="BZ1173" i="4"/>
  <c r="BY27" i="11"/>
  <c r="BY1429" i="4"/>
  <c r="BY1313" i="4"/>
  <c r="BY1325" i="4"/>
  <c r="BY1348" i="4"/>
  <c r="BZ332" i="4" l="1"/>
  <c r="BZ14" i="11" s="1"/>
  <c r="BZ1157" i="4"/>
  <c r="BZ1068" i="4"/>
  <c r="BZ1158" i="4"/>
  <c r="BZ1174" i="4" s="1"/>
  <c r="BY1363" i="4"/>
  <c r="BY1326" i="4"/>
  <c r="BY1327" i="4" s="1"/>
  <c r="BY1430" i="4"/>
  <c r="BY1431" i="4" s="1"/>
  <c r="BY1432" i="4"/>
  <c r="BZ385" i="4"/>
  <c r="BZ395" i="4"/>
  <c r="BZ396" i="4" s="1"/>
  <c r="BZ397" i="4" s="1"/>
  <c r="BZ398" i="4" s="1"/>
  <c r="BZ399" i="4" s="1"/>
  <c r="CA394" i="4" s="1"/>
  <c r="BZ405" i="4"/>
  <c r="BZ406" i="4" s="1"/>
  <c r="BZ407" i="4" s="1"/>
  <c r="BZ408" i="4" s="1"/>
  <c r="BZ409" i="4" s="1"/>
  <c r="CA404" i="4" s="1"/>
  <c r="BY1208" i="4"/>
  <c r="BY48" i="62"/>
  <c r="BY24" i="62" s="1"/>
  <c r="BY90" i="11"/>
  <c r="BY91" i="11" s="1"/>
  <c r="BY93" i="11" s="1"/>
  <c r="BY96" i="11" s="1"/>
  <c r="BY97" i="11" s="1"/>
  <c r="BY1229" i="4"/>
  <c r="BY1230" i="4" s="1"/>
  <c r="BY1234" i="4" s="1"/>
  <c r="BZ1213" i="4" s="1"/>
  <c r="BY58" i="11"/>
  <c r="BY59" i="11" s="1"/>
  <c r="BY28" i="11" s="1"/>
  <c r="BY1252" i="4"/>
  <c r="BY22" i="66"/>
  <c r="BZ500" i="4" l="1"/>
  <c r="BZ489" i="4"/>
  <c r="BZ386" i="4"/>
  <c r="BZ387" i="4" s="1"/>
  <c r="BZ1051" i="4"/>
  <c r="BY26" i="62"/>
  <c r="BY1253" i="4"/>
  <c r="BY1254" i="4" s="1"/>
  <c r="BY100" i="67"/>
  <c r="BY44" i="66"/>
  <c r="BY40" i="66" s="1"/>
  <c r="BY46" i="66" s="1"/>
  <c r="BY1385" i="4"/>
  <c r="BY1384" i="4" s="1"/>
  <c r="BY101" i="11"/>
  <c r="BY46" i="62"/>
  <c r="BY100" i="11"/>
  <c r="BY24" i="66"/>
  <c r="BY20" i="66" s="1"/>
  <c r="BY26" i="66" s="1"/>
  <c r="BY101" i="67"/>
  <c r="BY21" i="11"/>
  <c r="BY17" i="11" s="1"/>
  <c r="BZ95" i="11"/>
  <c r="BY1263" i="4"/>
  <c r="BY1264" i="4" s="1"/>
  <c r="BY25" i="11"/>
  <c r="BY1364" i="4"/>
  <c r="BY1365" i="4" s="1"/>
  <c r="BZ1164" i="4"/>
  <c r="BZ1159" i="4"/>
  <c r="BY99" i="11" l="1"/>
  <c r="BY37" i="11"/>
  <c r="BY1398" i="4"/>
  <c r="BY1393" i="4" s="1"/>
  <c r="BY1397" i="4"/>
  <c r="BY1392" i="4" s="1"/>
  <c r="BZ85" i="11"/>
  <c r="BZ1260" i="4"/>
  <c r="BZ42" i="62"/>
  <c r="BZ1231" i="4"/>
  <c r="BZ1167" i="4"/>
  <c r="BZ1168" i="4" s="1"/>
  <c r="BZ388" i="4"/>
  <c r="BZ389" i="4" s="1"/>
  <c r="CA384" i="4" s="1"/>
  <c r="BZ490" i="4"/>
  <c r="BZ491" i="4" s="1"/>
  <c r="BZ501" i="4"/>
  <c r="BZ502" i="4" s="1"/>
  <c r="BY48" i="66"/>
  <c r="BY1386" i="4"/>
  <c r="BY1383" i="4" s="1"/>
  <c r="BY23" i="11"/>
  <c r="BY1266" i="4"/>
  <c r="BY39" i="11" l="1"/>
  <c r="BY40" i="11" s="1"/>
  <c r="CA488" i="4"/>
  <c r="BZ15" i="11"/>
  <c r="BZ13" i="11" s="1"/>
  <c r="CA499" i="4"/>
  <c r="CA1023" i="4" s="1"/>
  <c r="BZ1024" i="4"/>
  <c r="BZ1026" i="4" s="1"/>
  <c r="BZ1027" i="4" s="1"/>
  <c r="BZ1028" i="4" s="1"/>
  <c r="BZ64" i="62"/>
  <c r="BZ51" i="11"/>
  <c r="BZ52" i="62"/>
  <c r="BZ43" i="62"/>
  <c r="BZ23" i="62" s="1"/>
  <c r="BY1439" i="4"/>
  <c r="BY1440" i="4" s="1"/>
  <c r="BY1396" i="4"/>
  <c r="BY1391" i="4" s="1"/>
  <c r="CA1163" i="4"/>
  <c r="BZ26" i="11"/>
  <c r="BZ907" i="4" l="1"/>
  <c r="BZ911" i="4" s="1"/>
  <c r="BZ62" i="64"/>
  <c r="BZ16" i="66"/>
  <c r="BZ14" i="66" s="1"/>
  <c r="BZ13" i="66" s="1"/>
  <c r="BZ78" i="64" l="1"/>
  <c r="BZ70" i="64"/>
  <c r="BZ1243" i="4"/>
  <c r="BZ915" i="4"/>
  <c r="BZ1217" i="4"/>
  <c r="BZ1221" i="4" s="1"/>
  <c r="BZ1043" i="4"/>
  <c r="BZ71" i="11"/>
  <c r="BZ47" i="11" l="1"/>
  <c r="BZ996" i="4"/>
  <c r="BZ1000" i="4" s="1"/>
  <c r="BZ1004" i="4" s="1"/>
  <c r="BZ1012" i="4" l="1"/>
  <c r="BZ1005" i="4"/>
  <c r="BZ61" i="11"/>
  <c r="BZ48" i="11"/>
  <c r="BZ55" i="11" s="1"/>
  <c r="BZ62" i="11"/>
  <c r="BZ1016" i="4" l="1"/>
  <c r="BZ1013" i="4" s="1"/>
  <c r="BZ1014" i="4" s="1"/>
  <c r="CA1011" i="4" s="1"/>
  <c r="BZ62" i="62"/>
  <c r="BZ64" i="11"/>
  <c r="BZ1395" i="4"/>
  <c r="BZ63" i="11"/>
  <c r="BZ1006" i="4" l="1"/>
  <c r="BZ1007" i="4" s="1"/>
  <c r="BZ63" i="62" s="1"/>
  <c r="BZ67" i="62" s="1"/>
  <c r="BZ56" i="11" l="1"/>
  <c r="BZ57" i="11" s="1"/>
  <c r="BZ1246" i="4"/>
  <c r="BZ1222" i="4"/>
  <c r="BZ1223" i="4" s="1"/>
  <c r="BZ1046" i="4"/>
  <c r="BZ1053" i="4" s="1"/>
  <c r="BZ1055" i="4" s="1"/>
  <c r="BZ1058" i="4" s="1"/>
  <c r="BZ61" i="64"/>
  <c r="BZ75" i="11"/>
  <c r="BZ68" i="62"/>
  <c r="BZ77" i="64" l="1"/>
  <c r="BZ82" i="64" s="1"/>
  <c r="BZ69" i="64"/>
  <c r="BZ74" i="64" s="1"/>
  <c r="BZ66" i="64"/>
  <c r="BZ40" i="64" s="1"/>
  <c r="BZ42" i="64" s="1"/>
  <c r="BZ1236" i="4"/>
  <c r="BZ1394" i="4"/>
  <c r="BZ1206" i="4"/>
  <c r="BZ49" i="64" l="1"/>
  <c r="BZ52" i="64"/>
  <c r="BZ1116" i="4"/>
  <c r="BZ1117" i="4" s="1"/>
  <c r="BZ1119" i="4" s="1"/>
  <c r="BZ1121" i="4" s="1"/>
  <c r="BZ1087" i="4" s="1"/>
  <c r="BZ1137" i="4" l="1"/>
  <c r="BZ1088" i="4"/>
  <c r="CA1085" i="4" l="1"/>
  <c r="CA1130" i="4"/>
  <c r="CA1148" i="4" s="1"/>
  <c r="BZ1225" i="4"/>
  <c r="BZ1226" i="4" s="1"/>
  <c r="BZ88" i="11"/>
  <c r="BZ1247" i="4"/>
  <c r="BZ38" i="66"/>
  <c r="BZ1347" i="4"/>
  <c r="BZ1404" i="4"/>
  <c r="BZ1138" i="4"/>
  <c r="BZ31" i="11" l="1"/>
  <c r="BZ1412" i="4"/>
  <c r="BZ1438" i="4"/>
  <c r="BZ1428" i="4"/>
  <c r="CA1135" i="4"/>
  <c r="BZ1204" i="4"/>
  <c r="BZ1194" i="4"/>
  <c r="CA1086" i="4"/>
  <c r="BZ1197" i="4" l="1"/>
  <c r="BZ1198" i="4" s="1"/>
  <c r="BZ1188" i="4" s="1"/>
  <c r="BZ1175" i="4"/>
  <c r="CA1415" i="4"/>
  <c r="CA1136" i="4"/>
  <c r="CA1129" i="4"/>
  <c r="CA1147" i="4" s="1"/>
  <c r="CA1149" i="4" s="1"/>
  <c r="CA1125" i="4"/>
  <c r="CA1101" i="4"/>
  <c r="BZ1413" i="4"/>
  <c r="BZ1422" i="4" s="1"/>
  <c r="BZ45" i="62"/>
  <c r="BZ30" i="11"/>
  <c r="CA297" i="4" l="1"/>
  <c r="CA305" i="4" s="1"/>
  <c r="CA330" i="4" s="1"/>
  <c r="CA50" i="11"/>
  <c r="CA1218" i="4"/>
  <c r="CA72" i="11"/>
  <c r="CA37" i="66"/>
  <c r="CA999" i="4"/>
  <c r="CA1249" i="4"/>
  <c r="CA1045" i="4"/>
  <c r="AB72" i="67"/>
  <c r="CA1346" i="4"/>
  <c r="CA18" i="66"/>
  <c r="CA87" i="11"/>
  <c r="CA1259" i="4"/>
  <c r="CA1233" i="4"/>
  <c r="AB87" i="67"/>
  <c r="BZ1418" i="4"/>
  <c r="BZ1416" i="4"/>
  <c r="CA1102" i="4"/>
  <c r="CA1103" i="4"/>
  <c r="CA1092" i="4" s="1"/>
  <c r="CA1093" i="4" s="1"/>
  <c r="CA1111" i="4" s="1"/>
  <c r="CA1112" i="4"/>
  <c r="CA1141" i="4" s="1"/>
  <c r="BZ1180" i="4"/>
  <c r="BZ1184" i="4"/>
  <c r="BZ1191" i="4" s="1"/>
  <c r="BZ1187" i="4"/>
  <c r="BZ1176" i="4" s="1"/>
  <c r="BZ1189" i="4"/>
  <c r="BZ1232" i="4" l="1"/>
  <c r="BZ19" i="66"/>
  <c r="BZ17" i="66" s="1"/>
  <c r="BZ1261" i="4"/>
  <c r="BZ86" i="11"/>
  <c r="BZ1403" i="4"/>
  <c r="BZ1406" i="4" s="1"/>
  <c r="CA1143" i="4"/>
  <c r="CA1142" i="4"/>
  <c r="CA294" i="4" s="1"/>
  <c r="CA997" i="4"/>
  <c r="BZ1250" i="4"/>
  <c r="BZ1227" i="4"/>
  <c r="BZ74" i="11"/>
  <c r="BZ78" i="11" s="1"/>
  <c r="BZ1195" i="4"/>
  <c r="BZ1199" i="4" s="1"/>
  <c r="BZ1177" i="4" s="1"/>
  <c r="BZ1309" i="4"/>
  <c r="BZ36" i="66"/>
  <c r="CA1104" i="4"/>
  <c r="BZ1419" i="4"/>
  <c r="CA49" i="11"/>
  <c r="AB50" i="67"/>
  <c r="AB49" i="67" s="1"/>
  <c r="CA467" i="4"/>
  <c r="CA469" i="4" s="1"/>
  <c r="CA470" i="4" s="1"/>
  <c r="CA471" i="4" s="1"/>
  <c r="CA472" i="4" s="1"/>
  <c r="CB466" i="4" s="1"/>
  <c r="CA456" i="4"/>
  <c r="CA458" i="4" s="1"/>
  <c r="CA459" i="4" s="1"/>
  <c r="CB479" i="4"/>
  <c r="CA478" i="4"/>
  <c r="CA480" i="4" s="1"/>
  <c r="CA481" i="4" s="1"/>
  <c r="CA482" i="4" s="1"/>
  <c r="CA483" i="4" s="1"/>
  <c r="CB477" i="4" s="1"/>
  <c r="CB457" i="4"/>
  <c r="CB468" i="4"/>
  <c r="CA299" i="4" l="1"/>
  <c r="CA302" i="4"/>
  <c r="CA53" i="11"/>
  <c r="CA52" i="11" s="1"/>
  <c r="AB53" i="67"/>
  <c r="AB52" i="67" s="1"/>
  <c r="CA494" i="4"/>
  <c r="CA994" i="4" s="1"/>
  <c r="CA460" i="4"/>
  <c r="CA461" i="4" s="1"/>
  <c r="CB455" i="4" s="1"/>
  <c r="BZ39" i="66"/>
  <c r="BZ35" i="66" s="1"/>
  <c r="BZ1251" i="4"/>
  <c r="BZ1228" i="4"/>
  <c r="BZ1205" i="4" s="1"/>
  <c r="BZ89" i="11"/>
  <c r="BZ1178" i="4"/>
  <c r="BZ1308" i="4"/>
  <c r="BZ1311" i="4" s="1"/>
  <c r="BZ1344" i="4"/>
  <c r="CB495" i="4"/>
  <c r="CB995" i="4" s="1"/>
  <c r="CA1113" i="4"/>
  <c r="CA1144" i="4" s="1"/>
  <c r="CA1120" i="4"/>
  <c r="CA1044" i="4" l="1"/>
  <c r="CA1067" i="4" s="1"/>
  <c r="CA1248" i="4"/>
  <c r="CA73" i="11"/>
  <c r="CA1224" i="4"/>
  <c r="AB23" i="13"/>
  <c r="AB73" i="67"/>
  <c r="BZ1348" i="4"/>
  <c r="BZ1313" i="4"/>
  <c r="BZ1325" i="4"/>
  <c r="BZ1207" i="4"/>
  <c r="BZ1209" i="4" s="1"/>
  <c r="CA331" i="4"/>
  <c r="CA307" i="4"/>
  <c r="CA1173" i="4"/>
  <c r="BZ27" i="11"/>
  <c r="BZ1429" i="4"/>
  <c r="BZ1208" i="4" l="1"/>
  <c r="CA405" i="4"/>
  <c r="CA406" i="4" s="1"/>
  <c r="CA407" i="4" s="1"/>
  <c r="CA408" i="4" s="1"/>
  <c r="CA409" i="4" s="1"/>
  <c r="CB404" i="4" s="1"/>
  <c r="CA385" i="4"/>
  <c r="CA395" i="4"/>
  <c r="CA396" i="4" s="1"/>
  <c r="CA397" i="4" s="1"/>
  <c r="CA398" i="4" s="1"/>
  <c r="CA399" i="4" s="1"/>
  <c r="CB394" i="4" s="1"/>
  <c r="BZ58" i="11"/>
  <c r="BZ59" i="11" s="1"/>
  <c r="BZ28" i="11" s="1"/>
  <c r="BZ25" i="11" s="1"/>
  <c r="BZ1252" i="4"/>
  <c r="BZ48" i="62"/>
  <c r="BZ24" i="62" s="1"/>
  <c r="BZ1229" i="4"/>
  <c r="BZ1230" i="4" s="1"/>
  <c r="BZ1234" i="4" s="1"/>
  <c r="CA1213" i="4" s="1"/>
  <c r="BZ90" i="11"/>
  <c r="BZ91" i="11" s="1"/>
  <c r="BZ93" i="11" s="1"/>
  <c r="BZ96" i="11" s="1"/>
  <c r="BZ97" i="11" s="1"/>
  <c r="BZ22" i="66"/>
  <c r="BZ1432" i="4"/>
  <c r="BZ1430" i="4"/>
  <c r="BZ1431" i="4" s="1"/>
  <c r="BZ1326" i="4"/>
  <c r="BZ1327" i="4" s="1"/>
  <c r="CA332" i="4"/>
  <c r="BZ1363" i="4"/>
  <c r="CA1158" i="4"/>
  <c r="CA1174" i="4" s="1"/>
  <c r="CA1157" i="4"/>
  <c r="CA1068" i="4"/>
  <c r="BZ100" i="67" l="1"/>
  <c r="BZ101" i="11"/>
  <c r="BZ1253" i="4"/>
  <c r="BZ1254" i="4" s="1"/>
  <c r="BZ24" i="66"/>
  <c r="BZ20" i="66" s="1"/>
  <c r="BZ26" i="66" s="1"/>
  <c r="BZ21" i="11"/>
  <c r="BZ17" i="11" s="1"/>
  <c r="BZ1263" i="4"/>
  <c r="BZ1264" i="4" s="1"/>
  <c r="CA95" i="11"/>
  <c r="BZ101" i="67"/>
  <c r="BZ1385" i="4"/>
  <c r="BZ1384" i="4" s="1"/>
  <c r="BZ44" i="66"/>
  <c r="BZ40" i="66" s="1"/>
  <c r="BZ46" i="66" s="1"/>
  <c r="BZ46" i="62"/>
  <c r="BZ100" i="11"/>
  <c r="CA1051" i="4"/>
  <c r="BZ26" i="62"/>
  <c r="CA1164" i="4"/>
  <c r="CA1159" i="4"/>
  <c r="BZ37" i="11"/>
  <c r="BZ1397" i="4"/>
  <c r="BZ1392" i="4" s="1"/>
  <c r="BZ1398" i="4"/>
  <c r="BZ1393" i="4" s="1"/>
  <c r="AB14" i="67"/>
  <c r="CA14" i="11"/>
  <c r="CA489" i="4"/>
  <c r="CA500" i="4"/>
  <c r="CA386" i="4"/>
  <c r="CA387" i="4" s="1"/>
  <c r="BZ1364" i="4"/>
  <c r="BZ1365" i="4" s="1"/>
  <c r="BZ99" i="11" l="1"/>
  <c r="BZ48" i="66"/>
  <c r="BZ1386" i="4"/>
  <c r="BZ1383" i="4" s="1"/>
  <c r="BZ23" i="11"/>
  <c r="BZ39" i="11" s="1"/>
  <c r="BZ40" i="11" s="1"/>
  <c r="BZ1266" i="4"/>
  <c r="CA42" i="62"/>
  <c r="CA85" i="11"/>
  <c r="CA1260" i="4"/>
  <c r="CA1231" i="4"/>
  <c r="CA1167" i="4"/>
  <c r="CA1168" i="4" s="1"/>
  <c r="AB85" i="67"/>
  <c r="CA388" i="4"/>
  <c r="CA389" i="4" s="1"/>
  <c r="CB384" i="4" s="1"/>
  <c r="CA490" i="4"/>
  <c r="CA491" i="4" s="1"/>
  <c r="CA501" i="4"/>
  <c r="CA502" i="4" s="1"/>
  <c r="CA15" i="11" l="1"/>
  <c r="CA13" i="11" s="1"/>
  <c r="AB15" i="67"/>
  <c r="AB13" i="67" s="1"/>
  <c r="CB488" i="4"/>
  <c r="CB499" i="4"/>
  <c r="CB1023" i="4" s="1"/>
  <c r="CA1024" i="4"/>
  <c r="CA1026" i="4" s="1"/>
  <c r="CA1027" i="4" s="1"/>
  <c r="CA1028" i="4" s="1"/>
  <c r="CA52" i="62"/>
  <c r="CA43" i="62"/>
  <c r="CA23" i="62" s="1"/>
  <c r="BZ1439" i="4"/>
  <c r="BZ1440" i="4" s="1"/>
  <c r="BZ1396" i="4"/>
  <c r="BZ1391" i="4" s="1"/>
  <c r="CA51" i="11"/>
  <c r="CA64" i="62"/>
  <c r="AB51" i="67"/>
  <c r="AB26" i="67"/>
  <c r="CB1163" i="4"/>
  <c r="CA26" i="11"/>
  <c r="CA16" i="66" l="1"/>
  <c r="CA14" i="66" s="1"/>
  <c r="CA13" i="66" s="1"/>
  <c r="CA62" i="64"/>
  <c r="CA907" i="4"/>
  <c r="CA911" i="4" s="1"/>
  <c r="CA915" i="4" l="1"/>
  <c r="CA1217" i="4"/>
  <c r="CA1221" i="4" s="1"/>
  <c r="CA1043" i="4"/>
  <c r="CA71" i="11"/>
  <c r="CA1243" i="4"/>
  <c r="AB71" i="67"/>
  <c r="AB40" i="13"/>
  <c r="CA70" i="64"/>
  <c r="CA78" i="64"/>
  <c r="CA47" i="11" l="1"/>
  <c r="CA996" i="4"/>
  <c r="CA1000" i="4" s="1"/>
  <c r="CA1004" i="4" s="1"/>
  <c r="AB47" i="67"/>
  <c r="AB20" i="72"/>
  <c r="AB61" i="67" l="1"/>
  <c r="AB63" i="67" s="1"/>
  <c r="AB62" i="67"/>
  <c r="AB64" i="67" s="1"/>
  <c r="AB48" i="67"/>
  <c r="AB55" i="67" s="1"/>
  <c r="CA1005" i="4"/>
  <c r="CA1012" i="4"/>
  <c r="CA61" i="11"/>
  <c r="CA62" i="11"/>
  <c r="CA48" i="11"/>
  <c r="CA55" i="11" s="1"/>
  <c r="CA64" i="11" l="1"/>
  <c r="CA1395" i="4"/>
  <c r="CA62" i="62"/>
  <c r="CA63" i="11"/>
  <c r="AB1449" i="4"/>
  <c r="CA1016" i="4"/>
  <c r="CA1013" i="4" s="1"/>
  <c r="CA1014" i="4" s="1"/>
  <c r="CB1011" i="4" s="1"/>
  <c r="CA1006" i="4" l="1"/>
  <c r="CA1007" i="4" s="1"/>
  <c r="CA63" i="62" s="1"/>
  <c r="CA67" i="62" s="1"/>
  <c r="CA68" i="62" l="1"/>
  <c r="CA1246" i="4"/>
  <c r="CA1046" i="4"/>
  <c r="CA1053" i="4" s="1"/>
  <c r="CA1055" i="4" s="1"/>
  <c r="CA1058" i="4" s="1"/>
  <c r="CA1222" i="4"/>
  <c r="CA1223" i="4" s="1"/>
  <c r="CA75" i="11"/>
  <c r="CA61" i="64"/>
  <c r="CA56" i="11"/>
  <c r="CA57" i="11" s="1"/>
  <c r="AB56" i="67"/>
  <c r="AB57" i="67" s="1"/>
  <c r="AB41" i="13"/>
  <c r="AB43" i="13" s="1"/>
  <c r="AB75" i="67"/>
  <c r="CA1236" i="4" l="1"/>
  <c r="CA1394" i="4"/>
  <c r="CA1206" i="4"/>
  <c r="CA69" i="64"/>
  <c r="CA74" i="64" s="1"/>
  <c r="CA77" i="64"/>
  <c r="CA82" i="64" s="1"/>
  <c r="CA66" i="64"/>
  <c r="CA40" i="64" s="1"/>
  <c r="CA42" i="64" s="1"/>
  <c r="CA52" i="64" l="1"/>
  <c r="CA49" i="64"/>
  <c r="CA1116" i="4"/>
  <c r="CA1117" i="4" s="1"/>
  <c r="CA1119" i="4" s="1"/>
  <c r="CA1121" i="4" s="1"/>
  <c r="CA1087" i="4" s="1"/>
  <c r="CA1137" i="4" l="1"/>
  <c r="CA1088" i="4"/>
  <c r="CB1085" i="4" l="1"/>
  <c r="CB1130" i="4"/>
  <c r="CB1148" i="4" s="1"/>
  <c r="CA1347" i="4"/>
  <c r="CA38" i="66"/>
  <c r="CA88" i="11"/>
  <c r="CA1247" i="4"/>
  <c r="CA1225" i="4"/>
  <c r="CA1226" i="4" s="1"/>
  <c r="CA1404" i="4"/>
  <c r="AB88" i="67"/>
  <c r="AB24" i="13"/>
  <c r="CA1138" i="4"/>
  <c r="AB1448" i="4" l="1"/>
  <c r="AB1452" i="4" s="1"/>
  <c r="CA1438" i="4"/>
  <c r="AB31" i="67"/>
  <c r="AB30" i="67" s="1"/>
  <c r="CA31" i="11"/>
  <c r="CA1428" i="4"/>
  <c r="CA1412" i="4"/>
  <c r="CB1135" i="4"/>
  <c r="CA1194" i="4"/>
  <c r="CA1204" i="4"/>
  <c r="CB1086" i="4"/>
  <c r="CB1129" i="4" l="1"/>
  <c r="CB1147" i="4" s="1"/>
  <c r="CB1149" i="4" s="1"/>
  <c r="CB1136" i="4"/>
  <c r="CB1125" i="4"/>
  <c r="CB1101" i="4"/>
  <c r="CA1413" i="4"/>
  <c r="CA1422" i="4" s="1"/>
  <c r="CA1175" i="4"/>
  <c r="CA1197" i="4"/>
  <c r="CA1198" i="4" s="1"/>
  <c r="CA1188" i="4" s="1"/>
  <c r="CB1415" i="4"/>
  <c r="CA45" i="62"/>
  <c r="CA30" i="11"/>
  <c r="CA1418" i="4" l="1"/>
  <c r="CA1416" i="4"/>
  <c r="CB1103" i="4"/>
  <c r="CB1092" i="4" s="1"/>
  <c r="CB1093" i="4" s="1"/>
  <c r="CB1111" i="4" s="1"/>
  <c r="CB1112" i="4"/>
  <c r="CB1141" i="4" s="1"/>
  <c r="CB1102" i="4"/>
  <c r="CA1180" i="4"/>
  <c r="CA1184" i="4"/>
  <c r="CA1191" i="4" s="1"/>
  <c r="CB1346" i="4"/>
  <c r="CB1259" i="4"/>
  <c r="CB18" i="66"/>
  <c r="CB87" i="11"/>
  <c r="CB1233" i="4"/>
  <c r="CB1218" i="4"/>
  <c r="CB72" i="11"/>
  <c r="CB1249" i="4"/>
  <c r="CB50" i="11"/>
  <c r="CB297" i="4"/>
  <c r="CB305" i="4" s="1"/>
  <c r="CB330" i="4" s="1"/>
  <c r="CB1045" i="4"/>
  <c r="CB37" i="66"/>
  <c r="CB999" i="4"/>
  <c r="CA1189" i="4"/>
  <c r="CA1187" i="4"/>
  <c r="CA1176" i="4" s="1"/>
  <c r="CB1104" i="4" l="1"/>
  <c r="CB1120" i="4" s="1"/>
  <c r="CA1419" i="4"/>
  <c r="CA1250" i="4"/>
  <c r="CA1195" i="4"/>
  <c r="CA1199" i="4" s="1"/>
  <c r="CA1177" i="4" s="1"/>
  <c r="CA74" i="11"/>
  <c r="CA78" i="11" s="1"/>
  <c r="CA1227" i="4"/>
  <c r="AB74" i="67"/>
  <c r="AB78" i="67" s="1"/>
  <c r="CA1309" i="4"/>
  <c r="CA36" i="66"/>
  <c r="CA19" i="66"/>
  <c r="CA17" i="66" s="1"/>
  <c r="CA1261" i="4"/>
  <c r="CA86" i="11"/>
  <c r="CA1232" i="4"/>
  <c r="AB86" i="67"/>
  <c r="CA1403" i="4"/>
  <c r="CA1406" i="4" s="1"/>
  <c r="CC479" i="4"/>
  <c r="CB456" i="4"/>
  <c r="CB458" i="4" s="1"/>
  <c r="CB459" i="4" s="1"/>
  <c r="CB478" i="4"/>
  <c r="CB480" i="4" s="1"/>
  <c r="CB481" i="4" s="1"/>
  <c r="CB482" i="4" s="1"/>
  <c r="CB483" i="4" s="1"/>
  <c r="CC477" i="4" s="1"/>
  <c r="CB467" i="4"/>
  <c r="CB469" i="4" s="1"/>
  <c r="CB470" i="4" s="1"/>
  <c r="CB471" i="4" s="1"/>
  <c r="CB472" i="4" s="1"/>
  <c r="CC466" i="4" s="1"/>
  <c r="CC457" i="4"/>
  <c r="CC468" i="4"/>
  <c r="CB1143" i="4"/>
  <c r="CB1142" i="4"/>
  <c r="CB294" i="4" s="1"/>
  <c r="CB997" i="4"/>
  <c r="CB49" i="11"/>
  <c r="CB1113" i="4" l="1"/>
  <c r="CB1144" i="4" s="1"/>
  <c r="CB1224" i="4" s="1"/>
  <c r="CA1308" i="4"/>
  <c r="CA1311" i="4" s="1"/>
  <c r="CA1344" i="4"/>
  <c r="CC495" i="4"/>
  <c r="CC995" i="4" s="1"/>
  <c r="CA39" i="66"/>
  <c r="CA35" i="66" s="1"/>
  <c r="CA1251" i="4"/>
  <c r="CA89" i="11"/>
  <c r="CA1228" i="4"/>
  <c r="CA1205" i="4" s="1"/>
  <c r="AB89" i="67"/>
  <c r="CB299" i="4"/>
  <c r="CB302" i="4"/>
  <c r="CB53" i="11"/>
  <c r="CB52" i="11" s="1"/>
  <c r="CB460" i="4"/>
  <c r="CB461" i="4" s="1"/>
  <c r="CC455" i="4" s="1"/>
  <c r="CB494" i="4"/>
  <c r="CB994" i="4" s="1"/>
  <c r="CA1178" i="4"/>
  <c r="CB73" i="11" l="1"/>
  <c r="CB1248" i="4"/>
  <c r="CB1044" i="4"/>
  <c r="CB1067" i="4" s="1"/>
  <c r="CB1158" i="4" s="1"/>
  <c r="CB1174" i="4" s="1"/>
  <c r="CA1207" i="4"/>
  <c r="CA1209" i="4" s="1"/>
  <c r="AB27" i="67"/>
  <c r="CA27" i="11"/>
  <c r="CB1173" i="4"/>
  <c r="CA1429" i="4"/>
  <c r="CB331" i="4"/>
  <c r="CB307" i="4"/>
  <c r="CA1348" i="4"/>
  <c r="AB13" i="13"/>
  <c r="CA1313" i="4"/>
  <c r="AB14" i="72"/>
  <c r="CA1325" i="4"/>
  <c r="CB1068" i="4" l="1"/>
  <c r="CB332" i="4"/>
  <c r="CB14" i="11" s="1"/>
  <c r="CB1157" i="4"/>
  <c r="CB1159" i="4" s="1"/>
  <c r="CA1208" i="4"/>
  <c r="CB395" i="4"/>
  <c r="CB396" i="4" s="1"/>
  <c r="CB397" i="4" s="1"/>
  <c r="CB398" i="4" s="1"/>
  <c r="CB399" i="4" s="1"/>
  <c r="CC394" i="4" s="1"/>
  <c r="CB385" i="4"/>
  <c r="CB405" i="4"/>
  <c r="CB406" i="4" s="1"/>
  <c r="CB407" i="4" s="1"/>
  <c r="CB408" i="4" s="1"/>
  <c r="CB409" i="4" s="1"/>
  <c r="CC404" i="4" s="1"/>
  <c r="CA1430" i="4"/>
  <c r="CA1431" i="4" s="1"/>
  <c r="CA1432" i="4"/>
  <c r="CA1326" i="4"/>
  <c r="CA1327" i="4" s="1"/>
  <c r="AB15" i="72"/>
  <c r="CA1363" i="4"/>
  <c r="CA90" i="11"/>
  <c r="CA91" i="11" s="1"/>
  <c r="CA93" i="11" s="1"/>
  <c r="CA96" i="11" s="1"/>
  <c r="CA97" i="11" s="1"/>
  <c r="CA48" i="62"/>
  <c r="CA24" i="62" s="1"/>
  <c r="CA1229" i="4"/>
  <c r="CA1230" i="4" s="1"/>
  <c r="CA1234" i="4" s="1"/>
  <c r="CB1213" i="4" s="1"/>
  <c r="CA1252" i="4"/>
  <c r="CA58" i="11"/>
  <c r="CA59" i="11" s="1"/>
  <c r="CA28" i="11" s="1"/>
  <c r="CA25" i="11" s="1"/>
  <c r="AB58" i="67"/>
  <c r="AB59" i="67" s="1"/>
  <c r="AB90" i="67"/>
  <c r="AB91" i="67" s="1"/>
  <c r="AB93" i="67" s="1"/>
  <c r="AB96" i="67" s="1"/>
  <c r="AB97" i="67" s="1"/>
  <c r="CA22" i="66"/>
  <c r="CB1164" i="4" l="1"/>
  <c r="CB1260" i="4" s="1"/>
  <c r="CA1398" i="4"/>
  <c r="CA1393" i="4" s="1"/>
  <c r="CA1397" i="4"/>
  <c r="CA1392" i="4" s="1"/>
  <c r="CA37" i="11"/>
  <c r="CB1051" i="4"/>
  <c r="CA26" i="62"/>
  <c r="CA101" i="11"/>
  <c r="CA44" i="66"/>
  <c r="CA40" i="66" s="1"/>
  <c r="CA46" i="66" s="1"/>
  <c r="CA100" i="11"/>
  <c r="CA100" i="67"/>
  <c r="CA46" i="62"/>
  <c r="CA21" i="11"/>
  <c r="CA17" i="11" s="1"/>
  <c r="CA1253" i="4"/>
  <c r="CA1254" i="4" s="1"/>
  <c r="CB95" i="11"/>
  <c r="CA101" i="67"/>
  <c r="CA1385" i="4"/>
  <c r="CA1384" i="4" s="1"/>
  <c r="AB1450" i="4"/>
  <c r="AB1457" i="4" s="1"/>
  <c r="CA24" i="66"/>
  <c r="CA20" i="66" s="1"/>
  <c r="CA26" i="66" s="1"/>
  <c r="AB21" i="67"/>
  <c r="AB17" i="67" s="1"/>
  <c r="AB23" i="67" s="1"/>
  <c r="CA1263" i="4"/>
  <c r="CA1264" i="4" s="1"/>
  <c r="CA1364" i="4"/>
  <c r="CA1365" i="4" s="1"/>
  <c r="AC95" i="67"/>
  <c r="AB28" i="67"/>
  <c r="AB25" i="67" s="1"/>
  <c r="AB37" i="67" s="1"/>
  <c r="CB500" i="4"/>
  <c r="CB386" i="4"/>
  <c r="CB387" i="4" s="1"/>
  <c r="CB489" i="4"/>
  <c r="CB85" i="11" l="1"/>
  <c r="CB42" i="62"/>
  <c r="CB43" i="62" s="1"/>
  <c r="CB23" i="62" s="1"/>
  <c r="CB1231" i="4"/>
  <c r="CB1167" i="4"/>
  <c r="CB1168" i="4" s="1"/>
  <c r="CB26" i="11" s="1"/>
  <c r="AB39" i="67"/>
  <c r="AB40" i="67" s="1"/>
  <c r="CA99" i="11"/>
  <c r="CA1266" i="4"/>
  <c r="CA1386" i="4"/>
  <c r="CA1383" i="4" s="1"/>
  <c r="CA23" i="11"/>
  <c r="CA39" i="11" s="1"/>
  <c r="CA40" i="11" s="1"/>
  <c r="CB501" i="4"/>
  <c r="CB502" i="4" s="1"/>
  <c r="CB388" i="4"/>
  <c r="CB389" i="4" s="1"/>
  <c r="CC384" i="4" s="1"/>
  <c r="CB490" i="4"/>
  <c r="CB491" i="4" s="1"/>
  <c r="CA48" i="66"/>
  <c r="AB99" i="67"/>
  <c r="CB52" i="62" l="1"/>
  <c r="CC1163" i="4"/>
  <c r="CB15" i="11"/>
  <c r="CB13" i="11" s="1"/>
  <c r="CC488" i="4"/>
  <c r="CB16" i="66"/>
  <c r="CB14" i="66" s="1"/>
  <c r="CB13" i="66" s="1"/>
  <c r="CC499" i="4"/>
  <c r="CC1023" i="4" s="1"/>
  <c r="CB1024" i="4"/>
  <c r="CB1026" i="4" s="1"/>
  <c r="CB1027" i="4" s="1"/>
  <c r="CB1028" i="4" s="1"/>
  <c r="CA1439" i="4"/>
  <c r="CA1440" i="4" s="1"/>
  <c r="CA1396" i="4"/>
  <c r="CA1391" i="4" s="1"/>
  <c r="CB51" i="11"/>
  <c r="CB64" i="62"/>
  <c r="CB907" i="4" l="1"/>
  <c r="CB911" i="4" s="1"/>
  <c r="CB62" i="64"/>
  <c r="CB78" i="64" l="1"/>
  <c r="CB70" i="64"/>
  <c r="CB71" i="11"/>
  <c r="CB1243" i="4"/>
  <c r="CB1043" i="4"/>
  <c r="CB915" i="4"/>
  <c r="CB1217" i="4"/>
  <c r="CB1221" i="4" s="1"/>
  <c r="CB47" i="11" l="1"/>
  <c r="CB996" i="4"/>
  <c r="CB1000" i="4" s="1"/>
  <c r="CB1004" i="4" s="1"/>
  <c r="CB48" i="11" l="1"/>
  <c r="CB55" i="11" s="1"/>
  <c r="CB61" i="11"/>
  <c r="CB62" i="11"/>
  <c r="CB1012" i="4"/>
  <c r="CB1005" i="4"/>
  <c r="CB64" i="11" l="1"/>
  <c r="CB1395" i="4"/>
  <c r="CB62" i="62"/>
  <c r="CB1016" i="4"/>
  <c r="CB1013" i="4" s="1"/>
  <c r="CB1014" i="4" s="1"/>
  <c r="CC1011" i="4" s="1"/>
  <c r="CB63" i="11"/>
  <c r="CB1006" i="4" l="1"/>
  <c r="CB1007" i="4" s="1"/>
  <c r="CB63" i="62" s="1"/>
  <c r="CB67" i="62" s="1"/>
  <c r="CB68" i="62" l="1"/>
  <c r="CB1046" i="4"/>
  <c r="CB1053" i="4" s="1"/>
  <c r="CB1055" i="4" s="1"/>
  <c r="CB1058" i="4" s="1"/>
  <c r="CB75" i="11"/>
  <c r="CB1246" i="4"/>
  <c r="CB61" i="64"/>
  <c r="CB1222" i="4"/>
  <c r="CB1223" i="4" s="1"/>
  <c r="CB56" i="11"/>
  <c r="CB57" i="11" s="1"/>
  <c r="CB69" i="64" l="1"/>
  <c r="CB74" i="64" s="1"/>
  <c r="CB66" i="64"/>
  <c r="CB40" i="64" s="1"/>
  <c r="CB42" i="64" s="1"/>
  <c r="CB77" i="64"/>
  <c r="CB82" i="64" s="1"/>
  <c r="CB1394" i="4"/>
  <c r="CB1206" i="4"/>
  <c r="CB1236" i="4"/>
  <c r="CB1116" i="4" l="1"/>
  <c r="CB1117" i="4" s="1"/>
  <c r="CB1119" i="4" s="1"/>
  <c r="CB1121" i="4" s="1"/>
  <c r="CB1087" i="4" s="1"/>
  <c r="CB52" i="64"/>
  <c r="CB49" i="64"/>
  <c r="CB1137" i="4" l="1"/>
  <c r="CB1088" i="4"/>
  <c r="CC1085" i="4" l="1"/>
  <c r="CC1130" i="4"/>
  <c r="CC1148" i="4" s="1"/>
  <c r="CB1347" i="4"/>
  <c r="CB88" i="11"/>
  <c r="CB1225" i="4"/>
  <c r="CB1226" i="4" s="1"/>
  <c r="CB38" i="66"/>
  <c r="CB1247" i="4"/>
  <c r="CB1404" i="4"/>
  <c r="CB1138" i="4"/>
  <c r="CB1204" i="4" l="1"/>
  <c r="CB1194" i="4"/>
  <c r="CC1135" i="4"/>
  <c r="CB1428" i="4"/>
  <c r="CB31" i="11"/>
  <c r="CB1438" i="4"/>
  <c r="CB1412" i="4"/>
  <c r="CC1086" i="4"/>
  <c r="CB1413" i="4" l="1"/>
  <c r="CB1422" i="4" s="1"/>
  <c r="CC1136" i="4"/>
  <c r="CC1129" i="4"/>
  <c r="CC1147" i="4" s="1"/>
  <c r="CC1149" i="4" s="1"/>
  <c r="CC1125" i="4"/>
  <c r="CC1101" i="4"/>
  <c r="CB45" i="62"/>
  <c r="CB30" i="11"/>
  <c r="CC1415" i="4"/>
  <c r="CB1175" i="4"/>
  <c r="CB1197" i="4"/>
  <c r="CB1198" i="4" s="1"/>
  <c r="CB1188" i="4" s="1"/>
  <c r="CC1102" i="4" l="1"/>
  <c r="CC1103" i="4"/>
  <c r="CC1092" i="4" s="1"/>
  <c r="CC1093" i="4" s="1"/>
  <c r="CC1111" i="4" s="1"/>
  <c r="CC1112" i="4"/>
  <c r="CC1141" i="4" s="1"/>
  <c r="CC1233" i="4"/>
  <c r="CC18" i="66"/>
  <c r="CC1346" i="4"/>
  <c r="CC87" i="11"/>
  <c r="CC1259" i="4"/>
  <c r="CB1187" i="4"/>
  <c r="CB1176" i="4" s="1"/>
  <c r="CB1189" i="4"/>
  <c r="CC1218" i="4"/>
  <c r="CC72" i="11"/>
  <c r="CC1249" i="4"/>
  <c r="CC297" i="4"/>
  <c r="CC305" i="4" s="1"/>
  <c r="CC330" i="4" s="1"/>
  <c r="CC50" i="11"/>
  <c r="CC37" i="66"/>
  <c r="CC1045" i="4"/>
  <c r="CC999" i="4"/>
  <c r="CB1184" i="4"/>
  <c r="CB1191" i="4" s="1"/>
  <c r="CB1180" i="4"/>
  <c r="CB1418" i="4"/>
  <c r="CB1416" i="4"/>
  <c r="CD479" i="4" l="1"/>
  <c r="CD468" i="4"/>
  <c r="CC467" i="4"/>
  <c r="CC469" i="4" s="1"/>
  <c r="CC470" i="4" s="1"/>
  <c r="CC471" i="4" s="1"/>
  <c r="CC472" i="4" s="1"/>
  <c r="CD466" i="4" s="1"/>
  <c r="CC478" i="4"/>
  <c r="CC480" i="4" s="1"/>
  <c r="CC481" i="4" s="1"/>
  <c r="CC482" i="4" s="1"/>
  <c r="CC483" i="4" s="1"/>
  <c r="CD477" i="4" s="1"/>
  <c r="CD457" i="4"/>
  <c r="CC456" i="4"/>
  <c r="CC458" i="4" s="1"/>
  <c r="CC459" i="4" s="1"/>
  <c r="CB74" i="11"/>
  <c r="CB78" i="11" s="1"/>
  <c r="CB1250" i="4"/>
  <c r="CB1227" i="4"/>
  <c r="CB1195" i="4"/>
  <c r="CB1199" i="4" s="1"/>
  <c r="CB1177" i="4" s="1"/>
  <c r="CB36" i="66"/>
  <c r="CB1309" i="4"/>
  <c r="CC1142" i="4"/>
  <c r="CC294" i="4" s="1"/>
  <c r="CC1143" i="4"/>
  <c r="CC997" i="4"/>
  <c r="CB1232" i="4"/>
  <c r="CB86" i="11"/>
  <c r="CB1261" i="4"/>
  <c r="CB19" i="66"/>
  <c r="CB17" i="66" s="1"/>
  <c r="CB1403" i="4"/>
  <c r="CB1406" i="4" s="1"/>
  <c r="CB1419" i="4"/>
  <c r="CC1104" i="4"/>
  <c r="CC49" i="11"/>
  <c r="CD495" i="4" l="1"/>
  <c r="CD995" i="4" s="1"/>
  <c r="CC494" i="4"/>
  <c r="CC994" i="4" s="1"/>
  <c r="CC460" i="4"/>
  <c r="CC461" i="4" s="1"/>
  <c r="CD455" i="4" s="1"/>
  <c r="CB1228" i="4"/>
  <c r="CB1205" i="4" s="1"/>
  <c r="CB89" i="11"/>
  <c r="CB39" i="66"/>
  <c r="CB35" i="66" s="1"/>
  <c r="CB1251" i="4"/>
  <c r="CC1113" i="4"/>
  <c r="CC1144" i="4" s="1"/>
  <c r="CC1120" i="4"/>
  <c r="CC299" i="4"/>
  <c r="CC302" i="4"/>
  <c r="CC53" i="11"/>
  <c r="CC52" i="11" s="1"/>
  <c r="CB1308" i="4"/>
  <c r="CB1311" i="4" s="1"/>
  <c r="CB1344" i="4"/>
  <c r="CB1178" i="4"/>
  <c r="CC1173" i="4" l="1"/>
  <c r="CB27" i="11"/>
  <c r="CB1429" i="4"/>
  <c r="CC1044" i="4"/>
  <c r="CC1067" i="4" s="1"/>
  <c r="CC1224" i="4"/>
  <c r="CC73" i="11"/>
  <c r="CC1248" i="4"/>
  <c r="CB1348" i="4"/>
  <c r="CB1313" i="4"/>
  <c r="CB1325" i="4"/>
  <c r="CC331" i="4"/>
  <c r="CC307" i="4"/>
  <c r="CB1207" i="4"/>
  <c r="CB1209" i="4" s="1"/>
  <c r="CC332" i="4" l="1"/>
  <c r="CC14" i="11" s="1"/>
  <c r="CB1208" i="4"/>
  <c r="CB1363" i="4"/>
  <c r="CC1157" i="4"/>
  <c r="CC1158" i="4"/>
  <c r="CC1174" i="4" s="1"/>
  <c r="CC1068" i="4"/>
  <c r="CB1430" i="4"/>
  <c r="CB1431" i="4" s="1"/>
  <c r="CB1432" i="4"/>
  <c r="CB58" i="11"/>
  <c r="CB59" i="11" s="1"/>
  <c r="CB28" i="11" s="1"/>
  <c r="CB1252" i="4"/>
  <c r="CB48" i="62"/>
  <c r="CB24" i="62" s="1"/>
  <c r="CB1229" i="4"/>
  <c r="CB1230" i="4" s="1"/>
  <c r="CB1234" i="4" s="1"/>
  <c r="CC1213" i="4" s="1"/>
  <c r="CB90" i="11"/>
  <c r="CB91" i="11" s="1"/>
  <c r="CB93" i="11" s="1"/>
  <c r="CB96" i="11" s="1"/>
  <c r="CB97" i="11" s="1"/>
  <c r="CB22" i="66"/>
  <c r="CC395" i="4"/>
  <c r="CC396" i="4" s="1"/>
  <c r="CC397" i="4" s="1"/>
  <c r="CC398" i="4" s="1"/>
  <c r="CC399" i="4" s="1"/>
  <c r="CD394" i="4" s="1"/>
  <c r="CC385" i="4"/>
  <c r="CC405" i="4"/>
  <c r="CC406" i="4" s="1"/>
  <c r="CC407" i="4" s="1"/>
  <c r="CC408" i="4" s="1"/>
  <c r="CC409" i="4" s="1"/>
  <c r="CD404" i="4" s="1"/>
  <c r="CB1326" i="4"/>
  <c r="CB1327" i="4" s="1"/>
  <c r="CB26" i="62" l="1"/>
  <c r="CB1364" i="4"/>
  <c r="CB1365" i="4" s="1"/>
  <c r="CC489" i="4"/>
  <c r="CC386" i="4"/>
  <c r="CC387" i="4" s="1"/>
  <c r="CC500" i="4"/>
  <c r="CB25" i="11"/>
  <c r="CB101" i="67"/>
  <c r="CB21" i="11"/>
  <c r="CB17" i="11" s="1"/>
  <c r="CB24" i="66"/>
  <c r="CB20" i="66" s="1"/>
  <c r="CB26" i="66" s="1"/>
  <c r="CB101" i="11"/>
  <c r="CC95" i="11"/>
  <c r="CB1253" i="4"/>
  <c r="CB1254" i="4" s="1"/>
  <c r="CB44" i="66"/>
  <c r="CB40" i="66" s="1"/>
  <c r="CB46" i="66" s="1"/>
  <c r="CB100" i="67"/>
  <c r="CB1263" i="4"/>
  <c r="CB1264" i="4" s="1"/>
  <c r="CB1385" i="4"/>
  <c r="CB1384" i="4" s="1"/>
  <c r="CB46" i="62"/>
  <c r="CB100" i="11"/>
  <c r="CC1051" i="4"/>
  <c r="CC1159" i="4"/>
  <c r="CC1164" i="4"/>
  <c r="CB48" i="66" l="1"/>
  <c r="CB99" i="11"/>
  <c r="CB1398" i="4"/>
  <c r="CB1393" i="4" s="1"/>
  <c r="CB37" i="11"/>
  <c r="CB1397" i="4"/>
  <c r="CB1392" i="4" s="1"/>
  <c r="CC42" i="62"/>
  <c r="CC1260" i="4"/>
  <c r="CC1231" i="4"/>
  <c r="CC85" i="11"/>
  <c r="CC1167" i="4"/>
  <c r="CC1168" i="4" s="1"/>
  <c r="CC501" i="4"/>
  <c r="CC502" i="4" s="1"/>
  <c r="CC388" i="4"/>
  <c r="CC389" i="4" s="1"/>
  <c r="CD384" i="4" s="1"/>
  <c r="CC490" i="4"/>
  <c r="CC491" i="4" s="1"/>
  <c r="CB1386" i="4"/>
  <c r="CB1383" i="4" s="1"/>
  <c r="CB23" i="11"/>
  <c r="CB1266" i="4"/>
  <c r="CD1163" i="4" l="1"/>
  <c r="CC26" i="11"/>
  <c r="CC15" i="11"/>
  <c r="CC13" i="11" s="1"/>
  <c r="CD488" i="4"/>
  <c r="CC51" i="11"/>
  <c r="CC64" i="62"/>
  <c r="CC52" i="62"/>
  <c r="CC43" i="62"/>
  <c r="CC23" i="62" s="1"/>
  <c r="CB39" i="11"/>
  <c r="CB40" i="11" s="1"/>
  <c r="CB1439" i="4"/>
  <c r="CB1440" i="4" s="1"/>
  <c r="CB1396" i="4"/>
  <c r="CB1391" i="4" s="1"/>
  <c r="CD499" i="4"/>
  <c r="CD1023" i="4" s="1"/>
  <c r="CC1024" i="4"/>
  <c r="CC1026" i="4" s="1"/>
  <c r="CC1027" i="4" s="1"/>
  <c r="CC1028" i="4" s="1"/>
  <c r="CC907" i="4" l="1"/>
  <c r="CC911" i="4" s="1"/>
  <c r="CC62" i="64"/>
  <c r="CC16" i="66"/>
  <c r="CC14" i="66" s="1"/>
  <c r="CC13" i="66" s="1"/>
  <c r="CC70" i="64" l="1"/>
  <c r="CC78" i="64"/>
  <c r="CC1217" i="4"/>
  <c r="CC1221" i="4" s="1"/>
  <c r="CC71" i="11"/>
  <c r="CC915" i="4"/>
  <c r="CC1243" i="4"/>
  <c r="CC1043" i="4"/>
  <c r="CC996" i="4" l="1"/>
  <c r="CC1000" i="4" s="1"/>
  <c r="CC1004" i="4" s="1"/>
  <c r="CC47" i="11"/>
  <c r="CC62" i="11" l="1"/>
  <c r="CC48" i="11"/>
  <c r="CC55" i="11" s="1"/>
  <c r="CC61" i="11"/>
  <c r="CC1012" i="4"/>
  <c r="CC1005" i="4"/>
  <c r="CC63" i="11" l="1"/>
  <c r="CC1016" i="4"/>
  <c r="CC1013" i="4" s="1"/>
  <c r="CC1014" i="4" s="1"/>
  <c r="CD1011" i="4" s="1"/>
  <c r="CC64" i="11"/>
  <c r="CC62" i="62"/>
  <c r="CC1395" i="4"/>
  <c r="CC1006" i="4" l="1"/>
  <c r="CC1007" i="4" s="1"/>
  <c r="CC63" i="62" s="1"/>
  <c r="CC67" i="62" s="1"/>
  <c r="CC68" i="62" s="1"/>
  <c r="CC56" i="11" l="1"/>
  <c r="CC57" i="11" s="1"/>
  <c r="CC1206" i="4" s="1"/>
  <c r="CC1046" i="4"/>
  <c r="CC1053" i="4" s="1"/>
  <c r="CC1055" i="4" s="1"/>
  <c r="CC1058" i="4" s="1"/>
  <c r="CC1246" i="4"/>
  <c r="CC61" i="64"/>
  <c r="CC69" i="64" s="1"/>
  <c r="CC74" i="64" s="1"/>
  <c r="CC75" i="11"/>
  <c r="CC1222" i="4"/>
  <c r="CC1223" i="4" s="1"/>
  <c r="CC1236" i="4" s="1"/>
  <c r="CC1394" i="4" l="1"/>
  <c r="CC77" i="64"/>
  <c r="CC82" i="64" s="1"/>
  <c r="CC66" i="64"/>
  <c r="CC40" i="64" s="1"/>
  <c r="CC42" i="64" s="1"/>
  <c r="CC52" i="64" s="1"/>
  <c r="CC1116" i="4"/>
  <c r="CC1117" i="4" s="1"/>
  <c r="CC1119" i="4" s="1"/>
  <c r="CC1121" i="4" s="1"/>
  <c r="CC1087" i="4" s="1"/>
  <c r="CC49" i="64" l="1"/>
  <c r="CC1137" i="4"/>
  <c r="CC1088" i="4"/>
  <c r="CD1085" i="4" l="1"/>
  <c r="CD1130" i="4"/>
  <c r="CD1148" i="4" s="1"/>
  <c r="CC1225" i="4"/>
  <c r="CC1226" i="4" s="1"/>
  <c r="CC1247" i="4"/>
  <c r="CC38" i="66"/>
  <c r="CC1347" i="4"/>
  <c r="CC88" i="11"/>
  <c r="CC1404" i="4"/>
  <c r="CC1138" i="4"/>
  <c r="CC31" i="11" l="1"/>
  <c r="CD1135" i="4"/>
  <c r="CC1412" i="4"/>
  <c r="CC1428" i="4"/>
  <c r="CC1438" i="4"/>
  <c r="CC1204" i="4"/>
  <c r="CC1194" i="4"/>
  <c r="CD1086" i="4"/>
  <c r="CC1413" i="4" l="1"/>
  <c r="CC1422" i="4" s="1"/>
  <c r="CC1197" i="4"/>
  <c r="CC1198" i="4" s="1"/>
  <c r="CC1188" i="4" s="1"/>
  <c r="CC1175" i="4"/>
  <c r="CD1129" i="4"/>
  <c r="CD1147" i="4" s="1"/>
  <c r="CD1149" i="4" s="1"/>
  <c r="CD1136" i="4"/>
  <c r="CD1125" i="4"/>
  <c r="CD1101" i="4"/>
  <c r="CD1415" i="4"/>
  <c r="CC45" i="62"/>
  <c r="CC30" i="11"/>
  <c r="CC1189" i="4" l="1"/>
  <c r="CC1187" i="4"/>
  <c r="CC1176" i="4" s="1"/>
  <c r="CD297" i="4"/>
  <c r="CD305" i="4" s="1"/>
  <c r="CD330" i="4" s="1"/>
  <c r="CD999" i="4"/>
  <c r="CD37" i="66"/>
  <c r="CD1045" i="4"/>
  <c r="CD1218" i="4"/>
  <c r="CD1249" i="4"/>
  <c r="CD72" i="11"/>
  <c r="CD50" i="11"/>
  <c r="CC1418" i="4"/>
  <c r="CC1416" i="4"/>
  <c r="CC1180" i="4"/>
  <c r="CC1184" i="4"/>
  <c r="CC1191" i="4" s="1"/>
  <c r="CD1112" i="4"/>
  <c r="CD1141" i="4" s="1"/>
  <c r="CD1102" i="4"/>
  <c r="CD1103" i="4"/>
  <c r="CD1092" i="4" s="1"/>
  <c r="CD1093" i="4" s="1"/>
  <c r="CD1111" i="4" s="1"/>
  <c r="CD18" i="66"/>
  <c r="CD1233" i="4"/>
  <c r="CD1346" i="4"/>
  <c r="CD87" i="11"/>
  <c r="CD1259" i="4"/>
  <c r="CC1419" i="4" l="1"/>
  <c r="CE457" i="4"/>
  <c r="CE468" i="4"/>
  <c r="CE479" i="4"/>
  <c r="CD478" i="4"/>
  <c r="CD480" i="4" s="1"/>
  <c r="CD481" i="4" s="1"/>
  <c r="CD482" i="4" s="1"/>
  <c r="CD483" i="4" s="1"/>
  <c r="CE477" i="4" s="1"/>
  <c r="CD456" i="4"/>
  <c r="CD458" i="4" s="1"/>
  <c r="CD459" i="4" s="1"/>
  <c r="CD467" i="4"/>
  <c r="CD469" i="4" s="1"/>
  <c r="CD470" i="4" s="1"/>
  <c r="CD471" i="4" s="1"/>
  <c r="CD472" i="4" s="1"/>
  <c r="CE466" i="4" s="1"/>
  <c r="CD1104" i="4"/>
  <c r="CD997" i="4"/>
  <c r="CD1143" i="4"/>
  <c r="CD1142" i="4"/>
  <c r="CD294" i="4" s="1"/>
  <c r="CD49" i="11"/>
  <c r="CC1195" i="4"/>
  <c r="CC1199" i="4" s="1"/>
  <c r="CC1177" i="4" s="1"/>
  <c r="CC1227" i="4"/>
  <c r="CC1250" i="4"/>
  <c r="CC74" i="11"/>
  <c r="CC78" i="11" s="1"/>
  <c r="CC36" i="66"/>
  <c r="CC1309" i="4"/>
  <c r="CC86" i="11"/>
  <c r="CC1261" i="4"/>
  <c r="CC19" i="66"/>
  <c r="CC17" i="66" s="1"/>
  <c r="CC1232" i="4"/>
  <c r="CC1403" i="4"/>
  <c r="CC1406" i="4" s="1"/>
  <c r="CD1113" i="4" l="1"/>
  <c r="CD1144" i="4" s="1"/>
  <c r="CD1120" i="4"/>
  <c r="CC39" i="66"/>
  <c r="CC35" i="66" s="1"/>
  <c r="CC89" i="11"/>
  <c r="CC1228" i="4"/>
  <c r="CC1205" i="4" s="1"/>
  <c r="CC1251" i="4"/>
  <c r="CC1178" i="4"/>
  <c r="CE495" i="4"/>
  <c r="CE995" i="4" s="1"/>
  <c r="CD299" i="4"/>
  <c r="CD302" i="4"/>
  <c r="CD53" i="11"/>
  <c r="CD52" i="11" s="1"/>
  <c r="CD460" i="4"/>
  <c r="CD461" i="4" s="1"/>
  <c r="CE455" i="4" s="1"/>
  <c r="CD494" i="4"/>
  <c r="CD994" i="4" s="1"/>
  <c r="CC1344" i="4"/>
  <c r="CC1308" i="4"/>
  <c r="CC1311" i="4" s="1"/>
  <c r="CD1173" i="4" l="1"/>
  <c r="CC27" i="11"/>
  <c r="CC1429" i="4"/>
  <c r="CC1207" i="4"/>
  <c r="CC1209" i="4" s="1"/>
  <c r="CD331" i="4"/>
  <c r="CD307" i="4"/>
  <c r="CC1313" i="4"/>
  <c r="CC1325" i="4"/>
  <c r="CC1348" i="4"/>
  <c r="CD1044" i="4"/>
  <c r="CD1067" i="4" s="1"/>
  <c r="CD1248" i="4"/>
  <c r="CD73" i="11"/>
  <c r="CD1224" i="4"/>
  <c r="CD332" i="4" l="1"/>
  <c r="CD14" i="11" s="1"/>
  <c r="CC1208" i="4"/>
  <c r="CD405" i="4"/>
  <c r="CD406" i="4" s="1"/>
  <c r="CD407" i="4" s="1"/>
  <c r="CD408" i="4" s="1"/>
  <c r="CD409" i="4" s="1"/>
  <c r="CE404" i="4" s="1"/>
  <c r="CD395" i="4"/>
  <c r="CD396" i="4" s="1"/>
  <c r="CD397" i="4" s="1"/>
  <c r="CD398" i="4" s="1"/>
  <c r="CD399" i="4" s="1"/>
  <c r="CE394" i="4" s="1"/>
  <c r="CD385" i="4"/>
  <c r="CD1158" i="4"/>
  <c r="CD1174" i="4" s="1"/>
  <c r="CD1068" i="4"/>
  <c r="CD1157" i="4"/>
  <c r="CC90" i="11"/>
  <c r="CC91" i="11" s="1"/>
  <c r="CC93" i="11" s="1"/>
  <c r="CC96" i="11" s="1"/>
  <c r="CC97" i="11" s="1"/>
  <c r="CC48" i="62"/>
  <c r="CC24" i="62" s="1"/>
  <c r="CC1229" i="4"/>
  <c r="CC1230" i="4" s="1"/>
  <c r="CC1234" i="4" s="1"/>
  <c r="CD1213" i="4" s="1"/>
  <c r="CC1252" i="4"/>
  <c r="CC58" i="11"/>
  <c r="CC59" i="11" s="1"/>
  <c r="CC28" i="11" s="1"/>
  <c r="CC22" i="66"/>
  <c r="CC1430" i="4"/>
  <c r="CC1431" i="4" s="1"/>
  <c r="CC1432" i="4"/>
  <c r="CC1363" i="4"/>
  <c r="CC1326" i="4"/>
  <c r="CC1327" i="4" s="1"/>
  <c r="CC26" i="62" l="1"/>
  <c r="CC21" i="11"/>
  <c r="CC17" i="11" s="1"/>
  <c r="CC100" i="67"/>
  <c r="CC44" i="66"/>
  <c r="CC40" i="66" s="1"/>
  <c r="CC46" i="66" s="1"/>
  <c r="CC46" i="62"/>
  <c r="CC1253" i="4"/>
  <c r="CC1254" i="4" s="1"/>
  <c r="CD95" i="11"/>
  <c r="CC24" i="66"/>
  <c r="CC20" i="66" s="1"/>
  <c r="CC26" i="66" s="1"/>
  <c r="CC100" i="11"/>
  <c r="CC101" i="11"/>
  <c r="CC1385" i="4"/>
  <c r="CC1384" i="4" s="1"/>
  <c r="CC101" i="67"/>
  <c r="CC1263" i="4"/>
  <c r="CC1264" i="4" s="1"/>
  <c r="CC1364" i="4"/>
  <c r="CC1365" i="4" s="1"/>
  <c r="CD1164" i="4"/>
  <c r="CD1159" i="4"/>
  <c r="CC25" i="11"/>
  <c r="CD386" i="4"/>
  <c r="CD387" i="4" s="1"/>
  <c r="CD489" i="4"/>
  <c r="CD500" i="4"/>
  <c r="CD1051" i="4"/>
  <c r="CC99" i="11" l="1"/>
  <c r="CC1266" i="4"/>
  <c r="CC48" i="66"/>
  <c r="CD490" i="4"/>
  <c r="CD501" i="4"/>
  <c r="CD502" i="4" s="1"/>
  <c r="CD388" i="4"/>
  <c r="CD389" i="4" s="1"/>
  <c r="CE384" i="4" s="1"/>
  <c r="CC1397" i="4"/>
  <c r="CC1392" i="4" s="1"/>
  <c r="CC37" i="11"/>
  <c r="CC1398" i="4"/>
  <c r="CC1393" i="4" s="1"/>
  <c r="CC1386" i="4"/>
  <c r="CC1383" i="4" s="1"/>
  <c r="CC23" i="11"/>
  <c r="CD1260" i="4"/>
  <c r="CD85" i="11"/>
  <c r="CD1231" i="4"/>
  <c r="CD42" i="62"/>
  <c r="CD1167" i="4"/>
  <c r="CD1168" i="4" s="1"/>
  <c r="CD26" i="11" l="1"/>
  <c r="CE1163" i="4"/>
  <c r="CE499" i="4"/>
  <c r="CE1023" i="4" s="1"/>
  <c r="CD1024" i="4"/>
  <c r="CD1026" i="4" s="1"/>
  <c r="CD1027" i="4" s="1"/>
  <c r="CD1028" i="4" s="1"/>
  <c r="CD52" i="62"/>
  <c r="CD43" i="62"/>
  <c r="CD23" i="62" s="1"/>
  <c r="CC39" i="11"/>
  <c r="CC40" i="11" s="1"/>
  <c r="CC1439" i="4"/>
  <c r="CC1440" i="4" s="1"/>
  <c r="CC1396" i="4"/>
  <c r="CC1391" i="4" s="1"/>
  <c r="CD491" i="4"/>
  <c r="CD51" i="11"/>
  <c r="CD64" i="62"/>
  <c r="CD16" i="66" l="1"/>
  <c r="CD14" i="66" s="1"/>
  <c r="CD13" i="66" s="1"/>
  <c r="CD907" i="4"/>
  <c r="CD911" i="4" s="1"/>
  <c r="CD62" i="64"/>
  <c r="CD15" i="11"/>
  <c r="CD13" i="11" s="1"/>
  <c r="CE488" i="4"/>
  <c r="CD78" i="64" l="1"/>
  <c r="CD70" i="64"/>
  <c r="CD71" i="11"/>
  <c r="CD1217" i="4"/>
  <c r="CD1221" i="4" s="1"/>
  <c r="CD1043" i="4"/>
  <c r="CD1243" i="4"/>
  <c r="CD915" i="4"/>
  <c r="CD996" i="4" l="1"/>
  <c r="CD1000" i="4" s="1"/>
  <c r="CD1004" i="4" s="1"/>
  <c r="CD47" i="11"/>
  <c r="CD62" i="11" l="1"/>
  <c r="CD48" i="11"/>
  <c r="CD55" i="11" s="1"/>
  <c r="CD61" i="11"/>
  <c r="CD1012" i="4"/>
  <c r="CD1005" i="4"/>
  <c r="CD63" i="11" l="1"/>
  <c r="CD1016" i="4"/>
  <c r="CD1013" i="4" s="1"/>
  <c r="CD1014" i="4" s="1"/>
  <c r="CE1011" i="4" s="1"/>
  <c r="CD1395" i="4"/>
  <c r="CD62" i="62"/>
  <c r="CD64" i="11"/>
  <c r="CD1006" i="4" l="1"/>
  <c r="CD1007" i="4" s="1"/>
  <c r="CD63" i="62" s="1"/>
  <c r="CD67" i="62" s="1"/>
  <c r="CD68" i="62" s="1"/>
  <c r="CD75" i="11" l="1"/>
  <c r="CD56" i="11"/>
  <c r="CD57" i="11" s="1"/>
  <c r="CD1206" i="4" s="1"/>
  <c r="CD1046" i="4"/>
  <c r="CD1053" i="4" s="1"/>
  <c r="CD1055" i="4" s="1"/>
  <c r="CD1058" i="4" s="1"/>
  <c r="CD1246" i="4"/>
  <c r="CD1222" i="4"/>
  <c r="CD1223" i="4" s="1"/>
  <c r="CD1236" i="4" s="1"/>
  <c r="CD61" i="64"/>
  <c r="CD66" i="64" s="1"/>
  <c r="CD40" i="64" s="1"/>
  <c r="CD42" i="64" s="1"/>
  <c r="CD1394" i="4" l="1"/>
  <c r="CD77" i="64"/>
  <c r="CD82" i="64" s="1"/>
  <c r="CD69" i="64"/>
  <c r="CD74" i="64" s="1"/>
  <c r="CD49" i="64"/>
  <c r="CD52" i="64"/>
  <c r="CD1116" i="4"/>
  <c r="CD1117" i="4" s="1"/>
  <c r="CD1119" i="4" s="1"/>
  <c r="CD1121" i="4" s="1"/>
  <c r="CD1087" i="4" s="1"/>
  <c r="CD1137" i="4" l="1"/>
  <c r="CD1088" i="4"/>
  <c r="CE1085" i="4" l="1"/>
  <c r="CE1130" i="4"/>
  <c r="CE1148" i="4" s="1"/>
  <c r="CD1404" i="4"/>
  <c r="CD1247" i="4"/>
  <c r="CD88" i="11"/>
  <c r="CD1225" i="4"/>
  <c r="CD1226" i="4" s="1"/>
  <c r="CD38" i="66"/>
  <c r="CD1347" i="4"/>
  <c r="CD1138" i="4"/>
  <c r="CD1412" i="4" l="1"/>
  <c r="CD1428" i="4"/>
  <c r="CD1438" i="4"/>
  <c r="CE1135" i="4"/>
  <c r="CD31" i="11"/>
  <c r="CD1204" i="4"/>
  <c r="CD1194" i="4"/>
  <c r="CE1086" i="4"/>
  <c r="CD45" i="62" l="1"/>
  <c r="CD30" i="11"/>
  <c r="CE1415" i="4"/>
  <c r="CD1175" i="4"/>
  <c r="CD1197" i="4"/>
  <c r="CD1198" i="4" s="1"/>
  <c r="CD1188" i="4" s="1"/>
  <c r="CE1136" i="4"/>
  <c r="CE1129" i="4"/>
  <c r="CE1147" i="4" s="1"/>
  <c r="CE1149" i="4" s="1"/>
  <c r="CE1125" i="4"/>
  <c r="CE1101" i="4"/>
  <c r="CD1413" i="4"/>
  <c r="CD1422" i="4" s="1"/>
  <c r="CD1187" i="4" l="1"/>
  <c r="CD1176" i="4" s="1"/>
  <c r="CD1189" i="4"/>
  <c r="CE1249" i="4"/>
  <c r="CE37" i="66"/>
  <c r="CE50" i="11"/>
  <c r="CE999" i="4"/>
  <c r="CE1045" i="4"/>
  <c r="CE72" i="11"/>
  <c r="CE1218" i="4"/>
  <c r="CE297" i="4"/>
  <c r="CE305" i="4" s="1"/>
  <c r="CE330" i="4" s="1"/>
  <c r="AC72" i="67"/>
  <c r="CE1346" i="4"/>
  <c r="CE87" i="11"/>
  <c r="CE18" i="66"/>
  <c r="CE1233" i="4"/>
  <c r="CE1259" i="4"/>
  <c r="AC87" i="67"/>
  <c r="CD1418" i="4"/>
  <c r="CD1416" i="4"/>
  <c r="CD1180" i="4"/>
  <c r="CD1184" i="4"/>
  <c r="CD1191" i="4" s="1"/>
  <c r="CE1112" i="4"/>
  <c r="CE1141" i="4" s="1"/>
  <c r="CE1102" i="4"/>
  <c r="CE1103" i="4"/>
  <c r="CE1092" i="4" s="1"/>
  <c r="CE1093" i="4" s="1"/>
  <c r="CE1111" i="4" s="1"/>
  <c r="CD1419" i="4" l="1"/>
  <c r="CD1261" i="4"/>
  <c r="CD86" i="11"/>
  <c r="CD1232" i="4"/>
  <c r="CD19" i="66"/>
  <c r="CD17" i="66" s="1"/>
  <c r="CD1403" i="4"/>
  <c r="CD1406" i="4" s="1"/>
  <c r="CE49" i="11"/>
  <c r="AC50" i="67"/>
  <c r="AC49" i="67" s="1"/>
  <c r="CE1104" i="4"/>
  <c r="CF468" i="4"/>
  <c r="CE467" i="4"/>
  <c r="CE469" i="4" s="1"/>
  <c r="CE470" i="4" s="1"/>
  <c r="CE471" i="4" s="1"/>
  <c r="CE472" i="4" s="1"/>
  <c r="CF466" i="4" s="1"/>
  <c r="CF479" i="4"/>
  <c r="CE478" i="4"/>
  <c r="CE480" i="4" s="1"/>
  <c r="CE481" i="4" s="1"/>
  <c r="CE482" i="4" s="1"/>
  <c r="CE483" i="4" s="1"/>
  <c r="CF477" i="4" s="1"/>
  <c r="CE456" i="4"/>
  <c r="CE458" i="4" s="1"/>
  <c r="CE459" i="4" s="1"/>
  <c r="CF457" i="4"/>
  <c r="CD1250" i="4"/>
  <c r="CD74" i="11"/>
  <c r="CD78" i="11" s="1"/>
  <c r="CD1227" i="4"/>
  <c r="CD1195" i="4"/>
  <c r="CD1199" i="4" s="1"/>
  <c r="CD1177" i="4" s="1"/>
  <c r="CD1309" i="4"/>
  <c r="CD36" i="66"/>
  <c r="CE1143" i="4"/>
  <c r="CE1142" i="4"/>
  <c r="CE294" i="4" s="1"/>
  <c r="CE997" i="4"/>
  <c r="CE299" i="4" l="1"/>
  <c r="CE302" i="4"/>
  <c r="CE53" i="11"/>
  <c r="CE52" i="11" s="1"/>
  <c r="AC53" i="67"/>
  <c r="AC52" i="67" s="1"/>
  <c r="CE1120" i="4"/>
  <c r="CE1113" i="4"/>
  <c r="CE1144" i="4" s="1"/>
  <c r="CD1308" i="4"/>
  <c r="CD1311" i="4" s="1"/>
  <c r="CD1344" i="4"/>
  <c r="CF495" i="4"/>
  <c r="CF995" i="4" s="1"/>
  <c r="CD89" i="11"/>
  <c r="CD1228" i="4"/>
  <c r="CD1205" i="4" s="1"/>
  <c r="CD39" i="66"/>
  <c r="CD35" i="66" s="1"/>
  <c r="CD1251" i="4"/>
  <c r="CD1178" i="4"/>
  <c r="CE494" i="4"/>
  <c r="CE994" i="4" s="1"/>
  <c r="CE460" i="4"/>
  <c r="CE461" i="4" s="1"/>
  <c r="CF455" i="4" s="1"/>
  <c r="CD1348" i="4" l="1"/>
  <c r="CE1173" i="4"/>
  <c r="CD27" i="11"/>
  <c r="CD1429" i="4"/>
  <c r="CD1313" i="4"/>
  <c r="CD1325" i="4"/>
  <c r="CE73" i="11"/>
  <c r="CE1044" i="4"/>
  <c r="CE1067" i="4" s="1"/>
  <c r="CE1248" i="4"/>
  <c r="CE1224" i="4"/>
  <c r="AC73" i="67"/>
  <c r="AC23" i="13"/>
  <c r="CD1207" i="4"/>
  <c r="CD1209" i="4" s="1"/>
  <c r="CE331" i="4"/>
  <c r="CE307" i="4"/>
  <c r="CE332" i="4" l="1"/>
  <c r="CE14" i="11" s="1"/>
  <c r="CE395" i="4"/>
  <c r="CE396" i="4" s="1"/>
  <c r="CE397" i="4" s="1"/>
  <c r="CE398" i="4" s="1"/>
  <c r="CE399" i="4" s="1"/>
  <c r="CF394" i="4" s="1"/>
  <c r="CE385" i="4"/>
  <c r="CE405" i="4"/>
  <c r="CE406" i="4" s="1"/>
  <c r="CE407" i="4" s="1"/>
  <c r="CE408" i="4" s="1"/>
  <c r="CE409" i="4" s="1"/>
  <c r="CF404" i="4" s="1"/>
  <c r="CD1430" i="4"/>
  <c r="CD1431" i="4" s="1"/>
  <c r="CD1432" i="4"/>
  <c r="CD1208" i="4"/>
  <c r="CD1252" i="4"/>
  <c r="CD58" i="11"/>
  <c r="CD59" i="11" s="1"/>
  <c r="CD28" i="11" s="1"/>
  <c r="CD90" i="11"/>
  <c r="CD91" i="11" s="1"/>
  <c r="CD93" i="11" s="1"/>
  <c r="CD96" i="11" s="1"/>
  <c r="CD97" i="11" s="1"/>
  <c r="CD48" i="62"/>
  <c r="CD24" i="62" s="1"/>
  <c r="CD1229" i="4"/>
  <c r="CD1230" i="4" s="1"/>
  <c r="CD1234" i="4" s="1"/>
  <c r="CE1213" i="4" s="1"/>
  <c r="CD22" i="66"/>
  <c r="CE1158" i="4"/>
  <c r="CE1174" i="4" s="1"/>
  <c r="CE1157" i="4"/>
  <c r="CE1068" i="4"/>
  <c r="CD1326" i="4"/>
  <c r="CD1327" i="4" s="1"/>
  <c r="CD1363" i="4"/>
  <c r="AC14" i="67" l="1"/>
  <c r="CE1051" i="4"/>
  <c r="CD1364" i="4"/>
  <c r="CD1365" i="4" s="1"/>
  <c r="CD26" i="62"/>
  <c r="CD1263" i="4"/>
  <c r="CD1264" i="4" s="1"/>
  <c r="CD101" i="67"/>
  <c r="CD100" i="11"/>
  <c r="CE95" i="11"/>
  <c r="CD1253" i="4"/>
  <c r="CD1254" i="4" s="1"/>
  <c r="CD21" i="11"/>
  <c r="CD17" i="11" s="1"/>
  <c r="CD46" i="62"/>
  <c r="CD1385" i="4"/>
  <c r="CD1384" i="4" s="1"/>
  <c r="CD100" i="67"/>
  <c r="CD101" i="11"/>
  <c r="CD24" i="66"/>
  <c r="CD20" i="66" s="1"/>
  <c r="CD26" i="66" s="1"/>
  <c r="CD44" i="66"/>
  <c r="CD40" i="66" s="1"/>
  <c r="CD46" i="66" s="1"/>
  <c r="CE386" i="4"/>
  <c r="CE387" i="4" s="1"/>
  <c r="CE500" i="4"/>
  <c r="CE489" i="4"/>
  <c r="CE1164" i="4"/>
  <c r="CE1159" i="4"/>
  <c r="CD25" i="11"/>
  <c r="CD1266" i="4" l="1"/>
  <c r="CD99" i="11"/>
  <c r="CD48" i="66"/>
  <c r="CE388" i="4"/>
  <c r="CE389" i="4" s="1"/>
  <c r="CF384" i="4" s="1"/>
  <c r="CE501" i="4"/>
  <c r="CE502" i="4" s="1"/>
  <c r="CE490" i="4"/>
  <c r="CD1386" i="4"/>
  <c r="CD1383" i="4" s="1"/>
  <c r="CD23" i="11"/>
  <c r="CD1398" i="4"/>
  <c r="CD1393" i="4" s="1"/>
  <c r="CD37" i="11"/>
  <c r="CD1397" i="4"/>
  <c r="CD1392" i="4" s="1"/>
  <c r="CE85" i="11"/>
  <c r="CE1167" i="4"/>
  <c r="CE1168" i="4" s="1"/>
  <c r="CE1231" i="4"/>
  <c r="CE42" i="62"/>
  <c r="CE1260" i="4"/>
  <c r="AC85" i="67"/>
  <c r="CD39" i="11" l="1"/>
  <c r="CD40" i="11" s="1"/>
  <c r="CE52" i="62"/>
  <c r="CE43" i="62"/>
  <c r="CE23" i="62" s="1"/>
  <c r="CD1439" i="4"/>
  <c r="CD1440" i="4" s="1"/>
  <c r="CD1396" i="4"/>
  <c r="CD1391" i="4" s="1"/>
  <c r="CE26" i="11"/>
  <c r="AC26" i="67"/>
  <c r="CF1163" i="4"/>
  <c r="CE491" i="4"/>
  <c r="CE64" i="62"/>
  <c r="CE51" i="11"/>
  <c r="AC51" i="67"/>
  <c r="CF499" i="4"/>
  <c r="CF1023" i="4" s="1"/>
  <c r="CE1024" i="4"/>
  <c r="CE1026" i="4" s="1"/>
  <c r="CE1027" i="4" s="1"/>
  <c r="CE1028" i="4" s="1"/>
  <c r="CE62" i="64" l="1"/>
  <c r="CE907" i="4"/>
  <c r="CE911" i="4" s="1"/>
  <c r="CE16" i="66"/>
  <c r="CE14" i="66" s="1"/>
  <c r="CE13" i="66" s="1"/>
  <c r="AC15" i="67"/>
  <c r="AC13" i="67" s="1"/>
  <c r="CF488" i="4"/>
  <c r="CE15" i="11"/>
  <c r="CE13" i="11" s="1"/>
  <c r="CE915" i="4" l="1"/>
  <c r="CE1043" i="4"/>
  <c r="CE1243" i="4"/>
  <c r="CE71" i="11"/>
  <c r="CE1217" i="4"/>
  <c r="CE1221" i="4" s="1"/>
  <c r="AC40" i="13"/>
  <c r="AC71" i="67"/>
  <c r="CE70" i="64"/>
  <c r="CE78" i="64"/>
  <c r="CE996" i="4" l="1"/>
  <c r="CE1000" i="4" s="1"/>
  <c r="CE1004" i="4" s="1"/>
  <c r="CE47" i="11"/>
  <c r="AC47" i="67"/>
  <c r="AC20" i="72"/>
  <c r="AC48" i="67" l="1"/>
  <c r="AC55" i="67" s="1"/>
  <c r="AC62" i="67"/>
  <c r="AC64" i="67" s="1"/>
  <c r="AC61" i="67"/>
  <c r="AC63" i="67" s="1"/>
  <c r="CE48" i="11"/>
  <c r="CE55" i="11" s="1"/>
  <c r="CE62" i="11"/>
  <c r="CE61" i="11"/>
  <c r="CE1005" i="4"/>
  <c r="CE1012" i="4"/>
  <c r="CE1016" i="4" l="1"/>
  <c r="CE1013" i="4" s="1"/>
  <c r="CE1014" i="4" s="1"/>
  <c r="CF1011" i="4" s="1"/>
  <c r="CE63" i="11"/>
  <c r="AC1449" i="4"/>
  <c r="CE62" i="62"/>
  <c r="CE1395" i="4"/>
  <c r="CE64" i="11"/>
  <c r="CE1006" i="4" l="1"/>
  <c r="CE1007" i="4" s="1"/>
  <c r="CE1246" i="4" l="1"/>
  <c r="CE61" i="64"/>
  <c r="CE75" i="11"/>
  <c r="CE1222" i="4"/>
  <c r="CE1223" i="4" s="1"/>
  <c r="CE1046" i="4"/>
  <c r="CE1053" i="4" s="1"/>
  <c r="CE1055" i="4" s="1"/>
  <c r="CE1058" i="4" s="1"/>
  <c r="CE56" i="11"/>
  <c r="CE57" i="11" s="1"/>
  <c r="AC41" i="13"/>
  <c r="AC43" i="13" s="1"/>
  <c r="AC56" i="67"/>
  <c r="AC57" i="67" s="1"/>
  <c r="AC75" i="67"/>
  <c r="CE63" i="62"/>
  <c r="CE67" i="62" s="1"/>
  <c r="CE1394" i="4" l="1"/>
  <c r="CE1206" i="4"/>
  <c r="CE1236" i="4"/>
  <c r="CE68" i="62"/>
  <c r="CE66" i="64"/>
  <c r="CE40" i="64" s="1"/>
  <c r="CE42" i="64" s="1"/>
  <c r="CE77" i="64"/>
  <c r="CE82" i="64" s="1"/>
  <c r="CE69" i="64"/>
  <c r="CE74" i="64" s="1"/>
  <c r="CE1116" i="4" l="1"/>
  <c r="CE1117" i="4" s="1"/>
  <c r="CE1119" i="4" s="1"/>
  <c r="CE1121" i="4" s="1"/>
  <c r="CE1087" i="4" s="1"/>
  <c r="CE52" i="64"/>
  <c r="CE49" i="64"/>
  <c r="CE1137" i="4" l="1"/>
  <c r="CE1088" i="4"/>
  <c r="CF1085" i="4" l="1"/>
  <c r="CF1130" i="4"/>
  <c r="CF1148" i="4" s="1"/>
  <c r="CE1247" i="4"/>
  <c r="CE1225" i="4"/>
  <c r="CE1226" i="4" s="1"/>
  <c r="CE1347" i="4"/>
  <c r="CE38" i="66"/>
  <c r="CE88" i="11"/>
  <c r="AC24" i="13"/>
  <c r="AC88" i="67"/>
  <c r="CE1138" i="4"/>
  <c r="CE1404" i="4"/>
  <c r="CE1204" i="4" l="1"/>
  <c r="CE1194" i="4"/>
  <c r="CE31" i="11"/>
  <c r="CE1412" i="4"/>
  <c r="CE1428" i="4"/>
  <c r="AC31" i="67"/>
  <c r="AC30" i="67" s="1"/>
  <c r="CF1135" i="4"/>
  <c r="CE1438" i="4"/>
  <c r="AC1448" i="4"/>
  <c r="AC1452" i="4" s="1"/>
  <c r="CF1086" i="4"/>
  <c r="CE1413" i="4" l="1"/>
  <c r="CE1422" i="4" s="1"/>
  <c r="CE30" i="11"/>
  <c r="CE45" i="62"/>
  <c r="CE1197" i="4"/>
  <c r="CE1198" i="4" s="1"/>
  <c r="CE1188" i="4" s="1"/>
  <c r="CE1175" i="4"/>
  <c r="CF1136" i="4"/>
  <c r="CF1129" i="4"/>
  <c r="CF1147" i="4" s="1"/>
  <c r="CF1149" i="4" s="1"/>
  <c r="CF1125" i="4"/>
  <c r="CF1101" i="4"/>
  <c r="CF1415" i="4"/>
  <c r="CE1180" i="4" l="1"/>
  <c r="CE1184" i="4"/>
  <c r="CE1191" i="4" s="1"/>
  <c r="CF72" i="11"/>
  <c r="CF1218" i="4"/>
  <c r="CF50" i="11"/>
  <c r="CF297" i="4"/>
  <c r="CF305" i="4" s="1"/>
  <c r="CF330" i="4" s="1"/>
  <c r="CF1249" i="4"/>
  <c r="CF1045" i="4"/>
  <c r="CF999" i="4"/>
  <c r="CF37" i="66"/>
  <c r="CF87" i="11"/>
  <c r="CF1259" i="4"/>
  <c r="CF1233" i="4"/>
  <c r="CF18" i="66"/>
  <c r="CF1346" i="4"/>
  <c r="CE1189" i="4"/>
  <c r="CE1187" i="4"/>
  <c r="CE1176" i="4" s="1"/>
  <c r="CF1102" i="4"/>
  <c r="CF1112" i="4"/>
  <c r="CF1141" i="4" s="1"/>
  <c r="CF1103" i="4"/>
  <c r="CF1092" i="4" s="1"/>
  <c r="CF1093" i="4" s="1"/>
  <c r="CF1111" i="4" s="1"/>
  <c r="CE1418" i="4"/>
  <c r="CE1416" i="4"/>
  <c r="CE1419" i="4" l="1"/>
  <c r="CF1104" i="4"/>
  <c r="CF1113" i="4" s="1"/>
  <c r="CF1144" i="4" s="1"/>
  <c r="CF467" i="4"/>
  <c r="CF469" i="4" s="1"/>
  <c r="CF470" i="4" s="1"/>
  <c r="CF471" i="4" s="1"/>
  <c r="CF472" i="4" s="1"/>
  <c r="CG466" i="4" s="1"/>
  <c r="CG457" i="4"/>
  <c r="CG468" i="4"/>
  <c r="CF456" i="4"/>
  <c r="CF458" i="4" s="1"/>
  <c r="CF459" i="4" s="1"/>
  <c r="CG479" i="4"/>
  <c r="CF478" i="4"/>
  <c r="CF480" i="4" s="1"/>
  <c r="CF481" i="4" s="1"/>
  <c r="CF482" i="4" s="1"/>
  <c r="CF483" i="4" s="1"/>
  <c r="CG477" i="4" s="1"/>
  <c r="CF49" i="11"/>
  <c r="CF1142" i="4"/>
  <c r="CF294" i="4" s="1"/>
  <c r="CF1143" i="4"/>
  <c r="CF997" i="4"/>
  <c r="CE1232" i="4"/>
  <c r="CE86" i="11"/>
  <c r="CE1261" i="4"/>
  <c r="CE19" i="66"/>
  <c r="CE17" i="66" s="1"/>
  <c r="AC86" i="67"/>
  <c r="CE1403" i="4"/>
  <c r="CE1406" i="4" s="1"/>
  <c r="CE1227" i="4"/>
  <c r="CE1250" i="4"/>
  <c r="CE1195" i="4"/>
  <c r="CE1199" i="4" s="1"/>
  <c r="CE1177" i="4" s="1"/>
  <c r="CE74" i="11"/>
  <c r="CE78" i="11" s="1"/>
  <c r="AC74" i="67"/>
  <c r="AC78" i="67" s="1"/>
  <c r="CE36" i="66"/>
  <c r="CE1309" i="4"/>
  <c r="CF1120" i="4" l="1"/>
  <c r="CF1044" i="4"/>
  <c r="CF1067" i="4" s="1"/>
  <c r="CF1224" i="4"/>
  <c r="CF73" i="11"/>
  <c r="CF1248" i="4"/>
  <c r="CE89" i="11"/>
  <c r="CE1251" i="4"/>
  <c r="CE39" i="66"/>
  <c r="CE35" i="66" s="1"/>
  <c r="CE1228" i="4"/>
  <c r="CE1205" i="4" s="1"/>
  <c r="AC89" i="67"/>
  <c r="CE1178" i="4"/>
  <c r="CF53" i="11"/>
  <c r="CF52" i="11" s="1"/>
  <c r="CE1308" i="4"/>
  <c r="CE1311" i="4" s="1"/>
  <c r="CE1344" i="4"/>
  <c r="CF299" i="4"/>
  <c r="CF302" i="4"/>
  <c r="CF494" i="4"/>
  <c r="CF994" i="4" s="1"/>
  <c r="CF460" i="4"/>
  <c r="CF461" i="4" s="1"/>
  <c r="CG455" i="4" s="1"/>
  <c r="CG495" i="4"/>
  <c r="CG995" i="4" s="1"/>
  <c r="AC27" i="67" l="1"/>
  <c r="CE27" i="11"/>
  <c r="CF1173" i="4"/>
  <c r="CE1429" i="4"/>
  <c r="CF331" i="4"/>
  <c r="CF307" i="4"/>
  <c r="CE1207" i="4"/>
  <c r="CE1209" i="4" s="1"/>
  <c r="CE1348" i="4"/>
  <c r="AC13" i="13"/>
  <c r="CE1313" i="4"/>
  <c r="AC14" i="72"/>
  <c r="CE1325" i="4"/>
  <c r="CF1068" i="4"/>
  <c r="CF1158" i="4"/>
  <c r="CF1174" i="4" s="1"/>
  <c r="CF1157" i="4"/>
  <c r="CF332" i="4" l="1"/>
  <c r="CF14" i="11" s="1"/>
  <c r="CE90" i="11"/>
  <c r="CE91" i="11" s="1"/>
  <c r="CE93" i="11" s="1"/>
  <c r="CE96" i="11" s="1"/>
  <c r="CE97" i="11" s="1"/>
  <c r="CE1252" i="4"/>
  <c r="CE48" i="62"/>
  <c r="CE24" i="62" s="1"/>
  <c r="CE58" i="11"/>
  <c r="CE59" i="11" s="1"/>
  <c r="CE28" i="11" s="1"/>
  <c r="CE25" i="11" s="1"/>
  <c r="CE1229" i="4"/>
  <c r="CE1230" i="4" s="1"/>
  <c r="CE1234" i="4" s="1"/>
  <c r="CF1213" i="4" s="1"/>
  <c r="AC90" i="67"/>
  <c r="AC91" i="67" s="1"/>
  <c r="AC93" i="67" s="1"/>
  <c r="AC96" i="67" s="1"/>
  <c r="AC97" i="67" s="1"/>
  <c r="AC58" i="67"/>
  <c r="AC59" i="67" s="1"/>
  <c r="CE22" i="66"/>
  <c r="CE1208" i="4"/>
  <c r="CF1164" i="4"/>
  <c r="CF1159" i="4"/>
  <c r="CF395" i="4"/>
  <c r="CF396" i="4" s="1"/>
  <c r="CF397" i="4" s="1"/>
  <c r="CF398" i="4" s="1"/>
  <c r="CF399" i="4" s="1"/>
  <c r="CG394" i="4" s="1"/>
  <c r="CF405" i="4"/>
  <c r="CF406" i="4" s="1"/>
  <c r="CF407" i="4" s="1"/>
  <c r="CF408" i="4" s="1"/>
  <c r="CF409" i="4" s="1"/>
  <c r="CG404" i="4" s="1"/>
  <c r="CF385" i="4"/>
  <c r="CE1326" i="4"/>
  <c r="CE1327" i="4" s="1"/>
  <c r="CE1432" i="4"/>
  <c r="CE1430" i="4"/>
  <c r="CE1431" i="4" s="1"/>
  <c r="AC15" i="72"/>
  <c r="CE1363" i="4"/>
  <c r="AD95" i="67" l="1"/>
  <c r="CF386" i="4"/>
  <c r="CF387" i="4" s="1"/>
  <c r="CF500" i="4"/>
  <c r="CF489" i="4"/>
  <c r="CF1051" i="4"/>
  <c r="AC28" i="67"/>
  <c r="AC25" i="67" s="1"/>
  <c r="AC37" i="67" s="1"/>
  <c r="CE1398" i="4"/>
  <c r="CE1393" i="4" s="1"/>
  <c r="CE1397" i="4"/>
  <c r="CE1392" i="4" s="1"/>
  <c r="CE37" i="11"/>
  <c r="CE26" i="62"/>
  <c r="CF1260" i="4"/>
  <c r="CF1231" i="4"/>
  <c r="CF1167" i="4"/>
  <c r="CF1168" i="4" s="1"/>
  <c r="CF85" i="11"/>
  <c r="CF42" i="62"/>
  <c r="CE1364" i="4"/>
  <c r="CE1365" i="4" s="1"/>
  <c r="AC1450" i="4"/>
  <c r="AC1457" i="4" s="1"/>
  <c r="CE100" i="11"/>
  <c r="CF95" i="11"/>
  <c r="CE1253" i="4"/>
  <c r="CE1254" i="4" s="1"/>
  <c r="CE100" i="67"/>
  <c r="AC21" i="67"/>
  <c r="AC17" i="67" s="1"/>
  <c r="AC23" i="67" s="1"/>
  <c r="CE101" i="11"/>
  <c r="CE101" i="67"/>
  <c r="CE44" i="66"/>
  <c r="CE40" i="66" s="1"/>
  <c r="CE46" i="66" s="1"/>
  <c r="CE24" i="66"/>
  <c r="CE20" i="66" s="1"/>
  <c r="CE26" i="66" s="1"/>
  <c r="CE1385" i="4"/>
  <c r="CE1384" i="4" s="1"/>
  <c r="CE21" i="11"/>
  <c r="CE17" i="11" s="1"/>
  <c r="CE46" i="62"/>
  <c r="CE1263" i="4"/>
  <c r="CE1264" i="4" s="1"/>
  <c r="CE99" i="11" l="1"/>
  <c r="CE48" i="66"/>
  <c r="AC39" i="67"/>
  <c r="AC40" i="67" s="1"/>
  <c r="CF52" i="62"/>
  <c r="CF43" i="62"/>
  <c r="CF23" i="62" s="1"/>
  <c r="CE1266" i="4"/>
  <c r="CG1163" i="4"/>
  <c r="CF26" i="11"/>
  <c r="CF388" i="4"/>
  <c r="CF389" i="4" s="1"/>
  <c r="CG384" i="4" s="1"/>
  <c r="CF490" i="4"/>
  <c r="CF501" i="4"/>
  <c r="CF502" i="4" s="1"/>
  <c r="CE1386" i="4"/>
  <c r="CE1383" i="4" s="1"/>
  <c r="CE23" i="11"/>
  <c r="AC99" i="67"/>
  <c r="CE1439" i="4" l="1"/>
  <c r="CE1440" i="4" s="1"/>
  <c r="CE1396" i="4"/>
  <c r="CE1391" i="4" s="1"/>
  <c r="CE39" i="11"/>
  <c r="CE40" i="11" s="1"/>
  <c r="CF16" i="66"/>
  <c r="CF14" i="66" s="1"/>
  <c r="CF13" i="66" s="1"/>
  <c r="CF491" i="4"/>
  <c r="CF51" i="11"/>
  <c r="CF64" i="62"/>
  <c r="CG499" i="4"/>
  <c r="CG1023" i="4" s="1"/>
  <c r="CF1024" i="4"/>
  <c r="CF1026" i="4" s="1"/>
  <c r="CF1027" i="4" s="1"/>
  <c r="CF1028" i="4" s="1"/>
  <c r="CF907" i="4" l="1"/>
  <c r="CF911" i="4" s="1"/>
  <c r="CF62" i="64"/>
  <c r="CG488" i="4"/>
  <c r="CF15" i="11"/>
  <c r="CF13" i="11" s="1"/>
  <c r="CF78" i="64" l="1"/>
  <c r="CF70" i="64"/>
  <c r="CF1043" i="4"/>
  <c r="CF915" i="4"/>
  <c r="CF1217" i="4"/>
  <c r="CF1221" i="4" s="1"/>
  <c r="CF71" i="11"/>
  <c r="CF1243" i="4"/>
  <c r="CF996" i="4" l="1"/>
  <c r="CF1000" i="4" s="1"/>
  <c r="CF1004" i="4" s="1"/>
  <c r="CF47" i="11"/>
  <c r="CF48" i="11" l="1"/>
  <c r="CF55" i="11" s="1"/>
  <c r="CF61" i="11"/>
  <c r="CF62" i="11"/>
  <c r="CF1005" i="4"/>
  <c r="CF1016" i="4" s="1"/>
  <c r="CF1013" i="4" s="1"/>
  <c r="CF1006" i="4" s="1"/>
  <c r="CF1007" i="4" s="1"/>
  <c r="CF1012" i="4"/>
  <c r="CF1046" i="4" l="1"/>
  <c r="CF1053" i="4" s="1"/>
  <c r="CF1055" i="4" s="1"/>
  <c r="CF1058" i="4" s="1"/>
  <c r="CF1222" i="4"/>
  <c r="CF1223" i="4" s="1"/>
  <c r="CF75" i="11"/>
  <c r="CF61" i="64"/>
  <c r="CF1246" i="4"/>
  <c r="CF56" i="11"/>
  <c r="CF57" i="11" s="1"/>
  <c r="CF1014" i="4"/>
  <c r="CG1011" i="4" s="1"/>
  <c r="CF63" i="11"/>
  <c r="CF1395" i="4"/>
  <c r="CF64" i="11"/>
  <c r="CF62" i="62"/>
  <c r="CF63" i="62" s="1"/>
  <c r="CF67" i="62" s="1"/>
  <c r="CF1394" i="4" l="1"/>
  <c r="CF1206" i="4"/>
  <c r="CF68" i="62"/>
  <c r="CF69" i="64"/>
  <c r="CF74" i="64" s="1"/>
  <c r="CF77" i="64"/>
  <c r="CF82" i="64" s="1"/>
  <c r="CF66" i="64"/>
  <c r="CF40" i="64" s="1"/>
  <c r="CF42" i="64" s="1"/>
  <c r="CF1236" i="4"/>
  <c r="CF1116" i="4" l="1"/>
  <c r="CF1117" i="4" s="1"/>
  <c r="CF1119" i="4" s="1"/>
  <c r="CF1121" i="4" s="1"/>
  <c r="CF1087" i="4" s="1"/>
  <c r="CF52" i="64"/>
  <c r="CF49" i="64"/>
  <c r="CF1137" i="4" l="1"/>
  <c r="CF1088" i="4"/>
  <c r="CG1085" i="4" l="1"/>
  <c r="CG1130" i="4"/>
  <c r="CG1148" i="4" s="1"/>
  <c r="CF1225" i="4"/>
  <c r="CF1226" i="4" s="1"/>
  <c r="CF38" i="66"/>
  <c r="CF1247" i="4"/>
  <c r="CF88" i="11"/>
  <c r="CF1347" i="4"/>
  <c r="CF1404" i="4"/>
  <c r="CF1138" i="4"/>
  <c r="CF1428" i="4" l="1"/>
  <c r="CG1135" i="4"/>
  <c r="CF31" i="11"/>
  <c r="CF1412" i="4"/>
  <c r="CF1438" i="4"/>
  <c r="CF1194" i="4"/>
  <c r="CF1204" i="4"/>
  <c r="CG1086" i="4"/>
  <c r="CF1197" i="4" l="1"/>
  <c r="CF1198" i="4" s="1"/>
  <c r="CF1188" i="4" s="1"/>
  <c r="CF1175" i="4"/>
  <c r="CF1413" i="4"/>
  <c r="CF1422" i="4" s="1"/>
  <c r="CF45" i="62"/>
  <c r="CF30" i="11"/>
  <c r="CG1136" i="4"/>
  <c r="CG1129" i="4"/>
  <c r="CG1147" i="4" s="1"/>
  <c r="CG1149" i="4" s="1"/>
  <c r="CG1125" i="4"/>
  <c r="CG1101" i="4"/>
  <c r="CG1415" i="4"/>
  <c r="CF1418" i="4" l="1"/>
  <c r="CF1416" i="4"/>
  <c r="CF1184" i="4"/>
  <c r="CF1191" i="4" s="1"/>
  <c r="CF1180" i="4"/>
  <c r="CF1189" i="4"/>
  <c r="CF1187" i="4"/>
  <c r="CF1176" i="4" s="1"/>
  <c r="CG1259" i="4"/>
  <c r="CG18" i="66"/>
  <c r="CG87" i="11"/>
  <c r="CG1233" i="4"/>
  <c r="CG1346" i="4"/>
  <c r="CG1103" i="4"/>
  <c r="CG1092" i="4" s="1"/>
  <c r="CG1093" i="4" s="1"/>
  <c r="CG1111" i="4" s="1"/>
  <c r="CG1112" i="4"/>
  <c r="CG1141" i="4" s="1"/>
  <c r="CG1102" i="4"/>
  <c r="CG1249" i="4"/>
  <c r="CG50" i="11"/>
  <c r="CG999" i="4"/>
  <c r="CG1045" i="4"/>
  <c r="CG297" i="4"/>
  <c r="CG305" i="4" s="1"/>
  <c r="CG330" i="4" s="1"/>
  <c r="CG1218" i="4"/>
  <c r="CG37" i="66"/>
  <c r="CG72" i="11"/>
  <c r="CF1419" i="4" l="1"/>
  <c r="CH457" i="4"/>
  <c r="CH479" i="4"/>
  <c r="CH468" i="4"/>
  <c r="CG467" i="4"/>
  <c r="CG469" i="4" s="1"/>
  <c r="CG470" i="4" s="1"/>
  <c r="CG471" i="4" s="1"/>
  <c r="CG472" i="4" s="1"/>
  <c r="CH466" i="4" s="1"/>
  <c r="CG456" i="4"/>
  <c r="CG458" i="4" s="1"/>
  <c r="CG459" i="4" s="1"/>
  <c r="CG478" i="4"/>
  <c r="CG480" i="4" s="1"/>
  <c r="CG481" i="4" s="1"/>
  <c r="CG482" i="4" s="1"/>
  <c r="CG483" i="4" s="1"/>
  <c r="CH477" i="4" s="1"/>
  <c r="CF74" i="11"/>
  <c r="CF78" i="11" s="1"/>
  <c r="CF1250" i="4"/>
  <c r="CF1195" i="4"/>
  <c r="CF1199" i="4" s="1"/>
  <c r="CF1177" i="4" s="1"/>
  <c r="CF1227" i="4"/>
  <c r="CF1309" i="4"/>
  <c r="CF36" i="66"/>
  <c r="CF1232" i="4"/>
  <c r="CF19" i="66"/>
  <c r="CF17" i="66" s="1"/>
  <c r="CF86" i="11"/>
  <c r="CF1261" i="4"/>
  <c r="CF1403" i="4"/>
  <c r="CF1406" i="4" s="1"/>
  <c r="CG49" i="11"/>
  <c r="CG1104" i="4"/>
  <c r="CG1143" i="4"/>
  <c r="CG997" i="4"/>
  <c r="CG1142" i="4"/>
  <c r="CG294" i="4" s="1"/>
  <c r="CG460" i="4" l="1"/>
  <c r="CG461" i="4" s="1"/>
  <c r="CH455" i="4" s="1"/>
  <c r="CG494" i="4"/>
  <c r="CG994" i="4" s="1"/>
  <c r="CF1228" i="4"/>
  <c r="CF1205" i="4" s="1"/>
  <c r="CF39" i="66"/>
  <c r="CF35" i="66" s="1"/>
  <c r="CF1251" i="4"/>
  <c r="CF89" i="11"/>
  <c r="CG299" i="4"/>
  <c r="CG302" i="4"/>
  <c r="CG1113" i="4"/>
  <c r="CG1144" i="4" s="1"/>
  <c r="CG1120" i="4"/>
  <c r="CF1344" i="4"/>
  <c r="CF1308" i="4"/>
  <c r="CF1311" i="4" s="1"/>
  <c r="CH495" i="4"/>
  <c r="CH995" i="4" s="1"/>
  <c r="CG53" i="11"/>
  <c r="CG52" i="11" s="1"/>
  <c r="CF1178" i="4"/>
  <c r="CF1207" i="4" l="1"/>
  <c r="CF1209" i="4" s="1"/>
  <c r="CF1313" i="4"/>
  <c r="CF1325" i="4"/>
  <c r="CF1348" i="4"/>
  <c r="CF27" i="11"/>
  <c r="CG1173" i="4"/>
  <c r="CF1429" i="4"/>
  <c r="CG1224" i="4"/>
  <c r="CG1248" i="4"/>
  <c r="CG1044" i="4"/>
  <c r="CG1067" i="4" s="1"/>
  <c r="CG73" i="11"/>
  <c r="CG307" i="4"/>
  <c r="CG331" i="4"/>
  <c r="CG332" i="4" l="1"/>
  <c r="CG14" i="11" s="1"/>
  <c r="CG1068" i="4"/>
  <c r="CG1157" i="4"/>
  <c r="CG1158" i="4"/>
  <c r="CG1174" i="4" s="1"/>
  <c r="CG405" i="4"/>
  <c r="CG406" i="4" s="1"/>
  <c r="CG407" i="4" s="1"/>
  <c r="CG408" i="4" s="1"/>
  <c r="CG409" i="4" s="1"/>
  <c r="CH404" i="4" s="1"/>
  <c r="CG385" i="4"/>
  <c r="CG395" i="4"/>
  <c r="CG396" i="4" s="1"/>
  <c r="CG397" i="4" s="1"/>
  <c r="CG398" i="4" s="1"/>
  <c r="CG399" i="4" s="1"/>
  <c r="CH394" i="4" s="1"/>
  <c r="CF1363" i="4"/>
  <c r="CF1326" i="4"/>
  <c r="CF1327" i="4" s="1"/>
  <c r="CF1208" i="4"/>
  <c r="CF1432" i="4"/>
  <c r="CF1430" i="4"/>
  <c r="CF1431" i="4" s="1"/>
  <c r="CF1252" i="4"/>
  <c r="CF90" i="11"/>
  <c r="CF91" i="11" s="1"/>
  <c r="CF93" i="11" s="1"/>
  <c r="CF96" i="11" s="1"/>
  <c r="CF97" i="11" s="1"/>
  <c r="CF48" i="62"/>
  <c r="CF24" i="62" s="1"/>
  <c r="CF58" i="11"/>
  <c r="CF59" i="11" s="1"/>
  <c r="CF28" i="11" s="1"/>
  <c r="CF1229" i="4"/>
  <c r="CF1230" i="4" s="1"/>
  <c r="CF1234" i="4" s="1"/>
  <c r="CG1213" i="4" s="1"/>
  <c r="CF22" i="66"/>
  <c r="CF26" i="62" l="1"/>
  <c r="CG500" i="4"/>
  <c r="CG386" i="4"/>
  <c r="CG387" i="4" s="1"/>
  <c r="CG489" i="4"/>
  <c r="CF101" i="11"/>
  <c r="CF100" i="11"/>
  <c r="CF46" i="62"/>
  <c r="CG95" i="11"/>
  <c r="CF24" i="66"/>
  <c r="CF20" i="66" s="1"/>
  <c r="CF26" i="66" s="1"/>
  <c r="CF101" i="67"/>
  <c r="CF1253" i="4"/>
  <c r="CF1254" i="4" s="1"/>
  <c r="CF1263" i="4"/>
  <c r="CF1264" i="4" s="1"/>
  <c r="CF1385" i="4"/>
  <c r="CF1384" i="4" s="1"/>
  <c r="CF100" i="67"/>
  <c r="CF21" i="11"/>
  <c r="CF17" i="11" s="1"/>
  <c r="CF44" i="66"/>
  <c r="CF40" i="66" s="1"/>
  <c r="CF46" i="66" s="1"/>
  <c r="CF1364" i="4"/>
  <c r="CF1365" i="4" s="1"/>
  <c r="CG1159" i="4"/>
  <c r="CG1164" i="4"/>
  <c r="CG1051" i="4"/>
  <c r="CF25" i="11"/>
  <c r="CF99" i="11" l="1"/>
  <c r="CF1266" i="4"/>
  <c r="CG501" i="4"/>
  <c r="CG502" i="4" s="1"/>
  <c r="CG388" i="4"/>
  <c r="CG389" i="4" s="1"/>
  <c r="CH384" i="4" s="1"/>
  <c r="CG490" i="4"/>
  <c r="CF1398" i="4"/>
  <c r="CF1393" i="4" s="1"/>
  <c r="CF1397" i="4"/>
  <c r="CF1392" i="4" s="1"/>
  <c r="CF37" i="11"/>
  <c r="CF48" i="66"/>
  <c r="CG42" i="62"/>
  <c r="CG85" i="11"/>
  <c r="CG1231" i="4"/>
  <c r="CG1167" i="4"/>
  <c r="CG1168" i="4" s="1"/>
  <c r="CG1260" i="4"/>
  <c r="CF1386" i="4"/>
  <c r="CF1383" i="4" s="1"/>
  <c r="CF23" i="11"/>
  <c r="CF39" i="11" l="1"/>
  <c r="CF40" i="11" s="1"/>
  <c r="CG491" i="4"/>
  <c r="CG51" i="11"/>
  <c r="CG64" i="62"/>
  <c r="CH499" i="4"/>
  <c r="CH1023" i="4" s="1"/>
  <c r="CG1024" i="4"/>
  <c r="CG1026" i="4" s="1"/>
  <c r="CG1027" i="4" s="1"/>
  <c r="CG1028" i="4" s="1"/>
  <c r="CH1163" i="4"/>
  <c r="CG26" i="11"/>
  <c r="CG52" i="62"/>
  <c r="CG43" i="62"/>
  <c r="CG23" i="62" s="1"/>
  <c r="CF1439" i="4"/>
  <c r="CF1440" i="4" s="1"/>
  <c r="CF1396" i="4"/>
  <c r="CF1391" i="4" s="1"/>
  <c r="CG907" i="4" l="1"/>
  <c r="CG911" i="4" s="1"/>
  <c r="CG62" i="64"/>
  <c r="CG16" i="66"/>
  <c r="CG14" i="66" s="1"/>
  <c r="CG13" i="66" s="1"/>
  <c r="CH488" i="4"/>
  <c r="CG15" i="11"/>
  <c r="CG13" i="11" s="1"/>
  <c r="CG78" i="64" l="1"/>
  <c r="CG70" i="64"/>
  <c r="CG915" i="4"/>
  <c r="CG1043" i="4"/>
  <c r="CG1217" i="4"/>
  <c r="CG1221" i="4" s="1"/>
  <c r="CG1243" i="4"/>
  <c r="CG71" i="11"/>
  <c r="CG47" i="11" l="1"/>
  <c r="CG996" i="4"/>
  <c r="CG1000" i="4" s="1"/>
  <c r="CG1004" i="4" s="1"/>
  <c r="CG62" i="11" l="1"/>
  <c r="CG61" i="11"/>
  <c r="CG48" i="11"/>
  <c r="CG55" i="11" s="1"/>
  <c r="CG1005" i="4"/>
  <c r="CG1016" i="4" s="1"/>
  <c r="CG1013" i="4" s="1"/>
  <c r="CG1006" i="4" s="1"/>
  <c r="CG1007" i="4" s="1"/>
  <c r="CG1012" i="4"/>
  <c r="CG61" i="64" l="1"/>
  <c r="CG1246" i="4"/>
  <c r="CG75" i="11"/>
  <c r="CG1222" i="4"/>
  <c r="CG1223" i="4" s="1"/>
  <c r="CG1046" i="4"/>
  <c r="CG1053" i="4" s="1"/>
  <c r="CG1055" i="4" s="1"/>
  <c r="CG1058" i="4" s="1"/>
  <c r="CG56" i="11"/>
  <c r="CG57" i="11" s="1"/>
  <c r="CG1014" i="4"/>
  <c r="CH1011" i="4" s="1"/>
  <c r="CG63" i="11"/>
  <c r="CG64" i="11"/>
  <c r="CG62" i="62"/>
  <c r="CG63" i="62" s="1"/>
  <c r="CG67" i="62" s="1"/>
  <c r="CG1395" i="4"/>
  <c r="CG1394" i="4" l="1"/>
  <c r="CG1206" i="4"/>
  <c r="CG1236" i="4"/>
  <c r="CG68" i="62"/>
  <c r="CG77" i="64"/>
  <c r="CG82" i="64" s="1"/>
  <c r="CG69" i="64"/>
  <c r="CG74" i="64" s="1"/>
  <c r="CG66" i="64"/>
  <c r="CG40" i="64" s="1"/>
  <c r="CG42" i="64" s="1"/>
  <c r="CG52" i="64" l="1"/>
  <c r="CG49" i="64"/>
  <c r="CG1116" i="4"/>
  <c r="CG1117" i="4" s="1"/>
  <c r="CG1119" i="4" s="1"/>
  <c r="CG1121" i="4" s="1"/>
  <c r="CG1087" i="4" s="1"/>
  <c r="CG1137" i="4" l="1"/>
  <c r="CG1088" i="4"/>
  <c r="CH1085" i="4" l="1"/>
  <c r="CH1130" i="4"/>
  <c r="CH1148" i="4" s="1"/>
  <c r="CG1247" i="4"/>
  <c r="CG38" i="66"/>
  <c r="CG1347" i="4"/>
  <c r="CG1225" i="4"/>
  <c r="CG1226" i="4" s="1"/>
  <c r="CG88" i="11"/>
  <c r="CG1138" i="4"/>
  <c r="CG1404" i="4"/>
  <c r="CG1194" i="4" l="1"/>
  <c r="CG1204" i="4"/>
  <c r="CG31" i="11"/>
  <c r="CG1412" i="4"/>
  <c r="CH1135" i="4"/>
  <c r="CG1438" i="4"/>
  <c r="CG1428" i="4"/>
  <c r="CH1086" i="4"/>
  <c r="CG30" i="11" l="1"/>
  <c r="CG45" i="62"/>
  <c r="CH1136" i="4"/>
  <c r="CH1129" i="4"/>
  <c r="CH1147" i="4" s="1"/>
  <c r="CH1149" i="4" s="1"/>
  <c r="CH1125" i="4"/>
  <c r="CH1101" i="4"/>
  <c r="CH1415" i="4"/>
  <c r="CG1413" i="4"/>
  <c r="CG1422" i="4" s="1"/>
  <c r="CG1175" i="4"/>
  <c r="CG1197" i="4"/>
  <c r="CG1198" i="4" s="1"/>
  <c r="CG1188" i="4" s="1"/>
  <c r="CG1187" i="4" l="1"/>
  <c r="CG1176" i="4" s="1"/>
  <c r="CG1189" i="4"/>
  <c r="CH1112" i="4"/>
  <c r="CH1141" i="4" s="1"/>
  <c r="CH1102" i="4"/>
  <c r="CH1103" i="4"/>
  <c r="CH1092" i="4" s="1"/>
  <c r="CH1093" i="4" s="1"/>
  <c r="CH1111" i="4" s="1"/>
  <c r="CG1418" i="4"/>
  <c r="CG1416" i="4"/>
  <c r="CG1180" i="4"/>
  <c r="CG1184" i="4"/>
  <c r="CG1191" i="4" s="1"/>
  <c r="CH50" i="11"/>
  <c r="CH37" i="66"/>
  <c r="CH1045" i="4"/>
  <c r="CH999" i="4"/>
  <c r="CH1249" i="4"/>
  <c r="CH1218" i="4"/>
  <c r="CH297" i="4"/>
  <c r="CH305" i="4" s="1"/>
  <c r="CH330" i="4" s="1"/>
  <c r="CH72" i="11"/>
  <c r="CH1233" i="4"/>
  <c r="CH1259" i="4"/>
  <c r="CH87" i="11"/>
  <c r="CH18" i="66"/>
  <c r="CH1346" i="4"/>
  <c r="CH49" i="11" l="1"/>
  <c r="CH1104" i="4"/>
  <c r="CH1142" i="4"/>
  <c r="CH294" i="4" s="1"/>
  <c r="CH997" i="4"/>
  <c r="CH1143" i="4"/>
  <c r="CH467" i="4"/>
  <c r="CH469" i="4" s="1"/>
  <c r="CH470" i="4" s="1"/>
  <c r="CH471" i="4" s="1"/>
  <c r="CH472" i="4" s="1"/>
  <c r="CI466" i="4" s="1"/>
  <c r="CI457" i="4"/>
  <c r="CH456" i="4"/>
  <c r="CH458" i="4" s="1"/>
  <c r="CH459" i="4" s="1"/>
  <c r="CI479" i="4"/>
  <c r="CI468" i="4"/>
  <c r="CH478" i="4"/>
  <c r="CH480" i="4" s="1"/>
  <c r="CH481" i="4" s="1"/>
  <c r="CH482" i="4" s="1"/>
  <c r="CH483" i="4" s="1"/>
  <c r="CI477" i="4" s="1"/>
  <c r="CG19" i="66"/>
  <c r="CG17" i="66" s="1"/>
  <c r="CG86" i="11"/>
  <c r="CG1261" i="4"/>
  <c r="CG1232" i="4"/>
  <c r="CG1403" i="4"/>
  <c r="CG1406" i="4" s="1"/>
  <c r="CG1195" i="4"/>
  <c r="CG1199" i="4" s="1"/>
  <c r="CG1177" i="4" s="1"/>
  <c r="CG1227" i="4"/>
  <c r="CG1250" i="4"/>
  <c r="CG74" i="11"/>
  <c r="CG78" i="11" s="1"/>
  <c r="CG1309" i="4"/>
  <c r="CG36" i="66"/>
  <c r="CG1419" i="4"/>
  <c r="CG1228" i="4" l="1"/>
  <c r="CG1205" i="4" s="1"/>
  <c r="CG1251" i="4"/>
  <c r="CG89" i="11"/>
  <c r="CG39" i="66"/>
  <c r="CG35" i="66" s="1"/>
  <c r="CG1178" i="4"/>
  <c r="CH53" i="11"/>
  <c r="CH52" i="11" s="1"/>
  <c r="CH299" i="4"/>
  <c r="CH302" i="4"/>
  <c r="CH1113" i="4"/>
  <c r="CH1144" i="4" s="1"/>
  <c r="CH1120" i="4"/>
  <c r="CG1308" i="4"/>
  <c r="CG1311" i="4" s="1"/>
  <c r="CG1344" i="4"/>
  <c r="CH460" i="4"/>
  <c r="CH461" i="4" s="1"/>
  <c r="CI455" i="4" s="1"/>
  <c r="CH494" i="4"/>
  <c r="CH994" i="4" s="1"/>
  <c r="CI495" i="4"/>
  <c r="CI995" i="4" s="1"/>
  <c r="CG1207" i="4" l="1"/>
  <c r="CG1209" i="4" s="1"/>
  <c r="CG1348" i="4"/>
  <c r="CG1313" i="4"/>
  <c r="CG1325" i="4"/>
  <c r="CH1173" i="4"/>
  <c r="CG27" i="11"/>
  <c r="CG1429" i="4"/>
  <c r="CH1224" i="4"/>
  <c r="CH73" i="11"/>
  <c r="CH1248" i="4"/>
  <c r="CH1044" i="4"/>
  <c r="CH1067" i="4" s="1"/>
  <c r="CH331" i="4"/>
  <c r="CH307" i="4"/>
  <c r="CH332" i="4" l="1"/>
  <c r="CH14" i="11" s="1"/>
  <c r="CH395" i="4"/>
  <c r="CH396" i="4" s="1"/>
  <c r="CH397" i="4" s="1"/>
  <c r="CH398" i="4" s="1"/>
  <c r="CH399" i="4" s="1"/>
  <c r="CI394" i="4" s="1"/>
  <c r="CH405" i="4"/>
  <c r="CH406" i="4" s="1"/>
  <c r="CH407" i="4" s="1"/>
  <c r="CH408" i="4" s="1"/>
  <c r="CH409" i="4" s="1"/>
  <c r="CI404" i="4" s="1"/>
  <c r="CH385" i="4"/>
  <c r="CH1068" i="4"/>
  <c r="CH1158" i="4"/>
  <c r="CH1174" i="4" s="1"/>
  <c r="CH1157" i="4"/>
  <c r="CG1326" i="4"/>
  <c r="CG1327" i="4" s="1"/>
  <c r="CG1430" i="4"/>
  <c r="CG1431" i="4" s="1"/>
  <c r="CG1432" i="4"/>
  <c r="CG1363" i="4"/>
  <c r="CG1208" i="4"/>
  <c r="CG48" i="62"/>
  <c r="CG24" i="62" s="1"/>
  <c r="CG58" i="11"/>
  <c r="CG59" i="11" s="1"/>
  <c r="CG28" i="11" s="1"/>
  <c r="CG90" i="11"/>
  <c r="CG91" i="11" s="1"/>
  <c r="CG93" i="11" s="1"/>
  <c r="CG96" i="11" s="1"/>
  <c r="CG97" i="11" s="1"/>
  <c r="CG1252" i="4"/>
  <c r="CG1229" i="4"/>
  <c r="CG1230" i="4" s="1"/>
  <c r="CG1234" i="4" s="1"/>
  <c r="CH1213" i="4" s="1"/>
  <c r="CG22" i="66"/>
  <c r="CG1364" i="4" l="1"/>
  <c r="CG1365" i="4" s="1"/>
  <c r="CH1051" i="4"/>
  <c r="CH1164" i="4"/>
  <c r="CH1159" i="4"/>
  <c r="CG1263" i="4"/>
  <c r="CG1264" i="4" s="1"/>
  <c r="CG100" i="67"/>
  <c r="CG44" i="66"/>
  <c r="CG40" i="66" s="1"/>
  <c r="CG46" i="66" s="1"/>
  <c r="CG24" i="66"/>
  <c r="CG20" i="66" s="1"/>
  <c r="CG26" i="66" s="1"/>
  <c r="CG100" i="11"/>
  <c r="CG1253" i="4"/>
  <c r="CG1254" i="4" s="1"/>
  <c r="CH95" i="11"/>
  <c r="CG101" i="11"/>
  <c r="CG21" i="11"/>
  <c r="CG17" i="11" s="1"/>
  <c r="CG101" i="67"/>
  <c r="CG46" i="62"/>
  <c r="CG1385" i="4"/>
  <c r="CG1384" i="4" s="1"/>
  <c r="CG26" i="62"/>
  <c r="CG25" i="11"/>
  <c r="CH489" i="4"/>
  <c r="CH500" i="4"/>
  <c r="CH386" i="4"/>
  <c r="CH387" i="4" s="1"/>
  <c r="CG48" i="66" l="1"/>
  <c r="CG1266" i="4"/>
  <c r="CH490" i="4"/>
  <c r="CH501" i="4"/>
  <c r="CH502" i="4" s="1"/>
  <c r="CH388" i="4"/>
  <c r="CH389" i="4" s="1"/>
  <c r="CI384" i="4" s="1"/>
  <c r="CG99" i="11"/>
  <c r="CH1260" i="4"/>
  <c r="CH1231" i="4"/>
  <c r="CH42" i="62"/>
  <c r="CH85" i="11"/>
  <c r="CH1167" i="4"/>
  <c r="CH1168" i="4" s="1"/>
  <c r="CG1386" i="4"/>
  <c r="CG1383" i="4" s="1"/>
  <c r="CG23" i="11"/>
  <c r="CG1398" i="4"/>
  <c r="CG1393" i="4" s="1"/>
  <c r="CG37" i="11"/>
  <c r="CG1397" i="4"/>
  <c r="CG1392" i="4" s="1"/>
  <c r="CG39" i="11" l="1"/>
  <c r="CG40" i="11" s="1"/>
  <c r="CH52" i="62"/>
  <c r="CH43" i="62"/>
  <c r="CH23" i="62" s="1"/>
  <c r="CG1439" i="4"/>
  <c r="CG1440" i="4" s="1"/>
  <c r="CG1396" i="4"/>
  <c r="CG1391" i="4" s="1"/>
  <c r="CH1024" i="4"/>
  <c r="CH1026" i="4" s="1"/>
  <c r="CH1027" i="4" s="1"/>
  <c r="CH1028" i="4" s="1"/>
  <c r="CI499" i="4"/>
  <c r="CI1023" i="4" s="1"/>
  <c r="CI1163" i="4"/>
  <c r="CH26" i="11"/>
  <c r="CH491" i="4"/>
  <c r="CH64" i="62"/>
  <c r="CH51" i="11"/>
  <c r="CH907" i="4" l="1"/>
  <c r="CH911" i="4" s="1"/>
  <c r="CH62" i="64"/>
  <c r="CI488" i="4"/>
  <c r="CH15" i="11"/>
  <c r="CH13" i="11" s="1"/>
  <c r="CH16" i="66"/>
  <c r="CH14" i="66" s="1"/>
  <c r="CH13" i="66" s="1"/>
  <c r="CH70" i="64" l="1"/>
  <c r="CH78" i="64"/>
  <c r="CH915" i="4"/>
  <c r="CH1043" i="4"/>
  <c r="CH1243" i="4"/>
  <c r="CH71" i="11"/>
  <c r="CH1217" i="4"/>
  <c r="CH1221" i="4" s="1"/>
  <c r="CH47" i="11" l="1"/>
  <c r="CH996" i="4"/>
  <c r="CH1000" i="4" s="1"/>
  <c r="CH1004" i="4" s="1"/>
  <c r="CH61" i="11" l="1"/>
  <c r="CH48" i="11"/>
  <c r="CH55" i="11" s="1"/>
  <c r="CH62" i="11"/>
  <c r="CH1005" i="4"/>
  <c r="CH1016" i="4" s="1"/>
  <c r="CH1013" i="4" s="1"/>
  <c r="CH1006" i="4" s="1"/>
  <c r="CH1007" i="4" s="1"/>
  <c r="CH1012" i="4"/>
  <c r="CH1014" i="4" l="1"/>
  <c r="CI1011" i="4" s="1"/>
  <c r="CH56" i="11"/>
  <c r="CH57" i="11" s="1"/>
  <c r="CH1046" i="4"/>
  <c r="CH1053" i="4" s="1"/>
  <c r="CH1055" i="4" s="1"/>
  <c r="CH1058" i="4" s="1"/>
  <c r="CH61" i="64"/>
  <c r="CH1246" i="4"/>
  <c r="CH75" i="11"/>
  <c r="CH1222" i="4"/>
  <c r="CH1223" i="4" s="1"/>
  <c r="CH1395" i="4"/>
  <c r="CH64" i="11"/>
  <c r="CH62" i="62"/>
  <c r="CH63" i="62" s="1"/>
  <c r="CH67" i="62" s="1"/>
  <c r="CH63" i="11"/>
  <c r="CH1236" i="4" l="1"/>
  <c r="CH68" i="62"/>
  <c r="CH69" i="64"/>
  <c r="CH74" i="64" s="1"/>
  <c r="CH77" i="64"/>
  <c r="CH82" i="64" s="1"/>
  <c r="CH66" i="64"/>
  <c r="CH40" i="64" s="1"/>
  <c r="CH42" i="64" s="1"/>
  <c r="CH1394" i="4"/>
  <c r="CH1206" i="4"/>
  <c r="CH1116" i="4" l="1"/>
  <c r="CH1117" i="4" s="1"/>
  <c r="CH1119" i="4" s="1"/>
  <c r="CH1121" i="4" s="1"/>
  <c r="CH1087" i="4" s="1"/>
  <c r="CH52" i="64"/>
  <c r="CH49" i="64"/>
  <c r="CH1137" i="4" l="1"/>
  <c r="CH1088" i="4"/>
  <c r="CI1085" i="4" l="1"/>
  <c r="CI1130" i="4"/>
  <c r="CI1148" i="4" s="1"/>
  <c r="CH1347" i="4"/>
  <c r="CH1247" i="4"/>
  <c r="CH88" i="11"/>
  <c r="CH1225" i="4"/>
  <c r="CH1226" i="4" s="1"/>
  <c r="CH38" i="66"/>
  <c r="CH1404" i="4"/>
  <c r="CH1138" i="4"/>
  <c r="CH1194" i="4" l="1"/>
  <c r="CH1204" i="4"/>
  <c r="CH31" i="11"/>
  <c r="CH1438" i="4"/>
  <c r="CH1428" i="4"/>
  <c r="CH1412" i="4"/>
  <c r="CI1135" i="4"/>
  <c r="CI1086" i="4"/>
  <c r="CI1415" i="4" l="1"/>
  <c r="CI1129" i="4"/>
  <c r="CI1147" i="4" s="1"/>
  <c r="CI1149" i="4" s="1"/>
  <c r="CI1136" i="4"/>
  <c r="CI1125" i="4"/>
  <c r="CI1101" i="4"/>
  <c r="CH1413" i="4"/>
  <c r="CH1422" i="4" s="1"/>
  <c r="CH30" i="11"/>
  <c r="CH45" i="62"/>
  <c r="CH1197" i="4"/>
  <c r="CH1198" i="4" s="1"/>
  <c r="CH1188" i="4" s="1"/>
  <c r="CH1175" i="4"/>
  <c r="CH1184" i="4" l="1"/>
  <c r="CH1191" i="4" s="1"/>
  <c r="CH1180" i="4"/>
  <c r="CI1112" i="4"/>
  <c r="CI1141" i="4" s="1"/>
  <c r="CI1102" i="4"/>
  <c r="CI1103" i="4"/>
  <c r="CI1092" i="4" s="1"/>
  <c r="CI1093" i="4" s="1"/>
  <c r="CI1111" i="4" s="1"/>
  <c r="CI1259" i="4"/>
  <c r="CI1346" i="4"/>
  <c r="CI1233" i="4"/>
  <c r="CI87" i="11"/>
  <c r="CI18" i="66"/>
  <c r="AD87" i="67"/>
  <c r="CI297" i="4"/>
  <c r="CI305" i="4" s="1"/>
  <c r="CI330" i="4" s="1"/>
  <c r="CI37" i="66"/>
  <c r="CI1249" i="4"/>
  <c r="CI1218" i="4"/>
  <c r="CI50" i="11"/>
  <c r="CI72" i="11"/>
  <c r="CI1045" i="4"/>
  <c r="CI999" i="4"/>
  <c r="AD72" i="67"/>
  <c r="CH1187" i="4"/>
  <c r="CH1176" i="4" s="1"/>
  <c r="CH1189" i="4"/>
  <c r="CH1418" i="4"/>
  <c r="CH1416" i="4"/>
  <c r="CH1419" i="4" l="1"/>
  <c r="CJ457" i="4"/>
  <c r="CJ479" i="4"/>
  <c r="CJ468" i="4"/>
  <c r="CI467" i="4"/>
  <c r="CI469" i="4" s="1"/>
  <c r="CI470" i="4" s="1"/>
  <c r="CI471" i="4" s="1"/>
  <c r="CI472" i="4" s="1"/>
  <c r="CJ466" i="4" s="1"/>
  <c r="CI478" i="4"/>
  <c r="CI480" i="4" s="1"/>
  <c r="CI481" i="4" s="1"/>
  <c r="CI482" i="4" s="1"/>
  <c r="CI483" i="4" s="1"/>
  <c r="CJ477" i="4" s="1"/>
  <c r="CI456" i="4"/>
  <c r="CI458" i="4" s="1"/>
  <c r="CI459" i="4" s="1"/>
  <c r="CI1104" i="4"/>
  <c r="CI997" i="4"/>
  <c r="CI1142" i="4"/>
  <c r="CI294" i="4" s="1"/>
  <c r="CI1143" i="4"/>
  <c r="CI49" i="11"/>
  <c r="AD50" i="67"/>
  <c r="AD49" i="67" s="1"/>
  <c r="CH1227" i="4"/>
  <c r="CH1195" i="4"/>
  <c r="CH1199" i="4" s="1"/>
  <c r="CH1177" i="4" s="1"/>
  <c r="CH1250" i="4"/>
  <c r="CH74" i="11"/>
  <c r="CH78" i="11" s="1"/>
  <c r="CH36" i="66"/>
  <c r="CH1309" i="4"/>
  <c r="CH1261" i="4"/>
  <c r="CH86" i="11"/>
  <c r="CH1232" i="4"/>
  <c r="CH19" i="66"/>
  <c r="CH17" i="66" s="1"/>
  <c r="CH1403" i="4"/>
  <c r="CH1406" i="4" s="1"/>
  <c r="CH89" i="11" l="1"/>
  <c r="CH1228" i="4"/>
  <c r="CH1205" i="4" s="1"/>
  <c r="CH1251" i="4"/>
  <c r="CH39" i="66"/>
  <c r="CH35" i="66" s="1"/>
  <c r="CI53" i="11"/>
  <c r="CI52" i="11" s="1"/>
  <c r="AD53" i="67"/>
  <c r="AD52" i="67" s="1"/>
  <c r="CI460" i="4"/>
  <c r="CI461" i="4" s="1"/>
  <c r="CJ455" i="4" s="1"/>
  <c r="CI494" i="4"/>
  <c r="CI994" i="4" s="1"/>
  <c r="CI299" i="4"/>
  <c r="CI302" i="4"/>
  <c r="CI1120" i="4"/>
  <c r="CI1113" i="4"/>
  <c r="CI1144" i="4" s="1"/>
  <c r="CH1344" i="4"/>
  <c r="CH1308" i="4"/>
  <c r="CH1311" i="4" s="1"/>
  <c r="CJ495" i="4"/>
  <c r="CJ995" i="4" s="1"/>
  <c r="CH1178" i="4"/>
  <c r="CH1348" i="4" l="1"/>
  <c r="CI1044" i="4"/>
  <c r="CI1067" i="4" s="1"/>
  <c r="CI1248" i="4"/>
  <c r="CI73" i="11"/>
  <c r="CI1224" i="4"/>
  <c r="AD73" i="67"/>
  <c r="AD23" i="13"/>
  <c r="CH1313" i="4"/>
  <c r="CH1325" i="4"/>
  <c r="CI331" i="4"/>
  <c r="CI307" i="4"/>
  <c r="CH27" i="11"/>
  <c r="CI1173" i="4"/>
  <c r="CH1429" i="4"/>
  <c r="CH1207" i="4"/>
  <c r="CH1209" i="4" s="1"/>
  <c r="CI332" i="4" l="1"/>
  <c r="CI14" i="11" s="1"/>
  <c r="CH90" i="11"/>
  <c r="CH91" i="11" s="1"/>
  <c r="CH93" i="11" s="1"/>
  <c r="CH96" i="11" s="1"/>
  <c r="CH97" i="11" s="1"/>
  <c r="CH1229" i="4"/>
  <c r="CH1230" i="4" s="1"/>
  <c r="CH1234" i="4" s="1"/>
  <c r="CI1213" i="4" s="1"/>
  <c r="CH58" i="11"/>
  <c r="CH59" i="11" s="1"/>
  <c r="CH28" i="11" s="1"/>
  <c r="CH25" i="11" s="1"/>
  <c r="CH1252" i="4"/>
  <c r="CH48" i="62"/>
  <c r="CH24" i="62" s="1"/>
  <c r="CH22" i="66"/>
  <c r="CI395" i="4"/>
  <c r="CI396" i="4" s="1"/>
  <c r="CI397" i="4" s="1"/>
  <c r="CI398" i="4" s="1"/>
  <c r="CI399" i="4" s="1"/>
  <c r="CJ394" i="4" s="1"/>
  <c r="CI385" i="4"/>
  <c r="CI405" i="4"/>
  <c r="CI406" i="4" s="1"/>
  <c r="CI407" i="4" s="1"/>
  <c r="CI408" i="4" s="1"/>
  <c r="CI409" i="4" s="1"/>
  <c r="CJ404" i="4" s="1"/>
  <c r="CH1208" i="4"/>
  <c r="CH1326" i="4"/>
  <c r="CH1327" i="4" s="1"/>
  <c r="CH1432" i="4"/>
  <c r="CH1430" i="4"/>
  <c r="CH1431" i="4" s="1"/>
  <c r="CI1157" i="4"/>
  <c r="CI1158" i="4"/>
  <c r="CI1174" i="4" s="1"/>
  <c r="CI1068" i="4"/>
  <c r="CH1363" i="4"/>
  <c r="AD14" i="67" l="1"/>
  <c r="CH26" i="62"/>
  <c r="CH1364" i="4"/>
  <c r="CH1365" i="4" s="1"/>
  <c r="CI1164" i="4"/>
  <c r="CI1159" i="4"/>
  <c r="CI489" i="4"/>
  <c r="CI386" i="4"/>
  <c r="CI387" i="4" s="1"/>
  <c r="CI500" i="4"/>
  <c r="CH1398" i="4"/>
  <c r="CH1393" i="4" s="1"/>
  <c r="CH1397" i="4"/>
  <c r="CH1392" i="4" s="1"/>
  <c r="CH37" i="11"/>
  <c r="CI1051" i="4"/>
  <c r="CH1263" i="4"/>
  <c r="CH1264" i="4" s="1"/>
  <c r="CH1385" i="4"/>
  <c r="CH1384" i="4" s="1"/>
  <c r="CH44" i="66"/>
  <c r="CH40" i="66" s="1"/>
  <c r="CH46" i="66" s="1"/>
  <c r="CH21" i="11"/>
  <c r="CH17" i="11" s="1"/>
  <c r="CH101" i="67"/>
  <c r="CH46" i="62"/>
  <c r="CI95" i="11"/>
  <c r="CH100" i="11"/>
  <c r="CH101" i="11"/>
  <c r="CH100" i="67"/>
  <c r="CH24" i="66"/>
  <c r="CH20" i="66" s="1"/>
  <c r="CH26" i="66" s="1"/>
  <c r="CH1253" i="4"/>
  <c r="CH1254" i="4" s="1"/>
  <c r="CH1266" i="4" l="1"/>
  <c r="CH48" i="66"/>
  <c r="CH99" i="11"/>
  <c r="CH1386" i="4"/>
  <c r="CH1383" i="4" s="1"/>
  <c r="CH23" i="11"/>
  <c r="CH39" i="11" s="1"/>
  <c r="CH40" i="11" s="1"/>
  <c r="CI85" i="11"/>
  <c r="CI1231" i="4"/>
  <c r="CI1167" i="4"/>
  <c r="CI1168" i="4" s="1"/>
  <c r="CI42" i="62"/>
  <c r="CI1260" i="4"/>
  <c r="AD85" i="67"/>
  <c r="CI501" i="4"/>
  <c r="CI502" i="4" s="1"/>
  <c r="CI490" i="4"/>
  <c r="CI388" i="4"/>
  <c r="CI389" i="4" s="1"/>
  <c r="CJ384" i="4" s="1"/>
  <c r="CJ1163" i="4" l="1"/>
  <c r="CI26" i="11"/>
  <c r="AD26" i="67"/>
  <c r="CI52" i="62"/>
  <c r="CI43" i="62"/>
  <c r="CI23" i="62" s="1"/>
  <c r="CI491" i="4"/>
  <c r="CI51" i="11"/>
  <c r="CI64" i="62"/>
  <c r="AD51" i="67"/>
  <c r="CJ499" i="4"/>
  <c r="CJ1023" i="4" s="1"/>
  <c r="CI1024" i="4"/>
  <c r="CI1026" i="4" s="1"/>
  <c r="CI1027" i="4" s="1"/>
  <c r="CI1028" i="4" s="1"/>
  <c r="CH1439" i="4"/>
  <c r="CH1440" i="4" s="1"/>
  <c r="CH1396" i="4"/>
  <c r="CH1391" i="4" s="1"/>
  <c r="CI16" i="66" l="1"/>
  <c r="CI14" i="66" s="1"/>
  <c r="CI13" i="66" s="1"/>
  <c r="CI907" i="4"/>
  <c r="CI911" i="4" s="1"/>
  <c r="CI62" i="64"/>
  <c r="CJ488" i="4"/>
  <c r="CI15" i="11"/>
  <c r="CI13" i="11" s="1"/>
  <c r="AD15" i="67"/>
  <c r="AD13" i="67" s="1"/>
  <c r="CI70" i="64" l="1"/>
  <c r="CI78" i="64"/>
  <c r="CI915" i="4"/>
  <c r="CI1243" i="4"/>
  <c r="CI1043" i="4"/>
  <c r="CI71" i="11"/>
  <c r="CI1217" i="4"/>
  <c r="CI1221" i="4" s="1"/>
  <c r="AD40" i="13"/>
  <c r="AD71" i="67"/>
  <c r="CI996" i="4" l="1"/>
  <c r="CI1000" i="4" s="1"/>
  <c r="CI1004" i="4" s="1"/>
  <c r="CI47" i="11"/>
  <c r="AD47" i="67"/>
  <c r="AD20" i="72"/>
  <c r="AD61" i="67" l="1"/>
  <c r="AD63" i="67" s="1"/>
  <c r="AD62" i="67"/>
  <c r="AD64" i="67" s="1"/>
  <c r="AD48" i="67"/>
  <c r="AD55" i="67" s="1"/>
  <c r="CI1005" i="4"/>
  <c r="CI1016" i="4" s="1"/>
  <c r="CI1013" i="4" s="1"/>
  <c r="CI1006" i="4" s="1"/>
  <c r="CI1007" i="4" s="1"/>
  <c r="CI1012" i="4"/>
  <c r="CI48" i="11"/>
  <c r="CI55" i="11" s="1"/>
  <c r="CI62" i="11"/>
  <c r="CI61" i="11"/>
  <c r="CI63" i="11" l="1"/>
  <c r="AD1449" i="4"/>
  <c r="CI1395" i="4"/>
  <c r="CI64" i="11"/>
  <c r="CI62" i="62"/>
  <c r="CI63" i="62" s="1"/>
  <c r="CI67" i="62" s="1"/>
  <c r="CI1014" i="4"/>
  <c r="CJ1011" i="4" s="1"/>
  <c r="CI1046" i="4"/>
  <c r="CI1053" i="4" s="1"/>
  <c r="CI1055" i="4" s="1"/>
  <c r="CI1058" i="4" s="1"/>
  <c r="CI61" i="64"/>
  <c r="CI75" i="11"/>
  <c r="CI1246" i="4"/>
  <c r="CI1222" i="4"/>
  <c r="CI1223" i="4" s="1"/>
  <c r="CI56" i="11"/>
  <c r="CI57" i="11" s="1"/>
  <c r="AD56" i="67"/>
  <c r="AD57" i="67" s="1"/>
  <c r="AD41" i="13"/>
  <c r="AD43" i="13" s="1"/>
  <c r="AD75" i="67"/>
  <c r="CI69" i="64" l="1"/>
  <c r="CI74" i="64" s="1"/>
  <c r="CI77" i="64"/>
  <c r="CI82" i="64" s="1"/>
  <c r="CI66" i="64"/>
  <c r="CI40" i="64" s="1"/>
  <c r="CI42" i="64" s="1"/>
  <c r="CI68" i="62"/>
  <c r="CI1394" i="4"/>
  <c r="CI1206" i="4"/>
  <c r="CI1236" i="4"/>
  <c r="CI1116" i="4" l="1"/>
  <c r="CI1117" i="4" s="1"/>
  <c r="CI1119" i="4" s="1"/>
  <c r="CI1121" i="4" s="1"/>
  <c r="CI1087" i="4" s="1"/>
  <c r="CI49" i="64"/>
  <c r="CI52" i="64"/>
  <c r="CI1137" i="4" l="1"/>
  <c r="CI1088" i="4"/>
  <c r="CJ1085" i="4" l="1"/>
  <c r="CJ1130" i="4"/>
  <c r="CJ1148" i="4" s="1"/>
  <c r="CI38" i="66"/>
  <c r="CI1225" i="4"/>
  <c r="CI1226" i="4" s="1"/>
  <c r="CI88" i="11"/>
  <c r="CI1247" i="4"/>
  <c r="CI1347" i="4"/>
  <c r="AD88" i="67"/>
  <c r="AD24" i="13"/>
  <c r="CI1138" i="4"/>
  <c r="CI1404" i="4"/>
  <c r="CI1194" i="4" l="1"/>
  <c r="CI1204" i="4"/>
  <c r="AD1448" i="4"/>
  <c r="AD1452" i="4" s="1"/>
  <c r="CJ1135" i="4"/>
  <c r="CI1428" i="4"/>
  <c r="CI1438" i="4"/>
  <c r="CI1412" i="4"/>
  <c r="CI31" i="11"/>
  <c r="AD31" i="67"/>
  <c r="AD30" i="67" s="1"/>
  <c r="CJ1086" i="4"/>
  <c r="CJ1136" i="4" l="1"/>
  <c r="CJ1129" i="4"/>
  <c r="CJ1147" i="4" s="1"/>
  <c r="CJ1149" i="4" s="1"/>
  <c r="CJ1125" i="4"/>
  <c r="CJ1101" i="4"/>
  <c r="CJ1415" i="4"/>
  <c r="CI45" i="62"/>
  <c r="CI30" i="11"/>
  <c r="CI1413" i="4"/>
  <c r="CI1175" i="4"/>
  <c r="CI1197" i="4"/>
  <c r="CI1198" i="4" s="1"/>
  <c r="CI1188" i="4" s="1"/>
  <c r="CI1189" i="4" l="1"/>
  <c r="CI1187" i="4"/>
  <c r="CI1176" i="4" s="1"/>
  <c r="CI1418" i="4"/>
  <c r="CI1416" i="4"/>
  <c r="CI1180" i="4"/>
  <c r="CI1184" i="4"/>
  <c r="CI1191" i="4" s="1"/>
  <c r="CI1422" i="4"/>
  <c r="CJ1112" i="4"/>
  <c r="CJ1141" i="4" s="1"/>
  <c r="CJ1103" i="4"/>
  <c r="CJ1092" i="4" s="1"/>
  <c r="CJ1093" i="4" s="1"/>
  <c r="CJ1111" i="4" s="1"/>
  <c r="CJ1102" i="4"/>
  <c r="CJ1249" i="4"/>
  <c r="CJ50" i="11"/>
  <c r="CJ1218" i="4"/>
  <c r="CJ999" i="4"/>
  <c r="CJ1045" i="4"/>
  <c r="CJ72" i="11"/>
  <c r="CJ37" i="66"/>
  <c r="CJ297" i="4"/>
  <c r="CJ305" i="4" s="1"/>
  <c r="CJ330" i="4" s="1"/>
  <c r="CJ18" i="66"/>
  <c r="CJ1233" i="4"/>
  <c r="CJ87" i="11"/>
  <c r="CJ1346" i="4"/>
  <c r="CJ1259" i="4"/>
  <c r="CI1419" i="4" l="1"/>
  <c r="CJ1104" i="4"/>
  <c r="CJ1120" i="4" s="1"/>
  <c r="CJ49" i="11"/>
  <c r="CI1232" i="4"/>
  <c r="CI1261" i="4"/>
  <c r="CI86" i="11"/>
  <c r="CI19" i="66"/>
  <c r="CI17" i="66" s="1"/>
  <c r="AD86" i="67"/>
  <c r="CI1403" i="4"/>
  <c r="CI1406" i="4" s="1"/>
  <c r="CK468" i="4"/>
  <c r="CJ467" i="4"/>
  <c r="CJ469" i="4" s="1"/>
  <c r="CJ470" i="4" s="1"/>
  <c r="CJ471" i="4" s="1"/>
  <c r="CJ472" i="4" s="1"/>
  <c r="CK466" i="4" s="1"/>
  <c r="CJ456" i="4"/>
  <c r="CJ458" i="4" s="1"/>
  <c r="CJ459" i="4" s="1"/>
  <c r="CK457" i="4"/>
  <c r="CK479" i="4"/>
  <c r="CJ478" i="4"/>
  <c r="CJ480" i="4" s="1"/>
  <c r="CJ481" i="4" s="1"/>
  <c r="CJ482" i="4" s="1"/>
  <c r="CJ483" i="4" s="1"/>
  <c r="CK477" i="4" s="1"/>
  <c r="CJ1143" i="4"/>
  <c r="CJ997" i="4"/>
  <c r="CJ1142" i="4"/>
  <c r="CJ294" i="4" s="1"/>
  <c r="CI1227" i="4"/>
  <c r="CI1250" i="4"/>
  <c r="CI74" i="11"/>
  <c r="CI78" i="11" s="1"/>
  <c r="CI1195" i="4"/>
  <c r="CI1199" i="4" s="1"/>
  <c r="CI1177" i="4" s="1"/>
  <c r="AD74" i="67"/>
  <c r="AD78" i="67" s="1"/>
  <c r="CI1309" i="4"/>
  <c r="CI36" i="66"/>
  <c r="CJ1113" i="4" l="1"/>
  <c r="CJ1144" i="4" s="1"/>
  <c r="CJ1248" i="4" s="1"/>
  <c r="CI1344" i="4"/>
  <c r="CI1308" i="4"/>
  <c r="CI1311" i="4" s="1"/>
  <c r="CJ299" i="4"/>
  <c r="CJ302" i="4"/>
  <c r="CI89" i="11"/>
  <c r="CI39" i="66"/>
  <c r="CI35" i="66" s="1"/>
  <c r="CI1228" i="4"/>
  <c r="CI1205" i="4" s="1"/>
  <c r="CI1251" i="4"/>
  <c r="AD89" i="67"/>
  <c r="CI1178" i="4"/>
  <c r="CK495" i="4"/>
  <c r="CK995" i="4" s="1"/>
  <c r="CJ53" i="11"/>
  <c r="CJ52" i="11" s="1"/>
  <c r="CJ494" i="4"/>
  <c r="CJ994" i="4" s="1"/>
  <c r="CJ460" i="4"/>
  <c r="CJ461" i="4" s="1"/>
  <c r="CK455" i="4" s="1"/>
  <c r="CJ1224" i="4" l="1"/>
  <c r="CJ73" i="11"/>
  <c r="CJ1044" i="4"/>
  <c r="CJ1067" i="4" s="1"/>
  <c r="CJ1157" i="4" s="1"/>
  <c r="CI1207" i="4"/>
  <c r="CI1209" i="4" s="1"/>
  <c r="CJ331" i="4"/>
  <c r="CJ307" i="4"/>
  <c r="CI27" i="11"/>
  <c r="AD27" i="67"/>
  <c r="CJ1173" i="4"/>
  <c r="CI1429" i="4"/>
  <c r="CI1313" i="4"/>
  <c r="AD14" i="72"/>
  <c r="CI1325" i="4"/>
  <c r="CI1348" i="4"/>
  <c r="AD13" i="13"/>
  <c r="CJ332" i="4" l="1"/>
  <c r="CJ14" i="11" s="1"/>
  <c r="CJ1158" i="4"/>
  <c r="CJ1174" i="4" s="1"/>
  <c r="CJ1068" i="4"/>
  <c r="CJ405" i="4"/>
  <c r="CJ406" i="4" s="1"/>
  <c r="CJ407" i="4" s="1"/>
  <c r="CJ408" i="4" s="1"/>
  <c r="CJ409" i="4" s="1"/>
  <c r="CK404" i="4" s="1"/>
  <c r="CJ385" i="4"/>
  <c r="CJ395" i="4"/>
  <c r="CJ396" i="4" s="1"/>
  <c r="CJ397" i="4" s="1"/>
  <c r="CJ398" i="4" s="1"/>
  <c r="CJ399" i="4" s="1"/>
  <c r="CK394" i="4" s="1"/>
  <c r="CI1432" i="4"/>
  <c r="CI1430" i="4"/>
  <c r="CI1431" i="4" s="1"/>
  <c r="AD15" i="72"/>
  <c r="CI1363" i="4"/>
  <c r="CI1326" i="4"/>
  <c r="CI1327" i="4" s="1"/>
  <c r="CJ1164" i="4"/>
  <c r="CI1208" i="4"/>
  <c r="CI90" i="11"/>
  <c r="CI91" i="11" s="1"/>
  <c r="CI93" i="11" s="1"/>
  <c r="CI96" i="11" s="1"/>
  <c r="CI97" i="11" s="1"/>
  <c r="CI1252" i="4"/>
  <c r="CI58" i="11"/>
  <c r="CI59" i="11" s="1"/>
  <c r="CI28" i="11" s="1"/>
  <c r="CI48" i="62"/>
  <c r="CI24" i="62" s="1"/>
  <c r="CI1229" i="4"/>
  <c r="CI1230" i="4" s="1"/>
  <c r="CI1234" i="4" s="1"/>
  <c r="CJ1213" i="4" s="1"/>
  <c r="AD90" i="67"/>
  <c r="AD91" i="67" s="1"/>
  <c r="AD93" i="67" s="1"/>
  <c r="AD96" i="67" s="1"/>
  <c r="AD97" i="67" s="1"/>
  <c r="AD58" i="67"/>
  <c r="AD59" i="67" s="1"/>
  <c r="CI22" i="66"/>
  <c r="CJ1159" i="4" l="1"/>
  <c r="CI21" i="11"/>
  <c r="CI17" i="11" s="1"/>
  <c r="CI1253" i="4"/>
  <c r="CI1254" i="4" s="1"/>
  <c r="AD1450" i="4"/>
  <c r="AD1457" i="4" s="1"/>
  <c r="AD21" i="67"/>
  <c r="AD17" i="67" s="1"/>
  <c r="AD23" i="67" s="1"/>
  <c r="CI24" i="66"/>
  <c r="CI20" i="66" s="1"/>
  <c r="CI26" i="66" s="1"/>
  <c r="CI46" i="62"/>
  <c r="CJ95" i="11"/>
  <c r="CI101" i="67"/>
  <c r="CI100" i="67"/>
  <c r="CI1385" i="4"/>
  <c r="CI1384" i="4" s="1"/>
  <c r="CI1263" i="4"/>
  <c r="CI1264" i="4" s="1"/>
  <c r="CI44" i="66"/>
  <c r="CI40" i="66" s="1"/>
  <c r="CI46" i="66" s="1"/>
  <c r="CI101" i="11"/>
  <c r="CI100" i="11"/>
  <c r="CI1364" i="4"/>
  <c r="CI1365" i="4" s="1"/>
  <c r="AE95" i="67"/>
  <c r="CJ1260" i="4"/>
  <c r="CJ42" i="62"/>
  <c r="CJ1167" i="4"/>
  <c r="CJ1168" i="4" s="1"/>
  <c r="CJ85" i="11"/>
  <c r="CJ1231" i="4"/>
  <c r="CJ489" i="4"/>
  <c r="CJ386" i="4"/>
  <c r="CJ387" i="4" s="1"/>
  <c r="CJ500" i="4"/>
  <c r="CJ1051" i="4"/>
  <c r="CI26" i="62"/>
  <c r="AD28" i="67"/>
  <c r="AD25" i="67" s="1"/>
  <c r="AD37" i="67" s="1"/>
  <c r="CI25" i="11"/>
  <c r="CI99" i="11" l="1"/>
  <c r="AD39" i="67"/>
  <c r="AD40" i="67" s="1"/>
  <c r="CI48" i="66"/>
  <c r="CK1163" i="4"/>
  <c r="CJ26" i="11"/>
  <c r="CJ52" i="62"/>
  <c r="CJ43" i="62"/>
  <c r="CJ23" i="62" s="1"/>
  <c r="CI37" i="11"/>
  <c r="CI1398" i="4"/>
  <c r="CI1393" i="4" s="1"/>
  <c r="CI1397" i="4"/>
  <c r="CI1392" i="4" s="1"/>
  <c r="CJ501" i="4"/>
  <c r="CJ502" i="4" s="1"/>
  <c r="CJ388" i="4"/>
  <c r="CJ389" i="4" s="1"/>
  <c r="CK384" i="4" s="1"/>
  <c r="CJ490" i="4"/>
  <c r="AD99" i="67"/>
  <c r="CI1266" i="4"/>
  <c r="CI1386" i="4"/>
  <c r="CI1383" i="4" s="1"/>
  <c r="CI23" i="11"/>
  <c r="CI39" i="11" l="1"/>
  <c r="CI40" i="11" s="1"/>
  <c r="CJ16" i="66"/>
  <c r="CJ14" i="66" s="1"/>
  <c r="CJ13" i="66" s="1"/>
  <c r="CJ491" i="4"/>
  <c r="CJ64" i="62"/>
  <c r="CJ51" i="11"/>
  <c r="CI1439" i="4"/>
  <c r="CI1440" i="4" s="1"/>
  <c r="CI1396" i="4"/>
  <c r="CI1391" i="4" s="1"/>
  <c r="CK499" i="4"/>
  <c r="CK1023" i="4" s="1"/>
  <c r="CJ1024" i="4"/>
  <c r="CJ1026" i="4" s="1"/>
  <c r="CJ1027" i="4" s="1"/>
  <c r="CJ1028" i="4" s="1"/>
  <c r="CK488" i="4" l="1"/>
  <c r="CJ15" i="11"/>
  <c r="CJ13" i="11" s="1"/>
  <c r="CJ907" i="4"/>
  <c r="CJ911" i="4" s="1"/>
  <c r="CJ62" i="64"/>
  <c r="CJ70" i="64" l="1"/>
  <c r="CJ78" i="64"/>
  <c r="CJ1217" i="4"/>
  <c r="CJ1221" i="4" s="1"/>
  <c r="CJ71" i="11"/>
  <c r="CJ1043" i="4"/>
  <c r="CJ915" i="4"/>
  <c r="CJ1243" i="4"/>
  <c r="CJ996" i="4" l="1"/>
  <c r="CJ1000" i="4" s="1"/>
  <c r="CJ1004" i="4" s="1"/>
  <c r="CJ47" i="11"/>
  <c r="CJ1012" i="4" l="1"/>
  <c r="CJ1005" i="4"/>
  <c r="CJ62" i="11"/>
  <c r="CJ61" i="11"/>
  <c r="CJ48" i="11"/>
  <c r="CJ55" i="11" s="1"/>
  <c r="CJ63" i="11" l="1"/>
  <c r="CJ1016" i="4"/>
  <c r="CJ1013" i="4" s="1"/>
  <c r="CJ1014" i="4" s="1"/>
  <c r="CK1011" i="4" s="1"/>
  <c r="CJ1395" i="4"/>
  <c r="CJ62" i="62"/>
  <c r="CJ64" i="11"/>
  <c r="CJ1006" i="4" l="1"/>
  <c r="CJ1007" i="4" s="1"/>
  <c r="CJ63" i="62" s="1"/>
  <c r="CJ67" i="62" s="1"/>
  <c r="CJ68" i="62" s="1"/>
  <c r="CJ75" i="11" l="1"/>
  <c r="CJ1222" i="4"/>
  <c r="CJ1223" i="4" s="1"/>
  <c r="CJ1236" i="4" s="1"/>
  <c r="CJ1246" i="4"/>
  <c r="CJ61" i="64"/>
  <c r="CJ69" i="64" s="1"/>
  <c r="CJ74" i="64" s="1"/>
  <c r="CJ1046" i="4"/>
  <c r="CJ1053" i="4" s="1"/>
  <c r="CJ1055" i="4" s="1"/>
  <c r="CJ1058" i="4" s="1"/>
  <c r="CJ56" i="11"/>
  <c r="CJ57" i="11" s="1"/>
  <c r="CJ1206" i="4" s="1"/>
  <c r="CJ66" i="64" l="1"/>
  <c r="CJ40" i="64" s="1"/>
  <c r="CJ42" i="64" s="1"/>
  <c r="CJ49" i="64" s="1"/>
  <c r="CJ77" i="64"/>
  <c r="CJ82" i="64" s="1"/>
  <c r="CJ1394" i="4"/>
  <c r="CJ1116" i="4"/>
  <c r="CJ1117" i="4" s="1"/>
  <c r="CJ1119" i="4" s="1"/>
  <c r="CJ1121" i="4" s="1"/>
  <c r="CJ1087" i="4" s="1"/>
  <c r="CJ52" i="64" l="1"/>
  <c r="CJ1137" i="4"/>
  <c r="CJ1088" i="4"/>
  <c r="CK1085" i="4" l="1"/>
  <c r="CK1130" i="4"/>
  <c r="CK1148" i="4" s="1"/>
  <c r="CJ38" i="66"/>
  <c r="CJ1404" i="4"/>
  <c r="CJ1225" i="4"/>
  <c r="CJ1226" i="4" s="1"/>
  <c r="CJ1347" i="4"/>
  <c r="CJ1247" i="4"/>
  <c r="CJ88" i="11"/>
  <c r="CJ1138" i="4"/>
  <c r="CJ1194" i="4" l="1"/>
  <c r="CJ1204" i="4"/>
  <c r="CJ1412" i="4"/>
  <c r="CK1135" i="4"/>
  <c r="CJ1438" i="4"/>
  <c r="CJ31" i="11"/>
  <c r="CJ1428" i="4"/>
  <c r="CK1086" i="4"/>
  <c r="CJ1413" i="4" l="1"/>
  <c r="CJ1422" i="4" s="1"/>
  <c r="CK1415" i="4"/>
  <c r="CK1136" i="4"/>
  <c r="CK1129" i="4"/>
  <c r="CK1147" i="4" s="1"/>
  <c r="CK1149" i="4" s="1"/>
  <c r="CK1125" i="4"/>
  <c r="CK1101" i="4"/>
  <c r="CJ30" i="11"/>
  <c r="CJ45" i="62"/>
  <c r="CJ1175" i="4"/>
  <c r="CJ1197" i="4"/>
  <c r="CJ1198" i="4" s="1"/>
  <c r="CJ1188" i="4" s="1"/>
  <c r="CJ1189" i="4" l="1"/>
  <c r="CJ1187" i="4"/>
  <c r="CJ1176" i="4" s="1"/>
  <c r="CK87" i="11"/>
  <c r="CK1346" i="4"/>
  <c r="CK18" i="66"/>
  <c r="CK1233" i="4"/>
  <c r="CK1259" i="4"/>
  <c r="CK1102" i="4"/>
  <c r="CK1112" i="4"/>
  <c r="CK1141" i="4" s="1"/>
  <c r="CK1103" i="4"/>
  <c r="CK1092" i="4" s="1"/>
  <c r="CK1093" i="4" s="1"/>
  <c r="CK1111" i="4" s="1"/>
  <c r="CJ1180" i="4"/>
  <c r="CJ1184" i="4"/>
  <c r="CJ1191" i="4" s="1"/>
  <c r="CK37" i="66"/>
  <c r="CK297" i="4"/>
  <c r="CK305" i="4" s="1"/>
  <c r="CK330" i="4" s="1"/>
  <c r="CK999" i="4"/>
  <c r="CK1045" i="4"/>
  <c r="CK1218" i="4"/>
  <c r="CK1249" i="4"/>
  <c r="CK50" i="11"/>
  <c r="CK72" i="11"/>
  <c r="CJ1418" i="4"/>
  <c r="CJ1416" i="4"/>
  <c r="CK1104" i="4" l="1"/>
  <c r="CK1113" i="4" s="1"/>
  <c r="CK1144" i="4" s="1"/>
  <c r="CJ1419" i="4"/>
  <c r="CK49" i="11"/>
  <c r="CJ1261" i="4"/>
  <c r="CJ86" i="11"/>
  <c r="CJ1232" i="4"/>
  <c r="CJ19" i="66"/>
  <c r="CJ17" i="66" s="1"/>
  <c r="CJ1403" i="4"/>
  <c r="CJ1406" i="4" s="1"/>
  <c r="CK1143" i="4"/>
  <c r="CK997" i="4"/>
  <c r="CK1142" i="4"/>
  <c r="CK294" i="4" s="1"/>
  <c r="CL457" i="4"/>
  <c r="CL479" i="4"/>
  <c r="CL468" i="4"/>
  <c r="CK456" i="4"/>
  <c r="CK458" i="4" s="1"/>
  <c r="CK459" i="4" s="1"/>
  <c r="CK467" i="4"/>
  <c r="CK469" i="4" s="1"/>
  <c r="CK470" i="4" s="1"/>
  <c r="CK471" i="4" s="1"/>
  <c r="CK472" i="4" s="1"/>
  <c r="CL466" i="4" s="1"/>
  <c r="CK478" i="4"/>
  <c r="CK480" i="4" s="1"/>
  <c r="CK481" i="4" s="1"/>
  <c r="CK482" i="4" s="1"/>
  <c r="CK483" i="4" s="1"/>
  <c r="CL477" i="4" s="1"/>
  <c r="CJ74" i="11"/>
  <c r="CJ78" i="11" s="1"/>
  <c r="CJ1250" i="4"/>
  <c r="CJ1195" i="4"/>
  <c r="CJ1199" i="4" s="1"/>
  <c r="CJ1177" i="4" s="1"/>
  <c r="CJ1227" i="4"/>
  <c r="CJ1309" i="4"/>
  <c r="CJ36" i="66"/>
  <c r="CK1120" i="4" l="1"/>
  <c r="CJ1251" i="4"/>
  <c r="CJ39" i="66"/>
  <c r="CJ35" i="66" s="1"/>
  <c r="CJ89" i="11"/>
  <c r="CJ1228" i="4"/>
  <c r="CJ1205" i="4" s="1"/>
  <c r="CJ1178" i="4"/>
  <c r="CK53" i="11"/>
  <c r="CK52" i="11" s="1"/>
  <c r="CK460" i="4"/>
  <c r="CK461" i="4" s="1"/>
  <c r="CL455" i="4" s="1"/>
  <c r="CK494" i="4"/>
  <c r="CK994" i="4" s="1"/>
  <c r="CK73" i="11"/>
  <c r="CK1224" i="4"/>
  <c r="CK1248" i="4"/>
  <c r="CK1044" i="4"/>
  <c r="CK1067" i="4" s="1"/>
  <c r="CL495" i="4"/>
  <c r="CL995" i="4" s="1"/>
  <c r="CK299" i="4"/>
  <c r="CK302" i="4"/>
  <c r="CJ1344" i="4"/>
  <c r="CJ1308" i="4"/>
  <c r="CJ1311" i="4" s="1"/>
  <c r="CJ1348" i="4" l="1"/>
  <c r="CK1158" i="4"/>
  <c r="CK1174" i="4" s="1"/>
  <c r="CK1157" i="4"/>
  <c r="CK1068" i="4"/>
  <c r="CK331" i="4"/>
  <c r="CK307" i="4"/>
  <c r="CK1173" i="4"/>
  <c r="CJ27" i="11"/>
  <c r="CJ1429" i="4"/>
  <c r="CJ1207" i="4"/>
  <c r="CJ1209" i="4" s="1"/>
  <c r="CJ1313" i="4"/>
  <c r="CJ1325" i="4"/>
  <c r="CK332" i="4" l="1"/>
  <c r="CK14" i="11" s="1"/>
  <c r="CJ1326" i="4"/>
  <c r="CJ1327" i="4" s="1"/>
  <c r="CK405" i="4"/>
  <c r="CK406" i="4" s="1"/>
  <c r="CK407" i="4" s="1"/>
  <c r="CK408" i="4" s="1"/>
  <c r="CK409" i="4" s="1"/>
  <c r="CL404" i="4" s="1"/>
  <c r="CK395" i="4"/>
  <c r="CK396" i="4" s="1"/>
  <c r="CK397" i="4" s="1"/>
  <c r="CK398" i="4" s="1"/>
  <c r="CK399" i="4" s="1"/>
  <c r="CL394" i="4" s="1"/>
  <c r="CK385" i="4"/>
  <c r="CJ1208" i="4"/>
  <c r="CK1159" i="4"/>
  <c r="CK1164" i="4"/>
  <c r="CJ1229" i="4"/>
  <c r="CJ1230" i="4" s="1"/>
  <c r="CJ1234" i="4" s="1"/>
  <c r="CK1213" i="4" s="1"/>
  <c r="CJ1252" i="4"/>
  <c r="CJ58" i="11"/>
  <c r="CJ59" i="11" s="1"/>
  <c r="CJ28" i="11" s="1"/>
  <c r="CJ90" i="11"/>
  <c r="CJ91" i="11" s="1"/>
  <c r="CJ93" i="11" s="1"/>
  <c r="CJ96" i="11" s="1"/>
  <c r="CJ97" i="11" s="1"/>
  <c r="CJ48" i="62"/>
  <c r="CJ24" i="62" s="1"/>
  <c r="CJ22" i="66"/>
  <c r="CJ1432" i="4"/>
  <c r="CJ1430" i="4"/>
  <c r="CJ1431" i="4" s="1"/>
  <c r="CJ1363" i="4"/>
  <c r="CK95" i="11" l="1"/>
  <c r="CJ24" i="66"/>
  <c r="CJ20" i="66" s="1"/>
  <c r="CJ26" i="66" s="1"/>
  <c r="CJ44" i="66"/>
  <c r="CJ40" i="66" s="1"/>
  <c r="CJ46" i="66" s="1"/>
  <c r="CJ1253" i="4"/>
  <c r="CJ1254" i="4" s="1"/>
  <c r="CJ1385" i="4"/>
  <c r="CJ1384" i="4" s="1"/>
  <c r="CJ100" i="67"/>
  <c r="CJ1263" i="4"/>
  <c r="CJ1264" i="4" s="1"/>
  <c r="CJ46" i="62"/>
  <c r="CJ101" i="67"/>
  <c r="CJ101" i="11"/>
  <c r="CJ21" i="11"/>
  <c r="CJ17" i="11" s="1"/>
  <c r="CJ100" i="11"/>
  <c r="CK489" i="4"/>
  <c r="CK500" i="4"/>
  <c r="CK386" i="4"/>
  <c r="CK387" i="4" s="1"/>
  <c r="CJ25" i="11"/>
  <c r="CJ1364" i="4"/>
  <c r="CJ1365" i="4" s="1"/>
  <c r="CJ26" i="62"/>
  <c r="CK1051" i="4"/>
  <c r="CK85" i="11"/>
  <c r="CK1231" i="4"/>
  <c r="CK42" i="62"/>
  <c r="CK1167" i="4"/>
  <c r="CK1168" i="4" s="1"/>
  <c r="CK1260" i="4"/>
  <c r="CK388" i="4" l="1"/>
  <c r="CK389" i="4" s="1"/>
  <c r="CL384" i="4" s="1"/>
  <c r="CK501" i="4"/>
  <c r="CK502" i="4" s="1"/>
  <c r="CK490" i="4"/>
  <c r="CK26" i="11"/>
  <c r="CL1163" i="4"/>
  <c r="CK52" i="62"/>
  <c r="CK43" i="62"/>
  <c r="CK23" i="62" s="1"/>
  <c r="CJ99" i="11"/>
  <c r="CJ1266" i="4"/>
  <c r="CJ1386" i="4"/>
  <c r="CJ1383" i="4" s="1"/>
  <c r="CJ23" i="11"/>
  <c r="CJ48" i="66"/>
  <c r="CJ37" i="11"/>
  <c r="CJ1398" i="4"/>
  <c r="CJ1393" i="4" s="1"/>
  <c r="CJ1397" i="4"/>
  <c r="CJ1392" i="4" s="1"/>
  <c r="CJ39" i="11" l="1"/>
  <c r="CJ40" i="11" s="1"/>
  <c r="CK16" i="66"/>
  <c r="CK14" i="66" s="1"/>
  <c r="CK13" i="66" s="1"/>
  <c r="CJ1439" i="4"/>
  <c r="CJ1440" i="4" s="1"/>
  <c r="CJ1396" i="4"/>
  <c r="CJ1391" i="4" s="1"/>
  <c r="CK491" i="4"/>
  <c r="CK64" i="62"/>
  <c r="CK51" i="11"/>
  <c r="CL499" i="4"/>
  <c r="CL1023" i="4" s="1"/>
  <c r="CK1024" i="4"/>
  <c r="CK1026" i="4" s="1"/>
  <c r="CK1027" i="4" s="1"/>
  <c r="CK1028" i="4" s="1"/>
  <c r="CL488" i="4" l="1"/>
  <c r="CK15" i="11"/>
  <c r="CK13" i="11" s="1"/>
  <c r="CK62" i="64"/>
  <c r="CK907" i="4"/>
  <c r="CK911" i="4" s="1"/>
  <c r="CK70" i="64" l="1"/>
  <c r="CK78" i="64"/>
  <c r="CK1043" i="4"/>
  <c r="CK1243" i="4"/>
  <c r="CK915" i="4"/>
  <c r="CK1217" i="4"/>
  <c r="CK1221" i="4" s="1"/>
  <c r="CK71" i="11"/>
  <c r="CK47" i="11" l="1"/>
  <c r="CK996" i="4"/>
  <c r="CK1000" i="4" s="1"/>
  <c r="CK1004" i="4" s="1"/>
  <c r="CK62" i="11" l="1"/>
  <c r="CK61" i="11"/>
  <c r="CK48" i="11"/>
  <c r="CK55" i="11" s="1"/>
  <c r="CK1012" i="4"/>
  <c r="CK1005" i="4"/>
  <c r="CK63" i="11" l="1"/>
  <c r="CK1016" i="4"/>
  <c r="CK1013" i="4" s="1"/>
  <c r="CK1014" i="4" s="1"/>
  <c r="CL1011" i="4" s="1"/>
  <c r="CK64" i="11"/>
  <c r="CK62" i="62"/>
  <c r="CK1395" i="4"/>
  <c r="CK1006" i="4" l="1"/>
  <c r="CK1007" i="4" s="1"/>
  <c r="CK63" i="62" s="1"/>
  <c r="CK67" i="62" s="1"/>
  <c r="CK68" i="62" s="1"/>
  <c r="CK61" i="64" l="1"/>
  <c r="CK77" i="64" s="1"/>
  <c r="CK82" i="64" s="1"/>
  <c r="CK1046" i="4"/>
  <c r="CK1053" i="4" s="1"/>
  <c r="CK1055" i="4" s="1"/>
  <c r="CK1058" i="4" s="1"/>
  <c r="CK75" i="11"/>
  <c r="CK1222" i="4"/>
  <c r="CK1223" i="4" s="1"/>
  <c r="CK1236" i="4" s="1"/>
  <c r="CK56" i="11"/>
  <c r="CK57" i="11" s="1"/>
  <c r="CK1394" i="4" s="1"/>
  <c r="CK1246" i="4"/>
  <c r="CK69" i="64" l="1"/>
  <c r="CK74" i="64" s="1"/>
  <c r="CK66" i="64"/>
  <c r="CK40" i="64" s="1"/>
  <c r="CK42" i="64" s="1"/>
  <c r="CK49" i="64" s="1"/>
  <c r="CK1206" i="4"/>
  <c r="CK1116" i="4"/>
  <c r="CK1117" i="4" s="1"/>
  <c r="CK1119" i="4" s="1"/>
  <c r="CK1121" i="4" s="1"/>
  <c r="CK1087" i="4" s="1"/>
  <c r="CK52" i="64" l="1"/>
  <c r="CK1137" i="4"/>
  <c r="CK1088" i="4"/>
  <c r="CL1085" i="4" l="1"/>
  <c r="CL1130" i="4"/>
  <c r="CL1148" i="4" s="1"/>
  <c r="CK88" i="11"/>
  <c r="CK1247" i="4"/>
  <c r="CK1404" i="4"/>
  <c r="CK1225" i="4"/>
  <c r="CK1226" i="4" s="1"/>
  <c r="CK38" i="66"/>
  <c r="CK1347" i="4"/>
  <c r="CK1138" i="4"/>
  <c r="CK1204" i="4" l="1"/>
  <c r="CK1194" i="4"/>
  <c r="CL1135" i="4"/>
  <c r="CK1412" i="4"/>
  <c r="CK31" i="11"/>
  <c r="CK1438" i="4"/>
  <c r="CK1428" i="4"/>
  <c r="CL1086" i="4"/>
  <c r="CK1413" i="4" l="1"/>
  <c r="CK1422" i="4" s="1"/>
  <c r="CL1415" i="4"/>
  <c r="CK1175" i="4"/>
  <c r="CK1197" i="4"/>
  <c r="CK1198" i="4" s="1"/>
  <c r="CK1188" i="4" s="1"/>
  <c r="CK45" i="62"/>
  <c r="CK30" i="11"/>
  <c r="CL1136" i="4"/>
  <c r="CL1129" i="4"/>
  <c r="CL1147" i="4" s="1"/>
  <c r="CL1149" i="4" s="1"/>
  <c r="CL1125" i="4"/>
  <c r="CL1101" i="4"/>
  <c r="CK1187" i="4" l="1"/>
  <c r="CK1176" i="4" s="1"/>
  <c r="CK1189" i="4"/>
  <c r="CL1102" i="4"/>
  <c r="CL1112" i="4"/>
  <c r="CL1141" i="4" s="1"/>
  <c r="CL1103" i="4"/>
  <c r="CL1092" i="4" s="1"/>
  <c r="CL1093" i="4" s="1"/>
  <c r="CL1111" i="4" s="1"/>
  <c r="CK1184" i="4"/>
  <c r="CK1191" i="4" s="1"/>
  <c r="CK1180" i="4"/>
  <c r="CL1045" i="4"/>
  <c r="CL50" i="11"/>
  <c r="CL72" i="11"/>
  <c r="CL1218" i="4"/>
  <c r="CL1249" i="4"/>
  <c r="CL297" i="4"/>
  <c r="CL305" i="4" s="1"/>
  <c r="CL330" i="4" s="1"/>
  <c r="CL37" i="66"/>
  <c r="CL999" i="4"/>
  <c r="CL1233" i="4"/>
  <c r="CL87" i="11"/>
  <c r="CL1346" i="4"/>
  <c r="CL18" i="66"/>
  <c r="CL1259" i="4"/>
  <c r="CK1418" i="4"/>
  <c r="CK1416" i="4"/>
  <c r="CK86" i="11" l="1"/>
  <c r="CK1261" i="4"/>
  <c r="CK1232" i="4"/>
  <c r="CK19" i="66"/>
  <c r="CK17" i="66" s="1"/>
  <c r="CK1403" i="4"/>
  <c r="CK1406" i="4" s="1"/>
  <c r="CM479" i="4"/>
  <c r="CL478" i="4"/>
  <c r="CL480" i="4" s="1"/>
  <c r="CL481" i="4" s="1"/>
  <c r="CL482" i="4" s="1"/>
  <c r="CL483" i="4" s="1"/>
  <c r="CM477" i="4" s="1"/>
  <c r="CM468" i="4"/>
  <c r="CL456" i="4"/>
  <c r="CL458" i="4" s="1"/>
  <c r="CL459" i="4" s="1"/>
  <c r="CM457" i="4"/>
  <c r="CL467" i="4"/>
  <c r="CL469" i="4" s="1"/>
  <c r="CL470" i="4" s="1"/>
  <c r="CL471" i="4" s="1"/>
  <c r="CL472" i="4" s="1"/>
  <c r="CM466" i="4" s="1"/>
  <c r="CL1142" i="4"/>
  <c r="CL294" i="4" s="1"/>
  <c r="CL1143" i="4"/>
  <c r="CL997" i="4"/>
  <c r="CK1419" i="4"/>
  <c r="CL1104" i="4"/>
  <c r="CL49" i="11"/>
  <c r="CK74" i="11"/>
  <c r="CK78" i="11" s="1"/>
  <c r="CK1195" i="4"/>
  <c r="CK1199" i="4" s="1"/>
  <c r="CK1177" i="4" s="1"/>
  <c r="CK1227" i="4"/>
  <c r="CK1250" i="4"/>
  <c r="CK1309" i="4"/>
  <c r="CK36" i="66"/>
  <c r="CK1308" i="4" l="1"/>
  <c r="CK1311" i="4" s="1"/>
  <c r="CK1344" i="4"/>
  <c r="CL53" i="11"/>
  <c r="CL52" i="11" s="1"/>
  <c r="CM495" i="4"/>
  <c r="CM995" i="4" s="1"/>
  <c r="CL1120" i="4"/>
  <c r="CL1113" i="4"/>
  <c r="CL1144" i="4" s="1"/>
  <c r="CK39" i="66"/>
  <c r="CK35" i="66" s="1"/>
  <c r="CK89" i="11"/>
  <c r="CK1228" i="4"/>
  <c r="CK1205" i="4" s="1"/>
  <c r="CK1251" i="4"/>
  <c r="CK1178" i="4"/>
  <c r="CL299" i="4"/>
  <c r="CL302" i="4"/>
  <c r="CL494" i="4"/>
  <c r="CL994" i="4" s="1"/>
  <c r="CL460" i="4"/>
  <c r="CL461" i="4" s="1"/>
  <c r="CM455" i="4" s="1"/>
  <c r="CK1207" i="4" l="1"/>
  <c r="CK1209" i="4" s="1"/>
  <c r="CL73" i="11"/>
  <c r="CL1044" i="4"/>
  <c r="CL1067" i="4" s="1"/>
  <c r="CL1248" i="4"/>
  <c r="CL1224" i="4"/>
  <c r="CL307" i="4"/>
  <c r="CL331" i="4"/>
  <c r="CL1173" i="4"/>
  <c r="CK27" i="11"/>
  <c r="CK1429" i="4"/>
  <c r="CK1348" i="4"/>
  <c r="CK1313" i="4"/>
  <c r="CK1325" i="4"/>
  <c r="CL332" i="4" l="1"/>
  <c r="CL14" i="11" s="1"/>
  <c r="CK1363" i="4"/>
  <c r="CK1430" i="4"/>
  <c r="CK1431" i="4" s="1"/>
  <c r="CK1432" i="4"/>
  <c r="CK1326" i="4"/>
  <c r="CK1327" i="4" s="1"/>
  <c r="CL395" i="4"/>
  <c r="CL396" i="4" s="1"/>
  <c r="CL397" i="4" s="1"/>
  <c r="CL398" i="4" s="1"/>
  <c r="CL399" i="4" s="1"/>
  <c r="CM394" i="4" s="1"/>
  <c r="CL385" i="4"/>
  <c r="CL405" i="4"/>
  <c r="CL406" i="4" s="1"/>
  <c r="CL407" i="4" s="1"/>
  <c r="CL408" i="4" s="1"/>
  <c r="CL409" i="4" s="1"/>
  <c r="CM404" i="4" s="1"/>
  <c r="CL1068" i="4"/>
  <c r="CL1158" i="4"/>
  <c r="CL1174" i="4" s="1"/>
  <c r="CL1157" i="4"/>
  <c r="CK1208" i="4"/>
  <c r="CK90" i="11"/>
  <c r="CK91" i="11" s="1"/>
  <c r="CK93" i="11" s="1"/>
  <c r="CK96" i="11" s="1"/>
  <c r="CK97" i="11" s="1"/>
  <c r="CK48" i="62"/>
  <c r="CK24" i="62" s="1"/>
  <c r="CK58" i="11"/>
  <c r="CK59" i="11" s="1"/>
  <c r="CK28" i="11" s="1"/>
  <c r="CK25" i="11" s="1"/>
  <c r="CK1229" i="4"/>
  <c r="CK1230" i="4" s="1"/>
  <c r="CK1234" i="4" s="1"/>
  <c r="CL1213" i="4" s="1"/>
  <c r="CK1252" i="4"/>
  <c r="CK22" i="66"/>
  <c r="CK1398" i="4" l="1"/>
  <c r="CK1393" i="4" s="1"/>
  <c r="CK37" i="11"/>
  <c r="CK1397" i="4"/>
  <c r="CK1392" i="4" s="1"/>
  <c r="CL1051" i="4"/>
  <c r="CL489" i="4"/>
  <c r="CL386" i="4"/>
  <c r="CL387" i="4" s="1"/>
  <c r="CL500" i="4"/>
  <c r="CK1364" i="4"/>
  <c r="CK1365" i="4" s="1"/>
  <c r="CK26" i="62"/>
  <c r="CK46" i="62"/>
  <c r="CK101" i="67"/>
  <c r="CK1263" i="4"/>
  <c r="CK1264" i="4" s="1"/>
  <c r="CK1385" i="4"/>
  <c r="CK1384" i="4" s="1"/>
  <c r="CK24" i="66"/>
  <c r="CK20" i="66" s="1"/>
  <c r="CK26" i="66" s="1"/>
  <c r="CK100" i="67"/>
  <c r="CK44" i="66"/>
  <c r="CK40" i="66" s="1"/>
  <c r="CK46" i="66" s="1"/>
  <c r="CK1253" i="4"/>
  <c r="CK1254" i="4" s="1"/>
  <c r="CL95" i="11"/>
  <c r="CK21" i="11"/>
  <c r="CK17" i="11" s="1"/>
  <c r="CK101" i="11"/>
  <c r="CK100" i="11"/>
  <c r="CL1164" i="4"/>
  <c r="CL1159" i="4"/>
  <c r="CK1266" i="4" l="1"/>
  <c r="CK48" i="66"/>
  <c r="CK1386" i="4"/>
  <c r="CK1383" i="4" s="1"/>
  <c r="CK23" i="11"/>
  <c r="CK39" i="11" s="1"/>
  <c r="CK40" i="11" s="1"/>
  <c r="CL1167" i="4"/>
  <c r="CL1168" i="4" s="1"/>
  <c r="CL42" i="62"/>
  <c r="CL1260" i="4"/>
  <c r="CL1231" i="4"/>
  <c r="CL85" i="11"/>
  <c r="CK99" i="11"/>
  <c r="CL490" i="4"/>
  <c r="CL501" i="4"/>
  <c r="CL502" i="4" s="1"/>
  <c r="CL388" i="4"/>
  <c r="CL389" i="4" s="1"/>
  <c r="CM384" i="4" s="1"/>
  <c r="CL52" i="62" l="1"/>
  <c r="CL43" i="62"/>
  <c r="CL23" i="62" s="1"/>
  <c r="CM499" i="4"/>
  <c r="CM1023" i="4" s="1"/>
  <c r="CL1024" i="4"/>
  <c r="CL1026" i="4" s="1"/>
  <c r="CL1027" i="4" s="1"/>
  <c r="CL1028" i="4" s="1"/>
  <c r="CL26" i="11"/>
  <c r="CM1163" i="4"/>
  <c r="CK1439" i="4"/>
  <c r="CK1440" i="4" s="1"/>
  <c r="CK1396" i="4"/>
  <c r="CK1391" i="4" s="1"/>
  <c r="CL491" i="4"/>
  <c r="CL64" i="62"/>
  <c r="CL51" i="11"/>
  <c r="CL62" i="64" l="1"/>
  <c r="CL907" i="4"/>
  <c r="CL911" i="4" s="1"/>
  <c r="CL15" i="11"/>
  <c r="CL13" i="11" s="1"/>
  <c r="CM488" i="4"/>
  <c r="CL16" i="66"/>
  <c r="CL14" i="66" s="1"/>
  <c r="CL13" i="66" s="1"/>
  <c r="CL1243" i="4" l="1"/>
  <c r="CL1217" i="4"/>
  <c r="CL1221" i="4" s="1"/>
  <c r="CL915" i="4"/>
  <c r="CL1043" i="4"/>
  <c r="CL71" i="11"/>
  <c r="CL70" i="64"/>
  <c r="CL78" i="64"/>
  <c r="CL996" i="4" l="1"/>
  <c r="CL1000" i="4" s="1"/>
  <c r="CL1004" i="4" s="1"/>
  <c r="CL47" i="11"/>
  <c r="CL1012" i="4" l="1"/>
  <c r="CL1005" i="4"/>
  <c r="CL62" i="11"/>
  <c r="CL61" i="11"/>
  <c r="CL48" i="11"/>
  <c r="CL55" i="11" s="1"/>
  <c r="CL63" i="11" l="1"/>
  <c r="CL1016" i="4"/>
  <c r="CL1013" i="4" s="1"/>
  <c r="CL1014" i="4" s="1"/>
  <c r="CM1011" i="4" s="1"/>
  <c r="CL62" i="62"/>
  <c r="CL1395" i="4"/>
  <c r="CL64" i="11"/>
  <c r="CL1006" i="4" l="1"/>
  <c r="CL1007" i="4" s="1"/>
  <c r="CL63" i="62" s="1"/>
  <c r="CL67" i="62" s="1"/>
  <c r="CL68" i="62" s="1"/>
  <c r="CL1222" i="4" l="1"/>
  <c r="CL1223" i="4" s="1"/>
  <c r="CL1236" i="4" s="1"/>
  <c r="CL56" i="11"/>
  <c r="CL57" i="11" s="1"/>
  <c r="CL1206" i="4" s="1"/>
  <c r="CL75" i="11"/>
  <c r="CL1246" i="4"/>
  <c r="CL1046" i="4"/>
  <c r="CL1053" i="4" s="1"/>
  <c r="CL1055" i="4" s="1"/>
  <c r="CL1058" i="4" s="1"/>
  <c r="CL61" i="64"/>
  <c r="CL77" i="64" s="1"/>
  <c r="CL82" i="64" s="1"/>
  <c r="CL1394" i="4" l="1"/>
  <c r="CL69" i="64"/>
  <c r="CL74" i="64" s="1"/>
  <c r="CL66" i="64"/>
  <c r="CL40" i="64" s="1"/>
  <c r="CL42" i="64" s="1"/>
  <c r="CL52" i="64" s="1"/>
  <c r="CL1116" i="4"/>
  <c r="CL1117" i="4" s="1"/>
  <c r="CL1119" i="4" s="1"/>
  <c r="CL1121" i="4" s="1"/>
  <c r="CL1087" i="4" s="1"/>
  <c r="CL49" i="64" l="1"/>
  <c r="CL1137" i="4"/>
  <c r="CL1088" i="4"/>
  <c r="CM1085" i="4" l="1"/>
  <c r="CM1130" i="4"/>
  <c r="CM1148" i="4" s="1"/>
  <c r="CL1247" i="4"/>
  <c r="CL38" i="66"/>
  <c r="CL1225" i="4"/>
  <c r="CL1226" i="4" s="1"/>
  <c r="CL1347" i="4"/>
  <c r="CL88" i="11"/>
  <c r="CL1404" i="4"/>
  <c r="CL1138" i="4"/>
  <c r="CL1204" i="4" l="1"/>
  <c r="CL1194" i="4"/>
  <c r="CL1428" i="4"/>
  <c r="CL1412" i="4"/>
  <c r="CL31" i="11"/>
  <c r="CM1135" i="4"/>
  <c r="CL1438" i="4"/>
  <c r="CM1086" i="4"/>
  <c r="CL30" i="11" l="1"/>
  <c r="CL45" i="62"/>
  <c r="CL1413" i="4"/>
  <c r="CL1422" i="4" s="1"/>
  <c r="CM1136" i="4"/>
  <c r="CM1129" i="4"/>
  <c r="CM1147" i="4" s="1"/>
  <c r="CM1149" i="4" s="1"/>
  <c r="CM1125" i="4"/>
  <c r="CM1101" i="4"/>
  <c r="CM1415" i="4"/>
  <c r="CL1175" i="4"/>
  <c r="CL1197" i="4"/>
  <c r="CL1198" i="4" s="1"/>
  <c r="CL1188" i="4" s="1"/>
  <c r="CM1103" i="4" l="1"/>
  <c r="CM1092" i="4" s="1"/>
  <c r="CM1093" i="4" s="1"/>
  <c r="CM1111" i="4" s="1"/>
  <c r="CM1102" i="4"/>
  <c r="CM1112" i="4"/>
  <c r="CM1141" i="4" s="1"/>
  <c r="CM37" i="66"/>
  <c r="CM1249" i="4"/>
  <c r="CM297" i="4"/>
  <c r="CM305" i="4" s="1"/>
  <c r="CM330" i="4" s="1"/>
  <c r="CM1218" i="4"/>
  <c r="CM72" i="11"/>
  <c r="CM999" i="4"/>
  <c r="CM50" i="11"/>
  <c r="CM1045" i="4"/>
  <c r="AE72" i="67"/>
  <c r="CL1189" i="4"/>
  <c r="CL1187" i="4"/>
  <c r="CL1176" i="4" s="1"/>
  <c r="CM18" i="66"/>
  <c r="CM1233" i="4"/>
  <c r="CM1259" i="4"/>
  <c r="CM87" i="11"/>
  <c r="CM1346" i="4"/>
  <c r="AE87" i="67"/>
  <c r="CL1418" i="4"/>
  <c r="CL1416" i="4"/>
  <c r="CL1180" i="4"/>
  <c r="CL1184" i="4"/>
  <c r="CL1191" i="4" s="1"/>
  <c r="CL1419" i="4" l="1"/>
  <c r="CM1104" i="4"/>
  <c r="CM1120" i="4" s="1"/>
  <c r="CN457" i="4"/>
  <c r="CN468" i="4"/>
  <c r="CN479" i="4"/>
  <c r="CM478" i="4"/>
  <c r="CM480" i="4" s="1"/>
  <c r="CM481" i="4" s="1"/>
  <c r="CM482" i="4" s="1"/>
  <c r="CM483" i="4" s="1"/>
  <c r="CN477" i="4" s="1"/>
  <c r="CM456" i="4"/>
  <c r="CM458" i="4" s="1"/>
  <c r="CM459" i="4" s="1"/>
  <c r="CM467" i="4"/>
  <c r="CM469" i="4" s="1"/>
  <c r="CM470" i="4" s="1"/>
  <c r="CM471" i="4" s="1"/>
  <c r="CM472" i="4" s="1"/>
  <c r="CN466" i="4" s="1"/>
  <c r="CL1195" i="4"/>
  <c r="CL1199" i="4" s="1"/>
  <c r="CL1177" i="4" s="1"/>
  <c r="CL1227" i="4"/>
  <c r="CL1250" i="4"/>
  <c r="CL74" i="11"/>
  <c r="CL78" i="11" s="1"/>
  <c r="CL1309" i="4"/>
  <c r="CL36" i="66"/>
  <c r="CL1261" i="4"/>
  <c r="CL86" i="11"/>
  <c r="CL19" i="66"/>
  <c r="CL17" i="66" s="1"/>
  <c r="CL1232" i="4"/>
  <c r="CL1403" i="4"/>
  <c r="CL1406" i="4" s="1"/>
  <c r="CM997" i="4"/>
  <c r="CM1142" i="4"/>
  <c r="CM294" i="4" s="1"/>
  <c r="CM1143" i="4"/>
  <c r="CM49" i="11"/>
  <c r="AE50" i="67"/>
  <c r="AE49" i="67" s="1"/>
  <c r="CM1113" i="4" l="1"/>
  <c r="CM1144" i="4" s="1"/>
  <c r="CM1248" i="4" s="1"/>
  <c r="CL89" i="11"/>
  <c r="CL1251" i="4"/>
  <c r="CL1228" i="4"/>
  <c r="CL1205" i="4" s="1"/>
  <c r="CL39" i="66"/>
  <c r="CL35" i="66" s="1"/>
  <c r="CL1178" i="4"/>
  <c r="CM53" i="11"/>
  <c r="CM52" i="11" s="1"/>
  <c r="AE53" i="67"/>
  <c r="AE52" i="67" s="1"/>
  <c r="CN495" i="4"/>
  <c r="CN995" i="4" s="1"/>
  <c r="CM299" i="4"/>
  <c r="CM302" i="4"/>
  <c r="AE23" i="13"/>
  <c r="CL1308" i="4"/>
  <c r="CL1311" i="4" s="1"/>
  <c r="CL1344" i="4"/>
  <c r="CM460" i="4"/>
  <c r="CM461" i="4" s="1"/>
  <c r="CN455" i="4" s="1"/>
  <c r="CM494" i="4"/>
  <c r="CM994" i="4" s="1"/>
  <c r="AE73" i="67" l="1"/>
  <c r="CM73" i="11"/>
  <c r="CM1044" i="4"/>
  <c r="CM1067" i="4" s="1"/>
  <c r="CM1158" i="4" s="1"/>
  <c r="CM1174" i="4" s="1"/>
  <c r="CM1224" i="4"/>
  <c r="CL27" i="11"/>
  <c r="CM1173" i="4"/>
  <c r="CL1429" i="4"/>
  <c r="CM307" i="4"/>
  <c r="CM331" i="4"/>
  <c r="CL1207" i="4"/>
  <c r="CL1209" i="4" s="1"/>
  <c r="CL1348" i="4"/>
  <c r="CL1313" i="4"/>
  <c r="CL1325" i="4"/>
  <c r="CM1068" i="4" l="1"/>
  <c r="CM1157" i="4"/>
  <c r="CM1164" i="4" s="1"/>
  <c r="CM332" i="4"/>
  <c r="CM14" i="11" s="1"/>
  <c r="CL1363" i="4"/>
  <c r="CL1208" i="4"/>
  <c r="CL48" i="62"/>
  <c r="CL24" i="62" s="1"/>
  <c r="CL90" i="11"/>
  <c r="CL91" i="11" s="1"/>
  <c r="CL93" i="11" s="1"/>
  <c r="CL96" i="11" s="1"/>
  <c r="CL97" i="11" s="1"/>
  <c r="CL1252" i="4"/>
  <c r="CL58" i="11"/>
  <c r="CL59" i="11" s="1"/>
  <c r="CL28" i="11" s="1"/>
  <c r="CL25" i="11" s="1"/>
  <c r="CL1229" i="4"/>
  <c r="CL1230" i="4" s="1"/>
  <c r="CL1234" i="4" s="1"/>
  <c r="CM1213" i="4" s="1"/>
  <c r="CL22" i="66"/>
  <c r="CL1326" i="4"/>
  <c r="CL1327" i="4" s="1"/>
  <c r="CL1430" i="4"/>
  <c r="CL1431" i="4" s="1"/>
  <c r="CL1432" i="4"/>
  <c r="CM395" i="4"/>
  <c r="CM396" i="4" s="1"/>
  <c r="CM397" i="4" s="1"/>
  <c r="CM398" i="4" s="1"/>
  <c r="CM399" i="4" s="1"/>
  <c r="CN394" i="4" s="1"/>
  <c r="CM405" i="4"/>
  <c r="CM406" i="4" s="1"/>
  <c r="CM407" i="4" s="1"/>
  <c r="CM408" i="4" s="1"/>
  <c r="CM409" i="4" s="1"/>
  <c r="CN404" i="4" s="1"/>
  <c r="CM385" i="4"/>
  <c r="CM1159" i="4" l="1"/>
  <c r="AE14" i="67"/>
  <c r="CL101" i="11"/>
  <c r="CL44" i="66"/>
  <c r="CL40" i="66" s="1"/>
  <c r="CL46" i="66" s="1"/>
  <c r="CM95" i="11"/>
  <c r="CL24" i="66"/>
  <c r="CL20" i="66" s="1"/>
  <c r="CL26" i="66" s="1"/>
  <c r="CL1253" i="4"/>
  <c r="CL1254" i="4" s="1"/>
  <c r="CL100" i="11"/>
  <c r="CL1263" i="4"/>
  <c r="CL1264" i="4" s="1"/>
  <c r="CL21" i="11"/>
  <c r="CL17" i="11" s="1"/>
  <c r="CL100" i="67"/>
  <c r="CL1385" i="4"/>
  <c r="CL1384" i="4" s="1"/>
  <c r="CL46" i="62"/>
  <c r="CL101" i="67"/>
  <c r="CM85" i="11"/>
  <c r="CM1260" i="4"/>
  <c r="CM1231" i="4"/>
  <c r="CM1167" i="4"/>
  <c r="CM1168" i="4" s="1"/>
  <c r="CM42" i="62"/>
  <c r="AE85" i="67"/>
  <c r="CL26" i="62"/>
  <c r="CM386" i="4"/>
  <c r="CM387" i="4" s="1"/>
  <c r="CM500" i="4"/>
  <c r="CM489" i="4"/>
  <c r="CL1398" i="4"/>
  <c r="CL1393" i="4" s="1"/>
  <c r="CL37" i="11"/>
  <c r="CL1397" i="4"/>
  <c r="CL1392" i="4" s="1"/>
  <c r="CL1364" i="4"/>
  <c r="CL1365" i="4" s="1"/>
  <c r="CM1051" i="4"/>
  <c r="CL99" i="11" l="1"/>
  <c r="CM388" i="4"/>
  <c r="CM389" i="4" s="1"/>
  <c r="CN384" i="4" s="1"/>
  <c r="CM490" i="4"/>
  <c r="CM501" i="4"/>
  <c r="CM502" i="4" s="1"/>
  <c r="CL1266" i="4"/>
  <c r="CL48" i="66"/>
  <c r="CM52" i="62"/>
  <c r="CM43" i="62"/>
  <c r="CM23" i="62" s="1"/>
  <c r="AE26" i="67"/>
  <c r="CM26" i="11"/>
  <c r="CN1163" i="4"/>
  <c r="CL1386" i="4"/>
  <c r="CL1383" i="4" s="1"/>
  <c r="CL23" i="11"/>
  <c r="CL39" i="11" s="1"/>
  <c r="CL40" i="11" s="1"/>
  <c r="CM16" i="66" l="1"/>
  <c r="CM14" i="66" s="1"/>
  <c r="CM13" i="66" s="1"/>
  <c r="CL1439" i="4"/>
  <c r="CL1440" i="4" s="1"/>
  <c r="CL1396" i="4"/>
  <c r="CL1391" i="4" s="1"/>
  <c r="CN499" i="4"/>
  <c r="CN1023" i="4" s="1"/>
  <c r="CM1024" i="4"/>
  <c r="CM1026" i="4" s="1"/>
  <c r="CM1027" i="4" s="1"/>
  <c r="CM1028" i="4" s="1"/>
  <c r="CM491" i="4"/>
  <c r="CM51" i="11"/>
  <c r="CM64" i="62"/>
  <c r="AE51" i="67"/>
  <c r="CM907" i="4" l="1"/>
  <c r="CM911" i="4" s="1"/>
  <c r="CM62" i="64"/>
  <c r="CM15" i="11"/>
  <c r="CM13" i="11" s="1"/>
  <c r="CN488" i="4"/>
  <c r="AE15" i="67"/>
  <c r="AE13" i="67" s="1"/>
  <c r="CM70" i="64" l="1"/>
  <c r="I70" i="64" s="1"/>
  <c r="CM78" i="64"/>
  <c r="I78" i="64" s="1"/>
  <c r="I62" i="64"/>
  <c r="CM71" i="11"/>
  <c r="CM915" i="4"/>
  <c r="CM1243" i="4"/>
  <c r="CM1043" i="4"/>
  <c r="CM1217" i="4"/>
  <c r="CM1221" i="4" s="1"/>
  <c r="AE40" i="13"/>
  <c r="AE71" i="67"/>
  <c r="CM47" i="11" l="1"/>
  <c r="CM996" i="4"/>
  <c r="CM1000" i="4" s="1"/>
  <c r="CM1004" i="4" s="1"/>
  <c r="AE20" i="72"/>
  <c r="AE47" i="67"/>
  <c r="AE61" i="67" l="1"/>
  <c r="AE63" i="67" s="1"/>
  <c r="AE62" i="67"/>
  <c r="AE64" i="67" s="1"/>
  <c r="AE48" i="67"/>
  <c r="AE55" i="67" s="1"/>
  <c r="CM1005" i="4"/>
  <c r="CM1016" i="4" s="1"/>
  <c r="CM1013" i="4" s="1"/>
  <c r="CM1006" i="4" s="1"/>
  <c r="CM1007" i="4" s="1"/>
  <c r="CM1012" i="4"/>
  <c r="CM61" i="11"/>
  <c r="CM62" i="11"/>
  <c r="CM48" i="11"/>
  <c r="CM55" i="11" s="1"/>
  <c r="CM62" i="62" l="1"/>
  <c r="CM63" i="62" s="1"/>
  <c r="CM67" i="62" s="1"/>
  <c r="CM1395" i="4"/>
  <c r="CM64" i="11"/>
  <c r="CM63" i="11"/>
  <c r="AE1449" i="4"/>
  <c r="CM1014" i="4"/>
  <c r="CN1011" i="4" s="1"/>
  <c r="CM1222" i="4"/>
  <c r="CM1223" i="4" s="1"/>
  <c r="CM75" i="11"/>
  <c r="CM1246" i="4"/>
  <c r="CM61" i="64"/>
  <c r="CM56" i="11"/>
  <c r="CM57" i="11" s="1"/>
  <c r="CM1046" i="4"/>
  <c r="CM1053" i="4" s="1"/>
  <c r="CM1055" i="4" s="1"/>
  <c r="CM1058" i="4" s="1"/>
  <c r="AE56" i="67"/>
  <c r="AE57" i="67" s="1"/>
  <c r="AE75" i="67"/>
  <c r="AE41" i="13"/>
  <c r="AE43" i="13" s="1"/>
  <c r="CM1236" i="4" l="1"/>
  <c r="CM1394" i="4"/>
  <c r="CM1206" i="4"/>
  <c r="I61" i="64"/>
  <c r="CM66" i="64"/>
  <c r="CM77" i="64"/>
  <c r="CM69" i="64"/>
  <c r="CM68" i="62"/>
  <c r="CM40" i="64" l="1"/>
  <c r="I66" i="64"/>
  <c r="CM74" i="64"/>
  <c r="I74" i="64" s="1"/>
  <c r="I69" i="64"/>
  <c r="CM1116" i="4"/>
  <c r="CM1117" i="4" s="1"/>
  <c r="CM1119" i="4" s="1"/>
  <c r="CM1121" i="4" s="1"/>
  <c r="CM1087" i="4" s="1"/>
  <c r="CM82" i="64"/>
  <c r="I82" i="64" s="1"/>
  <c r="I77" i="64"/>
  <c r="CM1137" i="4" l="1"/>
  <c r="CM1088" i="4"/>
  <c r="CM42" i="64"/>
  <c r="I40" i="64"/>
  <c r="CM52" i="64" l="1"/>
  <c r="I52" i="64" s="1"/>
  <c r="CM49" i="64"/>
  <c r="I49" i="64" s="1"/>
  <c r="I42" i="64"/>
  <c r="I14" i="64" s="1"/>
  <c r="CN1085" i="4"/>
  <c r="CN1130" i="4"/>
  <c r="CN1148" i="4" s="1"/>
  <c r="CM1347" i="4"/>
  <c r="CM1225" i="4"/>
  <c r="CM1226" i="4" s="1"/>
  <c r="CM1247" i="4"/>
  <c r="CM38" i="66"/>
  <c r="CM88" i="11"/>
  <c r="AE24" i="13"/>
  <c r="AE88" i="67"/>
  <c r="CM1138" i="4"/>
  <c r="CM1404" i="4"/>
  <c r="CM1194" i="4" l="1"/>
  <c r="CM1204" i="4"/>
  <c r="CM31" i="11"/>
  <c r="CN1135" i="4"/>
  <c r="CM1438" i="4"/>
  <c r="CM1428" i="4"/>
  <c r="AE1448" i="4"/>
  <c r="AE1452" i="4" s="1"/>
  <c r="AE31" i="67"/>
  <c r="AE30" i="67" s="1"/>
  <c r="CM1412" i="4"/>
  <c r="CN1086" i="4"/>
  <c r="I55" i="64"/>
  <c r="I21" i="64" s="1"/>
  <c r="I56" i="64"/>
  <c r="I22" i="64" s="1"/>
  <c r="I18" i="64"/>
  <c r="CM1413" i="4" l="1"/>
  <c r="CM1422" i="4" s="1"/>
  <c r="CN1136" i="4"/>
  <c r="CN1129" i="4"/>
  <c r="CN1147" i="4" s="1"/>
  <c r="CN1149" i="4" s="1"/>
  <c r="CN1125" i="4"/>
  <c r="CN1101" i="4"/>
  <c r="CN1415" i="4"/>
  <c r="CM30" i="11"/>
  <c r="CM45" i="62"/>
  <c r="CM1175" i="4"/>
  <c r="CM1197" i="4"/>
  <c r="CM1198" i="4" s="1"/>
  <c r="CM1188" i="4" s="1"/>
  <c r="CN1103" i="4" l="1"/>
  <c r="CN1092" i="4" s="1"/>
  <c r="CN1093" i="4" s="1"/>
  <c r="CN1111" i="4" s="1"/>
  <c r="CN1102" i="4"/>
  <c r="CN1112" i="4"/>
  <c r="CN1141" i="4" s="1"/>
  <c r="CN87" i="11"/>
  <c r="CN1346" i="4"/>
  <c r="CN1233" i="4"/>
  <c r="CN18" i="66"/>
  <c r="CN1259" i="4"/>
  <c r="CN72" i="11"/>
  <c r="CN297" i="4"/>
  <c r="CN305" i="4" s="1"/>
  <c r="CN330" i="4" s="1"/>
  <c r="CN50" i="11"/>
  <c r="CN1249" i="4"/>
  <c r="CN999" i="4"/>
  <c r="CN37" i="66"/>
  <c r="CN1045" i="4"/>
  <c r="CN1218" i="4"/>
  <c r="CM1184" i="4"/>
  <c r="CM1191" i="4" s="1"/>
  <c r="CM1180" i="4"/>
  <c r="CM1189" i="4"/>
  <c r="CM1187" i="4"/>
  <c r="CM1176" i="4" s="1"/>
  <c r="CM1418" i="4"/>
  <c r="CM1416" i="4"/>
  <c r="CN1104" i="4" l="1"/>
  <c r="CN1120" i="4" s="1"/>
  <c r="CM1419" i="4"/>
  <c r="CM86" i="11"/>
  <c r="CM1232" i="4"/>
  <c r="CM19" i="66"/>
  <c r="CM17" i="66" s="1"/>
  <c r="CM1261" i="4"/>
  <c r="AE86" i="67"/>
  <c r="CM1403" i="4"/>
  <c r="CM1406" i="4" s="1"/>
  <c r="CN49" i="11"/>
  <c r="CO457" i="4"/>
  <c r="CO479" i="4"/>
  <c r="I479" i="4" s="1"/>
  <c r="CO468" i="4"/>
  <c r="I468" i="4" s="1"/>
  <c r="CN467" i="4"/>
  <c r="CN469" i="4" s="1"/>
  <c r="CN470" i="4" s="1"/>
  <c r="CN471" i="4" s="1"/>
  <c r="CN472" i="4" s="1"/>
  <c r="CO466" i="4" s="1"/>
  <c r="CN478" i="4"/>
  <c r="CN480" i="4" s="1"/>
  <c r="CN481" i="4" s="1"/>
  <c r="CN482" i="4" s="1"/>
  <c r="CN483" i="4" s="1"/>
  <c r="CO477" i="4" s="1"/>
  <c r="CN456" i="4"/>
  <c r="CN458" i="4" s="1"/>
  <c r="CN459" i="4" s="1"/>
  <c r="CN1143" i="4"/>
  <c r="CN1142" i="4"/>
  <c r="CN294" i="4" s="1"/>
  <c r="CN997" i="4"/>
  <c r="CM1195" i="4"/>
  <c r="CM1199" i="4" s="1"/>
  <c r="CM1177" i="4" s="1"/>
  <c r="CM1227" i="4"/>
  <c r="CM74" i="11"/>
  <c r="CM78" i="11" s="1"/>
  <c r="CM1250" i="4"/>
  <c r="AE74" i="67"/>
  <c r="AE78" i="67" s="1"/>
  <c r="CM36" i="66"/>
  <c r="CM1309" i="4"/>
  <c r="CN1113" i="4" l="1"/>
  <c r="CN1144" i="4" s="1"/>
  <c r="CN1224" i="4" s="1"/>
  <c r="CN53" i="11"/>
  <c r="CN52" i="11" s="1"/>
  <c r="CM1344" i="4"/>
  <c r="CM1308" i="4"/>
  <c r="CM1311" i="4" s="1"/>
  <c r="CO495" i="4"/>
  <c r="I457" i="4"/>
  <c r="CN494" i="4"/>
  <c r="CN994" i="4" s="1"/>
  <c r="CN460" i="4"/>
  <c r="CN461" i="4" s="1"/>
  <c r="CO455" i="4" s="1"/>
  <c r="CN299" i="4"/>
  <c r="CN302" i="4"/>
  <c r="CM39" i="66"/>
  <c r="CM35" i="66" s="1"/>
  <c r="CM1251" i="4"/>
  <c r="CM89" i="11"/>
  <c r="CM1228" i="4"/>
  <c r="CM1205" i="4" s="1"/>
  <c r="AE89" i="67"/>
  <c r="CM1178" i="4"/>
  <c r="CN73" i="11" l="1"/>
  <c r="CN1044" i="4"/>
  <c r="CN1067" i="4" s="1"/>
  <c r="CN1157" i="4" s="1"/>
  <c r="CN1248" i="4"/>
  <c r="CM1207" i="4"/>
  <c r="CM1209" i="4" s="1"/>
  <c r="CO995" i="4"/>
  <c r="I995" i="4" s="1"/>
  <c r="I495" i="4"/>
  <c r="CM1313" i="4"/>
  <c r="AE14" i="72"/>
  <c r="CM1325" i="4"/>
  <c r="CN331" i="4"/>
  <c r="CN307" i="4"/>
  <c r="CM1348" i="4"/>
  <c r="AE13" i="13"/>
  <c r="AE27" i="67"/>
  <c r="CN1173" i="4"/>
  <c r="CM27" i="11"/>
  <c r="CM1429" i="4"/>
  <c r="CN332" i="4" l="1"/>
  <c r="CN14" i="11" s="1"/>
  <c r="CN1158" i="4"/>
  <c r="CN1174" i="4" s="1"/>
  <c r="CN1068" i="4"/>
  <c r="CN385" i="4"/>
  <c r="CN405" i="4"/>
  <c r="CN406" i="4" s="1"/>
  <c r="CN407" i="4" s="1"/>
  <c r="CN408" i="4" s="1"/>
  <c r="CN409" i="4" s="1"/>
  <c r="CO404" i="4" s="1"/>
  <c r="CN395" i="4"/>
  <c r="CN396" i="4" s="1"/>
  <c r="CN397" i="4" s="1"/>
  <c r="CN398" i="4" s="1"/>
  <c r="CN399" i="4" s="1"/>
  <c r="CO394" i="4" s="1"/>
  <c r="CM1326" i="4"/>
  <c r="CM1327" i="4" s="1"/>
  <c r="CN1164" i="4"/>
  <c r="CM1430" i="4"/>
  <c r="CM1431" i="4" s="1"/>
  <c r="CM1432" i="4"/>
  <c r="AE15" i="72"/>
  <c r="CM1363" i="4"/>
  <c r="CM1208" i="4"/>
  <c r="CM48" i="62"/>
  <c r="CM24" i="62" s="1"/>
  <c r="CM90" i="11"/>
  <c r="CM91" i="11" s="1"/>
  <c r="CM93" i="11" s="1"/>
  <c r="CM96" i="11" s="1"/>
  <c r="CM97" i="11" s="1"/>
  <c r="CM1252" i="4"/>
  <c r="CM1229" i="4"/>
  <c r="CM1230" i="4" s="1"/>
  <c r="CM1234" i="4" s="1"/>
  <c r="CN1213" i="4" s="1"/>
  <c r="CM58" i="11"/>
  <c r="CM59" i="11" s="1"/>
  <c r="CM28" i="11" s="1"/>
  <c r="CM25" i="11" s="1"/>
  <c r="AE58" i="67"/>
  <c r="AE59" i="67" s="1"/>
  <c r="AE90" i="67"/>
  <c r="AE91" i="67" s="1"/>
  <c r="AE93" i="67" s="1"/>
  <c r="AE96" i="67" s="1"/>
  <c r="AE97" i="67" s="1"/>
  <c r="CM22" i="66"/>
  <c r="CN1159" i="4" l="1"/>
  <c r="CM1398" i="4"/>
  <c r="CM1393" i="4" s="1"/>
  <c r="CM37" i="11"/>
  <c r="CM1397" i="4"/>
  <c r="CM1392" i="4" s="1"/>
  <c r="CM26" i="62"/>
  <c r="CM1385" i="4"/>
  <c r="CM1384" i="4" s="1"/>
  <c r="CM1263" i="4"/>
  <c r="CM1264" i="4" s="1"/>
  <c r="CM24" i="66"/>
  <c r="CM20" i="66" s="1"/>
  <c r="CM26" i="66" s="1"/>
  <c r="AE21" i="67"/>
  <c r="AE17" i="67" s="1"/>
  <c r="AE23" i="67" s="1"/>
  <c r="CM46" i="62"/>
  <c r="CM21" i="11"/>
  <c r="CM17" i="11" s="1"/>
  <c r="CM100" i="11"/>
  <c r="CM1253" i="4"/>
  <c r="CM1254" i="4" s="1"/>
  <c r="CM101" i="11"/>
  <c r="AE1450" i="4"/>
  <c r="AE1457" i="4" s="1"/>
  <c r="CM44" i="66"/>
  <c r="CM40" i="66" s="1"/>
  <c r="CM46" i="66" s="1"/>
  <c r="CM101" i="67"/>
  <c r="CN95" i="11"/>
  <c r="CM100" i="67"/>
  <c r="AF95" i="67"/>
  <c r="CM1364" i="4"/>
  <c r="CM1365" i="4" s="1"/>
  <c r="CN1231" i="4"/>
  <c r="CN1167" i="4"/>
  <c r="CN1168" i="4" s="1"/>
  <c r="CN1260" i="4"/>
  <c r="CN42" i="62"/>
  <c r="CN85" i="11"/>
  <c r="AE28" i="67"/>
  <c r="AE25" i="67" s="1"/>
  <c r="AE37" i="67" s="1"/>
  <c r="CN1051" i="4"/>
  <c r="CN500" i="4"/>
  <c r="CN386" i="4"/>
  <c r="CN387" i="4" s="1"/>
  <c r="CN489" i="4"/>
  <c r="CM48" i="66" l="1"/>
  <c r="AE39" i="67"/>
  <c r="AE40" i="67" s="1"/>
  <c r="CM99" i="11"/>
  <c r="CN52" i="62"/>
  <c r="CN43" i="62"/>
  <c r="CN23" i="62" s="1"/>
  <c r="AE99" i="67"/>
  <c r="CM1266" i="4"/>
  <c r="CN388" i="4"/>
  <c r="CN389" i="4" s="1"/>
  <c r="CO384" i="4" s="1"/>
  <c r="CN501" i="4"/>
  <c r="CN502" i="4" s="1"/>
  <c r="CN490" i="4"/>
  <c r="CN491" i="4" s="1"/>
  <c r="CN26" i="11"/>
  <c r="CO1163" i="4"/>
  <c r="CM1386" i="4"/>
  <c r="CM1383" i="4" s="1"/>
  <c r="CM23" i="11"/>
  <c r="CM39" i="11" s="1"/>
  <c r="CM40" i="11" s="1"/>
  <c r="I39" i="67" l="1"/>
  <c r="AF40" i="67"/>
  <c r="I40" i="67" s="1"/>
  <c r="CO488" i="4"/>
  <c r="CN15" i="11"/>
  <c r="CN13" i="11" s="1"/>
  <c r="CN16" i="66"/>
  <c r="CN14" i="66" s="1"/>
  <c r="CN13" i="66" s="1"/>
  <c r="CM1439" i="4"/>
  <c r="CM1440" i="4" s="1"/>
  <c r="CM1396" i="4"/>
  <c r="CM1391" i="4" s="1"/>
  <c r="CN51" i="11"/>
  <c r="CN64" i="62"/>
  <c r="CN1024" i="4"/>
  <c r="CN1026" i="4" s="1"/>
  <c r="CN1027" i="4" s="1"/>
  <c r="CN1028" i="4" s="1"/>
  <c r="CO499" i="4"/>
  <c r="CN907" i="4" l="1"/>
  <c r="CN911" i="4" s="1"/>
  <c r="CN62" i="64"/>
  <c r="CO1023" i="4"/>
  <c r="CN78" i="64" l="1"/>
  <c r="CN70" i="64"/>
  <c r="CN1043" i="4"/>
  <c r="CN71" i="11"/>
  <c r="CN915" i="4"/>
  <c r="CN1217" i="4"/>
  <c r="CN1221" i="4" s="1"/>
  <c r="CN1243" i="4"/>
  <c r="CN996" i="4" l="1"/>
  <c r="CN1000" i="4" s="1"/>
  <c r="CN1004" i="4" s="1"/>
  <c r="CN47" i="11"/>
  <c r="CN61" i="11" l="1"/>
  <c r="CN62" i="11"/>
  <c r="CN48" i="11"/>
  <c r="CN55" i="11" s="1"/>
  <c r="CN1005" i="4"/>
  <c r="CN1016" i="4" s="1"/>
  <c r="CN1013" i="4" s="1"/>
  <c r="CN1006" i="4" s="1"/>
  <c r="CN1007" i="4" s="1"/>
  <c r="CN1012" i="4"/>
  <c r="CN1014" i="4" l="1"/>
  <c r="CO1011" i="4" s="1"/>
  <c r="CN62" i="62"/>
  <c r="CN63" i="62" s="1"/>
  <c r="CN67" i="62" s="1"/>
  <c r="CN1395" i="4"/>
  <c r="CN64" i="11"/>
  <c r="CN61" i="64"/>
  <c r="CN75" i="11"/>
  <c r="CN56" i="11"/>
  <c r="CN57" i="11" s="1"/>
  <c r="CN1246" i="4"/>
  <c r="CN1046" i="4"/>
  <c r="CN1053" i="4" s="1"/>
  <c r="CN1055" i="4" s="1"/>
  <c r="CN1058" i="4" s="1"/>
  <c r="CN1222" i="4"/>
  <c r="CN1223" i="4" s="1"/>
  <c r="CN63" i="11"/>
  <c r="CN1394" i="4" l="1"/>
  <c r="CN1206" i="4"/>
  <c r="CN77" i="64"/>
  <c r="CN82" i="64" s="1"/>
  <c r="CN69" i="64"/>
  <c r="CN74" i="64" s="1"/>
  <c r="CN66" i="64"/>
  <c r="CN40" i="64" s="1"/>
  <c r="CN42" i="64" s="1"/>
  <c r="CN1236" i="4"/>
  <c r="CN68" i="62"/>
  <c r="CN1116" i="4" l="1"/>
  <c r="CN1117" i="4" s="1"/>
  <c r="CN1119" i="4" s="1"/>
  <c r="CN1121" i="4" s="1"/>
  <c r="CN1087" i="4" s="1"/>
  <c r="CN52" i="64"/>
  <c r="CN49" i="64"/>
  <c r="CN1137" i="4" l="1"/>
  <c r="CN1088" i="4"/>
  <c r="CO1085" i="4" l="1"/>
  <c r="CO1130" i="4"/>
  <c r="CN38" i="66"/>
  <c r="CN1247" i="4"/>
  <c r="CN88" i="11"/>
  <c r="CN1225" i="4"/>
  <c r="CN1226" i="4" s="1"/>
  <c r="CN1347" i="4"/>
  <c r="CN1138" i="4"/>
  <c r="CN1404" i="4"/>
  <c r="CN1194" i="4" l="1"/>
  <c r="CN1204" i="4"/>
  <c r="CO1135" i="4"/>
  <c r="CN1428" i="4"/>
  <c r="CN1412" i="4"/>
  <c r="CN1438" i="4"/>
  <c r="CN31" i="11"/>
  <c r="CO1148" i="4"/>
  <c r="I1148" i="4" s="1"/>
  <c r="I1130" i="4"/>
  <c r="CO1086" i="4"/>
  <c r="CN1413" i="4" l="1"/>
  <c r="CN1422" i="4" s="1"/>
  <c r="CO1415" i="4"/>
  <c r="CO1136" i="4"/>
  <c r="CO1129" i="4"/>
  <c r="I1086" i="4"/>
  <c r="CO1125" i="4"/>
  <c r="CO1101" i="4"/>
  <c r="CN30" i="11"/>
  <c r="CN45" i="62"/>
  <c r="CN1197" i="4"/>
  <c r="CN1198" i="4" s="1"/>
  <c r="CN1188" i="4" s="1"/>
  <c r="CN1175" i="4"/>
  <c r="CN1180" i="4" l="1"/>
  <c r="CN1184" i="4"/>
  <c r="CN1191" i="4" s="1"/>
  <c r="CN1189" i="4"/>
  <c r="CN1187" i="4"/>
  <c r="CN1176" i="4" s="1"/>
  <c r="CO1102" i="4"/>
  <c r="CO1112" i="4"/>
  <c r="CO1103" i="4"/>
  <c r="I1101" i="4"/>
  <c r="CO1147" i="4"/>
  <c r="I1129" i="4"/>
  <c r="CO87" i="11"/>
  <c r="I87" i="11" s="1"/>
  <c r="CO1346" i="4"/>
  <c r="CO18" i="66"/>
  <c r="CO1233" i="4"/>
  <c r="I1233" i="4" s="1"/>
  <c r="CO1259" i="4"/>
  <c r="E1273" i="4"/>
  <c r="I1136" i="4"/>
  <c r="AF87" i="67"/>
  <c r="I87" i="67" s="1"/>
  <c r="CN1418" i="4"/>
  <c r="CN1416" i="4"/>
  <c r="CN1419" i="4" l="1"/>
  <c r="CO1141" i="4"/>
  <c r="I1112" i="4"/>
  <c r="CO1104" i="4"/>
  <c r="I1102" i="4"/>
  <c r="CN1227" i="4"/>
  <c r="CN1195" i="4"/>
  <c r="CN1199" i="4" s="1"/>
  <c r="CN1177" i="4" s="1"/>
  <c r="CN74" i="11"/>
  <c r="CN78" i="11" s="1"/>
  <c r="CN1250" i="4"/>
  <c r="CN1309" i="4"/>
  <c r="CN36" i="66"/>
  <c r="L14" i="13"/>
  <c r="I1346" i="4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CO1149" i="4"/>
  <c r="I1147" i="4"/>
  <c r="CN1232" i="4"/>
  <c r="CN86" i="11"/>
  <c r="CN1261" i="4"/>
  <c r="CN19" i="66"/>
  <c r="CN17" i="66" s="1"/>
  <c r="CN1403" i="4"/>
  <c r="CN1406" i="4" s="1"/>
  <c r="H143" i="15"/>
  <c r="G143" i="15" s="1"/>
  <c r="I18" i="66"/>
  <c r="I1259" i="4"/>
  <c r="CO1092" i="4"/>
  <c r="I1103" i="4"/>
  <c r="CN1344" i="4" l="1"/>
  <c r="CN1308" i="4"/>
  <c r="CN1311" i="4" s="1"/>
  <c r="CO1218" i="4"/>
  <c r="I1218" i="4" s="1"/>
  <c r="CO72" i="11"/>
  <c r="I72" i="11" s="1"/>
  <c r="CO1045" i="4"/>
  <c r="I1045" i="4" s="1"/>
  <c r="CO37" i="66"/>
  <c r="CO50" i="11"/>
  <c r="CO999" i="4"/>
  <c r="I999" i="4" s="1"/>
  <c r="CO1249" i="4"/>
  <c r="I1249" i="4" s="1"/>
  <c r="CO297" i="4"/>
  <c r="I1149" i="4"/>
  <c r="AF72" i="67"/>
  <c r="I72" i="67" s="1"/>
  <c r="CN39" i="66"/>
  <c r="CN35" i="66" s="1"/>
  <c r="CN1228" i="4"/>
  <c r="CN1205" i="4" s="1"/>
  <c r="CN89" i="11"/>
  <c r="CN1251" i="4"/>
  <c r="I14" i="13"/>
  <c r="CO1120" i="4"/>
  <c r="I1120" i="4" s="1"/>
  <c r="CO1113" i="4"/>
  <c r="I1104" i="4"/>
  <c r="CO1142" i="4"/>
  <c r="CO1143" i="4"/>
  <c r="CO997" i="4"/>
  <c r="I997" i="4" s="1"/>
  <c r="I1141" i="4"/>
  <c r="CO1093" i="4"/>
  <c r="I1092" i="4"/>
  <c r="CN1178" i="4"/>
  <c r="CN1207" i="4" l="1"/>
  <c r="CN1209" i="4" s="1"/>
  <c r="CO1144" i="4"/>
  <c r="I1113" i="4"/>
  <c r="CN1313" i="4"/>
  <c r="CN1325" i="4"/>
  <c r="CO1111" i="4"/>
  <c r="I1111" i="4" s="1"/>
  <c r="I1093" i="4"/>
  <c r="CO53" i="11"/>
  <c r="I1143" i="4"/>
  <c r="AF53" i="67"/>
  <c r="CN1348" i="4"/>
  <c r="CN27" i="11"/>
  <c r="CO1173" i="4"/>
  <c r="CN1429" i="4"/>
  <c r="I297" i="4"/>
  <c r="CO305" i="4"/>
  <c r="CO330" i="4" s="1"/>
  <c r="CO294" i="4"/>
  <c r="I1142" i="4"/>
  <c r="CO49" i="11"/>
  <c r="I49" i="11" s="1"/>
  <c r="I50" i="11"/>
  <c r="AF50" i="67"/>
  <c r="H163" i="15"/>
  <c r="I37" i="66"/>
  <c r="M163" i="15"/>
  <c r="CO299" i="4" l="1"/>
  <c r="I299" i="4" s="1"/>
  <c r="I294" i="4"/>
  <c r="CO302" i="4"/>
  <c r="CN1363" i="4"/>
  <c r="CN1326" i="4"/>
  <c r="CN1327" i="4" s="1"/>
  <c r="AF52" i="67"/>
  <c r="I52" i="67" s="1"/>
  <c r="I53" i="67"/>
  <c r="CO456" i="4"/>
  <c r="CO478" i="4"/>
  <c r="CO467" i="4"/>
  <c r="I330" i="4"/>
  <c r="CO1224" i="4"/>
  <c r="I1224" i="4" s="1"/>
  <c r="CO73" i="11"/>
  <c r="I73" i="11" s="1"/>
  <c r="CO1248" i="4"/>
  <c r="I1248" i="4" s="1"/>
  <c r="CO1044" i="4"/>
  <c r="I1144" i="4"/>
  <c r="AF23" i="13"/>
  <c r="AF73" i="67"/>
  <c r="I73" i="67" s="1"/>
  <c r="G163" i="15"/>
  <c r="CN1432" i="4"/>
  <c r="CN1430" i="4"/>
  <c r="CN1431" i="4" s="1"/>
  <c r="CO52" i="11"/>
  <c r="I52" i="11" s="1"/>
  <c r="I53" i="11"/>
  <c r="CN1208" i="4"/>
  <c r="AF49" i="67"/>
  <c r="I49" i="67" s="1"/>
  <c r="I50" i="67"/>
  <c r="CN1252" i="4"/>
  <c r="CN1229" i="4"/>
  <c r="CN1230" i="4" s="1"/>
  <c r="CN1234" i="4" s="1"/>
  <c r="CO1213" i="4" s="1"/>
  <c r="CN58" i="11"/>
  <c r="CN59" i="11" s="1"/>
  <c r="CN28" i="11" s="1"/>
  <c r="CN25" i="11" s="1"/>
  <c r="CN48" i="62"/>
  <c r="CN24" i="62" s="1"/>
  <c r="CN90" i="11"/>
  <c r="CN91" i="11" s="1"/>
  <c r="CN93" i="11" s="1"/>
  <c r="CN96" i="11" s="1"/>
  <c r="CN97" i="11" s="1"/>
  <c r="CN22" i="66"/>
  <c r="CN1397" i="4" l="1"/>
  <c r="CN1392" i="4" s="1"/>
  <c r="CN1398" i="4"/>
  <c r="CN1393" i="4" s="1"/>
  <c r="CN37" i="11"/>
  <c r="CO480" i="4"/>
  <c r="CO481" i="4" s="1"/>
  <c r="I478" i="4"/>
  <c r="CO458" i="4"/>
  <c r="CO459" i="4" s="1"/>
  <c r="I456" i="4"/>
  <c r="CN1364" i="4"/>
  <c r="CN1365" i="4" s="1"/>
  <c r="CN100" i="67"/>
  <c r="CN100" i="11"/>
  <c r="CN1385" i="4"/>
  <c r="CN1384" i="4" s="1"/>
  <c r="CN46" i="62"/>
  <c r="CN1253" i="4"/>
  <c r="CN1254" i="4" s="1"/>
  <c r="CN101" i="67"/>
  <c r="CN21" i="11"/>
  <c r="CN17" i="11" s="1"/>
  <c r="CN24" i="66"/>
  <c r="CN20" i="66" s="1"/>
  <c r="CN26" i="66" s="1"/>
  <c r="CN101" i="11"/>
  <c r="CO95" i="11"/>
  <c r="CN1263" i="4"/>
  <c r="CN1264" i="4" s="1"/>
  <c r="CN44" i="66"/>
  <c r="CN40" i="66" s="1"/>
  <c r="CN46" i="66" s="1"/>
  <c r="CN26" i="62"/>
  <c r="CO331" i="4"/>
  <c r="CO307" i="4"/>
  <c r="CO1051" i="4"/>
  <c r="I1051" i="4" s="1"/>
  <c r="CO1067" i="4"/>
  <c r="I1044" i="4"/>
  <c r="CO469" i="4"/>
  <c r="CO470" i="4" s="1"/>
  <c r="I467" i="4"/>
  <c r="CO332" i="4" l="1"/>
  <c r="CO14" i="11" s="1"/>
  <c r="CN99" i="11"/>
  <c r="CN1266" i="4"/>
  <c r="CN48" i="66"/>
  <c r="CO494" i="4"/>
  <c r="CO460" i="4"/>
  <c r="CO461" i="4" s="1"/>
  <c r="I459" i="4"/>
  <c r="CO471" i="4"/>
  <c r="CO472" i="4" s="1"/>
  <c r="I470" i="4"/>
  <c r="CO482" i="4"/>
  <c r="CO483" i="4" s="1"/>
  <c r="I481" i="4"/>
  <c r="CO1158" i="4"/>
  <c r="CO1157" i="4"/>
  <c r="CO1068" i="4"/>
  <c r="I1068" i="4" s="1"/>
  <c r="I1067" i="4"/>
  <c r="I331" i="4"/>
  <c r="CO385" i="4"/>
  <c r="CO395" i="4"/>
  <c r="CO405" i="4"/>
  <c r="CN1386" i="4"/>
  <c r="CN1383" i="4" s="1"/>
  <c r="CN23" i="11"/>
  <c r="CN39" i="11" s="1"/>
  <c r="CN40" i="11" s="1"/>
  <c r="CO406" i="4" l="1"/>
  <c r="CO407" i="4" s="1"/>
  <c r="I405" i="4"/>
  <c r="CO386" i="4"/>
  <c r="CO387" i="4" s="1"/>
  <c r="CO500" i="4"/>
  <c r="CO489" i="4"/>
  <c r="I385" i="4"/>
  <c r="CN1439" i="4"/>
  <c r="CN1440" i="4" s="1"/>
  <c r="CN1396" i="4"/>
  <c r="CN1391" i="4" s="1"/>
  <c r="CO1159" i="4"/>
  <c r="I1159" i="4" s="1"/>
  <c r="CO1164" i="4"/>
  <c r="I1157" i="4"/>
  <c r="CO396" i="4"/>
  <c r="CO397" i="4" s="1"/>
  <c r="I395" i="4"/>
  <c r="CO1174" i="4"/>
  <c r="I1158" i="4"/>
  <c r="CO994" i="4"/>
  <c r="I494" i="4"/>
  <c r="I489" i="4" l="1"/>
  <c r="I1174" i="4"/>
  <c r="I500" i="4"/>
  <c r="CO1260" i="4"/>
  <c r="CO1231" i="4"/>
  <c r="I1231" i="4" s="1"/>
  <c r="CO85" i="11"/>
  <c r="CO1167" i="4"/>
  <c r="CO42" i="62"/>
  <c r="I1164" i="4"/>
  <c r="AF85" i="67"/>
  <c r="CO501" i="4"/>
  <c r="I501" i="4" s="1"/>
  <c r="CO388" i="4"/>
  <c r="CO389" i="4" s="1"/>
  <c r="CO490" i="4"/>
  <c r="I387" i="4"/>
  <c r="CO398" i="4"/>
  <c r="CO399" i="4" s="1"/>
  <c r="I397" i="4"/>
  <c r="I994" i="4"/>
  <c r="CO408" i="4"/>
  <c r="CO409" i="4" s="1"/>
  <c r="I407" i="4"/>
  <c r="CO52" i="62" l="1"/>
  <c r="I42" i="62"/>
  <c r="CO43" i="62"/>
  <c r="I1260" i="4"/>
  <c r="I1167" i="4"/>
  <c r="E1271" i="4"/>
  <c r="CO1168" i="4"/>
  <c r="CO64" i="62"/>
  <c r="I64" i="62" s="1"/>
  <c r="CO51" i="11"/>
  <c r="I51" i="11" s="1"/>
  <c r="I490" i="4"/>
  <c r="AF51" i="67"/>
  <c r="I51" i="67" s="1"/>
  <c r="I85" i="11"/>
  <c r="CO491" i="4"/>
  <c r="CO15" i="11" s="1"/>
  <c r="CO13" i="11" s="1"/>
  <c r="I85" i="67"/>
  <c r="CO502" i="4"/>
  <c r="CO1024" i="4" s="1"/>
  <c r="CO1026" i="4" s="1"/>
  <c r="CO1027" i="4" s="1"/>
  <c r="CO1028" i="4" s="1"/>
  <c r="CO26" i="11" l="1"/>
  <c r="CO23" i="62"/>
  <c r="I43" i="62"/>
  <c r="CO62" i="64"/>
  <c r="CO907" i="4"/>
  <c r="I1028" i="4"/>
  <c r="CO78" i="64" l="1"/>
  <c r="CO70" i="64"/>
  <c r="CO16" i="66"/>
  <c r="I23" i="62"/>
  <c r="CO911" i="4"/>
  <c r="I907" i="4"/>
  <c r="CO915" i="4" l="1"/>
  <c r="CO1043" i="4"/>
  <c r="CO1243" i="4"/>
  <c r="CO71" i="11"/>
  <c r="CO1217" i="4"/>
  <c r="I911" i="4"/>
  <c r="AF40" i="13"/>
  <c r="AF71" i="67"/>
  <c r="I16" i="66"/>
  <c r="CO14" i="66"/>
  <c r="I71" i="67" l="1"/>
  <c r="I40" i="13"/>
  <c r="I1217" i="4"/>
  <c r="CO1221" i="4"/>
  <c r="I1243" i="4"/>
  <c r="I71" i="11"/>
  <c r="I1043" i="4"/>
  <c r="CO13" i="66"/>
  <c r="I14" i="66"/>
  <c r="CO996" i="4"/>
  <c r="CO47" i="11"/>
  <c r="I915" i="4"/>
  <c r="AF47" i="67"/>
  <c r="AF20" i="72"/>
  <c r="I20" i="72" s="1"/>
  <c r="I996" i="4" l="1"/>
  <c r="CO1000" i="4"/>
  <c r="CO62" i="11"/>
  <c r="CO48" i="11"/>
  <c r="CO61" i="11"/>
  <c r="I47" i="11"/>
  <c r="I13" i="66"/>
  <c r="I28" i="66" s="1"/>
  <c r="I27" i="66" s="1"/>
  <c r="R18" i="72"/>
  <c r="S18" i="72"/>
  <c r="T18" i="72"/>
  <c r="U18" i="72"/>
  <c r="V18" i="72"/>
  <c r="W18" i="72"/>
  <c r="X18" i="72"/>
  <c r="Y18" i="72"/>
  <c r="Z18" i="72"/>
  <c r="AA18" i="72"/>
  <c r="AB18" i="72"/>
  <c r="AC18" i="72"/>
  <c r="AD18" i="72"/>
  <c r="AE18" i="72"/>
  <c r="AF18" i="72"/>
  <c r="AF48" i="67"/>
  <c r="AF62" i="67"/>
  <c r="AF61" i="67"/>
  <c r="I47" i="67"/>
  <c r="AF63" i="67" l="1"/>
  <c r="I61" i="67"/>
  <c r="AF64" i="67"/>
  <c r="I62" i="67"/>
  <c r="AF55" i="67"/>
  <c r="I48" i="67"/>
  <c r="CO63" i="11"/>
  <c r="I61" i="11"/>
  <c r="AF1449" i="4"/>
  <c r="CO55" i="11"/>
  <c r="I48" i="11"/>
  <c r="CO62" i="62"/>
  <c r="CO64" i="11"/>
  <c r="CO1395" i="4"/>
  <c r="I62" i="11"/>
  <c r="CO1004" i="4"/>
  <c r="I1000" i="4"/>
  <c r="I18" i="72"/>
  <c r="CO1005" i="4" l="1"/>
  <c r="CO1012" i="4"/>
  <c r="I1004" i="4"/>
  <c r="I55" i="67"/>
  <c r="I62" i="62"/>
  <c r="I55" i="11"/>
  <c r="AF1452" i="4"/>
  <c r="AF1457" i="4"/>
  <c r="E1460" i="4" l="1" a="1"/>
  <c r="E1460" i="4" s="1"/>
  <c r="E1459" i="4" a="1"/>
  <c r="E1459" i="4" s="1"/>
  <c r="I1012" i="4"/>
  <c r="E1454" i="4" a="1"/>
  <c r="E1454" i="4" s="1"/>
  <c r="E1455" i="4" a="1"/>
  <c r="E1455" i="4" s="1"/>
  <c r="CO1016" i="4"/>
  <c r="I1005" i="4"/>
  <c r="I1016" i="4" l="1"/>
  <c r="CO1013" i="4"/>
  <c r="I1013" i="4" l="1"/>
  <c r="CO1014" i="4"/>
  <c r="CO1006" i="4"/>
  <c r="CO1007" i="4" l="1"/>
  <c r="I1006" i="4"/>
  <c r="CO1222" i="4" l="1"/>
  <c r="CO1046" i="4"/>
  <c r="CO61" i="64"/>
  <c r="CO75" i="11"/>
  <c r="I75" i="11" s="1"/>
  <c r="CO1246" i="4"/>
  <c r="CO56" i="11"/>
  <c r="I1007" i="4"/>
  <c r="AF75" i="67"/>
  <c r="I75" i="67" s="1"/>
  <c r="AF41" i="13"/>
  <c r="AF56" i="67"/>
  <c r="CO63" i="62"/>
  <c r="I56" i="11" l="1"/>
  <c r="CO57" i="11"/>
  <c r="I63" i="62"/>
  <c r="CO67" i="62"/>
  <c r="I1246" i="4"/>
  <c r="CO77" i="64"/>
  <c r="CO82" i="64" s="1"/>
  <c r="CO66" i="64"/>
  <c r="CO40" i="64" s="1"/>
  <c r="CO42" i="64" s="1"/>
  <c r="CO69" i="64"/>
  <c r="CO74" i="64" s="1"/>
  <c r="I56" i="67"/>
  <c r="AF57" i="67"/>
  <c r="I1046" i="4"/>
  <c r="CO1053" i="4"/>
  <c r="I41" i="13"/>
  <c r="AF43" i="13"/>
  <c r="I1222" i="4"/>
  <c r="CO1223" i="4"/>
  <c r="I43" i="13" l="1"/>
  <c r="CO1055" i="4"/>
  <c r="I1053" i="4"/>
  <c r="CO52" i="64"/>
  <c r="CO49" i="64"/>
  <c r="I67" i="62"/>
  <c r="L68" i="62" s="1"/>
  <c r="CO68" i="62"/>
  <c r="I57" i="67"/>
  <c r="CO1394" i="4"/>
  <c r="I57" i="11"/>
  <c r="CO1206" i="4"/>
  <c r="CO1236" i="4"/>
  <c r="I68" i="62" l="1"/>
  <c r="CO1116" i="4"/>
  <c r="CO1058" i="4"/>
  <c r="E1058" i="4" s="1"/>
  <c r="I1055" i="4"/>
  <c r="CO1117" i="4" l="1"/>
  <c r="I1116" i="4"/>
  <c r="CO1119" i="4" l="1"/>
  <c r="I1117" i="4"/>
  <c r="CO1121" i="4" l="1"/>
  <c r="I1119" i="4"/>
  <c r="I1121" i="4" l="1"/>
  <c r="CO1087" i="4"/>
  <c r="CO1137" i="4" l="1"/>
  <c r="I1087" i="4"/>
  <c r="C16" i="9" s="1"/>
  <c r="M19" i="15" s="1"/>
  <c r="CO1088" i="4"/>
  <c r="M45" i="13" l="1"/>
  <c r="CO1225" i="4"/>
  <c r="CO1404" i="4"/>
  <c r="CO38" i="66"/>
  <c r="CO1247" i="4"/>
  <c r="CO1347" i="4"/>
  <c r="CO88" i="11"/>
  <c r="I88" i="11" s="1"/>
  <c r="P45" i="13"/>
  <c r="P49" i="13" s="1"/>
  <c r="I1137" i="4"/>
  <c r="Q45" i="13"/>
  <c r="Q49" i="13" s="1"/>
  <c r="R45" i="13"/>
  <c r="R49" i="13" s="1"/>
  <c r="S45" i="13"/>
  <c r="S49" i="13" s="1"/>
  <c r="T45" i="13"/>
  <c r="T49" i="13" s="1"/>
  <c r="U45" i="13"/>
  <c r="U49" i="13" s="1"/>
  <c r="V45" i="13"/>
  <c r="V49" i="13" s="1"/>
  <c r="W45" i="13"/>
  <c r="W49" i="13" s="1"/>
  <c r="X45" i="13"/>
  <c r="X49" i="13" s="1"/>
  <c r="Y45" i="13"/>
  <c r="Y49" i="13" s="1"/>
  <c r="Z45" i="13"/>
  <c r="Z49" i="13" s="1"/>
  <c r="AA45" i="13"/>
  <c r="AA49" i="13" s="1"/>
  <c r="AB45" i="13"/>
  <c r="AB49" i="13" s="1"/>
  <c r="AC45" i="13"/>
  <c r="AC49" i="13" s="1"/>
  <c r="AD45" i="13"/>
  <c r="AD49" i="13" s="1"/>
  <c r="AE45" i="13"/>
  <c r="AE49" i="13" s="1"/>
  <c r="AF88" i="67"/>
  <c r="I88" i="67" s="1"/>
  <c r="AF24" i="13"/>
  <c r="CO1138" i="4"/>
  <c r="AF45" i="13"/>
  <c r="AF49" i="13" s="1"/>
  <c r="CO31" i="11" l="1"/>
  <c r="CO1438" i="4"/>
  <c r="CO1428" i="4"/>
  <c r="CO1412" i="4"/>
  <c r="L15" i="13"/>
  <c r="I1347" i="4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I1247" i="4"/>
  <c r="H164" i="15"/>
  <c r="I38" i="66"/>
  <c r="M164" i="15"/>
  <c r="I1225" i="4"/>
  <c r="CO1226" i="4"/>
  <c r="M49" i="13"/>
  <c r="I49" i="13" s="1"/>
  <c r="I45" i="13"/>
  <c r="CO1194" i="4" l="1"/>
  <c r="CO1204" i="4"/>
  <c r="Z18" i="13"/>
  <c r="Z17" i="13"/>
  <c r="R18" i="13"/>
  <c r="R17" i="13"/>
  <c r="Y17" i="13"/>
  <c r="Y18" i="13"/>
  <c r="Q17" i="13"/>
  <c r="Q18" i="13"/>
  <c r="X17" i="13"/>
  <c r="X18" i="13"/>
  <c r="AE17" i="13"/>
  <c r="AE18" i="13"/>
  <c r="W18" i="13"/>
  <c r="W17" i="13"/>
  <c r="I15" i="13"/>
  <c r="L17" i="13"/>
  <c r="L18" i="13"/>
  <c r="AD18" i="13"/>
  <c r="AD17" i="13"/>
  <c r="V18" i="13"/>
  <c r="V17" i="13"/>
  <c r="CO1413" i="4"/>
  <c r="CO1422" i="4" s="1"/>
  <c r="G1412" i="4"/>
  <c r="AC18" i="13"/>
  <c r="AC17" i="13"/>
  <c r="U18" i="13"/>
  <c r="U17" i="13"/>
  <c r="AB17" i="13"/>
  <c r="AB18" i="13"/>
  <c r="T18" i="13"/>
  <c r="T17" i="13"/>
  <c r="G164" i="15"/>
  <c r="AA17" i="13"/>
  <c r="AA18" i="13"/>
  <c r="S18" i="13"/>
  <c r="S17" i="13"/>
  <c r="CO45" i="62"/>
  <c r="I45" i="62" s="1"/>
  <c r="CO30" i="11"/>
  <c r="S19" i="13" l="1"/>
  <c r="R19" i="13"/>
  <c r="Y19" i="13"/>
  <c r="AA19" i="13"/>
  <c r="U19" i="13"/>
  <c r="AD19" i="13"/>
  <c r="X19" i="13"/>
  <c r="Q19" i="13"/>
  <c r="V19" i="13"/>
  <c r="AE19" i="13"/>
  <c r="T19" i="13"/>
  <c r="AC19" i="13"/>
  <c r="Z19" i="13"/>
  <c r="L19" i="13"/>
  <c r="AB19" i="13"/>
  <c r="CO1418" i="4"/>
  <c r="G1413" i="4"/>
  <c r="CO1416" i="4"/>
  <c r="W19" i="13"/>
  <c r="CO1175" i="4"/>
  <c r="CO1197" i="4"/>
  <c r="CO1198" i="4" s="1"/>
  <c r="CO1188" i="4" s="1"/>
  <c r="CO1419" i="4" l="1"/>
  <c r="V1420" i="4" s="1"/>
  <c r="CO1187" i="4"/>
  <c r="CO1189" i="4"/>
  <c r="I1188" i="4"/>
  <c r="I1175" i="4"/>
  <c r="CO1180" i="4"/>
  <c r="CO1184" i="4"/>
  <c r="N1420" i="4" l="1"/>
  <c r="CK1420" i="4"/>
  <c r="BX1420" i="4"/>
  <c r="AE1420" i="4"/>
  <c r="AE1422" i="4" s="1"/>
  <c r="BP1420" i="4"/>
  <c r="CF1420" i="4"/>
  <c r="W1420" i="4"/>
  <c r="BH1420" i="4"/>
  <c r="AZ1420" i="4"/>
  <c r="AZ1422" i="4" s="1"/>
  <c r="AV1420" i="4"/>
  <c r="AV1422" i="4" s="1"/>
  <c r="AL1420" i="4"/>
  <c r="AL1422" i="4" s="1"/>
  <c r="BW1420" i="4"/>
  <c r="AW1420" i="4"/>
  <c r="AW1422" i="4" s="1"/>
  <c r="AO1420" i="4"/>
  <c r="AO1422" i="4" s="1"/>
  <c r="CO1420" i="4"/>
  <c r="CM1420" i="4"/>
  <c r="CD1420" i="4"/>
  <c r="BV1420" i="4"/>
  <c r="BN1420" i="4"/>
  <c r="BF1420" i="4"/>
  <c r="BF1422" i="4" s="1"/>
  <c r="AX1420" i="4"/>
  <c r="AX1422" i="4" s="1"/>
  <c r="AA1420" i="4"/>
  <c r="AM1420" i="4"/>
  <c r="AM1422" i="4" s="1"/>
  <c r="AI1420" i="4"/>
  <c r="AI1422" i="4" s="1"/>
  <c r="AR1420" i="4"/>
  <c r="AR1422" i="4" s="1"/>
  <c r="BO1420" i="4"/>
  <c r="Z1420" i="4"/>
  <c r="CJ1420" i="4"/>
  <c r="CC1420" i="4"/>
  <c r="BU1420" i="4"/>
  <c r="BM1420" i="4"/>
  <c r="BE1420" i="4"/>
  <c r="BE1422" i="4" s="1"/>
  <c r="P1420" i="4"/>
  <c r="AD1420" i="4"/>
  <c r="AD1422" i="4" s="1"/>
  <c r="R1420" i="4"/>
  <c r="T1420" i="4"/>
  <c r="AU1420" i="4"/>
  <c r="AU1422" i="4" s="1"/>
  <c r="BG1420" i="4"/>
  <c r="BG1422" i="4" s="1"/>
  <c r="CN1420" i="4"/>
  <c r="CB1420" i="4"/>
  <c r="BT1420" i="4"/>
  <c r="BL1420" i="4"/>
  <c r="BD1420" i="4"/>
  <c r="BD1422" i="4" s="1"/>
  <c r="X1420" i="4"/>
  <c r="AS1420" i="4"/>
  <c r="AS1422" i="4" s="1"/>
  <c r="Q1420" i="4"/>
  <c r="Y1420" i="4"/>
  <c r="AQ1420" i="4"/>
  <c r="AQ1422" i="4" s="1"/>
  <c r="CE1420" i="4"/>
  <c r="AH1420" i="4"/>
  <c r="AH1422" i="4" s="1"/>
  <c r="O1420" i="4"/>
  <c r="CL1420" i="4"/>
  <c r="AT1420" i="4"/>
  <c r="AT1422" i="4" s="1"/>
  <c r="CA1420" i="4"/>
  <c r="BK1420" i="4"/>
  <c r="L1420" i="4"/>
  <c r="AF1420" i="4"/>
  <c r="AF1422" i="4" s="1"/>
  <c r="CH1420" i="4"/>
  <c r="BZ1420" i="4"/>
  <c r="BR1420" i="4"/>
  <c r="BJ1420" i="4"/>
  <c r="BB1420" i="4"/>
  <c r="BB1422" i="4" s="1"/>
  <c r="AK1420" i="4"/>
  <c r="AK1422" i="4" s="1"/>
  <c r="AN1420" i="4"/>
  <c r="AN1422" i="4" s="1"/>
  <c r="AP1420" i="4"/>
  <c r="AP1422" i="4" s="1"/>
  <c r="AG1420" i="4"/>
  <c r="AG1422" i="4" s="1"/>
  <c r="AB1420" i="4"/>
  <c r="AY1420" i="4"/>
  <c r="AY1422" i="4" s="1"/>
  <c r="CI1420" i="4"/>
  <c r="BS1420" i="4"/>
  <c r="BC1420" i="4"/>
  <c r="BC1422" i="4" s="1"/>
  <c r="AJ1420" i="4"/>
  <c r="AJ1422" i="4" s="1"/>
  <c r="CG1420" i="4"/>
  <c r="BY1420" i="4"/>
  <c r="BQ1420" i="4"/>
  <c r="BI1420" i="4"/>
  <c r="BA1420" i="4"/>
  <c r="BA1422" i="4" s="1"/>
  <c r="S1420" i="4"/>
  <c r="AC1420" i="4"/>
  <c r="AC1422" i="4" s="1"/>
  <c r="U1420" i="4"/>
  <c r="M1420" i="4"/>
  <c r="CO1191" i="4"/>
  <c r="E1191" i="4" s="1"/>
  <c r="C15" i="9" s="1"/>
  <c r="M18" i="15" s="1"/>
  <c r="I1184" i="4"/>
  <c r="CO1261" i="4"/>
  <c r="CO19" i="66"/>
  <c r="CO1232" i="4"/>
  <c r="I1232" i="4" s="1"/>
  <c r="CO86" i="11"/>
  <c r="I1180" i="4"/>
  <c r="E1272" i="4"/>
  <c r="E1274" i="4" s="1"/>
  <c r="AF86" i="67"/>
  <c r="CO1403" i="4"/>
  <c r="CO1406" i="4" s="1"/>
  <c r="CO1250" i="4"/>
  <c r="CO74" i="11"/>
  <c r="CO1195" i="4"/>
  <c r="CO1227" i="4"/>
  <c r="I1189" i="4"/>
  <c r="AF74" i="67"/>
  <c r="CO1309" i="4"/>
  <c r="I1309" i="4" s="1"/>
  <c r="CO36" i="66"/>
  <c r="CO1176" i="4"/>
  <c r="I1176" i="4" s="1"/>
  <c r="I1187" i="4"/>
  <c r="E1408" i="4" l="1" a="1"/>
  <c r="E1408" i="4" s="1"/>
  <c r="E1409" i="4" a="1"/>
  <c r="E1409" i="4" s="1"/>
  <c r="E1425" i="4" a="1"/>
  <c r="E1425" i="4" s="1"/>
  <c r="E1424" i="4" a="1"/>
  <c r="E1424" i="4" s="1"/>
  <c r="E1277" i="4"/>
  <c r="E1288" i="4" s="1"/>
  <c r="E1278" i="4"/>
  <c r="E1276" i="4"/>
  <c r="I74" i="67"/>
  <c r="AF78" i="67"/>
  <c r="I1227" i="4"/>
  <c r="I86" i="11"/>
  <c r="I1195" i="4"/>
  <c r="CO1199" i="4"/>
  <c r="CO1177" i="4" s="1"/>
  <c r="I74" i="11"/>
  <c r="CO78" i="11"/>
  <c r="I19" i="66"/>
  <c r="CO17" i="66"/>
  <c r="I1250" i="4"/>
  <c r="I1261" i="4"/>
  <c r="K162" i="15"/>
  <c r="G162" i="15" s="1"/>
  <c r="I36" i="66"/>
  <c r="X25" i="13"/>
  <c r="Y25" i="13"/>
  <c r="Z25" i="13"/>
  <c r="AA25" i="13"/>
  <c r="AB25" i="13"/>
  <c r="AC25" i="13"/>
  <c r="AD25" i="13"/>
  <c r="AE25" i="13"/>
  <c r="AF25" i="13"/>
  <c r="I86" i="67"/>
  <c r="I17" i="66" l="1"/>
  <c r="W19" i="72"/>
  <c r="X19" i="72"/>
  <c r="Y19" i="72"/>
  <c r="Z19" i="72"/>
  <c r="AA19" i="72"/>
  <c r="AB19" i="72"/>
  <c r="AC19" i="72"/>
  <c r="AD19" i="72"/>
  <c r="AE19" i="72"/>
  <c r="AF19" i="72"/>
  <c r="CO1344" i="4"/>
  <c r="CO1308" i="4"/>
  <c r="I78" i="11"/>
  <c r="I78" i="67"/>
  <c r="CO1178" i="4"/>
  <c r="CO89" i="11"/>
  <c r="CO1251" i="4"/>
  <c r="CO39" i="66"/>
  <c r="CO1228" i="4"/>
  <c r="I1177" i="4"/>
  <c r="C17" i="9" s="1"/>
  <c r="M20" i="15" s="1"/>
  <c r="AF89" i="67"/>
  <c r="E1279" i="4"/>
  <c r="E1289" i="4"/>
  <c r="E1290" i="4" s="1"/>
  <c r="E1291" i="4" s="1"/>
  <c r="E1295" i="4" s="1"/>
  <c r="I19" i="72" l="1"/>
  <c r="I1228" i="4"/>
  <c r="CO1205" i="4"/>
  <c r="CO27" i="11"/>
  <c r="CO1429" i="4"/>
  <c r="H165" i="15"/>
  <c r="G165" i="15" s="1"/>
  <c r="I39" i="66"/>
  <c r="CO35" i="66"/>
  <c r="CO1311" i="4"/>
  <c r="I1308" i="4"/>
  <c r="CM1371" i="4"/>
  <c r="CM1372" i="4" s="1"/>
  <c r="AP1349" i="4"/>
  <c r="AP1350" i="4" s="1"/>
  <c r="AY1371" i="4"/>
  <c r="AY1372" i="4" s="1"/>
  <c r="W1349" i="4"/>
  <c r="W1350" i="4" s="1"/>
  <c r="AP1371" i="4"/>
  <c r="AP1372" i="4" s="1"/>
  <c r="R1349" i="4"/>
  <c r="R1350" i="4" s="1"/>
  <c r="BT1371" i="4"/>
  <c r="BT1372" i="4" s="1"/>
  <c r="AM1349" i="4"/>
  <c r="AM1350" i="4" s="1"/>
  <c r="AR1371" i="4"/>
  <c r="AR1372" i="4" s="1"/>
  <c r="P1371" i="4"/>
  <c r="P1372" i="4" s="1"/>
  <c r="AD1349" i="4"/>
  <c r="AD1350" i="4" s="1"/>
  <c r="BB1371" i="4"/>
  <c r="BB1372" i="4" s="1"/>
  <c r="I18" i="62"/>
  <c r="I58" i="62" s="1"/>
  <c r="AT1349" i="4"/>
  <c r="AT1350" i="4" s="1"/>
  <c r="W1371" i="4"/>
  <c r="W1372" i="4" s="1"/>
  <c r="AH1371" i="4"/>
  <c r="AH1372" i="4" s="1"/>
  <c r="AQ1371" i="4"/>
  <c r="AQ1372" i="4" s="1"/>
  <c r="AT1371" i="4"/>
  <c r="AT1372" i="4" s="1"/>
  <c r="BZ1371" i="4"/>
  <c r="BZ1372" i="4" s="1"/>
  <c r="AK1349" i="4"/>
  <c r="AK1350" i="4" s="1"/>
  <c r="AI1371" i="4"/>
  <c r="AI1372" i="4" s="1"/>
  <c r="AK1371" i="4"/>
  <c r="AK1372" i="4" s="1"/>
  <c r="AV1371" i="4"/>
  <c r="AV1372" i="4" s="1"/>
  <c r="Z1349" i="4"/>
  <c r="Z1350" i="4" s="1"/>
  <c r="U1371" i="4"/>
  <c r="U1372" i="4" s="1"/>
  <c r="BL1371" i="4"/>
  <c r="BL1372" i="4" s="1"/>
  <c r="BA1371" i="4"/>
  <c r="BA1372" i="4" s="1"/>
  <c r="AH1349" i="4"/>
  <c r="AH1350" i="4" s="1"/>
  <c r="R1371" i="4"/>
  <c r="R1372" i="4" s="1"/>
  <c r="Y1349" i="4"/>
  <c r="Y1350" i="4" s="1"/>
  <c r="AG1349" i="4"/>
  <c r="AG1350" i="4" s="1"/>
  <c r="BF1371" i="4"/>
  <c r="BF1372" i="4" s="1"/>
  <c r="AR1349" i="4"/>
  <c r="AR1350" i="4" s="1"/>
  <c r="AS1371" i="4"/>
  <c r="AS1372" i="4" s="1"/>
  <c r="N1371" i="4"/>
  <c r="N1372" i="4" s="1"/>
  <c r="AU1349" i="4"/>
  <c r="AU1350" i="4" s="1"/>
  <c r="T1349" i="4"/>
  <c r="T1350" i="4" s="1"/>
  <c r="CL1371" i="4"/>
  <c r="CL1372" i="4" s="1"/>
  <c r="CB1371" i="4"/>
  <c r="CB1372" i="4" s="1"/>
  <c r="BR1371" i="4"/>
  <c r="BR1372" i="4" s="1"/>
  <c r="CA1371" i="4"/>
  <c r="CA1372" i="4" s="1"/>
  <c r="CO1371" i="4"/>
  <c r="V1349" i="4"/>
  <c r="V1350" i="4" s="1"/>
  <c r="BM1371" i="4"/>
  <c r="BM1372" i="4" s="1"/>
  <c r="BD1371" i="4"/>
  <c r="BD1372" i="4" s="1"/>
  <c r="CJ1371" i="4"/>
  <c r="CJ1372" i="4" s="1"/>
  <c r="AL1371" i="4"/>
  <c r="AL1372" i="4" s="1"/>
  <c r="BC1371" i="4"/>
  <c r="BC1372" i="4" s="1"/>
  <c r="CF1371" i="4"/>
  <c r="CF1372" i="4" s="1"/>
  <c r="X1349" i="4"/>
  <c r="X1350" i="4" s="1"/>
  <c r="AO1349" i="4"/>
  <c r="AO1350" i="4" s="1"/>
  <c r="AN1371" i="4"/>
  <c r="AN1372" i="4" s="1"/>
  <c r="CD1371" i="4"/>
  <c r="CD1372" i="4" s="1"/>
  <c r="BV1371" i="4"/>
  <c r="BV1372" i="4" s="1"/>
  <c r="Q1349" i="4"/>
  <c r="Q1350" i="4" s="1"/>
  <c r="AM1371" i="4"/>
  <c r="AM1372" i="4" s="1"/>
  <c r="AB1349" i="4"/>
  <c r="AB1350" i="4" s="1"/>
  <c r="AC1371" i="4"/>
  <c r="AC1372" i="4" s="1"/>
  <c r="AI1349" i="4"/>
  <c r="AI1350" i="4" s="1"/>
  <c r="BG1371" i="4"/>
  <c r="BG1372" i="4" s="1"/>
  <c r="P1349" i="4"/>
  <c r="P1350" i="4" s="1"/>
  <c r="AE1371" i="4"/>
  <c r="AE1372" i="4" s="1"/>
  <c r="AW1371" i="4"/>
  <c r="AW1372" i="4" s="1"/>
  <c r="CC1371" i="4"/>
  <c r="CC1372" i="4" s="1"/>
  <c r="AX1371" i="4"/>
  <c r="AX1372" i="4" s="1"/>
  <c r="M1371" i="4"/>
  <c r="M1372" i="4" s="1"/>
  <c r="BQ1371" i="4"/>
  <c r="BQ1372" i="4" s="1"/>
  <c r="BS1371" i="4"/>
  <c r="BS1372" i="4" s="1"/>
  <c r="BO1371" i="4"/>
  <c r="BO1372" i="4" s="1"/>
  <c r="AF1349" i="4"/>
  <c r="AF1350" i="4" s="1"/>
  <c r="AW1349" i="4"/>
  <c r="AW1350" i="4" s="1"/>
  <c r="V1371" i="4"/>
  <c r="V1372" i="4" s="1"/>
  <c r="CE1371" i="4"/>
  <c r="CE1372" i="4" s="1"/>
  <c r="BN1371" i="4"/>
  <c r="BN1372" i="4" s="1"/>
  <c r="BK1371" i="4"/>
  <c r="BK1372" i="4" s="1"/>
  <c r="BI1371" i="4"/>
  <c r="BI1372" i="4" s="1"/>
  <c r="X1371" i="4"/>
  <c r="X1372" i="4" s="1"/>
  <c r="AA1371" i="4"/>
  <c r="AA1372" i="4" s="1"/>
  <c r="BJ1371" i="4"/>
  <c r="BJ1372" i="4" s="1"/>
  <c r="AS1349" i="4"/>
  <c r="AS1350" i="4" s="1"/>
  <c r="AU1371" i="4"/>
  <c r="AU1372" i="4" s="1"/>
  <c r="AE1349" i="4"/>
  <c r="AE1350" i="4" s="1"/>
  <c r="S1349" i="4"/>
  <c r="S1350" i="4" s="1"/>
  <c r="CG1371" i="4"/>
  <c r="CG1372" i="4" s="1"/>
  <c r="N1349" i="4"/>
  <c r="N1350" i="4" s="1"/>
  <c r="AO1371" i="4"/>
  <c r="AO1372" i="4" s="1"/>
  <c r="Z1371" i="4"/>
  <c r="Z1372" i="4" s="1"/>
  <c r="T1371" i="4"/>
  <c r="T1372" i="4" s="1"/>
  <c r="AN1349" i="4"/>
  <c r="AN1350" i="4" s="1"/>
  <c r="CK1371" i="4"/>
  <c r="CK1372" i="4" s="1"/>
  <c r="AL1349" i="4"/>
  <c r="AL1350" i="4" s="1"/>
  <c r="AQ1349" i="4"/>
  <c r="AQ1350" i="4" s="1"/>
  <c r="BH1371" i="4"/>
  <c r="BH1372" i="4" s="1"/>
  <c r="BW1371" i="4"/>
  <c r="BW1372" i="4" s="1"/>
  <c r="CI1371" i="4"/>
  <c r="CI1372" i="4" s="1"/>
  <c r="BU1371" i="4"/>
  <c r="BU1372" i="4" s="1"/>
  <c r="AD1371" i="4"/>
  <c r="AD1372" i="4" s="1"/>
  <c r="BP1371" i="4"/>
  <c r="BP1372" i="4" s="1"/>
  <c r="M1349" i="4"/>
  <c r="M1350" i="4" s="1"/>
  <c r="AZ1371" i="4"/>
  <c r="AZ1372" i="4" s="1"/>
  <c r="AA1349" i="4"/>
  <c r="AA1350" i="4" s="1"/>
  <c r="S1371" i="4"/>
  <c r="S1372" i="4" s="1"/>
  <c r="BY1371" i="4"/>
  <c r="BY1372" i="4" s="1"/>
  <c r="AG1371" i="4"/>
  <c r="AG1372" i="4" s="1"/>
  <c r="AJ1349" i="4"/>
  <c r="AJ1350" i="4" s="1"/>
  <c r="CN1371" i="4"/>
  <c r="CN1372" i="4" s="1"/>
  <c r="AV1349" i="4"/>
  <c r="AV1350" i="4" s="1"/>
  <c r="BE1371" i="4"/>
  <c r="BE1372" i="4" s="1"/>
  <c r="CH1371" i="4"/>
  <c r="CH1372" i="4" s="1"/>
  <c r="AF1371" i="4"/>
  <c r="AF1372" i="4" s="1"/>
  <c r="Y1371" i="4"/>
  <c r="Y1372" i="4" s="1"/>
  <c r="L1371" i="4"/>
  <c r="L1372" i="4" s="1"/>
  <c r="O1371" i="4"/>
  <c r="O1372" i="4" s="1"/>
  <c r="E1298" i="4"/>
  <c r="E1301" i="4" s="1"/>
  <c r="BX1371" i="4"/>
  <c r="BX1372" i="4" s="1"/>
  <c r="AB1371" i="4"/>
  <c r="AB1372" i="4" s="1"/>
  <c r="U1349" i="4"/>
  <c r="U1350" i="4" s="1"/>
  <c r="O1349" i="4"/>
  <c r="O1350" i="4" s="1"/>
  <c r="AC1349" i="4"/>
  <c r="AC1350" i="4" s="1"/>
  <c r="Q1371" i="4"/>
  <c r="Q1372" i="4" s="1"/>
  <c r="AJ1371" i="4"/>
  <c r="AJ1372" i="4" s="1"/>
  <c r="AX1349" i="4"/>
  <c r="AX1350" i="4" s="1"/>
  <c r="AY1349" i="4"/>
  <c r="AY1350" i="4" s="1"/>
  <c r="AZ1349" i="4"/>
  <c r="AZ1350" i="4" s="1"/>
  <c r="BA1349" i="4"/>
  <c r="BA1350" i="4" s="1"/>
  <c r="BB1349" i="4"/>
  <c r="BB1350" i="4" s="1"/>
  <c r="BC1349" i="4"/>
  <c r="BC1350" i="4" s="1"/>
  <c r="BD1349" i="4"/>
  <c r="BD1350" i="4" s="1"/>
  <c r="BE1349" i="4"/>
  <c r="BE1350" i="4" s="1"/>
  <c r="BF1349" i="4"/>
  <c r="BF1350" i="4" s="1"/>
  <c r="BG1349" i="4"/>
  <c r="BG1350" i="4" s="1"/>
  <c r="BH1349" i="4"/>
  <c r="BH1350" i="4" s="1"/>
  <c r="BI1349" i="4"/>
  <c r="BI1350" i="4" s="1"/>
  <c r="BJ1349" i="4"/>
  <c r="BJ1350" i="4" s="1"/>
  <c r="BK1349" i="4"/>
  <c r="BK1350" i="4" s="1"/>
  <c r="BL1349" i="4"/>
  <c r="BL1350" i="4" s="1"/>
  <c r="BM1349" i="4"/>
  <c r="BM1350" i="4" s="1"/>
  <c r="BN1349" i="4"/>
  <c r="BN1350" i="4" s="1"/>
  <c r="BO1349" i="4"/>
  <c r="BO1350" i="4" s="1"/>
  <c r="BP1349" i="4"/>
  <c r="BP1350" i="4" s="1"/>
  <c r="BQ1349" i="4"/>
  <c r="BQ1350" i="4" s="1"/>
  <c r="BR1349" i="4"/>
  <c r="BR1350" i="4" s="1"/>
  <c r="BS1349" i="4"/>
  <c r="BS1350" i="4" s="1"/>
  <c r="BT1349" i="4"/>
  <c r="BT1350" i="4" s="1"/>
  <c r="BU1349" i="4"/>
  <c r="BU1350" i="4" s="1"/>
  <c r="BV1349" i="4"/>
  <c r="BV1350" i="4" s="1"/>
  <c r="BW1349" i="4"/>
  <c r="BW1350" i="4" s="1"/>
  <c r="BX1349" i="4"/>
  <c r="BX1350" i="4" s="1"/>
  <c r="BY1349" i="4"/>
  <c r="BY1350" i="4" s="1"/>
  <c r="BZ1349" i="4"/>
  <c r="BZ1350" i="4" s="1"/>
  <c r="CA1349" i="4"/>
  <c r="CA1350" i="4" s="1"/>
  <c r="CB1349" i="4"/>
  <c r="CB1350" i="4" s="1"/>
  <c r="CC1349" i="4"/>
  <c r="CC1350" i="4" s="1"/>
  <c r="CD1349" i="4"/>
  <c r="CD1350" i="4" s="1"/>
  <c r="CE1349" i="4"/>
  <c r="CE1350" i="4" s="1"/>
  <c r="CF1349" i="4"/>
  <c r="CF1350" i="4" s="1"/>
  <c r="CG1349" i="4"/>
  <c r="CG1350" i="4" s="1"/>
  <c r="CH1349" i="4"/>
  <c r="CH1350" i="4" s="1"/>
  <c r="CI1349" i="4"/>
  <c r="CI1350" i="4" s="1"/>
  <c r="CJ1349" i="4"/>
  <c r="CJ1350" i="4" s="1"/>
  <c r="CK1349" i="4"/>
  <c r="CK1350" i="4" s="1"/>
  <c r="CL1349" i="4"/>
  <c r="CL1350" i="4" s="1"/>
  <c r="CM1349" i="4"/>
  <c r="CM1350" i="4" s="1"/>
  <c r="CN1349" i="4"/>
  <c r="CN1350" i="4" s="1"/>
  <c r="I1251" i="4"/>
  <c r="CO1348" i="4"/>
  <c r="I1344" i="4"/>
  <c r="AF13" i="13"/>
  <c r="I89" i="11"/>
  <c r="I89" i="67"/>
  <c r="Z1353" i="4" l="1"/>
  <c r="AD1353" i="4"/>
  <c r="AB1353" i="4"/>
  <c r="Q1353" i="4"/>
  <c r="R1353" i="4"/>
  <c r="AE1353" i="4"/>
  <c r="AC1353" i="4"/>
  <c r="X1353" i="4"/>
  <c r="AA1353" i="4"/>
  <c r="Y1353" i="4"/>
  <c r="M1353" i="4"/>
  <c r="V1353" i="4"/>
  <c r="W1353" i="4"/>
  <c r="I35" i="66"/>
  <c r="N1353" i="4"/>
  <c r="BR69" i="62"/>
  <c r="BR70" i="62" s="1"/>
  <c r="AS69" i="62"/>
  <c r="AS70" i="62" s="1"/>
  <c r="BD69" i="62"/>
  <c r="BD70" i="62" s="1"/>
  <c r="AU69" i="62"/>
  <c r="AU70" i="62" s="1"/>
  <c r="CF69" i="62"/>
  <c r="CF70" i="62" s="1"/>
  <c r="AF69" i="62"/>
  <c r="AF70" i="62" s="1"/>
  <c r="AM69" i="62"/>
  <c r="AM70" i="62" s="1"/>
  <c r="AK69" i="62"/>
  <c r="AK70" i="62" s="1"/>
  <c r="AH69" i="62"/>
  <c r="AH70" i="62" s="1"/>
  <c r="W69" i="62"/>
  <c r="W70" i="62" s="1"/>
  <c r="AG69" i="62"/>
  <c r="AG70" i="62" s="1"/>
  <c r="BH69" i="62"/>
  <c r="BH70" i="62" s="1"/>
  <c r="AE69" i="62"/>
  <c r="AE70" i="62" s="1"/>
  <c r="Q69" i="62"/>
  <c r="Q70" i="62" s="1"/>
  <c r="CJ69" i="62"/>
  <c r="CJ70" i="62" s="1"/>
  <c r="BL69" i="62"/>
  <c r="BL70" i="62" s="1"/>
  <c r="BA69" i="62"/>
  <c r="BA70" i="62" s="1"/>
  <c r="AN69" i="62"/>
  <c r="AN70" i="62" s="1"/>
  <c r="AD69" i="62"/>
  <c r="AD70" i="62" s="1"/>
  <c r="BX69" i="62"/>
  <c r="BX70" i="62" s="1"/>
  <c r="BG69" i="62"/>
  <c r="BG70" i="62" s="1"/>
  <c r="S69" i="62"/>
  <c r="S70" i="62" s="1"/>
  <c r="BM69" i="62"/>
  <c r="BM70" i="62" s="1"/>
  <c r="R69" i="62"/>
  <c r="R70" i="62" s="1"/>
  <c r="AB69" i="62"/>
  <c r="AB70" i="62" s="1"/>
  <c r="M69" i="62"/>
  <c r="M70" i="62" s="1"/>
  <c r="N69" i="62"/>
  <c r="N70" i="62" s="1"/>
  <c r="BI69" i="62"/>
  <c r="BI70" i="62" s="1"/>
  <c r="BO69" i="62"/>
  <c r="BO70" i="62" s="1"/>
  <c r="CB69" i="62"/>
  <c r="CB70" i="62" s="1"/>
  <c r="BY69" i="62"/>
  <c r="BY70" i="62" s="1"/>
  <c r="BE69" i="62"/>
  <c r="BE70" i="62" s="1"/>
  <c r="BK69" i="62"/>
  <c r="BK70" i="62" s="1"/>
  <c r="CO69" i="62"/>
  <c r="CO70" i="62" s="1"/>
  <c r="AC69" i="62"/>
  <c r="AC70" i="62" s="1"/>
  <c r="CE69" i="62"/>
  <c r="CE70" i="62" s="1"/>
  <c r="AW69" i="62"/>
  <c r="AW70" i="62" s="1"/>
  <c r="L69" i="62"/>
  <c r="L70" i="62" s="1"/>
  <c r="AO69" i="62"/>
  <c r="AO70" i="62" s="1"/>
  <c r="BP69" i="62"/>
  <c r="BP70" i="62" s="1"/>
  <c r="AR69" i="62"/>
  <c r="AR70" i="62" s="1"/>
  <c r="AY69" i="62"/>
  <c r="AY70" i="62" s="1"/>
  <c r="AA69" i="62"/>
  <c r="AA70" i="62" s="1"/>
  <c r="BS69" i="62"/>
  <c r="BS70" i="62" s="1"/>
  <c r="CI69" i="62"/>
  <c r="CI70" i="62" s="1"/>
  <c r="BT69" i="62"/>
  <c r="BT70" i="62" s="1"/>
  <c r="BZ69" i="62"/>
  <c r="BZ70" i="62" s="1"/>
  <c r="X69" i="62"/>
  <c r="X70" i="62" s="1"/>
  <c r="AP69" i="62"/>
  <c r="AP70" i="62" s="1"/>
  <c r="CC69" i="62"/>
  <c r="CC70" i="62" s="1"/>
  <c r="BJ69" i="62"/>
  <c r="BJ70" i="62" s="1"/>
  <c r="BV69" i="62"/>
  <c r="BV70" i="62" s="1"/>
  <c r="CL69" i="62"/>
  <c r="CL70" i="62" s="1"/>
  <c r="CM69" i="62"/>
  <c r="CM70" i="62" s="1"/>
  <c r="BW69" i="62"/>
  <c r="BW70" i="62" s="1"/>
  <c r="AX69" i="62"/>
  <c r="AX70" i="62" s="1"/>
  <c r="O69" i="62"/>
  <c r="O70" i="62" s="1"/>
  <c r="V69" i="62"/>
  <c r="V70" i="62" s="1"/>
  <c r="Z69" i="62"/>
  <c r="Z70" i="62" s="1"/>
  <c r="CH69" i="62"/>
  <c r="CH70" i="62" s="1"/>
  <c r="P69" i="62"/>
  <c r="P70" i="62" s="1"/>
  <c r="U69" i="62"/>
  <c r="U70" i="62" s="1"/>
  <c r="AI69" i="62"/>
  <c r="AI70" i="62" s="1"/>
  <c r="Y69" i="62"/>
  <c r="Y70" i="62" s="1"/>
  <c r="CD69" i="62"/>
  <c r="CD70" i="62" s="1"/>
  <c r="CN69" i="62"/>
  <c r="CN70" i="62" s="1"/>
  <c r="BF69" i="62"/>
  <c r="BF70" i="62" s="1"/>
  <c r="CA69" i="62"/>
  <c r="CA70" i="62" s="1"/>
  <c r="AL69" i="62"/>
  <c r="AL70" i="62" s="1"/>
  <c r="AZ69" i="62"/>
  <c r="AZ70" i="62" s="1"/>
  <c r="BQ69" i="62"/>
  <c r="BQ70" i="62" s="1"/>
  <c r="AT69" i="62"/>
  <c r="AT70" i="62" s="1"/>
  <c r="CK69" i="62"/>
  <c r="CK70" i="62" s="1"/>
  <c r="CG69" i="62"/>
  <c r="CG70" i="62" s="1"/>
  <c r="AJ69" i="62"/>
  <c r="AJ70" i="62" s="1"/>
  <c r="AQ69" i="62"/>
  <c r="AQ70" i="62" s="1"/>
  <c r="BU69" i="62"/>
  <c r="BU70" i="62" s="1"/>
  <c r="BN69" i="62"/>
  <c r="BN70" i="62" s="1"/>
  <c r="BB69" i="62"/>
  <c r="BB70" i="62" s="1"/>
  <c r="T69" i="62"/>
  <c r="T70" i="62" s="1"/>
  <c r="BC69" i="62"/>
  <c r="BC70" i="62" s="1"/>
  <c r="AV69" i="62"/>
  <c r="AV70" i="62" s="1"/>
  <c r="U1353" i="4"/>
  <c r="CO1432" i="4"/>
  <c r="CO1430" i="4"/>
  <c r="CO1431" i="4" s="1"/>
  <c r="AF17" i="13"/>
  <c r="AF18" i="13"/>
  <c r="I18" i="13" s="1"/>
  <c r="I13" i="13"/>
  <c r="CC1333" i="4"/>
  <c r="CC1334" i="4" s="1"/>
  <c r="AB1333" i="4"/>
  <c r="AB1334" i="4" s="1"/>
  <c r="AV1333" i="4"/>
  <c r="AV1334" i="4" s="1"/>
  <c r="BZ1333" i="4"/>
  <c r="BZ1334" i="4" s="1"/>
  <c r="AL1333" i="4"/>
  <c r="AL1334" i="4" s="1"/>
  <c r="AZ1333" i="4"/>
  <c r="AZ1334" i="4" s="1"/>
  <c r="CE1333" i="4"/>
  <c r="CE1334" i="4" s="1"/>
  <c r="AT1333" i="4"/>
  <c r="AT1334" i="4" s="1"/>
  <c r="BW1333" i="4"/>
  <c r="BW1334" i="4" s="1"/>
  <c r="AI1333" i="4"/>
  <c r="AI1334" i="4" s="1"/>
  <c r="CM1333" i="4"/>
  <c r="CM1334" i="4" s="1"/>
  <c r="AN1333" i="4"/>
  <c r="AN1334" i="4" s="1"/>
  <c r="CO1333" i="4"/>
  <c r="CO1334" i="4" s="1"/>
  <c r="AS1333" i="4"/>
  <c r="AS1334" i="4" s="1"/>
  <c r="BG1333" i="4"/>
  <c r="BG1334" i="4" s="1"/>
  <c r="CN1333" i="4"/>
  <c r="CN1334" i="4" s="1"/>
  <c r="BP1333" i="4"/>
  <c r="BP1334" i="4" s="1"/>
  <c r="AR1333" i="4"/>
  <c r="AR1334" i="4" s="1"/>
  <c r="CA1333" i="4"/>
  <c r="CA1334" i="4" s="1"/>
  <c r="BO1333" i="4"/>
  <c r="BO1334" i="4" s="1"/>
  <c r="AP1333" i="4"/>
  <c r="AP1334" i="4" s="1"/>
  <c r="BL1333" i="4"/>
  <c r="BL1334" i="4" s="1"/>
  <c r="BI1333" i="4"/>
  <c r="BI1334" i="4" s="1"/>
  <c r="CF1333" i="4"/>
  <c r="CF1334" i="4" s="1"/>
  <c r="T1333" i="4"/>
  <c r="T1334" i="4" s="1"/>
  <c r="S1333" i="4"/>
  <c r="S1334" i="4" s="1"/>
  <c r="BK1333" i="4"/>
  <c r="BK1334" i="4" s="1"/>
  <c r="BR1333" i="4"/>
  <c r="BR1334" i="4" s="1"/>
  <c r="Y1333" i="4"/>
  <c r="Y1334" i="4" s="1"/>
  <c r="BS1333" i="4"/>
  <c r="BS1334" i="4" s="1"/>
  <c r="CJ1333" i="4"/>
  <c r="CJ1334" i="4" s="1"/>
  <c r="CK1333" i="4"/>
  <c r="CK1334" i="4" s="1"/>
  <c r="BU1333" i="4"/>
  <c r="BU1334" i="4" s="1"/>
  <c r="M1333" i="4"/>
  <c r="M1334" i="4" s="1"/>
  <c r="BE1333" i="4"/>
  <c r="BE1334" i="4" s="1"/>
  <c r="CI1333" i="4"/>
  <c r="CI1334" i="4" s="1"/>
  <c r="BM1333" i="4"/>
  <c r="BM1334" i="4" s="1"/>
  <c r="BH1333" i="4"/>
  <c r="BH1334" i="4" s="1"/>
  <c r="AC1333" i="4"/>
  <c r="AC1334" i="4" s="1"/>
  <c r="V1333" i="4"/>
  <c r="V1334" i="4" s="1"/>
  <c r="BT1333" i="4"/>
  <c r="BT1334" i="4" s="1"/>
  <c r="BD1333" i="4"/>
  <c r="BD1334" i="4" s="1"/>
  <c r="CH1333" i="4"/>
  <c r="CH1334" i="4" s="1"/>
  <c r="BY1333" i="4"/>
  <c r="BY1334" i="4" s="1"/>
  <c r="BB1333" i="4"/>
  <c r="BB1334" i="4" s="1"/>
  <c r="N1333" i="4"/>
  <c r="N1334" i="4" s="1"/>
  <c r="BJ1333" i="4"/>
  <c r="BJ1334" i="4" s="1"/>
  <c r="Q1333" i="4"/>
  <c r="Q1334" i="4" s="1"/>
  <c r="Z1333" i="4"/>
  <c r="Z1334" i="4" s="1"/>
  <c r="R1333" i="4"/>
  <c r="R1334" i="4" s="1"/>
  <c r="AU1333" i="4"/>
  <c r="AU1334" i="4" s="1"/>
  <c r="CD1333" i="4"/>
  <c r="CD1334" i="4" s="1"/>
  <c r="AD1333" i="4"/>
  <c r="AD1334" i="4" s="1"/>
  <c r="AH1333" i="4"/>
  <c r="AH1334" i="4" s="1"/>
  <c r="BV1333" i="4"/>
  <c r="BV1334" i="4" s="1"/>
  <c r="AQ1333" i="4"/>
  <c r="AQ1334" i="4" s="1"/>
  <c r="AK1333" i="4"/>
  <c r="AK1334" i="4" s="1"/>
  <c r="BQ1333" i="4"/>
  <c r="BQ1334" i="4" s="1"/>
  <c r="AJ1333" i="4"/>
  <c r="AJ1334" i="4" s="1"/>
  <c r="BC1333" i="4"/>
  <c r="BC1334" i="4" s="1"/>
  <c r="BF1333" i="4"/>
  <c r="BF1334" i="4" s="1"/>
  <c r="AX1333" i="4"/>
  <c r="AX1334" i="4" s="1"/>
  <c r="L1333" i="4"/>
  <c r="L1334" i="4" s="1"/>
  <c r="AF1333" i="4"/>
  <c r="AF1334" i="4" s="1"/>
  <c r="AA1333" i="4"/>
  <c r="AA1334" i="4" s="1"/>
  <c r="AE1333" i="4"/>
  <c r="AE1334" i="4" s="1"/>
  <c r="U1333" i="4"/>
  <c r="U1334" i="4" s="1"/>
  <c r="AW1333" i="4"/>
  <c r="AW1334" i="4" s="1"/>
  <c r="O1333" i="4"/>
  <c r="O1334" i="4" s="1"/>
  <c r="AY1333" i="4"/>
  <c r="AY1334" i="4" s="1"/>
  <c r="CL1333" i="4"/>
  <c r="CL1334" i="4" s="1"/>
  <c r="BN1333" i="4"/>
  <c r="BN1334" i="4" s="1"/>
  <c r="P1333" i="4"/>
  <c r="P1334" i="4" s="1"/>
  <c r="BA1333" i="4"/>
  <c r="BA1334" i="4" s="1"/>
  <c r="BX1333" i="4"/>
  <c r="BX1334" i="4" s="1"/>
  <c r="W1333" i="4"/>
  <c r="W1334" i="4" s="1"/>
  <c r="AM1333" i="4"/>
  <c r="AM1334" i="4" s="1"/>
  <c r="CB1333" i="4"/>
  <c r="CB1334" i="4" s="1"/>
  <c r="CG1333" i="4"/>
  <c r="CG1334" i="4" s="1"/>
  <c r="AG1333" i="4"/>
  <c r="AG1334" i="4" s="1"/>
  <c r="X1333" i="4"/>
  <c r="X1334" i="4" s="1"/>
  <c r="AO1333" i="4"/>
  <c r="AO1334" i="4" s="1"/>
  <c r="O1353" i="4"/>
  <c r="CO1372" i="4"/>
  <c r="S1353" i="4"/>
  <c r="P1353" i="4"/>
  <c r="T1353" i="4"/>
  <c r="CO1207" i="4"/>
  <c r="CO1209" i="4" s="1"/>
  <c r="I1348" i="4"/>
  <c r="L1349" i="4" s="1"/>
  <c r="AF15" i="72"/>
  <c r="I15" i="72" s="1"/>
  <c r="CO1363" i="4"/>
  <c r="CO1364" i="4" s="1"/>
  <c r="E1364" i="4" s="1"/>
  <c r="L1373" i="4"/>
  <c r="CO1312" i="4"/>
  <c r="I1312" i="4" s="1"/>
  <c r="I1311" i="4"/>
  <c r="AF14" i="72"/>
  <c r="I14" i="72" s="1"/>
  <c r="CO1325" i="4"/>
  <c r="CO1326" i="4" s="1"/>
  <c r="E1326" i="4" s="1"/>
  <c r="CO1313" i="4" l="1"/>
  <c r="I1313" i="4" s="1"/>
  <c r="CO1327" i="4"/>
  <c r="E1327" i="4" s="1"/>
  <c r="E1328" i="4" s="1"/>
  <c r="E1329" i="4" s="1"/>
  <c r="CO1365" i="4"/>
  <c r="E1365" i="4" s="1"/>
  <c r="E1366" i="4" s="1"/>
  <c r="E1367" i="4" s="1"/>
  <c r="E1435" i="4" a="1"/>
  <c r="E1435" i="4" s="1"/>
  <c r="E1434" i="4" a="1"/>
  <c r="E1434" i="4" s="1"/>
  <c r="L1335" i="4"/>
  <c r="L1350" i="4"/>
  <c r="CO1208" i="4"/>
  <c r="AF19" i="13"/>
  <c r="I19" i="13" s="1"/>
  <c r="I17" i="13"/>
  <c r="L1316" i="4"/>
  <c r="W1316" i="4"/>
  <c r="X1316" i="4"/>
  <c r="Y1316" i="4"/>
  <c r="Z1316" i="4"/>
  <c r="AA1316" i="4"/>
  <c r="AB1316" i="4"/>
  <c r="AC1316" i="4"/>
  <c r="AD1316" i="4"/>
  <c r="AE1316" i="4"/>
  <c r="M1373" i="4"/>
  <c r="L1374" i="4"/>
  <c r="L1375" i="4" s="1"/>
  <c r="CO1252" i="4"/>
  <c r="I1252" i="4" s="1"/>
  <c r="CO1229" i="4"/>
  <c r="CO90" i="11"/>
  <c r="CO48" i="62"/>
  <c r="CO58" i="11"/>
  <c r="I1209" i="4"/>
  <c r="AF58" i="67"/>
  <c r="AF90" i="67"/>
  <c r="CO22" i="66"/>
  <c r="I70" i="62"/>
  <c r="I72" i="62" s="1"/>
  <c r="AF1316" i="4" l="1"/>
  <c r="CH1319" i="4" s="1"/>
  <c r="I58" i="67"/>
  <c r="AF59" i="67"/>
  <c r="I59" i="67" s="1"/>
  <c r="N1373" i="4"/>
  <c r="M1374" i="4"/>
  <c r="M1375" i="4" s="1"/>
  <c r="L1353" i="4"/>
  <c r="I90" i="11"/>
  <c r="CO91" i="11"/>
  <c r="I1229" i="4"/>
  <c r="CO1230" i="4"/>
  <c r="CO1234" i="4" s="1"/>
  <c r="I58" i="11"/>
  <c r="CO59" i="11"/>
  <c r="CO24" i="62"/>
  <c r="I48" i="62"/>
  <c r="L1336" i="4"/>
  <c r="L1337" i="4" s="1"/>
  <c r="M1335" i="4"/>
  <c r="L1319" i="4"/>
  <c r="AD1319" i="4"/>
  <c r="AB1319" i="4"/>
  <c r="R1319" i="4"/>
  <c r="O1319" i="4"/>
  <c r="V1319" i="4"/>
  <c r="T1319" i="4"/>
  <c r="AA1319" i="4"/>
  <c r="N1319" i="4"/>
  <c r="S1319" i="4"/>
  <c r="U1319" i="4"/>
  <c r="X1319" i="4"/>
  <c r="AC1319" i="4"/>
  <c r="P1319" i="4"/>
  <c r="M1319" i="4"/>
  <c r="Y1319" i="4"/>
  <c r="Q1319" i="4"/>
  <c r="AE1319" i="4"/>
  <c r="Z1319" i="4"/>
  <c r="W1319" i="4"/>
  <c r="Z1318" i="4"/>
  <c r="U1318" i="4"/>
  <c r="N1318" i="4"/>
  <c r="O1318" i="4"/>
  <c r="R1318" i="4"/>
  <c r="X1318" i="4"/>
  <c r="AD1318" i="4"/>
  <c r="AA1318" i="4"/>
  <c r="M1318" i="4"/>
  <c r="L1318" i="4"/>
  <c r="Y1318" i="4"/>
  <c r="T1318" i="4"/>
  <c r="V1318" i="4"/>
  <c r="W1318" i="4"/>
  <c r="AB1318" i="4"/>
  <c r="S1318" i="4"/>
  <c r="AE1318" i="4"/>
  <c r="AC1318" i="4"/>
  <c r="Q1318" i="4"/>
  <c r="P1318" i="4"/>
  <c r="M148" i="15"/>
  <c r="G148" i="15" s="1"/>
  <c r="I22" i="66"/>
  <c r="G20" i="15"/>
  <c r="G106" i="15"/>
  <c r="I90" i="67"/>
  <c r="AF91" i="67"/>
  <c r="G14" i="15"/>
  <c r="G100" i="15"/>
  <c r="BW1318" i="4" l="1"/>
  <c r="BA1318" i="4"/>
  <c r="AZ1318" i="4"/>
  <c r="CJ1318" i="4"/>
  <c r="CM1318" i="4"/>
  <c r="AN1318" i="4"/>
  <c r="BH1318" i="4"/>
  <c r="BY1318" i="4"/>
  <c r="BT1318" i="4"/>
  <c r="AI1318" i="4"/>
  <c r="AU1318" i="4"/>
  <c r="CG1318" i="4"/>
  <c r="BC1318" i="4"/>
  <c r="AL1318" i="4"/>
  <c r="BM1318" i="4"/>
  <c r="BO1318" i="4"/>
  <c r="AP1318" i="4"/>
  <c r="BU1318" i="4"/>
  <c r="AK1318" i="4"/>
  <c r="BX1318" i="4"/>
  <c r="BR1318" i="4"/>
  <c r="CH1318" i="4"/>
  <c r="CN1318" i="4"/>
  <c r="BV1318" i="4"/>
  <c r="CO1318" i="4"/>
  <c r="AW1318" i="4"/>
  <c r="BK1318" i="4"/>
  <c r="AG1318" i="4"/>
  <c r="AJ1318" i="4"/>
  <c r="CK1318" i="4"/>
  <c r="BB1318" i="4"/>
  <c r="BP1318" i="4"/>
  <c r="AR1318" i="4"/>
  <c r="CB1318" i="4"/>
  <c r="BE1318" i="4"/>
  <c r="BJ1318" i="4"/>
  <c r="AT1318" i="4"/>
  <c r="CA1318" i="4"/>
  <c r="BZ1318" i="4"/>
  <c r="CL1318" i="4"/>
  <c r="CC1318" i="4"/>
  <c r="E1321" i="4"/>
  <c r="AH1318" i="4"/>
  <c r="AX1318" i="4"/>
  <c r="CE1318" i="4"/>
  <c r="BI1318" i="4"/>
  <c r="BQ1318" i="4"/>
  <c r="CF1318" i="4"/>
  <c r="AM1318" i="4"/>
  <c r="AV1318" i="4"/>
  <c r="AF1318" i="4"/>
  <c r="BN1318" i="4"/>
  <c r="BD1318" i="4"/>
  <c r="AS1318" i="4"/>
  <c r="AQ1318" i="4"/>
  <c r="CD1318" i="4"/>
  <c r="AO1318" i="4"/>
  <c r="AY1318" i="4"/>
  <c r="BL1318" i="4"/>
  <c r="BS1318" i="4"/>
  <c r="AH1319" i="4"/>
  <c r="CI1318" i="4"/>
  <c r="BG1318" i="4"/>
  <c r="AU1319" i="4"/>
  <c r="BF1318" i="4"/>
  <c r="BV1319" i="4"/>
  <c r="AX1319" i="4"/>
  <c r="CO1319" i="4"/>
  <c r="AS1319" i="4"/>
  <c r="BC1319" i="4"/>
  <c r="AL1319" i="4"/>
  <c r="AV1319" i="4"/>
  <c r="BY1319" i="4"/>
  <c r="AR1319" i="4"/>
  <c r="AP1319" i="4"/>
  <c r="CF1319" i="4"/>
  <c r="BF1319" i="4"/>
  <c r="BE1319" i="4"/>
  <c r="BR1319" i="4"/>
  <c r="BI1319" i="4"/>
  <c r="BK1319" i="4"/>
  <c r="BL1319" i="4"/>
  <c r="BX1319" i="4"/>
  <c r="CC1319" i="4"/>
  <c r="BO1319" i="4"/>
  <c r="CI1319" i="4"/>
  <c r="AG1319" i="4"/>
  <c r="CA1319" i="4"/>
  <c r="BA1319" i="4"/>
  <c r="BS1319" i="4"/>
  <c r="BP1319" i="4"/>
  <c r="CL1319" i="4"/>
  <c r="CD1319" i="4"/>
  <c r="BJ1319" i="4"/>
  <c r="E1322" i="4"/>
  <c r="G13" i="15" s="1"/>
  <c r="BB1319" i="4"/>
  <c r="BQ1319" i="4"/>
  <c r="AN1319" i="4"/>
  <c r="BT1319" i="4"/>
  <c r="AO1319" i="4"/>
  <c r="AZ1319" i="4"/>
  <c r="CG1319" i="4"/>
  <c r="I1316" i="4"/>
  <c r="AM1319" i="4"/>
  <c r="CJ1319" i="4"/>
  <c r="AW1319" i="4"/>
  <c r="BN1319" i="4"/>
  <c r="AJ1319" i="4"/>
  <c r="BD1319" i="4"/>
  <c r="CB1319" i="4"/>
  <c r="BM1319" i="4"/>
  <c r="AK1319" i="4"/>
  <c r="AY1319" i="4"/>
  <c r="BZ1319" i="4"/>
  <c r="CE1319" i="4"/>
  <c r="AF1319" i="4"/>
  <c r="BH1319" i="4"/>
  <c r="CN1319" i="4"/>
  <c r="BU1319" i="4"/>
  <c r="BG1319" i="4"/>
  <c r="AT1319" i="4"/>
  <c r="AI1319" i="4"/>
  <c r="BW1319" i="4"/>
  <c r="CM1319" i="4"/>
  <c r="CK1319" i="4"/>
  <c r="AQ1319" i="4"/>
  <c r="N1335" i="4"/>
  <c r="M1336" i="4"/>
  <c r="M1337" i="4" s="1"/>
  <c r="I91" i="11"/>
  <c r="CO93" i="11"/>
  <c r="CO96" i="11" s="1"/>
  <c r="CO97" i="11" s="1"/>
  <c r="CO26" i="62"/>
  <c r="I26" i="62" s="1"/>
  <c r="I24" i="62"/>
  <c r="P1356" i="4"/>
  <c r="L1356" i="4"/>
  <c r="AA1356" i="4"/>
  <c r="X1356" i="4"/>
  <c r="R1356" i="4"/>
  <c r="AC1356" i="4"/>
  <c r="N1356" i="4"/>
  <c r="Y1356" i="4"/>
  <c r="AE1356" i="4"/>
  <c r="AD1356" i="4"/>
  <c r="U1356" i="4"/>
  <c r="W1356" i="4"/>
  <c r="T1356" i="4"/>
  <c r="V1356" i="4"/>
  <c r="M1356" i="4"/>
  <c r="Q1356" i="4"/>
  <c r="Z1356" i="4"/>
  <c r="O1356" i="4"/>
  <c r="AB1356" i="4"/>
  <c r="S1356" i="4"/>
  <c r="AA1355" i="4"/>
  <c r="Z1355" i="4"/>
  <c r="AE1355" i="4"/>
  <c r="S1355" i="4"/>
  <c r="U1355" i="4"/>
  <c r="T1355" i="4"/>
  <c r="R1355" i="4"/>
  <c r="W1355" i="4"/>
  <c r="AD1355" i="4"/>
  <c r="M1355" i="4"/>
  <c r="L1355" i="4"/>
  <c r="L1426" i="4" s="1"/>
  <c r="AB1355" i="4"/>
  <c r="AC1355" i="4"/>
  <c r="P1355" i="4"/>
  <c r="Q1355" i="4"/>
  <c r="N1355" i="4"/>
  <c r="Y1355" i="4"/>
  <c r="O1355" i="4"/>
  <c r="X1355" i="4"/>
  <c r="V1355" i="4"/>
  <c r="I91" i="67"/>
  <c r="AF93" i="67"/>
  <c r="AF96" i="67" s="1"/>
  <c r="AF97" i="67" s="1"/>
  <c r="I59" i="11"/>
  <c r="CO28" i="11"/>
  <c r="CO25" i="11" s="1"/>
  <c r="O1373" i="4"/>
  <c r="N1374" i="4"/>
  <c r="N1375" i="4" s="1"/>
  <c r="G12" i="15"/>
  <c r="G98" i="15"/>
  <c r="G99" i="15" l="1"/>
  <c r="CO101" i="11"/>
  <c r="I101" i="11" s="1"/>
  <c r="C13" i="9" s="1"/>
  <c r="M16" i="15" s="1"/>
  <c r="CO1263" i="4"/>
  <c r="CO1253" i="4"/>
  <c r="CO100" i="11"/>
  <c r="I100" i="11" s="1"/>
  <c r="C9" i="9" s="1"/>
  <c r="CO100" i="67"/>
  <c r="I100" i="67" s="1"/>
  <c r="CO21" i="11"/>
  <c r="CO17" i="11" s="1"/>
  <c r="CO44" i="66"/>
  <c r="CO24" i="66"/>
  <c r="CO1385" i="4"/>
  <c r="CO1384" i="4" s="1"/>
  <c r="CO46" i="62"/>
  <c r="I46" i="62" s="1"/>
  <c r="I73" i="62" s="1"/>
  <c r="I74" i="62" s="1"/>
  <c r="CO101" i="67"/>
  <c r="I101" i="67" s="1"/>
  <c r="CO1349" i="4"/>
  <c r="P1373" i="4"/>
  <c r="O1374" i="4"/>
  <c r="O1375" i="4" s="1"/>
  <c r="CO1397" i="4"/>
  <c r="CO1392" i="4" s="1"/>
  <c r="CO1398" i="4"/>
  <c r="CO1393" i="4" s="1"/>
  <c r="CO37" i="11"/>
  <c r="O1335" i="4"/>
  <c r="N1336" i="4"/>
  <c r="N1337" i="4" s="1"/>
  <c r="AG95" i="67"/>
  <c r="AG97" i="67" s="1"/>
  <c r="AF99" i="67"/>
  <c r="CO99" i="11" l="1"/>
  <c r="I99" i="11" s="1"/>
  <c r="C12" i="9" s="1"/>
  <c r="M15" i="15" s="1"/>
  <c r="I24" i="66"/>
  <c r="CO20" i="66"/>
  <c r="CO40" i="66"/>
  <c r="I44" i="66"/>
  <c r="AG99" i="67"/>
  <c r="AH95" i="67"/>
  <c r="AH97" i="67" s="1"/>
  <c r="Q1373" i="4"/>
  <c r="P1374" i="4"/>
  <c r="P1375" i="4" s="1"/>
  <c r="CO1386" i="4"/>
  <c r="CO1383" i="4" s="1"/>
  <c r="CO23" i="11"/>
  <c r="CO1350" i="4"/>
  <c r="I1349" i="4"/>
  <c r="M12" i="15"/>
  <c r="I1253" i="4"/>
  <c r="CO1254" i="4"/>
  <c r="BQ25" i="62"/>
  <c r="AR25" i="62"/>
  <c r="AR28" i="62" s="1"/>
  <c r="BJ25" i="62"/>
  <c r="CJ25" i="62"/>
  <c r="CJ28" i="62" s="1"/>
  <c r="BB25" i="62"/>
  <c r="BB28" i="62" s="1"/>
  <c r="W25" i="62"/>
  <c r="W28" i="62" s="1"/>
  <c r="BX25" i="62"/>
  <c r="BX28" i="62" s="1"/>
  <c r="BM25" i="62"/>
  <c r="BM28" i="62" s="1"/>
  <c r="AB25" i="62"/>
  <c r="AB28" i="62" s="1"/>
  <c r="Y25" i="62"/>
  <c r="Y28" i="62" s="1"/>
  <c r="AS25" i="62"/>
  <c r="BG25" i="62"/>
  <c r="BG28" i="62" s="1"/>
  <c r="BL25" i="62"/>
  <c r="BL28" i="62" s="1"/>
  <c r="BI25" i="62"/>
  <c r="BI28" i="62" s="1"/>
  <c r="CA25" i="62"/>
  <c r="CA28" i="62" s="1"/>
  <c r="CN25" i="62"/>
  <c r="CN28" i="62" s="1"/>
  <c r="O25" i="62"/>
  <c r="O28" i="62" s="1"/>
  <c r="CH25" i="62"/>
  <c r="CH28" i="62" s="1"/>
  <c r="AQ25" i="62"/>
  <c r="AQ28" i="62" s="1"/>
  <c r="CK25" i="62"/>
  <c r="CK28" i="62" s="1"/>
  <c r="AY25" i="62"/>
  <c r="AY28" i="62" s="1"/>
  <c r="X25" i="62"/>
  <c r="X28" i="62" s="1"/>
  <c r="AH25" i="62"/>
  <c r="AH28" i="62" s="1"/>
  <c r="BZ25" i="62"/>
  <c r="BZ28" i="62" s="1"/>
  <c r="BU25" i="62"/>
  <c r="T25" i="62"/>
  <c r="T28" i="62" s="1"/>
  <c r="AI25" i="62"/>
  <c r="L25" i="62"/>
  <c r="AE25" i="62"/>
  <c r="AE28" i="62" s="1"/>
  <c r="AA25" i="62"/>
  <c r="AA28" i="62" s="1"/>
  <c r="CM25" i="62"/>
  <c r="CM28" i="62" s="1"/>
  <c r="U25" i="62"/>
  <c r="U28" i="62" s="1"/>
  <c r="V25" i="62"/>
  <c r="V28" i="62" s="1"/>
  <c r="CD25" i="62"/>
  <c r="CD28" i="62" s="1"/>
  <c r="AU25" i="62"/>
  <c r="AU28" i="62" s="1"/>
  <c r="CF25" i="62"/>
  <c r="CF28" i="62" s="1"/>
  <c r="AP25" i="62"/>
  <c r="AP28" i="62" s="1"/>
  <c r="S25" i="62"/>
  <c r="S28" i="62" s="1"/>
  <c r="AM25" i="62"/>
  <c r="AM28" i="62" s="1"/>
  <c r="CC25" i="62"/>
  <c r="CC28" i="62" s="1"/>
  <c r="BR25" i="62"/>
  <c r="BR28" i="62" s="1"/>
  <c r="AG25" i="62"/>
  <c r="AG28" i="62" s="1"/>
  <c r="BS25" i="62"/>
  <c r="BS28" i="62" s="1"/>
  <c r="BF25" i="62"/>
  <c r="BF28" i="62" s="1"/>
  <c r="Q25" i="62"/>
  <c r="Q28" i="62" s="1"/>
  <c r="AF25" i="62"/>
  <c r="AF28" i="62" s="1"/>
  <c r="CL25" i="62"/>
  <c r="CL28" i="62" s="1"/>
  <c r="AK25" i="62"/>
  <c r="AK28" i="62" s="1"/>
  <c r="BC25" i="62"/>
  <c r="CG25" i="62"/>
  <c r="CG28" i="62" s="1"/>
  <c r="BT25" i="62"/>
  <c r="BT28" i="62" s="1"/>
  <c r="BA25" i="62"/>
  <c r="BA28" i="62" s="1"/>
  <c r="BE25" i="62"/>
  <c r="BE28" i="62" s="1"/>
  <c r="CI25" i="62"/>
  <c r="CI28" i="62" s="1"/>
  <c r="BP25" i="62"/>
  <c r="BP28" i="62" s="1"/>
  <c r="M25" i="62"/>
  <c r="M28" i="62" s="1"/>
  <c r="AC25" i="62"/>
  <c r="AC28" i="62" s="1"/>
  <c r="BO25" i="62"/>
  <c r="BO28" i="62" s="1"/>
  <c r="AO25" i="62"/>
  <c r="AO28" i="62" s="1"/>
  <c r="AX25" i="62"/>
  <c r="AX28" i="62" s="1"/>
  <c r="AJ25" i="62"/>
  <c r="AJ28" i="62" s="1"/>
  <c r="R25" i="62"/>
  <c r="R28" i="62" s="1"/>
  <c r="CE25" i="62"/>
  <c r="CE28" i="62" s="1"/>
  <c r="P25" i="62"/>
  <c r="P28" i="62" s="1"/>
  <c r="BK25" i="62"/>
  <c r="BK28" i="62" s="1"/>
  <c r="AW25" i="62"/>
  <c r="AW28" i="62" s="1"/>
  <c r="N25" i="62"/>
  <c r="N28" i="62" s="1"/>
  <c r="AN25" i="62"/>
  <c r="AN28" i="62" s="1"/>
  <c r="BW25" i="62"/>
  <c r="BW28" i="62" s="1"/>
  <c r="AL25" i="62"/>
  <c r="CB25" i="62"/>
  <c r="CB28" i="62" s="1"/>
  <c r="AZ25" i="62"/>
  <c r="AZ28" i="62" s="1"/>
  <c r="BD25" i="62"/>
  <c r="BD28" i="62" s="1"/>
  <c r="AD25" i="62"/>
  <c r="AD28" i="62" s="1"/>
  <c r="BN25" i="62"/>
  <c r="BH25" i="62"/>
  <c r="BH28" i="62" s="1"/>
  <c r="AV25" i="62"/>
  <c r="AV28" i="62" s="1"/>
  <c r="BV25" i="62"/>
  <c r="BV28" i="62" s="1"/>
  <c r="BY25" i="62"/>
  <c r="BY28" i="62" s="1"/>
  <c r="CO25" i="62"/>
  <c r="CO28" i="62" s="1"/>
  <c r="AT25" i="62"/>
  <c r="Z25" i="62"/>
  <c r="Z28" i="62" s="1"/>
  <c r="I1263" i="4"/>
  <c r="CO1264" i="4"/>
  <c r="I1264" i="4" s="1"/>
  <c r="O1336" i="4"/>
  <c r="O1337" i="4" s="1"/>
  <c r="P1335" i="4"/>
  <c r="AC32" i="62" l="1"/>
  <c r="S32" i="62"/>
  <c r="M32" i="62"/>
  <c r="U32" i="62"/>
  <c r="AD32" i="62"/>
  <c r="AF32" i="62"/>
  <c r="CO1266" i="4"/>
  <c r="I1266" i="4" s="1"/>
  <c r="I1254" i="4"/>
  <c r="AB32" i="62"/>
  <c r="R1373" i="4"/>
  <c r="Q1374" i="4"/>
  <c r="Q1375" i="4" s="1"/>
  <c r="Q1335" i="4"/>
  <c r="P1336" i="4"/>
  <c r="P1337" i="4" s="1"/>
  <c r="AL28" i="62"/>
  <c r="R32" i="62" s="1"/>
  <c r="O32" i="62"/>
  <c r="AH99" i="67"/>
  <c r="AI95" i="67"/>
  <c r="AI97" i="67" s="1"/>
  <c r="AT27" i="62"/>
  <c r="AT29" i="62" s="1"/>
  <c r="U27" i="62"/>
  <c r="U29" i="62" s="1"/>
  <c r="AL27" i="62"/>
  <c r="AL29" i="62" s="1"/>
  <c r="AE27" i="62"/>
  <c r="AE29" i="62" s="1"/>
  <c r="T27" i="62"/>
  <c r="T29" i="62" s="1"/>
  <c r="Q27" i="62"/>
  <c r="Q29" i="62" s="1"/>
  <c r="R27" i="62"/>
  <c r="R29" i="62" s="1"/>
  <c r="M27" i="62"/>
  <c r="M29" i="62" s="1"/>
  <c r="S27" i="62"/>
  <c r="S29" i="62" s="1"/>
  <c r="N27" i="62"/>
  <c r="N29" i="62" s="1"/>
  <c r="AP27" i="62"/>
  <c r="AP29" i="62" s="1"/>
  <c r="AC27" i="62"/>
  <c r="AC29" i="62" s="1"/>
  <c r="AU27" i="62"/>
  <c r="AU29" i="62" s="1"/>
  <c r="X27" i="62"/>
  <c r="X29" i="62" s="1"/>
  <c r="AN27" i="62"/>
  <c r="AN29" i="62" s="1"/>
  <c r="Z27" i="62"/>
  <c r="Z29" i="62" s="1"/>
  <c r="AJ27" i="62"/>
  <c r="AJ29" i="62" s="1"/>
  <c r="L27" i="62"/>
  <c r="L29" i="62" s="1"/>
  <c r="AW27" i="62"/>
  <c r="AW29" i="62" s="1"/>
  <c r="AB27" i="62"/>
  <c r="AB29" i="62" s="1"/>
  <c r="AA27" i="62"/>
  <c r="AA29" i="62" s="1"/>
  <c r="AR27" i="62"/>
  <c r="AR29" i="62" s="1"/>
  <c r="P27" i="62"/>
  <c r="P29" i="62" s="1"/>
  <c r="W27" i="62"/>
  <c r="W29" i="62" s="1"/>
  <c r="Y27" i="62"/>
  <c r="Y29" i="62" s="1"/>
  <c r="L28" i="62"/>
  <c r="AK27" i="62"/>
  <c r="AK29" i="62" s="1"/>
  <c r="AQ27" i="62"/>
  <c r="AQ29" i="62" s="1"/>
  <c r="AH27" i="62"/>
  <c r="AH29" i="62" s="1"/>
  <c r="O27" i="62"/>
  <c r="O29" i="62" s="1"/>
  <c r="AF27" i="62"/>
  <c r="AF29" i="62" s="1"/>
  <c r="AI27" i="62"/>
  <c r="AI29" i="62" s="1"/>
  <c r="AX27" i="62"/>
  <c r="AX29" i="62" s="1"/>
  <c r="AG27" i="62"/>
  <c r="AG29" i="62" s="1"/>
  <c r="AD27" i="62"/>
  <c r="AD29" i="62" s="1"/>
  <c r="AS27" i="62"/>
  <c r="AS29" i="62" s="1"/>
  <c r="AO27" i="62"/>
  <c r="AO29" i="62" s="1"/>
  <c r="I25" i="62"/>
  <c r="AM27" i="62"/>
  <c r="AM29" i="62" s="1"/>
  <c r="V27" i="62"/>
  <c r="V29" i="62" s="1"/>
  <c r="AV27" i="62"/>
  <c r="AV29" i="62" s="1"/>
  <c r="AY27" i="62"/>
  <c r="AY29" i="62" s="1"/>
  <c r="AZ27" i="62"/>
  <c r="AZ29" i="62" s="1"/>
  <c r="BA27" i="62"/>
  <c r="BA29" i="62" s="1"/>
  <c r="BB27" i="62"/>
  <c r="BB29" i="62" s="1"/>
  <c r="BD27" i="62"/>
  <c r="BD29" i="62" s="1"/>
  <c r="BE27" i="62"/>
  <c r="BE29" i="62" s="1"/>
  <c r="BF27" i="62"/>
  <c r="BF29" i="62" s="1"/>
  <c r="BG27" i="62"/>
  <c r="BG29" i="62" s="1"/>
  <c r="BH27" i="62"/>
  <c r="BH29" i="62" s="1"/>
  <c r="BI27" i="62"/>
  <c r="BI29" i="62" s="1"/>
  <c r="BJ27" i="62"/>
  <c r="BJ29" i="62" s="1"/>
  <c r="BK27" i="62"/>
  <c r="BK29" i="62" s="1"/>
  <c r="BL27" i="62"/>
  <c r="BL29" i="62" s="1"/>
  <c r="BM27" i="62"/>
  <c r="BM29" i="62" s="1"/>
  <c r="BN27" i="62"/>
  <c r="BN29" i="62" s="1"/>
  <c r="BO27" i="62"/>
  <c r="BO29" i="62" s="1"/>
  <c r="BP27" i="62"/>
  <c r="BP29" i="62" s="1"/>
  <c r="BQ27" i="62"/>
  <c r="BQ29" i="62" s="1"/>
  <c r="BR27" i="62"/>
  <c r="BR29" i="62" s="1"/>
  <c r="BS27" i="62"/>
  <c r="BS29" i="62" s="1"/>
  <c r="BT27" i="62"/>
  <c r="BT29" i="62" s="1"/>
  <c r="BU27" i="62"/>
  <c r="BU29" i="62" s="1"/>
  <c r="BV27" i="62"/>
  <c r="BV29" i="62" s="1"/>
  <c r="BW27" i="62"/>
  <c r="BW29" i="62" s="1"/>
  <c r="BX27" i="62"/>
  <c r="BX29" i="62" s="1"/>
  <c r="BY27" i="62"/>
  <c r="BY29" i="62" s="1"/>
  <c r="BZ27" i="62"/>
  <c r="BZ29" i="62" s="1"/>
  <c r="CA27" i="62"/>
  <c r="CA29" i="62" s="1"/>
  <c r="CB27" i="62"/>
  <c r="CB29" i="62" s="1"/>
  <c r="CC27" i="62"/>
  <c r="CC29" i="62" s="1"/>
  <c r="CD27" i="62"/>
  <c r="CD29" i="62" s="1"/>
  <c r="CE27" i="62"/>
  <c r="CE29" i="62" s="1"/>
  <c r="CF27" i="62"/>
  <c r="CF29" i="62" s="1"/>
  <c r="CG27" i="62"/>
  <c r="CG29" i="62" s="1"/>
  <c r="CH27" i="62"/>
  <c r="CH29" i="62" s="1"/>
  <c r="CI27" i="62"/>
  <c r="CI29" i="62" s="1"/>
  <c r="CJ27" i="62"/>
  <c r="CJ29" i="62" s="1"/>
  <c r="CK27" i="62"/>
  <c r="CK29" i="62" s="1"/>
  <c r="CL27" i="62"/>
  <c r="CL29" i="62" s="1"/>
  <c r="CM27" i="62"/>
  <c r="CM29" i="62" s="1"/>
  <c r="CN27" i="62"/>
  <c r="CN29" i="62" s="1"/>
  <c r="CO27" i="62"/>
  <c r="CO29" i="62" s="1"/>
  <c r="AE32" i="62"/>
  <c r="BN28" i="62"/>
  <c r="Y32" i="62" s="1"/>
  <c r="AI28" i="62"/>
  <c r="Q32" i="62" s="1"/>
  <c r="AS28" i="62"/>
  <c r="BJ28" i="62"/>
  <c r="X32" i="62" s="1"/>
  <c r="AF1353" i="4"/>
  <c r="I1350" i="4"/>
  <c r="I40" i="66"/>
  <c r="CO46" i="66"/>
  <c r="N32" i="62"/>
  <c r="CO39" i="11"/>
  <c r="CO1439" i="4"/>
  <c r="CO1440" i="4" s="1"/>
  <c r="CO1396" i="4"/>
  <c r="CO1391" i="4" s="1"/>
  <c r="I20" i="66"/>
  <c r="CO26" i="66"/>
  <c r="I26" i="66" s="1"/>
  <c r="AT28" i="62"/>
  <c r="W32" i="62"/>
  <c r="BC27" i="62"/>
  <c r="BC29" i="62" s="1"/>
  <c r="BC28" i="62"/>
  <c r="V32" i="62" s="1"/>
  <c r="BU28" i="62"/>
  <c r="AA32" i="62" s="1"/>
  <c r="P32" i="62"/>
  <c r="BQ28" i="62"/>
  <c r="Z32" i="62" s="1"/>
  <c r="AF33" i="62" l="1"/>
  <c r="U33" i="62"/>
  <c r="AE33" i="62"/>
  <c r="AC33" i="62"/>
  <c r="AD33" i="62"/>
  <c r="AB33" i="62"/>
  <c r="AA33" i="62"/>
  <c r="T32" i="62"/>
  <c r="S33" i="62"/>
  <c r="Y33" i="62"/>
  <c r="W33" i="62"/>
  <c r="L33" i="62"/>
  <c r="I29" i="62"/>
  <c r="O33" i="62"/>
  <c r="AI99" i="67"/>
  <c r="AJ95" i="67"/>
  <c r="AJ97" i="67" s="1"/>
  <c r="AJ99" i="67" s="1"/>
  <c r="N33" i="62"/>
  <c r="V33" i="62"/>
  <c r="P33" i="62"/>
  <c r="CO48" i="66"/>
  <c r="I48" i="66" s="1"/>
  <c r="C14" i="9" s="1"/>
  <c r="M17" i="15" s="1"/>
  <c r="I46" i="66"/>
  <c r="Z33" i="62"/>
  <c r="X33" i="62"/>
  <c r="L32" i="62"/>
  <c r="I28" i="62"/>
  <c r="R1374" i="4"/>
  <c r="R1375" i="4" s="1"/>
  <c r="S1373" i="4"/>
  <c r="CO40" i="11"/>
  <c r="I40" i="11" s="1"/>
  <c r="C11" i="9" s="1"/>
  <c r="M14" i="15" s="1"/>
  <c r="I39" i="11"/>
  <c r="C10" i="9" s="1"/>
  <c r="I27" i="62"/>
  <c r="R33" i="62"/>
  <c r="E1442" i="4" a="1"/>
  <c r="E1442" i="4" s="1"/>
  <c r="E1443" i="4" a="1"/>
  <c r="E1443" i="4" s="1"/>
  <c r="BB1356" i="4"/>
  <c r="I1353" i="4"/>
  <c r="BG1356" i="4"/>
  <c r="AX1356" i="4"/>
  <c r="BN1356" i="4"/>
  <c r="CC1356" i="4"/>
  <c r="BR1356" i="4"/>
  <c r="AG1356" i="4"/>
  <c r="AO1355" i="4"/>
  <c r="CH1355" i="4"/>
  <c r="AJ1355" i="4"/>
  <c r="BE1355" i="4"/>
  <c r="BY1355" i="4"/>
  <c r="BF1355" i="4"/>
  <c r="AS1355" i="4"/>
  <c r="BA1355" i="4"/>
  <c r="BS1356" i="4"/>
  <c r="AM1356" i="4"/>
  <c r="CF1356" i="4"/>
  <c r="BL1356" i="4"/>
  <c r="CM1356" i="4"/>
  <c r="AW1356" i="4"/>
  <c r="AN1356" i="4"/>
  <c r="AY1356" i="4"/>
  <c r="BI1355" i="4"/>
  <c r="AX1355" i="4"/>
  <c r="BQ1355" i="4"/>
  <c r="CN1355" i="4"/>
  <c r="CC1355" i="4"/>
  <c r="BH1355" i="4"/>
  <c r="BW1356" i="4"/>
  <c r="BP1355" i="4"/>
  <c r="AP1356" i="4"/>
  <c r="BQ1356" i="4"/>
  <c r="BJ1356" i="4"/>
  <c r="BF1356" i="4"/>
  <c r="BM1356" i="4"/>
  <c r="CN1356" i="4"/>
  <c r="AH1356" i="4"/>
  <c r="BE1356" i="4"/>
  <c r="BZ1355" i="4"/>
  <c r="AP1355" i="4"/>
  <c r="CJ1355" i="4"/>
  <c r="CA1355" i="4"/>
  <c r="CM1355" i="4"/>
  <c r="BX1355" i="4"/>
  <c r="BL1355" i="4"/>
  <c r="AM1355" i="4"/>
  <c r="BS1355" i="4"/>
  <c r="CA1356" i="4"/>
  <c r="BA1356" i="4"/>
  <c r="CK1356" i="4"/>
  <c r="BV1356" i="4"/>
  <c r="CE1356" i="4"/>
  <c r="AR1356" i="4"/>
  <c r="CG1356" i="4"/>
  <c r="AJ1356" i="4"/>
  <c r="AN1355" i="4"/>
  <c r="BD1355" i="4"/>
  <c r="BV1355" i="4"/>
  <c r="CG1355" i="4"/>
  <c r="BU1355" i="4"/>
  <c r="CE1355" i="4"/>
  <c r="AK1355" i="4"/>
  <c r="CD1355" i="4"/>
  <c r="AS1356" i="4"/>
  <c r="AQ1356" i="4"/>
  <c r="BU1356" i="4"/>
  <c r="CI1356" i="4"/>
  <c r="CB1356" i="4"/>
  <c r="BY1356" i="4"/>
  <c r="AF1356" i="4"/>
  <c r="BC1356" i="4"/>
  <c r="AV1355" i="4"/>
  <c r="AY1355" i="4"/>
  <c r="CF1355" i="4"/>
  <c r="AU1355" i="4"/>
  <c r="BK1355" i="4"/>
  <c r="BR1355" i="4"/>
  <c r="AF1355" i="4"/>
  <c r="CK1355" i="4"/>
  <c r="AR1355" i="4"/>
  <c r="AV1356" i="4"/>
  <c r="AZ1355" i="4"/>
  <c r="BO1355" i="4"/>
  <c r="CO1355" i="4"/>
  <c r="CJ1356" i="4"/>
  <c r="CO1356" i="4"/>
  <c r="BP1356" i="4"/>
  <c r="AT1356" i="4"/>
  <c r="AL1356" i="4"/>
  <c r="E1359" i="4"/>
  <c r="AL1355" i="4"/>
  <c r="BI1356" i="4"/>
  <c r="AK1356" i="4"/>
  <c r="BK1356" i="4"/>
  <c r="CL1356" i="4"/>
  <c r="BH1356" i="4"/>
  <c r="CH1356" i="4"/>
  <c r="E1360" i="4"/>
  <c r="BX1356" i="4"/>
  <c r="BG1355" i="4"/>
  <c r="CL1355" i="4"/>
  <c r="BW1355" i="4"/>
  <c r="BN1355" i="4"/>
  <c r="AQ1355" i="4"/>
  <c r="AW1355" i="4"/>
  <c r="CB1355" i="4"/>
  <c r="AH1355" i="4"/>
  <c r="AO1356" i="4"/>
  <c r="BD1356" i="4"/>
  <c r="AZ1356" i="4"/>
  <c r="BO1356" i="4"/>
  <c r="AI1356" i="4"/>
  <c r="BT1356" i="4"/>
  <c r="AU1356" i="4"/>
  <c r="CD1356" i="4"/>
  <c r="AT1355" i="4"/>
  <c r="BJ1355" i="4"/>
  <c r="CI1355" i="4"/>
  <c r="BM1355" i="4"/>
  <c r="BT1355" i="4"/>
  <c r="AG1355" i="4"/>
  <c r="BB1355" i="4"/>
  <c r="AI1355" i="4"/>
  <c r="BZ1356" i="4"/>
  <c r="BC1355" i="4"/>
  <c r="Q33" i="62"/>
  <c r="M33" i="62"/>
  <c r="T33" i="62"/>
  <c r="Q1336" i="4"/>
  <c r="Q1337" i="4" s="1"/>
  <c r="R1335" i="4"/>
  <c r="I99" i="67" l="1"/>
  <c r="R1336" i="4"/>
  <c r="R1337" i="4" s="1"/>
  <c r="S1335" i="4"/>
  <c r="S1374" i="4"/>
  <c r="S1375" i="4" s="1"/>
  <c r="T1373" i="4"/>
  <c r="I35" i="62"/>
  <c r="I32" i="62"/>
  <c r="G19" i="15"/>
  <c r="G105" i="15"/>
  <c r="G18" i="15"/>
  <c r="G104" i="15"/>
  <c r="M13" i="15"/>
  <c r="C19" i="9"/>
  <c r="I33" i="62"/>
  <c r="I36" i="62"/>
  <c r="G28" i="2" l="1"/>
  <c r="E4" i="72"/>
  <c r="E4" i="62"/>
  <c r="M21" i="15"/>
  <c r="E4" i="11"/>
  <c r="G5" i="15"/>
  <c r="E4" i="66"/>
  <c r="E4" i="3"/>
  <c r="E4" i="4"/>
  <c r="E4" i="64"/>
  <c r="E4" i="67"/>
  <c r="E4" i="13"/>
  <c r="U1373" i="4"/>
  <c r="T1374" i="4"/>
  <c r="T1375" i="4" s="1"/>
  <c r="S1336" i="4"/>
  <c r="S1337" i="4" s="1"/>
  <c r="T1335" i="4"/>
  <c r="V1373" i="4" l="1"/>
  <c r="U1374" i="4"/>
  <c r="U1375" i="4" s="1"/>
  <c r="U1335" i="4"/>
  <c r="T1336" i="4"/>
  <c r="T1337" i="4" s="1"/>
  <c r="U1336" i="4" l="1"/>
  <c r="U1337" i="4" s="1"/>
  <c r="V1335" i="4"/>
  <c r="V1374" i="4"/>
  <c r="V1375" i="4" s="1"/>
  <c r="W1373" i="4"/>
  <c r="X1373" i="4" l="1"/>
  <c r="W1374" i="4"/>
  <c r="W1375" i="4" s="1"/>
  <c r="W1335" i="4"/>
  <c r="V1336" i="4"/>
  <c r="V1337" i="4" s="1"/>
  <c r="X1335" i="4" l="1"/>
  <c r="W1336" i="4"/>
  <c r="W1337" i="4" s="1"/>
  <c r="X1374" i="4"/>
  <c r="X1375" i="4" s="1"/>
  <c r="Y1373" i="4"/>
  <c r="Y1374" i="4" l="1"/>
  <c r="Y1375" i="4" s="1"/>
  <c r="Z1373" i="4"/>
  <c r="X1336" i="4"/>
  <c r="X1337" i="4" s="1"/>
  <c r="Y1335" i="4"/>
  <c r="Z1335" i="4" l="1"/>
  <c r="Y1336" i="4"/>
  <c r="Y1337" i="4" s="1"/>
  <c r="Z1374" i="4"/>
  <c r="Z1375" i="4" s="1"/>
  <c r="AA1373" i="4"/>
  <c r="AA1374" i="4" l="1"/>
  <c r="AA1375" i="4" s="1"/>
  <c r="AB1373" i="4"/>
  <c r="AA1335" i="4"/>
  <c r="Z1336" i="4"/>
  <c r="Z1337" i="4" s="1"/>
  <c r="AB1335" i="4" l="1"/>
  <c r="AA1336" i="4"/>
  <c r="AA1337" i="4" s="1"/>
  <c r="AC1373" i="4"/>
  <c r="AB1374" i="4"/>
  <c r="AB1375" i="4" s="1"/>
  <c r="AD1373" i="4" l="1"/>
  <c r="AC1374" i="4"/>
  <c r="AC1375" i="4" s="1"/>
  <c r="AC1335" i="4"/>
  <c r="AB1336" i="4"/>
  <c r="AB1337" i="4" s="1"/>
  <c r="AC1336" i="4" l="1"/>
  <c r="AC1337" i="4" s="1"/>
  <c r="AD1335" i="4"/>
  <c r="AE1373" i="4"/>
  <c r="AD1374" i="4"/>
  <c r="AD1375" i="4" s="1"/>
  <c r="AF1373" i="4" l="1"/>
  <c r="AE1374" i="4"/>
  <c r="AE1375" i="4" s="1"/>
  <c r="AD1336" i="4"/>
  <c r="AD1337" i="4" s="1"/>
  <c r="AE1335" i="4"/>
  <c r="AF1335" i="4" l="1"/>
  <c r="AE1336" i="4"/>
  <c r="AE1337" i="4" s="1"/>
  <c r="AF1374" i="4"/>
  <c r="AF1375" i="4" s="1"/>
  <c r="AG1373" i="4"/>
  <c r="AH1373" i="4" l="1"/>
  <c r="AG1374" i="4"/>
  <c r="AG1375" i="4" s="1"/>
  <c r="AG1335" i="4"/>
  <c r="AF1336" i="4"/>
  <c r="AF1337" i="4" s="1"/>
  <c r="AG1336" i="4" l="1"/>
  <c r="AG1337" i="4" s="1"/>
  <c r="AH1335" i="4"/>
  <c r="AI1373" i="4"/>
  <c r="AH1374" i="4"/>
  <c r="AH1375" i="4" s="1"/>
  <c r="AJ1373" i="4" l="1"/>
  <c r="AI1374" i="4"/>
  <c r="AI1375" i="4" s="1"/>
  <c r="AI1335" i="4"/>
  <c r="AH1336" i="4"/>
  <c r="AH1337" i="4" s="1"/>
  <c r="AI1336" i="4" l="1"/>
  <c r="AI1337" i="4" s="1"/>
  <c r="AJ1335" i="4"/>
  <c r="AJ1374" i="4"/>
  <c r="AJ1375" i="4" s="1"/>
  <c r="AK1373" i="4"/>
  <c r="AL1373" i="4" l="1"/>
  <c r="AK1374" i="4"/>
  <c r="AK1375" i="4" s="1"/>
  <c r="AJ1336" i="4"/>
  <c r="AJ1337" i="4" s="1"/>
  <c r="AK1335" i="4"/>
  <c r="AL1335" i="4" l="1"/>
  <c r="AK1336" i="4"/>
  <c r="AK1337" i="4" s="1"/>
  <c r="AL1374" i="4"/>
  <c r="AL1375" i="4" s="1"/>
  <c r="AM1373" i="4"/>
  <c r="AN1373" i="4" l="1"/>
  <c r="AM1374" i="4"/>
  <c r="AM1375" i="4" s="1"/>
  <c r="AL1336" i="4"/>
  <c r="AL1337" i="4" s="1"/>
  <c r="AM1335" i="4"/>
  <c r="AM1336" i="4" l="1"/>
  <c r="AM1337" i="4" s="1"/>
  <c r="AN1335" i="4"/>
  <c r="AO1373" i="4"/>
  <c r="AN1374" i="4"/>
  <c r="AN1375" i="4" s="1"/>
  <c r="AO1374" i="4" l="1"/>
  <c r="AO1375" i="4" s="1"/>
  <c r="AP1373" i="4"/>
  <c r="AN1336" i="4"/>
  <c r="AN1337" i="4" s="1"/>
  <c r="AO1335" i="4"/>
  <c r="AP1335" i="4" l="1"/>
  <c r="AO1336" i="4"/>
  <c r="AO1337" i="4" s="1"/>
  <c r="AQ1373" i="4"/>
  <c r="AP1374" i="4"/>
  <c r="AP1375" i="4" s="1"/>
  <c r="AR1373" i="4" l="1"/>
  <c r="AQ1374" i="4"/>
  <c r="AQ1375" i="4" s="1"/>
  <c r="AP1336" i="4"/>
  <c r="AP1337" i="4" s="1"/>
  <c r="AQ1335" i="4"/>
  <c r="AQ1336" i="4" l="1"/>
  <c r="AQ1337" i="4" s="1"/>
  <c r="AR1335" i="4"/>
  <c r="AS1373" i="4"/>
  <c r="AR1374" i="4"/>
  <c r="AR1375" i="4" s="1"/>
  <c r="AS1374" i="4" l="1"/>
  <c r="AS1375" i="4" s="1"/>
  <c r="AT1373" i="4"/>
  <c r="AS1335" i="4"/>
  <c r="AR1336" i="4"/>
  <c r="AR1337" i="4" s="1"/>
  <c r="AU1373" i="4" l="1"/>
  <c r="AT1374" i="4"/>
  <c r="AT1375" i="4" s="1"/>
  <c r="AT1335" i="4"/>
  <c r="AS1336" i="4"/>
  <c r="AS1337" i="4" s="1"/>
  <c r="AT1336" i="4" l="1"/>
  <c r="AT1337" i="4" s="1"/>
  <c r="AU1335" i="4"/>
  <c r="AU1374" i="4"/>
  <c r="AU1375" i="4" s="1"/>
  <c r="AV1373" i="4"/>
  <c r="AW1373" i="4" l="1"/>
  <c r="AV1374" i="4"/>
  <c r="AV1375" i="4" s="1"/>
  <c r="AU1336" i="4"/>
  <c r="AU1337" i="4" s="1"/>
  <c r="AV1335" i="4"/>
  <c r="AW1335" i="4" l="1"/>
  <c r="AV1336" i="4"/>
  <c r="AV1337" i="4" s="1"/>
  <c r="AW1374" i="4"/>
  <c r="AW1375" i="4" s="1"/>
  <c r="AX1373" i="4"/>
  <c r="AY1373" i="4" l="1"/>
  <c r="AX1374" i="4"/>
  <c r="AX1375" i="4" s="1"/>
  <c r="AX1335" i="4"/>
  <c r="AW1336" i="4"/>
  <c r="AW1337" i="4" s="1"/>
  <c r="AX1336" i="4" l="1"/>
  <c r="AX1337" i="4" s="1"/>
  <c r="AY1335" i="4"/>
  <c r="AZ1373" i="4"/>
  <c r="AY1374" i="4"/>
  <c r="AY1375" i="4" s="1"/>
  <c r="AZ1374" i="4" l="1"/>
  <c r="AZ1375" i="4" s="1"/>
  <c r="BA1373" i="4"/>
  <c r="AY1336" i="4"/>
  <c r="AY1337" i="4" s="1"/>
  <c r="AZ1335" i="4"/>
  <c r="BA1335" i="4" l="1"/>
  <c r="AZ1336" i="4"/>
  <c r="AZ1337" i="4" s="1"/>
  <c r="BA1374" i="4"/>
  <c r="BA1375" i="4" s="1"/>
  <c r="BB1373" i="4"/>
  <c r="BC1373" i="4" l="1"/>
  <c r="BB1374" i="4"/>
  <c r="BB1375" i="4" s="1"/>
  <c r="BB1335" i="4"/>
  <c r="BA1336" i="4"/>
  <c r="BA1337" i="4" s="1"/>
  <c r="BB1336" i="4" l="1"/>
  <c r="BB1337" i="4" s="1"/>
  <c r="BC1335" i="4"/>
  <c r="BD1373" i="4"/>
  <c r="BC1374" i="4"/>
  <c r="BC1375" i="4" s="1"/>
  <c r="BD1374" i="4" l="1"/>
  <c r="BD1375" i="4" s="1"/>
  <c r="BE1373" i="4"/>
  <c r="BC1336" i="4"/>
  <c r="BC1337" i="4" s="1"/>
  <c r="BD1335" i="4"/>
  <c r="BE1335" i="4" l="1"/>
  <c r="BD1336" i="4"/>
  <c r="BD1337" i="4" s="1"/>
  <c r="BF1373" i="4"/>
  <c r="BE1374" i="4"/>
  <c r="BE1375" i="4" s="1"/>
  <c r="BF1374" i="4" l="1"/>
  <c r="BF1375" i="4" s="1"/>
  <c r="BG1373" i="4"/>
  <c r="BF1335" i="4"/>
  <c r="BE1336" i="4"/>
  <c r="BE1337" i="4" s="1"/>
  <c r="BG1335" i="4" l="1"/>
  <c r="BF1336" i="4"/>
  <c r="BF1337" i="4" s="1"/>
  <c r="BG1374" i="4"/>
  <c r="BG1375" i="4" s="1"/>
  <c r="BH1373" i="4"/>
  <c r="BI1373" i="4" l="1"/>
  <c r="BH1374" i="4"/>
  <c r="BH1375" i="4" s="1"/>
  <c r="BH1335" i="4"/>
  <c r="BG1336" i="4"/>
  <c r="BG1337" i="4" s="1"/>
  <c r="BI1335" i="4" l="1"/>
  <c r="BH1336" i="4"/>
  <c r="BH1337" i="4" s="1"/>
  <c r="BI1374" i="4"/>
  <c r="BI1375" i="4" s="1"/>
  <c r="BJ1373" i="4"/>
  <c r="BK1373" i="4" l="1"/>
  <c r="BJ1374" i="4"/>
  <c r="BJ1375" i="4" s="1"/>
  <c r="BI1336" i="4"/>
  <c r="BI1337" i="4" s="1"/>
  <c r="BJ1335" i="4"/>
  <c r="BJ1336" i="4" l="1"/>
  <c r="BJ1337" i="4" s="1"/>
  <c r="BK1335" i="4"/>
  <c r="BL1373" i="4"/>
  <c r="BK1374" i="4"/>
  <c r="BK1375" i="4" s="1"/>
  <c r="BL1374" i="4" l="1"/>
  <c r="BL1375" i="4" s="1"/>
  <c r="BM1373" i="4"/>
  <c r="BK1336" i="4"/>
  <c r="BK1337" i="4" s="1"/>
  <c r="BL1335" i="4"/>
  <c r="BL1336" i="4" l="1"/>
  <c r="BL1337" i="4" s="1"/>
  <c r="BM1335" i="4"/>
  <c r="BN1373" i="4"/>
  <c r="BM1374" i="4"/>
  <c r="BM1375" i="4" s="1"/>
  <c r="BO1373" i="4" l="1"/>
  <c r="BN1374" i="4"/>
  <c r="BN1375" i="4" s="1"/>
  <c r="BN1335" i="4"/>
  <c r="BM1336" i="4"/>
  <c r="BM1337" i="4" s="1"/>
  <c r="BO1335" i="4" l="1"/>
  <c r="BN1336" i="4"/>
  <c r="BN1337" i="4" s="1"/>
  <c r="BP1373" i="4"/>
  <c r="BO1374" i="4"/>
  <c r="BO1375" i="4" s="1"/>
  <c r="BQ1373" i="4" l="1"/>
  <c r="BP1374" i="4"/>
  <c r="BP1375" i="4" s="1"/>
  <c r="BO1336" i="4"/>
  <c r="BO1337" i="4" s="1"/>
  <c r="BP1335" i="4"/>
  <c r="BP1336" i="4" l="1"/>
  <c r="BP1337" i="4" s="1"/>
  <c r="BQ1335" i="4"/>
  <c r="BQ1374" i="4"/>
  <c r="BQ1375" i="4" s="1"/>
  <c r="BR1373" i="4"/>
  <c r="BS1373" i="4" l="1"/>
  <c r="BR1374" i="4"/>
  <c r="BR1375" i="4" s="1"/>
  <c r="BQ1336" i="4"/>
  <c r="BQ1337" i="4" s="1"/>
  <c r="BR1335" i="4"/>
  <c r="BS1335" i="4" l="1"/>
  <c r="BR1336" i="4"/>
  <c r="BR1337" i="4" s="1"/>
  <c r="BS1374" i="4"/>
  <c r="BS1375" i="4" s="1"/>
  <c r="BT1373" i="4"/>
  <c r="BU1373" i="4" l="1"/>
  <c r="BT1374" i="4"/>
  <c r="BT1375" i="4" s="1"/>
  <c r="BS1336" i="4"/>
  <c r="BS1337" i="4" s="1"/>
  <c r="BT1335" i="4"/>
  <c r="BU1335" i="4" l="1"/>
  <c r="BT1336" i="4"/>
  <c r="BT1337" i="4" s="1"/>
  <c r="BV1373" i="4"/>
  <c r="BU1374" i="4"/>
  <c r="BU1375" i="4" s="1"/>
  <c r="BV1374" i="4" l="1"/>
  <c r="BV1375" i="4" s="1"/>
  <c r="BW1373" i="4"/>
  <c r="BU1336" i="4"/>
  <c r="BU1337" i="4" s="1"/>
  <c r="BV1335" i="4"/>
  <c r="BW1335" i="4" l="1"/>
  <c r="BV1336" i="4"/>
  <c r="BV1337" i="4" s="1"/>
  <c r="BW1374" i="4"/>
  <c r="BW1375" i="4" s="1"/>
  <c r="BX1373" i="4"/>
  <c r="BX1374" i="4" l="1"/>
  <c r="BX1375" i="4" s="1"/>
  <c r="BY1373" i="4"/>
  <c r="BW1336" i="4"/>
  <c r="BW1337" i="4" s="1"/>
  <c r="BX1335" i="4"/>
  <c r="BX1336" i="4" l="1"/>
  <c r="BX1337" i="4" s="1"/>
  <c r="BY1335" i="4"/>
  <c r="BY1374" i="4"/>
  <c r="BY1375" i="4" s="1"/>
  <c r="BZ1373" i="4"/>
  <c r="BZ1374" i="4" l="1"/>
  <c r="BZ1375" i="4" s="1"/>
  <c r="CA1373" i="4"/>
  <c r="BZ1335" i="4"/>
  <c r="BY1336" i="4"/>
  <c r="BY1337" i="4" s="1"/>
  <c r="BZ1336" i="4" l="1"/>
  <c r="BZ1337" i="4" s="1"/>
  <c r="CA1335" i="4"/>
  <c r="CA1374" i="4"/>
  <c r="CA1375" i="4" s="1"/>
  <c r="CB1373" i="4"/>
  <c r="CB1374" i="4" l="1"/>
  <c r="CB1375" i="4" s="1"/>
  <c r="CC1373" i="4"/>
  <c r="CA1336" i="4"/>
  <c r="CA1337" i="4" s="1"/>
  <c r="CB1335" i="4"/>
  <c r="CC1335" i="4" l="1"/>
  <c r="CB1336" i="4"/>
  <c r="CB1337" i="4" s="1"/>
  <c r="CC1374" i="4"/>
  <c r="CC1375" i="4" s="1"/>
  <c r="CD1373" i="4"/>
  <c r="CD1374" i="4" l="1"/>
  <c r="CD1375" i="4" s="1"/>
  <c r="CE1373" i="4"/>
  <c r="CD1335" i="4"/>
  <c r="CC1336" i="4"/>
  <c r="CC1337" i="4" s="1"/>
  <c r="CE1335" i="4" l="1"/>
  <c r="CD1336" i="4"/>
  <c r="CD1337" i="4" s="1"/>
  <c r="CF1373" i="4"/>
  <c r="CE1374" i="4"/>
  <c r="CE1375" i="4" s="1"/>
  <c r="CF1374" i="4" l="1"/>
  <c r="CF1375" i="4" s="1"/>
  <c r="CG1373" i="4"/>
  <c r="CF1335" i="4"/>
  <c r="CE1336" i="4"/>
  <c r="CE1337" i="4" s="1"/>
  <c r="CG1335" i="4" l="1"/>
  <c r="CF1336" i="4"/>
  <c r="CF1337" i="4" s="1"/>
  <c r="CH1373" i="4"/>
  <c r="CG1374" i="4"/>
  <c r="CG1375" i="4" s="1"/>
  <c r="CH1374" i="4" l="1"/>
  <c r="CH1375" i="4" s="1"/>
  <c r="CI1373" i="4"/>
  <c r="CG1336" i="4"/>
  <c r="CG1337" i="4" s="1"/>
  <c r="CH1335" i="4"/>
  <c r="CH1336" i="4" l="1"/>
  <c r="CH1337" i="4" s="1"/>
  <c r="CI1335" i="4"/>
  <c r="CI1374" i="4"/>
  <c r="CI1375" i="4" s="1"/>
  <c r="CJ1373" i="4"/>
  <c r="CJ1374" i="4" l="1"/>
  <c r="CJ1375" i="4" s="1"/>
  <c r="CK1373" i="4"/>
  <c r="CJ1335" i="4"/>
  <c r="CI1336" i="4"/>
  <c r="CI1337" i="4" s="1"/>
  <c r="CK1335" i="4" l="1"/>
  <c r="CJ1336" i="4"/>
  <c r="CJ1337" i="4" s="1"/>
  <c r="CL1373" i="4"/>
  <c r="CK1374" i="4"/>
  <c r="CK1375" i="4" s="1"/>
  <c r="CL1374" i="4" l="1"/>
  <c r="CL1375" i="4" s="1"/>
  <c r="CM1373" i="4"/>
  <c r="CK1336" i="4"/>
  <c r="CK1337" i="4" s="1"/>
  <c r="CL1335" i="4"/>
  <c r="CL1336" i="4" l="1"/>
  <c r="CL1337" i="4" s="1"/>
  <c r="CM1335" i="4"/>
  <c r="CN1373" i="4"/>
  <c r="CM1374" i="4"/>
  <c r="CM1375" i="4" s="1"/>
  <c r="CO1373" i="4" l="1"/>
  <c r="CN1374" i="4"/>
  <c r="CN1375" i="4" s="1"/>
  <c r="CM1336" i="4"/>
  <c r="CM1337" i="4" s="1"/>
  <c r="CN1335" i="4"/>
  <c r="CN1336" i="4" l="1"/>
  <c r="CN1337" i="4" s="1"/>
  <c r="CO1335" i="4"/>
  <c r="CO1374" i="4"/>
  <c r="CO1336" i="4" l="1"/>
  <c r="E1336" i="4" s="1"/>
  <c r="E1374" i="4"/>
  <c r="CO1375" i="4"/>
  <c r="E1375" i="4" s="1"/>
  <c r="E1376" i="4" s="1"/>
  <c r="E1377" i="4" s="1"/>
  <c r="CO1337" i="4" l="1"/>
  <c r="E1337" i="4" s="1"/>
  <c r="E1338" i="4" s="1"/>
  <c r="E1339" i="4" s="1"/>
  <c r="G15" i="15" s="1"/>
  <c r="G107" i="15"/>
  <c r="G21" i="15"/>
  <c r="G101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D4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Меняется только выручка. Расходы, зависящие от выручки, остаются прежними. Это анализ чувствительности на изменение "ценника", а не объемов реализации.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Алексей</author>
  </authors>
  <commentList>
    <comment ref="E15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указывается оценка без НДС</t>
        </r>
      </text>
    </comment>
    <comment ref="C360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Без учета имущества, вносимого инвесторами в качестве взноса в уставной капитал</t>
        </r>
      </text>
    </comment>
    <comment ref="C389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Отношение количества номеров, проданных в соответствующем квартале, к годовому количеству проданных номеров</t>
        </r>
      </text>
    </comment>
    <comment ref="C531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Алексей:</t>
        </r>
        <r>
          <rPr>
            <sz val="9"/>
            <color indexed="81"/>
            <rFont val="Tahoma"/>
            <family val="2"/>
            <charset val="204"/>
          </rPr>
          <t xml:space="preserve">
Действует только на историческом и инвестиционном этапах.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  <author>Адель</author>
    <author>Автор</author>
  </authors>
  <commentList>
    <comment ref="C749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750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751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789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C809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810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</text>
    </comment>
    <comment ref="C811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04"/>
          </rPr>
          <t>С учетом сценарной индексации</t>
        </r>
      </text>
    </comment>
    <comment ref="C889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04"/>
          </rPr>
          <t>Без учета сценарной индексации</t>
        </r>
      </text>
    </comment>
    <comment ref="E1099" authorId="1" shapeId="0" xr:uid="{00000000-0006-0000-0400-000009000000}">
      <text>
        <r>
          <rPr>
            <b/>
            <sz val="9"/>
            <color indexed="81"/>
            <rFont val="Tahoma"/>
            <family val="2"/>
            <charset val="204"/>
          </rPr>
          <t>Сценарий расчета процентной ставки:
1 - доля ставки ЦБ плюс маржа
2 - фисированная ставка</t>
        </r>
      </text>
    </comment>
    <comment ref="E1117" authorId="0" shapeId="0" xr:uid="{00000000-0006-0000-0400-00000A000000}">
      <text>
        <r>
          <rPr>
            <sz val="9"/>
            <color indexed="81"/>
            <rFont val="Tahoma"/>
            <family val="2"/>
            <charset val="204"/>
          </rPr>
          <t>Учет остатков денежных средств при погашении долг</t>
        </r>
        <r>
          <rPr>
            <b/>
            <sz val="9"/>
            <color indexed="81"/>
            <rFont val="Tahoma"/>
            <family val="2"/>
            <charset val="204"/>
          </rPr>
          <t>а</t>
        </r>
      </text>
    </comment>
    <comment ref="E1165" authorId="2" shapeId="0" xr:uid="{00000000-0006-0000-0400-00000B000000}">
      <text>
        <r>
          <rPr>
            <b/>
            <sz val="9"/>
            <color indexed="81"/>
            <rFont val="Tahoma"/>
            <family val="2"/>
            <charset val="204"/>
          </rPr>
          <t>По оценке, включая НДС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1343" authorId="0" shapeId="0" xr:uid="{00000000-0006-0000-0400-00000C000000}">
      <text>
        <r>
          <rPr>
            <sz val="9"/>
            <color indexed="81"/>
            <rFont val="Tahoma"/>
            <family val="2"/>
            <charset val="204"/>
          </rPr>
          <t>Метод расчета:
1 - расчет через поток фактических взносов и выплат акционерам (с учетом распределения чистой прибыли)
2 - традиционный расчет OCF + ICF + Debt (весь доступный денежный поток без учета суммы чистой прибыли, доступной для распределения)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F6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Меняется только выручка. Расходы, зависящие от выручки, остаются прежними. Это анализ чувствительности на изменение "ценника", а не объемов реализации.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Алексей</author>
  </authors>
  <commentList>
    <comment ref="E27" authorId="0" shapeId="0" xr:uid="{00000000-0006-0000-0C00-000001000000}">
      <text>
        <r>
          <rPr>
            <b/>
            <sz val="9"/>
            <color indexed="81"/>
            <rFont val="Tahoma"/>
            <family val="2"/>
            <charset val="204"/>
          </rPr>
          <t>ст. 284.2 НК РФ
Ставка налога на прибыль с доходов от реализации акций и долей в уставном капитале равна 0%, если срок владения ими составил более 5 лет</t>
        </r>
      </text>
    </comment>
  </commentList>
</comments>
</file>

<file path=xl/sharedStrings.xml><?xml version="1.0" encoding="utf-8"?>
<sst xmlns="http://schemas.openxmlformats.org/spreadsheetml/2006/main" count="3302" uniqueCount="1566">
  <si>
    <t>Версия модели:</t>
  </si>
  <si>
    <t>ОГРАНИЧЕНИЕ ОТВЕТСТВЕННОСТИ:</t>
  </si>
  <si>
    <t>Раздел</t>
  </si>
  <si>
    <t>Описание</t>
  </si>
  <si>
    <t>Предпосылки</t>
  </si>
  <si>
    <t>Финансирование</t>
  </si>
  <si>
    <t>Стиль</t>
  </si>
  <si>
    <t>Формат</t>
  </si>
  <si>
    <t>Форматирование заголовков / разделителей</t>
  </si>
  <si>
    <t>Заголовок</t>
  </si>
  <si>
    <t>Уровень 1</t>
  </si>
  <si>
    <t>Уровень 2</t>
  </si>
  <si>
    <t>Уровень 3</t>
  </si>
  <si>
    <t>Уровень 4</t>
  </si>
  <si>
    <t xml:space="preserve">Данные, вводимые пользователем </t>
  </si>
  <si>
    <t>Ячейка, содержащая выпадающий список</t>
  </si>
  <si>
    <t>Ячейка, значение в которой рассчитано с помощью макроса</t>
  </si>
  <si>
    <t>Проверка</t>
  </si>
  <si>
    <t>Пояснение, единицы измерения</t>
  </si>
  <si>
    <t>Сумма ячеек, расположенных непосредственно над данной ячейкой</t>
  </si>
  <si>
    <t>Итого</t>
  </si>
  <si>
    <t>Год</t>
  </si>
  <si>
    <t>Показатель</t>
  </si>
  <si>
    <t>Ед. изм.</t>
  </si>
  <si>
    <t>Источник</t>
  </si>
  <si>
    <t>Валюта модели</t>
  </si>
  <si>
    <t>тыс. руб.</t>
  </si>
  <si>
    <t>Макроэкономические допущения</t>
  </si>
  <si>
    <t>%</t>
  </si>
  <si>
    <t>Сценарий - Индекс потребительских цен</t>
  </si>
  <si>
    <t>Дата начала Финансовой модели</t>
  </si>
  <si>
    <t>дата</t>
  </si>
  <si>
    <t>Количество дней в году</t>
  </si>
  <si>
    <t>Количество месяцев в году</t>
  </si>
  <si>
    <t>Количество периодов в году</t>
  </si>
  <si>
    <t>Количество месяцев в прогнозном периоде</t>
  </si>
  <si>
    <t>Миллион</t>
  </si>
  <si>
    <t>Тысяча</t>
  </si>
  <si>
    <t>Сотня</t>
  </si>
  <si>
    <t>Консервативный МЭР</t>
  </si>
  <si>
    <t>Базовый МЭР</t>
  </si>
  <si>
    <t>Контроль показателей Финансовой модели</t>
  </si>
  <si>
    <t>отрицательные денежные средства</t>
  </si>
  <si>
    <t>отражение ДС в ОДДС и денежных потоков для расчета показателей</t>
  </si>
  <si>
    <t>Дата и время</t>
  </si>
  <si>
    <t>год</t>
  </si>
  <si>
    <t>дни</t>
  </si>
  <si>
    <t>Месяцев в периоде</t>
  </si>
  <si>
    <t>месяц</t>
  </si>
  <si>
    <t>индекс потребительских цен, с первого прогнозного периода</t>
  </si>
  <si>
    <t>Инвестиции в создание объектов основных средств, накопленным итогом</t>
  </si>
  <si>
    <t>Итого: осуществленные инвестиции накопленным итогом на конец периода</t>
  </si>
  <si>
    <t>Прочие расходы, капитализируемые в стоимость ОС</t>
  </si>
  <si>
    <t>Капитализированные расходы, формирующие стоимость ОС</t>
  </si>
  <si>
    <t>Процентные расходы - заемные средства</t>
  </si>
  <si>
    <t>Операционные расходы</t>
  </si>
  <si>
    <t>Банковские комиссии</t>
  </si>
  <si>
    <t>Административные и коммерческие расходы</t>
  </si>
  <si>
    <t>Итого: капитализированные расходы на конец периода</t>
  </si>
  <si>
    <t>Капитализированные расходы, формирующие стоимость ОС, накопленным итогом</t>
  </si>
  <si>
    <t>Итого: капитализированные расходы накопленным итогом на конец периода</t>
  </si>
  <si>
    <t>Ввод в эксплуатацию объектов основных средств</t>
  </si>
  <si>
    <t>I.</t>
  </si>
  <si>
    <t>внеоборотные активы</t>
  </si>
  <si>
    <t>незавершенное строительство</t>
  </si>
  <si>
    <t>основные средства</t>
  </si>
  <si>
    <t>II.</t>
  </si>
  <si>
    <t>оборотные активы</t>
  </si>
  <si>
    <t>запасы</t>
  </si>
  <si>
    <t>дебиторская задолженность</t>
  </si>
  <si>
    <t xml:space="preserve">денежные средства </t>
  </si>
  <si>
    <t>III.</t>
  </si>
  <si>
    <t>капитал и резервы</t>
  </si>
  <si>
    <t>уставный капитал</t>
  </si>
  <si>
    <t>нераспределенная прибыль (убыток)</t>
  </si>
  <si>
    <t>IV.</t>
  </si>
  <si>
    <t>долгосрочные обязательства</t>
  </si>
  <si>
    <t>V.</t>
  </si>
  <si>
    <t>краткосрочные обязательства</t>
  </si>
  <si>
    <t>кредиторская задолженность</t>
  </si>
  <si>
    <t>операционные расходы</t>
  </si>
  <si>
    <t>EBITDA</t>
  </si>
  <si>
    <t>EBIT</t>
  </si>
  <si>
    <t>операционная деятельность</t>
  </si>
  <si>
    <t>выручка от операционной деятельности</t>
  </si>
  <si>
    <t>банковские комиссии</t>
  </si>
  <si>
    <t>процентные платежи по заемным средствам</t>
  </si>
  <si>
    <t>налог на прибыль</t>
  </si>
  <si>
    <t>изменение оборотного капитала (не вкл. НДС)</t>
  </si>
  <si>
    <t>инвестиционная деятельность</t>
  </si>
  <si>
    <t>финансовая деятельность</t>
  </si>
  <si>
    <t>привлечение акционерного капитала</t>
  </si>
  <si>
    <t>выплата дивидендов</t>
  </si>
  <si>
    <t>х.хх</t>
  </si>
  <si>
    <t>Дата</t>
  </si>
  <si>
    <t>Коэффициент</t>
  </si>
  <si>
    <t>Выручка</t>
  </si>
  <si>
    <t>Форматирование отдельных ячеек</t>
  </si>
  <si>
    <t>Оборотный капитал</t>
  </si>
  <si>
    <t>дней</t>
  </si>
  <si>
    <t>Запасы</t>
  </si>
  <si>
    <t>Расчет налогооблагаемой прибыли</t>
  </si>
  <si>
    <t>Операционные и эксплуатационные расходы</t>
  </si>
  <si>
    <t>Прочие платы по кредитам</t>
  </si>
  <si>
    <t>Налогооблагаемая прибыль</t>
  </si>
  <si>
    <t>Расчет налоговых убытков</t>
  </si>
  <si>
    <t>Акционерный капитал</t>
  </si>
  <si>
    <t>Налог на прибыль</t>
  </si>
  <si>
    <t>Кредиторская задолженность</t>
  </si>
  <si>
    <t>Дебиторская задолженность</t>
  </si>
  <si>
    <t>Выбор макроэкономических сценариев финансовой модели</t>
  </si>
  <si>
    <t>Налог на имущество</t>
  </si>
  <si>
    <t>изменение чистого денежного потока по НДС</t>
  </si>
  <si>
    <t xml:space="preserve"> </t>
  </si>
  <si>
    <t>Исходящая ссылка на лист допущений</t>
  </si>
  <si>
    <t>Сумма ячеек по строке</t>
  </si>
  <si>
    <t>Налоговые и бухгалтерские предпосылки</t>
  </si>
  <si>
    <t>НК РФ</t>
  </si>
  <si>
    <t>Год, в котором возможен полный учет полученных налоговых убытков предыдущих периодов</t>
  </si>
  <si>
    <t>Ставка налога на имущество</t>
  </si>
  <si>
    <t>НДС</t>
  </si>
  <si>
    <t>Оборачиваемость НДС к получению</t>
  </si>
  <si>
    <t>Оборачиваемость НДС к уплате</t>
  </si>
  <si>
    <t>лет</t>
  </si>
  <si>
    <t>Капитальные вложения</t>
  </si>
  <si>
    <t>Балансовая стоимость на начало периода</t>
  </si>
  <si>
    <t>Ввод в эксплуатацию</t>
  </si>
  <si>
    <t>Накопленная амортизация на конец периода</t>
  </si>
  <si>
    <t>Балансовая стоимость на конец периода</t>
  </si>
  <si>
    <t>Амортизационная премия</t>
  </si>
  <si>
    <t>В том числе:</t>
  </si>
  <si>
    <t>Ввод в эксплуатацию - недвижимое имущество</t>
  </si>
  <si>
    <t>Амортизационная премия - налоговый учет</t>
  </si>
  <si>
    <t>Периоды амортизации - бухгалтерский учет</t>
  </si>
  <si>
    <t>Периоды амортизации - налоговый учет</t>
  </si>
  <si>
    <t>Валовая прибыль (убыток)</t>
  </si>
  <si>
    <t>Управленческие расходы</t>
  </si>
  <si>
    <t>Проценты к уплате, в т. ч.:</t>
  </si>
  <si>
    <t>Прочие расходы, в т.ч.:</t>
  </si>
  <si>
    <t>Прибыль (убыток) до налогообложения</t>
  </si>
  <si>
    <t>Текущий налог на прибыль</t>
  </si>
  <si>
    <t>Дивиденды уплаченные</t>
  </si>
  <si>
    <t>Нераспределенная прибыль за период</t>
  </si>
  <si>
    <t>накопленный ИПЦ с первого прогнозного периода - по периодам</t>
  </si>
  <si>
    <t>Коммерческие и административные расходы</t>
  </si>
  <si>
    <t>НДС к уплате</t>
  </si>
  <si>
    <t>На начало периода</t>
  </si>
  <si>
    <t>Начисление</t>
  </si>
  <si>
    <t>Уплата НДС в бюджет</t>
  </si>
  <si>
    <t>На конец периода</t>
  </si>
  <si>
    <t/>
  </si>
  <si>
    <t>НДС к возмещению</t>
  </si>
  <si>
    <t>Возмещение НДС из бюджета</t>
  </si>
  <si>
    <t xml:space="preserve">Убыток предыдущих периодов </t>
  </si>
  <si>
    <t>Начисление убытка за период</t>
  </si>
  <si>
    <t xml:space="preserve">Убыток, перенесенный на будущие периоды </t>
  </si>
  <si>
    <t>База для начисления налога на имущество</t>
  </si>
  <si>
    <t>Налоговая база</t>
  </si>
  <si>
    <t>Налогооблагаемая прибыль (после вычета накопленного убытка)</t>
  </si>
  <si>
    <t>Убыток, использованный в течение периода</t>
  </si>
  <si>
    <t>Без индексации</t>
  </si>
  <si>
    <t>Капитальные затраты</t>
  </si>
  <si>
    <t>Старший долг</t>
  </si>
  <si>
    <t>Направления использования средств</t>
  </si>
  <si>
    <t>Источники средств</t>
  </si>
  <si>
    <t>Проверка (источники = направлениям использования)</t>
  </si>
  <si>
    <t>Дивиденды</t>
  </si>
  <si>
    <t>Итого: направления использования средств</t>
  </si>
  <si>
    <t>Итого: источники средств</t>
  </si>
  <si>
    <t>Общие параметры</t>
  </si>
  <si>
    <t>Выборки</t>
  </si>
  <si>
    <t>Источники и направления использования средств</t>
  </si>
  <si>
    <t>Расчет потребности в привлечении финансирования</t>
  </si>
  <si>
    <t>Расчет потребности в финансировании</t>
  </si>
  <si>
    <t>Акционерный капитал на начало периода</t>
  </si>
  <si>
    <t>Акционерный капитал на конец периода</t>
  </si>
  <si>
    <t>Итого: источники акционерного финансирования</t>
  </si>
  <si>
    <t>Распределение по источникам акционерного финансирования</t>
  </si>
  <si>
    <t>Параметры финансирования</t>
  </si>
  <si>
    <t>Баланс на конец периода</t>
  </si>
  <si>
    <t>Баланс на начало периода</t>
  </si>
  <si>
    <t>Процентная ставка с учетом анализа чувствительности</t>
  </si>
  <si>
    <t>Проценты начисленные</t>
  </si>
  <si>
    <t>Проценты, уплаченные всего</t>
  </si>
  <si>
    <t>Флаг - выплата процентов</t>
  </si>
  <si>
    <t>CFADS</t>
  </si>
  <si>
    <t>Дата привлечения финансирования</t>
  </si>
  <si>
    <t>Срок кредита</t>
  </si>
  <si>
    <t>Отсрочка по выплате основной суммы долга</t>
  </si>
  <si>
    <t>Отсрочка по выплате процентов</t>
  </si>
  <si>
    <t>Первый период возврата кредита (не позднее)</t>
  </si>
  <si>
    <t>Первый период выплаты процентов (не позднее)</t>
  </si>
  <si>
    <t>Дата окончания срока кредитной линии</t>
  </si>
  <si>
    <t>Комиссия за открытие кредитной линии</t>
  </si>
  <si>
    <t>Погашение основного долга</t>
  </si>
  <si>
    <t>Проценты уплаченные</t>
  </si>
  <si>
    <t>Итого: банковские комиссии</t>
  </si>
  <si>
    <t>Каскад денежных потоков</t>
  </si>
  <si>
    <t>Денежные потоки до финансирования и налогообложения</t>
  </si>
  <si>
    <t>Денежный поток до финансирования и после налогообложения</t>
  </si>
  <si>
    <t>Денежный поток до привлечения финансирования</t>
  </si>
  <si>
    <t>Остаток денежных средств на конец периода</t>
  </si>
  <si>
    <t>Флаг - выплата заемных средств - вспомогательный расчет</t>
  </si>
  <si>
    <t>Баланс задолженности на конец периода</t>
  </si>
  <si>
    <t>Капитальные затраты для целей расчета НДС</t>
  </si>
  <si>
    <t>Дней в периоде</t>
  </si>
  <si>
    <t>Изменение в оборотном капитале</t>
  </si>
  <si>
    <t>Уплачено</t>
  </si>
  <si>
    <t>Средняя оборачиваемость запасов</t>
  </si>
  <si>
    <t>Прогнозный оборотный капитал</t>
  </si>
  <si>
    <t>Итого оборотный капитал</t>
  </si>
  <si>
    <t>Изменение оборотного капитала</t>
  </si>
  <si>
    <t>Средняя оборачиваемость кредиторской задолженности</t>
  </si>
  <si>
    <t>Средняя оборачиваемость дебиторской задолженности</t>
  </si>
  <si>
    <t>Увеличение оборотного капитала</t>
  </si>
  <si>
    <t>Уменьшение оборотного капитала</t>
  </si>
  <si>
    <t>Денежные средства на конец периода</t>
  </si>
  <si>
    <t>Календарный год для расчета денежных потоков</t>
  </si>
  <si>
    <t>Денежный поток в годовом выражении</t>
  </si>
  <si>
    <t>Чистая приведенная стоимость (NPV)</t>
  </si>
  <si>
    <t>Простой период окупаемости (PBP)</t>
  </si>
  <si>
    <t>Накопленный денежный поток</t>
  </si>
  <si>
    <t>Флаг - период окупаемости</t>
  </si>
  <si>
    <t xml:space="preserve">День периода, когда достигается окупаемость </t>
  </si>
  <si>
    <t>Количество лет</t>
  </si>
  <si>
    <t>Дисконтированный период окупаемости (DPBP)</t>
  </si>
  <si>
    <t>Период дисконтирования</t>
  </si>
  <si>
    <t>Дисконт фактор</t>
  </si>
  <si>
    <t>Дисконтированный денежный поток</t>
  </si>
  <si>
    <t>Накопленный дисконтированный денежный поток</t>
  </si>
  <si>
    <t>Финансовые показатели (коэффициенты)</t>
  </si>
  <si>
    <t>Показатели ликвидности (платежеспособности)</t>
  </si>
  <si>
    <t>Коэффициент текущей ликвидности (Current ratio)</t>
  </si>
  <si>
    <t>Коэффициент быстрой ликвидности (Quick ratio)</t>
  </si>
  <si>
    <t>Сумма денежных средств и дебиторской задолженности</t>
  </si>
  <si>
    <t>Оборотные активы</t>
  </si>
  <si>
    <t>Краткосрочные обязательства</t>
  </si>
  <si>
    <t>Показатели (коэффициенты) рентабельности</t>
  </si>
  <si>
    <t>Рентабельность активов (ROA)</t>
  </si>
  <si>
    <t>Рентабельность собственного капитала (ROE)</t>
  </si>
  <si>
    <t>Рентабельность инвестиций (ROCE)</t>
  </si>
  <si>
    <t>Чистая прибыль</t>
  </si>
  <si>
    <t>Средние суммарные активы</t>
  </si>
  <si>
    <t>Собственный капитал</t>
  </si>
  <si>
    <t>Собственный капитал + Долгосрочные обязательства</t>
  </si>
  <si>
    <t>Коэффициент покрытия кредитных выплат (DSCR)</t>
  </si>
  <si>
    <t>Выплаты по старшему долгу</t>
  </si>
  <si>
    <t>DSCR</t>
  </si>
  <si>
    <t>среднее</t>
  </si>
  <si>
    <t>минимальное</t>
  </si>
  <si>
    <t>Акционерное финансирование</t>
  </si>
  <si>
    <t>максимальное</t>
  </si>
  <si>
    <t>Debt/EBITDA</t>
  </si>
  <si>
    <t>Календарный год для расчета потоков</t>
  </si>
  <si>
    <t>Конец календарного года</t>
  </si>
  <si>
    <t>Остаток долга на конец периода</t>
  </si>
  <si>
    <t>Debt / EBITDA</t>
  </si>
  <si>
    <t>Net Debt / EBITDA</t>
  </si>
  <si>
    <t>Инвестиционные показатели Проекта</t>
  </si>
  <si>
    <t>Итого свободные денежные потоки по проекту (FCFF)</t>
  </si>
  <si>
    <t>WACC</t>
  </si>
  <si>
    <t>Свободный денежный поток для акционеров (FCFE)</t>
  </si>
  <si>
    <t>Нераспределенная прибыль на начало периода</t>
  </si>
  <si>
    <t>Возможный уровень дивидендных выплат</t>
  </si>
  <si>
    <t>Итого: дивиденды за период</t>
  </si>
  <si>
    <t>Комиссии по старшему долгу</t>
  </si>
  <si>
    <t>Проверка - расчет потребности в финансировании</t>
  </si>
  <si>
    <t>Акционерный капитал - выборка</t>
  </si>
  <si>
    <t>расчеты, выполненные макросом</t>
  </si>
  <si>
    <t>Допущения по оценке проекта</t>
  </si>
  <si>
    <t>Средневзвешенная стоимость капитала (WACC)</t>
  </si>
  <si>
    <t>Акционерный капитал - вклад в УК</t>
  </si>
  <si>
    <t>Средневзвешенная стоимость капитала</t>
  </si>
  <si>
    <t>Безрисковая ставка (Rf)</t>
  </si>
  <si>
    <t>Рыночная премия (MPr)</t>
  </si>
  <si>
    <t>Премия за страновые риски РФ (CRP) в долларах США</t>
  </si>
  <si>
    <t>Коэффициент Бета (β)</t>
  </si>
  <si>
    <t>Бета активов без учета структуры капитала</t>
  </si>
  <si>
    <t>Доля заемного капитала</t>
  </si>
  <si>
    <t xml:space="preserve">Доля акционерного капитала </t>
  </si>
  <si>
    <t>Бета акционерного капитала с учетом структуры капитала</t>
  </si>
  <si>
    <t>Стоимость собственного капитала в долларах США</t>
  </si>
  <si>
    <t>Доходность гособлигаций РФ в долларах</t>
  </si>
  <si>
    <t>Доходность гособлигаций РФ в рублях</t>
  </si>
  <si>
    <t>Стоимость собственного капитала в российских рублях</t>
  </si>
  <si>
    <t>Расчет стоимости капитала (WACC)</t>
  </si>
  <si>
    <t>http://pages.stern.nyu.edu/~adamodar/New_Home_Page/datafile/Betas.html</t>
  </si>
  <si>
    <t>https://smart-lab.ru/q/eurobonds/order_by_mat_years/desc/</t>
  </si>
  <si>
    <t>https://smart-lab.ru/q/ofz/order_by_mat_date/desc/</t>
  </si>
  <si>
    <t>http://people.stern.nyu.edu/adamodar/New_Home_Page/home.htm</t>
  </si>
  <si>
    <t>https://www.bloomberg.com/markets/rates-bonds/government-bonds/us</t>
  </si>
  <si>
    <t>Возможное распределение средств акционерам (без учета нераспределенной прибыли)</t>
  </si>
  <si>
    <t>млн руб.</t>
  </si>
  <si>
    <t>Внутренняя норма доходности (IRR)</t>
  </si>
  <si>
    <t>Ключевая ставка ЦБ</t>
  </si>
  <si>
    <t>Расчет денежных потоков для акционеров Проекта</t>
  </si>
  <si>
    <t>Инвестиционные показатели для акционеров Проекта</t>
  </si>
  <si>
    <t>старший долг полностью погашен</t>
  </si>
  <si>
    <t>Бета (β) активов без учета структуры капитала</t>
  </si>
  <si>
    <t>Амортизация</t>
  </si>
  <si>
    <t>Проценты начисленные - старший долг</t>
  </si>
  <si>
    <t>индекс потребительских цен, среднее за соответствующий период</t>
  </si>
  <si>
    <t>Финансирование НДС</t>
  </si>
  <si>
    <t>Возмещение НДС</t>
  </si>
  <si>
    <t>Флаг</t>
  </si>
  <si>
    <t>Название финансовой модели</t>
  </si>
  <si>
    <t>Оборачиваемость - Дебиторская задолженность</t>
  </si>
  <si>
    <t>Оборачиваемость - Запасы</t>
  </si>
  <si>
    <t>Оборачиваемость - Кредиторская задолженность</t>
  </si>
  <si>
    <t>Целевой уровень заемных средств</t>
  </si>
  <si>
    <t>Расчет амортизации</t>
  </si>
  <si>
    <t>Бухгалтерский баланс</t>
  </si>
  <si>
    <t>Отчет о прибылях и убытках</t>
  </si>
  <si>
    <t>Отчет о движении денежных средств</t>
  </si>
  <si>
    <t>Проверки</t>
  </si>
  <si>
    <t>Прочее</t>
  </si>
  <si>
    <t>Амортизация - налоговый учет</t>
  </si>
  <si>
    <t>Амортизация - бухгалтерский учет</t>
  </si>
  <si>
    <t>Обобщенная информация - амортизация</t>
  </si>
  <si>
    <t>Налоговая база по налогу на имущество</t>
  </si>
  <si>
    <t>Расчет банковских комиссий</t>
  </si>
  <si>
    <t>Процентная ставка по старшему долгу в расчетном периоде</t>
  </si>
  <si>
    <t>Потребность в финансировании - расчет</t>
  </si>
  <si>
    <t>Процентные расходы</t>
  </si>
  <si>
    <t>Выборка и погашение старшего долга</t>
  </si>
  <si>
    <t>Обобщенные сведения по старшему долгу</t>
  </si>
  <si>
    <t>контроль отражения денежных средств в балансе</t>
  </si>
  <si>
    <t>контроль неотрицательных денежных средств</t>
  </si>
  <si>
    <t>контроль расчета денежных средств для оценки показателей проекта</t>
  </si>
  <si>
    <t>Итого: активы</t>
  </si>
  <si>
    <t>Итого: пассивы</t>
  </si>
  <si>
    <t>Итого: денежный поток за период</t>
  </si>
  <si>
    <t>Проценты</t>
  </si>
  <si>
    <t>Сумма по разделу</t>
  </si>
  <si>
    <t>Целевой финансовый рычаг (доля заемных средств)</t>
  </si>
  <si>
    <t>Ввод в эксплуатацию - Капитализированные расходы</t>
  </si>
  <si>
    <t>ГРАФИКИ</t>
  </si>
  <si>
    <t>Ставка по старшему долгу (маржа к ключевой ставке ЦБ)</t>
  </si>
  <si>
    <t>Точность расчетов</t>
  </si>
  <si>
    <t>Финансирование потребности в оборотном капитале в периоде создания</t>
  </si>
  <si>
    <t>Проценты, уплаченные в период создания</t>
  </si>
  <si>
    <t>Комиссия за обязательство</t>
  </si>
  <si>
    <t>Осталось платежей по кредиту</t>
  </si>
  <si>
    <t>Потребность в финансировании за счет кредитных средств</t>
  </si>
  <si>
    <t>Потребность в финансировании за счет средств акционеров</t>
  </si>
  <si>
    <t>Уплата НДС</t>
  </si>
  <si>
    <t>Доходность гособлигаций РФ в рублях - ОФЗ 26230</t>
  </si>
  <si>
    <t>0..1</t>
  </si>
  <si>
    <t>Долговое финансирование</t>
  </si>
  <si>
    <t>Итого: незавершенное строительство на конец периода</t>
  </si>
  <si>
    <t>источники равны направлениям использования средств</t>
  </si>
  <si>
    <t>1 проверка баланса</t>
  </si>
  <si>
    <t>2 проверка баланса</t>
  </si>
  <si>
    <t>отражение ДС на балансе и ОДДС</t>
  </si>
  <si>
    <t>акционерный заем полностью погашен</t>
  </si>
  <si>
    <t>процентные платежи по акционерному займу</t>
  </si>
  <si>
    <t>Акционерный заем</t>
  </si>
  <si>
    <t>Процентные расходы - акционерный долг</t>
  </si>
  <si>
    <t>Проценты начисленные - акционерные займы</t>
  </si>
  <si>
    <t>Акционерный заем - выборка</t>
  </si>
  <si>
    <t>Акционерный капитал - акционерный займ</t>
  </si>
  <si>
    <t>Привлечение и погашение акционерного долга</t>
  </si>
  <si>
    <t>Привлечение акционерного займа в периоде создания</t>
  </si>
  <si>
    <t>Привлечение акционерного займа в периоде эксплуатации</t>
  </si>
  <si>
    <t>Погашение акционерного займа</t>
  </si>
  <si>
    <t>Итого: привлечение акционерного займа</t>
  </si>
  <si>
    <t>Расчет средств, доступных для погашения акционерного долга</t>
  </si>
  <si>
    <t>Потребность в уплате процентов по акционерному займу</t>
  </si>
  <si>
    <t>Денежный поток, доступный для выплаты процентов по акционерному займу</t>
  </si>
  <si>
    <t>Выплата процентов по акционерному займу с учетом доступных средств</t>
  </si>
  <si>
    <t>Денежный поток, доступный для погашения акционерного займа</t>
  </si>
  <si>
    <t>Свободный денежный поток для акционеров (FCFE) после обслуживания акционерного займа</t>
  </si>
  <si>
    <t>Календарный год</t>
  </si>
  <si>
    <t>Дней в году</t>
  </si>
  <si>
    <t>Накопленное количество месяцев с начала модели</t>
  </si>
  <si>
    <t>Накопленное количество лет на начало периода с начала модели</t>
  </si>
  <si>
    <t>Накопленное количество лет на конец периода с начала модели</t>
  </si>
  <si>
    <t>Продолжительность периода (коэффициент)</t>
  </si>
  <si>
    <t>коэфф.</t>
  </si>
  <si>
    <t>Технические параметры и флаги</t>
  </si>
  <si>
    <t>Дата начала периода</t>
  </si>
  <si>
    <t>Дата окончания периода</t>
  </si>
  <si>
    <t>Макроэкономические параметры</t>
  </si>
  <si>
    <t>Ключевая ставка ЦБ в соответствующем периоде</t>
  </si>
  <si>
    <t>прогнозная ключевая ставка ЦБ (с учетом продолжительности периода)</t>
  </si>
  <si>
    <t>Флаги</t>
  </si>
  <si>
    <t>Лет амортизации</t>
  </si>
  <si>
    <t>Ставка амортизации</t>
  </si>
  <si>
    <t>Историческая стоимость</t>
  </si>
  <si>
    <t>Начисленная амортизация</t>
  </si>
  <si>
    <t>Бухгалтерский учет</t>
  </si>
  <si>
    <t>Налоговый учет</t>
  </si>
  <si>
    <t>Балансовая стоимость основных средств на начало периода</t>
  </si>
  <si>
    <t>Начисленная амортизация - недвижимое имущество</t>
  </si>
  <si>
    <t>Балансовая стоимость основных средств на конец периода</t>
  </si>
  <si>
    <t>Выплаты</t>
  </si>
  <si>
    <t>Аннуитетный платеж, в том числе:</t>
  </si>
  <si>
    <t>Итого: НДС к уплате / возмещению</t>
  </si>
  <si>
    <t>Расчет НДС к уплате / возмещению</t>
  </si>
  <si>
    <t>Уплата НДС в бюджет в конце проекта</t>
  </si>
  <si>
    <t>Возмещение НДС из бюджета в конце проекта</t>
  </si>
  <si>
    <t>НДС к возмещению / уплате на конец периода</t>
  </si>
  <si>
    <t>Денежный поток по НДС</t>
  </si>
  <si>
    <t>Амортизация, налоговый учет</t>
  </si>
  <si>
    <t>Амортизационная премия, налоговый учет</t>
  </si>
  <si>
    <t>Ставка по налогу на прибыль</t>
  </si>
  <si>
    <t>Налогооблагаемая прибыль за период</t>
  </si>
  <si>
    <t>Максимальный объем зачета налоговых убытков (2017 - 2021 гг.)</t>
  </si>
  <si>
    <t>Общая проверка финансовой модели</t>
  </si>
  <si>
    <t xml:space="preserve">Флаг - погашение старшего долга </t>
  </si>
  <si>
    <t>Проценты, уплаченные в период эксплуатации</t>
  </si>
  <si>
    <t>Лимит выборки по кредиту</t>
  </si>
  <si>
    <t>Неиспользованный кредитный лимит на начало периода</t>
  </si>
  <si>
    <t>Проценты, капитализированные в стоимость основных средств</t>
  </si>
  <si>
    <t>Проценты, признанные в составе расходов текущего периода</t>
  </si>
  <si>
    <t>Расчет комиссии за обязательство</t>
  </si>
  <si>
    <t>Не выплаченные %, капитализированные в тело акционерного займа</t>
  </si>
  <si>
    <t>Не выплаченные %, увеличивающие объем задолженности на конец периода - период создания</t>
  </si>
  <si>
    <t>Не выплаченные %, увеличивающие объем задолженности на конец периода - период эксплуатации</t>
  </si>
  <si>
    <t>Денежные средства до распределения акционерам</t>
  </si>
  <si>
    <t>Акционерный заем - выплата</t>
  </si>
  <si>
    <t>Акционерный заем - выплата процентов</t>
  </si>
  <si>
    <t>Собственные средства - вклад в УК</t>
  </si>
  <si>
    <t>Собственные средства - акционерный займ</t>
  </si>
  <si>
    <t>Итого свободные денежные потоки для акционеров (FCFE)</t>
  </si>
  <si>
    <t>Год для расчета денежных потоков</t>
  </si>
  <si>
    <t>Debt/Equity</t>
  </si>
  <si>
    <t>Debt/Total assets</t>
  </si>
  <si>
    <t>Доля долгового финансирования</t>
  </si>
  <si>
    <t>Доля акционерного финансирования</t>
  </si>
  <si>
    <t>Коэффициент Debt/Equity</t>
  </si>
  <si>
    <t>Активы</t>
  </si>
  <si>
    <t>Коэффициент Debt/Total assets</t>
  </si>
  <si>
    <t>Коэффициент покрытия кредитных выплат на срок действия кредита (LLCR)</t>
  </si>
  <si>
    <t>Процентные платежи</t>
  </si>
  <si>
    <t>Дисконтированный CFADS</t>
  </si>
  <si>
    <t>LLCR</t>
  </si>
  <si>
    <t>Очень маленькое число</t>
  </si>
  <si>
    <t>Выплаты по налогу на прибыль</t>
  </si>
  <si>
    <t>Общие допущения</t>
  </si>
  <si>
    <t>Индекс потребительских цен</t>
  </si>
  <si>
    <t>Индекс стоимости капитальных вложений</t>
  </si>
  <si>
    <t>Сценарий - Индекс стоимости капитальных вложений</t>
  </si>
  <si>
    <t>Выбор сценария</t>
  </si>
  <si>
    <t>Макроэкономические индексы</t>
  </si>
  <si>
    <t>Период реализации проекта</t>
  </si>
  <si>
    <t>Счетчик - номер периода модели</t>
  </si>
  <si>
    <t>Исторический период</t>
  </si>
  <si>
    <t>Последний исторический период</t>
  </si>
  <si>
    <t>Период строительства</t>
  </si>
  <si>
    <t>Период эксплуатации</t>
  </si>
  <si>
    <t>Прогнозный период финансовой модели</t>
  </si>
  <si>
    <t>Первый прогнозный период финансовой модели</t>
  </si>
  <si>
    <t>Последний прогнозный период финансовой модели</t>
  </si>
  <si>
    <t>Период осуществления расчетов в финансовой модели</t>
  </si>
  <si>
    <t>Налог на землю</t>
  </si>
  <si>
    <t>Денежные средства на начало периода</t>
  </si>
  <si>
    <t>Изменение чистого оборотного капитала (без учета НДС)</t>
  </si>
  <si>
    <t>Процентные платежи по заемным средствам</t>
  </si>
  <si>
    <t>Выплата привлеченных заемных средств</t>
  </si>
  <si>
    <t>Выплата процентов по акционерному займу</t>
  </si>
  <si>
    <t>Выплата акционерного займа, вкл. начисленные, но не выплаченные в периоде %</t>
  </si>
  <si>
    <t>Выплата дивидендов</t>
  </si>
  <si>
    <t>Привлечение акционерных средств (вклад в УК)</t>
  </si>
  <si>
    <t>Привлечение акционерного займа</t>
  </si>
  <si>
    <t>Привлечение заемных средств</t>
  </si>
  <si>
    <t>Денежный поток доступный для обслуживания заемных средств (CFADS)</t>
  </si>
  <si>
    <t>Заемные средства - выплата</t>
  </si>
  <si>
    <t>Заемные средства - выплата процентов</t>
  </si>
  <si>
    <t>Заемные средства - комиссии</t>
  </si>
  <si>
    <t>Увеличение денежных средств на счетах</t>
  </si>
  <si>
    <t>Заемные средства - выборка</t>
  </si>
  <si>
    <t>Акционерные средства - выборка</t>
  </si>
  <si>
    <t>Уменьшение денежных средства на счетах</t>
  </si>
  <si>
    <t>Ставка налога на землю</t>
  </si>
  <si>
    <t>ИСХОДНЫЕ ДАННЫЕ</t>
  </si>
  <si>
    <t>Ставка налога на добавленную стоимость - льготная</t>
  </si>
  <si>
    <t>Ставка налога на добавленную стоимость - общая</t>
  </si>
  <si>
    <t>индекс стоимости капитальных вложений, среднее за соответствующий период</t>
  </si>
  <si>
    <t>индекс стоимости капитальных вложений, с первого прогнозного периода</t>
  </si>
  <si>
    <t>накопленный индекс стоимости капитальных вложений с первого прогнозного периода - по периодам</t>
  </si>
  <si>
    <t>Структура финансирования проекта</t>
  </si>
  <si>
    <t>Комиссия за выдачу</t>
  </si>
  <si>
    <t>Расчет комиссии за выдачу</t>
  </si>
  <si>
    <t>Итого общая потребность в финансировании</t>
  </si>
  <si>
    <t>Целевая выборка - старший долг</t>
  </si>
  <si>
    <t>Целевая выборка - акционерное финансирование</t>
  </si>
  <si>
    <t>Потребность в привлечении старшего долга, в том числе:</t>
  </si>
  <si>
    <t>Проценты по кредитам</t>
  </si>
  <si>
    <t>Расчеты по кредитам</t>
  </si>
  <si>
    <t>Расчеты по акционерному финансированию</t>
  </si>
  <si>
    <t>денежные средства на начало периода</t>
  </si>
  <si>
    <t>совокупный денежный поток за период</t>
  </si>
  <si>
    <t>денежные средства на конец периода</t>
  </si>
  <si>
    <t>операционный денежный поток</t>
  </si>
  <si>
    <t>инвестиционный денежный поток</t>
  </si>
  <si>
    <t>финансовый денежный поток</t>
  </si>
  <si>
    <t>Инвестиционные показатели для акционеров</t>
  </si>
  <si>
    <t>Налог на добавленную стоимость</t>
  </si>
  <si>
    <t>Потребность в финансировании - макрос VBA для разрыва циклических ссылок</t>
  </si>
  <si>
    <t>Допущение финансовой модели</t>
  </si>
  <si>
    <t>НДС с выручки</t>
  </si>
  <si>
    <t>Ставка по старшему долгу (фиксированная ставка)</t>
  </si>
  <si>
    <t>Фиксированная</t>
  </si>
  <si>
    <t>1..2</t>
  </si>
  <si>
    <t>Проценты начисленные за период</t>
  </si>
  <si>
    <t>Индекс сценария по процентной ставке для использования в расчетах</t>
  </si>
  <si>
    <t>Флаг - период расчета эксплуатационных расходов</t>
  </si>
  <si>
    <t>Флаг - период эксплуатации объекта</t>
  </si>
  <si>
    <t>накопленный ИПЦ с начала финансовой модели - по периодам</t>
  </si>
  <si>
    <t>Остаток денежных средств на начало периода</t>
  </si>
  <si>
    <t>Прочие расходы</t>
  </si>
  <si>
    <t>Внутренняя норма доходности для акционеров (IRR)</t>
  </si>
  <si>
    <t>Рентабельность по EBITDA</t>
  </si>
  <si>
    <t>Рентабельность по EBIT</t>
  </si>
  <si>
    <t>Сценарий погашения</t>
  </si>
  <si>
    <t>Индекс сценария по профилю погашения для использования в расчетах</t>
  </si>
  <si>
    <t>Аннуитетный</t>
  </si>
  <si>
    <t>Скульптированный</t>
  </si>
  <si>
    <t>Сценарий 1 - аннуитетные платежи</t>
  </si>
  <si>
    <t>Сценарий 2 - скульптированные платежи</t>
  </si>
  <si>
    <t>Затраты инвестиционной фазы (без НДС)</t>
  </si>
  <si>
    <t>Финансирование за счет частных средств (без НДС)</t>
  </si>
  <si>
    <t>Чистая приведенная стоимость проекта по годам (NPV)</t>
  </si>
  <si>
    <t>Внутренняя норма доходности проекта по годам (IRR)</t>
  </si>
  <si>
    <t>Чистая приведенная стоимость для акционеров (NPV)</t>
  </si>
  <si>
    <t>CFADS с учетом соотношения источников финансирования</t>
  </si>
  <si>
    <t>Целевой показатель DSCR</t>
  </si>
  <si>
    <t>Обслуживание долга</t>
  </si>
  <si>
    <t>Минус: проценты</t>
  </si>
  <si>
    <t>Маx: погашение тела долга</t>
  </si>
  <si>
    <t>Целевой показатель DSCR для сценария скульптированного погашения долга</t>
  </si>
  <si>
    <t>Флаг - рефинансирование старшего долга (только для сценария скульптирования)</t>
  </si>
  <si>
    <t xml:space="preserve">Флаг - первый период погашения старшего долга </t>
  </si>
  <si>
    <t>Флаг - период выборки старшего долга</t>
  </si>
  <si>
    <t>Флаг - льготный период по обслуживанию (грейс-период)</t>
  </si>
  <si>
    <t>Погашение старшего долга для расчета DSRA</t>
  </si>
  <si>
    <t>Прогнозные показатели оборачиваемости по отдельным статьям</t>
  </si>
  <si>
    <t>инвестиции в создание объектов основных средств, в том числе:</t>
  </si>
  <si>
    <t>кредит</t>
  </si>
  <si>
    <t>Проценты к уплате - кредит</t>
  </si>
  <si>
    <t>привлечение кредита</t>
  </si>
  <si>
    <t>возврат кредита</t>
  </si>
  <si>
    <t>Чистая прибыль (убыток)</t>
  </si>
  <si>
    <t>Дивидендные выплаты (если применимо)</t>
  </si>
  <si>
    <t>привлечение акционерного займа</t>
  </si>
  <si>
    <t>Проценты начисленные - расчет</t>
  </si>
  <si>
    <t>Проценты начисленные - использование</t>
  </si>
  <si>
    <t>Баланс задолженности на начало периода</t>
  </si>
  <si>
    <t>Маржа к ключевой ставке ЦБ</t>
  </si>
  <si>
    <t>Фиксированная ставка</t>
  </si>
  <si>
    <t>возврат акционерного займа</t>
  </si>
  <si>
    <t>ПРОГНОЗНАЯ ФИНАНСОВАЯ ОТЧЕТНОСТЬ</t>
  </si>
  <si>
    <t>акционерный займ</t>
  </si>
  <si>
    <t>Проценты к уплате - акционерный займ</t>
  </si>
  <si>
    <t>Операционный денежный поток инициатора проекта (OCF)</t>
  </si>
  <si>
    <t>Инвестиционный поток инициатора проекта (ICF)</t>
  </si>
  <si>
    <t>Финансовый денежный поток инициатора проекта (FCF)</t>
  </si>
  <si>
    <t>Свободный денежный поток инициатора проекта (FCFE)</t>
  </si>
  <si>
    <t>Показатели обслуживания заемных средств (если применимо)</t>
  </si>
  <si>
    <t>Проверка - расчет обслуживания акционерного займа</t>
  </si>
  <si>
    <t>Настоящие материалы содержат информацию, составляющую коммерческую тайну, и являются конфиденциальной информацией в соответствии с Федеральным законом от 29.07.2004 N 98-ФЗ «О коммерческой тайне» (далее – «Закона о коммерческой тайне»). Нарушение Закона о коммерческой тайне влечет за собой дисциплинарную, гражданско-правовую, административную или уголовную ответственность в соответствии с законодательством Российской Федерации.</t>
  </si>
  <si>
    <t>Дата:</t>
  </si>
  <si>
    <t>Проверки:</t>
  </si>
  <si>
    <t>Дата окончания стадии эксплуатации (прогнозного периода проекта)</t>
  </si>
  <si>
    <t>Дата начала прогнозного периода финансовой модели</t>
  </si>
  <si>
    <t>Версия финансовой модели</t>
  </si>
  <si>
    <t>Дата подготовки финансовой модели</t>
  </si>
  <si>
    <t>Первый период операционной стадии</t>
  </si>
  <si>
    <t>Последний период операционной стадии</t>
  </si>
  <si>
    <t xml:space="preserve">Счетчик - номер периода создания </t>
  </si>
  <si>
    <t>Счетчик - номер периода операционной стадии</t>
  </si>
  <si>
    <t>Счетчик - год периода операционной стадии</t>
  </si>
  <si>
    <t>Календарный операционный год</t>
  </si>
  <si>
    <t>Инвестиционные затраты по проекту</t>
  </si>
  <si>
    <t>График инвестиций</t>
  </si>
  <si>
    <t>Инвестиционные затраты</t>
  </si>
  <si>
    <t>График осуществления инвестиций в прогнозных ценах, без НДС</t>
  </si>
  <si>
    <t>Конец листа</t>
  </si>
  <si>
    <t>Итого: прогнозные инвестиции (прогнозные цены, без НДС)</t>
  </si>
  <si>
    <t>Флаг - ввод в эксплуатацию основных средств</t>
  </si>
  <si>
    <t>Здания и сооружения</t>
  </si>
  <si>
    <t>Структура выручки</t>
  </si>
  <si>
    <t>РАСЧЕТЫ</t>
  </si>
  <si>
    <t>Основные результаты по проекту</t>
  </si>
  <si>
    <t>Основные результаты для акционеров проекта</t>
  </si>
  <si>
    <t>Внутренняя норма доходности (IRR Equity)</t>
  </si>
  <si>
    <t>Простой период окупаемости (PBP Equity)</t>
  </si>
  <si>
    <t>Дисконтированный период окупаемости (DPBP Equity)</t>
  </si>
  <si>
    <t>Совокупный денежный поток для акционеров инвестора</t>
  </si>
  <si>
    <t>Инвестиции</t>
  </si>
  <si>
    <t>Возврат инвестиций с доходностью</t>
  </si>
  <si>
    <t>Совокупный денежный поток инвестора</t>
  </si>
  <si>
    <t>Консолидированный совокупный денежный поток для акционеров проекта</t>
  </si>
  <si>
    <t>Выполнил:</t>
  </si>
  <si>
    <t>Доходная часть</t>
  </si>
  <si>
    <t>Общая проверка</t>
  </si>
  <si>
    <t>Заемные средства</t>
  </si>
  <si>
    <t xml:space="preserve">Сценарий погашения </t>
  </si>
  <si>
    <t xml:space="preserve">Сценарий ставки </t>
  </si>
  <si>
    <t>Маржа к ставке</t>
  </si>
  <si>
    <t>Фиксированная ставка по кредиту</t>
  </si>
  <si>
    <t>Аннуитетный / Скульптированный</t>
  </si>
  <si>
    <t>Дата начала стадии эксплуатации</t>
  </si>
  <si>
    <t>Расчетный срок реализации проекта (фаза эксплуатации)</t>
  </si>
  <si>
    <t>Расходы на архитектурную концепцию</t>
  </si>
  <si>
    <t>ПИР</t>
  </si>
  <si>
    <t>Технико-экономические параметры проекта</t>
  </si>
  <si>
    <t>Общие параметры площадей</t>
  </si>
  <si>
    <t>Общая площадь ЗУ</t>
  </si>
  <si>
    <t>Общая площадь ЗУ под благоустройство и паркинг</t>
  </si>
  <si>
    <t>Площадь застройки</t>
  </si>
  <si>
    <t>Общая площадь в габаритах наружных стен (ГНС)</t>
  </si>
  <si>
    <t>Общая площадь в габаритах внутренних стен (ГВС)</t>
  </si>
  <si>
    <t>кв.м.</t>
  </si>
  <si>
    <t>Общая площадь в ГВС</t>
  </si>
  <si>
    <t>Количество уровней</t>
  </si>
  <si>
    <t>Номерной фонд</t>
  </si>
  <si>
    <t>Ресторан</t>
  </si>
  <si>
    <t>кв.м. / ед.</t>
  </si>
  <si>
    <t>Общая площадь номерного фонда</t>
  </si>
  <si>
    <t>Конференц-зона</t>
  </si>
  <si>
    <t>Общие зоны/коридоры в % от общей площади</t>
  </si>
  <si>
    <t>Стоимость работы на 1 кв.м.</t>
  </si>
  <si>
    <t>Номерной фонд и общественные зоны</t>
  </si>
  <si>
    <t>% от СМР</t>
  </si>
  <si>
    <t>Бюджет на подготовку к открытию</t>
  </si>
  <si>
    <t>Услуги девелопера/технического заказчика</t>
  </si>
  <si>
    <t>Непредвиденные расходы</t>
  </si>
  <si>
    <t>% от инвестбюджета</t>
  </si>
  <si>
    <t>Проектирование</t>
  </si>
  <si>
    <t>СМР</t>
  </si>
  <si>
    <t>Технические условия</t>
  </si>
  <si>
    <t>Мебель и оборудование</t>
  </si>
  <si>
    <t>Благоустройство и подготовка к открытию</t>
  </si>
  <si>
    <t>дата начала</t>
  </si>
  <si>
    <t>дата конца</t>
  </si>
  <si>
    <t>Итого инвестиционные затраты на создание отеля</t>
  </si>
  <si>
    <t>Итого расходы на получение технических условий</t>
  </si>
  <si>
    <t>руб. / кв. м.</t>
  </si>
  <si>
    <t>Количество номеров</t>
  </si>
  <si>
    <t>номеров</t>
  </si>
  <si>
    <t>Площадь Конференц-зоны</t>
  </si>
  <si>
    <t>Площадь Ресторана</t>
  </si>
  <si>
    <t>Итого расходы на мебель и оборудование</t>
  </si>
  <si>
    <t>руб. / номер</t>
  </si>
  <si>
    <t>Итого расходы на благоустройство</t>
  </si>
  <si>
    <t>Итого инвестиционные затраты на создание</t>
  </si>
  <si>
    <t>кварталы</t>
  </si>
  <si>
    <t>Инвестиционные затраты (в базовых ценах без НДС)</t>
  </si>
  <si>
    <t>Инвестиционные затраты (в прогнозных ценах без НДС)</t>
  </si>
  <si>
    <t>Целевая загрузка</t>
  </si>
  <si>
    <t>Стартовая загрузка номера</t>
  </si>
  <si>
    <t>Целевая загрузка номера</t>
  </si>
  <si>
    <t>Шаг прироста загрузки</t>
  </si>
  <si>
    <t>Кол-во периодов для выхода на целевую загрузку</t>
  </si>
  <si>
    <t>период</t>
  </si>
  <si>
    <t>Проданные номера</t>
  </si>
  <si>
    <t>чел. / номер</t>
  </si>
  <si>
    <t>человек</t>
  </si>
  <si>
    <t>Номерной фонд, в т.ч.:</t>
  </si>
  <si>
    <t>руб.</t>
  </si>
  <si>
    <t>Динамика стоимости в зависимости от категории туриста</t>
  </si>
  <si>
    <t>Индивидуальный</t>
  </si>
  <si>
    <t>OTA (онлайн туристические агентства)</t>
  </si>
  <si>
    <t>Кол-во номеров</t>
  </si>
  <si>
    <t>номера</t>
  </si>
  <si>
    <t>Итого: выручка номерного департамента в прогнозных ценах без НДС</t>
  </si>
  <si>
    <t>Средняя стоимость номера (ADR), без НДС</t>
  </si>
  <si>
    <t>мест</t>
  </si>
  <si>
    <t>Количество посадочных мест</t>
  </si>
  <si>
    <t>Общие предпосылки</t>
  </si>
  <si>
    <t>чел. в день</t>
  </si>
  <si>
    <t>число гостей с улицы на завтрак</t>
  </si>
  <si>
    <t>число гостей с улицы на обед</t>
  </si>
  <si>
    <t>число гостей с улицы на ужин</t>
  </si>
  <si>
    <t>Средний чек (без НДС) - обед</t>
  </si>
  <si>
    <t>Средний чек (без НДС) - ужин</t>
  </si>
  <si>
    <t>Средний чек (без НДС) - лаундж-зона</t>
  </si>
  <si>
    <t>число гостей с улицы в лаундж-зоне</t>
  </si>
  <si>
    <t>число гостей с улицы в лаундж зоне</t>
  </si>
  <si>
    <t>Выручка номерного фонда</t>
  </si>
  <si>
    <t>Выручка номерного фонда в сутки</t>
  </si>
  <si>
    <t>Выручка от завтраков</t>
  </si>
  <si>
    <t>Выручка от обедов</t>
  </si>
  <si>
    <t>Выручка от ужинов</t>
  </si>
  <si>
    <t>Выручка от лаундж-зоны</t>
  </si>
  <si>
    <t>Выручка F&amp;B в сутки</t>
  </si>
  <si>
    <t>Выручка от продажи номеров</t>
  </si>
  <si>
    <t>Выручка от продажи еды и напитков</t>
  </si>
  <si>
    <t>Выручка по направлениям</t>
  </si>
  <si>
    <t>Выручка номерного фонда в % от общей выручки</t>
  </si>
  <si>
    <t>Итого: выручка F&amp;B в прогнозных ценах без НДС</t>
  </si>
  <si>
    <t>Итого: прочая выручка в прогнозных ценах без НДС</t>
  </si>
  <si>
    <t>Средняя стоимость номера (ADR) без НДС</t>
  </si>
  <si>
    <t>Предпосылки по заполняемости</t>
  </si>
  <si>
    <t>Предпосылки по food&amp;beverage</t>
  </si>
  <si>
    <t>Стартовая загрузка</t>
  </si>
  <si>
    <t xml:space="preserve">Прямые расходы </t>
  </si>
  <si>
    <t>Заработная плата</t>
  </si>
  <si>
    <t>Себестоимость</t>
  </si>
  <si>
    <t>Затраты номерного фонда (в % от выручки номерного фонда)</t>
  </si>
  <si>
    <t>Затраты food&amp;beverage (в % от выручки F&amp;B)</t>
  </si>
  <si>
    <t>Затраты прочие (в % от прочей выручки)</t>
  </si>
  <si>
    <t>Административные расходы</t>
  </si>
  <si>
    <t>IT расходы</t>
  </si>
  <si>
    <t>Маркетинг и продажи номеров</t>
  </si>
  <si>
    <t>Коммунальные платежи</t>
  </si>
  <si>
    <t>Эксплуатация и ремонт</t>
  </si>
  <si>
    <t>Базовое вознаграждение</t>
  </si>
  <si>
    <t>Лицензионное вознаграждение</t>
  </si>
  <si>
    <t>Вознаграждение за маркетинг</t>
  </si>
  <si>
    <t>Поощрительное вознаграждение</t>
  </si>
  <si>
    <t>Резервный фонд</t>
  </si>
  <si>
    <t xml:space="preserve">Ставка страхования в год </t>
  </si>
  <si>
    <t>% от стоимости имущества</t>
  </si>
  <si>
    <t>% от общей выручки</t>
  </si>
  <si>
    <t>% от выручки от продажи НФ</t>
  </si>
  <si>
    <t>% от операционной прибыли</t>
  </si>
  <si>
    <t>Предпосылки по food&amp;beverage (без НДС)</t>
  </si>
  <si>
    <t>Выручка food&amp;beverage</t>
  </si>
  <si>
    <t>Выручка прочая</t>
  </si>
  <si>
    <t>Переменные расходы номерного фонда</t>
  </si>
  <si>
    <t>Переменные расходы food&amp;beverage</t>
  </si>
  <si>
    <t>Расходы номерного фонда (в % от выручки номерного фонда)</t>
  </si>
  <si>
    <t>Расходы food&amp;beverage (в % от выручки F&amp;B)</t>
  </si>
  <si>
    <t>Расходы прочие (в % от прочей выручки)</t>
  </si>
  <si>
    <t>Переменные прочие расходы</t>
  </si>
  <si>
    <t>Прочие эксплуатационные расходы</t>
  </si>
  <si>
    <t>Предпосылки по прочим эксплуатационным расходам</t>
  </si>
  <si>
    <t>Прочие фиксированные расходы</t>
  </si>
  <si>
    <t>Итого: прочие эксплуатационные расходы в прогнозных ценах без НДС</t>
  </si>
  <si>
    <t>НДС с себестоимости</t>
  </si>
  <si>
    <t>НДС с капитальных вложений</t>
  </si>
  <si>
    <t>Прочие эксплуатационные затраты</t>
  </si>
  <si>
    <t>прочие эксплуатационные расходы</t>
  </si>
  <si>
    <t>Предпосылки по прочим фиксированным расходам</t>
  </si>
  <si>
    <t>Прочие фиксированные расходы (в прогнозных ценах без НДС)</t>
  </si>
  <si>
    <t>Прочие эксплуатационные расходы (в прогнозных ценах без НДС)</t>
  </si>
  <si>
    <t>Объем страхового покрытия</t>
  </si>
  <si>
    <t>Ввод в эксплуатацию - Прочее</t>
  </si>
  <si>
    <t>Ставка страхования</t>
  </si>
  <si>
    <t>Валовая операционная прибыль (убыток)</t>
  </si>
  <si>
    <t>Расходы на страхование</t>
  </si>
  <si>
    <t>Расходы по налогу на имущество</t>
  </si>
  <si>
    <t>Итого: прочие фиксированные расходы в прогнозных ценах без НДС</t>
  </si>
  <si>
    <t>Итого: себестоимость в прогнозных ценах без НДС</t>
  </si>
  <si>
    <t>Собственные средства</t>
  </si>
  <si>
    <t>Рычаг для финансирования инвестиционных расходов</t>
  </si>
  <si>
    <t>Взнос в УК</t>
  </si>
  <si>
    <t>Предоставление займа</t>
  </si>
  <si>
    <t>Параметры заемного финансирования (банковский кредит)</t>
  </si>
  <si>
    <t>Стандартный номер (Standard)</t>
  </si>
  <si>
    <t>Покрытие кредита денежным потоком</t>
  </si>
  <si>
    <t>Выплата тела долга</t>
  </si>
  <si>
    <t xml:space="preserve">Выплата процентов </t>
  </si>
  <si>
    <t>СFADS на этапе погашения кредита</t>
  </si>
  <si>
    <t>Основные результаты</t>
  </si>
  <si>
    <t>Профиль возврата кредитных средств</t>
  </si>
  <si>
    <t>Денежные потоки</t>
  </si>
  <si>
    <t>Стоимость получения техусловий</t>
  </si>
  <si>
    <t>Стоимость СМР на 1 кв.м. общей площади в ГВС</t>
  </si>
  <si>
    <t xml:space="preserve">Единовременное количество гостей </t>
  </si>
  <si>
    <t>Выручка по прочим услугам</t>
  </si>
  <si>
    <t>% гостей, кто обедает</t>
  </si>
  <si>
    <t>% гостей, кто ужинает</t>
  </si>
  <si>
    <t>% гостей, кто посещает лаундж-зону</t>
  </si>
  <si>
    <t>Листы финансовой модели</t>
  </si>
  <si>
    <t>Титул</t>
  </si>
  <si>
    <t>Краткие сведения о проекте</t>
  </si>
  <si>
    <t>Навигация по основным листам и блокам / используемые форматы и стили</t>
  </si>
  <si>
    <t>Контр_панель</t>
  </si>
  <si>
    <t xml:space="preserve">Управление расчетами и результирующие показатели </t>
  </si>
  <si>
    <t>Допущения для расчетов</t>
  </si>
  <si>
    <t>Расчеты</t>
  </si>
  <si>
    <t>Ключевые расчеты финансовой модели</t>
  </si>
  <si>
    <t>Логические проверки целостности и аккуратности расчетов</t>
  </si>
  <si>
    <t>Свод</t>
  </si>
  <si>
    <t>Сводные результирующие данные расчетов</t>
  </si>
  <si>
    <t>Ключевые блоки рабочего листа "Расчеты"</t>
  </si>
  <si>
    <t>Флаги и счетчики для осуществления расчетов</t>
  </si>
  <si>
    <t>Управленческие и административные расходы</t>
  </si>
  <si>
    <t>Инвестиционные показатели</t>
  </si>
  <si>
    <t>Показатели обслуживания заемных средств</t>
  </si>
  <si>
    <t>Блок управления сценариями - изменяемые параметры финансовой модели</t>
  </si>
  <si>
    <t>Технико-экономические параметры гостиничного комплекса</t>
  </si>
  <si>
    <t>Протяженность подъездных автомобильных дорог</t>
  </si>
  <si>
    <t>Протяженность внутрисекторальных дорог</t>
  </si>
  <si>
    <t>Количество пропускных пунктов</t>
  </si>
  <si>
    <t>км</t>
  </si>
  <si>
    <t>км.</t>
  </si>
  <si>
    <t>шт.</t>
  </si>
  <si>
    <t>Стоимость километра строительства подъездных дорог</t>
  </si>
  <si>
    <t>тыс. руб. / км</t>
  </si>
  <si>
    <t>Стоимость километра строительства внутрисекторальных дорог</t>
  </si>
  <si>
    <t>Стоимость строительства пропускного пункта</t>
  </si>
  <si>
    <t>Итого расходы на проектирование объекта размещения</t>
  </si>
  <si>
    <t>Прочие / непредвиденные расходы</t>
  </si>
  <si>
    <t>Протяженность газопровода</t>
  </si>
  <si>
    <t>Протяженность линий электросетей</t>
  </si>
  <si>
    <t>Протяженность линий теплосетей</t>
  </si>
  <si>
    <t>Протяженность магистральных водоводов</t>
  </si>
  <si>
    <t>Протяженность системы водоотведения и канализации</t>
  </si>
  <si>
    <t>Стоимость километра газопровода</t>
  </si>
  <si>
    <t>Стоимость километра линии электросетей</t>
  </si>
  <si>
    <t>Стоимость километра линии теплосетей</t>
  </si>
  <si>
    <t>Стоимость километра магистральных водоводов</t>
  </si>
  <si>
    <t>Стоимость километра системы водоотведения и канализации</t>
  </si>
  <si>
    <t>Итого расходы на создание объектов коммунальной инфраструктуры</t>
  </si>
  <si>
    <t>Стоимость строительства</t>
  </si>
  <si>
    <t>Дополнительные расходы</t>
  </si>
  <si>
    <t>Общие расходы на создание объектов</t>
  </si>
  <si>
    <t>Протяженность линии связи (ВОЛС)</t>
  </si>
  <si>
    <t>Стоимость километра линии связи (ВОЛС)</t>
  </si>
  <si>
    <t>Прочие объекты обеспечивающей инфраструктуры</t>
  </si>
  <si>
    <t>Расходы на проектирование</t>
  </si>
  <si>
    <t>График выполнения работ по созданию объекта размещения</t>
  </si>
  <si>
    <t>Расходы на технические условия и наружные сети</t>
  </si>
  <si>
    <t>Итого расходы на создание / строительство</t>
  </si>
  <si>
    <t>Расходы на мебель и оборудование</t>
  </si>
  <si>
    <t>Расходы на благоустройство</t>
  </si>
  <si>
    <t>Создание / строительство</t>
  </si>
  <si>
    <t>Расходы на получение технических условий и мощностей</t>
  </si>
  <si>
    <t>Стоимость создания / строительства</t>
  </si>
  <si>
    <t>Общие расходы на создание</t>
  </si>
  <si>
    <t>График выполнения работ по созданию объектов</t>
  </si>
  <si>
    <t xml:space="preserve">График выполнения работ по созданию объектов </t>
  </si>
  <si>
    <t>Итого общие расходы на создание объектов</t>
  </si>
  <si>
    <t>Итого расходы на создание объектов</t>
  </si>
  <si>
    <t>ед.</t>
  </si>
  <si>
    <t>тыс. руб. / ед.</t>
  </si>
  <si>
    <t>Итого: инвестиционные затраты в прогнозных ценах без НДС</t>
  </si>
  <si>
    <t>Итого: инвестиционные затраты в базовых ценах без НДС</t>
  </si>
  <si>
    <t>Стоимость создания объекта</t>
  </si>
  <si>
    <t>Количество объектов в рамках кластера</t>
  </si>
  <si>
    <t>Доля сегмента в общих инвестиционных затратах</t>
  </si>
  <si>
    <t>Создание сегмента</t>
  </si>
  <si>
    <t>Первый период этапа создания</t>
  </si>
  <si>
    <t>Последний период этапа создания</t>
  </si>
  <si>
    <t>Дата начала стадии создания кластера</t>
  </si>
  <si>
    <t>Дата окончания стадии создания кластера</t>
  </si>
  <si>
    <t>Здания и сооружения (инфраструктурные объекты)</t>
  </si>
  <si>
    <t>Контрольные проверки финансовой модели</t>
  </si>
  <si>
    <t>Выбор № сценария реализации проекта</t>
  </si>
  <si>
    <t>Структура проекта</t>
  </si>
  <si>
    <t>в проекте</t>
  </si>
  <si>
    <t>да</t>
  </si>
  <si>
    <t>Ключевые результаты по сценариям реализации проекта</t>
  </si>
  <si>
    <t>[•] Транспортная инфраструктура</t>
  </si>
  <si>
    <t>[•] Коммунальная инфраструктура</t>
  </si>
  <si>
    <t>[•] Прочая обеспечивающая инфраструктура</t>
  </si>
  <si>
    <t>Предпосылки по посещаемости</t>
  </si>
  <si>
    <t>Номер года эксплуатации</t>
  </si>
  <si>
    <t>Итого инвестиционные затраты проекта</t>
  </si>
  <si>
    <t xml:space="preserve">Прочие доходы </t>
  </si>
  <si>
    <t>Прочие доходы в % от основной выручки</t>
  </si>
  <si>
    <t>Предпосылки по структуре выручки</t>
  </si>
  <si>
    <t>Выручка (в прогнозных ценах без НДС)</t>
  </si>
  <si>
    <t>Выручка прочая в % от общей выручки</t>
  </si>
  <si>
    <t>Выручка общая (в прогнозных ценах без НДС)</t>
  </si>
  <si>
    <t>Сценарные параметры структуры проекта и инвестиционных затрат</t>
  </si>
  <si>
    <t>Сценарные параметры выручки проекта</t>
  </si>
  <si>
    <t>Корректировка величины выручки по направлениям</t>
  </si>
  <si>
    <t>Выручка спортивно-рекреационного объекта</t>
  </si>
  <si>
    <t>Предпосылки по доходам</t>
  </si>
  <si>
    <t>Доля доходов от прочей коммерческой инфраструктуры</t>
  </si>
  <si>
    <t>% от выручки по направлению</t>
  </si>
  <si>
    <t>Инвестиционные затраты на создание / строительство (в прогнозных ценах без НДС)</t>
  </si>
  <si>
    <t>Выручка по направлениям (в прогнозных ценах без НДС)</t>
  </si>
  <si>
    <t>Итого выручка проекта</t>
  </si>
  <si>
    <t>Эксплуатационные расходы</t>
  </si>
  <si>
    <t>Эксплуатационные расходы в прогнозных ценах (без НДС)</t>
  </si>
  <si>
    <t>Коммерческие и административные расходы, признанные в составе основных средств</t>
  </si>
  <si>
    <t>Коммерческие и административные расходы, признанные в отчете о прибылях и убытках</t>
  </si>
  <si>
    <t>Коммерческие и административные расходы для целей расчета НДС</t>
  </si>
  <si>
    <t>Эксплуатационные расходы для целей расчета НДС</t>
  </si>
  <si>
    <t>Эксплуатационные расходы для целей отражения в отчете о прибылях и убытках</t>
  </si>
  <si>
    <t>вне проекта</t>
  </si>
  <si>
    <t xml:space="preserve">Минимальная величина выручки от объектов коммерческой инфраструктуры </t>
  </si>
  <si>
    <t>тыс. руб. в год</t>
  </si>
  <si>
    <t>% от стоимости создания в год</t>
  </si>
  <si>
    <t>Предпосылки по расходам на содержание и обслуживание инфраструктуры</t>
  </si>
  <si>
    <t>Расходы на содержание и обслуживание инфраструктуры (в прогнозных ценах без НДС)</t>
  </si>
  <si>
    <t>Расходы на персонал</t>
  </si>
  <si>
    <t>Заработная плата работников ГЛК трассы</t>
  </si>
  <si>
    <t>Заработная плата работников Лифтов</t>
  </si>
  <si>
    <t>Заработная плата работников Техники</t>
  </si>
  <si>
    <t>тыс. руб. / в год</t>
  </si>
  <si>
    <t>Предпосылки по эксплуатационным расходам</t>
  </si>
  <si>
    <t>Предпосылки по прямым эксплуатационным расходам</t>
  </si>
  <si>
    <t>Прямые эксплуатационные расходы (в прогнозных ценах без НДС)</t>
  </si>
  <si>
    <t>ГЛК трасс</t>
  </si>
  <si>
    <t>Лифты</t>
  </si>
  <si>
    <t>Техническое обслуживание и ремонт</t>
  </si>
  <si>
    <t>Техника</t>
  </si>
  <si>
    <t>Топливо</t>
  </si>
  <si>
    <t>Эксплуатационные расходы в % от выручки</t>
  </si>
  <si>
    <t>Общая выручка объекта (-ов)</t>
  </si>
  <si>
    <t>Инвестиционные затраты проекта</t>
  </si>
  <si>
    <t>Выручка проекта</t>
  </si>
  <si>
    <t>Эксплуатационные затраты проекта</t>
  </si>
  <si>
    <t>Сценарные параметры эксплуатационных расходов проекта</t>
  </si>
  <si>
    <t>[+/-] Изменение затрат на объекты инфраструктуры</t>
  </si>
  <si>
    <t>Эксплуатационные расходы по направлениям (в прогнозных ценах без НДС)</t>
  </si>
  <si>
    <t>Итого эксплуатационные расходы проекта</t>
  </si>
  <si>
    <t>Дата разработки модели:</t>
  </si>
  <si>
    <t>тыс. руб. / шт.</t>
  </si>
  <si>
    <t>Заработная плата работников Системы искусственного оснежения</t>
  </si>
  <si>
    <t>Материальные затраты</t>
  </si>
  <si>
    <t>Система искусственного оснежения</t>
  </si>
  <si>
    <t>Расходы на получение технических условий и мощности</t>
  </si>
  <si>
    <t>Доступные для сдачи номера в периоде</t>
  </si>
  <si>
    <t>Количество гостей в отеле в периоде</t>
  </si>
  <si>
    <t>Итого целевая выборка средств на этапе создания объекта</t>
  </si>
  <si>
    <t>Период создания объекта</t>
  </si>
  <si>
    <t>Отчетность</t>
  </si>
  <si>
    <t>Выручка от реализации</t>
  </si>
  <si>
    <t>Получено от реализации</t>
  </si>
  <si>
    <t>Вход в проект</t>
  </si>
  <si>
    <t>Нахождение в проекте</t>
  </si>
  <si>
    <t>(+) амортизация</t>
  </si>
  <si>
    <t>(-) капитальные / инвестиционные затраты</t>
  </si>
  <si>
    <t>(+/-) изменения оборотного капитала</t>
  </si>
  <si>
    <t>Свободный денежный поток проекта (FCFF)</t>
  </si>
  <si>
    <t>Ставка дисконтирования</t>
  </si>
  <si>
    <t>x</t>
  </si>
  <si>
    <t>Фактор дисконтирования</t>
  </si>
  <si>
    <t>x.xx</t>
  </si>
  <si>
    <t>Дисконтированный свободный денежный поток (DCF)</t>
  </si>
  <si>
    <t>EV (Enterprise Value)</t>
  </si>
  <si>
    <t>Net Debt</t>
  </si>
  <si>
    <t>Необходимое акционерное финансирование проекта - УК</t>
  </si>
  <si>
    <t>Долг на конец периода</t>
  </si>
  <si>
    <t>Терминальная стоимость</t>
  </si>
  <si>
    <t>Темп роста в постпрогнозном периоде</t>
  </si>
  <si>
    <t>EqV (Equity Value)</t>
  </si>
  <si>
    <t>Дивиденды полученные</t>
  </si>
  <si>
    <t>Выход из инвестиции</t>
  </si>
  <si>
    <t>Налог на дивиденды</t>
  </si>
  <si>
    <t>Налог на прирост капитала</t>
  </si>
  <si>
    <t>IRR денежного потока инвестора (до налогов)</t>
  </si>
  <si>
    <t>IRR денежного потока инвестора (после налогов)</t>
  </si>
  <si>
    <t>Денежный поток инвестора (до налогов)</t>
  </si>
  <si>
    <t>Денежный поток инвестора (после налогов)</t>
  </si>
  <si>
    <t>Оценка проекта в рамках реализации опциона</t>
  </si>
  <si>
    <t>Номер периода (оценка на момент выхода из проекта)</t>
  </si>
  <si>
    <t>ДОХОДНОСТЬ ИНВЕСТОРА</t>
  </si>
  <si>
    <t>Доля участия в капитале проекта</t>
  </si>
  <si>
    <t>Дата начала эксплуатации</t>
  </si>
  <si>
    <t>Дата выхода из инвестиции</t>
  </si>
  <si>
    <t>Прогнозные показатели финансовой модели для расчетов</t>
  </si>
  <si>
    <t>Плановый объем инвестиций с учетом доли участия</t>
  </si>
  <si>
    <t>Флаги для расчетов</t>
  </si>
  <si>
    <t>Выход из проекта</t>
  </si>
  <si>
    <t>н.пр.</t>
  </si>
  <si>
    <t>Площадь Фитнес-зал</t>
  </si>
  <si>
    <t>общие параметры</t>
  </si>
  <si>
    <t>Параметры для оценки чувствительности</t>
  </si>
  <si>
    <t>Изменение выручки</t>
  </si>
  <si>
    <t>Revenue_sens</t>
  </si>
  <si>
    <t>Изменение капитальных вложений</t>
  </si>
  <si>
    <t>Capex_sens</t>
  </si>
  <si>
    <t>Изменение эксплуатационных затрат</t>
  </si>
  <si>
    <t>Opex_sens</t>
  </si>
  <si>
    <t>Изменение ставки по заемным средствам</t>
  </si>
  <si>
    <t>Debt_rate_sens</t>
  </si>
  <si>
    <t>Результаты анализа чувствительности</t>
  </si>
  <si>
    <t>NPV Проекта, 
млн руб.</t>
  </si>
  <si>
    <t>Операционные расходы, в % от базового уровня</t>
  </si>
  <si>
    <t>Капитальные вложения, 
в % от базового уровня</t>
  </si>
  <si>
    <t>IRR инвестора (продажа через опцион), млн руб.</t>
  </si>
  <si>
    <t>Ставка по заемным средствам, процентных пунктов от базового уровня</t>
  </si>
  <si>
    <t>Выручка проекта, 
в % от базового уровня</t>
  </si>
  <si>
    <t>РАСЧЕТЫ БЮДЖЕТНОЙ ЭФФЕКТИВНОСТИ ПРОЕКТА</t>
  </si>
  <si>
    <t>Результаты расчета бюджетной эффективности проекта</t>
  </si>
  <si>
    <t>Прямые бюджетные расходы</t>
  </si>
  <si>
    <t>Прямые бюджетные доходы</t>
  </si>
  <si>
    <t>Косвенные бюджетные доходы</t>
  </si>
  <si>
    <t>Дисконтированные бюджетные прямые расходы</t>
  </si>
  <si>
    <t>Дисконтированные бюджетные прямые доходы</t>
  </si>
  <si>
    <t>Дисконтированные бюджетные косвенные доходы</t>
  </si>
  <si>
    <t>NPV бюджетных денежных потоков</t>
  </si>
  <si>
    <t>Индекс бюджетной эффективности</t>
  </si>
  <si>
    <t>% годовых</t>
  </si>
  <si>
    <t>https://www.rusbonds.ru/ank_obl.asp?tool=153478</t>
  </si>
  <si>
    <t>Бюджетная ставка дисконтирования</t>
  </si>
  <si>
    <t>Коэффициент дисконтирования</t>
  </si>
  <si>
    <t>Консолидированный бюджет: бюджетная эффективность проекта</t>
  </si>
  <si>
    <t>Прямые расходы бюджета</t>
  </si>
  <si>
    <t>Расходы средств бюджетов на этапе создания объекта</t>
  </si>
  <si>
    <t>Расходы средств бюджетов на этапе эксплуатации объекта</t>
  </si>
  <si>
    <t>Итого прямые расходы бюджетной системы</t>
  </si>
  <si>
    <t>Прямые доходы бюджета</t>
  </si>
  <si>
    <t>Налоговые поступления</t>
  </si>
  <si>
    <t>Терминальная стоимость налоговых поступлений</t>
  </si>
  <si>
    <t>Итого прямые доходы бюджетной системы</t>
  </si>
  <si>
    <t>Косвенные доходы бюджета</t>
  </si>
  <si>
    <r>
      <t xml:space="preserve">Прирост бюджетных доходов (налоговые поступления) на этапе строительства </t>
    </r>
    <r>
      <rPr>
        <sz val="10"/>
        <color rgb="FFC00000"/>
        <rFont val="Arial"/>
        <family val="2"/>
        <charset val="204"/>
      </rPr>
      <t>[нет оценки]</t>
    </r>
  </si>
  <si>
    <r>
      <t xml:space="preserve">Прирост бюджетных доходов (налоговые поступления) на этапе эксплуатации </t>
    </r>
    <r>
      <rPr>
        <sz val="10"/>
        <color rgb="FFC00000"/>
        <rFont val="Arial"/>
        <family val="2"/>
        <charset val="204"/>
      </rPr>
      <t>[нет оценки]</t>
    </r>
  </si>
  <si>
    <t>Итого косвенные доходы бюджетной системы</t>
  </si>
  <si>
    <t>Суммарные денежные потоки проекта</t>
  </si>
  <si>
    <t>Расчет налоговых поступлений от проекта</t>
  </si>
  <si>
    <t>Консолидированный бюджет</t>
  </si>
  <si>
    <t>(+) Налог на прибыль организаций</t>
  </si>
  <si>
    <t>(+) Налог на имущество</t>
  </si>
  <si>
    <t>(+/-) Налог на добавленную стоимость</t>
  </si>
  <si>
    <t>(+) Социальные отчисления</t>
  </si>
  <si>
    <t>(+) НДФЛ</t>
  </si>
  <si>
    <t>Итого поступления в консолидированный бюджет</t>
  </si>
  <si>
    <t>Федеральный уровень бюджета</t>
  </si>
  <si>
    <t>Итого поступления в бюджет федерального уровня</t>
  </si>
  <si>
    <t>Региональный уровень бюджета</t>
  </si>
  <si>
    <t>Итого поступления в бюджет регионального уровня</t>
  </si>
  <si>
    <t>Распределение поступлений по уровням бюджета</t>
  </si>
  <si>
    <t>Налог на имущество - федеральная часть</t>
  </si>
  <si>
    <t>Налог на имущество - региональная часть</t>
  </si>
  <si>
    <t>НДС - федеральная часть</t>
  </si>
  <si>
    <t>НДС - региональная часть</t>
  </si>
  <si>
    <t>Социальные отчисления - федеральная часть</t>
  </si>
  <si>
    <t>Социальные отчисления - региональная часть</t>
  </si>
  <si>
    <t>НДФЛ - федеральная часть</t>
  </si>
  <si>
    <t>НДФЛ - региональная часть</t>
  </si>
  <si>
    <t>Расчеты по НДС</t>
  </si>
  <si>
    <t>Поступление по НДС</t>
  </si>
  <si>
    <t>Расчеты по социальным отчислениям и НДФЛ</t>
  </si>
  <si>
    <t>Статьи расходов ФОТ (с учетом социальных взносов)</t>
  </si>
  <si>
    <t>Зарплаты + премии (gross)</t>
  </si>
  <si>
    <t>ПФ</t>
  </si>
  <si>
    <t>ФСС</t>
  </si>
  <si>
    <t>ФОМС</t>
  </si>
  <si>
    <t>Страхование от несчастных случаев</t>
  </si>
  <si>
    <t>Итого расходы на ФОТ</t>
  </si>
  <si>
    <t>НДФЛ</t>
  </si>
  <si>
    <t>Социальные взносы</t>
  </si>
  <si>
    <t>Налоговые предпосылки по ФОТ (в % от выручки)</t>
  </si>
  <si>
    <t>нет</t>
  </si>
  <si>
    <t>Терминальная стоимость проекта</t>
  </si>
  <si>
    <t>Свободные денежные потоки по проекту (FCFF)</t>
  </si>
  <si>
    <t>Использование в расчетах денежных потоков терминальной стоимости
(Terminal Value по формуле Гордона)</t>
  </si>
  <si>
    <t>Наличие непогашенного долга на конец периода</t>
  </si>
  <si>
    <t>Расчет LLCR</t>
  </si>
  <si>
    <t>Баланс старшего долга на начало периода</t>
  </si>
  <si>
    <t>CFADS за период</t>
  </si>
  <si>
    <t>Стоимость долга за период (средневзвешенная)</t>
  </si>
  <si>
    <t>Дисконт-фактор</t>
  </si>
  <si>
    <t>Чистая приведенная стоимость CFADS</t>
  </si>
  <si>
    <t>Прогнозные формы отчетности (Баланс, ОПУ, ОДДС)</t>
  </si>
  <si>
    <t>Расчет макроэкономических индексов</t>
  </si>
  <si>
    <t>Расчет инвестиционных затрат проекта (CAPEX)</t>
  </si>
  <si>
    <t>Расчет амортизационных отчислений по ОС и НМА</t>
  </si>
  <si>
    <t>Расчет прямой производственной себестоимости</t>
  </si>
  <si>
    <t>Расчет административных расходов</t>
  </si>
  <si>
    <t>Расчет налогооблагаемой базы и налога на прибыль</t>
  </si>
  <si>
    <t>Расчет налогооблагаемой базы и налога на имущество</t>
  </si>
  <si>
    <t>Расчет доступного денежного потока и выплаты дивидендов</t>
  </si>
  <si>
    <t>Расчет финансовых показателей и коэффициентов</t>
  </si>
  <si>
    <t>Расчет показателей обслуживания заемных средств</t>
  </si>
  <si>
    <t>Расчет доходов по проекту</t>
  </si>
  <si>
    <t>Расчет денежного потока по оборотному капиталу</t>
  </si>
  <si>
    <t>Расчет активов и обязательств по НДС</t>
  </si>
  <si>
    <t>Источники денежных средств и направления их использования</t>
  </si>
  <si>
    <t>Расчет инвестиционных показателей проекта в целом и показателей для акционеров</t>
  </si>
  <si>
    <t>Прочие расходы (в части инфраструктурных объектов)</t>
  </si>
  <si>
    <t>Прочие расходы (в части зданий и сооружений)</t>
  </si>
  <si>
    <t>Прочие расходы (в части мебели и оборудования)</t>
  </si>
  <si>
    <t>Разделение прочих расходов на этапе создания по группам ОС</t>
  </si>
  <si>
    <t>Обнуление оборотного капитала в конце периода прогнозирования</t>
  </si>
  <si>
    <t>да/нет</t>
  </si>
  <si>
    <t>Сценарий управления оборотным капиталов в конце прогнозного периода</t>
  </si>
  <si>
    <t>Флаг - обнуление оборотного капитала в конце прогнозного периода</t>
  </si>
  <si>
    <t>Безрисковая ставка (Rf) - 10Y Treasury Bonds</t>
  </si>
  <si>
    <t>Рыночная премия (MRp) - Damodaran May 2022</t>
  </si>
  <si>
    <t>Кадастровая стоимость земельного участка</t>
  </si>
  <si>
    <t>Расходы по налогу на землю</t>
  </si>
  <si>
    <t>Денежный поток в годовом выражении (до налогов)</t>
  </si>
  <si>
    <t>Денежный поток в годовом выражении (после налогов)</t>
  </si>
  <si>
    <t>Мультипликатор EV/EBITDA на момент выхода из проекта</t>
  </si>
  <si>
    <t>Ставка НДС - общая</t>
  </si>
  <si>
    <t>Ставка НДС - льготная для выручки туристических объектов</t>
  </si>
  <si>
    <t>Срок действия льготной ставки НДС с даты ввода объекта в эксплуатацию</t>
  </si>
  <si>
    <t>Существующее имущество, вносимое в проект</t>
  </si>
  <si>
    <t>Взнос земельных участков</t>
  </si>
  <si>
    <t>Взнос земельного участка</t>
  </si>
  <si>
    <t>Существующее недвижимое имущество</t>
  </si>
  <si>
    <t>Земельный участок</t>
  </si>
  <si>
    <t>Учет земельного участка в составе проекта</t>
  </si>
  <si>
    <t>Ввод в эксплуатацию - Земельный участок</t>
  </si>
  <si>
    <t>Увеличение акционерного капитала для финансирования проекта</t>
  </si>
  <si>
    <t>Имущественные взносы в капитал - существующее недвижимое имущество</t>
  </si>
  <si>
    <t>Имущественные взносы в капитал - земельный участок</t>
  </si>
  <si>
    <t>Расчет необходимости в привлечении средств [если применимо]</t>
  </si>
  <si>
    <t>Расчет привлечения и погашения кредитных средств [если применимо]</t>
  </si>
  <si>
    <t>Расчет привлечения и погашения акционерных средств [если применимо]</t>
  </si>
  <si>
    <t>Взнос существующего недвижимого имущества, облагаемого НДС</t>
  </si>
  <si>
    <t>Взнос существующего недвижимого имущества, не облагаемого НДС</t>
  </si>
  <si>
    <t>Ввод в эксплуатацию - Здания и сооружения - существующее имущество</t>
  </si>
  <si>
    <t>Дата ввода в эксплуатацию существующего недвижимого имущества</t>
  </si>
  <si>
    <t>НДС с коммерческих и административных расходов</t>
  </si>
  <si>
    <t>Мультипликатор EV/FCFF на момент выхода из проекта</t>
  </si>
  <si>
    <t>Доходность гособлигаций РФ в долларах - RUS-47</t>
  </si>
  <si>
    <t>Объект размещения (отель)</t>
  </si>
  <si>
    <t>Транспортная инфраструктура</t>
  </si>
  <si>
    <t>Коммунальная инфраструктура</t>
  </si>
  <si>
    <t>Прочая обеспечивающая инфраструктура</t>
  </si>
  <si>
    <t>Флаг - ввод в эксплуатацию - Существующее имущество</t>
  </si>
  <si>
    <t>Корректировка величины расходов по направлениям</t>
  </si>
  <si>
    <t>Общая поддерживающая инфраструктура</t>
  </si>
  <si>
    <t>Повышение стоимости номеров в период действия льготы по НДС</t>
  </si>
  <si>
    <t>Выручка объекта размещения (без учета доп. дохода от применения льготы по НДС)</t>
  </si>
  <si>
    <t>Выручка для целей расчета НДС по обычной ставке</t>
  </si>
  <si>
    <t>Выручка для целей расчета НДС по льготной ставке</t>
  </si>
  <si>
    <t>Выручка номерного фонда (без учета действия льготы по НДС)</t>
  </si>
  <si>
    <t>Общая выручка (без учета действия льготы по НДС)</t>
  </si>
  <si>
    <t>Общая выручка объекта (-ов) (без учета действия льготы по НДС)</t>
  </si>
  <si>
    <t>Операционная прибыль (без учета действия льготы по НДС)</t>
  </si>
  <si>
    <t>Финансирование процентов и прочих расходов по кредиту только за счет средств акционеров</t>
  </si>
  <si>
    <t>Учет остатков денежных средств при погашении долга</t>
  </si>
  <si>
    <t>Метод расчет денежных потоков для акционеров</t>
  </si>
  <si>
    <t>(-) налог на прибыль (скорректированный)</t>
  </si>
  <si>
    <t>Ставка налога на прибыль общая</t>
  </si>
  <si>
    <t>Ставка налога на прибыль при выплате дивидендов</t>
  </si>
  <si>
    <t>Источники и направления финансирования</t>
  </si>
  <si>
    <t>Источники финансирования инвестиционного проекта</t>
  </si>
  <si>
    <t>Взносы в уставной капитал</t>
  </si>
  <si>
    <t>Банковский кредит</t>
  </si>
  <si>
    <t>Прочие источники</t>
  </si>
  <si>
    <t>Направления финансирования инвестиционного проекта</t>
  </si>
  <si>
    <t>Уменьшение денежных средств на счетах</t>
  </si>
  <si>
    <t>Обслуживание займов и кредитов</t>
  </si>
  <si>
    <t>Проценты по кредитам и займам</t>
  </si>
  <si>
    <t>Возврат банковского кредита</t>
  </si>
  <si>
    <t>Возврат акционерного займа</t>
  </si>
  <si>
    <t>Оплата НДС</t>
  </si>
  <si>
    <t>Прочие направления</t>
  </si>
  <si>
    <t>Прочие поступления</t>
  </si>
  <si>
    <t>Денежные взносы инвестора</t>
  </si>
  <si>
    <t>Имущественные взносы инвестора</t>
  </si>
  <si>
    <t>Доля инвестора в уставном капитале</t>
  </si>
  <si>
    <t>Источники и направления финансирования инвестиционных затрат</t>
  </si>
  <si>
    <t>тыс.руб.</t>
  </si>
  <si>
    <t>Ед.изм.</t>
  </si>
  <si>
    <t>Итого направления финансирования</t>
  </si>
  <si>
    <t>Итого источники финансирования</t>
  </si>
  <si>
    <t>Корректировка стоимости инвестиционных затрат на сопутствующую инфраструктуру</t>
  </si>
  <si>
    <t>Корректировка стоимости инвестиционных затрат на ключевые объекты</t>
  </si>
  <si>
    <t>Распределение сезонной загрузки по кварталам</t>
  </si>
  <si>
    <t>годовая загрузка</t>
  </si>
  <si>
    <t>Сезонные колебания загрузки</t>
  </si>
  <si>
    <t>Уровень загрузки по периодам прогнозирования без сезонных колебаний</t>
  </si>
  <si>
    <t>Дополнительный доход номерного департамента от применения льготной ставки НДС</t>
  </si>
  <si>
    <t>Проверка (источники = направлениям финансирования)</t>
  </si>
  <si>
    <t>кварталов</t>
  </si>
  <si>
    <t>НДФЛ (доля распределения в федеральный бюджет)</t>
  </si>
  <si>
    <t>НДФЛ (доля распределения в местный бюджет)</t>
  </si>
  <si>
    <t>НДФЛ (доля распределения в бюджет поселения)</t>
  </si>
  <si>
    <t>НДФЛ (базовая ставка)</t>
  </si>
  <si>
    <t>Страховые взносы с ФОТ (ставки общие)</t>
  </si>
  <si>
    <t>Аренда земли</t>
  </si>
  <si>
    <t>Операционный денежный поток (OCF)</t>
  </si>
  <si>
    <t>Исключение из OCF процентных платежей, скорректированных на налог на прибыль</t>
  </si>
  <si>
    <t>Инвестиционный денежный поток (ICF)</t>
  </si>
  <si>
    <t>Налог на прибыль - ставка федеральная часть</t>
  </si>
  <si>
    <t>Налог на прибыль - ставка региональная часть</t>
  </si>
  <si>
    <t>Площади номерного фонда</t>
  </si>
  <si>
    <t>Ввод в эксплуатацию - Капитализированные расходы по процентам и банковским комиссиям</t>
  </si>
  <si>
    <t>Налог на прибыль - ставка федеральная часть (повышенная ставка)</t>
  </si>
  <si>
    <t>Последний год действия повышенной ставки налога на прибыль, зачисляемого в федеральный бюджет</t>
  </si>
  <si>
    <t>Предпосылки по прочей выручке</t>
  </si>
  <si>
    <t>% от выручки номерного фонда и food&amp;beverage</t>
  </si>
  <si>
    <t>Налоговые предпосылки по ФОТ</t>
  </si>
  <si>
    <t>Формирование УК до начала кредитования</t>
  </si>
  <si>
    <t>ПРОГНОЗНАЯ ФИНАНСОВАЯ ОТЧЕТНОСТЬ ПО ГОДАМ</t>
  </si>
  <si>
    <t>Прочие расходы, облагаемые НДС</t>
  </si>
  <si>
    <t>Внеоборотные активы, внесенные в уставной капитал, без НДС</t>
  </si>
  <si>
    <t>Финансирование капитальных затрат, без НДС</t>
  </si>
  <si>
    <t>Минимальный требуемый остаток денежных средств на конец периода</t>
  </si>
  <si>
    <t>прогнозные цены</t>
  </si>
  <si>
    <t>Услуги застройщика/технического заказчика</t>
  </si>
  <si>
    <t>Общая сумма капитальных затрат проекта (без НДС)</t>
  </si>
  <si>
    <t>Итого внесено акционерного капитала</t>
  </si>
  <si>
    <t>Flag_Historical</t>
  </si>
  <si>
    <t>Flag_Construction</t>
  </si>
  <si>
    <t>Flag_Operations</t>
  </si>
  <si>
    <t>Flag_Forecast</t>
  </si>
  <si>
    <t>Инвестиционный период, включая исторический</t>
  </si>
  <si>
    <t>Flag_Invest</t>
  </si>
  <si>
    <t>Flag_Financial_Model</t>
  </si>
  <si>
    <t>Коэффициент корректировки затрат на инфраструктуру</t>
  </si>
  <si>
    <r>
      <t>[</t>
    </r>
    <r>
      <rPr>
        <sz val="10"/>
        <color theme="1"/>
        <rFont val="Calibri"/>
        <family val="2"/>
        <charset val="204"/>
      </rPr>
      <t>•</t>
    </r>
    <r>
      <rPr>
        <sz val="10"/>
        <color theme="1"/>
        <rFont val="Arial"/>
        <family val="2"/>
        <charset val="204"/>
      </rPr>
      <t>] Корректировка затрат на инфраструктуру</t>
    </r>
  </si>
  <si>
    <t>Доля площади в ГВС в площади в ГНС</t>
  </si>
  <si>
    <t>Благоустройство</t>
  </si>
  <si>
    <t>Подготовка к открытию</t>
  </si>
  <si>
    <t>Эксплуатационные расходы, включаемые в первоначальную стоимость основных средств</t>
  </si>
  <si>
    <t>Чистая прибыль от операционной деятельности</t>
  </si>
  <si>
    <t>Капитализируемые операционные расходы, без НДС</t>
  </si>
  <si>
    <t>Среднее количество гостей на проданный номер</t>
  </si>
  <si>
    <t>Неденежные активы, внесенные инвесторами в уставной капитал для целей учета НДС к вычету</t>
  </si>
  <si>
    <t>НДС к вычету с неденежных активов, внесенных инвесторами в уставной капитал</t>
  </si>
  <si>
    <t>НДС, принятый к вычету с неденежных активов, поступивший в составе взноса в уставной капитал</t>
  </si>
  <si>
    <t>Длительность нахождения в проекте на операционном этапе</t>
  </si>
  <si>
    <t>года/лет</t>
  </si>
  <si>
    <t>Календарный квартал</t>
  </si>
  <si>
    <t>Год, начиная с которого возможен полный учет полученных налоговых убытков предыдущих периодов</t>
  </si>
  <si>
    <t>Прогноз МЭР на период до 2036 г. (от 28.11.2018 г.), до 2025 г. (от 28.09.2022 г.), до 2026 г. (от 22.09.2023 г.)</t>
  </si>
  <si>
    <t>Доля ключевой ставки</t>
  </si>
  <si>
    <t>Ставка по старшему долгу (несубсидируемая доля ключевой ставки ЦБ)</t>
  </si>
  <si>
    <t>Доля ключевой ставки ЦБ плюс маржа</t>
  </si>
  <si>
    <t>Доля ЦБ + маржа / фиксированная</t>
  </si>
  <si>
    <t>Доля несубсидируемой части ключевой ставки ЦБ</t>
  </si>
  <si>
    <t>Базовый сценарий</t>
  </si>
  <si>
    <t>Сценарий - Ключавая ставка ЦБ</t>
  </si>
  <si>
    <t>Предпосылки расчета инвестиционной доходности инвестора</t>
  </si>
  <si>
    <t>Денежный поток инвестора</t>
  </si>
  <si>
    <t>Сьют</t>
  </si>
  <si>
    <t>Площадь объектов в рамках кластера</t>
  </si>
  <si>
    <t>Бассейны открытие</t>
  </si>
  <si>
    <t>Детские и спортивные площадки</t>
  </si>
  <si>
    <t>Фитнес-зал, СПА, бассейн</t>
  </si>
  <si>
    <t>Развлекательный комплекс</t>
  </si>
  <si>
    <t>Стоимость создания открытых бассейнов</t>
  </si>
  <si>
    <t>площадь</t>
  </si>
  <si>
    <t>Стоимость создания детских бассейнов</t>
  </si>
  <si>
    <t>Спортивная и детские площадки</t>
  </si>
  <si>
    <t>Улучшенный номер Дж.сьют</t>
  </si>
  <si>
    <t xml:space="preserve">Люкс </t>
  </si>
  <si>
    <t>Пент хаус</t>
  </si>
  <si>
    <t>Резиденция с 1 спальней</t>
  </si>
  <si>
    <t>Резиденция с 2 спальнями</t>
  </si>
  <si>
    <t>Бассейны для детей</t>
  </si>
  <si>
    <t>Крытый парк развлечений</t>
  </si>
  <si>
    <t>Авиатранспорт</t>
  </si>
  <si>
    <t>Автомобильный транспорт</t>
  </si>
  <si>
    <t>Ж/д транспорт</t>
  </si>
  <si>
    <t>Автобусный транспорт</t>
  </si>
  <si>
    <t>Комбинированные виды транспорта</t>
  </si>
  <si>
    <t>Отель (вкл. мини-отели)</t>
  </si>
  <si>
    <t>Гостевой дом</t>
  </si>
  <si>
    <t>Апартаменты</t>
  </si>
  <si>
    <t>Хостел</t>
  </si>
  <si>
    <t>Москва</t>
  </si>
  <si>
    <t>Ставропольский край</t>
  </si>
  <si>
    <t>Чеченская республика</t>
  </si>
  <si>
    <t>Краснодарский край</t>
  </si>
  <si>
    <t>Санкт-Петербург</t>
  </si>
  <si>
    <t>Северная Осетия, Астраханская область, Ростовская область, Башкортостан, Татарстан</t>
  </si>
  <si>
    <t>Пегас</t>
  </si>
  <si>
    <t>Яндекс.Путешествия</t>
  </si>
  <si>
    <t>Ostrovok.ru</t>
  </si>
  <si>
    <t>МТС Travel / Bronevik</t>
  </si>
  <si>
    <t>Алеан</t>
  </si>
  <si>
    <t>101Hotels.com</t>
  </si>
  <si>
    <t>Zabroniryi.ru</t>
  </si>
  <si>
    <t>Otello</t>
  </si>
  <si>
    <t>Acase.ru</t>
  </si>
  <si>
    <t>Дельфин</t>
  </si>
  <si>
    <t>Городские отели</t>
  </si>
  <si>
    <t>Загородные отели</t>
  </si>
  <si>
    <t>Курортные отели</t>
  </si>
  <si>
    <t>Санатории</t>
  </si>
  <si>
    <t>Бронирования через ОТА</t>
  </si>
  <si>
    <t>Прямые бронирования</t>
  </si>
  <si>
    <t>5 звёзд</t>
  </si>
  <si>
    <t>4 звезды</t>
  </si>
  <si>
    <t>3 звезды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</si>
  <si>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</si>
  <si>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</si>
  <si>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</si>
  <si>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</si>
  <si>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</si>
  <si>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</si>
  <si>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</si>
  <si>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</si>
  <si>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</si>
  <si>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Ноябрь</t>
  </si>
  <si>
    <t>Декабрь</t>
  </si>
  <si>
    <t>Наименование</t>
  </si>
  <si>
    <t>Город</t>
  </si>
  <si>
    <t>Категория</t>
  </si>
  <si>
    <t>5*</t>
  </si>
  <si>
    <t>Анапа</t>
  </si>
  <si>
    <t>Отель FЮNF LUXURY resort&amp;spa</t>
  </si>
  <si>
    <t>Radisson Collection Paradise Resort &amp; Spa</t>
  </si>
  <si>
    <t>2023г КСР Минтуризм РД</t>
  </si>
  <si>
    <t>5 звёзд*</t>
  </si>
  <si>
    <t>*всего 1 отель 5* на 31 номер, поэтому прогноз загрузки на 4*</t>
  </si>
  <si>
    <t>Ср.значение</t>
  </si>
  <si>
    <t>1 кв</t>
  </si>
  <si>
    <t>2 кв</t>
  </si>
  <si>
    <t>Октябрь</t>
  </si>
  <si>
    <t>3 кв</t>
  </si>
  <si>
    <t>4 кв</t>
  </si>
  <si>
    <t>Поквартальная загрузка</t>
  </si>
  <si>
    <t>Количество гостей</t>
  </si>
  <si>
    <t>человек в номере</t>
  </si>
  <si>
    <t>Вилла</t>
  </si>
  <si>
    <t>ОЭЗ</t>
  </si>
  <si>
    <t>Резиденция студия</t>
  </si>
  <si>
    <t>Сценарий использования НДС на инвестиционной фазе</t>
  </si>
  <si>
    <t>НДС на инвестиционной фазе: возмещается в течение инвест.фазы или накапливается?</t>
  </si>
  <si>
    <t>Накапливается</t>
  </si>
  <si>
    <t>Возмещается</t>
  </si>
  <si>
    <t>Сценарий возмещения НДС на инвестиционной фазе</t>
  </si>
  <si>
    <t>№</t>
  </si>
  <si>
    <t>ОТДЕЛ</t>
  </si>
  <si>
    <t>ДОЛЖНОСТЬ</t>
  </si>
  <si>
    <t>Кол-во    единиц</t>
  </si>
  <si>
    <t>ИТОГО</t>
  </si>
  <si>
    <t xml:space="preserve">Администрация </t>
  </si>
  <si>
    <t>Генеральный директор</t>
  </si>
  <si>
    <t xml:space="preserve">Заместитель Генерального директора </t>
  </si>
  <si>
    <t>Операционный директор</t>
  </si>
  <si>
    <t>Руководитель отдела кадров</t>
  </si>
  <si>
    <t>Делопроизводитель</t>
  </si>
  <si>
    <t>Финансовый контролер</t>
  </si>
  <si>
    <t>Складское хозяйство отеля и технической службы</t>
  </si>
  <si>
    <t>Заведующий складом</t>
  </si>
  <si>
    <t>Кладовщик</t>
  </si>
  <si>
    <t>Отдел по охране труда</t>
  </si>
  <si>
    <t>Специалист по охране труда</t>
  </si>
  <si>
    <t>Финансовая служба</t>
  </si>
  <si>
    <t>Главный бухгалтер</t>
  </si>
  <si>
    <t>Зам.гл. бухгалтер</t>
  </si>
  <si>
    <t>Бухгалтер по расчету зарплаты</t>
  </si>
  <si>
    <t>Бухгалтер кассир</t>
  </si>
  <si>
    <t>Калькулятор</t>
  </si>
  <si>
    <t>Бухгалтер</t>
  </si>
  <si>
    <t>Складское хозяйство(F&amp;B)</t>
  </si>
  <si>
    <t>Кладовщик-оператор</t>
  </si>
  <si>
    <t>Помощник кладовщика</t>
  </si>
  <si>
    <t>Руководитель склада</t>
  </si>
  <si>
    <t>Детский центр</t>
  </si>
  <si>
    <t>Администратор детского клуба</t>
  </si>
  <si>
    <t>Отдел продаж и маркетинга</t>
  </si>
  <si>
    <t>Руководитель отдела продаж</t>
  </si>
  <si>
    <t>Менеджер по работе с группами и корпоративными клиентами</t>
  </si>
  <si>
    <t xml:space="preserve">Менеджер по бронированию </t>
  </si>
  <si>
    <t>Оператор колл-центра</t>
  </si>
  <si>
    <t>Служба путешествий</t>
  </si>
  <si>
    <t>Администратор службы путешествий</t>
  </si>
  <si>
    <t>Диспетчер</t>
  </si>
  <si>
    <t>Координатор службы путешествий</t>
  </si>
  <si>
    <t>СПиР</t>
  </si>
  <si>
    <t>Руководитель СПиР</t>
  </si>
  <si>
    <t>Администратор службы приема и размещения</t>
  </si>
  <si>
    <t>Менеджер по работе с клиентами</t>
  </si>
  <si>
    <t>СГХ</t>
  </si>
  <si>
    <t xml:space="preserve">Старшая горничная </t>
  </si>
  <si>
    <t>Супервайзер</t>
  </si>
  <si>
    <t>Супервайзер общественных зон</t>
  </si>
  <si>
    <t>Старший оператор прачечной</t>
  </si>
  <si>
    <t>Оператор прачечной</t>
  </si>
  <si>
    <t>Швея</t>
  </si>
  <si>
    <t>Специалист по уборке помещений</t>
  </si>
  <si>
    <t>Бригадир комплексных рабочих</t>
  </si>
  <si>
    <t>Комплексный рабочий</t>
  </si>
  <si>
    <t>АКВА центр и СПА</t>
  </si>
  <si>
    <t>Менеджер СПА и АКВА</t>
  </si>
  <si>
    <t>Администратор аквацентра</t>
  </si>
  <si>
    <t>Косметик-эстетист</t>
  </si>
  <si>
    <t>Инструктор-спасатель</t>
  </si>
  <si>
    <t>Администратор</t>
  </si>
  <si>
    <t>Оператор по обсуживанию бассейна</t>
  </si>
  <si>
    <t>Служба питания и напитков</t>
  </si>
  <si>
    <t>Руководитель службы питания и напитков</t>
  </si>
  <si>
    <t>Менеджер ресторана</t>
  </si>
  <si>
    <t>Бар-менеджер</t>
  </si>
  <si>
    <t>Бармен</t>
  </si>
  <si>
    <t>Старший официант</t>
  </si>
  <si>
    <t>Официант</t>
  </si>
  <si>
    <t>Хостес</t>
  </si>
  <si>
    <t>Мойщица посуды</t>
  </si>
  <si>
    <t>Шеф-повар</t>
  </si>
  <si>
    <t>Су-шеф</t>
  </si>
  <si>
    <t>Старший повар шведского стола</t>
  </si>
  <si>
    <t>Повар на шведскую линию</t>
  </si>
  <si>
    <t>Сервис менеджер</t>
  </si>
  <si>
    <t>Повар рабочая столовая</t>
  </si>
  <si>
    <t>Повар гриль</t>
  </si>
  <si>
    <t>Пиццамейкер (роллы)</t>
  </si>
  <si>
    <t>Повар горячий цех</t>
  </si>
  <si>
    <t>Старший повар холодного цеха</t>
  </si>
  <si>
    <t>Повар холодого цеха</t>
  </si>
  <si>
    <t>Повар - кондитер</t>
  </si>
  <si>
    <t>Старший повар - заготовка</t>
  </si>
  <si>
    <t>Повар - заготовщик</t>
  </si>
  <si>
    <t>Повар по лепке(пельменей,вареников)</t>
  </si>
  <si>
    <t>Повар (фудтрак)</t>
  </si>
  <si>
    <t>Помощник повара</t>
  </si>
  <si>
    <t>Уборщица/посудомойщица рабочей столовой</t>
  </si>
  <si>
    <t>Агроном</t>
  </si>
  <si>
    <t>Отдел маркетинга</t>
  </si>
  <si>
    <t>Маркетолог</t>
  </si>
  <si>
    <t>Менеджер по маркетингу и рекламе</t>
  </si>
  <si>
    <t>Арт-отдел</t>
  </si>
  <si>
    <t>аниматоры</t>
  </si>
  <si>
    <t>Техническая служба</t>
  </si>
  <si>
    <t>Технический директор</t>
  </si>
  <si>
    <t>Инженер технической службы</t>
  </si>
  <si>
    <t>Системный администратор</t>
  </si>
  <si>
    <t>Специалист по информационным технологиям</t>
  </si>
  <si>
    <t>Электрик</t>
  </si>
  <si>
    <t>Сантехник</t>
  </si>
  <si>
    <t>Техник\водоподготовка</t>
  </si>
  <si>
    <t>Энергетик</t>
  </si>
  <si>
    <t>Бригадир</t>
  </si>
  <si>
    <t>Рабочий технической службы</t>
  </si>
  <si>
    <t>Транспортная служба</t>
  </si>
  <si>
    <t>Заведующий гаражом</t>
  </si>
  <si>
    <t>Механик</t>
  </si>
  <si>
    <t>Водитель автобуса</t>
  </si>
  <si>
    <t>Водитель автомобиля</t>
  </si>
  <si>
    <t>Тракторист</t>
  </si>
  <si>
    <t>Служба внутреннего контроля</t>
  </si>
  <si>
    <t>Руководитель службы контроля</t>
  </si>
  <si>
    <t>Контролер</t>
  </si>
  <si>
    <t>Парковая служба</t>
  </si>
  <si>
    <t>Мастер парковой службы</t>
  </si>
  <si>
    <t>Бригадир парковой службы</t>
  </si>
  <si>
    <t>Рабочий парковой службы</t>
  </si>
  <si>
    <t>ФЗП</t>
  </si>
  <si>
    <t>10% подменный фонд</t>
  </si>
  <si>
    <t>Доля%</t>
  </si>
  <si>
    <t>Доля в руб</t>
  </si>
  <si>
    <t>Выручка в базовых ценах</t>
  </si>
  <si>
    <t>Отель</t>
  </si>
  <si>
    <t>FB</t>
  </si>
  <si>
    <t>Прочие</t>
  </si>
  <si>
    <t>ФОТ % от базовой выручки</t>
  </si>
  <si>
    <t>Горничная</t>
  </si>
  <si>
    <t>Прогноз</t>
  </si>
  <si>
    <t>Структура продаж</t>
  </si>
  <si>
    <t>Акционерный заем\коммерческий кредит</t>
  </si>
  <si>
    <t xml:space="preserve">ЦБ + маржа </t>
  </si>
  <si>
    <t>Процентная ставка-маржа  по акционерному займу</t>
  </si>
  <si>
    <t>Маржа Процентная ставка по заемным средствам</t>
  </si>
  <si>
    <t>Акционерный займ\Коммерческий кредит</t>
  </si>
  <si>
    <t>Официальный сайт Центрального Банка РФ (Прогноз от 26.07.2024 г.)</t>
  </si>
  <si>
    <t>Заемные средства-льготный кредит</t>
  </si>
  <si>
    <t>Резеденция студия</t>
  </si>
  <si>
    <t>FCFF</t>
  </si>
  <si>
    <t>FCFE</t>
  </si>
  <si>
    <t>Доля туристов по типу транспорта</t>
  </si>
  <si>
    <t>Доля по типу средств размещения</t>
  </si>
  <si>
    <t>Регионы бронирования</t>
  </si>
  <si>
    <t>Доля ОТА по РД</t>
  </si>
  <si>
    <t>Анализ стоимости питания</t>
  </si>
  <si>
    <t>Сочи</t>
  </si>
  <si>
    <t>Месяц</t>
  </si>
  <si>
    <t>Загрузка в месяц</t>
  </si>
  <si>
    <t>Загрузка в квартал</t>
  </si>
  <si>
    <t>Состав</t>
  </si>
  <si>
    <t>группа коллег</t>
  </si>
  <si>
    <t>группа взрослых родственников</t>
  </si>
  <si>
    <t>вдвоем с супругой</t>
  </si>
  <si>
    <t>Департамент</t>
  </si>
  <si>
    <t>Акционеры</t>
  </si>
  <si>
    <t>Кредит</t>
  </si>
  <si>
    <t xml:space="preserve">% от выручки </t>
  </si>
  <si>
    <t>1 квартал</t>
  </si>
  <si>
    <t>2 квартал</t>
  </si>
  <si>
    <t>3 квартал</t>
  </si>
  <si>
    <t>4 квартал</t>
  </si>
  <si>
    <t>низкий</t>
  </si>
  <si>
    <t>средний</t>
  </si>
  <si>
    <t>высокий</t>
  </si>
  <si>
    <t xml:space="preserve">Последняя перепись проводилась в 2020 год. Это основной источник данных по численности семей в РФ </t>
  </si>
  <si>
    <t>для расчета средней численности семьи с детьми использованы данные по семьям из 2-4 человек.</t>
  </si>
  <si>
    <t>Итоги ВПН-2020. Том 8. Число и состав домохозяйств</t>
  </si>
  <si>
    <t>Пргноз для целей ФЭМ</t>
  </si>
  <si>
    <t>Число частных домохо-зяйств</t>
  </si>
  <si>
    <t>В них чис-
ленность
членов
частных
домохо-
зяйств</t>
  </si>
  <si>
    <t>Из общего числа частных домохозяйств – домохозяйства, состоящие из</t>
  </si>
  <si>
    <t>1 
человека</t>
  </si>
  <si>
    <t>2 
человек</t>
  </si>
  <si>
    <t>3 
человек</t>
  </si>
  <si>
    <t>4 
человек</t>
  </si>
  <si>
    <t>5 
человек</t>
  </si>
  <si>
    <t>6 и более человек</t>
  </si>
  <si>
    <t>число домохо-зяйств</t>
  </si>
  <si>
    <t>в них лиц</t>
  </si>
  <si>
    <t xml:space="preserve">ср.значение </t>
  </si>
  <si>
    <t>Прогноз среднего количества гостей на проданный номер (PRO-город Дагестан)</t>
  </si>
  <si>
    <t>Единовременное количество гостей</t>
  </si>
  <si>
    <t>Число гостей лаундж зоны</t>
  </si>
  <si>
    <t>из них домохозяйства,
имеющие детей моложе 18 лет</t>
  </si>
  <si>
    <t>лиц в составе домохозяйств</t>
  </si>
  <si>
    <t>Стоимость пакета в разрезе объект-аналог/квартал/категория номера по данным модуля бронирования за период дек2024-ноя2025</t>
  </si>
  <si>
    <t>Alean 2013</t>
  </si>
  <si>
    <t>Mira 2023</t>
  </si>
  <si>
    <t>Movenpik 2022</t>
  </si>
  <si>
    <t>Fюnf 2024</t>
  </si>
  <si>
    <t>Raddisson</t>
  </si>
  <si>
    <t>S нф</t>
  </si>
  <si>
    <t>Средняя стоимость пакета (проживание+питание UAI) в объектах аналогах в разрезе категорий номеров поквартально</t>
  </si>
  <si>
    <t>S НФ ФЭМ</t>
  </si>
  <si>
    <t>Объекты аналоги</t>
  </si>
  <si>
    <t>Прирост стоимости по категории</t>
  </si>
  <si>
    <t>Питание, в т.ч. НДС</t>
  </si>
  <si>
    <t>Питание, без НДС</t>
  </si>
  <si>
    <t>Средняя стоимость проживания в объектах аналогах в разрезе категорий номеров поквартально</t>
  </si>
  <si>
    <t>Прогноз ФЭМ, без НДС, с учетом скидки ОТА, с учтом понижающего коэфф</t>
  </si>
  <si>
    <t>средневзвешенное значение</t>
  </si>
  <si>
    <t>количество проданных пакетов</t>
  </si>
  <si>
    <t>ADR в ценах2025</t>
  </si>
  <si>
    <t>2-5 человек в семье</t>
  </si>
  <si>
    <t>Принято допущение, что многодетные семьи реже пользуются отлеями 5 звезд, поэтому исключены данные по домохозяйствам 6 и более человек, кроме того, есть неполные семьи  - ребенок + один родитель, в связи с чем в выборку вошли показатели по домохозяйствам из 2 человек</t>
  </si>
  <si>
    <t>Среднемесячная номинальная начисленная заработная плата работающих в экономике (рубль)</t>
  </si>
  <si>
    <t>январь-август</t>
  </si>
  <si>
    <t>сентябрь</t>
  </si>
  <si>
    <t>январь-сентябрь</t>
  </si>
  <si>
    <t>Российская Федерация</t>
  </si>
  <si>
    <t xml:space="preserve">    ДЕЯТЕЛЬНОСТЬ ГОСТИНИЦ И ПРЕДПРИЯТИЙ ОБЩЕСТВЕННОГО ПИТАНИЯ</t>
  </si>
  <si>
    <t xml:space="preserve">        Деятельность по предоставлению мест для временного проживания</t>
  </si>
  <si>
    <t xml:space="preserve">            Деятельность гостиниц и прочих мест для временного проживания</t>
  </si>
  <si>
    <t xml:space="preserve">            Деятельность по предоставлению мест для краткосрочного проживания</t>
  </si>
  <si>
    <t xml:space="preserve">        Деятельность по предоставлению продуктов питания и напитков</t>
  </si>
  <si>
    <t xml:space="preserve">            Деятельность предприятий общественного питания по обслуживанию торжественных мероприятий и прочим видам организации питания</t>
  </si>
  <si>
    <t>индексация на 2025+10%</t>
  </si>
  <si>
    <t>Средние потребительские цены (тарифы) на товары и услуги (рубль)</t>
  </si>
  <si>
    <t>https://fedstat.ru/indicator/31448</t>
  </si>
  <si>
    <t>2023</t>
  </si>
  <si>
    <t>2024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</si>
  <si>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</si>
  <si>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</si>
  <si>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</si>
  <si>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</si>
  <si>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</si>
  <si>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</si>
  <si>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</si>
  <si>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</si>
  <si>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октябрь</t>
  </si>
  <si>
    <t>ноябрь</t>
  </si>
  <si>
    <t>декабрь</t>
  </si>
  <si>
    <t>Проживание в гостинице 4*-5*, сутки с человека</t>
  </si>
  <si>
    <t xml:space="preserve">  Республика Дагестан</t>
  </si>
  <si>
    <t>Соотношение</t>
  </si>
  <si>
    <t xml:space="preserve"> Статистические данные по Российской Федерации публикуются без учета статистической информации по Донецкой Народной Республике (ДНР), Луганской Народной Республике (ЛНР), Запорожской и Херсонской областям</t>
  </si>
  <si>
    <t>Ужин в ресторане, на 1 человека</t>
  </si>
  <si>
    <t>Отель в коттеджах 5* UAI</t>
  </si>
  <si>
    <t>Рестораны, лобби бар, служебные, циркуляция</t>
  </si>
  <si>
    <t>Лобби / лаундж-зона, циркуляция</t>
  </si>
  <si>
    <t>Помещения для персонала, циркуляция</t>
  </si>
  <si>
    <t>Вспомогательные помещения, циркуляция</t>
  </si>
  <si>
    <t>МФЗ, циркуляция</t>
  </si>
  <si>
    <t>Общие зоны, МОП, коридоры номерного фонда</t>
  </si>
  <si>
    <t>Спа с аква термальной зоной, финтнес центром, циркуляция</t>
  </si>
  <si>
    <t>Вилла 1 тип 8*40кв.м. 13 шт</t>
  </si>
  <si>
    <t xml:space="preserve">Вилла 2 тип 2*80 кв.м. 5 шт </t>
  </si>
  <si>
    <t>Вилла 3 тип 2*160 кв.м. с бассейном 3 шт</t>
  </si>
  <si>
    <t xml:space="preserve">Вилла 2 тип 2*80 кв.м. 6 шт </t>
  </si>
  <si>
    <t>Один одна</t>
  </si>
  <si>
    <t>% гостей, завтракает</t>
  </si>
  <si>
    <t>Средний чек (без НДС) - завтрак</t>
  </si>
  <si>
    <t>Среднее значение</t>
  </si>
  <si>
    <t>Среднее значение без НДС</t>
  </si>
  <si>
    <t>завтрак</t>
  </si>
  <si>
    <t>обед+ужин</t>
  </si>
  <si>
    <t>ужин</t>
  </si>
  <si>
    <t>Регион</t>
  </si>
  <si>
    <t>Цена (лето 2024), руб</t>
  </si>
  <si>
    <t>Цена (ФЭМ 2025), руб</t>
  </si>
  <si>
    <t>Средняя стоимость завтрака</t>
  </si>
  <si>
    <t>Выручка от завтрака</t>
  </si>
  <si>
    <t>Число гостей обед/ужин</t>
  </si>
  <si>
    <t>% гостей, кто завтракает</t>
  </si>
  <si>
    <t>Выручка от обед/ужин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</si>
</sst>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1">
    <numFmt numFmtId="164" formatCode="_-* #,##0\ _₽_-;\-* #,##0\ _₽_-;_-* &quot;-&quot;\ _₽_-;_-@_-"/>
    <numFmt numFmtId="165" formatCode="#,##0_ ;\(#,##0\);\-"/>
    <numFmt numFmtId="166" formatCode="#,##0.000_ ;\(#,##0.000\);\-"/>
    <numFmt numFmtId="167" formatCode="0_);\(0\)"/>
    <numFmt numFmtId="168" formatCode="#,##0.00_ ;\(#,##0.00\);\-"/>
    <numFmt numFmtId="169" formatCode="_(* #,##0.00\x_);_(* \(#,##0.00\x\);_(* &quot;-&quot;_);_(@_)"/>
    <numFmt numFmtId="170" formatCode="0.0%"/>
    <numFmt numFmtId="171" formatCode="#,##0_ ;\(#,##0\);\-\ "/>
    <numFmt numFmtId="172" formatCode="#,##0.00_ ;\(#,##0.00\);\-\ "/>
    <numFmt numFmtId="173" formatCode="#,##0.0%;\(#,##0.0%\);\-\ "/>
    <numFmt numFmtId="174" formatCode="#,##0.0_ ;\(#,##0.0\);\-\ "/>
    <numFmt numFmtId="175" formatCode="0&quot; кв.&quot;"/>
    <numFmt numFmtId="176" formatCode="dd\.mm\.yyyy;@"/>
    <numFmt numFmtId="177" formatCode="0.000%"/>
    <numFmt numFmtId="178" formatCode="#,##0.00%;\(#,##0.00%\);\-\ "/>
    <numFmt numFmtId="179" formatCode="#,##0.0_ ;\(#,##0.0\);\-"/>
    <numFmt numFmtId="180" formatCode="_(* #,##0.000\x_);_(* \(#,##0.000\x\);_(* &quot;-&quot;_);_(@_)"/>
    <numFmt numFmtId="181" formatCode="#,##0.000_ ;\(#,##0.000\);\-\ "/>
    <numFmt numFmtId="182" formatCode="#,##0.000000000_ ;\(#,##0.000000000\);\-\ "/>
    <numFmt numFmtId="183" formatCode="&quot;[+/-] Изменение затрат на&quot;\ @"/>
    <numFmt numFmtId="184" formatCode="&quot;Сегмент 0 - период создания -&quot;\ @"/>
    <numFmt numFmtId="185" formatCode="&quot;Сегмент 2 - период создания -&quot;\ @"/>
    <numFmt numFmtId="186" formatCode="&quot;Сегмент 1 - период создания -&quot;\ @"/>
    <numFmt numFmtId="187" formatCode="&quot;Сегмент 3 - период создания -&quot;\ @"/>
    <numFmt numFmtId="188" formatCode="&quot;Сегмент 0: &quot;@"/>
    <numFmt numFmtId="189" formatCode="#,##0_ ;[Red]\(#,##0\);\-"/>
    <numFmt numFmtId="190" formatCode="#,##0.00000_ ;\(#,##0.00000\);\-\ "/>
    <numFmt numFmtId="191" formatCode="0%;"/>
    <numFmt numFmtId="192" formatCode="&quot;Сегмент 1: &quot;@"/>
    <numFmt numFmtId="193" formatCode="&quot;Сегмент 2: &quot;@"/>
    <numFmt numFmtId="194" formatCode="&quot;Сегмент 3: &quot;@"/>
    <numFmt numFmtId="195" formatCode="&quot;[1] &quot;@"/>
    <numFmt numFmtId="196" formatCode="&quot;[2] &quot;@"/>
    <numFmt numFmtId="197" formatCode="&quot;[3] &quot;@"/>
    <numFmt numFmtId="198" formatCode="@&quot; - общие параметры&quot;"/>
    <numFmt numFmtId="199" formatCode="0.0%;;"/>
    <numFmt numFmtId="200" formatCode="0.0%;;\-\ "/>
    <numFmt numFmtId="201" formatCode="0;\-0;\-"/>
    <numFmt numFmtId="202" formatCode="&quot;Сценарий &quot;#"/>
    <numFmt numFmtId="203" formatCode="dd/mm/yyyy;;;"/>
    <numFmt numFmtId="204" formatCode="0;;;"/>
    <numFmt numFmtId="205" formatCode="0.0"/>
    <numFmt numFmtId="206" formatCode="#,##0.00&quot;р.&quot;"/>
    <numFmt numFmtId="207" formatCode="_-* #,##0_р_._-;\-* #,##0_р_._-;_-* &quot;-&quot;??_р_._-;_-@"/>
    <numFmt numFmtId="208" formatCode="_-* #,##0_р_._-;\-* #,##0_р_._-;_-* &quot;-&quot;_р_._-;_-@"/>
    <numFmt numFmtId="209" formatCode="_-* #,##0.0\ _₽_-;\-* #,##0.0\ _₽_-;_-* &quot;-&quot;?\ _₽_-;_-@_-"/>
    <numFmt numFmtId="210" formatCode="#,##0&quot;р.&quot;"/>
    <numFmt numFmtId="211" formatCode="_-* #,##0.0_р_._-;\-* #,##0.0_р_._-;_-* &quot;-&quot;??_р_._-;_-@"/>
    <numFmt numFmtId="212" formatCode="#,##0.####"/>
    <numFmt numFmtId="213" formatCode="0.000"/>
    <numFmt numFmtId="214" formatCode="_-* #,##0.000_р_._-;\-* #,##0.000_р_._-;_-* &quot;-&quot;??_р_._-;_-@"/>
  </numFmts>
  <fonts count="101"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Arial"/>
      <family val="2"/>
      <charset val="204"/>
    </font>
    <font>
      <b/>
      <sz val="15"/>
      <color rgb="FF0A2896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theme="0" tint="-0.499984740745262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i/>
      <sz val="11"/>
      <color theme="0" tint="-0.499984740745262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8"/>
      <name val="Calibri"/>
      <family val="2"/>
      <charset val="204"/>
    </font>
    <font>
      <sz val="10"/>
      <color rgb="FF646464"/>
      <name val="Calibri"/>
      <family val="2"/>
      <charset val="204"/>
    </font>
    <font>
      <sz val="11"/>
      <color rgb="FF646464"/>
      <name val="Calibri"/>
      <family val="2"/>
      <charset val="204"/>
    </font>
    <font>
      <sz val="10"/>
      <color theme="0"/>
      <name val="Calibri"/>
      <family val="2"/>
      <charset val="204"/>
    </font>
    <font>
      <sz val="11"/>
      <color theme="1"/>
      <name val="Calibri"/>
      <family val="2"/>
      <charset val="204"/>
    </font>
    <font>
      <b/>
      <sz val="20"/>
      <color rgb="FF2CB4C0"/>
      <name val="Arial"/>
      <family val="2"/>
      <charset val="204"/>
    </font>
    <font>
      <sz val="12"/>
      <color theme="1"/>
      <name val="Calibri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0"/>
      <name val="Arial"/>
      <family val="2"/>
      <charset val="204"/>
    </font>
    <font>
      <b/>
      <sz val="12"/>
      <color theme="5"/>
      <name val="Arial"/>
      <family val="2"/>
      <charset val="204"/>
    </font>
    <font>
      <b/>
      <sz val="11"/>
      <color theme="8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 tint="-0.499984740745262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10"/>
      <name val="Arial"/>
      <family val="2"/>
      <charset val="204"/>
    </font>
    <font>
      <sz val="9"/>
      <color theme="1"/>
      <name val="Arial"/>
      <family val="2"/>
      <charset val="204"/>
    </font>
    <font>
      <b/>
      <i/>
      <sz val="10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i/>
      <sz val="10"/>
      <color theme="5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0"/>
      <color theme="0"/>
      <name val="Arial"/>
      <family val="2"/>
      <charset val="204"/>
    </font>
    <font>
      <b/>
      <sz val="11"/>
      <color theme="0"/>
      <name val="Arial"/>
      <family val="2"/>
      <charset val="204"/>
    </font>
    <font>
      <sz val="10"/>
      <color theme="6"/>
      <name val="Arial"/>
      <family val="2"/>
      <charset val="204"/>
    </font>
    <font>
      <sz val="10"/>
      <color theme="5" tint="-0.499984740745262"/>
      <name val="Arial"/>
      <family val="2"/>
      <charset val="204"/>
    </font>
    <font>
      <sz val="11"/>
      <color theme="5" tint="-0.499984740745262"/>
      <name val="Calibri"/>
      <family val="2"/>
      <charset val="204"/>
    </font>
    <font>
      <b/>
      <sz val="10"/>
      <name val="Arial"/>
      <family val="2"/>
      <charset val="204"/>
    </font>
    <font>
      <b/>
      <sz val="11"/>
      <color theme="7" tint="-0.24994659260841701"/>
      <name val="Arial"/>
      <family val="2"/>
      <charset val="204"/>
    </font>
    <font>
      <u/>
      <sz val="11"/>
      <color theme="10"/>
      <name val="Calibri"/>
      <family val="2"/>
      <charset val="204"/>
    </font>
    <font>
      <u/>
      <sz val="11"/>
      <color theme="7" tint="-0.249977111117893"/>
      <name val="Arial"/>
      <family val="2"/>
      <charset val="204"/>
    </font>
    <font>
      <sz val="9.5"/>
      <color theme="0"/>
      <name val="Arial"/>
      <family val="2"/>
      <charset val="204"/>
    </font>
    <font>
      <b/>
      <sz val="12"/>
      <color theme="1"/>
      <name val="Arial"/>
      <family val="2"/>
      <charset val="204"/>
    </font>
    <font>
      <b/>
      <sz val="11"/>
      <color theme="3"/>
      <name val="Arial"/>
      <family val="2"/>
      <charset val="204"/>
    </font>
    <font>
      <sz val="11"/>
      <color theme="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10"/>
      <color theme="5"/>
      <name val="Arial"/>
      <family val="2"/>
      <charset val="204"/>
    </font>
    <font>
      <i/>
      <sz val="10"/>
      <color theme="4"/>
      <name val="Arial"/>
      <family val="2"/>
      <charset val="204"/>
    </font>
    <font>
      <sz val="10"/>
      <color theme="2" tint="-0.749992370372631"/>
      <name val="Arial"/>
      <family val="2"/>
      <charset val="204"/>
    </font>
    <font>
      <i/>
      <u/>
      <sz val="11"/>
      <color theme="10"/>
      <name val="Calibri"/>
      <family val="2"/>
      <charset val="204"/>
    </font>
    <font>
      <sz val="10"/>
      <color rgb="FFC00000"/>
      <name val="Arial"/>
      <family val="2"/>
      <charset val="204"/>
    </font>
    <font>
      <u/>
      <sz val="11"/>
      <color theme="10"/>
      <name val="Arial"/>
      <family val="2"/>
      <charset val="204"/>
    </font>
    <font>
      <u/>
      <sz val="10"/>
      <color theme="7" tint="-0.249977111117893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b/>
      <sz val="11"/>
      <name val="Calibri"/>
      <family val="2"/>
      <charset val="204"/>
      <scheme val="minor"/>
    </font>
    <font>
      <b/>
      <sz val="8"/>
      <color rgb="FF000000"/>
      <name val="Calibri"/>
      <family val="2"/>
      <charset val="204"/>
    </font>
    <font>
      <b/>
      <sz val="7"/>
      <color rgb="FF000000"/>
      <name val="Calibri"/>
      <family val="2"/>
      <charset val="204"/>
    </font>
    <font>
      <b/>
      <sz val="8"/>
      <color theme="1"/>
      <name val="Calibri"/>
      <family val="2"/>
      <charset val="204"/>
    </font>
    <font>
      <sz val="8"/>
      <color rgb="FF000000"/>
      <name val="Calibri"/>
      <family val="2"/>
      <charset val="204"/>
    </font>
    <font>
      <sz val="7"/>
      <color rgb="FF000000"/>
      <name val="Calibri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10"/>
      <color theme="1"/>
      <name val="Arimo"/>
    </font>
    <font>
      <b/>
      <sz val="10"/>
      <color theme="1"/>
      <name val="Arimo"/>
    </font>
    <font>
      <b/>
      <i/>
      <sz val="10"/>
      <color theme="1"/>
      <name val="Arial"/>
      <family val="2"/>
      <charset val="204"/>
    </font>
    <font>
      <i/>
      <sz val="10"/>
      <color theme="0"/>
      <name val="Arial"/>
      <family val="2"/>
      <charset val="204"/>
    </font>
    <font>
      <i/>
      <sz val="11"/>
      <color theme="1"/>
      <name val="Arial"/>
      <family val="2"/>
      <charset val="204"/>
    </font>
    <font>
      <sz val="11"/>
      <name val="Arial Narrow"/>
      <family val="2"/>
      <charset val="204"/>
    </font>
    <font>
      <sz val="10"/>
      <name val="Arial Narrow"/>
      <family val="2"/>
      <charset val="204"/>
    </font>
    <font>
      <b/>
      <sz val="11"/>
      <name val="Arial Narrow"/>
      <family val="2"/>
      <charset val="204"/>
    </font>
    <font>
      <b/>
      <sz val="10"/>
      <name val="Arial Narrow"/>
      <family val="2"/>
      <charset val="204"/>
    </font>
    <font>
      <sz val="10"/>
      <color theme="1"/>
      <name val="Arial Narrow"/>
      <family val="2"/>
      <charset val="204"/>
    </font>
    <font>
      <sz val="11"/>
      <color theme="1"/>
      <name val="Arial Narrow"/>
      <family val="2"/>
      <charset val="204"/>
    </font>
    <font>
      <sz val="10"/>
      <name val="Arial Cyr"/>
      <family val="2"/>
    </font>
    <font>
      <b/>
      <sz val="7"/>
      <name val="Arial"/>
      <family val="2"/>
      <charset val="204"/>
    </font>
    <font>
      <b/>
      <sz val="8"/>
      <color rgb="FF000000"/>
      <name val="Arial"/>
      <family val="2"/>
      <charset val="204"/>
    </font>
    <font>
      <b/>
      <sz val="8"/>
      <name val="Arial"/>
      <family val="2"/>
      <charset val="204"/>
    </font>
    <font>
      <sz val="10"/>
      <color rgb="FF000000"/>
      <name val="Arial"/>
      <family val="2"/>
      <charset val="204"/>
    </font>
    <font>
      <sz val="8"/>
      <color indexed="18"/>
      <name val="Arial"/>
      <family val="2"/>
      <charset val="204"/>
    </font>
    <font>
      <u/>
      <sz val="10"/>
      <color theme="10"/>
      <name val="Arial"/>
      <family val="2"/>
      <charset val="204"/>
    </font>
    <font>
      <sz val="8"/>
      <color rgb="FF000000"/>
      <name val="Arial Narrow"/>
      <family val="2"/>
      <charset val="204"/>
    </font>
    <font>
      <sz val="7"/>
      <color rgb="FF000000"/>
      <name val="Arial Narrow"/>
      <family val="2"/>
      <charset val="204"/>
    </font>
    <font>
      <b/>
      <sz val="8"/>
      <color rgb="FF000000"/>
      <name val="Arial Narrow"/>
      <family val="2"/>
      <charset val="204"/>
    </font>
    <font>
      <b/>
      <sz val="7"/>
      <color rgb="FF000000"/>
      <name val="Arial Narrow"/>
      <family val="2"/>
      <charset val="204"/>
    </font>
    <font>
      <b/>
      <sz val="7"/>
      <color theme="1"/>
      <name val="Arial Narrow"/>
      <family val="2"/>
      <charset val="204"/>
    </font>
    <font>
      <sz val="7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E85E8"/>
        <bgColor indexed="64"/>
      </patternFill>
    </fill>
    <fill>
      <patternFill patternType="solid">
        <fgColor theme="3"/>
        <bgColor rgb="FF457FE7"/>
      </patternFill>
    </fill>
    <fill>
      <patternFill patternType="solid">
        <fgColor theme="3"/>
        <bgColor theme="3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theme="8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rgb="FF339966"/>
        <bgColor rgb="FF339966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theme="3" tint="-0.2499465926084170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/>
      <right/>
      <top/>
      <bottom style="medium">
        <color theme="3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theme="3"/>
      </top>
      <bottom/>
      <diagonal/>
    </border>
    <border>
      <left style="medium">
        <color theme="0"/>
      </left>
      <right style="medium">
        <color theme="0"/>
      </right>
      <top style="medium">
        <color theme="3"/>
      </top>
      <bottom style="medium">
        <color theme="0"/>
      </bottom>
      <diagonal/>
    </border>
    <border>
      <left style="hair">
        <color theme="3"/>
      </left>
      <right style="hair">
        <color theme="3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theme="5"/>
      </left>
      <right style="dashed">
        <color theme="5"/>
      </right>
      <top style="dashed">
        <color theme="5"/>
      </top>
      <bottom style="dashed">
        <color theme="5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medium">
        <color theme="0"/>
      </left>
      <right/>
      <top style="medium">
        <color theme="0"/>
      </top>
      <bottom style="medium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0"/>
      </right>
      <top/>
      <bottom style="medium">
        <color theme="3"/>
      </bottom>
      <diagonal/>
    </border>
    <border>
      <left style="dashed">
        <color auto="1"/>
      </left>
      <right/>
      <top style="dashed">
        <color auto="1"/>
      </top>
      <bottom style="medium">
        <color theme="3"/>
      </bottom>
      <diagonal/>
    </border>
    <border>
      <left/>
      <right/>
      <top style="dashed">
        <color auto="1"/>
      </top>
      <bottom style="medium">
        <color theme="3"/>
      </bottom>
      <diagonal/>
    </border>
    <border>
      <left/>
      <right style="dashed">
        <color auto="1"/>
      </right>
      <top style="dashed">
        <color auto="1"/>
      </top>
      <bottom style="medium">
        <color theme="3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theme="3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</borders>
  <cellStyleXfs count="35">
    <xf numFmtId="0" fontId="0" fillId="0" borderId="0"/>
    <xf numFmtId="9" fontId="7" fillId="0" borderId="0" applyFont="0" applyFill="0" applyBorder="0" applyAlignment="0" applyProtection="0"/>
    <xf numFmtId="0" fontId="12" fillId="0" borderId="1" applyNumberFormat="0" applyFill="0" applyAlignment="0" applyProtection="0"/>
    <xf numFmtId="0" fontId="32" fillId="0" borderId="25" applyNumberFormat="0" applyFill="0" applyAlignment="0" applyProtection="0"/>
    <xf numFmtId="0" fontId="32" fillId="0" borderId="27" applyNumberFormat="0" applyFill="0" applyAlignment="0" applyProtection="0"/>
    <xf numFmtId="0" fontId="49" fillId="0" borderId="0" applyNumberFormat="0" applyFill="0" applyBorder="0" applyAlignment="0" applyProtection="0"/>
    <xf numFmtId="1" fontId="11" fillId="16" borderId="0" applyBorder="0">
      <alignment vertical="center"/>
    </xf>
    <xf numFmtId="165" fontId="10" fillId="0" borderId="4">
      <alignment vertical="center"/>
    </xf>
    <xf numFmtId="171" fontId="10" fillId="2" borderId="0"/>
    <xf numFmtId="171" fontId="36" fillId="4" borderId="4"/>
    <xf numFmtId="171" fontId="31" fillId="8" borderId="3"/>
    <xf numFmtId="171" fontId="36" fillId="6" borderId="4"/>
    <xf numFmtId="171" fontId="13" fillId="2" borderId="5"/>
    <xf numFmtId="171" fontId="29" fillId="5" borderId="0"/>
    <xf numFmtId="169" fontId="10" fillId="2" borderId="0"/>
    <xf numFmtId="165" fontId="15" fillId="2" borderId="0"/>
    <xf numFmtId="171" fontId="37" fillId="4" borderId="2"/>
    <xf numFmtId="173" fontId="10" fillId="2" borderId="0"/>
    <xf numFmtId="171" fontId="30" fillId="2" borderId="0"/>
    <xf numFmtId="10" fontId="36" fillId="6" borderId="4"/>
    <xf numFmtId="171" fontId="36" fillId="7" borderId="4"/>
    <xf numFmtId="10" fontId="36" fillId="4" borderId="4"/>
    <xf numFmtId="0" fontId="9" fillId="0" borderId="6" applyNumberFormat="0" applyFill="0" applyAlignment="0" applyProtection="0"/>
    <xf numFmtId="0" fontId="50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" fillId="0" borderId="0" applyNumberFormat="0" applyFont="0" applyFill="0" applyBorder="0" applyProtection="0">
      <alignment horizontal="left" indent="1"/>
    </xf>
    <xf numFmtId="0" fontId="65" fillId="0" borderId="0"/>
    <xf numFmtId="0" fontId="4" fillId="0" borderId="0"/>
    <xf numFmtId="0" fontId="4" fillId="0" borderId="0"/>
    <xf numFmtId="0" fontId="3" fillId="0" borderId="0"/>
    <xf numFmtId="0" fontId="87" fillId="0" borderId="0"/>
    <xf numFmtId="0" fontId="29" fillId="0" borderId="0"/>
    <xf numFmtId="0" fontId="91" fillId="0" borderId="0">
      <protection locked="0"/>
    </xf>
    <xf numFmtId="0" fontId="29" fillId="0" borderId="0"/>
    <xf numFmtId="0" fontId="93" fillId="0" borderId="0" applyNumberFormat="0" applyFill="0" applyBorder="0" applyAlignment="0" applyProtection="0"/>
  </cellStyleXfs>
  <cellXfs count="691">
    <xf numFmtId="0" fontId="0" fillId="0" borderId="0" xfId="0"/>
    <xf numFmtId="171" fontId="36" fillId="6" borderId="4" xfId="11" applyAlignment="1">
      <alignment horizontal="right"/>
    </xf>
    <xf numFmtId="171" fontId="37" fillId="4" borderId="2" xfId="16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1" fontId="11" fillId="16" borderId="0" xfId="6">
      <alignment vertical="center"/>
    </xf>
    <xf numFmtId="1" fontId="11" fillId="16" borderId="0" xfId="6" applyAlignment="1">
      <alignment horizontal="center" vertical="center"/>
    </xf>
    <xf numFmtId="0" fontId="49" fillId="2" borderId="0" xfId="5" applyFill="1"/>
    <xf numFmtId="0" fontId="8" fillId="2" borderId="0" xfId="0" applyFont="1" applyFill="1" applyAlignment="1">
      <alignment vertical="center"/>
    </xf>
    <xf numFmtId="171" fontId="10" fillId="2" borderId="0" xfId="8" applyAlignment="1">
      <alignment vertical="center"/>
    </xf>
    <xf numFmtId="171" fontId="10" fillId="2" borderId="0" xfId="8"/>
    <xf numFmtId="171" fontId="10" fillId="2" borderId="0" xfId="8" applyAlignment="1">
      <alignment horizontal="center"/>
    </xf>
    <xf numFmtId="165" fontId="32" fillId="2" borderId="27" xfId="4" applyNumberFormat="1" applyFill="1"/>
    <xf numFmtId="171" fontId="0" fillId="2" borderId="0" xfId="8" applyFont="1"/>
    <xf numFmtId="171" fontId="36" fillId="4" borderId="4" xfId="9"/>
    <xf numFmtId="165" fontId="11" fillId="16" borderId="0" xfId="6" applyNumberFormat="1">
      <alignment vertical="center"/>
    </xf>
    <xf numFmtId="165" fontId="49" fillId="2" borderId="0" xfId="5" applyNumberFormat="1" applyFill="1"/>
    <xf numFmtId="171" fontId="10" fillId="2" borderId="0" xfId="8" applyAlignment="1">
      <alignment horizontal="left" indent="1"/>
    </xf>
    <xf numFmtId="0" fontId="0" fillId="0" borderId="0" xfId="0" applyAlignment="1">
      <alignment vertical="center"/>
    </xf>
    <xf numFmtId="165" fontId="10" fillId="0" borderId="4" xfId="7" applyAlignment="1">
      <alignment horizontal="center" vertical="center"/>
    </xf>
    <xf numFmtId="165" fontId="49" fillId="2" borderId="0" xfId="5" applyNumberFormat="1" applyFill="1" applyAlignment="1">
      <alignment vertical="center"/>
    </xf>
    <xf numFmtId="171" fontId="10" fillId="2" borderId="0" xfId="8" applyAlignment="1">
      <alignment horizontal="left" indent="2"/>
    </xf>
    <xf numFmtId="171" fontId="0" fillId="2" borderId="0" xfId="8" applyFont="1" applyAlignment="1">
      <alignment horizontal="left" indent="2"/>
    </xf>
    <xf numFmtId="171" fontId="31" fillId="8" borderId="3" xfId="10"/>
    <xf numFmtId="171" fontId="29" fillId="5" borderId="0" xfId="13"/>
    <xf numFmtId="0" fontId="0" fillId="0" borderId="0" xfId="0" applyAlignment="1">
      <alignment horizontal="center"/>
    </xf>
    <xf numFmtId="165" fontId="32" fillId="2" borderId="25" xfId="3" applyNumberFormat="1" applyFill="1"/>
    <xf numFmtId="169" fontId="10" fillId="2" borderId="0" xfId="14"/>
    <xf numFmtId="171" fontId="10" fillId="2" borderId="0" xfId="8" applyAlignment="1">
      <alignment wrapText="1"/>
    </xf>
    <xf numFmtId="0" fontId="0" fillId="2" borderId="0" xfId="0" applyFill="1" applyAlignment="1">
      <alignment horizontal="right"/>
    </xf>
    <xf numFmtId="171" fontId="32" fillId="2" borderId="27" xfId="4" applyNumberFormat="1" applyFill="1"/>
    <xf numFmtId="171" fontId="11" fillId="16" borderId="0" xfId="6" applyNumberFormat="1">
      <alignment vertical="center"/>
    </xf>
    <xf numFmtId="171" fontId="49" fillId="2" borderId="0" xfId="5" applyNumberFormat="1" applyFill="1" applyAlignment="1">
      <alignment horizontal="left" indent="1"/>
    </xf>
    <xf numFmtId="171" fontId="36" fillId="4" borderId="4" xfId="9" applyAlignment="1">
      <alignment horizontal="right"/>
    </xf>
    <xf numFmtId="1" fontId="11" fillId="16" borderId="0" xfId="6" applyAlignment="1">
      <alignment horizontal="left" vertical="center"/>
    </xf>
    <xf numFmtId="171" fontId="13" fillId="2" borderId="0" xfId="8" applyFont="1"/>
    <xf numFmtId="171" fontId="13" fillId="5" borderId="0" xfId="13" applyFont="1"/>
    <xf numFmtId="171" fontId="10" fillId="2" borderId="0" xfId="8" applyAlignment="1">
      <alignment vertical="top"/>
    </xf>
    <xf numFmtId="171" fontId="10" fillId="2" borderId="0" xfId="8" applyAlignment="1">
      <alignment vertical="top" wrapText="1"/>
    </xf>
    <xf numFmtId="0" fontId="0" fillId="0" borderId="0" xfId="0" applyAlignment="1">
      <alignment vertical="top"/>
    </xf>
    <xf numFmtId="171" fontId="10" fillId="2" borderId="0" xfId="8" applyAlignment="1">
      <alignment horizontal="left" wrapText="1" indent="1"/>
    </xf>
    <xf numFmtId="171" fontId="49" fillId="2" borderId="0" xfId="5" applyNumberFormat="1" applyFill="1"/>
    <xf numFmtId="171" fontId="0" fillId="2" borderId="0" xfId="8" applyFont="1" applyAlignment="1">
      <alignment horizontal="center"/>
    </xf>
    <xf numFmtId="173" fontId="10" fillId="2" borderId="0" xfId="17"/>
    <xf numFmtId="171" fontId="14" fillId="2" borderId="0" xfId="8" applyFont="1"/>
    <xf numFmtId="171" fontId="10" fillId="2" borderId="0" xfId="8" applyAlignment="1">
      <alignment horizontal="left" wrapText="1" indent="2"/>
    </xf>
    <xf numFmtId="171" fontId="30" fillId="2" borderId="0" xfId="18"/>
    <xf numFmtId="0" fontId="15" fillId="2" borderId="0" xfId="0" applyFont="1" applyFill="1"/>
    <xf numFmtId="171" fontId="10" fillId="2" borderId="0" xfId="8" quotePrefix="1"/>
    <xf numFmtId="171" fontId="13" fillId="2" borderId="5" xfId="12"/>
    <xf numFmtId="165" fontId="49" fillId="2" borderId="0" xfId="5" applyNumberFormat="1" applyFill="1" applyAlignment="1">
      <alignment horizontal="left" indent="1"/>
    </xf>
    <xf numFmtId="171" fontId="16" fillId="2" borderId="0" xfId="8" applyFont="1"/>
    <xf numFmtId="171" fontId="10" fillId="3" borderId="0" xfId="8" applyFill="1"/>
    <xf numFmtId="177" fontId="10" fillId="2" borderId="0" xfId="1" applyNumberFormat="1" applyFont="1" applyFill="1" applyAlignment="1">
      <alignment horizontal="right"/>
    </xf>
    <xf numFmtId="171" fontId="30" fillId="2" borderId="0" xfId="18" applyAlignment="1">
      <alignment horizontal="left" indent="2"/>
    </xf>
    <xf numFmtId="171" fontId="10" fillId="2" borderId="0" xfId="8" applyAlignment="1">
      <alignment horizontal="left" vertical="center" indent="1"/>
    </xf>
    <xf numFmtId="171" fontId="49" fillId="2" borderId="0" xfId="5" applyNumberFormat="1" applyFill="1" applyAlignment="1">
      <alignment horizontal="left" vertical="center" indent="1"/>
    </xf>
    <xf numFmtId="171" fontId="10" fillId="2" borderId="0" xfId="8" applyAlignment="1">
      <alignment horizontal="left" vertical="center" indent="2"/>
    </xf>
    <xf numFmtId="173" fontId="10" fillId="3" borderId="0" xfId="17" applyFill="1"/>
    <xf numFmtId="175" fontId="10" fillId="3" borderId="0" xfId="8" applyNumberFormat="1" applyFill="1" applyAlignment="1">
      <alignment horizontal="left" indent="2"/>
    </xf>
    <xf numFmtId="167" fontId="32" fillId="3" borderId="27" xfId="4" applyNumberFormat="1" applyFill="1"/>
    <xf numFmtId="171" fontId="30" fillId="3" borderId="0" xfId="18" applyFill="1"/>
    <xf numFmtId="171" fontId="10" fillId="2" borderId="0" xfId="8" applyAlignment="1">
      <alignment horizontal="right"/>
    </xf>
    <xf numFmtId="172" fontId="36" fillId="4" borderId="4" xfId="9" applyNumberFormat="1"/>
    <xf numFmtId="171" fontId="36" fillId="7" borderId="4" xfId="20"/>
    <xf numFmtId="165" fontId="10" fillId="0" borderId="4" xfId="7">
      <alignment vertical="center"/>
    </xf>
    <xf numFmtId="171" fontId="37" fillId="4" borderId="2" xfId="16"/>
    <xf numFmtId="171" fontId="49" fillId="2" borderId="0" xfId="5" applyNumberFormat="1" applyFill="1" applyAlignment="1">
      <alignment horizontal="left"/>
    </xf>
    <xf numFmtId="171" fontId="17" fillId="2" borderId="0" xfId="8" applyFont="1" applyAlignment="1">
      <alignment horizontal="center" vertical="center"/>
    </xf>
    <xf numFmtId="171" fontId="17" fillId="2" borderId="0" xfId="8" applyFont="1"/>
    <xf numFmtId="171" fontId="17" fillId="2" borderId="0" xfId="8" applyFont="1" applyAlignment="1">
      <alignment horizontal="center"/>
    </xf>
    <xf numFmtId="14" fontId="36" fillId="4" borderId="4" xfId="9" applyNumberFormat="1"/>
    <xf numFmtId="171" fontId="19" fillId="2" borderId="0" xfId="8" applyFont="1" applyAlignment="1">
      <alignment horizontal="center"/>
    </xf>
    <xf numFmtId="171" fontId="19" fillId="2" borderId="0" xfId="8" applyFont="1"/>
    <xf numFmtId="0" fontId="6" fillId="2" borderId="0" xfId="0" applyFont="1" applyFill="1"/>
    <xf numFmtId="0" fontId="6" fillId="0" borderId="0" xfId="0" applyFont="1"/>
    <xf numFmtId="0" fontId="19" fillId="0" borderId="0" xfId="0" applyFont="1"/>
    <xf numFmtId="171" fontId="19" fillId="2" borderId="0" xfId="8" applyFont="1" applyAlignment="1">
      <alignment vertical="center"/>
    </xf>
    <xf numFmtId="166" fontId="19" fillId="2" borderId="0" xfId="8" applyNumberFormat="1" applyFont="1"/>
    <xf numFmtId="171" fontId="17" fillId="3" borderId="0" xfId="8" applyFont="1" applyFill="1"/>
    <xf numFmtId="10" fontId="36" fillId="4" borderId="4" xfId="21"/>
    <xf numFmtId="0" fontId="0" fillId="0" borderId="0" xfId="0" applyAlignment="1">
      <alignment vertical="top" wrapText="1"/>
    </xf>
    <xf numFmtId="171" fontId="10" fillId="2" borderId="0" xfId="8" applyAlignment="1">
      <alignment horizontal="left" vertical="top" wrapText="1"/>
    </xf>
    <xf numFmtId="0" fontId="0" fillId="0" borderId="0" xfId="0" applyAlignment="1">
      <alignment wrapText="1"/>
    </xf>
    <xf numFmtId="178" fontId="10" fillId="2" borderId="0" xfId="17" applyNumberFormat="1"/>
    <xf numFmtId="0" fontId="49" fillId="2" borderId="0" xfId="5" applyFill="1" applyAlignment="1">
      <alignment horizontal="center"/>
    </xf>
    <xf numFmtId="171" fontId="32" fillId="2" borderId="25" xfId="3" applyNumberFormat="1" applyFill="1" applyAlignment="1">
      <alignment vertical="center"/>
    </xf>
    <xf numFmtId="165" fontId="49" fillId="2" borderId="0" xfId="5" applyNumberFormat="1" applyFill="1" applyAlignment="1">
      <alignment horizontal="left"/>
    </xf>
    <xf numFmtId="171" fontId="17" fillId="2" borderId="0" xfId="8" applyFont="1" applyAlignment="1">
      <alignment vertical="center"/>
    </xf>
    <xf numFmtId="171" fontId="30" fillId="2" borderId="0" xfId="18" applyAlignment="1">
      <alignment horizontal="center"/>
    </xf>
    <xf numFmtId="171" fontId="23" fillId="2" borderId="0" xfId="8" applyFont="1"/>
    <xf numFmtId="0" fontId="24" fillId="0" borderId="0" xfId="0" applyFont="1"/>
    <xf numFmtId="14" fontId="17" fillId="2" borderId="0" xfId="8" applyNumberFormat="1" applyFont="1" applyAlignment="1">
      <alignment vertical="center"/>
    </xf>
    <xf numFmtId="0" fontId="17" fillId="0" borderId="0" xfId="0" applyFont="1"/>
    <xf numFmtId="174" fontId="17" fillId="2" borderId="0" xfId="8" applyNumberFormat="1" applyFont="1" applyAlignment="1">
      <alignment vertical="center"/>
    </xf>
    <xf numFmtId="171" fontId="23" fillId="2" borderId="0" xfId="8" applyFont="1" applyAlignment="1">
      <alignment vertical="center" wrapText="1"/>
    </xf>
    <xf numFmtId="0" fontId="24" fillId="0" borderId="0" xfId="0" applyFont="1" applyAlignment="1">
      <alignment vertical="center" wrapText="1"/>
    </xf>
    <xf numFmtId="1" fontId="11" fillId="16" borderId="0" xfId="6" applyBorder="1">
      <alignment vertical="center"/>
    </xf>
    <xf numFmtId="171" fontId="27" fillId="2" borderId="0" xfId="8" applyFont="1"/>
    <xf numFmtId="0" fontId="32" fillId="2" borderId="0" xfId="3" applyFill="1" applyBorder="1"/>
    <xf numFmtId="165" fontId="32" fillId="2" borderId="0" xfId="3" applyNumberFormat="1" applyFill="1" applyBorder="1"/>
    <xf numFmtId="171" fontId="26" fillId="2" borderId="0" xfId="8" applyFont="1"/>
    <xf numFmtId="171" fontId="26" fillId="2" borderId="0" xfId="8" applyFont="1" applyAlignment="1">
      <alignment horizontal="left" indent="1"/>
    </xf>
    <xf numFmtId="166" fontId="17" fillId="2" borderId="0" xfId="8" applyNumberFormat="1" applyFont="1"/>
    <xf numFmtId="171" fontId="32" fillId="2" borderId="0" xfId="3" applyNumberFormat="1" applyFill="1" applyBorder="1"/>
    <xf numFmtId="171" fontId="13" fillId="2" borderId="5" xfId="12" applyAlignment="1">
      <alignment horizontal="right"/>
    </xf>
    <xf numFmtId="170" fontId="10" fillId="2" borderId="0" xfId="1" applyNumberFormat="1" applyFont="1" applyFill="1" applyAlignment="1">
      <alignment horizontal="right"/>
    </xf>
    <xf numFmtId="10" fontId="10" fillId="2" borderId="0" xfId="1" applyNumberFormat="1" applyFont="1" applyFill="1" applyAlignment="1">
      <alignment horizontal="right"/>
    </xf>
    <xf numFmtId="168" fontId="13" fillId="3" borderId="0" xfId="8" applyNumberFormat="1" applyFont="1" applyFill="1" applyAlignment="1">
      <alignment horizontal="right" vertical="center"/>
    </xf>
    <xf numFmtId="171" fontId="32" fillId="2" borderId="27" xfId="4" applyNumberFormat="1" applyFill="1" applyAlignment="1">
      <alignment wrapText="1"/>
    </xf>
    <xf numFmtId="171" fontId="49" fillId="2" borderId="0" xfId="5" applyNumberFormat="1" applyFill="1" applyAlignment="1">
      <alignment horizontal="center"/>
    </xf>
    <xf numFmtId="171" fontId="11" fillId="16" borderId="0" xfId="6" applyNumberFormat="1" applyBorder="1">
      <alignment vertical="center"/>
    </xf>
    <xf numFmtId="175" fontId="11" fillId="16" borderId="0" xfId="6" applyNumberFormat="1">
      <alignment vertical="center"/>
    </xf>
    <xf numFmtId="14" fontId="10" fillId="3" borderId="0" xfId="8" applyNumberFormat="1" applyFill="1" applyAlignment="1">
      <alignment horizontal="center" vertical="center"/>
    </xf>
    <xf numFmtId="171" fontId="32" fillId="2" borderId="27" xfId="4" applyNumberFormat="1" applyFill="1" applyAlignment="1">
      <alignment horizontal="left"/>
    </xf>
    <xf numFmtId="171" fontId="18" fillId="2" borderId="0" xfId="8" applyFont="1"/>
    <xf numFmtId="170" fontId="36" fillId="4" borderId="4" xfId="21" applyNumberFormat="1"/>
    <xf numFmtId="171" fontId="17" fillId="9" borderId="0" xfId="8" applyFont="1" applyFill="1" applyAlignment="1">
      <alignment vertical="center"/>
    </xf>
    <xf numFmtId="171" fontId="28" fillId="9" borderId="0" xfId="8" applyFont="1" applyFill="1" applyAlignment="1">
      <alignment vertical="center"/>
    </xf>
    <xf numFmtId="0" fontId="0" fillId="9" borderId="0" xfId="0" applyFill="1"/>
    <xf numFmtId="1" fontId="11" fillId="16" borderId="7" xfId="6" applyBorder="1">
      <alignment vertical="center"/>
    </xf>
    <xf numFmtId="1" fontId="11" fillId="16" borderId="8" xfId="6" applyBorder="1">
      <alignment vertical="center"/>
    </xf>
    <xf numFmtId="1" fontId="11" fillId="16" borderId="9" xfId="6" applyBorder="1">
      <alignment vertical="center"/>
    </xf>
    <xf numFmtId="171" fontId="17" fillId="2" borderId="10" xfId="8" applyFont="1" applyBorder="1" applyAlignment="1">
      <alignment vertical="center"/>
    </xf>
    <xf numFmtId="171" fontId="28" fillId="2" borderId="11" xfId="8" applyFont="1" applyBorder="1" applyAlignment="1">
      <alignment vertical="center"/>
    </xf>
    <xf numFmtId="171" fontId="28" fillId="2" borderId="0" xfId="8" applyFont="1" applyAlignment="1">
      <alignment vertical="center"/>
    </xf>
    <xf numFmtId="171" fontId="17" fillId="2" borderId="12" xfId="8" applyFont="1" applyBorder="1" applyAlignment="1">
      <alignment vertical="center"/>
    </xf>
    <xf numFmtId="171" fontId="17" fillId="2" borderId="13" xfId="8" applyFont="1" applyBorder="1" applyAlignment="1">
      <alignment vertical="center"/>
    </xf>
    <xf numFmtId="171" fontId="28" fillId="2" borderId="14" xfId="8" applyFont="1" applyBorder="1" applyAlignment="1">
      <alignment vertical="center"/>
    </xf>
    <xf numFmtId="171" fontId="28" fillId="2" borderId="10" xfId="8" applyFont="1" applyBorder="1" applyAlignment="1">
      <alignment vertical="center"/>
    </xf>
    <xf numFmtId="171" fontId="34" fillId="2" borderId="0" xfId="8" applyFont="1"/>
    <xf numFmtId="171" fontId="13" fillId="3" borderId="0" xfId="8" applyFont="1" applyFill="1" applyAlignment="1">
      <alignment horizontal="center"/>
    </xf>
    <xf numFmtId="171" fontId="13" fillId="3" borderId="0" xfId="8" applyFont="1" applyFill="1"/>
    <xf numFmtId="0" fontId="15" fillId="0" borderId="0" xfId="0" applyFont="1"/>
    <xf numFmtId="171" fontId="10" fillId="3" borderId="0" xfId="8" applyFill="1" applyAlignment="1">
      <alignment horizontal="center"/>
    </xf>
    <xf numFmtId="171" fontId="29" fillId="5" borderId="0" xfId="13" applyAlignment="1">
      <alignment horizontal="center"/>
    </xf>
    <xf numFmtId="171" fontId="10" fillId="2" borderId="5" xfId="12" applyFont="1"/>
    <xf numFmtId="171" fontId="13" fillId="3" borderId="5" xfId="12" applyFill="1" applyAlignment="1">
      <alignment horizontal="center"/>
    </xf>
    <xf numFmtId="171" fontId="10" fillId="2" borderId="0" xfId="8" applyAlignment="1">
      <alignment horizontal="left" indent="3"/>
    </xf>
    <xf numFmtId="171" fontId="33" fillId="2" borderId="0" xfId="5" applyNumberFormat="1" applyFont="1" applyFill="1"/>
    <xf numFmtId="171" fontId="35" fillId="2" borderId="0" xfId="8" applyFont="1"/>
    <xf numFmtId="0" fontId="10" fillId="0" borderId="0" xfId="0" applyFont="1"/>
    <xf numFmtId="171" fontId="10" fillId="2" borderId="0" xfId="8" applyAlignment="1">
      <alignment horizontal="center" vertical="center"/>
    </xf>
    <xf numFmtId="171" fontId="10" fillId="3" borderId="0" xfId="8" applyFill="1" applyAlignment="1">
      <alignment horizontal="center" vertical="center"/>
    </xf>
    <xf numFmtId="170" fontId="10" fillId="2" borderId="0" xfId="1" applyNumberFormat="1" applyFont="1" applyFill="1"/>
    <xf numFmtId="167" fontId="10" fillId="3" borderId="0" xfId="8" applyNumberFormat="1" applyFill="1"/>
    <xf numFmtId="172" fontId="10" fillId="3" borderId="0" xfId="8" applyNumberFormat="1" applyFill="1"/>
    <xf numFmtId="168" fontId="10" fillId="3" borderId="0" xfId="8" applyNumberFormat="1" applyFill="1"/>
    <xf numFmtId="169" fontId="10" fillId="3" borderId="0" xfId="8" applyNumberFormat="1" applyFill="1"/>
    <xf numFmtId="174" fontId="10" fillId="2" borderId="0" xfId="8" applyNumberFormat="1"/>
    <xf numFmtId="171" fontId="15" fillId="2" borderId="0" xfId="8" applyFont="1" applyAlignment="1">
      <alignment horizontal="left" indent="2"/>
    </xf>
    <xf numFmtId="172" fontId="10" fillId="2" borderId="0" xfId="8" applyNumberFormat="1"/>
    <xf numFmtId="171" fontId="38" fillId="3" borderId="0" xfId="8" applyFont="1" applyFill="1" applyAlignment="1">
      <alignment horizontal="center" vertical="center"/>
    </xf>
    <xf numFmtId="0" fontId="10" fillId="2" borderId="0" xfId="0" applyFont="1" applyFill="1"/>
    <xf numFmtId="174" fontId="10" fillId="2" borderId="0" xfId="0" applyNumberFormat="1" applyFont="1" applyFill="1"/>
    <xf numFmtId="171" fontId="10" fillId="2" borderId="0" xfId="0" applyNumberFormat="1" applyFont="1" applyFill="1"/>
    <xf numFmtId="0" fontId="10" fillId="2" borderId="0" xfId="0" applyFont="1" applyFill="1" applyAlignment="1">
      <alignment horizontal="left" indent="1"/>
    </xf>
    <xf numFmtId="10" fontId="10" fillId="2" borderId="0" xfId="1" applyNumberFormat="1" applyFont="1" applyFill="1"/>
    <xf numFmtId="0" fontId="13" fillId="0" borderId="0" xfId="0" applyFont="1"/>
    <xf numFmtId="171" fontId="13" fillId="2" borderId="5" xfId="12" applyAlignment="1">
      <alignment horizontal="center"/>
    </xf>
    <xf numFmtId="174" fontId="13" fillId="2" borderId="5" xfId="12" applyNumberFormat="1"/>
    <xf numFmtId="0" fontId="13" fillId="2" borderId="0" xfId="0" applyFont="1" applyFill="1"/>
    <xf numFmtId="171" fontId="13" fillId="2" borderId="0" xfId="8" applyFont="1" applyAlignment="1">
      <alignment horizontal="center"/>
    </xf>
    <xf numFmtId="171" fontId="39" fillId="8" borderId="3" xfId="10" applyFont="1"/>
    <xf numFmtId="174" fontId="13" fillId="2" borderId="0" xfId="8" applyNumberFormat="1" applyFont="1"/>
    <xf numFmtId="174" fontId="10" fillId="2" borderId="0" xfId="8" applyNumberFormat="1" applyAlignment="1">
      <alignment horizontal="center"/>
    </xf>
    <xf numFmtId="165" fontId="10" fillId="10" borderId="4" xfId="7" applyFill="1">
      <alignment vertical="center"/>
    </xf>
    <xf numFmtId="9" fontId="36" fillId="4" borderId="4" xfId="1" applyFont="1" applyFill="1" applyBorder="1"/>
    <xf numFmtId="171" fontId="15" fillId="2" borderId="0" xfId="8" applyFont="1"/>
    <xf numFmtId="171" fontId="15" fillId="2" borderId="0" xfId="8" applyFont="1" applyAlignment="1">
      <alignment horizontal="left" indent="1"/>
    </xf>
    <xf numFmtId="166" fontId="10" fillId="2" borderId="0" xfId="8" applyNumberFormat="1"/>
    <xf numFmtId="9" fontId="36" fillId="6" borderId="4" xfId="1" applyFont="1" applyFill="1" applyBorder="1"/>
    <xf numFmtId="171" fontId="20" fillId="2" borderId="0" xfId="8" applyFont="1" applyAlignment="1">
      <alignment vertical="center"/>
    </xf>
    <xf numFmtId="171" fontId="13" fillId="2" borderId="5" xfId="12" quotePrefix="1"/>
    <xf numFmtId="171" fontId="13" fillId="3" borderId="5" xfId="12" applyFill="1"/>
    <xf numFmtId="171" fontId="42" fillId="2" borderId="0" xfId="8" applyFont="1"/>
    <xf numFmtId="171" fontId="43" fillId="8" borderId="3" xfId="10" applyFont="1"/>
    <xf numFmtId="0" fontId="44" fillId="2" borderId="0" xfId="0" applyFont="1" applyFill="1" applyAlignment="1">
      <alignment vertical="center"/>
    </xf>
    <xf numFmtId="10" fontId="36" fillId="6" borderId="4" xfId="19"/>
    <xf numFmtId="0" fontId="10" fillId="2" borderId="0" xfId="0" applyFont="1" applyFill="1" applyAlignment="1">
      <alignment horizontal="center"/>
    </xf>
    <xf numFmtId="1" fontId="43" fillId="16" borderId="0" xfId="6" applyFont="1" applyAlignment="1">
      <alignment horizontal="center" vertical="center"/>
    </xf>
    <xf numFmtId="171" fontId="11" fillId="16" borderId="0" xfId="6" applyNumberFormat="1" applyAlignment="1">
      <alignment horizontal="center" vertical="center"/>
    </xf>
    <xf numFmtId="171" fontId="15" fillId="2" borderId="0" xfId="8" applyFont="1" applyAlignment="1">
      <alignment horizontal="center"/>
    </xf>
    <xf numFmtId="0" fontId="33" fillId="2" borderId="0" xfId="5" applyFont="1" applyFill="1" applyAlignment="1">
      <alignment horizontal="center"/>
    </xf>
    <xf numFmtId="171" fontId="36" fillId="6" borderId="4" xfId="11"/>
    <xf numFmtId="172" fontId="36" fillId="6" borderId="4" xfId="11" applyNumberFormat="1"/>
    <xf numFmtId="170" fontId="10" fillId="0" borderId="4" xfId="1" applyNumberFormat="1" applyFont="1" applyBorder="1" applyAlignment="1">
      <alignment vertical="center"/>
    </xf>
    <xf numFmtId="170" fontId="13" fillId="2" borderId="5" xfId="1" applyNumberFormat="1" applyFont="1" applyFill="1" applyBorder="1"/>
    <xf numFmtId="10" fontId="36" fillId="6" borderId="4" xfId="19" applyAlignment="1">
      <alignment horizontal="right"/>
    </xf>
    <xf numFmtId="166" fontId="36" fillId="6" borderId="4" xfId="11" applyNumberFormat="1" applyAlignment="1">
      <alignment horizontal="right"/>
    </xf>
    <xf numFmtId="166" fontId="10" fillId="0" borderId="4" xfId="7" applyNumberFormat="1">
      <alignment vertical="center"/>
    </xf>
    <xf numFmtId="170" fontId="10" fillId="0" borderId="4" xfId="1" applyNumberFormat="1" applyFont="1" applyBorder="1" applyAlignment="1">
      <alignment horizontal="right" vertical="center"/>
    </xf>
    <xf numFmtId="176" fontId="10" fillId="2" borderId="0" xfId="8" applyNumberFormat="1" applyAlignment="1">
      <alignment horizontal="right"/>
    </xf>
    <xf numFmtId="179" fontId="10" fillId="0" borderId="4" xfId="7" applyNumberFormat="1" applyAlignment="1">
      <alignment horizontal="right" vertical="center"/>
    </xf>
    <xf numFmtId="176" fontId="10" fillId="3" borderId="0" xfId="8" applyNumberFormat="1" applyFill="1" applyAlignment="1">
      <alignment horizontal="right"/>
    </xf>
    <xf numFmtId="169" fontId="10" fillId="2" borderId="4" xfId="14" applyBorder="1"/>
    <xf numFmtId="170" fontId="36" fillId="6" borderId="4" xfId="1" applyNumberFormat="1" applyFont="1" applyFill="1" applyBorder="1"/>
    <xf numFmtId="0" fontId="49" fillId="2" borderId="0" xfId="5" applyFill="1" applyAlignment="1">
      <alignment horizontal="right"/>
    </xf>
    <xf numFmtId="165" fontId="33" fillId="2" borderId="0" xfId="5" applyNumberFormat="1" applyFont="1" applyFill="1"/>
    <xf numFmtId="169" fontId="10" fillId="2" borderId="0" xfId="14" applyAlignment="1">
      <alignment horizontal="right"/>
    </xf>
    <xf numFmtId="14" fontId="10" fillId="3" borderId="0" xfId="8" applyNumberFormat="1" applyFill="1"/>
    <xf numFmtId="168" fontId="10" fillId="2" borderId="0" xfId="8" applyNumberFormat="1"/>
    <xf numFmtId="0" fontId="15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1" fillId="16" borderId="0" xfId="6" applyBorder="1" applyAlignment="1">
      <alignment horizontal="center" vertical="center"/>
    </xf>
    <xf numFmtId="171" fontId="10" fillId="2" borderId="0" xfId="8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171" fontId="13" fillId="2" borderId="5" xfId="12" applyAlignment="1">
      <alignment horizontal="left" indent="1"/>
    </xf>
    <xf numFmtId="171" fontId="40" fillId="2" borderId="0" xfId="8" applyFont="1" applyAlignment="1">
      <alignment vertical="center"/>
    </xf>
    <xf numFmtId="171" fontId="31" fillId="2" borderId="0" xfId="8" applyFont="1"/>
    <xf numFmtId="0" fontId="15" fillId="2" borderId="0" xfId="0" applyFont="1" applyFill="1" applyAlignment="1">
      <alignment vertical="center"/>
    </xf>
    <xf numFmtId="171" fontId="29" fillId="2" borderId="0" xfId="8" applyFont="1"/>
    <xf numFmtId="171" fontId="10" fillId="11" borderId="15" xfId="8" applyFill="1" applyBorder="1" applyAlignment="1">
      <alignment horizontal="right" vertical="center"/>
    </xf>
    <xf numFmtId="170" fontId="29" fillId="11" borderId="15" xfId="1" applyNumberFormat="1" applyFont="1" applyFill="1" applyBorder="1"/>
    <xf numFmtId="174" fontId="29" fillId="11" borderId="15" xfId="8" applyNumberFormat="1" applyFont="1" applyFill="1" applyBorder="1" applyAlignment="1">
      <alignment horizontal="right"/>
    </xf>
    <xf numFmtId="10" fontId="36" fillId="13" borderId="4" xfId="21" applyFill="1"/>
    <xf numFmtId="0" fontId="41" fillId="2" borderId="0" xfId="0" applyFont="1" applyFill="1"/>
    <xf numFmtId="171" fontId="45" fillId="2" borderId="0" xfId="8" applyFont="1" applyAlignment="1">
      <alignment horizontal="right"/>
    </xf>
    <xf numFmtId="171" fontId="45" fillId="2" borderId="0" xfId="8" applyFont="1"/>
    <xf numFmtId="171" fontId="45" fillId="2" borderId="0" xfId="8" applyFont="1" applyAlignment="1">
      <alignment horizontal="left" wrapText="1"/>
    </xf>
    <xf numFmtId="171" fontId="45" fillId="2" borderId="0" xfId="8" applyFont="1" applyAlignment="1">
      <alignment horizontal="left"/>
    </xf>
    <xf numFmtId="14" fontId="45" fillId="2" borderId="0" xfId="8" applyNumberFormat="1" applyFont="1" applyAlignment="1">
      <alignment horizontal="left"/>
    </xf>
    <xf numFmtId="165" fontId="10" fillId="14" borderId="4" xfId="7" applyFill="1">
      <alignment vertical="center"/>
    </xf>
    <xf numFmtId="171" fontId="31" fillId="8" borderId="16" xfId="10" applyBorder="1"/>
    <xf numFmtId="171" fontId="36" fillId="2" borderId="0" xfId="8" applyFont="1"/>
    <xf numFmtId="171" fontId="36" fillId="2" borderId="0" xfId="8" applyFont="1" applyAlignment="1">
      <alignment horizontal="center"/>
    </xf>
    <xf numFmtId="171" fontId="36" fillId="4" borderId="26" xfId="9" applyBorder="1"/>
    <xf numFmtId="171" fontId="10" fillId="2" borderId="18" xfId="8" applyBorder="1"/>
    <xf numFmtId="171" fontId="13" fillId="2" borderId="18" xfId="8" applyFont="1" applyBorder="1"/>
    <xf numFmtId="171" fontId="13" fillId="2" borderId="18" xfId="8" applyFont="1" applyBorder="1" applyAlignment="1">
      <alignment horizontal="center"/>
    </xf>
    <xf numFmtId="9" fontId="10" fillId="2" borderId="0" xfId="1" applyFont="1" applyFill="1"/>
    <xf numFmtId="10" fontId="36" fillId="6" borderId="4" xfId="1" applyNumberFormat="1" applyFont="1" applyFill="1" applyBorder="1"/>
    <xf numFmtId="171" fontId="19" fillId="0" borderId="0" xfId="8" applyFont="1" applyFill="1" applyAlignment="1">
      <alignment vertical="center"/>
    </xf>
    <xf numFmtId="171" fontId="21" fillId="2" borderId="18" xfId="8" applyFont="1" applyBorder="1"/>
    <xf numFmtId="171" fontId="13" fillId="2" borderId="18" xfId="8" applyFont="1" applyBorder="1" applyAlignment="1">
      <alignment horizontal="right"/>
    </xf>
    <xf numFmtId="171" fontId="21" fillId="2" borderId="18" xfId="8" applyFont="1" applyBorder="1" applyAlignment="1">
      <alignment horizontal="center"/>
    </xf>
    <xf numFmtId="170" fontId="10" fillId="2" borderId="0" xfId="1" applyNumberFormat="1" applyFont="1" applyFill="1" applyAlignment="1">
      <alignment horizontal="center"/>
    </xf>
    <xf numFmtId="170" fontId="13" fillId="2" borderId="18" xfId="1" applyNumberFormat="1" applyFont="1" applyFill="1" applyBorder="1" applyAlignment="1">
      <alignment horizontal="right"/>
    </xf>
    <xf numFmtId="171" fontId="10" fillId="2" borderId="0" xfId="8" applyAlignment="1">
      <alignment horizontal="left" vertical="center"/>
    </xf>
    <xf numFmtId="170" fontId="10" fillId="0" borderId="3" xfId="0" applyNumberFormat="1" applyFont="1" applyBorder="1"/>
    <xf numFmtId="170" fontId="10" fillId="0" borderId="0" xfId="0" applyNumberFormat="1" applyFont="1"/>
    <xf numFmtId="0" fontId="10" fillId="0" borderId="0" xfId="0" applyFont="1" applyAlignment="1">
      <alignment horizontal="center"/>
    </xf>
    <xf numFmtId="0" fontId="41" fillId="2" borderId="0" xfId="0" applyFont="1" applyFill="1" applyAlignment="1">
      <alignment horizontal="left"/>
    </xf>
    <xf numFmtId="171" fontId="46" fillId="2" borderId="0" xfId="8" applyFont="1"/>
    <xf numFmtId="170" fontId="46" fillId="2" borderId="0" xfId="1" applyNumberFormat="1" applyFont="1" applyFill="1"/>
    <xf numFmtId="0" fontId="47" fillId="2" borderId="0" xfId="0" applyFont="1" applyFill="1"/>
    <xf numFmtId="0" fontId="46" fillId="2" borderId="0" xfId="0" applyFont="1" applyFill="1"/>
    <xf numFmtId="171" fontId="13" fillId="2" borderId="18" xfId="8" applyFont="1" applyBorder="1" applyAlignment="1">
      <alignment horizontal="left"/>
    </xf>
    <xf numFmtId="171" fontId="11" fillId="15" borderId="0" xfId="6" applyNumberFormat="1" applyFill="1">
      <alignment vertical="center"/>
    </xf>
    <xf numFmtId="171" fontId="48" fillId="2" borderId="0" xfId="8" applyFont="1"/>
    <xf numFmtId="171" fontId="44" fillId="15" borderId="0" xfId="6" applyNumberFormat="1" applyFont="1" applyFill="1">
      <alignment vertical="center"/>
    </xf>
    <xf numFmtId="1" fontId="44" fillId="16" borderId="0" xfId="6" applyFont="1">
      <alignment vertical="center"/>
    </xf>
    <xf numFmtId="171" fontId="44" fillId="15" borderId="0" xfId="6" applyNumberFormat="1" applyFont="1" applyFill="1" applyAlignment="1">
      <alignment horizontal="right" vertical="center"/>
    </xf>
    <xf numFmtId="171" fontId="44" fillId="15" borderId="0" xfId="6" applyNumberFormat="1" applyFont="1" applyFill="1" applyAlignment="1">
      <alignment horizontal="left" vertical="center"/>
    </xf>
    <xf numFmtId="14" fontId="44" fillId="15" borderId="0" xfId="6" applyNumberFormat="1" applyFont="1" applyFill="1" applyAlignment="1">
      <alignment horizontal="left" vertical="center"/>
    </xf>
    <xf numFmtId="1" fontId="11" fillId="15" borderId="0" xfId="6" applyFill="1">
      <alignment vertical="center"/>
    </xf>
    <xf numFmtId="171" fontId="28" fillId="17" borderId="17" xfId="8" applyFont="1" applyFill="1" applyBorder="1" applyAlignment="1">
      <alignment vertical="center"/>
    </xf>
    <xf numFmtId="171" fontId="28" fillId="17" borderId="18" xfId="8" applyFont="1" applyFill="1" applyBorder="1" applyAlignment="1">
      <alignment vertical="center"/>
    </xf>
    <xf numFmtId="171" fontId="28" fillId="17" borderId="19" xfId="8" applyFont="1" applyFill="1" applyBorder="1" applyAlignment="1">
      <alignment vertical="center"/>
    </xf>
    <xf numFmtId="171" fontId="28" fillId="17" borderId="20" xfId="8" applyFont="1" applyFill="1" applyBorder="1" applyAlignment="1">
      <alignment vertical="center"/>
    </xf>
    <xf numFmtId="171" fontId="28" fillId="17" borderId="0" xfId="8" applyFont="1" applyFill="1" applyAlignment="1">
      <alignment vertical="center"/>
    </xf>
    <xf numFmtId="171" fontId="44" fillId="17" borderId="0" xfId="8" applyFont="1" applyFill="1"/>
    <xf numFmtId="171" fontId="17" fillId="17" borderId="0" xfId="8" applyFont="1" applyFill="1" applyAlignment="1">
      <alignment vertical="center"/>
    </xf>
    <xf numFmtId="171" fontId="28" fillId="17" borderId="21" xfId="8" applyFont="1" applyFill="1" applyBorder="1" applyAlignment="1">
      <alignment vertical="center"/>
    </xf>
    <xf numFmtId="171" fontId="31" fillId="17" borderId="0" xfId="8" applyFont="1" applyFill="1" applyAlignment="1">
      <alignment vertical="center"/>
    </xf>
    <xf numFmtId="165" fontId="10" fillId="17" borderId="4" xfId="7" applyFill="1">
      <alignment vertical="center"/>
    </xf>
    <xf numFmtId="171" fontId="25" fillId="17" borderId="0" xfId="8" applyFont="1" applyFill="1" applyAlignment="1">
      <alignment vertical="center"/>
    </xf>
    <xf numFmtId="171" fontId="28" fillId="17" borderId="22" xfId="8" applyFont="1" applyFill="1" applyBorder="1" applyAlignment="1">
      <alignment vertical="center"/>
    </xf>
    <xf numFmtId="171" fontId="28" fillId="17" borderId="23" xfId="8" applyFont="1" applyFill="1" applyBorder="1" applyAlignment="1">
      <alignment vertical="center"/>
    </xf>
    <xf numFmtId="171" fontId="28" fillId="17" borderId="24" xfId="8" applyFont="1" applyFill="1" applyBorder="1" applyAlignment="1">
      <alignment vertical="center"/>
    </xf>
    <xf numFmtId="171" fontId="10" fillId="12" borderId="0" xfId="8" applyFill="1"/>
    <xf numFmtId="171" fontId="10" fillId="12" borderId="0" xfId="8" applyFill="1" applyAlignment="1">
      <alignment horizontal="center"/>
    </xf>
    <xf numFmtId="165" fontId="10" fillId="10" borderId="15" xfId="7" applyFill="1" applyBorder="1" applyAlignment="1">
      <alignment horizontal="center" vertical="center"/>
    </xf>
    <xf numFmtId="171" fontId="10" fillId="12" borderId="15" xfId="8" applyFill="1" applyBorder="1" applyAlignment="1">
      <alignment horizontal="center" vertical="center"/>
    </xf>
    <xf numFmtId="171" fontId="10" fillId="11" borderId="28" xfId="8" applyFill="1" applyBorder="1" applyAlignment="1">
      <alignment horizontal="right" vertical="center"/>
    </xf>
    <xf numFmtId="171" fontId="10" fillId="2" borderId="27" xfId="8" applyBorder="1"/>
    <xf numFmtId="171" fontId="10" fillId="2" borderId="27" xfId="8" applyBorder="1" applyAlignment="1">
      <alignment vertical="center"/>
    </xf>
    <xf numFmtId="171" fontId="40" fillId="2" borderId="27" xfId="8" applyFont="1" applyBorder="1" applyAlignment="1">
      <alignment vertical="center"/>
    </xf>
    <xf numFmtId="171" fontId="31" fillId="2" borderId="27" xfId="8" applyFont="1" applyBorder="1"/>
    <xf numFmtId="171" fontId="54" fillId="2" borderId="27" xfId="5" applyNumberFormat="1" applyFont="1" applyFill="1" applyBorder="1" applyAlignment="1">
      <alignment horizontal="left"/>
    </xf>
    <xf numFmtId="171" fontId="10" fillId="9" borderId="0" xfId="8" applyFill="1" applyAlignment="1">
      <alignment vertical="center"/>
    </xf>
    <xf numFmtId="0" fontId="15" fillId="9" borderId="0" xfId="0" applyFont="1" applyFill="1"/>
    <xf numFmtId="171" fontId="15" fillId="9" borderId="0" xfId="8" applyFont="1" applyFill="1" applyAlignment="1">
      <alignment vertical="center"/>
    </xf>
    <xf numFmtId="171" fontId="15" fillId="2" borderId="10" xfId="8" applyFont="1" applyBorder="1" applyAlignment="1">
      <alignment vertical="center"/>
    </xf>
    <xf numFmtId="171" fontId="15" fillId="2" borderId="0" xfId="8" applyFont="1" applyAlignment="1">
      <alignment vertical="center"/>
    </xf>
    <xf numFmtId="171" fontId="15" fillId="2" borderId="11" xfId="8" applyFont="1" applyBorder="1" applyAlignment="1">
      <alignment vertical="center"/>
    </xf>
    <xf numFmtId="171" fontId="15" fillId="2" borderId="12" xfId="8" applyFont="1" applyBorder="1" applyAlignment="1">
      <alignment vertical="center"/>
    </xf>
    <xf numFmtId="171" fontId="15" fillId="2" borderId="13" xfId="8" applyFont="1" applyBorder="1" applyAlignment="1">
      <alignment vertical="center"/>
    </xf>
    <xf numFmtId="171" fontId="15" fillId="2" borderId="14" xfId="8" applyFont="1" applyBorder="1" applyAlignment="1">
      <alignment vertical="center"/>
    </xf>
    <xf numFmtId="171" fontId="15" fillId="19" borderId="29" xfId="8" applyFont="1" applyFill="1" applyBorder="1" applyAlignment="1">
      <alignment vertical="center"/>
    </xf>
    <xf numFmtId="171" fontId="54" fillId="2" borderId="27" xfId="5" applyNumberFormat="1" applyFont="1" applyFill="1" applyBorder="1" applyAlignment="1">
      <alignment horizontal="right"/>
    </xf>
    <xf numFmtId="171" fontId="55" fillId="2" borderId="0" xfId="8" applyFont="1" applyAlignment="1">
      <alignment vertical="center"/>
    </xf>
    <xf numFmtId="171" fontId="55" fillId="17" borderId="0" xfId="8" applyFont="1" applyFill="1" applyAlignment="1">
      <alignment vertical="center"/>
    </xf>
    <xf numFmtId="171" fontId="36" fillId="2" borderId="4" xfId="11" applyFill="1"/>
    <xf numFmtId="171" fontId="29" fillId="11" borderId="15" xfId="8" applyFont="1" applyFill="1" applyBorder="1" applyAlignment="1">
      <alignment horizontal="right"/>
    </xf>
    <xf numFmtId="171" fontId="10" fillId="2" borderId="10" xfId="8" applyBorder="1" applyAlignment="1">
      <alignment vertical="center"/>
    </xf>
    <xf numFmtId="171" fontId="10" fillId="2" borderId="11" xfId="8" applyBorder="1" applyAlignment="1">
      <alignment vertical="center"/>
    </xf>
    <xf numFmtId="0" fontId="10" fillId="9" borderId="0" xfId="0" applyFont="1" applyFill="1"/>
    <xf numFmtId="171" fontId="17" fillId="2" borderId="11" xfId="8" applyFont="1" applyBorder="1" applyAlignment="1">
      <alignment vertical="center"/>
    </xf>
    <xf numFmtId="0" fontId="17" fillId="9" borderId="0" xfId="0" applyFont="1" applyFill="1"/>
    <xf numFmtId="171" fontId="10" fillId="2" borderId="29" xfId="8" applyBorder="1" applyAlignment="1">
      <alignment horizontal="right" vertical="center"/>
    </xf>
    <xf numFmtId="171" fontId="21" fillId="2" borderId="0" xfId="8" applyFont="1" applyAlignment="1">
      <alignment vertical="center"/>
    </xf>
    <xf numFmtId="171" fontId="10" fillId="19" borderId="29" xfId="8" applyFill="1" applyBorder="1" applyAlignment="1">
      <alignment horizontal="right" vertical="center"/>
    </xf>
    <xf numFmtId="171" fontId="10" fillId="2" borderId="0" xfId="8" applyAlignment="1">
      <alignment horizontal="right" vertical="center"/>
    </xf>
    <xf numFmtId="170" fontId="10" fillId="19" borderId="29" xfId="1" applyNumberFormat="1" applyFont="1" applyFill="1" applyBorder="1" applyAlignment="1">
      <alignment horizontal="right" vertical="center"/>
    </xf>
    <xf numFmtId="170" fontId="29" fillId="11" borderId="15" xfId="1" applyNumberFormat="1" applyFont="1" applyFill="1" applyBorder="1" applyAlignment="1">
      <alignment horizontal="right"/>
    </xf>
    <xf numFmtId="170" fontId="36" fillId="2" borderId="4" xfId="1" applyNumberFormat="1" applyFont="1" applyFill="1" applyBorder="1"/>
    <xf numFmtId="9" fontId="36" fillId="18" borderId="4" xfId="1" applyFont="1" applyFill="1" applyBorder="1" applyAlignment="1">
      <alignment horizontal="right"/>
    </xf>
    <xf numFmtId="171" fontId="36" fillId="18" borderId="4" xfId="11" applyFill="1" applyAlignment="1">
      <alignment horizontal="right"/>
    </xf>
    <xf numFmtId="171" fontId="13" fillId="2" borderId="0" xfId="8" applyFont="1" applyAlignment="1">
      <alignment horizontal="right"/>
    </xf>
    <xf numFmtId="171" fontId="48" fillId="11" borderId="15" xfId="8" applyFont="1" applyFill="1" applyBorder="1" applyAlignment="1">
      <alignment horizontal="right"/>
    </xf>
    <xf numFmtId="171" fontId="10" fillId="2" borderId="0" xfId="8" applyAlignment="1">
      <alignment horizontal="left"/>
    </xf>
    <xf numFmtId="171" fontId="13" fillId="2" borderId="29" xfId="8" applyFont="1" applyBorder="1" applyAlignment="1">
      <alignment horizontal="right" vertical="center"/>
    </xf>
    <xf numFmtId="171" fontId="10" fillId="17" borderId="0" xfId="8" applyFill="1"/>
    <xf numFmtId="1" fontId="11" fillId="20" borderId="0" xfId="6" applyFill="1">
      <alignment vertical="center"/>
    </xf>
    <xf numFmtId="171" fontId="11" fillId="20" borderId="0" xfId="6" applyNumberFormat="1" applyFill="1">
      <alignment vertical="center"/>
    </xf>
    <xf numFmtId="1" fontId="11" fillId="20" borderId="0" xfId="6" applyFill="1" applyAlignment="1">
      <alignment horizontal="center" vertical="center"/>
    </xf>
    <xf numFmtId="0" fontId="0" fillId="17" borderId="0" xfId="0" applyFill="1"/>
    <xf numFmtId="0" fontId="15" fillId="2" borderId="0" xfId="0" applyFont="1" applyFill="1" applyAlignment="1">
      <alignment horizontal="center"/>
    </xf>
    <xf numFmtId="0" fontId="15" fillId="2" borderId="0" xfId="0" applyFont="1" applyFill="1" applyAlignment="1">
      <alignment horizontal="right"/>
    </xf>
    <xf numFmtId="171" fontId="13" fillId="2" borderId="18" xfId="12" applyBorder="1"/>
    <xf numFmtId="171" fontId="13" fillId="2" borderId="18" xfId="12" applyBorder="1" applyAlignment="1">
      <alignment horizontal="center"/>
    </xf>
    <xf numFmtId="171" fontId="10" fillId="2" borderId="3" xfId="8" applyBorder="1"/>
    <xf numFmtId="171" fontId="13" fillId="2" borderId="23" xfId="12" applyBorder="1"/>
    <xf numFmtId="171" fontId="13" fillId="2" borderId="23" xfId="12" applyBorder="1" applyAlignment="1">
      <alignment horizontal="center"/>
    </xf>
    <xf numFmtId="170" fontId="36" fillId="4" borderId="4" xfId="1" applyNumberFormat="1" applyFont="1" applyFill="1" applyBorder="1"/>
    <xf numFmtId="170" fontId="13" fillId="21" borderId="3" xfId="1" applyNumberFormat="1" applyFont="1" applyFill="1" applyBorder="1"/>
    <xf numFmtId="0" fontId="10" fillId="11" borderId="0" xfId="0" applyFont="1" applyFill="1"/>
    <xf numFmtId="171" fontId="10" fillId="11" borderId="0" xfId="8" applyFill="1" applyAlignment="1">
      <alignment horizontal="center"/>
    </xf>
    <xf numFmtId="174" fontId="10" fillId="11" borderId="0" xfId="0" applyNumberFormat="1" applyFont="1" applyFill="1"/>
    <xf numFmtId="171" fontId="10" fillId="11" borderId="0" xfId="8" applyFill="1"/>
    <xf numFmtId="14" fontId="36" fillId="2" borderId="0" xfId="0" applyNumberFormat="1" applyFont="1" applyFill="1"/>
    <xf numFmtId="171" fontId="41" fillId="2" borderId="0" xfId="8" applyFont="1" applyAlignment="1">
      <alignment horizontal="center"/>
    </xf>
    <xf numFmtId="174" fontId="41" fillId="2" borderId="0" xfId="0" applyNumberFormat="1" applyFont="1" applyFill="1"/>
    <xf numFmtId="172" fontId="41" fillId="2" borderId="0" xfId="8" applyNumberFormat="1" applyFont="1"/>
    <xf numFmtId="171" fontId="13" fillId="2" borderId="0" xfId="8" applyFont="1" applyAlignment="1">
      <alignment horizontal="right" vertical="center"/>
    </xf>
    <xf numFmtId="170" fontId="10" fillId="2" borderId="29" xfId="8" applyNumberFormat="1" applyBorder="1" applyAlignment="1">
      <alignment horizontal="right" vertical="center"/>
    </xf>
    <xf numFmtId="171" fontId="54" fillId="2" borderId="0" xfId="5" applyNumberFormat="1" applyFont="1" applyFill="1" applyBorder="1" applyAlignment="1">
      <alignment horizontal="left"/>
    </xf>
    <xf numFmtId="171" fontId="10" fillId="2" borderId="31" xfId="8" applyBorder="1" applyAlignment="1">
      <alignment horizontal="left" indent="1"/>
    </xf>
    <xf numFmtId="171" fontId="10" fillId="2" borderId="31" xfId="8" applyBorder="1"/>
    <xf numFmtId="171" fontId="10" fillId="2" borderId="31" xfId="8" applyBorder="1" applyAlignment="1">
      <alignment horizontal="center" vertical="center"/>
    </xf>
    <xf numFmtId="171" fontId="10" fillId="11" borderId="32" xfId="8" applyFill="1" applyBorder="1" applyAlignment="1">
      <alignment horizontal="right" vertical="center"/>
    </xf>
    <xf numFmtId="171" fontId="17" fillId="2" borderId="31" xfId="8" applyFont="1" applyBorder="1" applyAlignment="1">
      <alignment vertical="center"/>
    </xf>
    <xf numFmtId="171" fontId="10" fillId="2" borderId="33" xfId="8" applyBorder="1" applyAlignment="1">
      <alignment horizontal="right" vertical="center"/>
    </xf>
    <xf numFmtId="171" fontId="57" fillId="2" borderId="25" xfId="3" applyNumberFormat="1" applyFont="1" applyFill="1" applyAlignment="1">
      <alignment vertical="center"/>
    </xf>
    <xf numFmtId="0" fontId="58" fillId="2" borderId="0" xfId="0" applyFont="1" applyFill="1"/>
    <xf numFmtId="173" fontId="59" fillId="2" borderId="3" xfId="17" applyFont="1" applyBorder="1" applyAlignment="1">
      <alignment horizontal="center" vertical="center"/>
    </xf>
    <xf numFmtId="171" fontId="59" fillId="2" borderId="0" xfId="8" applyFont="1" applyAlignment="1">
      <alignment vertical="center"/>
    </xf>
    <xf numFmtId="171" fontId="59" fillId="2" borderId="21" xfId="8" applyFont="1" applyBorder="1" applyAlignment="1">
      <alignment vertical="center"/>
    </xf>
    <xf numFmtId="171" fontId="59" fillId="2" borderId="34" xfId="8" applyFont="1" applyBorder="1" applyAlignment="1">
      <alignment vertical="center"/>
    </xf>
    <xf numFmtId="171" fontId="59" fillId="2" borderId="23" xfId="8" applyFont="1" applyBorder="1" applyAlignment="1">
      <alignment vertical="center"/>
    </xf>
    <xf numFmtId="171" fontId="59" fillId="2" borderId="24" xfId="8" applyFont="1" applyBorder="1" applyAlignment="1">
      <alignment vertical="center"/>
    </xf>
    <xf numFmtId="170" fontId="59" fillId="2" borderId="0" xfId="0" applyNumberFormat="1" applyFont="1" applyFill="1" applyAlignment="1">
      <alignment vertical="center"/>
    </xf>
    <xf numFmtId="170" fontId="59" fillId="2" borderId="21" xfId="0" applyNumberFormat="1" applyFont="1" applyFill="1" applyBorder="1" applyAlignment="1">
      <alignment vertical="center"/>
    </xf>
    <xf numFmtId="170" fontId="59" fillId="2" borderId="34" xfId="0" applyNumberFormat="1" applyFont="1" applyFill="1" applyBorder="1" applyAlignment="1">
      <alignment vertical="center"/>
    </xf>
    <xf numFmtId="170" fontId="59" fillId="2" borderId="23" xfId="0" applyNumberFormat="1" applyFont="1" applyFill="1" applyBorder="1" applyAlignment="1">
      <alignment vertical="center"/>
    </xf>
    <xf numFmtId="170" fontId="59" fillId="2" borderId="24" xfId="0" applyNumberFormat="1" applyFont="1" applyFill="1" applyBorder="1" applyAlignment="1">
      <alignment vertical="center"/>
    </xf>
    <xf numFmtId="0" fontId="54" fillId="2" borderId="0" xfId="24" applyFill="1" applyAlignment="1">
      <alignment horizontal="center"/>
    </xf>
    <xf numFmtId="165" fontId="54" fillId="2" borderId="0" xfId="24" applyNumberFormat="1" applyFill="1"/>
    <xf numFmtId="165" fontId="32" fillId="2" borderId="27" xfId="4" applyNumberFormat="1" applyFill="1" applyAlignment="1">
      <alignment horizontal="center"/>
    </xf>
    <xf numFmtId="171" fontId="13" fillId="21" borderId="3" xfId="0" applyNumberFormat="1" applyFont="1" applyFill="1" applyBorder="1" applyAlignment="1">
      <alignment horizontal="right"/>
    </xf>
    <xf numFmtId="172" fontId="13" fillId="21" borderId="3" xfId="0" applyNumberFormat="1" applyFont="1" applyFill="1" applyBorder="1"/>
    <xf numFmtId="171" fontId="60" fillId="2" borderId="0" xfId="23" applyNumberFormat="1" applyFont="1" applyFill="1"/>
    <xf numFmtId="181" fontId="10" fillId="2" borderId="0" xfId="8" applyNumberFormat="1"/>
    <xf numFmtId="171" fontId="54" fillId="2" borderId="0" xfId="24" applyNumberFormat="1" applyFill="1" applyAlignment="1">
      <alignment horizontal="left"/>
    </xf>
    <xf numFmtId="0" fontId="34" fillId="2" borderId="0" xfId="0" applyFont="1" applyFill="1"/>
    <xf numFmtId="171" fontId="13" fillId="2" borderId="35" xfId="8" applyFont="1" applyBorder="1" applyAlignment="1">
      <alignment horizontal="left"/>
    </xf>
    <xf numFmtId="171" fontId="43" fillId="8" borderId="36" xfId="10" applyFont="1" applyBorder="1"/>
    <xf numFmtId="171" fontId="43" fillId="8" borderId="30" xfId="10" applyFont="1" applyBorder="1"/>
    <xf numFmtId="171" fontId="13" fillId="2" borderId="0" xfId="12" applyBorder="1"/>
    <xf numFmtId="171" fontId="13" fillId="3" borderId="0" xfId="12" applyFill="1" applyBorder="1" applyAlignment="1">
      <alignment horizontal="center"/>
    </xf>
    <xf numFmtId="171" fontId="43" fillId="8" borderId="37" xfId="10" applyFont="1" applyBorder="1"/>
    <xf numFmtId="171" fontId="13" fillId="3" borderId="0" xfId="12" applyFill="1" applyBorder="1"/>
    <xf numFmtId="170" fontId="36" fillId="2" borderId="4" xfId="0" applyNumberFormat="1" applyFont="1" applyFill="1" applyBorder="1"/>
    <xf numFmtId="9" fontId="10" fillId="2" borderId="0" xfId="8" applyNumberFormat="1"/>
    <xf numFmtId="171" fontId="31" fillId="8" borderId="36" xfId="10" applyBorder="1"/>
    <xf numFmtId="171" fontId="10" fillId="2" borderId="0" xfId="8" applyAlignment="1">
      <alignment horizontal="left" vertical="center" wrapText="1" indent="1"/>
    </xf>
    <xf numFmtId="10" fontId="36" fillId="4" borderId="4" xfId="21" applyAlignment="1">
      <alignment horizontal="right" vertical="center"/>
    </xf>
    <xf numFmtId="171" fontId="36" fillId="6" borderId="4" xfId="11" applyAlignment="1">
      <alignment vertical="center"/>
    </xf>
    <xf numFmtId="14" fontId="52" fillId="17" borderId="0" xfId="8" applyNumberFormat="1" applyFont="1" applyFill="1" applyAlignment="1">
      <alignment horizontal="center" vertical="center"/>
    </xf>
    <xf numFmtId="182" fontId="36" fillId="4" borderId="4" xfId="9" applyNumberFormat="1"/>
    <xf numFmtId="171" fontId="53" fillId="12" borderId="0" xfId="8" applyFont="1" applyFill="1"/>
    <xf numFmtId="171" fontId="10" fillId="4" borderId="38" xfId="9" applyFont="1" applyBorder="1"/>
    <xf numFmtId="171" fontId="51" fillId="2" borderId="0" xfId="23" applyNumberFormat="1" applyFont="1" applyFill="1" applyAlignment="1">
      <alignment vertical="center" wrapText="1"/>
    </xf>
    <xf numFmtId="171" fontId="10" fillId="2" borderId="0" xfId="8" applyAlignment="1">
      <alignment vertical="center" wrapText="1"/>
    </xf>
    <xf numFmtId="171" fontId="62" fillId="2" borderId="0" xfId="23" applyNumberFormat="1" applyFont="1" applyFill="1" applyAlignment="1">
      <alignment vertical="center" wrapText="1"/>
    </xf>
    <xf numFmtId="171" fontId="10" fillId="2" borderId="0" xfId="8" applyAlignment="1">
      <alignment horizontal="left" vertical="center" wrapText="1"/>
    </xf>
    <xf numFmtId="165" fontId="32" fillId="2" borderId="27" xfId="4" applyNumberFormat="1" applyFill="1" applyAlignment="1">
      <alignment vertical="center"/>
    </xf>
    <xf numFmtId="171" fontId="32" fillId="2" borderId="27" xfId="4" applyNumberFormat="1" applyFill="1" applyAlignment="1">
      <alignment vertical="center"/>
    </xf>
    <xf numFmtId="171" fontId="32" fillId="2" borderId="27" xfId="4" applyNumberFormat="1" applyFill="1" applyAlignment="1">
      <alignment vertical="center" wrapText="1"/>
    </xf>
    <xf numFmtId="171" fontId="63" fillId="2" borderId="0" xfId="8" applyFont="1" applyAlignment="1">
      <alignment vertical="center"/>
    </xf>
    <xf numFmtId="10" fontId="0" fillId="2" borderId="0" xfId="0" applyNumberFormat="1" applyFill="1"/>
    <xf numFmtId="171" fontId="50" fillId="2" borderId="0" xfId="23" applyNumberFormat="1" applyFill="1"/>
    <xf numFmtId="0" fontId="36" fillId="4" borderId="4" xfId="9" applyNumberFormat="1"/>
    <xf numFmtId="9" fontId="10" fillId="2" borderId="3" xfId="1" applyFont="1" applyFill="1" applyBorder="1"/>
    <xf numFmtId="171" fontId="36" fillId="4" borderId="39" xfId="9" applyBorder="1"/>
    <xf numFmtId="170" fontId="29" fillId="11" borderId="43" xfId="1" applyNumberFormat="1" applyFont="1" applyFill="1" applyBorder="1" applyAlignment="1">
      <alignment horizontal="right"/>
    </xf>
    <xf numFmtId="174" fontId="29" fillId="11" borderId="43" xfId="8" applyNumberFormat="1" applyFont="1" applyFill="1" applyBorder="1" applyAlignment="1">
      <alignment horizontal="right"/>
    </xf>
    <xf numFmtId="184" fontId="10" fillId="2" borderId="0" xfId="8" applyNumberFormat="1" applyAlignment="1">
      <alignment horizontal="left" indent="1"/>
    </xf>
    <xf numFmtId="185" fontId="10" fillId="2" borderId="0" xfId="8" applyNumberFormat="1" applyAlignment="1">
      <alignment horizontal="left" indent="1"/>
    </xf>
    <xf numFmtId="186" fontId="10" fillId="2" borderId="0" xfId="8" applyNumberFormat="1" applyAlignment="1">
      <alignment horizontal="left" indent="1"/>
    </xf>
    <xf numFmtId="187" fontId="10" fillId="2" borderId="0" xfId="8" applyNumberFormat="1" applyAlignment="1">
      <alignment horizontal="left" indent="1"/>
    </xf>
    <xf numFmtId="171" fontId="10" fillId="0" borderId="0" xfId="8" applyFill="1" applyAlignment="1">
      <alignment horizontal="left" indent="1"/>
    </xf>
    <xf numFmtId="171" fontId="37" fillId="4" borderId="2" xfId="16" applyAlignment="1">
      <alignment horizontal="right" vertical="center"/>
    </xf>
    <xf numFmtId="189" fontId="10" fillId="0" borderId="4" xfId="7" applyNumberFormat="1">
      <alignment vertical="center"/>
    </xf>
    <xf numFmtId="0" fontId="36" fillId="4" borderId="4" xfId="21" applyNumberFormat="1" applyAlignment="1">
      <alignment horizontal="right" vertical="center"/>
    </xf>
    <xf numFmtId="0" fontId="36" fillId="6" borderId="4" xfId="19" applyNumberFormat="1" applyAlignment="1">
      <alignment horizontal="right"/>
    </xf>
    <xf numFmtId="172" fontId="36" fillId="6" borderId="4" xfId="11" applyNumberFormat="1" applyAlignment="1">
      <alignment horizontal="right"/>
    </xf>
    <xf numFmtId="190" fontId="10" fillId="2" borderId="0" xfId="8" applyNumberFormat="1"/>
    <xf numFmtId="177" fontId="10" fillId="2" borderId="0" xfId="1" applyNumberFormat="1" applyFont="1" applyFill="1"/>
    <xf numFmtId="9" fontId="36" fillId="6" borderId="4" xfId="1" applyFont="1" applyFill="1" applyBorder="1" applyAlignment="1">
      <alignment horizontal="right"/>
    </xf>
    <xf numFmtId="171" fontId="10" fillId="0" borderId="3" xfId="8" applyFill="1" applyBorder="1"/>
    <xf numFmtId="171" fontId="48" fillId="5" borderId="0" xfId="13" applyFont="1"/>
    <xf numFmtId="171" fontId="10" fillId="0" borderId="0" xfId="8" applyFill="1" applyAlignment="1">
      <alignment horizontal="left" indent="2"/>
    </xf>
    <xf numFmtId="171" fontId="13" fillId="0" borderId="0" xfId="8" applyFont="1" applyFill="1"/>
    <xf numFmtId="0" fontId="10" fillId="0" borderId="0" xfId="0" applyFont="1" applyAlignment="1">
      <alignment horizontal="left" indent="1"/>
    </xf>
    <xf numFmtId="171" fontId="15" fillId="2" borderId="0" xfId="0" applyNumberFormat="1" applyFont="1" applyFill="1"/>
    <xf numFmtId="181" fontId="36" fillId="4" borderId="4" xfId="9" applyNumberFormat="1"/>
    <xf numFmtId="9" fontId="10" fillId="2" borderId="0" xfId="0" applyNumberFormat="1" applyFont="1" applyFill="1"/>
    <xf numFmtId="191" fontId="10" fillId="3" borderId="0" xfId="8" applyNumberFormat="1" applyFill="1"/>
    <xf numFmtId="171" fontId="10" fillId="2" borderId="46" xfId="8" applyBorder="1" applyAlignment="1">
      <alignment horizontal="right" vertical="center"/>
    </xf>
    <xf numFmtId="171" fontId="13" fillId="2" borderId="48" xfId="8" applyFont="1" applyBorder="1" applyAlignment="1">
      <alignment horizontal="right" vertical="center"/>
    </xf>
    <xf numFmtId="171" fontId="49" fillId="2" borderId="27" xfId="5" applyNumberFormat="1" applyFill="1" applyBorder="1" applyAlignment="1">
      <alignment horizontal="left"/>
    </xf>
    <xf numFmtId="171" fontId="17" fillId="2" borderId="27" xfId="8" applyFont="1" applyBorder="1" applyAlignment="1">
      <alignment vertical="center"/>
    </xf>
    <xf numFmtId="171" fontId="10" fillId="2" borderId="49" xfId="8" applyBorder="1" applyAlignment="1">
      <alignment horizontal="center" vertical="center"/>
    </xf>
    <xf numFmtId="171" fontId="54" fillId="2" borderId="0" xfId="5" applyNumberFormat="1" applyFont="1" applyFill="1" applyBorder="1" applyAlignment="1">
      <alignment horizontal="right"/>
    </xf>
    <xf numFmtId="171" fontId="54" fillId="2" borderId="0" xfId="5" applyNumberFormat="1" applyFont="1" applyFill="1" applyBorder="1" applyAlignment="1">
      <alignment horizontal="center"/>
    </xf>
    <xf numFmtId="0" fontId="54" fillId="2" borderId="0" xfId="5" applyNumberFormat="1" applyFont="1" applyFill="1" applyBorder="1" applyAlignment="1">
      <alignment horizontal="center"/>
    </xf>
    <xf numFmtId="171" fontId="44" fillId="17" borderId="0" xfId="8" applyFont="1" applyFill="1" applyAlignment="1">
      <alignment vertical="center"/>
    </xf>
    <xf numFmtId="171" fontId="42" fillId="2" borderId="0" xfId="8" applyFont="1" applyAlignment="1">
      <alignment vertical="center"/>
    </xf>
    <xf numFmtId="164" fontId="48" fillId="11" borderId="47" xfId="1" applyNumberFormat="1" applyFont="1" applyFill="1" applyBorder="1" applyAlignment="1">
      <alignment horizontal="right"/>
    </xf>
    <xf numFmtId="164" fontId="29" fillId="11" borderId="45" xfId="1" applyNumberFormat="1" applyFont="1" applyFill="1" applyBorder="1" applyAlignment="1">
      <alignment horizontal="right"/>
    </xf>
    <xf numFmtId="164" fontId="29" fillId="11" borderId="44" xfId="1" applyNumberFormat="1" applyFont="1" applyFill="1" applyBorder="1" applyAlignment="1">
      <alignment horizontal="right"/>
    </xf>
    <xf numFmtId="164" fontId="0" fillId="2" borderId="0" xfId="0" applyNumberFormat="1" applyFill="1"/>
    <xf numFmtId="164" fontId="48" fillId="11" borderId="44" xfId="1" applyNumberFormat="1" applyFont="1" applyFill="1" applyBorder="1" applyAlignment="1">
      <alignment horizontal="right"/>
    </xf>
    <xf numFmtId="188" fontId="53" fillId="12" borderId="40" xfId="8" applyNumberFormat="1" applyFont="1" applyFill="1" applyBorder="1"/>
    <xf numFmtId="171" fontId="10" fillId="12" borderId="41" xfId="8" applyFill="1" applyBorder="1"/>
    <xf numFmtId="171" fontId="10" fillId="12" borderId="42" xfId="8" applyFill="1" applyBorder="1"/>
    <xf numFmtId="192" fontId="53" fillId="12" borderId="40" xfId="8" applyNumberFormat="1" applyFont="1" applyFill="1" applyBorder="1"/>
    <xf numFmtId="193" fontId="53" fillId="12" borderId="40" xfId="8" applyNumberFormat="1" applyFont="1" applyFill="1" applyBorder="1"/>
    <xf numFmtId="194" fontId="53" fillId="12" borderId="40" xfId="8" applyNumberFormat="1" applyFont="1" applyFill="1" applyBorder="1"/>
    <xf numFmtId="195" fontId="10" fillId="2" borderId="0" xfId="8" applyNumberFormat="1" applyAlignment="1">
      <alignment vertical="center"/>
    </xf>
    <xf numFmtId="196" fontId="10" fillId="2" borderId="0" xfId="8" applyNumberFormat="1" applyAlignment="1">
      <alignment vertical="center"/>
    </xf>
    <xf numFmtId="197" fontId="10" fillId="2" borderId="0" xfId="8" applyNumberFormat="1" applyAlignment="1">
      <alignment vertical="center"/>
    </xf>
    <xf numFmtId="165" fontId="32" fillId="2" borderId="51" xfId="4" applyNumberFormat="1" applyFill="1" applyBorder="1"/>
    <xf numFmtId="165" fontId="32" fillId="2" borderId="52" xfId="4" applyNumberFormat="1" applyFill="1" applyBorder="1"/>
    <xf numFmtId="198" fontId="32" fillId="2" borderId="50" xfId="4" applyNumberFormat="1" applyFill="1" applyBorder="1"/>
    <xf numFmtId="183" fontId="10" fillId="2" borderId="0" xfId="8" applyNumberFormat="1" applyAlignment="1">
      <alignment vertical="center"/>
    </xf>
    <xf numFmtId="10" fontId="36" fillId="0" borderId="0" xfId="19" applyFill="1" applyBorder="1"/>
    <xf numFmtId="171" fontId="10" fillId="0" borderId="0" xfId="8" applyFill="1"/>
    <xf numFmtId="171" fontId="13" fillId="0" borderId="5" xfId="12" applyFill="1"/>
    <xf numFmtId="171" fontId="13" fillId="0" borderId="0" xfId="12" applyFill="1" applyBorder="1"/>
    <xf numFmtId="169" fontId="10" fillId="0" borderId="0" xfId="14" applyFill="1"/>
    <xf numFmtId="169" fontId="10" fillId="0" borderId="0" xfId="14" applyFill="1" applyAlignment="1">
      <alignment horizontal="right"/>
    </xf>
    <xf numFmtId="171" fontId="10" fillId="0" borderId="54" xfId="8" applyFill="1" applyBorder="1" applyAlignment="1">
      <alignment horizontal="left" indent="1"/>
    </xf>
    <xf numFmtId="171" fontId="10" fillId="0" borderId="53" xfId="8" applyFill="1" applyBorder="1" applyAlignment="1">
      <alignment horizontal="left" indent="1"/>
    </xf>
    <xf numFmtId="171" fontId="48" fillId="5" borderId="0" xfId="13" applyFont="1" applyAlignment="1">
      <alignment horizontal="center"/>
    </xf>
    <xf numFmtId="199" fontId="10" fillId="2" borderId="0" xfId="1" applyNumberFormat="1" applyFont="1" applyFill="1"/>
    <xf numFmtId="171" fontId="29" fillId="3" borderId="0" xfId="8" applyFont="1" applyFill="1"/>
    <xf numFmtId="171" fontId="10" fillId="0" borderId="3" xfId="0" applyNumberFormat="1" applyFont="1" applyBorder="1"/>
    <xf numFmtId="170" fontId="10" fillId="4" borderId="4" xfId="1" applyNumberFormat="1" applyFont="1" applyFill="1" applyBorder="1"/>
    <xf numFmtId="170" fontId="10" fillId="4" borderId="39" xfId="1" applyNumberFormat="1" applyFont="1" applyFill="1" applyBorder="1"/>
    <xf numFmtId="0" fontId="36" fillId="4" borderId="4" xfId="21" applyNumberFormat="1"/>
    <xf numFmtId="10" fontId="10" fillId="2" borderId="0" xfId="0" applyNumberFormat="1" applyFont="1" applyFill="1"/>
    <xf numFmtId="180" fontId="36" fillId="3" borderId="4" xfId="8" applyNumberFormat="1" applyFont="1" applyFill="1" applyBorder="1"/>
    <xf numFmtId="201" fontId="13" fillId="3" borderId="0" xfId="8" applyNumberFormat="1" applyFont="1" applyFill="1"/>
    <xf numFmtId="202" fontId="54" fillId="2" borderId="27" xfId="5" applyNumberFormat="1" applyFont="1" applyFill="1" applyBorder="1" applyAlignment="1">
      <alignment horizontal="right"/>
    </xf>
    <xf numFmtId="200" fontId="10" fillId="0" borderId="0" xfId="8" applyNumberFormat="1" applyFill="1"/>
    <xf numFmtId="203" fontId="10" fillId="3" borderId="0" xfId="8" applyNumberFormat="1" applyFill="1" applyAlignment="1">
      <alignment horizontal="center" vertical="center"/>
    </xf>
    <xf numFmtId="204" fontId="11" fillId="16" borderId="0" xfId="6" applyNumberFormat="1" applyAlignment="1">
      <alignment horizontal="center" vertical="center"/>
    </xf>
    <xf numFmtId="171" fontId="30" fillId="2" borderId="0" xfId="8" applyFont="1" applyAlignment="1">
      <alignment horizontal="right"/>
    </xf>
    <xf numFmtId="0" fontId="36" fillId="6" borderId="4" xfId="11" applyNumberFormat="1"/>
    <xf numFmtId="167" fontId="32" fillId="3" borderId="0" xfId="4" applyNumberFormat="1" applyFill="1" applyBorder="1"/>
    <xf numFmtId="165" fontId="32" fillId="2" borderId="60" xfId="4" applyNumberFormat="1" applyFill="1" applyBorder="1"/>
    <xf numFmtId="10" fontId="19" fillId="2" borderId="0" xfId="1" applyNumberFormat="1" applyFont="1" applyFill="1"/>
    <xf numFmtId="10" fontId="36" fillId="22" borderId="4" xfId="21" applyFill="1"/>
    <xf numFmtId="14" fontId="36" fillId="22" borderId="4" xfId="9" applyNumberFormat="1" applyFill="1"/>
    <xf numFmtId="171" fontId="36" fillId="22" borderId="4" xfId="9" applyFill="1"/>
    <xf numFmtId="171" fontId="36" fillId="0" borderId="4" xfId="9" applyFill="1"/>
    <xf numFmtId="0" fontId="66" fillId="0" borderId="0" xfId="26" applyFont="1"/>
    <xf numFmtId="0" fontId="65" fillId="0" borderId="0" xfId="26"/>
    <xf numFmtId="3" fontId="66" fillId="0" borderId="0" xfId="26" applyNumberFormat="1" applyFont="1"/>
    <xf numFmtId="0" fontId="67" fillId="0" borderId="0" xfId="26" applyFont="1"/>
    <xf numFmtId="171" fontId="10" fillId="23" borderId="0" xfId="8" applyFill="1" applyAlignment="1">
      <alignment horizontal="left" indent="1"/>
    </xf>
    <xf numFmtId="0" fontId="4" fillId="0" borderId="0" xfId="27"/>
    <xf numFmtId="0" fontId="26" fillId="0" borderId="0" xfId="27" applyFont="1" applyAlignment="1">
      <alignment horizontal="center"/>
    </xf>
    <xf numFmtId="0" fontId="26" fillId="0" borderId="0" xfId="27" applyFont="1"/>
    <xf numFmtId="0" fontId="69" fillId="25" borderId="61" xfId="27" applyFont="1" applyFill="1" applyBorder="1" applyAlignment="1">
      <alignment vertical="center" wrapText="1"/>
    </xf>
    <xf numFmtId="0" fontId="76" fillId="0" borderId="0" xfId="27" applyFont="1"/>
    <xf numFmtId="209" fontId="76" fillId="0" borderId="0" xfId="27" applyNumberFormat="1" applyFont="1"/>
    <xf numFmtId="0" fontId="76" fillId="0" borderId="0" xfId="27" applyFont="1" applyAlignment="1">
      <alignment horizontal="center"/>
    </xf>
    <xf numFmtId="0" fontId="42" fillId="0" borderId="0" xfId="27" applyFont="1" applyAlignment="1">
      <alignment horizontal="center" vertical="center"/>
    </xf>
    <xf numFmtId="0" fontId="77" fillId="0" borderId="0" xfId="27" applyFont="1"/>
    <xf numFmtId="0" fontId="68" fillId="24" borderId="62" xfId="27" applyFont="1" applyFill="1" applyBorder="1" applyAlignment="1">
      <alignment horizontal="center" vertical="center" wrapText="1"/>
    </xf>
    <xf numFmtId="0" fontId="69" fillId="24" borderId="62" xfId="27" applyFont="1" applyFill="1" applyBorder="1" applyAlignment="1">
      <alignment vertical="center" wrapText="1"/>
    </xf>
    <xf numFmtId="0" fontId="68" fillId="24" borderId="63" xfId="27" applyFont="1" applyFill="1" applyBorder="1" applyAlignment="1">
      <alignment vertical="center" wrapText="1"/>
    </xf>
    <xf numFmtId="3" fontId="68" fillId="24" borderId="62" xfId="27" applyNumberFormat="1" applyFont="1" applyFill="1" applyBorder="1" applyAlignment="1">
      <alignment horizontal="center" vertical="center" wrapText="1"/>
    </xf>
    <xf numFmtId="210" fontId="68" fillId="24" borderId="64" xfId="27" applyNumberFormat="1" applyFont="1" applyFill="1" applyBorder="1" applyAlignment="1">
      <alignment horizontal="center" vertical="center" wrapText="1"/>
    </xf>
    <xf numFmtId="210" fontId="68" fillId="24" borderId="62" xfId="27" applyNumberFormat="1" applyFont="1" applyFill="1" applyBorder="1" applyAlignment="1">
      <alignment horizontal="center" vertical="center" wrapText="1"/>
    </xf>
    <xf numFmtId="205" fontId="68" fillId="24" borderId="65" xfId="27" applyNumberFormat="1" applyFont="1" applyFill="1" applyBorder="1"/>
    <xf numFmtId="4" fontId="76" fillId="0" borderId="0" xfId="27" applyNumberFormat="1" applyFont="1" applyAlignment="1">
      <alignment horizontal="center"/>
    </xf>
    <xf numFmtId="208" fontId="26" fillId="0" borderId="0" xfId="27" applyNumberFormat="1" applyFont="1"/>
    <xf numFmtId="9" fontId="17" fillId="2" borderId="0" xfId="8" applyNumberFormat="1" applyFont="1" applyAlignment="1">
      <alignment horizontal="center"/>
    </xf>
    <xf numFmtId="171" fontId="13" fillId="2" borderId="0" xfId="8" applyFont="1" applyAlignment="1">
      <alignment horizontal="left" indent="1"/>
    </xf>
    <xf numFmtId="181" fontId="17" fillId="2" borderId="0" xfId="8" applyNumberFormat="1" applyFont="1" applyAlignment="1">
      <alignment horizontal="center"/>
    </xf>
    <xf numFmtId="171" fontId="36" fillId="2" borderId="0" xfId="8" applyFont="1" applyAlignment="1">
      <alignment horizontal="left" indent="1"/>
    </xf>
    <xf numFmtId="171" fontId="36" fillId="3" borderId="0" xfId="8" applyFont="1" applyFill="1" applyAlignment="1">
      <alignment horizontal="center"/>
    </xf>
    <xf numFmtId="171" fontId="79" fillId="8" borderId="3" xfId="10" applyFont="1"/>
    <xf numFmtId="0" fontId="80" fillId="0" borderId="0" xfId="0" applyFont="1"/>
    <xf numFmtId="0" fontId="34" fillId="0" borderId="0" xfId="0" applyFont="1"/>
    <xf numFmtId="171" fontId="78" fillId="3" borderId="0" xfId="8" applyFont="1" applyFill="1" applyAlignment="1">
      <alignment horizontal="center"/>
    </xf>
    <xf numFmtId="211" fontId="73" fillId="0" borderId="0" xfId="27" applyNumberFormat="1" applyFont="1" applyAlignment="1">
      <alignment horizontal="center" vertical="center"/>
    </xf>
    <xf numFmtId="0" fontId="82" fillId="0" borderId="0" xfId="26" applyFont="1"/>
    <xf numFmtId="9" fontId="82" fillId="0" borderId="0" xfId="26" applyNumberFormat="1" applyFont="1"/>
    <xf numFmtId="3" fontId="82" fillId="0" borderId="0" xfId="26" applyNumberFormat="1" applyFont="1"/>
    <xf numFmtId="0" fontId="83" fillId="0" borderId="0" xfId="26" applyFont="1"/>
    <xf numFmtId="0" fontId="82" fillId="0" borderId="3" xfId="26" applyFont="1" applyBorder="1"/>
    <xf numFmtId="9" fontId="82" fillId="0" borderId="3" xfId="26" applyNumberFormat="1" applyFont="1" applyBorder="1"/>
    <xf numFmtId="0" fontId="82" fillId="0" borderId="3" xfId="26" applyFont="1" applyBorder="1" applyAlignment="1">
      <alignment wrapText="1"/>
    </xf>
    <xf numFmtId="0" fontId="81" fillId="0" borderId="3" xfId="26" applyFont="1" applyBorder="1"/>
    <xf numFmtId="0" fontId="81" fillId="0" borderId="3" xfId="26" applyFont="1" applyBorder="1" applyAlignment="1">
      <alignment wrapText="1"/>
    </xf>
    <xf numFmtId="0" fontId="81" fillId="11" borderId="3" xfId="26" applyFont="1" applyFill="1" applyBorder="1" applyAlignment="1">
      <alignment wrapText="1"/>
    </xf>
    <xf numFmtId="9" fontId="81" fillId="0" borderId="3" xfId="26" applyNumberFormat="1" applyFont="1" applyBorder="1"/>
    <xf numFmtId="9" fontId="81" fillId="11" borderId="3" xfId="26" applyNumberFormat="1" applyFont="1" applyFill="1" applyBorder="1"/>
    <xf numFmtId="0" fontId="83" fillId="0" borderId="3" xfId="26" applyFont="1" applyBorder="1" applyAlignment="1">
      <alignment horizontal="center" vertical="center" wrapText="1"/>
    </xf>
    <xf numFmtId="0" fontId="84" fillId="0" borderId="3" xfId="26" applyFont="1" applyBorder="1"/>
    <xf numFmtId="0" fontId="83" fillId="0" borderId="0" xfId="26" applyFont="1" applyAlignment="1">
      <alignment horizontal="left" vertical="center" wrapText="1"/>
    </xf>
    <xf numFmtId="1" fontId="82" fillId="0" borderId="3" xfId="26" applyNumberFormat="1" applyFont="1" applyBorder="1" applyAlignment="1">
      <alignment horizontal="left"/>
    </xf>
    <xf numFmtId="1" fontId="82" fillId="0" borderId="3" xfId="26" applyNumberFormat="1" applyFont="1" applyBorder="1" applyAlignment="1">
      <alignment horizontal="center" wrapText="1"/>
    </xf>
    <xf numFmtId="1" fontId="82" fillId="0" borderId="3" xfId="26" applyNumberFormat="1" applyFont="1" applyBorder="1" applyAlignment="1">
      <alignment horizontal="center"/>
    </xf>
    <xf numFmtId="2" fontId="82" fillId="0" borderId="3" xfId="26" applyNumberFormat="1" applyFont="1" applyBorder="1"/>
    <xf numFmtId="1" fontId="82" fillId="11" borderId="3" xfId="26" applyNumberFormat="1" applyFont="1" applyFill="1" applyBorder="1" applyAlignment="1">
      <alignment horizontal="left"/>
    </xf>
    <xf numFmtId="0" fontId="84" fillId="0" borderId="0" xfId="26" applyFont="1"/>
    <xf numFmtId="205" fontId="84" fillId="0" borderId="3" xfId="26" applyNumberFormat="1" applyFont="1" applyBorder="1"/>
    <xf numFmtId="205" fontId="82" fillId="0" borderId="3" xfId="26" applyNumberFormat="1" applyFont="1" applyBorder="1"/>
    <xf numFmtId="205" fontId="84" fillId="11" borderId="3" xfId="26" applyNumberFormat="1" applyFont="1" applyFill="1" applyBorder="1"/>
    <xf numFmtId="0" fontId="84" fillId="11" borderId="3" xfId="26" applyFont="1" applyFill="1" applyBorder="1"/>
    <xf numFmtId="1" fontId="82" fillId="0" borderId="0" xfId="26" applyNumberFormat="1" applyFont="1" applyAlignment="1">
      <alignment horizontal="left"/>
    </xf>
    <xf numFmtId="1" fontId="82" fillId="0" borderId="0" xfId="26" applyNumberFormat="1" applyFont="1" applyAlignment="1">
      <alignment horizontal="center"/>
    </xf>
    <xf numFmtId="206" fontId="68" fillId="0" borderId="0" xfId="27" applyNumberFormat="1" applyFont="1" applyAlignment="1">
      <alignment horizontal="center" vertical="center" wrapText="1"/>
    </xf>
    <xf numFmtId="0" fontId="70" fillId="0" borderId="0" xfId="27" applyFont="1" applyAlignment="1">
      <alignment horizontal="center" textRotation="90" wrapText="1"/>
    </xf>
    <xf numFmtId="206" fontId="71" fillId="0" borderId="0" xfId="27" applyNumberFormat="1" applyFont="1" applyAlignment="1">
      <alignment vertical="center" wrapText="1"/>
    </xf>
    <xf numFmtId="0" fontId="73" fillId="0" borderId="0" xfId="27" applyFont="1" applyAlignment="1">
      <alignment horizontal="center" textRotation="90"/>
    </xf>
    <xf numFmtId="207" fontId="71" fillId="0" borderId="0" xfId="27" applyNumberFormat="1" applyFont="1" applyAlignment="1">
      <alignment vertical="center" wrapText="1"/>
    </xf>
    <xf numFmtId="207" fontId="68" fillId="0" borderId="0" xfId="27" applyNumberFormat="1" applyFont="1" applyAlignment="1">
      <alignment vertical="center" wrapText="1"/>
    </xf>
    <xf numFmtId="0" fontId="73" fillId="0" borderId="0" xfId="27" applyFont="1"/>
    <xf numFmtId="4" fontId="71" fillId="0" borderId="0" xfId="27" applyNumberFormat="1" applyFont="1" applyAlignment="1">
      <alignment vertical="center" wrapText="1"/>
    </xf>
    <xf numFmtId="0" fontId="73" fillId="0" borderId="0" xfId="27" applyFont="1" applyAlignment="1">
      <alignment horizontal="right"/>
    </xf>
    <xf numFmtId="0" fontId="69" fillId="0" borderId="0" xfId="27" applyFont="1" applyAlignment="1">
      <alignment vertical="center" wrapText="1"/>
    </xf>
    <xf numFmtId="208" fontId="68" fillId="0" borderId="0" xfId="27" applyNumberFormat="1" applyFont="1"/>
    <xf numFmtId="4" fontId="68" fillId="0" borderId="0" xfId="27" applyNumberFormat="1" applyFont="1" applyAlignment="1">
      <alignment vertical="center" wrapText="1"/>
    </xf>
    <xf numFmtId="4" fontId="75" fillId="0" borderId="0" xfId="27" applyNumberFormat="1" applyFont="1" applyAlignment="1">
      <alignment vertical="center"/>
    </xf>
    <xf numFmtId="4" fontId="74" fillId="0" borderId="0" xfId="27" applyNumberFormat="1" applyFont="1" applyAlignment="1">
      <alignment horizontal="center" vertical="center"/>
    </xf>
    <xf numFmtId="205" fontId="73" fillId="0" borderId="0" xfId="27" applyNumberFormat="1" applyFont="1" applyAlignment="1">
      <alignment horizontal="right"/>
    </xf>
    <xf numFmtId="205" fontId="71" fillId="0" borderId="0" xfId="27" applyNumberFormat="1" applyFont="1" applyAlignment="1">
      <alignment horizontal="right" vertical="center" wrapText="1"/>
    </xf>
    <xf numFmtId="207" fontId="73" fillId="0" borderId="0" xfId="27" applyNumberFormat="1" applyFont="1" applyAlignment="1">
      <alignment vertical="center" wrapText="1"/>
    </xf>
    <xf numFmtId="207" fontId="70" fillId="0" borderId="0" xfId="27" applyNumberFormat="1" applyFont="1" applyAlignment="1">
      <alignment vertical="center" wrapText="1"/>
    </xf>
    <xf numFmtId="205" fontId="71" fillId="0" borderId="0" xfId="27" applyNumberFormat="1" applyFont="1" applyAlignment="1">
      <alignment horizontal="right"/>
    </xf>
    <xf numFmtId="207" fontId="4" fillId="0" borderId="0" xfId="27" applyNumberFormat="1"/>
    <xf numFmtId="207" fontId="42" fillId="0" borderId="0" xfId="27" applyNumberFormat="1" applyFont="1" applyAlignment="1">
      <alignment horizontal="center" vertical="center"/>
    </xf>
    <xf numFmtId="207" fontId="68" fillId="0" borderId="3" xfId="27" applyNumberFormat="1" applyFont="1" applyBorder="1" applyAlignment="1">
      <alignment horizontal="left" vertical="center" wrapText="1"/>
    </xf>
    <xf numFmtId="0" fontId="68" fillId="0" borderId="3" xfId="27" applyFont="1" applyBorder="1" applyAlignment="1">
      <alignment horizontal="left" vertical="center" wrapText="1"/>
    </xf>
    <xf numFmtId="0" fontId="69" fillId="0" borderId="3" xfId="27" applyFont="1" applyBorder="1" applyAlignment="1">
      <alignment horizontal="left" vertical="center" wrapText="1"/>
    </xf>
    <xf numFmtId="206" fontId="68" fillId="0" borderId="3" xfId="27" applyNumberFormat="1" applyFont="1" applyBorder="1" applyAlignment="1">
      <alignment horizontal="left" vertical="center" wrapText="1"/>
    </xf>
    <xf numFmtId="0" fontId="71" fillId="0" borderId="3" xfId="27" applyFont="1" applyBorder="1" applyAlignment="1">
      <alignment horizontal="left" vertical="center" wrapText="1"/>
    </xf>
    <xf numFmtId="0" fontId="72" fillId="0" borderId="3" xfId="27" applyFont="1" applyBorder="1" applyAlignment="1">
      <alignment horizontal="left" vertical="center" wrapText="1"/>
    </xf>
    <xf numFmtId="0" fontId="85" fillId="0" borderId="0" xfId="27" applyFont="1" applyAlignment="1">
      <alignment horizontal="left"/>
    </xf>
    <xf numFmtId="209" fontId="85" fillId="0" borderId="0" xfId="27" applyNumberFormat="1" applyFont="1" applyAlignment="1">
      <alignment horizontal="left"/>
    </xf>
    <xf numFmtId="208" fontId="85" fillId="0" borderId="0" xfId="27" applyNumberFormat="1" applyFont="1" applyAlignment="1">
      <alignment horizontal="left"/>
    </xf>
    <xf numFmtId="0" fontId="85" fillId="0" borderId="3" xfId="27" applyFont="1" applyBorder="1" applyAlignment="1">
      <alignment horizontal="left"/>
    </xf>
    <xf numFmtId="209" fontId="85" fillId="0" borderId="3" xfId="27" applyNumberFormat="1" applyFont="1" applyBorder="1" applyAlignment="1">
      <alignment horizontal="left"/>
    </xf>
    <xf numFmtId="209" fontId="85" fillId="0" borderId="0" xfId="27" applyNumberFormat="1" applyFont="1" applyAlignment="1">
      <alignment horizontal="left" indent="1"/>
    </xf>
    <xf numFmtId="0" fontId="86" fillId="0" borderId="0" xfId="27" applyFont="1"/>
    <xf numFmtId="166" fontId="17" fillId="2" borderId="3" xfId="8" applyNumberFormat="1" applyFont="1" applyBorder="1"/>
    <xf numFmtId="0" fontId="82" fillId="11" borderId="66" xfId="26" applyFont="1" applyFill="1" applyBorder="1" applyAlignment="1">
      <alignment wrapText="1"/>
    </xf>
    <xf numFmtId="0" fontId="65" fillId="11" borderId="66" xfId="26" applyFill="1" applyBorder="1"/>
    <xf numFmtId="0" fontId="82" fillId="11" borderId="66" xfId="26" applyFont="1" applyFill="1" applyBorder="1"/>
    <xf numFmtId="2" fontId="82" fillId="11" borderId="66" xfId="26" applyNumberFormat="1" applyFont="1" applyFill="1" applyBorder="1"/>
    <xf numFmtId="1" fontId="82" fillId="26" borderId="3" xfId="26" applyNumberFormat="1" applyFont="1" applyFill="1" applyBorder="1"/>
    <xf numFmtId="0" fontId="42" fillId="0" borderId="0" xfId="0" applyFont="1"/>
    <xf numFmtId="165" fontId="17" fillId="2" borderId="3" xfId="8" applyNumberFormat="1" applyFont="1" applyBorder="1"/>
    <xf numFmtId="0" fontId="3" fillId="0" borderId="0" xfId="29"/>
    <xf numFmtId="0" fontId="88" fillId="0" borderId="3" xfId="30" applyFont="1" applyBorder="1" applyAlignment="1">
      <alignment horizontal="center" vertical="center" wrapText="1"/>
    </xf>
    <xf numFmtId="3" fontId="89" fillId="0" borderId="3" xfId="30" applyNumberFormat="1" applyFont="1" applyBorder="1" applyAlignment="1">
      <alignment horizontal="right"/>
    </xf>
    <xf numFmtId="2" fontId="82" fillId="23" borderId="3" xfId="26" applyNumberFormat="1" applyFont="1" applyFill="1" applyBorder="1"/>
    <xf numFmtId="165" fontId="0" fillId="0" borderId="0" xfId="0" applyNumberFormat="1"/>
    <xf numFmtId="165" fontId="17" fillId="2" borderId="0" xfId="8" applyNumberFormat="1" applyFont="1"/>
    <xf numFmtId="3" fontId="0" fillId="0" borderId="0" xfId="0" applyNumberFormat="1"/>
    <xf numFmtId="3" fontId="13" fillId="2" borderId="5" xfId="12" applyNumberFormat="1"/>
    <xf numFmtId="0" fontId="90" fillId="0" borderId="3" xfId="30" applyFont="1" applyBorder="1" applyAlignment="1">
      <alignment horizontal="left" wrapText="1" indent="1"/>
    </xf>
    <xf numFmtId="0" fontId="88" fillId="23" borderId="37" xfId="30" applyFont="1" applyFill="1" applyBorder="1" applyAlignment="1">
      <alignment horizontal="right" vertical="center" wrapText="1"/>
    </xf>
    <xf numFmtId="205" fontId="84" fillId="23" borderId="37" xfId="26" applyNumberFormat="1" applyFont="1" applyFill="1" applyBorder="1"/>
    <xf numFmtId="0" fontId="3" fillId="0" borderId="3" xfId="29" applyBorder="1"/>
    <xf numFmtId="0" fontId="0" fillId="0" borderId="3" xfId="0" applyBorder="1"/>
    <xf numFmtId="10" fontId="0" fillId="0" borderId="3" xfId="0" applyNumberFormat="1" applyBorder="1"/>
    <xf numFmtId="1" fontId="0" fillId="0" borderId="3" xfId="0" applyNumberFormat="1" applyBorder="1"/>
    <xf numFmtId="1" fontId="0" fillId="0" borderId="3" xfId="0" applyNumberFormat="1" applyBorder="1" applyAlignment="1">
      <alignment horizontal="left"/>
    </xf>
    <xf numFmtId="171" fontId="0" fillId="0" borderId="0" xfId="0" applyNumberFormat="1"/>
    <xf numFmtId="171" fontId="0" fillId="0" borderId="3" xfId="0" applyNumberFormat="1" applyBorder="1"/>
    <xf numFmtId="0" fontId="90" fillId="0" borderId="0" xfId="0" applyFont="1"/>
    <xf numFmtId="0" fontId="73" fillId="0" borderId="0" xfId="0" applyFont="1"/>
    <xf numFmtId="9" fontId="0" fillId="0" borderId="0" xfId="0" applyNumberFormat="1"/>
    <xf numFmtId="0" fontId="29" fillId="0" borderId="0" xfId="33"/>
    <xf numFmtId="0" fontId="93" fillId="0" borderId="0" xfId="34"/>
    <xf numFmtId="0" fontId="29" fillId="0" borderId="0" xfId="33" applyAlignment="1">
      <alignment vertical="center"/>
    </xf>
    <xf numFmtId="0" fontId="29" fillId="0" borderId="69" xfId="33" applyBorder="1" applyAlignment="1">
      <alignment horizontal="left" vertical="top" wrapText="1"/>
    </xf>
    <xf numFmtId="0" fontId="29" fillId="0" borderId="70" xfId="33" applyBorder="1" applyAlignment="1">
      <alignment vertical="top" wrapText="1"/>
    </xf>
    <xf numFmtId="0" fontId="29" fillId="0" borderId="3" xfId="33" applyBorder="1" applyAlignment="1">
      <alignment horizontal="center" vertical="center" wrapText="1"/>
    </xf>
    <xf numFmtId="0" fontId="29" fillId="0" borderId="3" xfId="33" applyBorder="1" applyAlignment="1">
      <alignment horizontal="left" vertical="center" wrapText="1"/>
    </xf>
    <xf numFmtId="212" fontId="29" fillId="0" borderId="3" xfId="33" applyNumberFormat="1" applyBorder="1" applyAlignment="1">
      <alignment horizontal="right" vertical="center"/>
    </xf>
    <xf numFmtId="0" fontId="48" fillId="0" borderId="3" xfId="33" applyFont="1" applyBorder="1" applyAlignment="1">
      <alignment horizontal="center" vertical="center" wrapText="1"/>
    </xf>
    <xf numFmtId="0" fontId="29" fillId="0" borderId="3" xfId="33" applyBorder="1" applyAlignment="1">
      <alignment vertical="center"/>
    </xf>
    <xf numFmtId="213" fontId="82" fillId="0" borderId="0" xfId="26" applyNumberFormat="1" applyFont="1"/>
    <xf numFmtId="205" fontId="82" fillId="0" borderId="3" xfId="26" applyNumberFormat="1" applyFont="1" applyBorder="1" applyAlignment="1">
      <alignment horizontal="center"/>
    </xf>
    <xf numFmtId="0" fontId="94" fillId="0" borderId="3" xfId="27" applyFont="1" applyBorder="1" applyAlignment="1">
      <alignment horizontal="center" vertical="center" wrapText="1"/>
    </xf>
    <xf numFmtId="0" fontId="95" fillId="0" borderId="3" xfId="27" applyFont="1" applyBorder="1" applyAlignment="1">
      <alignment vertical="center" wrapText="1"/>
    </xf>
    <xf numFmtId="0" fontId="94" fillId="0" borderId="3" xfId="27" applyFont="1" applyBorder="1" applyAlignment="1">
      <alignment vertical="center" wrapText="1"/>
    </xf>
    <xf numFmtId="207" fontId="96" fillId="0" borderId="3" xfId="27" applyNumberFormat="1" applyFont="1" applyBorder="1" applyAlignment="1">
      <alignment horizontal="left" vertical="center" wrapText="1"/>
    </xf>
    <xf numFmtId="0" fontId="96" fillId="0" borderId="3" xfId="27" applyFont="1" applyBorder="1" applyAlignment="1">
      <alignment horizontal="center" vertical="center" wrapText="1"/>
    </xf>
    <xf numFmtId="0" fontId="97" fillId="0" borderId="3" xfId="27" applyFont="1" applyBorder="1" applyAlignment="1">
      <alignment vertical="center" wrapText="1"/>
    </xf>
    <xf numFmtId="0" fontId="97" fillId="0" borderId="3" xfId="27" applyFont="1" applyBorder="1" applyAlignment="1">
      <alignment horizontal="center" vertical="center" wrapText="1"/>
    </xf>
    <xf numFmtId="0" fontId="86" fillId="0" borderId="3" xfId="27" applyFont="1" applyBorder="1" applyAlignment="1">
      <alignment horizontal="center"/>
    </xf>
    <xf numFmtId="0" fontId="96" fillId="0" borderId="3" xfId="27" applyFont="1" applyBorder="1" applyAlignment="1">
      <alignment vertical="center" wrapText="1"/>
    </xf>
    <xf numFmtId="207" fontId="96" fillId="0" borderId="3" xfId="27" applyNumberFormat="1" applyFont="1" applyBorder="1" applyAlignment="1">
      <alignment horizontal="center" vertical="center" wrapText="1"/>
    </xf>
    <xf numFmtId="1" fontId="74" fillId="0" borderId="3" xfId="27" applyNumberFormat="1" applyFont="1" applyBorder="1" applyAlignment="1">
      <alignment horizontal="right" vertical="center"/>
    </xf>
    <xf numFmtId="1" fontId="74" fillId="0" borderId="3" xfId="27" applyNumberFormat="1" applyFont="1" applyBorder="1" applyAlignment="1">
      <alignment horizontal="center" vertical="center"/>
    </xf>
    <xf numFmtId="0" fontId="75" fillId="0" borderId="3" xfId="27" applyFont="1" applyBorder="1" applyAlignment="1">
      <alignment vertical="center" wrapText="1"/>
    </xf>
    <xf numFmtId="207" fontId="74" fillId="0" borderId="3" xfId="27" applyNumberFormat="1" applyFont="1" applyBorder="1" applyAlignment="1">
      <alignment horizontal="center" vertical="center" wrapText="1"/>
    </xf>
    <xf numFmtId="0" fontId="74" fillId="0" borderId="3" xfId="27" applyFont="1" applyBorder="1" applyAlignment="1">
      <alignment vertical="center" wrapText="1"/>
    </xf>
    <xf numFmtId="0" fontId="98" fillId="0" borderId="3" xfId="27" applyFont="1" applyBorder="1" applyAlignment="1">
      <alignment vertical="center" wrapText="1"/>
    </xf>
    <xf numFmtId="0" fontId="99" fillId="0" borderId="3" xfId="27" applyFont="1" applyBorder="1" applyAlignment="1">
      <alignment vertical="center" wrapText="1"/>
    </xf>
    <xf numFmtId="0" fontId="75" fillId="0" borderId="3" xfId="27" applyFont="1" applyBorder="1" applyAlignment="1">
      <alignment horizontal="center" vertical="center" wrapText="1"/>
    </xf>
    <xf numFmtId="0" fontId="74" fillId="0" borderId="3" xfId="27" applyFont="1" applyBorder="1" applyAlignment="1">
      <alignment horizontal="center" vertical="center" wrapText="1"/>
    </xf>
    <xf numFmtId="0" fontId="86" fillId="0" borderId="3" xfId="27" applyFont="1" applyBorder="1"/>
    <xf numFmtId="0" fontId="100" fillId="0" borderId="3" xfId="27" applyFont="1" applyBorder="1" applyAlignment="1">
      <alignment horizontal="center" vertical="center"/>
    </xf>
    <xf numFmtId="214" fontId="73" fillId="0" borderId="0" xfId="27" applyNumberFormat="1" applyFont="1" applyAlignment="1">
      <alignment horizontal="center" vertical="center"/>
    </xf>
    <xf numFmtId="0" fontId="92" fillId="0" borderId="3" xfId="0" applyFont="1" applyBorder="1" applyAlignment="1">
      <alignment horizontal="left" vertical="top" wrapText="1"/>
    </xf>
    <xf numFmtId="212" fontId="73" fillId="0" borderId="3" xfId="0" applyNumberFormat="1" applyFont="1" applyBorder="1" applyAlignment="1">
      <alignment horizontal="right" vertical="top"/>
    </xf>
    <xf numFmtId="3" fontId="73" fillId="0" borderId="3" xfId="0" applyNumberFormat="1" applyFont="1" applyBorder="1" applyAlignment="1">
      <alignment horizontal="right" vertical="top"/>
    </xf>
    <xf numFmtId="0" fontId="92" fillId="27" borderId="3" xfId="0" applyFont="1" applyFill="1" applyBorder="1" applyAlignment="1">
      <alignment horizontal="left" vertical="top" wrapText="1"/>
    </xf>
    <xf numFmtId="212" fontId="70" fillId="27" borderId="3" xfId="0" applyNumberFormat="1" applyFont="1" applyFill="1" applyBorder="1" applyAlignment="1">
      <alignment horizontal="right" vertical="top"/>
    </xf>
    <xf numFmtId="0" fontId="26" fillId="0" borderId="3" xfId="27" applyFont="1" applyBorder="1"/>
    <xf numFmtId="0" fontId="1" fillId="27" borderId="3" xfId="27" applyFont="1" applyFill="1" applyBorder="1"/>
    <xf numFmtId="0" fontId="42" fillId="27" borderId="3" xfId="27" applyFont="1" applyFill="1" applyBorder="1" applyAlignment="1">
      <alignment horizontal="center" vertical="center"/>
    </xf>
    <xf numFmtId="0" fontId="4" fillId="27" borderId="3" xfId="27" applyFill="1" applyBorder="1"/>
    <xf numFmtId="0" fontId="4" fillId="0" borderId="3" xfId="27" applyBorder="1"/>
    <xf numFmtId="3" fontId="29" fillId="0" borderId="3" xfId="33" applyNumberFormat="1" applyBorder="1" applyAlignment="1">
      <alignment horizontal="right" vertical="center"/>
    </xf>
    <xf numFmtId="0" fontId="29" fillId="0" borderId="3" xfId="33" applyBorder="1" applyAlignment="1">
      <alignment horizontal="left" vertical="top" wrapText="1"/>
    </xf>
    <xf numFmtId="3" fontId="10" fillId="0" borderId="3" xfId="0" applyNumberFormat="1" applyFont="1" applyBorder="1"/>
    <xf numFmtId="171" fontId="37" fillId="2" borderId="0" xfId="8" applyFont="1" applyAlignment="1">
      <alignment horizontal="left" vertical="center" wrapText="1"/>
    </xf>
    <xf numFmtId="170" fontId="10" fillId="4" borderId="57" xfId="1" applyNumberFormat="1" applyFont="1" applyFill="1" applyBorder="1" applyAlignment="1">
      <alignment horizontal="center"/>
    </xf>
    <xf numFmtId="170" fontId="10" fillId="4" borderId="58" xfId="1" applyNumberFormat="1" applyFont="1" applyFill="1" applyBorder="1" applyAlignment="1">
      <alignment horizontal="center"/>
    </xf>
    <xf numFmtId="170" fontId="10" fillId="4" borderId="55" xfId="1" applyNumberFormat="1" applyFont="1" applyFill="1" applyBorder="1" applyAlignment="1">
      <alignment horizontal="center"/>
    </xf>
    <xf numFmtId="170" fontId="10" fillId="4" borderId="59" xfId="1" applyNumberFormat="1" applyFont="1" applyFill="1" applyBorder="1" applyAlignment="1">
      <alignment horizontal="center"/>
    </xf>
    <xf numFmtId="170" fontId="10" fillId="4" borderId="56" xfId="1" applyNumberFormat="1" applyFont="1" applyFill="1" applyBorder="1" applyAlignment="1">
      <alignment horizontal="center"/>
    </xf>
    <xf numFmtId="0" fontId="83" fillId="0" borderId="0" xfId="26" applyFont="1" applyAlignment="1">
      <alignment horizontal="left"/>
    </xf>
    <xf numFmtId="0" fontId="84" fillId="0" borderId="0" xfId="26" applyFont="1" applyAlignment="1">
      <alignment horizontal="center"/>
    </xf>
    <xf numFmtId="0" fontId="88" fillId="0" borderId="3" xfId="30" applyFont="1" applyBorder="1" applyAlignment="1">
      <alignment horizontal="center" vertical="center" wrapText="1"/>
    </xf>
    <xf numFmtId="3" fontId="89" fillId="0" borderId="22" xfId="30" applyNumberFormat="1" applyFont="1" applyBorder="1" applyAlignment="1">
      <alignment horizontal="center"/>
    </xf>
    <xf numFmtId="3" fontId="89" fillId="0" borderId="24" xfId="30" applyNumberFormat="1" applyFont="1" applyBorder="1" applyAlignment="1">
      <alignment horizontal="center"/>
    </xf>
    <xf numFmtId="0" fontId="2" fillId="0" borderId="0" xfId="29" applyFont="1" applyAlignment="1">
      <alignment horizontal="left" wrapText="1"/>
    </xf>
    <xf numFmtId="0" fontId="3" fillId="0" borderId="0" xfId="29" applyAlignment="1">
      <alignment horizontal="left" wrapText="1"/>
    </xf>
    <xf numFmtId="0" fontId="81" fillId="0" borderId="3" xfId="26" applyFont="1" applyBorder="1" applyAlignment="1">
      <alignment horizontal="left" vertical="center"/>
    </xf>
    <xf numFmtId="0" fontId="81" fillId="0" borderId="3" xfId="26" applyFont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16" xfId="0" applyBorder="1" applyAlignment="1">
      <alignment horizontal="center"/>
    </xf>
    <xf numFmtId="0" fontId="29" fillId="0" borderId="3" xfId="33" applyBorder="1" applyAlignment="1">
      <alignment horizontal="center" vertical="top" wrapText="1"/>
    </xf>
    <xf numFmtId="0" fontId="10" fillId="0" borderId="3" xfId="0" applyFont="1" applyBorder="1" applyAlignment="1">
      <alignment horizontal="center" wrapText="1"/>
    </xf>
    <xf numFmtId="0" fontId="10" fillId="0" borderId="30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29" fillId="0" borderId="30" xfId="26" applyFont="1" applyBorder="1" applyAlignment="1">
      <alignment horizontal="center"/>
    </xf>
    <xf numFmtId="0" fontId="29" fillId="0" borderId="37" xfId="26" applyFont="1" applyBorder="1" applyAlignment="1">
      <alignment horizontal="center"/>
    </xf>
    <xf numFmtId="0" fontId="48" fillId="0" borderId="0" xfId="33" applyFont="1"/>
    <xf numFmtId="0" fontId="29" fillId="0" borderId="0" xfId="33"/>
    <xf numFmtId="0" fontId="29" fillId="0" borderId="68" xfId="33" applyBorder="1" applyAlignment="1">
      <alignment horizontal="left" vertical="top" wrapText="1"/>
    </xf>
    <xf numFmtId="0" fontId="29" fillId="0" borderId="69" xfId="33" applyBorder="1" applyAlignment="1">
      <alignment horizontal="left" vertical="top" wrapText="1"/>
    </xf>
    <xf numFmtId="0" fontId="92" fillId="0" borderId="3" xfId="0" applyFont="1" applyBorder="1" applyAlignment="1">
      <alignment horizontal="left" vertical="top" wrapText="1"/>
    </xf>
    <xf numFmtId="0" fontId="85" fillId="0" borderId="3" xfId="27" applyFont="1" applyBorder="1" applyAlignment="1">
      <alignment horizontal="left"/>
    </xf>
    <xf numFmtId="171" fontId="36" fillId="4" borderId="40" xfId="9" applyBorder="1" applyAlignment="1">
      <alignment horizontal="left"/>
    </xf>
    <xf numFmtId="171" fontId="36" fillId="4" borderId="41" xfId="9" applyBorder="1" applyAlignment="1">
      <alignment horizontal="left"/>
    </xf>
    <xf numFmtId="171" fontId="36" fillId="4" borderId="42" xfId="9" applyBorder="1" applyAlignment="1">
      <alignment horizontal="left"/>
    </xf>
    <xf numFmtId="171" fontId="59" fillId="2" borderId="3" xfId="8" applyFont="1" applyBorder="1" applyAlignment="1">
      <alignment horizontal="center" vertical="center" textRotation="90" wrapText="1"/>
    </xf>
    <xf numFmtId="171" fontId="59" fillId="2" borderId="3" xfId="8" applyFont="1" applyBorder="1" applyAlignment="1">
      <alignment horizontal="center" vertical="center" wrapText="1"/>
    </xf>
    <xf numFmtId="171" fontId="59" fillId="2" borderId="3" xfId="8" applyFont="1" applyBorder="1" applyAlignment="1">
      <alignment horizontal="center" vertical="center"/>
    </xf>
  </cellXfs>
  <cellStyles count="35">
    <cellStyle name="Assumption" xfId="9" xr:uid="{00000000-0005-0000-0000-000000000000}"/>
    <cellStyle name="Assumption_Percent" xfId="21" xr:uid="{00000000-0005-0000-0000-000001000000}"/>
    <cellStyle name="List_Input" xfId="16" xr:uid="{00000000-0005-0000-0000-000002000000}"/>
    <cellStyle name="Macro_Paste" xfId="20" xr:uid="{00000000-0005-0000-0000-000003000000}"/>
    <cellStyle name="Normal" xfId="30" xr:uid="{D49BB50C-B044-49B7-B911-6454A49C4C43}"/>
    <cellStyle name="Normal 2" xfId="31" xr:uid="{C003AAE2-9495-45DB-BC11-9B41E627323E}"/>
    <cellStyle name="Normal 2 3" xfId="32" xr:uid="{778D8F05-5185-45EB-812C-E848AE8BCC03}"/>
    <cellStyle name="Гиперссылка" xfId="23" builtinId="8"/>
    <cellStyle name="Гиперссылка 2" xfId="34" xr:uid="{F69AB2CF-9DE0-4F53-8360-52E7C907C6C4}"/>
    <cellStyle name="Группа" xfId="6" xr:uid="{00000000-0005-0000-0000-000005000000}"/>
    <cellStyle name="Заголовок 1" xfId="2" builtinId="16" hidden="1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аголовок 4 2" xfId="24" xr:uid="{00000000-0005-0000-0000-00000A000000}"/>
    <cellStyle name="Итог" xfId="22" builtinId="25" hidden="1"/>
    <cellStyle name="Итого_1" xfId="13" xr:uid="{00000000-0005-0000-0000-00000C000000}"/>
    <cellStyle name="Коэффициенты" xfId="14" xr:uid="{00000000-0005-0000-0000-00000D000000}"/>
    <cellStyle name="Обычный" xfId="0" builtinId="0" customBuiltin="1"/>
    <cellStyle name="Обычный 2" xfId="26" xr:uid="{1154E0C9-3FE4-4450-8B62-663CC787ED9B}"/>
    <cellStyle name="Обычный 3" xfId="27" xr:uid="{4541A957-EAE6-4CFC-AFE0-CB317B63F476}"/>
    <cellStyle name="Обычный 4" xfId="29" xr:uid="{6A2FF474-CD2B-4CAA-943D-37D6CEF0278C}"/>
    <cellStyle name="Обычный 5" xfId="33" xr:uid="{1AA916F0-70DB-4E21-859E-603C879AC6DD}"/>
    <cellStyle name="Обычный 6" xfId="28" xr:uid="{A830244C-0F35-444B-A846-F9B432F331A1}"/>
    <cellStyle name="Подитог_1" xfId="12" xr:uid="{00000000-0005-0000-0000-00000F000000}"/>
    <cellStyle name="Проверки" xfId="18" xr:uid="{00000000-0005-0000-0000-000010000000}"/>
    <cellStyle name="Процентный" xfId="1" builtinId="5"/>
    <cellStyle name="Расчеты_1" xfId="8" xr:uid="{00000000-0005-0000-0000-000012000000}"/>
    <cellStyle name="Расчеты_2" xfId="7" xr:uid="{00000000-0005-0000-0000-000013000000}"/>
    <cellStyle name="Расчеты_Проценты" xfId="17" xr:uid="{00000000-0005-0000-0000-000014000000}"/>
    <cellStyle name="С отступом" xfId="25" xr:uid="{00000000-0005-0000-0000-000015000000}"/>
    <cellStyle name="Сссылка_Процент" xfId="19" xr:uid="{00000000-0005-0000-0000-000016000000}"/>
    <cellStyle name="Ссылка" xfId="11" xr:uid="{00000000-0005-0000-0000-000017000000}"/>
    <cellStyle name="Сумма_Строка" xfId="10" xr:uid="{00000000-0005-0000-0000-000018000000}"/>
    <cellStyle name="Флаг" xfId="15" xr:uid="{00000000-0005-0000-0000-000019000000}"/>
  </cellStyles>
  <dxfs count="300"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rgb="FF9C0006"/>
      </font>
    </dxf>
    <dxf>
      <fill>
        <patternFill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5" formatCode="#,##0_ ;\(#,##0\);\-"/>
    </dxf>
    <dxf>
      <numFmt numFmtId="166" formatCode="#,##0.000_ ;\(#,##0.000\);\-"/>
    </dxf>
    <dxf>
      <numFmt numFmtId="165" formatCode="#,##0_ ;\(#,##0\);\-"/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border>
        <bottom style="thin">
          <color theme="3"/>
        </bottom>
        <vertical/>
        <horizontal/>
      </border>
    </dxf>
    <dxf>
      <numFmt numFmtId="166" formatCode="#,##0.000_ ;\(#,##0.000\);\-"/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numFmt numFmtId="166" formatCode="#,##0.000_ ;\(#,##0.000\);\-"/>
    </dxf>
    <dxf>
      <numFmt numFmtId="166" formatCode="#,##0.000_ ;\(#,##0.000\);\-"/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0"/>
      </font>
    </dxf>
    <dxf>
      <numFmt numFmtId="166" formatCode="#,##0.000_ ;\(#,##0.000\);\-"/>
    </dxf>
    <dxf>
      <numFmt numFmtId="166" formatCode="#,##0.000_ ;\(#,##0.000\);\-"/>
    </dxf>
    <dxf>
      <font>
        <color rgb="FFFF0000"/>
      </font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numFmt numFmtId="166" formatCode="#,##0.000_ ;\(#,##0.000\);\-"/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C00000"/>
      </font>
      <numFmt numFmtId="217" formatCode="&quot;error&quot;"/>
      <fill>
        <patternFill patternType="solid">
          <fgColor indexed="64"/>
          <bgColor theme="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mediumGray">
          <fgColor theme="2" tint="-0.24994659260841701"/>
          <bgColor theme="2" tint="-9.9948118533890809E-2"/>
        </patternFill>
      </fill>
    </dxf>
    <dxf>
      <font>
        <b val="0"/>
        <i val="0"/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 tint="0.14996795556505021"/>
      </font>
      <numFmt numFmtId="215" formatCode="&quot;Создание&quot;"/>
      <fill>
        <patternFill patternType="lightGray">
          <fgColor rgb="FFFFC000"/>
          <bgColor theme="0"/>
        </patternFill>
      </fill>
    </dxf>
    <dxf>
      <font>
        <color theme="1" tint="0.14996795556505021"/>
      </font>
      <numFmt numFmtId="216" formatCode="&quot;Эксплуатация&quot;"/>
      <fill>
        <patternFill patternType="lightGray">
          <fgColor rgb="FF92D050"/>
          <bgColor theme="0" tint="-4.9989318521683403E-2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A7A7"/>
      <color rgb="FF4E85E8"/>
      <color rgb="FF457FE7"/>
      <color rgb="FF5C8FEA"/>
      <color rgb="FF8CAFF0"/>
      <color rgb="FFFF8F8F"/>
      <color rgb="FFC2E49C"/>
      <color rgb="FF2CB4C0"/>
      <color rgb="FFC00000"/>
      <color rgb="FFEB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47610499428479"/>
          <c:y val="5.4545447446417983E-2"/>
          <c:w val="0.84179407395576922"/>
          <c:h val="0.68871924400087925"/>
        </c:manualLayout>
      </c:layout>
      <c:areaChart>
        <c:grouping val="standard"/>
        <c:varyColors val="0"/>
        <c:ser>
          <c:idx val="0"/>
          <c:order val="0"/>
          <c:tx>
            <c:strRef>
              <c:f>Свод!$C$17</c:f>
              <c:strCache>
                <c:ptCount val="1"/>
                <c:pt idx="0">
                  <c:v>Инвестиции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cat>
            <c:numRef>
              <c:f>Свод!$L$6:$U$6</c:f>
              <c:numCache>
                <c:formatCode>0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Свод!$L$17:$U$17</c:f>
              <c:numCache>
                <c:formatCode>#\ ##0_ ;\(#\ ##0\);\-\ </c:formatCode>
                <c:ptCount val="10"/>
                <c:pt idx="0">
                  <c:v>-82665.685468645795</c:v>
                </c:pt>
                <c:pt idx="1">
                  <c:v>-720524.37801153574</c:v>
                </c:pt>
                <c:pt idx="2">
                  <c:v>-149838.26045935682</c:v>
                </c:pt>
                <c:pt idx="3">
                  <c:v>-80445.137982464395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6-43F2-8D8B-4DF84F06C81E}"/>
            </c:ext>
          </c:extLst>
        </c:ser>
        <c:ser>
          <c:idx val="1"/>
          <c:order val="1"/>
          <c:tx>
            <c:strRef>
              <c:f>Свод!$C$18</c:f>
              <c:strCache>
                <c:ptCount val="1"/>
                <c:pt idx="0">
                  <c:v>Возврат инвестиций с доходностью</c:v>
                </c:pt>
              </c:strCache>
            </c:strRef>
          </c:tx>
          <c:spPr>
            <a:solidFill>
              <a:schemeClr val="accent6">
                <a:lumMod val="90000"/>
              </a:schemeClr>
            </a:solidFill>
            <a:ln>
              <a:noFill/>
            </a:ln>
            <a:effectLst/>
          </c:spPr>
          <c:val>
            <c:numRef>
              <c:f>Свод!$L$18:$U$18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137083.75303849322</c:v>
                </c:pt>
                <c:pt idx="5">
                  <c:v>105674.94925967569</c:v>
                </c:pt>
                <c:pt idx="6">
                  <c:v>121905.10116095992</c:v>
                </c:pt>
                <c:pt idx="7">
                  <c:v>137679.26829769695</c:v>
                </c:pt>
                <c:pt idx="8">
                  <c:v>415771.16842824384</c:v>
                </c:pt>
                <c:pt idx="9">
                  <c:v>761542.05473902018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66-43F2-8D8B-4DF84F06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625664"/>
        <c:axId val="1182611936"/>
      </c:areaChart>
      <c:catAx>
        <c:axId val="11826256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11936"/>
        <c:crosses val="autoZero"/>
        <c:auto val="1"/>
        <c:lblAlgn val="ctr"/>
        <c:lblOffset val="100"/>
        <c:noMultiLvlLbl val="0"/>
      </c:catAx>
      <c:valAx>
        <c:axId val="11826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majorGridlines>
        <c:numFmt formatCode="#\ ##0_ ;\(#\ ##0\);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2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47610499428479"/>
          <c:y val="5.4545447446417983E-2"/>
          <c:w val="0.84179407395576922"/>
          <c:h val="0.68871924400087925"/>
        </c:manualLayout>
      </c:layout>
      <c:areaChart>
        <c:grouping val="standard"/>
        <c:varyColors val="0"/>
        <c:ser>
          <c:idx val="2"/>
          <c:order val="2"/>
          <c:tx>
            <c:strRef>
              <c:f>Свод!$C$25</c:f>
              <c:strCache>
                <c:ptCount val="1"/>
                <c:pt idx="0">
                  <c:v>СFADS на этапе погашения кредита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2">
                  <a:lumMod val="75000"/>
                  <a:alpha val="99000"/>
                </a:schemeClr>
              </a:solidFill>
            </a:ln>
            <a:effectLst/>
          </c:spPr>
          <c:val>
            <c:numRef>
              <c:f>Свод!$L$25:$U$25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1025933.1549406882</c:v>
                </c:pt>
                <c:pt idx="5">
                  <c:v>634049.69555805426</c:v>
                </c:pt>
                <c:pt idx="6">
                  <c:v>731430.60696575907</c:v>
                </c:pt>
                <c:pt idx="7">
                  <c:v>826075.60978618124</c:v>
                </c:pt>
                <c:pt idx="8">
                  <c:v>855390.80027709808</c:v>
                </c:pt>
                <c:pt idx="9">
                  <c:v>761542.05473902018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A7-4D26-B84E-1311C6682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837840"/>
        <c:axId val="1088845328"/>
      </c:areaChart>
      <c:barChart>
        <c:barDir val="col"/>
        <c:grouping val="stacked"/>
        <c:varyColors val="0"/>
        <c:ser>
          <c:idx val="0"/>
          <c:order val="0"/>
          <c:tx>
            <c:strRef>
              <c:f>Свод!$C$23</c:f>
              <c:strCache>
                <c:ptCount val="1"/>
                <c:pt idx="0">
                  <c:v>Выплата процентов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</c:spPr>
          <c:invertIfNegative val="0"/>
          <c:cat>
            <c:numRef>
              <c:f>Свод!$L$6:$U$6</c:f>
              <c:numCache>
                <c:formatCode>0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Свод!$L$23:$U$23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14457.325625393623</c:v>
                </c:pt>
                <c:pt idx="3">
                  <c:v>75659.583999173497</c:v>
                </c:pt>
                <c:pt idx="4">
                  <c:v>134466.50816201299</c:v>
                </c:pt>
                <c:pt idx="5">
                  <c:v>105706.66083977962</c:v>
                </c:pt>
                <c:pt idx="6">
                  <c:v>80398.412796553239</c:v>
                </c:pt>
                <c:pt idx="7">
                  <c:v>49000.854989030166</c:v>
                </c:pt>
                <c:pt idx="8">
                  <c:v>12816.569095355595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7-4D26-B84E-1311C66821CF}"/>
            </c:ext>
          </c:extLst>
        </c:ser>
        <c:ser>
          <c:idx val="1"/>
          <c:order val="1"/>
          <c:tx>
            <c:strRef>
              <c:f>Свод!$C$24</c:f>
              <c:strCache>
                <c:ptCount val="1"/>
                <c:pt idx="0">
                  <c:v>Выплата тела долга</c:v>
                </c:pt>
              </c:strCache>
            </c:strRef>
          </c:tx>
          <c:spPr>
            <a:solidFill>
              <a:schemeClr val="accent6">
                <a:lumMod val="9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Свод!$L$24:$U$24</c:f>
              <c:numCache>
                <c:formatCode>#\ ##0_ ;\(#\ ##0\);\-\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753894.65174027195</c:v>
                </c:pt>
                <c:pt idx="5">
                  <c:v>422668.08545859891</c:v>
                </c:pt>
                <c:pt idx="6">
                  <c:v>529127.09300824604</c:v>
                </c:pt>
                <c:pt idx="7">
                  <c:v>639395.48649945413</c:v>
                </c:pt>
                <c:pt idx="8">
                  <c:v>426803.06275349879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A7-4D26-B84E-1311C6682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2625664"/>
        <c:axId val="1182611936"/>
      </c:barChart>
      <c:catAx>
        <c:axId val="11826256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11936"/>
        <c:crosses val="autoZero"/>
        <c:auto val="1"/>
        <c:lblAlgn val="ctr"/>
        <c:lblOffset val="100"/>
        <c:noMultiLvlLbl val="0"/>
      </c:catAx>
      <c:valAx>
        <c:axId val="11826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</c:majorGridlines>
        <c:numFmt formatCode="#\ ##0_ ;\(#\ ##0\);\-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ru-RU"/>
          </a:p>
        </c:txPr>
        <c:crossAx val="1182625664"/>
        <c:crosses val="autoZero"/>
        <c:crossBetween val="between"/>
      </c:valAx>
      <c:valAx>
        <c:axId val="1088845328"/>
        <c:scaling>
          <c:orientation val="minMax"/>
        </c:scaling>
        <c:delete val="0"/>
        <c:axPos val="r"/>
        <c:numFmt formatCode="#\ ##0_ ;\(#\ ##0\);\-\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8837840"/>
        <c:crosses val="max"/>
        <c:crossBetween val="between"/>
      </c:valAx>
      <c:catAx>
        <c:axId val="1088837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088845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F07E-4242-B031-D71EBE8BB019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F07E-4242-B031-D71EBE8BB019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F07E-4242-B031-D71EBE8BB019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F07E-4242-B031-D71EBE8BB019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F07E-4242-B031-D71EBE8BB01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рынка'!$A$4:$A$8</c:f>
              <c:strCache>
                <c:ptCount val="5"/>
                <c:pt idx="0">
                  <c:v>Авиатранспорт</c:v>
                </c:pt>
                <c:pt idx="1">
                  <c:v>Автомобильный транспорт</c:v>
                </c:pt>
                <c:pt idx="2">
                  <c:v>Ж/д транспорт</c:v>
                </c:pt>
                <c:pt idx="3">
                  <c:v>Автобусный транспорт</c:v>
                </c:pt>
                <c:pt idx="4">
                  <c:v>Комбинированные виды транспорта</c:v>
                </c:pt>
              </c:strCache>
            </c:strRef>
          </c:cat>
          <c:val>
            <c:numRef>
              <c:f>'Анализ рынка'!$B$4:$B$8</c:f>
              <c:numCache>
                <c:formatCode>0%</c:formatCode>
                <c:ptCount val="5"/>
                <c:pt idx="0">
                  <c:v>0.34599999999999997</c:v>
                </c:pt>
                <c:pt idx="1">
                  <c:v>0.27200000000000002</c:v>
                </c:pt>
                <c:pt idx="2">
                  <c:v>0.113</c:v>
                </c:pt>
                <c:pt idx="3">
                  <c:v>0.122</c:v>
                </c:pt>
                <c:pt idx="4">
                  <c:v>0.14699999999999999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7E-4242-B031-D71EBE8BB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6495-462A-B26A-DAF09908CFFB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6495-462A-B26A-DAF09908CFFB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6495-462A-B26A-DAF09908CFFB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6495-462A-B26A-DAF09908CFFB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рынка'!$A$14:$A$17</c:f>
              <c:strCache>
                <c:ptCount val="4"/>
                <c:pt idx="0">
                  <c:v>Отель (вкл. мини-отели)</c:v>
                </c:pt>
                <c:pt idx="1">
                  <c:v>Гостевой дом</c:v>
                </c:pt>
                <c:pt idx="2">
                  <c:v>Апартаменты</c:v>
                </c:pt>
                <c:pt idx="3">
                  <c:v>Хостел</c:v>
                </c:pt>
              </c:strCache>
            </c:strRef>
          </c:cat>
          <c:val>
            <c:numRef>
              <c:f>'Анализ рынка'!$B$14:$B$17</c:f>
              <c:numCache>
                <c:formatCode>0%</c:formatCode>
                <c:ptCount val="4"/>
                <c:pt idx="0">
                  <c:v>0.85</c:v>
                </c:pt>
                <c:pt idx="1">
                  <c:v>0.03</c:v>
                </c:pt>
                <c:pt idx="2">
                  <c:v>0.09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495-462A-B26A-DAF09908C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BC85-4F53-A3E2-FEDF1750D19D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BC85-4F53-A3E2-FEDF1750D19D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BC85-4F53-A3E2-FEDF1750D19D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BC85-4F53-A3E2-FEDF1750D19D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BC85-4F53-A3E2-FEDF1750D19D}"/>
              </c:ext>
            </c:extLst>
          </c:dPt>
          <c:dPt>
            <c:idx val="5"/>
            <c:bubble3D val="0"/>
            <c:spPr>
              <a:solidFill>
                <a:srgbClr val="46BDC6"/>
              </a:solidFill>
            </c:spPr>
            <c:extLst>
              <c:ext xmlns:c16="http://schemas.microsoft.com/office/drawing/2014/chart" uri="{C3380CC4-5D6E-409C-BE32-E72D297353CC}">
                <c16:uniqueId val="{0000000B-BC85-4F53-A3E2-FEDF1750D19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рынка'!$A$20:$A$25</c:f>
              <c:strCache>
                <c:ptCount val="6"/>
                <c:pt idx="0">
                  <c:v>Москва</c:v>
                </c:pt>
                <c:pt idx="1">
                  <c:v>Ставропольский край</c:v>
                </c:pt>
                <c:pt idx="2">
                  <c:v>Чеченская республика</c:v>
                </c:pt>
                <c:pt idx="3">
                  <c:v>Краснодарский край</c:v>
                </c:pt>
                <c:pt idx="4">
                  <c:v>Санкт-Петербург</c:v>
                </c:pt>
                <c:pt idx="5">
                  <c:v>Северная Осетия, Астраханская область, Ростовская область, Башкортостан, Татарстан</c:v>
                </c:pt>
              </c:strCache>
            </c:strRef>
          </c:cat>
          <c:val>
            <c:numRef>
              <c:f>'Анализ рынка'!$B$20:$B$25</c:f>
              <c:numCache>
                <c:formatCode>0%</c:formatCode>
                <c:ptCount val="6"/>
                <c:pt idx="0">
                  <c:v>0.19</c:v>
                </c:pt>
                <c:pt idx="1">
                  <c:v>0.08</c:v>
                </c:pt>
                <c:pt idx="2">
                  <c:v>0.08</c:v>
                </c:pt>
                <c:pt idx="3">
                  <c:v>0.06</c:v>
                </c:pt>
                <c:pt idx="4">
                  <c:v>0.05</c:v>
                </c:pt>
                <c:pt idx="5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85-4F53-A3E2-FEDF1750D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l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A606-4B8F-BF64-43255F4BAF1D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A606-4B8F-BF64-43255F4BAF1D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</c:spPr>
            <c:extLst>
              <c:ext xmlns:c16="http://schemas.microsoft.com/office/drawing/2014/chart" uri="{C3380CC4-5D6E-409C-BE32-E72D297353CC}">
                <c16:uniqueId val="{00000005-A606-4B8F-BF64-43255F4BAF1D}"/>
              </c:ext>
            </c:extLst>
          </c:dPt>
          <c:dPt>
            <c:idx val="3"/>
            <c:bubble3D val="0"/>
            <c:spPr>
              <a:solidFill>
                <a:srgbClr val="34A853"/>
              </a:solidFill>
            </c:spPr>
            <c:extLst>
              <c:ext xmlns:c16="http://schemas.microsoft.com/office/drawing/2014/chart" uri="{C3380CC4-5D6E-409C-BE32-E72D297353CC}">
                <c16:uniqueId val="{00000007-A606-4B8F-BF64-43255F4BAF1D}"/>
              </c:ext>
            </c:extLst>
          </c:dPt>
          <c:dPt>
            <c:idx val="4"/>
            <c:bubble3D val="0"/>
            <c:spPr>
              <a:solidFill>
                <a:srgbClr val="FF6D01"/>
              </a:solidFill>
            </c:spPr>
            <c:extLst>
              <c:ext xmlns:c16="http://schemas.microsoft.com/office/drawing/2014/chart" uri="{C3380CC4-5D6E-409C-BE32-E72D297353CC}">
                <c16:uniqueId val="{00000009-A606-4B8F-BF64-43255F4BAF1D}"/>
              </c:ext>
            </c:extLst>
          </c:dPt>
          <c:dPt>
            <c:idx val="5"/>
            <c:bubble3D val="0"/>
            <c:spPr>
              <a:solidFill>
                <a:srgbClr val="46BDC6"/>
              </a:solidFill>
            </c:spPr>
            <c:extLst>
              <c:ext xmlns:c16="http://schemas.microsoft.com/office/drawing/2014/chart" uri="{C3380CC4-5D6E-409C-BE32-E72D297353CC}">
                <c16:uniqueId val="{0000000B-A606-4B8F-BF64-43255F4BAF1D}"/>
              </c:ext>
            </c:extLst>
          </c:dPt>
          <c:dPt>
            <c:idx val="6"/>
            <c:bubble3D val="0"/>
            <c:spPr>
              <a:solidFill>
                <a:srgbClr val="7BAAF7"/>
              </a:solidFill>
            </c:spPr>
            <c:extLst>
              <c:ext xmlns:c16="http://schemas.microsoft.com/office/drawing/2014/chart" uri="{C3380CC4-5D6E-409C-BE32-E72D297353CC}">
                <c16:uniqueId val="{0000000D-A606-4B8F-BF64-43255F4BAF1D}"/>
              </c:ext>
            </c:extLst>
          </c:dPt>
          <c:dPt>
            <c:idx val="7"/>
            <c:bubble3D val="0"/>
            <c:spPr>
              <a:solidFill>
                <a:srgbClr val="F07B72"/>
              </a:solidFill>
            </c:spPr>
            <c:extLst>
              <c:ext xmlns:c16="http://schemas.microsoft.com/office/drawing/2014/chart" uri="{C3380CC4-5D6E-409C-BE32-E72D297353CC}">
                <c16:uniqueId val="{0000000F-A606-4B8F-BF64-43255F4BAF1D}"/>
              </c:ext>
            </c:extLst>
          </c:dPt>
          <c:dPt>
            <c:idx val="8"/>
            <c:bubble3D val="0"/>
            <c:spPr>
              <a:solidFill>
                <a:srgbClr val="FCD04F"/>
              </a:solidFill>
            </c:spPr>
            <c:extLst>
              <c:ext xmlns:c16="http://schemas.microsoft.com/office/drawing/2014/chart" uri="{C3380CC4-5D6E-409C-BE32-E72D297353CC}">
                <c16:uniqueId val="{00000011-A606-4B8F-BF64-43255F4BAF1D}"/>
              </c:ext>
            </c:extLst>
          </c:dPt>
          <c:dPt>
            <c:idx val="9"/>
            <c:bubble3D val="0"/>
            <c:spPr>
              <a:solidFill>
                <a:srgbClr val="71C287"/>
              </a:solidFill>
            </c:spPr>
            <c:extLst>
              <c:ext xmlns:c16="http://schemas.microsoft.com/office/drawing/2014/chart" uri="{C3380CC4-5D6E-409C-BE32-E72D297353CC}">
                <c16:uniqueId val="{00000013-A606-4B8F-BF64-43255F4BAF1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'Анализ рынка'!$A$28:$A$37</c:f>
              <c:strCache>
                <c:ptCount val="10"/>
                <c:pt idx="0">
                  <c:v>Пегас</c:v>
                </c:pt>
                <c:pt idx="1">
                  <c:v>Яндекс.Путешествия</c:v>
                </c:pt>
                <c:pt idx="2">
                  <c:v>Ostrovok.ru</c:v>
                </c:pt>
                <c:pt idx="3">
                  <c:v>МТС Travel / Bronevik</c:v>
                </c:pt>
                <c:pt idx="4">
                  <c:v>Алеан</c:v>
                </c:pt>
                <c:pt idx="5">
                  <c:v>101Hotels.com</c:v>
                </c:pt>
                <c:pt idx="6">
                  <c:v>Zabroniryi.ru</c:v>
                </c:pt>
                <c:pt idx="7">
                  <c:v>Otello</c:v>
                </c:pt>
                <c:pt idx="8">
                  <c:v>Acase.ru</c:v>
                </c:pt>
                <c:pt idx="9">
                  <c:v>Дельфин</c:v>
                </c:pt>
              </c:strCache>
            </c:strRef>
          </c:cat>
          <c:val>
            <c:numRef>
              <c:f>'Анализ рынка'!$B$28:$B$37</c:f>
              <c:numCache>
                <c:formatCode>0%</c:formatCode>
                <c:ptCount val="10"/>
                <c:pt idx="0">
                  <c:v>0.33900000000000002</c:v>
                </c:pt>
                <c:pt idx="1">
                  <c:v>0.2329</c:v>
                </c:pt>
                <c:pt idx="2">
                  <c:v>0.192</c:v>
                </c:pt>
                <c:pt idx="3">
                  <c:v>6.3299999999999995E-2</c:v>
                </c:pt>
                <c:pt idx="4">
                  <c:v>4.8399999999999999E-2</c:v>
                </c:pt>
                <c:pt idx="5">
                  <c:v>3.4599999999999999E-2</c:v>
                </c:pt>
                <c:pt idx="6">
                  <c:v>2.6700000000000002E-2</c:v>
                </c:pt>
                <c:pt idx="7">
                  <c:v>2.23E-2</c:v>
                </c:pt>
                <c:pt idx="8">
                  <c:v>2.1000000000000001E-2</c:v>
                </c:pt>
                <c:pt idx="9">
                  <c:v>2.0099999999999996E-2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06-4B8F-BF64-43255F4B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tx>
            <c:v>Бронирования через ОТА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'Анализ рынка'!$B$41:$E$41</c:f>
              <c:strCache>
                <c:ptCount val="4"/>
                <c:pt idx="0">
                  <c:v>Городские отели</c:v>
                </c:pt>
                <c:pt idx="1">
                  <c:v>Загородные отели</c:v>
                </c:pt>
                <c:pt idx="2">
                  <c:v>Курортные отели</c:v>
                </c:pt>
                <c:pt idx="3">
                  <c:v>Санатории</c:v>
                </c:pt>
              </c:strCache>
            </c:strRef>
          </c:cat>
          <c:val>
            <c:numRef>
              <c:f>'Анализ рынка'!$B$42:$E$42</c:f>
              <c:numCache>
                <c:formatCode>0%</c:formatCode>
                <c:ptCount val="4"/>
                <c:pt idx="0">
                  <c:v>0.56999999999999995</c:v>
                </c:pt>
                <c:pt idx="1">
                  <c:v>0.17</c:v>
                </c:pt>
                <c:pt idx="2">
                  <c:v>0.48</c:v>
                </c:pt>
                <c:pt idx="3">
                  <c:v>0.28000000000000003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986-488A-B7F0-45DF4DE8BF19}"/>
            </c:ext>
          </c:extLst>
        </c:ser>
        <c:ser>
          <c:idx val="1"/>
          <c:order val="1"/>
          <c:tx>
            <c:v>Прямые бронирования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latin typeface="+mn-lt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'Анализ рынка'!$B$41:$E$41</c:f>
              <c:strCache>
                <c:ptCount val="4"/>
                <c:pt idx="0">
                  <c:v>Городские отели</c:v>
                </c:pt>
                <c:pt idx="1">
                  <c:v>Загородные отели</c:v>
                </c:pt>
                <c:pt idx="2">
                  <c:v>Курортные отели</c:v>
                </c:pt>
                <c:pt idx="3">
                  <c:v>Санатории</c:v>
                </c:pt>
              </c:strCache>
            </c:strRef>
          </c:cat>
          <c:val>
            <c:numRef>
              <c:f>'Анализ рынка'!$B$43:$E$43</c:f>
              <c:numCache>
                <c:formatCode>0%</c:formatCode>
                <c:ptCount val="4"/>
                <c:pt idx="0">
                  <c:v>0.43000000000000005</c:v>
                </c:pt>
                <c:pt idx="1">
                  <c:v>0.83</c:v>
                </c:pt>
                <c:pt idx="2">
                  <c:v>0.52</c:v>
                </c:pt>
                <c:pt idx="3">
                  <c:v>0.72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986-488A-B7F0-45DF4DE8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657465"/>
        <c:axId val="369068768"/>
      </c:barChart>
      <c:catAx>
        <c:axId val="5706574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369068768"/>
        <c:crosses val="autoZero"/>
        <c:auto val="1"/>
        <c:lblAlgn val="ctr"/>
        <c:lblOffset val="100"/>
        <c:noMultiLvlLbl val="1"/>
      </c:catAx>
      <c:valAx>
        <c:axId val="3690687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ru-RU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ru-RU"/>
          </a:p>
        </c:txPr>
        <c:crossAx val="570657465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ru-RU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2" name="Rectangle 4">
          <a:extLst>
            <a:ext uri="{FF2B5EF4-FFF2-40B4-BE49-F238E27FC236}">
              <a16:creationId xmlns:a16="http://schemas.microsoft.com/office/drawing/2014/main" id="{4AB488FC-D5DC-494E-AB7F-B67289C81756}"/>
            </a:ext>
          </a:extLst>
        </xdr:cNvPr>
        <xdr:cNvSpPr/>
      </xdr:nvSpPr>
      <xdr:spPr>
        <a:xfrm>
          <a:off x="5972175" y="545522"/>
          <a:ext cx="15363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393700</xdr:colOff>
      <xdr:row>0</xdr:row>
      <xdr:rowOff>342900</xdr:rowOff>
    </xdr:from>
    <xdr:to>
      <xdr:col>10</xdr:col>
      <xdr:colOff>0</xdr:colOff>
      <xdr:row>12</xdr:row>
      <xdr:rowOff>2158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4D6B74B-60EA-4EAB-997A-8C0C25860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8000" y="342900"/>
          <a:ext cx="3289300" cy="28342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2283</xdr:rowOff>
    </xdr:from>
    <xdr:to>
      <xdr:col>5</xdr:col>
      <xdr:colOff>406400</xdr:colOff>
      <xdr:row>12</xdr:row>
      <xdr:rowOff>4416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1304314-24CB-4C37-91DE-10C4FF261C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888" b="18718"/>
        <a:stretch/>
      </xdr:blipFill>
      <xdr:spPr>
        <a:xfrm>
          <a:off x="0" y="353466"/>
          <a:ext cx="5839791" cy="2880063"/>
        </a:xfrm>
        <a:prstGeom prst="rect">
          <a:avLst/>
        </a:prstGeom>
      </xdr:spPr>
    </xdr:pic>
    <xdr:clientData/>
  </xdr:twoCellAnchor>
  <xdr:twoCellAnchor>
    <xdr:from>
      <xdr:col>4</xdr:col>
      <xdr:colOff>708212</xdr:colOff>
      <xdr:row>7</xdr:row>
      <xdr:rowOff>12700</xdr:rowOff>
    </xdr:from>
    <xdr:to>
      <xdr:col>8</xdr:col>
      <xdr:colOff>76200</xdr:colOff>
      <xdr:row>11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55459" y="2029759"/>
          <a:ext cx="4352365" cy="921870"/>
        </a:xfrm>
        <a:prstGeom prst="rect">
          <a:avLst/>
        </a:prstGeom>
        <a:solidFill>
          <a:schemeClr val="bg1">
            <a:alpha val="8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16000" rtlCol="0" anchor="ctr"/>
        <a:lstStyle/>
        <a:p>
          <a:pPr algn="r">
            <a:spcAft>
              <a:spcPts val="600"/>
            </a:spcAft>
          </a:pPr>
          <a:r>
            <a:rPr lang="ru-RU" sz="1300" b="1" u="none" cap="all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проект создания и развития культурно-развлекательного кластера</a:t>
          </a:r>
        </a:p>
        <a:p>
          <a:pPr algn="r"/>
          <a:r>
            <a:rPr lang="ru-RU" sz="1400" b="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Финансовая модель</a:t>
          </a:r>
          <a:r>
            <a:rPr lang="ru-RU" sz="1400" b="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685800</xdr:colOff>
      <xdr:row>2</xdr:row>
      <xdr:rowOff>563</xdr:rowOff>
    </xdr:from>
    <xdr:to>
      <xdr:col>13</xdr:col>
      <xdr:colOff>134239</xdr:colOff>
      <xdr:row>6</xdr:row>
      <xdr:rowOff>6839</xdr:rowOff>
    </xdr:to>
    <xdr:sp macro="[0]!Optimise_Mode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0845800" y="406963"/>
          <a:ext cx="1632839" cy="8190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расчеты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590912</xdr:colOff>
      <xdr:row>9</xdr:row>
      <xdr:rowOff>138612</xdr:rowOff>
    </xdr:from>
    <xdr:to>
      <xdr:col>7</xdr:col>
      <xdr:colOff>590912</xdr:colOff>
      <xdr:row>20</xdr:row>
      <xdr:rowOff>138611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946F88C-401C-437A-9537-3B1D3751B691}"/>
            </a:ext>
          </a:extLst>
        </xdr:cNvPr>
        <xdr:cNvCxnSpPr/>
      </xdr:nvCxnSpPr>
      <xdr:spPr>
        <a:xfrm>
          <a:off x="6382112" y="2056312"/>
          <a:ext cx="0" cy="1955799"/>
        </a:xfrm>
        <a:prstGeom prst="line">
          <a:avLst/>
        </a:prstGeom>
        <a:ln w="19050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55698</xdr:colOff>
      <xdr:row>177</xdr:row>
      <xdr:rowOff>7379</xdr:rowOff>
    </xdr:from>
    <xdr:to>
      <xdr:col>11</xdr:col>
      <xdr:colOff>55698</xdr:colOff>
      <xdr:row>190</xdr:row>
      <xdr:rowOff>7377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9C7BE4B1-679E-4270-A90E-8E0467E93043}"/>
            </a:ext>
          </a:extLst>
        </xdr:cNvPr>
        <xdr:cNvCxnSpPr/>
      </xdr:nvCxnSpPr>
      <xdr:spPr>
        <a:xfrm>
          <a:off x="7051281" y="5288462"/>
          <a:ext cx="0" cy="2338915"/>
        </a:xfrm>
        <a:prstGeom prst="line">
          <a:avLst/>
        </a:prstGeom>
        <a:ln w="19050"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10585</xdr:colOff>
      <xdr:row>176</xdr:row>
      <xdr:rowOff>105832</xdr:rowOff>
    </xdr:from>
    <xdr:to>
      <xdr:col>7</xdr:col>
      <xdr:colOff>243417</xdr:colOff>
      <xdr:row>190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D315D2-ADED-4A0F-8991-7CDF911288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1068917</xdr:colOff>
      <xdr:row>176</xdr:row>
      <xdr:rowOff>169333</xdr:rowOff>
    </xdr:from>
    <xdr:to>
      <xdr:col>13</xdr:col>
      <xdr:colOff>127701</xdr:colOff>
      <xdr:row>191</xdr:row>
      <xdr:rowOff>30183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4B8896E-C3DD-405C-B96D-26EFF0384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1028700</xdr:colOff>
      <xdr:row>2</xdr:row>
      <xdr:rowOff>0</xdr:rowOff>
    </xdr:from>
    <xdr:to>
      <xdr:col>11</xdr:col>
      <xdr:colOff>477139</xdr:colOff>
      <xdr:row>6</xdr:row>
      <xdr:rowOff>6276</xdr:rowOff>
    </xdr:to>
    <xdr:sp macro="[0]!All_Scenarios" textlink="">
      <xdr:nvSpPr>
        <xdr:cNvPr id="9" name="Rectangle 8">
          <a:extLst>
            <a:ext uri="{FF2B5EF4-FFF2-40B4-BE49-F238E27FC236}">
              <a16:creationId xmlns:a16="http://schemas.microsoft.com/office/drawing/2014/main" id="{B6DAC333-F18F-4A92-90CD-145AE2195B0F}"/>
            </a:ext>
          </a:extLst>
        </xdr:cNvPr>
        <xdr:cNvSpPr/>
      </xdr:nvSpPr>
      <xdr:spPr>
        <a:xfrm>
          <a:off x="9004300" y="406400"/>
          <a:ext cx="1632839" cy="8190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все сценарии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0</xdr:row>
      <xdr:rowOff>0</xdr:rowOff>
    </xdr:from>
    <xdr:ext cx="2857500" cy="2133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FAF6AE-528B-4D36-90F5-EE75BCF414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</xdr:col>
      <xdr:colOff>0</xdr:colOff>
      <xdr:row>12</xdr:row>
      <xdr:rowOff>95250</xdr:rowOff>
    </xdr:from>
    <xdr:ext cx="2695575" cy="9810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7E18F7-4FEE-42C5-B4B2-837C775C5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590550</xdr:colOff>
      <xdr:row>18</xdr:row>
      <xdr:rowOff>0</xdr:rowOff>
    </xdr:from>
    <xdr:ext cx="3876675" cy="14478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39BFE1-5180-4A53-806A-B36C09B7E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3</xdr:col>
      <xdr:colOff>0</xdr:colOff>
      <xdr:row>26</xdr:row>
      <xdr:rowOff>9525</xdr:rowOff>
    </xdr:from>
    <xdr:ext cx="4324350" cy="2295525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9FDF3C-A01F-435B-B2AD-3172CBE24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6</xdr:col>
      <xdr:colOff>6350</xdr:colOff>
      <xdr:row>38</xdr:row>
      <xdr:rowOff>104775</xdr:rowOff>
    </xdr:from>
    <xdr:ext cx="3371850" cy="1619250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E1D9B1-C306-46D2-B15B-0BC947AD0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5289</xdr:colOff>
      <xdr:row>15</xdr:row>
      <xdr:rowOff>116416</xdr:rowOff>
    </xdr:from>
    <xdr:to>
      <xdr:col>9</xdr:col>
      <xdr:colOff>19050</xdr:colOff>
      <xdr:row>37</xdr:row>
      <xdr:rowOff>126348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89866A1-A821-4B4B-A830-05C54B426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" y="3297766"/>
          <a:ext cx="5728761" cy="41977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193965</xdr:colOff>
      <xdr:row>2</xdr:row>
      <xdr:rowOff>55418</xdr:rowOff>
    </xdr:from>
    <xdr:to>
      <xdr:col>7</xdr:col>
      <xdr:colOff>872837</xdr:colOff>
      <xdr:row>4</xdr:row>
      <xdr:rowOff>110837</xdr:rowOff>
    </xdr:to>
    <xdr:sp macro="[0]!Optimise_Model" textlink="">
      <xdr:nvSpPr>
        <xdr:cNvPr id="2" name="Rectangle 1">
          <a:extLst>
            <a:ext uri="{FF2B5EF4-FFF2-40B4-BE49-F238E27FC236}">
              <a16:creationId xmlns:a16="http://schemas.microsoft.com/office/drawing/2014/main" id="{DF2A6305-E25F-4EC8-940A-A96CE5B9E217}"/>
            </a:ext>
          </a:extLst>
        </xdr:cNvPr>
        <xdr:cNvSpPr/>
      </xdr:nvSpPr>
      <xdr:spPr>
        <a:xfrm>
          <a:off x="6912265" y="512618"/>
          <a:ext cx="1910772" cy="436419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</xdr:colOff>
      <xdr:row>2</xdr:row>
      <xdr:rowOff>49069</xdr:rowOff>
    </xdr:from>
    <xdr:to>
      <xdr:col>8</xdr:col>
      <xdr:colOff>736600</xdr:colOff>
      <xdr:row>4</xdr:row>
      <xdr:rowOff>114300</xdr:rowOff>
    </xdr:to>
    <xdr:sp macro="[0]!Optimise_Model" textlink="">
      <xdr:nvSpPr>
        <xdr:cNvPr id="4" name="Rectangle 3">
          <a:extLst>
            <a:ext uri="{FF2B5EF4-FFF2-40B4-BE49-F238E27FC236}">
              <a16:creationId xmlns:a16="http://schemas.microsoft.com/office/drawing/2014/main" id="{859DBBD2-7AC9-41C4-9C72-7FB284615EDD}"/>
            </a:ext>
          </a:extLst>
        </xdr:cNvPr>
        <xdr:cNvSpPr/>
      </xdr:nvSpPr>
      <xdr:spPr>
        <a:xfrm>
          <a:off x="6889750" y="506269"/>
          <a:ext cx="2241550" cy="446231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68036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4735286" y="545522"/>
          <a:ext cx="14982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69272</xdr:rowOff>
    </xdr:from>
    <xdr:to>
      <xdr:col>8</xdr:col>
      <xdr:colOff>831469</xdr:colOff>
      <xdr:row>4</xdr:row>
      <xdr:rowOff>103957</xdr:rowOff>
    </xdr:to>
    <xdr:sp macro="[0]!Optimise_Model" textlink="">
      <xdr:nvSpPr>
        <xdr:cNvPr id="2" name="Rectangle 4">
          <a:extLst>
            <a:ext uri="{FF2B5EF4-FFF2-40B4-BE49-F238E27FC236}">
              <a16:creationId xmlns:a16="http://schemas.microsoft.com/office/drawing/2014/main" id="{9CEE3879-53A3-49F2-B3E1-589034DD8185}"/>
            </a:ext>
          </a:extLst>
        </xdr:cNvPr>
        <xdr:cNvSpPr/>
      </xdr:nvSpPr>
      <xdr:spPr>
        <a:xfrm>
          <a:off x="5972175" y="545522"/>
          <a:ext cx="1536319" cy="415685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51725</xdr:colOff>
      <xdr:row>2</xdr:row>
      <xdr:rowOff>62538</xdr:rowOff>
    </xdr:from>
    <xdr:to>
      <xdr:col>3</xdr:col>
      <xdr:colOff>175877</xdr:colOff>
      <xdr:row>6</xdr:row>
      <xdr:rowOff>48876</xdr:rowOff>
    </xdr:to>
    <xdr:sp macro="[0]!Optimise_Mod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5078808" y="951538"/>
          <a:ext cx="1637569" cy="748338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50800" dir="2700000" algn="tl" rotWithShape="0">
            <a:schemeClr val="bg2">
              <a:lumMod val="25000"/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Обновить расчеты</a:t>
          </a:r>
          <a:endParaRPr lang="en-US" sz="10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ru-RU" sz="1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модели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471053</xdr:colOff>
      <xdr:row>5</xdr:row>
      <xdr:rowOff>-1</xdr:rowOff>
    </xdr:from>
    <xdr:to>
      <xdr:col>9</xdr:col>
      <xdr:colOff>789708</xdr:colOff>
      <xdr:row>9</xdr:row>
      <xdr:rowOff>6275</xdr:rowOff>
    </xdr:to>
    <xdr:sp macro="[0]!sensitivity_All" textlink="">
      <xdr:nvSpPr>
        <xdr:cNvPr id="2" name="Rectangle 1">
          <a:extLst>
            <a:ext uri="{FF2B5EF4-FFF2-40B4-BE49-F238E27FC236}">
              <a16:creationId xmlns:a16="http://schemas.microsoft.com/office/drawing/2014/main" id="{5AD59A97-CD48-4403-B2B3-E5DDE4286408}"/>
            </a:ext>
          </a:extLst>
        </xdr:cNvPr>
        <xdr:cNvSpPr/>
      </xdr:nvSpPr>
      <xdr:spPr>
        <a:xfrm>
          <a:off x="6386078" y="1057274"/>
          <a:ext cx="2223655" cy="768276"/>
        </a:xfrm>
        <a:prstGeom prst="rect">
          <a:avLst/>
        </a:prstGeom>
        <a:solidFill>
          <a:schemeClr val="tx2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Провести</a:t>
          </a:r>
          <a:r>
            <a:rPr lang="ru-RU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анализ чувствительности</a:t>
          </a:r>
          <a:endParaRPr lang="ru-RU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.ilina\Desktop\&#1085;&#1086;&#1074;&#1099;&#1081;%20&#1082;&#1087;&#1082;\&#1060;&#1069;&#1052;_&#1051;&#1086;&#1090;_1_&#1054;&#1090;&#1077;&#1083;&#1100;_5_1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.ilina\Downloads\&#1040;&#1085;&#1072;&#1083;&#1086;&#1075;&#1080;%20&#1090;&#1072;&#1088;&#1080;&#1092;&#1099;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Титул"/>
      <sheetName val="Описание"/>
      <sheetName val="Контр_панель"/>
      <sheetName val="Анализ рынка"/>
      <sheetName val="Конкурентный анализ 5"/>
      <sheetName val="Загрузка"/>
      <sheetName val="Штатное расписание"/>
      <sheetName val="Предпосылки"/>
      <sheetName val="Расчеты"/>
      <sheetName val="Отчетность"/>
      <sheetName val="Отчетность годовая"/>
      <sheetName val="Проверки"/>
      <sheetName val="Свод"/>
      <sheetName val="Чувствительность"/>
      <sheetName val="Бюдж эффективность"/>
      <sheetName val="Финансирование"/>
      <sheetName val="Инвестор"/>
    </sheetNames>
    <sheetDataSet>
      <sheetData sheetId="0"/>
      <sheetData sheetId="1"/>
      <sheetData sheetId="2"/>
      <sheetData sheetId="3">
        <row r="26">
          <cell r="G26">
            <v>1</v>
          </cell>
          <cell r="I26">
            <v>1</v>
          </cell>
          <cell r="J26">
            <v>2</v>
          </cell>
          <cell r="K26">
            <v>3</v>
          </cell>
          <cell r="L26">
            <v>4</v>
          </cell>
          <cell r="M26">
            <v>5</v>
          </cell>
        </row>
      </sheetData>
      <sheetData sheetId="4"/>
      <sheetData sheetId="5"/>
      <sheetData sheetId="6"/>
      <sheetData sheetId="7"/>
      <sheetData sheetId="8">
        <row r="7">
          <cell r="L7">
            <v>45658</v>
          </cell>
          <cell r="M7">
            <v>45748</v>
          </cell>
          <cell r="N7">
            <v>45839</v>
          </cell>
          <cell r="O7">
            <v>45931</v>
          </cell>
          <cell r="P7">
            <v>46023</v>
          </cell>
          <cell r="Q7">
            <v>46113</v>
          </cell>
          <cell r="R7">
            <v>46204</v>
          </cell>
          <cell r="S7">
            <v>46296</v>
          </cell>
          <cell r="T7">
            <v>46388</v>
          </cell>
          <cell r="U7">
            <v>46478</v>
          </cell>
          <cell r="V7">
            <v>46569</v>
          </cell>
          <cell r="W7">
            <v>46661</v>
          </cell>
          <cell r="X7">
            <v>46753</v>
          </cell>
          <cell r="Y7">
            <v>46844</v>
          </cell>
          <cell r="Z7">
            <v>46935</v>
          </cell>
          <cell r="AA7">
            <v>47027</v>
          </cell>
          <cell r="AB7">
            <v>47119</v>
          </cell>
          <cell r="AC7">
            <v>47209</v>
          </cell>
          <cell r="AD7">
            <v>47300</v>
          </cell>
          <cell r="AE7">
            <v>47392</v>
          </cell>
          <cell r="AF7">
            <v>47484</v>
          </cell>
          <cell r="AG7">
            <v>47574</v>
          </cell>
          <cell r="AH7">
            <v>47665</v>
          </cell>
          <cell r="AI7">
            <v>47757</v>
          </cell>
          <cell r="AJ7">
            <v>47849</v>
          </cell>
          <cell r="AK7">
            <v>47939</v>
          </cell>
          <cell r="AL7">
            <v>48030</v>
          </cell>
          <cell r="AM7">
            <v>48122</v>
          </cell>
          <cell r="AN7">
            <v>48214</v>
          </cell>
          <cell r="AO7">
            <v>48305</v>
          </cell>
          <cell r="AP7">
            <v>48396</v>
          </cell>
          <cell r="AQ7">
            <v>48488</v>
          </cell>
          <cell r="AR7">
            <v>48580</v>
          </cell>
          <cell r="AS7">
            <v>48670</v>
          </cell>
          <cell r="AT7">
            <v>48761</v>
          </cell>
          <cell r="AU7">
            <v>48853</v>
          </cell>
          <cell r="AV7">
            <v>48945</v>
          </cell>
          <cell r="AW7">
            <v>49035</v>
          </cell>
          <cell r="AX7">
            <v>49126</v>
          </cell>
          <cell r="AY7">
            <v>49218</v>
          </cell>
          <cell r="AZ7">
            <v>49310</v>
          </cell>
          <cell r="BA7">
            <v>49400</v>
          </cell>
          <cell r="BB7">
            <v>49491</v>
          </cell>
          <cell r="BC7">
            <v>49583</v>
          </cell>
          <cell r="BD7">
            <v>49675</v>
          </cell>
          <cell r="BE7">
            <v>49766</v>
          </cell>
          <cell r="BF7">
            <v>49857</v>
          </cell>
          <cell r="BG7">
            <v>49949</v>
          </cell>
          <cell r="BH7">
            <v>50041</v>
          </cell>
          <cell r="BI7">
            <v>50131</v>
          </cell>
          <cell r="BJ7">
            <v>50222</v>
          </cell>
          <cell r="BK7">
            <v>50314</v>
          </cell>
          <cell r="BL7">
            <v>50406</v>
          </cell>
          <cell r="BM7">
            <v>50496</v>
          </cell>
          <cell r="BN7">
            <v>50587</v>
          </cell>
          <cell r="BO7">
            <v>50679</v>
          </cell>
          <cell r="BP7">
            <v>50771</v>
          </cell>
          <cell r="BQ7">
            <v>50861</v>
          </cell>
          <cell r="BR7">
            <v>50952</v>
          </cell>
          <cell r="BS7">
            <v>51044</v>
          </cell>
          <cell r="BT7">
            <v>51136</v>
          </cell>
          <cell r="BU7">
            <v>51227</v>
          </cell>
          <cell r="BV7">
            <v>51318</v>
          </cell>
          <cell r="BW7">
            <v>51410</v>
          </cell>
          <cell r="BX7">
            <v>51502</v>
          </cell>
          <cell r="BY7">
            <v>51592</v>
          </cell>
          <cell r="BZ7">
            <v>51683</v>
          </cell>
          <cell r="CA7">
            <v>51775</v>
          </cell>
          <cell r="CB7">
            <v>51867</v>
          </cell>
          <cell r="CC7">
            <v>51957</v>
          </cell>
          <cell r="CD7">
            <v>52048</v>
          </cell>
          <cell r="CE7">
            <v>52140</v>
          </cell>
          <cell r="CF7">
            <v>52232</v>
          </cell>
          <cell r="CG7">
            <v>52322</v>
          </cell>
          <cell r="CH7">
            <v>52413</v>
          </cell>
          <cell r="CI7">
            <v>52505</v>
          </cell>
          <cell r="CJ7">
            <v>52597</v>
          </cell>
          <cell r="CK7">
            <v>52688</v>
          </cell>
          <cell r="CL7">
            <v>52779</v>
          </cell>
          <cell r="CM7">
            <v>52871</v>
          </cell>
          <cell r="CN7">
            <v>52963</v>
          </cell>
          <cell r="CO7">
            <v>53053</v>
          </cell>
        </row>
        <row r="8">
          <cell r="L8">
            <v>45747</v>
          </cell>
          <cell r="M8">
            <v>45838</v>
          </cell>
          <cell r="N8">
            <v>45930</v>
          </cell>
          <cell r="O8">
            <v>46022</v>
          </cell>
          <cell r="P8">
            <v>46112</v>
          </cell>
          <cell r="Q8">
            <v>46203</v>
          </cell>
          <cell r="R8">
            <v>46295</v>
          </cell>
          <cell r="S8">
            <v>46387</v>
          </cell>
          <cell r="T8">
            <v>46477</v>
          </cell>
          <cell r="U8">
            <v>46568</v>
          </cell>
          <cell r="V8">
            <v>46660</v>
          </cell>
          <cell r="W8">
            <v>46752</v>
          </cell>
          <cell r="X8">
            <v>46843</v>
          </cell>
          <cell r="Y8">
            <v>46934</v>
          </cell>
          <cell r="Z8">
            <v>47026</v>
          </cell>
          <cell r="AA8">
            <v>47118</v>
          </cell>
          <cell r="AB8">
            <v>47208</v>
          </cell>
          <cell r="AC8">
            <v>47299</v>
          </cell>
          <cell r="AD8">
            <v>47391</v>
          </cell>
          <cell r="AE8">
            <v>47483</v>
          </cell>
          <cell r="AF8">
            <v>47573</v>
          </cell>
          <cell r="AG8">
            <v>47664</v>
          </cell>
          <cell r="AH8">
            <v>47756</v>
          </cell>
          <cell r="AI8">
            <v>47848</v>
          </cell>
          <cell r="AJ8">
            <v>47938</v>
          </cell>
          <cell r="AK8">
            <v>48029</v>
          </cell>
          <cell r="AL8">
            <v>48121</v>
          </cell>
          <cell r="AM8">
            <v>48213</v>
          </cell>
          <cell r="AN8">
            <v>48304</v>
          </cell>
          <cell r="AO8">
            <v>48395</v>
          </cell>
          <cell r="AP8">
            <v>48487</v>
          </cell>
          <cell r="AQ8">
            <v>48579</v>
          </cell>
          <cell r="AR8">
            <v>48669</v>
          </cell>
          <cell r="AS8">
            <v>48760</v>
          </cell>
          <cell r="AT8">
            <v>48852</v>
          </cell>
          <cell r="AU8">
            <v>48944</v>
          </cell>
          <cell r="AV8">
            <v>49034</v>
          </cell>
          <cell r="AW8">
            <v>49125</v>
          </cell>
          <cell r="AX8">
            <v>49217</v>
          </cell>
          <cell r="AY8">
            <v>49309</v>
          </cell>
          <cell r="AZ8">
            <v>49399</v>
          </cell>
          <cell r="BA8">
            <v>49490</v>
          </cell>
          <cell r="BB8">
            <v>49582</v>
          </cell>
          <cell r="BC8">
            <v>49674</v>
          </cell>
          <cell r="BD8">
            <v>49765</v>
          </cell>
          <cell r="BE8">
            <v>49856</v>
          </cell>
          <cell r="BF8">
            <v>49948</v>
          </cell>
          <cell r="BG8">
            <v>50040</v>
          </cell>
          <cell r="BH8">
            <v>50130</v>
          </cell>
          <cell r="BI8">
            <v>50221</v>
          </cell>
          <cell r="BJ8">
            <v>50313</v>
          </cell>
          <cell r="BK8">
            <v>50405</v>
          </cell>
          <cell r="BL8">
            <v>50495</v>
          </cell>
          <cell r="BM8">
            <v>50586</v>
          </cell>
          <cell r="BN8">
            <v>50678</v>
          </cell>
          <cell r="BO8">
            <v>50770</v>
          </cell>
          <cell r="BP8">
            <v>50860</v>
          </cell>
          <cell r="BQ8">
            <v>50951</v>
          </cell>
          <cell r="BR8">
            <v>51043</v>
          </cell>
          <cell r="BS8">
            <v>51135</v>
          </cell>
          <cell r="BT8">
            <v>51226</v>
          </cell>
          <cell r="BU8">
            <v>51317</v>
          </cell>
          <cell r="BV8">
            <v>51409</v>
          </cell>
          <cell r="BW8">
            <v>51501</v>
          </cell>
          <cell r="BX8">
            <v>51591</v>
          </cell>
          <cell r="BY8">
            <v>51682</v>
          </cell>
          <cell r="BZ8">
            <v>51774</v>
          </cell>
          <cell r="CA8">
            <v>51866</v>
          </cell>
          <cell r="CB8">
            <v>51956</v>
          </cell>
          <cell r="CC8">
            <v>52047</v>
          </cell>
          <cell r="CD8">
            <v>52139</v>
          </cell>
          <cell r="CE8">
            <v>52231</v>
          </cell>
          <cell r="CF8">
            <v>52321</v>
          </cell>
          <cell r="CG8">
            <v>52412</v>
          </cell>
          <cell r="CH8">
            <v>52504</v>
          </cell>
          <cell r="CI8">
            <v>52596</v>
          </cell>
          <cell r="CJ8">
            <v>52687</v>
          </cell>
          <cell r="CK8">
            <v>52778</v>
          </cell>
          <cell r="CL8">
            <v>52870</v>
          </cell>
          <cell r="CM8">
            <v>52962</v>
          </cell>
          <cell r="CN8">
            <v>53052</v>
          </cell>
          <cell r="CO8">
            <v>53143</v>
          </cell>
        </row>
        <row r="13">
          <cell r="E13" t="str">
            <v>Гостиница 5*</v>
          </cell>
        </row>
        <row r="14">
          <cell r="E14">
            <v>1</v>
          </cell>
        </row>
        <row r="16">
          <cell r="E16" t="str">
            <v>тыс. руб.</v>
          </cell>
        </row>
        <row r="18">
          <cell r="E18">
            <v>45658</v>
          </cell>
        </row>
        <row r="19">
          <cell r="E19">
            <v>45658</v>
          </cell>
        </row>
        <row r="22">
          <cell r="E22">
            <v>45658</v>
          </cell>
        </row>
        <row r="23">
          <cell r="E23">
            <v>47208</v>
          </cell>
        </row>
        <row r="24">
          <cell r="E24">
            <v>47209</v>
          </cell>
        </row>
        <row r="25">
          <cell r="E25">
            <v>54513</v>
          </cell>
        </row>
        <row r="28">
          <cell r="E28">
            <v>12</v>
          </cell>
        </row>
        <row r="29">
          <cell r="E29">
            <v>4</v>
          </cell>
        </row>
        <row r="30">
          <cell r="E30">
            <v>3</v>
          </cell>
        </row>
        <row r="31">
          <cell r="E31">
            <v>1E-3</v>
          </cell>
        </row>
        <row r="34">
          <cell r="E34">
            <v>1000</v>
          </cell>
        </row>
        <row r="36">
          <cell r="E36">
            <v>1.0000000000000001E-9</v>
          </cell>
        </row>
        <row r="631">
          <cell r="E631">
            <v>0.155</v>
          </cell>
        </row>
        <row r="632">
          <cell r="E632">
            <v>0.13</v>
          </cell>
        </row>
        <row r="638">
          <cell r="E638">
            <v>2</v>
          </cell>
        </row>
        <row r="639">
          <cell r="E639">
            <v>1</v>
          </cell>
        </row>
        <row r="641">
          <cell r="E641">
            <v>0.2</v>
          </cell>
          <cell r="L641">
            <v>0.2</v>
          </cell>
          <cell r="M641">
            <v>0.2</v>
          </cell>
          <cell r="N641">
            <v>0.2</v>
          </cell>
          <cell r="O641">
            <v>0.2</v>
          </cell>
          <cell r="P641">
            <v>0.2</v>
          </cell>
          <cell r="Q641">
            <v>0.2</v>
          </cell>
          <cell r="R641">
            <v>0.2</v>
          </cell>
          <cell r="S641">
            <v>0.2</v>
          </cell>
          <cell r="T641">
            <v>0.2</v>
          </cell>
          <cell r="U641">
            <v>0.2</v>
          </cell>
          <cell r="V641">
            <v>0.2</v>
          </cell>
          <cell r="W641">
            <v>0.2</v>
          </cell>
          <cell r="X641">
            <v>0.2</v>
          </cell>
          <cell r="Y641">
            <v>0.2</v>
          </cell>
          <cell r="Z641">
            <v>0.2</v>
          </cell>
          <cell r="AA641">
            <v>0.2</v>
          </cell>
          <cell r="AB641">
            <v>0.2</v>
          </cell>
          <cell r="AC641">
            <v>0.2</v>
          </cell>
          <cell r="AD641">
            <v>0.2</v>
          </cell>
          <cell r="AE641">
            <v>0.2</v>
          </cell>
          <cell r="AF641">
            <v>0.2</v>
          </cell>
          <cell r="AG641">
            <v>0.2</v>
          </cell>
          <cell r="AH641">
            <v>0.2</v>
          </cell>
          <cell r="AI641">
            <v>0.2</v>
          </cell>
          <cell r="AJ641">
            <v>0.2</v>
          </cell>
          <cell r="AK641">
            <v>0.2</v>
          </cell>
          <cell r="AL641">
            <v>0.2</v>
          </cell>
          <cell r="AM641">
            <v>0.2</v>
          </cell>
          <cell r="AN641">
            <v>0.2</v>
          </cell>
          <cell r="AO641">
            <v>0.2</v>
          </cell>
          <cell r="AP641">
            <v>0.2</v>
          </cell>
          <cell r="AQ641">
            <v>0.2</v>
          </cell>
          <cell r="AR641">
            <v>0.2</v>
          </cell>
          <cell r="AS641">
            <v>0.2</v>
          </cell>
          <cell r="AT641">
            <v>0.2</v>
          </cell>
          <cell r="AU641">
            <v>0.2</v>
          </cell>
          <cell r="AV641">
            <v>0.2</v>
          </cell>
          <cell r="AW641">
            <v>0.2</v>
          </cell>
          <cell r="AX641">
            <v>0.2</v>
          </cell>
          <cell r="AY641">
            <v>0.2</v>
          </cell>
          <cell r="AZ641">
            <v>0.2</v>
          </cell>
          <cell r="BA641">
            <v>0.2</v>
          </cell>
          <cell r="BB641">
            <v>0.2</v>
          </cell>
          <cell r="BC641">
            <v>0.2</v>
          </cell>
          <cell r="BD641">
            <v>0.2</v>
          </cell>
          <cell r="BE641">
            <v>0.2</v>
          </cell>
          <cell r="BF641">
            <v>0.2</v>
          </cell>
          <cell r="BG641">
            <v>0.2</v>
          </cell>
          <cell r="BH641">
            <v>0.2</v>
          </cell>
          <cell r="BI641">
            <v>0.2</v>
          </cell>
          <cell r="BJ641">
            <v>0.2</v>
          </cell>
          <cell r="BK641">
            <v>0.2</v>
          </cell>
          <cell r="BL641">
            <v>0.2</v>
          </cell>
          <cell r="BM641">
            <v>0.2</v>
          </cell>
          <cell r="BN641">
            <v>0.2</v>
          </cell>
          <cell r="BO641">
            <v>0.2</v>
          </cell>
          <cell r="BP641">
            <v>0.2</v>
          </cell>
          <cell r="BQ641">
            <v>0.2</v>
          </cell>
          <cell r="BR641">
            <v>0.2</v>
          </cell>
          <cell r="BS641">
            <v>0.2</v>
          </cell>
          <cell r="BT641">
            <v>0.2</v>
          </cell>
          <cell r="BU641">
            <v>0.2</v>
          </cell>
          <cell r="BV641">
            <v>0.2</v>
          </cell>
          <cell r="BW641">
            <v>0.2</v>
          </cell>
          <cell r="BX641">
            <v>0.2</v>
          </cell>
          <cell r="BY641">
            <v>0.2</v>
          </cell>
          <cell r="BZ641">
            <v>0.2</v>
          </cell>
          <cell r="CA641">
            <v>0.2</v>
          </cell>
          <cell r="CB641">
            <v>0.2</v>
          </cell>
          <cell r="CC641">
            <v>0.2</v>
          </cell>
          <cell r="CD641">
            <v>0.2</v>
          </cell>
          <cell r="CE641">
            <v>0.2</v>
          </cell>
          <cell r="CF641">
            <v>0.2</v>
          </cell>
          <cell r="CG641">
            <v>0.2</v>
          </cell>
          <cell r="CH641">
            <v>0.2</v>
          </cell>
          <cell r="CI641">
            <v>0.2</v>
          </cell>
          <cell r="CJ641">
            <v>0.2</v>
          </cell>
          <cell r="CK641">
            <v>0.2</v>
          </cell>
          <cell r="CL641">
            <v>0.2</v>
          </cell>
          <cell r="CM641">
            <v>0.2</v>
          </cell>
          <cell r="CN641">
            <v>0.2</v>
          </cell>
          <cell r="CO641">
            <v>0.2</v>
          </cell>
        </row>
        <row r="642">
          <cell r="E642">
            <v>0</v>
          </cell>
          <cell r="L642">
            <v>0.2</v>
          </cell>
          <cell r="M642">
            <v>0.2</v>
          </cell>
          <cell r="N642">
            <v>0.2</v>
          </cell>
          <cell r="O642">
            <v>0.2</v>
          </cell>
          <cell r="P642">
            <v>0.2</v>
          </cell>
          <cell r="Q642">
            <v>0.2</v>
          </cell>
          <cell r="R642">
            <v>0.2</v>
          </cell>
          <cell r="S642">
            <v>0.2</v>
          </cell>
          <cell r="T642">
            <v>0.2</v>
          </cell>
          <cell r="U642">
            <v>0.2</v>
          </cell>
          <cell r="V642">
            <v>0.2</v>
          </cell>
          <cell r="W642">
            <v>0.2</v>
          </cell>
          <cell r="X642">
            <v>0.2</v>
          </cell>
          <cell r="Y642">
            <v>0.2</v>
          </cell>
          <cell r="Z642">
            <v>0.2</v>
          </cell>
          <cell r="AA642">
            <v>0.2</v>
          </cell>
          <cell r="AB642">
            <v>0.2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0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0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0.2</v>
          </cell>
          <cell r="AX642">
            <v>0.2</v>
          </cell>
          <cell r="AY642">
            <v>0.2</v>
          </cell>
          <cell r="AZ642">
            <v>0.2</v>
          </cell>
          <cell r="BA642">
            <v>0.2</v>
          </cell>
          <cell r="BB642">
            <v>0.2</v>
          </cell>
          <cell r="BC642">
            <v>0.2</v>
          </cell>
          <cell r="BD642">
            <v>0.2</v>
          </cell>
          <cell r="BE642">
            <v>0.2</v>
          </cell>
          <cell r="BF642">
            <v>0.2</v>
          </cell>
          <cell r="BG642">
            <v>0.2</v>
          </cell>
          <cell r="BH642">
            <v>0.2</v>
          </cell>
          <cell r="BI642">
            <v>0.2</v>
          </cell>
          <cell r="BJ642">
            <v>0.2</v>
          </cell>
          <cell r="BK642">
            <v>0.2</v>
          </cell>
          <cell r="BL642">
            <v>0.2</v>
          </cell>
          <cell r="BM642">
            <v>0.2</v>
          </cell>
          <cell r="BN642">
            <v>0.2</v>
          </cell>
          <cell r="BO642">
            <v>0.2</v>
          </cell>
          <cell r="BP642">
            <v>0.2</v>
          </cell>
          <cell r="BQ642">
            <v>0.2</v>
          </cell>
          <cell r="BR642">
            <v>0.2</v>
          </cell>
          <cell r="BS642">
            <v>0.2</v>
          </cell>
          <cell r="BT642">
            <v>0.2</v>
          </cell>
          <cell r="BU642">
            <v>0.2</v>
          </cell>
          <cell r="BV642">
            <v>0.2</v>
          </cell>
          <cell r="BW642">
            <v>0.2</v>
          </cell>
          <cell r="BX642">
            <v>0.2</v>
          </cell>
          <cell r="BY642">
            <v>0.2</v>
          </cell>
          <cell r="BZ642">
            <v>0.2</v>
          </cell>
          <cell r="CA642">
            <v>0.2</v>
          </cell>
          <cell r="CB642">
            <v>0.2</v>
          </cell>
          <cell r="CC642">
            <v>0.2</v>
          </cell>
          <cell r="CD642">
            <v>0.2</v>
          </cell>
          <cell r="CE642">
            <v>0.2</v>
          </cell>
          <cell r="CF642">
            <v>0.2</v>
          </cell>
          <cell r="CG642">
            <v>0.2</v>
          </cell>
          <cell r="CH642">
            <v>0.2</v>
          </cell>
          <cell r="CI642">
            <v>0.2</v>
          </cell>
          <cell r="CJ642">
            <v>0.2</v>
          </cell>
          <cell r="CK642">
            <v>0.2</v>
          </cell>
          <cell r="CL642">
            <v>0.2</v>
          </cell>
          <cell r="CM642">
            <v>0.2</v>
          </cell>
          <cell r="CN642">
            <v>0.2</v>
          </cell>
          <cell r="CO642">
            <v>0.2</v>
          </cell>
        </row>
        <row r="652">
          <cell r="E652">
            <v>0</v>
          </cell>
        </row>
        <row r="657">
          <cell r="E657">
            <v>0</v>
          </cell>
        </row>
      </sheetData>
      <sheetData sheetId="9">
        <row r="15">
          <cell r="L15">
            <v>2025</v>
          </cell>
          <cell r="M15">
            <v>2025</v>
          </cell>
          <cell r="N15">
            <v>2025</v>
          </cell>
          <cell r="O15">
            <v>2025</v>
          </cell>
          <cell r="P15">
            <v>2026</v>
          </cell>
          <cell r="Q15">
            <v>2026</v>
          </cell>
          <cell r="R15">
            <v>2026</v>
          </cell>
          <cell r="S15">
            <v>2026</v>
          </cell>
          <cell r="T15">
            <v>2027</v>
          </cell>
          <cell r="U15">
            <v>2027</v>
          </cell>
          <cell r="V15">
            <v>2027</v>
          </cell>
          <cell r="W15">
            <v>2027</v>
          </cell>
          <cell r="X15">
            <v>2028</v>
          </cell>
          <cell r="Y15">
            <v>2028</v>
          </cell>
          <cell r="Z15">
            <v>2028</v>
          </cell>
          <cell r="AA15">
            <v>2028</v>
          </cell>
          <cell r="AB15">
            <v>2029</v>
          </cell>
          <cell r="AC15">
            <v>2029</v>
          </cell>
          <cell r="AD15">
            <v>2029</v>
          </cell>
          <cell r="AE15">
            <v>2029</v>
          </cell>
          <cell r="AF15">
            <v>2030</v>
          </cell>
          <cell r="AG15">
            <v>2030</v>
          </cell>
          <cell r="AH15">
            <v>2030</v>
          </cell>
          <cell r="AI15">
            <v>2030</v>
          </cell>
          <cell r="AJ15">
            <v>2031</v>
          </cell>
          <cell r="AK15">
            <v>2031</v>
          </cell>
          <cell r="AL15">
            <v>2031</v>
          </cell>
          <cell r="AM15">
            <v>2031</v>
          </cell>
          <cell r="AN15">
            <v>2032</v>
          </cell>
          <cell r="AO15">
            <v>2032</v>
          </cell>
          <cell r="AP15">
            <v>2032</v>
          </cell>
          <cell r="AQ15">
            <v>2032</v>
          </cell>
          <cell r="AR15">
            <v>2033</v>
          </cell>
          <cell r="AS15">
            <v>2033</v>
          </cell>
          <cell r="AT15">
            <v>2033</v>
          </cell>
          <cell r="AU15">
            <v>2033</v>
          </cell>
          <cell r="AV15">
            <v>2034</v>
          </cell>
          <cell r="AW15">
            <v>2034</v>
          </cell>
          <cell r="AX15">
            <v>2034</v>
          </cell>
          <cell r="AY15">
            <v>2034</v>
          </cell>
          <cell r="AZ15">
            <v>2035</v>
          </cell>
          <cell r="BA15">
            <v>2035</v>
          </cell>
          <cell r="BB15">
            <v>2035</v>
          </cell>
          <cell r="BC15">
            <v>2035</v>
          </cell>
          <cell r="BD15">
            <v>2036</v>
          </cell>
          <cell r="BE15">
            <v>2036</v>
          </cell>
          <cell r="BF15">
            <v>2036</v>
          </cell>
          <cell r="BG15">
            <v>2036</v>
          </cell>
          <cell r="BH15">
            <v>2037</v>
          </cell>
          <cell r="BI15">
            <v>2037</v>
          </cell>
          <cell r="BJ15">
            <v>2037</v>
          </cell>
          <cell r="BK15">
            <v>2037</v>
          </cell>
          <cell r="BL15">
            <v>2038</v>
          </cell>
          <cell r="BM15">
            <v>2038</v>
          </cell>
          <cell r="BN15">
            <v>2038</v>
          </cell>
          <cell r="BO15">
            <v>2038</v>
          </cell>
          <cell r="BP15">
            <v>2039</v>
          </cell>
          <cell r="BQ15">
            <v>2039</v>
          </cell>
          <cell r="BR15">
            <v>2039</v>
          </cell>
          <cell r="BS15">
            <v>2039</v>
          </cell>
          <cell r="BT15">
            <v>2040</v>
          </cell>
          <cell r="BU15">
            <v>2040</v>
          </cell>
          <cell r="BV15">
            <v>2040</v>
          </cell>
          <cell r="BW15">
            <v>2040</v>
          </cell>
          <cell r="BX15">
            <v>2041</v>
          </cell>
          <cell r="BY15">
            <v>2041</v>
          </cell>
          <cell r="BZ15">
            <v>2041</v>
          </cell>
          <cell r="CA15">
            <v>2041</v>
          </cell>
          <cell r="CB15">
            <v>2042</v>
          </cell>
          <cell r="CC15">
            <v>2042</v>
          </cell>
          <cell r="CD15">
            <v>2042</v>
          </cell>
          <cell r="CE15">
            <v>2042</v>
          </cell>
          <cell r="CF15">
            <v>2043</v>
          </cell>
          <cell r="CG15">
            <v>2043</v>
          </cell>
          <cell r="CH15">
            <v>2043</v>
          </cell>
          <cell r="CI15">
            <v>2043</v>
          </cell>
          <cell r="CJ15">
            <v>2044</v>
          </cell>
          <cell r="CK15">
            <v>2044</v>
          </cell>
          <cell r="CL15">
            <v>2044</v>
          </cell>
          <cell r="CM15">
            <v>2044</v>
          </cell>
          <cell r="CN15">
            <v>2045</v>
          </cell>
          <cell r="CO15">
            <v>2045</v>
          </cell>
        </row>
        <row r="17">
          <cell r="L17">
            <v>90</v>
          </cell>
          <cell r="M17">
            <v>91</v>
          </cell>
          <cell r="N17">
            <v>92</v>
          </cell>
          <cell r="O17">
            <v>92</v>
          </cell>
          <cell r="P17">
            <v>90</v>
          </cell>
          <cell r="Q17">
            <v>91</v>
          </cell>
          <cell r="R17">
            <v>92</v>
          </cell>
          <cell r="S17">
            <v>92</v>
          </cell>
          <cell r="T17">
            <v>90</v>
          </cell>
          <cell r="U17">
            <v>91</v>
          </cell>
          <cell r="V17">
            <v>92</v>
          </cell>
          <cell r="W17">
            <v>92</v>
          </cell>
          <cell r="X17">
            <v>91</v>
          </cell>
          <cell r="Y17">
            <v>91</v>
          </cell>
          <cell r="Z17">
            <v>92</v>
          </cell>
          <cell r="AA17">
            <v>92</v>
          </cell>
          <cell r="AB17">
            <v>90</v>
          </cell>
          <cell r="AC17">
            <v>91</v>
          </cell>
          <cell r="AD17">
            <v>92</v>
          </cell>
          <cell r="AE17">
            <v>92</v>
          </cell>
          <cell r="AF17">
            <v>90</v>
          </cell>
          <cell r="AG17">
            <v>91</v>
          </cell>
          <cell r="AH17">
            <v>92</v>
          </cell>
          <cell r="AI17">
            <v>92</v>
          </cell>
          <cell r="AJ17">
            <v>90</v>
          </cell>
          <cell r="AK17">
            <v>91</v>
          </cell>
          <cell r="AL17">
            <v>92</v>
          </cell>
          <cell r="AM17">
            <v>92</v>
          </cell>
          <cell r="AN17">
            <v>91</v>
          </cell>
          <cell r="AO17">
            <v>91</v>
          </cell>
          <cell r="AP17">
            <v>92</v>
          </cell>
          <cell r="AQ17">
            <v>92</v>
          </cell>
          <cell r="AR17">
            <v>90</v>
          </cell>
          <cell r="AS17">
            <v>91</v>
          </cell>
          <cell r="AT17">
            <v>92</v>
          </cell>
          <cell r="AU17">
            <v>92</v>
          </cell>
          <cell r="AV17">
            <v>90</v>
          </cell>
          <cell r="AW17">
            <v>91</v>
          </cell>
          <cell r="AX17">
            <v>92</v>
          </cell>
          <cell r="AY17">
            <v>92</v>
          </cell>
          <cell r="AZ17">
            <v>90</v>
          </cell>
          <cell r="BA17">
            <v>91</v>
          </cell>
          <cell r="BB17">
            <v>92</v>
          </cell>
          <cell r="BC17">
            <v>92</v>
          </cell>
          <cell r="BD17">
            <v>91</v>
          </cell>
          <cell r="BE17">
            <v>91</v>
          </cell>
          <cell r="BF17">
            <v>92</v>
          </cell>
          <cell r="BG17">
            <v>92</v>
          </cell>
          <cell r="BH17">
            <v>90</v>
          </cell>
          <cell r="BI17">
            <v>91</v>
          </cell>
          <cell r="BJ17">
            <v>92</v>
          </cell>
          <cell r="BK17">
            <v>92</v>
          </cell>
          <cell r="BL17">
            <v>90</v>
          </cell>
          <cell r="BM17">
            <v>91</v>
          </cell>
          <cell r="BN17">
            <v>92</v>
          </cell>
          <cell r="BO17">
            <v>92</v>
          </cell>
          <cell r="BP17">
            <v>90</v>
          </cell>
          <cell r="BQ17">
            <v>91</v>
          </cell>
          <cell r="BR17">
            <v>92</v>
          </cell>
          <cell r="BS17">
            <v>92</v>
          </cell>
          <cell r="BT17">
            <v>91</v>
          </cell>
          <cell r="BU17">
            <v>91</v>
          </cell>
          <cell r="BV17">
            <v>92</v>
          </cell>
          <cell r="BW17">
            <v>92</v>
          </cell>
          <cell r="BX17">
            <v>90</v>
          </cell>
          <cell r="BY17">
            <v>91</v>
          </cell>
          <cell r="BZ17">
            <v>92</v>
          </cell>
          <cell r="CA17">
            <v>92</v>
          </cell>
          <cell r="CB17">
            <v>90</v>
          </cell>
          <cell r="CC17">
            <v>91</v>
          </cell>
          <cell r="CD17">
            <v>92</v>
          </cell>
          <cell r="CE17">
            <v>92</v>
          </cell>
          <cell r="CF17">
            <v>90</v>
          </cell>
          <cell r="CG17">
            <v>91</v>
          </cell>
          <cell r="CH17">
            <v>92</v>
          </cell>
          <cell r="CI17">
            <v>92</v>
          </cell>
          <cell r="CJ17">
            <v>91</v>
          </cell>
          <cell r="CK17">
            <v>91</v>
          </cell>
          <cell r="CL17">
            <v>92</v>
          </cell>
          <cell r="CM17">
            <v>92</v>
          </cell>
          <cell r="CN17">
            <v>90</v>
          </cell>
          <cell r="CO17">
            <v>91</v>
          </cell>
        </row>
        <row r="18">
          <cell r="L18">
            <v>365</v>
          </cell>
          <cell r="M18">
            <v>365</v>
          </cell>
          <cell r="N18">
            <v>365</v>
          </cell>
          <cell r="O18">
            <v>365</v>
          </cell>
          <cell r="P18">
            <v>365</v>
          </cell>
          <cell r="Q18">
            <v>365</v>
          </cell>
          <cell r="R18">
            <v>365</v>
          </cell>
          <cell r="S18">
            <v>365</v>
          </cell>
          <cell r="T18">
            <v>365</v>
          </cell>
          <cell r="U18">
            <v>365</v>
          </cell>
          <cell r="V18">
            <v>365</v>
          </cell>
          <cell r="W18">
            <v>365</v>
          </cell>
          <cell r="X18">
            <v>366</v>
          </cell>
          <cell r="Y18">
            <v>366</v>
          </cell>
          <cell r="Z18">
            <v>366</v>
          </cell>
          <cell r="AA18">
            <v>366</v>
          </cell>
          <cell r="AB18">
            <v>365</v>
          </cell>
          <cell r="AC18">
            <v>365</v>
          </cell>
          <cell r="AD18">
            <v>365</v>
          </cell>
          <cell r="AE18">
            <v>365</v>
          </cell>
          <cell r="AF18">
            <v>365</v>
          </cell>
          <cell r="AG18">
            <v>365</v>
          </cell>
          <cell r="AH18">
            <v>365</v>
          </cell>
          <cell r="AI18">
            <v>365</v>
          </cell>
          <cell r="AJ18">
            <v>365</v>
          </cell>
          <cell r="AK18">
            <v>365</v>
          </cell>
          <cell r="AL18">
            <v>365</v>
          </cell>
          <cell r="AM18">
            <v>365</v>
          </cell>
          <cell r="AN18">
            <v>366</v>
          </cell>
          <cell r="AO18">
            <v>366</v>
          </cell>
          <cell r="AP18">
            <v>366</v>
          </cell>
          <cell r="AQ18">
            <v>366</v>
          </cell>
          <cell r="AR18">
            <v>365</v>
          </cell>
          <cell r="AS18">
            <v>365</v>
          </cell>
          <cell r="AT18">
            <v>365</v>
          </cell>
          <cell r="AU18">
            <v>365</v>
          </cell>
          <cell r="AV18">
            <v>365</v>
          </cell>
          <cell r="AW18">
            <v>365</v>
          </cell>
          <cell r="AX18">
            <v>365</v>
          </cell>
          <cell r="AY18">
            <v>365</v>
          </cell>
          <cell r="AZ18">
            <v>365</v>
          </cell>
          <cell r="BA18">
            <v>365</v>
          </cell>
          <cell r="BB18">
            <v>365</v>
          </cell>
          <cell r="BC18">
            <v>365</v>
          </cell>
          <cell r="BD18">
            <v>366</v>
          </cell>
          <cell r="BE18">
            <v>366</v>
          </cell>
          <cell r="BF18">
            <v>366</v>
          </cell>
          <cell r="BG18">
            <v>366</v>
          </cell>
          <cell r="BH18">
            <v>365</v>
          </cell>
          <cell r="BI18">
            <v>365</v>
          </cell>
          <cell r="BJ18">
            <v>365</v>
          </cell>
          <cell r="BK18">
            <v>365</v>
          </cell>
          <cell r="BL18">
            <v>365</v>
          </cell>
          <cell r="BM18">
            <v>365</v>
          </cell>
          <cell r="BN18">
            <v>365</v>
          </cell>
          <cell r="BO18">
            <v>365</v>
          </cell>
          <cell r="BP18">
            <v>365</v>
          </cell>
          <cell r="BQ18">
            <v>365</v>
          </cell>
          <cell r="BR18">
            <v>365</v>
          </cell>
          <cell r="BS18">
            <v>365</v>
          </cell>
          <cell r="BT18">
            <v>366</v>
          </cell>
          <cell r="BU18">
            <v>366</v>
          </cell>
          <cell r="BV18">
            <v>366</v>
          </cell>
          <cell r="BW18">
            <v>366</v>
          </cell>
          <cell r="BX18">
            <v>365</v>
          </cell>
          <cell r="BY18">
            <v>365</v>
          </cell>
          <cell r="BZ18">
            <v>365</v>
          </cell>
          <cell r="CA18">
            <v>365</v>
          </cell>
          <cell r="CB18">
            <v>365</v>
          </cell>
          <cell r="CC18">
            <v>365</v>
          </cell>
          <cell r="CD18">
            <v>365</v>
          </cell>
          <cell r="CE18">
            <v>365</v>
          </cell>
          <cell r="CF18">
            <v>365</v>
          </cell>
          <cell r="CG18">
            <v>365</v>
          </cell>
          <cell r="CH18">
            <v>365</v>
          </cell>
          <cell r="CI18">
            <v>365</v>
          </cell>
          <cell r="CJ18">
            <v>366</v>
          </cell>
          <cell r="CK18">
            <v>366</v>
          </cell>
          <cell r="CL18">
            <v>366</v>
          </cell>
          <cell r="CM18">
            <v>366</v>
          </cell>
          <cell r="CN18">
            <v>365</v>
          </cell>
          <cell r="CO18">
            <v>365</v>
          </cell>
        </row>
        <row r="20">
          <cell r="L20">
            <v>3</v>
          </cell>
          <cell r="M20">
            <v>6</v>
          </cell>
          <cell r="N20">
            <v>9</v>
          </cell>
          <cell r="O20">
            <v>12</v>
          </cell>
          <cell r="P20">
            <v>15</v>
          </cell>
          <cell r="Q20">
            <v>18</v>
          </cell>
          <cell r="R20">
            <v>21</v>
          </cell>
          <cell r="S20">
            <v>24</v>
          </cell>
          <cell r="T20">
            <v>27</v>
          </cell>
          <cell r="U20">
            <v>30</v>
          </cell>
          <cell r="V20">
            <v>33</v>
          </cell>
          <cell r="W20">
            <v>36</v>
          </cell>
          <cell r="X20">
            <v>39</v>
          </cell>
          <cell r="Y20">
            <v>42</v>
          </cell>
          <cell r="Z20">
            <v>45</v>
          </cell>
          <cell r="AA20">
            <v>48</v>
          </cell>
          <cell r="AB20">
            <v>51</v>
          </cell>
          <cell r="AC20">
            <v>54</v>
          </cell>
          <cell r="AD20">
            <v>57</v>
          </cell>
          <cell r="AE20">
            <v>60</v>
          </cell>
          <cell r="AF20">
            <v>63</v>
          </cell>
          <cell r="AG20">
            <v>66</v>
          </cell>
          <cell r="AH20">
            <v>69</v>
          </cell>
          <cell r="AI20">
            <v>72</v>
          </cell>
          <cell r="AJ20">
            <v>75</v>
          </cell>
          <cell r="AK20">
            <v>78</v>
          </cell>
          <cell r="AL20">
            <v>81</v>
          </cell>
          <cell r="AM20">
            <v>84</v>
          </cell>
          <cell r="AN20">
            <v>87</v>
          </cell>
          <cell r="AO20">
            <v>90</v>
          </cell>
          <cell r="AP20">
            <v>93</v>
          </cell>
          <cell r="AQ20">
            <v>96</v>
          </cell>
          <cell r="AR20">
            <v>99</v>
          </cell>
          <cell r="AS20">
            <v>102</v>
          </cell>
          <cell r="AT20">
            <v>105</v>
          </cell>
          <cell r="AU20">
            <v>108</v>
          </cell>
          <cell r="AV20">
            <v>111</v>
          </cell>
          <cell r="AW20">
            <v>114</v>
          </cell>
          <cell r="AX20">
            <v>117</v>
          </cell>
          <cell r="AY20">
            <v>120</v>
          </cell>
          <cell r="AZ20">
            <v>123</v>
          </cell>
          <cell r="BA20">
            <v>126</v>
          </cell>
          <cell r="BB20">
            <v>129</v>
          </cell>
          <cell r="BC20">
            <v>132</v>
          </cell>
          <cell r="BD20">
            <v>135</v>
          </cell>
          <cell r="BE20">
            <v>138</v>
          </cell>
          <cell r="BF20">
            <v>141</v>
          </cell>
          <cell r="BG20">
            <v>144</v>
          </cell>
          <cell r="BH20">
            <v>147</v>
          </cell>
          <cell r="BI20">
            <v>150</v>
          </cell>
          <cell r="BJ20">
            <v>153</v>
          </cell>
          <cell r="BK20">
            <v>156</v>
          </cell>
          <cell r="BL20">
            <v>159</v>
          </cell>
          <cell r="BM20">
            <v>162</v>
          </cell>
          <cell r="BN20">
            <v>165</v>
          </cell>
          <cell r="BO20">
            <v>168</v>
          </cell>
          <cell r="BP20">
            <v>171</v>
          </cell>
          <cell r="BQ20">
            <v>174</v>
          </cell>
          <cell r="BR20">
            <v>177</v>
          </cell>
          <cell r="BS20">
            <v>180</v>
          </cell>
          <cell r="BT20">
            <v>183</v>
          </cell>
          <cell r="BU20">
            <v>186</v>
          </cell>
          <cell r="BV20">
            <v>189</v>
          </cell>
          <cell r="BW20">
            <v>192</v>
          </cell>
          <cell r="BX20">
            <v>195</v>
          </cell>
          <cell r="BY20">
            <v>198</v>
          </cell>
          <cell r="BZ20">
            <v>201</v>
          </cell>
          <cell r="CA20">
            <v>204</v>
          </cell>
          <cell r="CB20">
            <v>207</v>
          </cell>
          <cell r="CC20">
            <v>210</v>
          </cell>
          <cell r="CD20">
            <v>213</v>
          </cell>
          <cell r="CE20">
            <v>216</v>
          </cell>
          <cell r="CF20">
            <v>219</v>
          </cell>
          <cell r="CG20">
            <v>222</v>
          </cell>
          <cell r="CH20">
            <v>225</v>
          </cell>
          <cell r="CI20">
            <v>228</v>
          </cell>
          <cell r="CJ20">
            <v>231</v>
          </cell>
          <cell r="CK20">
            <v>234</v>
          </cell>
          <cell r="CL20">
            <v>237</v>
          </cell>
          <cell r="CM20">
            <v>240</v>
          </cell>
          <cell r="CN20">
            <v>243</v>
          </cell>
          <cell r="CO20">
            <v>246</v>
          </cell>
        </row>
        <row r="24">
          <cell r="L24">
            <v>0.24657534246575341</v>
          </cell>
          <cell r="M24">
            <v>0.24931506849315069</v>
          </cell>
          <cell r="N24">
            <v>0.25205479452054796</v>
          </cell>
          <cell r="O24">
            <v>0.25205479452054796</v>
          </cell>
          <cell r="P24">
            <v>0.24657534246575341</v>
          </cell>
          <cell r="Q24">
            <v>0.24931506849315069</v>
          </cell>
          <cell r="R24">
            <v>0.25205479452054796</v>
          </cell>
          <cell r="S24">
            <v>0.25205479452054796</v>
          </cell>
          <cell r="T24">
            <v>0.24657534246575341</v>
          </cell>
          <cell r="U24">
            <v>0.24931506849315069</v>
          </cell>
          <cell r="V24">
            <v>0.25205479452054796</v>
          </cell>
          <cell r="W24">
            <v>0.25205479452054796</v>
          </cell>
          <cell r="X24">
            <v>0.24863387978142076</v>
          </cell>
          <cell r="Y24">
            <v>0.24863387978142076</v>
          </cell>
          <cell r="Z24">
            <v>0.25136612021857924</v>
          </cell>
          <cell r="AA24">
            <v>0.25136612021857924</v>
          </cell>
          <cell r="AB24">
            <v>0.24657534246575341</v>
          </cell>
          <cell r="AC24">
            <v>0.24931506849315069</v>
          </cell>
          <cell r="AD24">
            <v>0.25205479452054796</v>
          </cell>
          <cell r="AE24">
            <v>0.25205479452054796</v>
          </cell>
          <cell r="AF24">
            <v>0.24657534246575341</v>
          </cell>
          <cell r="AG24">
            <v>0.24931506849315069</v>
          </cell>
          <cell r="AH24">
            <v>0.25205479452054796</v>
          </cell>
          <cell r="AI24">
            <v>0.25205479452054796</v>
          </cell>
          <cell r="AJ24">
            <v>0.24657534246575341</v>
          </cell>
          <cell r="AK24">
            <v>0.24931506849315069</v>
          </cell>
          <cell r="AL24">
            <v>0.25205479452054796</v>
          </cell>
          <cell r="AM24">
            <v>0.25205479452054796</v>
          </cell>
          <cell r="AN24">
            <v>0.24863387978142076</v>
          </cell>
          <cell r="AO24">
            <v>0.24863387978142076</v>
          </cell>
          <cell r="AP24">
            <v>0.25136612021857924</v>
          </cell>
          <cell r="AQ24">
            <v>0.25136612021857924</v>
          </cell>
          <cell r="AR24">
            <v>0.24657534246575341</v>
          </cell>
          <cell r="AS24">
            <v>0.24931506849315069</v>
          </cell>
          <cell r="AT24">
            <v>0.25205479452054796</v>
          </cell>
          <cell r="AU24">
            <v>0.25205479452054796</v>
          </cell>
          <cell r="AV24">
            <v>0.24657534246575341</v>
          </cell>
          <cell r="AW24">
            <v>0.24931506849315069</v>
          </cell>
          <cell r="AX24">
            <v>0.25205479452054796</v>
          </cell>
          <cell r="AY24">
            <v>0.25205479452054796</v>
          </cell>
          <cell r="AZ24">
            <v>0.24657534246575341</v>
          </cell>
          <cell r="BA24">
            <v>0.24931506849315069</v>
          </cell>
          <cell r="BB24">
            <v>0.25205479452054796</v>
          </cell>
          <cell r="BC24">
            <v>0.25205479452054796</v>
          </cell>
          <cell r="BD24">
            <v>0.24863387978142076</v>
          </cell>
          <cell r="BE24">
            <v>0.24863387978142076</v>
          </cell>
          <cell r="BF24">
            <v>0.25136612021857924</v>
          </cell>
          <cell r="BG24">
            <v>0.25136612021857924</v>
          </cell>
          <cell r="BH24">
            <v>0.24657534246575341</v>
          </cell>
          <cell r="BI24">
            <v>0.24931506849315069</v>
          </cell>
          <cell r="BJ24">
            <v>0.25205479452054796</v>
          </cell>
          <cell r="BK24">
            <v>0.25205479452054796</v>
          </cell>
          <cell r="BL24">
            <v>0.24657534246575341</v>
          </cell>
          <cell r="BM24">
            <v>0.24931506849315069</v>
          </cell>
          <cell r="BN24">
            <v>0.25205479452054796</v>
          </cell>
          <cell r="BO24">
            <v>0.25205479452054796</v>
          </cell>
          <cell r="BP24">
            <v>0.24657534246575341</v>
          </cell>
          <cell r="BQ24">
            <v>0.24931506849315069</v>
          </cell>
          <cell r="BR24">
            <v>0.25205479452054796</v>
          </cell>
          <cell r="BS24">
            <v>0.25205479452054796</v>
          </cell>
          <cell r="BT24">
            <v>0.24863387978142076</v>
          </cell>
          <cell r="BU24">
            <v>0.24863387978142076</v>
          </cell>
          <cell r="BV24">
            <v>0.25136612021857924</v>
          </cell>
          <cell r="BW24">
            <v>0.25136612021857924</v>
          </cell>
          <cell r="BX24">
            <v>0.24657534246575341</v>
          </cell>
          <cell r="BY24">
            <v>0.24931506849315069</v>
          </cell>
          <cell r="BZ24">
            <v>0.25205479452054796</v>
          </cell>
          <cell r="CA24">
            <v>0.25205479452054796</v>
          </cell>
          <cell r="CB24">
            <v>0.24657534246575341</v>
          </cell>
          <cell r="CC24">
            <v>0.24931506849315069</v>
          </cell>
          <cell r="CD24">
            <v>0.25205479452054796</v>
          </cell>
          <cell r="CE24">
            <v>0.25205479452054796</v>
          </cell>
          <cell r="CF24">
            <v>0.24657534246575341</v>
          </cell>
          <cell r="CG24">
            <v>0.24931506849315069</v>
          </cell>
          <cell r="CH24">
            <v>0.25205479452054796</v>
          </cell>
          <cell r="CI24">
            <v>0.25205479452054796</v>
          </cell>
          <cell r="CJ24">
            <v>0.24863387978142076</v>
          </cell>
          <cell r="CK24">
            <v>0.24863387978142076</v>
          </cell>
          <cell r="CL24">
            <v>0.25136612021857924</v>
          </cell>
          <cell r="CM24">
            <v>0.25136612021857924</v>
          </cell>
          <cell r="CN24">
            <v>0.24657534246575341</v>
          </cell>
          <cell r="CO24">
            <v>0.24931506849315069</v>
          </cell>
        </row>
        <row r="28"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H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M28">
            <v>0</v>
          </cell>
          <cell r="CN28">
            <v>0</v>
          </cell>
          <cell r="CO28">
            <v>0</v>
          </cell>
        </row>
        <row r="29"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H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M29">
            <v>0</v>
          </cell>
          <cell r="CN29">
            <v>0</v>
          </cell>
          <cell r="CO29">
            <v>0</v>
          </cell>
        </row>
        <row r="30"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1</v>
          </cell>
          <cell r="AD30">
            <v>1</v>
          </cell>
          <cell r="AE30">
            <v>1</v>
          </cell>
          <cell r="AF30">
            <v>1</v>
          </cell>
          <cell r="AG30">
            <v>1</v>
          </cell>
          <cell r="AH30">
            <v>1</v>
          </cell>
          <cell r="AI30">
            <v>1</v>
          </cell>
          <cell r="AJ30">
            <v>1</v>
          </cell>
          <cell r="AK30">
            <v>1</v>
          </cell>
          <cell r="AL30">
            <v>1</v>
          </cell>
          <cell r="AM30">
            <v>1</v>
          </cell>
          <cell r="AN30">
            <v>1</v>
          </cell>
          <cell r="AO30">
            <v>1</v>
          </cell>
          <cell r="AP30">
            <v>1</v>
          </cell>
          <cell r="AQ30">
            <v>1</v>
          </cell>
          <cell r="AR30">
            <v>1</v>
          </cell>
          <cell r="AS30">
            <v>1</v>
          </cell>
          <cell r="AT30">
            <v>1</v>
          </cell>
          <cell r="AU30">
            <v>1</v>
          </cell>
          <cell r="AV30">
            <v>1</v>
          </cell>
          <cell r="AW30">
            <v>1</v>
          </cell>
          <cell r="AX30">
            <v>1</v>
          </cell>
          <cell r="AY30">
            <v>1</v>
          </cell>
          <cell r="AZ30">
            <v>1</v>
          </cell>
          <cell r="BA30">
            <v>1</v>
          </cell>
          <cell r="BB30">
            <v>1</v>
          </cell>
          <cell r="BC30">
            <v>1</v>
          </cell>
          <cell r="BD30">
            <v>1</v>
          </cell>
          <cell r="BE30">
            <v>1</v>
          </cell>
          <cell r="BF30">
            <v>1</v>
          </cell>
          <cell r="BG30">
            <v>1</v>
          </cell>
          <cell r="BH30">
            <v>1</v>
          </cell>
          <cell r="BI30">
            <v>1</v>
          </cell>
          <cell r="BJ30">
            <v>1</v>
          </cell>
          <cell r="BK30">
            <v>1</v>
          </cell>
          <cell r="BL30">
            <v>1</v>
          </cell>
          <cell r="BM30">
            <v>1</v>
          </cell>
          <cell r="BN30">
            <v>1</v>
          </cell>
          <cell r="BO30">
            <v>1</v>
          </cell>
          <cell r="BP30">
            <v>1</v>
          </cell>
          <cell r="BQ30">
            <v>1</v>
          </cell>
          <cell r="BR30">
            <v>1</v>
          </cell>
          <cell r="BS30">
            <v>1</v>
          </cell>
          <cell r="BT30">
            <v>1</v>
          </cell>
          <cell r="BU30">
            <v>1</v>
          </cell>
          <cell r="BV30">
            <v>1</v>
          </cell>
          <cell r="BW30">
            <v>1</v>
          </cell>
          <cell r="BX30">
            <v>1</v>
          </cell>
          <cell r="BY30">
            <v>1</v>
          </cell>
          <cell r="BZ30">
            <v>1</v>
          </cell>
          <cell r="CA30">
            <v>1</v>
          </cell>
          <cell r="CB30">
            <v>1</v>
          </cell>
          <cell r="CC30">
            <v>1</v>
          </cell>
          <cell r="CD30">
            <v>1</v>
          </cell>
          <cell r="CE30">
            <v>1</v>
          </cell>
          <cell r="CF30">
            <v>1</v>
          </cell>
          <cell r="CG30">
            <v>1</v>
          </cell>
          <cell r="CH30">
            <v>1</v>
          </cell>
          <cell r="CI30">
            <v>1</v>
          </cell>
          <cell r="CJ30">
            <v>1</v>
          </cell>
          <cell r="CK30">
            <v>1</v>
          </cell>
          <cell r="CL30">
            <v>1</v>
          </cell>
          <cell r="CM30">
            <v>1</v>
          </cell>
          <cell r="CN30">
            <v>1</v>
          </cell>
          <cell r="CO30">
            <v>1</v>
          </cell>
        </row>
        <row r="54"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1</v>
          </cell>
          <cell r="U54">
            <v>1</v>
          </cell>
          <cell r="V54">
            <v>1</v>
          </cell>
          <cell r="W54">
            <v>1</v>
          </cell>
          <cell r="X54">
            <v>1</v>
          </cell>
          <cell r="Y54">
            <v>1</v>
          </cell>
          <cell r="Z54">
            <v>1</v>
          </cell>
          <cell r="AA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  <cell r="AP54">
            <v>1</v>
          </cell>
          <cell r="AQ54">
            <v>1</v>
          </cell>
          <cell r="AR54">
            <v>1</v>
          </cell>
          <cell r="AS54">
            <v>1</v>
          </cell>
          <cell r="AT54">
            <v>1</v>
          </cell>
          <cell r="AU54">
            <v>1</v>
          </cell>
          <cell r="AV54">
            <v>1</v>
          </cell>
          <cell r="AW54">
            <v>1</v>
          </cell>
          <cell r="AX54">
            <v>1</v>
          </cell>
          <cell r="AY54">
            <v>1</v>
          </cell>
          <cell r="AZ54">
            <v>1</v>
          </cell>
          <cell r="BA54">
            <v>1</v>
          </cell>
          <cell r="BB54">
            <v>1</v>
          </cell>
          <cell r="BC54">
            <v>1</v>
          </cell>
          <cell r="BD54">
            <v>1</v>
          </cell>
          <cell r="BE54">
            <v>1</v>
          </cell>
          <cell r="BF54">
            <v>1</v>
          </cell>
          <cell r="BG54">
            <v>1</v>
          </cell>
          <cell r="BH54">
            <v>1</v>
          </cell>
          <cell r="BI54">
            <v>1</v>
          </cell>
          <cell r="BJ54">
            <v>1</v>
          </cell>
          <cell r="BK54">
            <v>1</v>
          </cell>
          <cell r="BL54">
            <v>1</v>
          </cell>
          <cell r="BM54">
            <v>1</v>
          </cell>
          <cell r="BN54">
            <v>1</v>
          </cell>
          <cell r="BO54">
            <v>1</v>
          </cell>
          <cell r="BP54">
            <v>1</v>
          </cell>
          <cell r="BQ54">
            <v>1</v>
          </cell>
          <cell r="BR54">
            <v>1</v>
          </cell>
          <cell r="BS54">
            <v>1</v>
          </cell>
          <cell r="BT54">
            <v>1</v>
          </cell>
          <cell r="BU54">
            <v>1</v>
          </cell>
          <cell r="BV54">
            <v>1</v>
          </cell>
          <cell r="BW54">
            <v>1</v>
          </cell>
          <cell r="BX54">
            <v>1</v>
          </cell>
          <cell r="BY54">
            <v>1</v>
          </cell>
          <cell r="BZ54">
            <v>1</v>
          </cell>
          <cell r="CA54">
            <v>1</v>
          </cell>
          <cell r="CB54">
            <v>1</v>
          </cell>
          <cell r="CC54">
            <v>1</v>
          </cell>
          <cell r="CD54">
            <v>1</v>
          </cell>
          <cell r="CE54">
            <v>1</v>
          </cell>
          <cell r="CF54">
            <v>1</v>
          </cell>
          <cell r="CG54">
            <v>1</v>
          </cell>
          <cell r="CH54">
            <v>1</v>
          </cell>
          <cell r="CI54">
            <v>1</v>
          </cell>
          <cell r="CJ54">
            <v>1</v>
          </cell>
          <cell r="CK54">
            <v>1</v>
          </cell>
          <cell r="CL54">
            <v>1</v>
          </cell>
          <cell r="CM54">
            <v>1</v>
          </cell>
          <cell r="CN54">
            <v>1</v>
          </cell>
          <cell r="CO54">
            <v>1</v>
          </cell>
        </row>
        <row r="57"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>
            <v>1</v>
          </cell>
          <cell r="U57">
            <v>1</v>
          </cell>
          <cell r="V57">
            <v>1</v>
          </cell>
          <cell r="W57">
            <v>1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1</v>
          </cell>
          <cell r="AH57">
            <v>1</v>
          </cell>
          <cell r="AI57">
            <v>1</v>
          </cell>
          <cell r="AJ57">
            <v>1</v>
          </cell>
          <cell r="AK57">
            <v>1</v>
          </cell>
          <cell r="AL57">
            <v>1</v>
          </cell>
          <cell r="AM57">
            <v>1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1</v>
          </cell>
          <cell r="AS57">
            <v>1</v>
          </cell>
          <cell r="AT57">
            <v>1</v>
          </cell>
          <cell r="AU57">
            <v>1</v>
          </cell>
          <cell r="AV57">
            <v>1</v>
          </cell>
          <cell r="AW57">
            <v>1</v>
          </cell>
          <cell r="AX57">
            <v>1</v>
          </cell>
          <cell r="AY57">
            <v>1</v>
          </cell>
          <cell r="AZ57">
            <v>1</v>
          </cell>
          <cell r="BA57">
            <v>1</v>
          </cell>
          <cell r="BB57">
            <v>1</v>
          </cell>
          <cell r="BC57">
            <v>1</v>
          </cell>
          <cell r="BD57">
            <v>1</v>
          </cell>
          <cell r="BE57">
            <v>1</v>
          </cell>
          <cell r="BF57">
            <v>1</v>
          </cell>
          <cell r="BG57">
            <v>1</v>
          </cell>
          <cell r="BH57">
            <v>1</v>
          </cell>
          <cell r="BI57">
            <v>1</v>
          </cell>
          <cell r="BJ57">
            <v>1</v>
          </cell>
          <cell r="BK57">
            <v>1</v>
          </cell>
          <cell r="BL57">
            <v>1</v>
          </cell>
          <cell r="BM57">
            <v>1</v>
          </cell>
          <cell r="BN57">
            <v>1</v>
          </cell>
          <cell r="BO57">
            <v>1</v>
          </cell>
          <cell r="BP57">
            <v>1</v>
          </cell>
          <cell r="BQ57">
            <v>1</v>
          </cell>
          <cell r="BR57">
            <v>1</v>
          </cell>
          <cell r="BS57">
            <v>1</v>
          </cell>
          <cell r="BT57">
            <v>1</v>
          </cell>
          <cell r="BU57">
            <v>1</v>
          </cell>
          <cell r="BV57">
            <v>1</v>
          </cell>
          <cell r="BW57">
            <v>1</v>
          </cell>
          <cell r="BX57">
            <v>1</v>
          </cell>
          <cell r="BY57">
            <v>1</v>
          </cell>
          <cell r="BZ57">
            <v>1</v>
          </cell>
          <cell r="CA57">
            <v>1</v>
          </cell>
          <cell r="CB57">
            <v>1</v>
          </cell>
          <cell r="CC57">
            <v>1</v>
          </cell>
          <cell r="CD57">
            <v>1</v>
          </cell>
          <cell r="CE57">
            <v>1</v>
          </cell>
          <cell r="CF57">
            <v>1</v>
          </cell>
          <cell r="CG57">
            <v>1</v>
          </cell>
          <cell r="CH57">
            <v>1</v>
          </cell>
          <cell r="CI57">
            <v>1</v>
          </cell>
          <cell r="CJ57">
            <v>1</v>
          </cell>
          <cell r="CK57">
            <v>1</v>
          </cell>
          <cell r="CL57">
            <v>1</v>
          </cell>
          <cell r="CM57">
            <v>1</v>
          </cell>
          <cell r="CN57">
            <v>1</v>
          </cell>
          <cell r="CO57">
            <v>1</v>
          </cell>
        </row>
        <row r="58"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T58">
            <v>1</v>
          </cell>
          <cell r="U58">
            <v>1</v>
          </cell>
          <cell r="V58">
            <v>1</v>
          </cell>
          <cell r="W58">
            <v>1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>
            <v>1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</row>
        <row r="61"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1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</row>
        <row r="62"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N62">
            <v>0</v>
          </cell>
          <cell r="CO62">
            <v>0</v>
          </cell>
        </row>
        <row r="63"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1</v>
          </cell>
        </row>
        <row r="67"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1</v>
          </cell>
          <cell r="AD67">
            <v>2</v>
          </cell>
          <cell r="AE67">
            <v>3</v>
          </cell>
          <cell r="AF67">
            <v>4</v>
          </cell>
          <cell r="AG67">
            <v>5</v>
          </cell>
          <cell r="AH67">
            <v>6</v>
          </cell>
          <cell r="AI67">
            <v>7</v>
          </cell>
          <cell r="AJ67">
            <v>8</v>
          </cell>
          <cell r="AK67">
            <v>9</v>
          </cell>
          <cell r="AL67">
            <v>10</v>
          </cell>
          <cell r="AM67">
            <v>11</v>
          </cell>
          <cell r="AN67">
            <v>12</v>
          </cell>
          <cell r="AO67">
            <v>13</v>
          </cell>
          <cell r="AP67">
            <v>14</v>
          </cell>
          <cell r="AQ67">
            <v>15</v>
          </cell>
          <cell r="AR67">
            <v>16</v>
          </cell>
          <cell r="AS67">
            <v>17</v>
          </cell>
          <cell r="AT67">
            <v>18</v>
          </cell>
          <cell r="AU67">
            <v>19</v>
          </cell>
          <cell r="AV67">
            <v>20</v>
          </cell>
          <cell r="AW67">
            <v>21</v>
          </cell>
          <cell r="AX67">
            <v>22</v>
          </cell>
          <cell r="AY67">
            <v>23</v>
          </cell>
          <cell r="AZ67">
            <v>24</v>
          </cell>
          <cell r="BA67">
            <v>25</v>
          </cell>
          <cell r="BB67">
            <v>26</v>
          </cell>
          <cell r="BC67">
            <v>27</v>
          </cell>
          <cell r="BD67">
            <v>28</v>
          </cell>
          <cell r="BE67">
            <v>29</v>
          </cell>
          <cell r="BF67">
            <v>30</v>
          </cell>
          <cell r="BG67">
            <v>31</v>
          </cell>
          <cell r="BH67">
            <v>32</v>
          </cell>
          <cell r="BI67">
            <v>33</v>
          </cell>
          <cell r="BJ67">
            <v>34</v>
          </cell>
          <cell r="BK67">
            <v>35</v>
          </cell>
          <cell r="BL67">
            <v>36</v>
          </cell>
          <cell r="BM67">
            <v>37</v>
          </cell>
          <cell r="BN67">
            <v>38</v>
          </cell>
          <cell r="BO67">
            <v>39</v>
          </cell>
          <cell r="BP67">
            <v>40</v>
          </cell>
          <cell r="BQ67">
            <v>41</v>
          </cell>
          <cell r="BR67">
            <v>42</v>
          </cell>
          <cell r="BS67">
            <v>43</v>
          </cell>
          <cell r="BT67">
            <v>44</v>
          </cell>
          <cell r="BU67">
            <v>45</v>
          </cell>
          <cell r="BV67">
            <v>46</v>
          </cell>
          <cell r="BW67">
            <v>47</v>
          </cell>
          <cell r="BX67">
            <v>48</v>
          </cell>
          <cell r="BY67">
            <v>49</v>
          </cell>
          <cell r="BZ67">
            <v>50</v>
          </cell>
          <cell r="CA67">
            <v>51</v>
          </cell>
          <cell r="CB67">
            <v>52</v>
          </cell>
          <cell r="CC67">
            <v>53</v>
          </cell>
          <cell r="CD67">
            <v>54</v>
          </cell>
          <cell r="CE67">
            <v>55</v>
          </cell>
          <cell r="CF67">
            <v>56</v>
          </cell>
          <cell r="CG67">
            <v>57</v>
          </cell>
          <cell r="CH67">
            <v>58</v>
          </cell>
          <cell r="CI67">
            <v>59</v>
          </cell>
          <cell r="CJ67">
            <v>60</v>
          </cell>
          <cell r="CK67">
            <v>61</v>
          </cell>
          <cell r="CL67">
            <v>62</v>
          </cell>
          <cell r="CM67">
            <v>63</v>
          </cell>
          <cell r="CN67">
            <v>64</v>
          </cell>
          <cell r="CO67">
            <v>65</v>
          </cell>
        </row>
        <row r="79">
          <cell r="L79">
            <v>1.014194887410651</v>
          </cell>
          <cell r="M79">
            <v>1.0285912696499031</v>
          </cell>
          <cell r="N79">
            <v>1.043192006914162</v>
          </cell>
          <cell r="O79">
            <v>1.0579999999999996</v>
          </cell>
          <cell r="P79">
            <v>1.0684249041288085</v>
          </cell>
          <cell r="Q79">
            <v>1.0789525290762327</v>
          </cell>
          <cell r="R79">
            <v>1.0895838869922589</v>
          </cell>
          <cell r="S79">
            <v>1.1003199999999993</v>
          </cell>
          <cell r="T79">
            <v>1.1111619002939606</v>
          </cell>
          <cell r="U79">
            <v>1.1221106302392818</v>
          </cell>
          <cell r="V79">
            <v>1.133167242471949</v>
          </cell>
          <cell r="W79">
            <v>1.144332799999999</v>
          </cell>
          <cell r="X79">
            <v>1.1556083763057188</v>
          </cell>
          <cell r="Y79">
            <v>1.1669950554488528</v>
          </cell>
          <cell r="Z79">
            <v>1.1784939321708268</v>
          </cell>
          <cell r="AA79">
            <v>1.1901061119999987</v>
          </cell>
          <cell r="AB79">
            <v>1.2018327113579472</v>
          </cell>
          <cell r="AC79">
            <v>1.2136748576668066</v>
          </cell>
          <cell r="AD79">
            <v>1.2256336894576596</v>
          </cell>
          <cell r="AE79">
            <v>1.2377103564799985</v>
          </cell>
          <cell r="AF79">
            <v>1.2499060198122651</v>
          </cell>
          <cell r="AG79">
            <v>1.2622218519734789</v>
          </cell>
          <cell r="AH79">
            <v>1.2746590370359661</v>
          </cell>
          <cell r="AI79">
            <v>1.2872187707391984</v>
          </cell>
          <cell r="AJ79">
            <v>1.2999022606047557</v>
          </cell>
          <cell r="AK79">
            <v>1.312710726052418</v>
          </cell>
          <cell r="AL79">
            <v>1.3256453985174046</v>
          </cell>
          <cell r="AM79">
            <v>1.3387075215687663</v>
          </cell>
          <cell r="AN79">
            <v>1.3518983510289457</v>
          </cell>
          <cell r="AO79">
            <v>1.3652191550945145</v>
          </cell>
          <cell r="AP79">
            <v>1.3786712144581006</v>
          </cell>
          <cell r="AQ79">
            <v>1.3922558224315169</v>
          </cell>
          <cell r="AR79">
            <v>1.4059742850701036</v>
          </cell>
          <cell r="AS79">
            <v>1.4198279212982952</v>
          </cell>
          <cell r="AT79">
            <v>1.4338180630364246</v>
          </cell>
          <cell r="AU79">
            <v>1.4479460553287775</v>
          </cell>
          <cell r="AV79">
            <v>1.4622132564729076</v>
          </cell>
          <cell r="AW79">
            <v>1.4766210381502267</v>
          </cell>
          <cell r="AX79">
            <v>1.4911707855578813</v>
          </cell>
          <cell r="AY79">
            <v>1.5058638975419283</v>
          </cell>
          <cell r="AZ79">
            <v>1.5207017867318235</v>
          </cell>
          <cell r="BA79">
            <v>1.5356858796762354</v>
          </cell>
          <cell r="BB79">
            <v>1.5508176169801962</v>
          </cell>
          <cell r="BC79">
            <v>1.5660984534436051</v>
          </cell>
          <cell r="BD79">
            <v>1.5815298582010964</v>
          </cell>
          <cell r="BE79">
            <v>1.5971133148632848</v>
          </cell>
          <cell r="BF79">
            <v>1.6128503216594039</v>
          </cell>
          <cell r="BG79">
            <v>1.628742391581349</v>
          </cell>
          <cell r="BH79">
            <v>1.6447910525291398</v>
          </cell>
          <cell r="BI79">
            <v>1.6609978474578158</v>
          </cell>
          <cell r="BJ79">
            <v>1.6773643345257798</v>
          </cell>
          <cell r="BK79">
            <v>1.6938920872446028</v>
          </cell>
          <cell r="BL79">
            <v>1.7105826946303053</v>
          </cell>
          <cell r="BM79">
            <v>1.7274377613561283</v>
          </cell>
          <cell r="BN79">
            <v>1.7444589079068107</v>
          </cell>
          <cell r="BO79">
            <v>1.7616477707343867</v>
          </cell>
          <cell r="BP79">
            <v>1.7790060024155172</v>
          </cell>
          <cell r="BQ79">
            <v>1.7965352718103731</v>
          </cell>
          <cell r="BR79">
            <v>1.8142372642230828</v>
          </cell>
          <cell r="BS79">
            <v>1.8321136815637618</v>
          </cell>
          <cell r="BT79">
            <v>1.8501662425121375</v>
          </cell>
          <cell r="BU79">
            <v>1.8683966826827876</v>
          </cell>
          <cell r="BV79">
            <v>1.8868067547920058</v>
          </cell>
          <cell r="BW79">
            <v>1.9053982288263118</v>
          </cell>
          <cell r="BX79">
            <v>1.9241728922126227</v>
          </cell>
          <cell r="BY79">
            <v>1.9431325499900989</v>
          </cell>
          <cell r="BZ79">
            <v>1.9622790249836859</v>
          </cell>
          <cell r="CA79">
            <v>1.9816141579793642</v>
          </cell>
          <cell r="CB79">
            <v>2.0011398079011276</v>
          </cell>
          <cell r="CC79">
            <v>2.0208578519897027</v>
          </cell>
          <cell r="CD79">
            <v>2.0407701859830332</v>
          </cell>
          <cell r="CE79">
            <v>2.0608787242985387</v>
          </cell>
          <cell r="CF79">
            <v>2.0811854002171724</v>
          </cell>
          <cell r="CG79">
            <v>2.1016921660692907</v>
          </cell>
          <cell r="CH79">
            <v>2.1224009934223544</v>
          </cell>
          <cell r="CI79">
            <v>2.1433138732704804</v>
          </cell>
          <cell r="CJ79">
            <v>2.1644328162258595</v>
          </cell>
          <cell r="CK79">
            <v>2.1857598527120623</v>
          </cell>
          <cell r="CL79">
            <v>2.2072970331592483</v>
          </cell>
          <cell r="CM79">
            <v>2.2290464282012992</v>
          </cell>
          <cell r="CN79">
            <v>2.2510101288748934</v>
          </cell>
          <cell r="CO79">
            <v>2.2731902468205445</v>
          </cell>
        </row>
        <row r="85">
          <cell r="L85">
            <v>1.014194887410651</v>
          </cell>
          <cell r="M85">
            <v>1.0285912696499031</v>
          </cell>
          <cell r="N85">
            <v>1.043192006914162</v>
          </cell>
          <cell r="O85">
            <v>1.0579999999999996</v>
          </cell>
          <cell r="P85">
            <v>1.0684249041288085</v>
          </cell>
          <cell r="Q85">
            <v>1.0789525290762327</v>
          </cell>
          <cell r="R85">
            <v>1.0895838869922589</v>
          </cell>
          <cell r="S85">
            <v>1.1003199999999993</v>
          </cell>
          <cell r="T85">
            <v>1.1111619002939606</v>
          </cell>
          <cell r="U85">
            <v>1.1221106302392818</v>
          </cell>
          <cell r="V85">
            <v>1.133167242471949</v>
          </cell>
          <cell r="W85">
            <v>1.144332799999999</v>
          </cell>
          <cell r="X85">
            <v>1.1556083763057188</v>
          </cell>
          <cell r="Y85">
            <v>1.1669950554488528</v>
          </cell>
          <cell r="Z85">
            <v>1.1784939321708268</v>
          </cell>
          <cell r="AA85">
            <v>1.1901061119999987</v>
          </cell>
          <cell r="AB85">
            <v>1.2018327113579472</v>
          </cell>
          <cell r="AC85">
            <v>1.2136748576668066</v>
          </cell>
          <cell r="AD85">
            <v>1.2256336894576596</v>
          </cell>
          <cell r="AE85">
            <v>1.2377103564799985</v>
          </cell>
          <cell r="AF85">
            <v>1.2499060198122651</v>
          </cell>
          <cell r="AG85">
            <v>1.2622218519734789</v>
          </cell>
          <cell r="AH85">
            <v>1.2746590370359661</v>
          </cell>
          <cell r="AI85">
            <v>1.2872187707391984</v>
          </cell>
          <cell r="AJ85">
            <v>1.2999961953186696</v>
          </cell>
          <cell r="AK85">
            <v>1.3129004534889765</v>
          </cell>
          <cell r="AL85">
            <v>1.3259328042487277</v>
          </cell>
          <cell r="AM85">
            <v>1.3390945190938319</v>
          </cell>
          <cell r="AN85">
            <v>1.3523868821415514</v>
          </cell>
          <cell r="AO85">
            <v>1.3658111902557866</v>
          </cell>
          <cell r="AP85">
            <v>1.379368753173603</v>
          </cell>
          <cell r="AQ85">
            <v>1.3930608936330167</v>
          </cell>
          <cell r="AR85">
            <v>1.4068889475020454</v>
          </cell>
          <cell r="AS85">
            <v>1.4208542639090427</v>
          </cell>
          <cell r="AT85">
            <v>1.4349582053743246</v>
          </cell>
          <cell r="AU85">
            <v>1.4492021479431039</v>
          </cell>
          <cell r="AV85">
            <v>1.4635874813197427</v>
          </cell>
          <cell r="AW85">
            <v>1.4781156090033392</v>
          </cell>
          <cell r="AX85">
            <v>1.4927879484246587</v>
          </cell>
          <cell r="AY85">
            <v>1.5076059310844254</v>
          </cell>
          <cell r="AZ85">
            <v>1.5225710026929855</v>
          </cell>
          <cell r="BA85">
            <v>1.5376846233113575</v>
          </cell>
          <cell r="BB85">
            <v>1.5529482674936828</v>
          </cell>
          <cell r="BC85">
            <v>1.5683634244310898</v>
          </cell>
          <cell r="BD85">
            <v>1.5839315980969861</v>
          </cell>
          <cell r="BE85">
            <v>1.599654307393793</v>
          </cell>
          <cell r="BF85">
            <v>1.6155330863011366</v>
          </cell>
          <cell r="BG85">
            <v>1.6315694840255102</v>
          </cell>
          <cell r="BH85">
            <v>1.6477650651514215</v>
          </cell>
          <cell r="BI85">
            <v>1.6641214097940413</v>
          </cell>
          <cell r="BJ85">
            <v>1.680640113753366</v>
          </cell>
          <cell r="BK85">
            <v>1.6973227886699116</v>
          </cell>
          <cell r="BL85">
            <v>1.7141710621819528</v>
          </cell>
          <cell r="BM85">
            <v>1.7311865780843227</v>
          </cell>
          <cell r="BN85">
            <v>1.748370996488789</v>
          </cell>
          <cell r="BO85">
            <v>1.7657259939860221</v>
          </cell>
          <cell r="BP85">
            <v>1.7832532638091712</v>
          </cell>
          <cell r="BQ85">
            <v>1.8009545159990632</v>
          </cell>
          <cell r="BR85">
            <v>1.8188314775710432</v>
          </cell>
          <cell r="BS85">
            <v>1.8368858926834692</v>
          </cell>
          <cell r="BT85">
            <v>1.8551195228078803</v>
          </cell>
          <cell r="BU85">
            <v>1.8735341469008542</v>
          </cell>
          <cell r="BV85">
            <v>1.8921315615775702</v>
          </cell>
          <cell r="BW85">
            <v>1.9109135812870954</v>
          </cell>
          <cell r="BX85">
            <v>1.9298820384894104</v>
          </cell>
          <cell r="BY85">
            <v>1.9490387838341927</v>
          </cell>
          <cell r="BZ85">
            <v>1.9683856863413745</v>
          </cell>
          <cell r="CA85">
            <v>1.9879246335834928</v>
          </cell>
          <cell r="CB85">
            <v>2.0076575318698495</v>
          </cell>
          <cell r="CC85">
            <v>2.0275863064325006</v>
          </cell>
          <cell r="CD85">
            <v>2.0477129016140889</v>
          </cell>
          <cell r="CE85">
            <v>2.068039281057545</v>
          </cell>
          <cell r="CF85">
            <v>2.0885674278976678</v>
          </cell>
          <cell r="CG85">
            <v>2.1092993449546089</v>
          </cell>
          <cell r="CH85">
            <v>2.1302370549292764</v>
          </cell>
          <cell r="CI85">
            <v>2.1513826006006798</v>
          </cell>
          <cell r="CJ85">
            <v>2.1727380450252323</v>
          </cell>
          <cell r="CK85">
            <v>2.1943054717380317</v>
          </cell>
          <cell r="CL85">
            <v>2.2160869849561404</v>
          </cell>
          <cell r="CM85">
            <v>2.2380847097838821</v>
          </cell>
          <cell r="CN85">
            <v>2.2603007924201766</v>
          </cell>
          <cell r="CO85">
            <v>2.2827374003679326</v>
          </cell>
        </row>
        <row r="88">
          <cell r="L88">
            <v>2.7123287671232874E-2</v>
          </cell>
          <cell r="M88">
            <v>2.7424657534246576E-2</v>
          </cell>
          <cell r="N88">
            <v>2.7726027397260277E-2</v>
          </cell>
          <cell r="O88">
            <v>2.7726027397260277E-2</v>
          </cell>
          <cell r="P88">
            <v>2.0958904109589043E-2</v>
          </cell>
          <cell r="Q88">
            <v>2.1191780821917808E-2</v>
          </cell>
          <cell r="R88">
            <v>2.1424657534246577E-2</v>
          </cell>
          <cell r="S88">
            <v>2.1424657534246577E-2</v>
          </cell>
          <cell r="T88">
            <v>2.0958904109589043E-2</v>
          </cell>
          <cell r="U88">
            <v>2.1191780821917808E-2</v>
          </cell>
          <cell r="V88">
            <v>2.1424657534246577E-2</v>
          </cell>
          <cell r="W88">
            <v>2.1424657534246577E-2</v>
          </cell>
          <cell r="X88">
            <v>2.1133879781420766E-2</v>
          </cell>
          <cell r="Y88">
            <v>2.1133879781420766E-2</v>
          </cell>
          <cell r="Z88">
            <v>2.1366120218579237E-2</v>
          </cell>
          <cell r="AA88">
            <v>2.1366120218579237E-2</v>
          </cell>
          <cell r="AB88">
            <v>2.0958904109589043E-2</v>
          </cell>
          <cell r="AC88">
            <v>2.1191780821917808E-2</v>
          </cell>
          <cell r="AD88">
            <v>2.1424657534246577E-2</v>
          </cell>
          <cell r="AE88">
            <v>2.1424657534246577E-2</v>
          </cell>
          <cell r="AF88">
            <v>2.0958904109589043E-2</v>
          </cell>
          <cell r="AG88">
            <v>2.1191780821917808E-2</v>
          </cell>
          <cell r="AH88">
            <v>2.1424657534246577E-2</v>
          </cell>
          <cell r="AI88">
            <v>2.1424657534246577E-2</v>
          </cell>
          <cell r="AJ88">
            <v>2.0958904109589043E-2</v>
          </cell>
          <cell r="AK88">
            <v>2.1191780821917808E-2</v>
          </cell>
          <cell r="AL88">
            <v>2.1424657534246577E-2</v>
          </cell>
          <cell r="AM88">
            <v>2.1424657534246577E-2</v>
          </cell>
          <cell r="AN88">
            <v>2.1133879781420766E-2</v>
          </cell>
          <cell r="AO88">
            <v>2.1133879781420766E-2</v>
          </cell>
          <cell r="AP88">
            <v>2.1366120218579237E-2</v>
          </cell>
          <cell r="AQ88">
            <v>2.1366120218579237E-2</v>
          </cell>
          <cell r="AR88">
            <v>2.0958904109589043E-2</v>
          </cell>
          <cell r="AS88">
            <v>2.1191780821917808E-2</v>
          </cell>
          <cell r="AT88">
            <v>2.1424657534246577E-2</v>
          </cell>
          <cell r="AU88">
            <v>2.1424657534246577E-2</v>
          </cell>
          <cell r="AV88">
            <v>2.0958904109589043E-2</v>
          </cell>
          <cell r="AW88">
            <v>2.1191780821917808E-2</v>
          </cell>
          <cell r="AX88">
            <v>2.1424657534246577E-2</v>
          </cell>
          <cell r="AY88">
            <v>2.1424657534246577E-2</v>
          </cell>
          <cell r="AZ88">
            <v>2.0958904109589043E-2</v>
          </cell>
          <cell r="BA88">
            <v>2.1191780821917808E-2</v>
          </cell>
          <cell r="BB88">
            <v>2.1424657534246577E-2</v>
          </cell>
          <cell r="BC88">
            <v>2.1424657534246577E-2</v>
          </cell>
          <cell r="BD88">
            <v>2.1133879781420766E-2</v>
          </cell>
          <cell r="BE88">
            <v>2.1133879781420766E-2</v>
          </cell>
          <cell r="BF88">
            <v>2.1366120218579237E-2</v>
          </cell>
          <cell r="BG88">
            <v>2.1366120218579237E-2</v>
          </cell>
          <cell r="BH88">
            <v>2.0958904109589043E-2</v>
          </cell>
          <cell r="BI88">
            <v>2.1191780821917808E-2</v>
          </cell>
          <cell r="BJ88">
            <v>2.1424657534246577E-2</v>
          </cell>
          <cell r="BK88">
            <v>2.1424657534246577E-2</v>
          </cell>
          <cell r="BL88">
            <v>2.0958904109589043E-2</v>
          </cell>
          <cell r="BM88">
            <v>2.1191780821917808E-2</v>
          </cell>
          <cell r="BN88">
            <v>2.1424657534246577E-2</v>
          </cell>
          <cell r="BO88">
            <v>2.1424657534246577E-2</v>
          </cell>
          <cell r="BP88">
            <v>2.0958904109589043E-2</v>
          </cell>
          <cell r="BQ88">
            <v>2.1191780821917808E-2</v>
          </cell>
          <cell r="BR88">
            <v>2.1424657534246577E-2</v>
          </cell>
          <cell r="BS88">
            <v>2.1424657534246577E-2</v>
          </cell>
          <cell r="BT88">
            <v>2.1133879781420766E-2</v>
          </cell>
          <cell r="BU88">
            <v>2.1133879781420766E-2</v>
          </cell>
          <cell r="BV88">
            <v>2.1366120218579237E-2</v>
          </cell>
          <cell r="BW88">
            <v>2.1366120218579237E-2</v>
          </cell>
          <cell r="BX88">
            <v>2.0958904109589043E-2</v>
          </cell>
          <cell r="BY88">
            <v>2.1191780821917808E-2</v>
          </cell>
          <cell r="BZ88">
            <v>2.1424657534246577E-2</v>
          </cell>
          <cell r="CA88">
            <v>2.1424657534246577E-2</v>
          </cell>
          <cell r="CB88">
            <v>2.0958904109589043E-2</v>
          </cell>
          <cell r="CC88">
            <v>2.1191780821917808E-2</v>
          </cell>
          <cell r="CD88">
            <v>2.1424657534246577E-2</v>
          </cell>
          <cell r="CE88">
            <v>2.1424657534246577E-2</v>
          </cell>
          <cell r="CF88">
            <v>2.0958904109589043E-2</v>
          </cell>
          <cell r="CG88">
            <v>2.1191780821917808E-2</v>
          </cell>
          <cell r="CH88">
            <v>2.1424657534246577E-2</v>
          </cell>
          <cell r="CI88">
            <v>2.1424657534246577E-2</v>
          </cell>
          <cell r="CJ88">
            <v>2.1133879781420766E-2</v>
          </cell>
          <cell r="CK88">
            <v>2.1133879781420766E-2</v>
          </cell>
          <cell r="CL88">
            <v>2.1366120218579237E-2</v>
          </cell>
          <cell r="CM88">
            <v>2.1366120218579237E-2</v>
          </cell>
          <cell r="CN88">
            <v>2.0958904109589043E-2</v>
          </cell>
          <cell r="CO88">
            <v>2.1191780821917808E-2</v>
          </cell>
        </row>
        <row r="260">
          <cell r="L260">
            <v>17358.429079522699</v>
          </cell>
          <cell r="M260">
            <v>17604.830025932293</v>
          </cell>
          <cell r="N260">
            <v>17854.728606034052</v>
          </cell>
          <cell r="O260">
            <v>18108.17446834443</v>
          </cell>
          <cell r="P260">
            <v>165955.27720147805</v>
          </cell>
          <cell r="Q260">
            <v>223881.18630021886</v>
          </cell>
          <cell r="R260">
            <v>226087.17864750029</v>
          </cell>
          <cell r="S260">
            <v>228314.90753422349</v>
          </cell>
          <cell r="T260">
            <v>230564.58713934835</v>
          </cell>
          <cell r="U260">
            <v>232836.43375222755</v>
          </cell>
          <cell r="V260">
            <v>235130.66579340029</v>
          </cell>
          <cell r="W260">
            <v>237447.50383559233</v>
          </cell>
          <cell r="X260">
            <v>239787.17062492229</v>
          </cell>
          <cell r="Y260">
            <v>242149.89110231656</v>
          </cell>
          <cell r="Z260">
            <v>244535.89242513615</v>
          </cell>
          <cell r="AA260">
            <v>131342.53722513857</v>
          </cell>
          <cell r="AB260">
            <v>132636.70864159093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  <cell r="BP260">
            <v>0</v>
          </cell>
          <cell r="BQ260">
            <v>0</v>
          </cell>
          <cell r="BR260">
            <v>0</v>
          </cell>
          <cell r="BS260">
            <v>0</v>
          </cell>
          <cell r="BT260">
            <v>0</v>
          </cell>
          <cell r="BU260">
            <v>0</v>
          </cell>
          <cell r="BV260">
            <v>0</v>
          </cell>
          <cell r="BW260">
            <v>0</v>
          </cell>
          <cell r="BX260">
            <v>0</v>
          </cell>
          <cell r="BY260">
            <v>0</v>
          </cell>
          <cell r="BZ260">
            <v>0</v>
          </cell>
          <cell r="CA260">
            <v>0</v>
          </cell>
          <cell r="CB260">
            <v>0</v>
          </cell>
          <cell r="CC260">
            <v>0</v>
          </cell>
          <cell r="CD260">
            <v>0</v>
          </cell>
          <cell r="CE260">
            <v>0</v>
          </cell>
          <cell r="CF260">
            <v>0</v>
          </cell>
          <cell r="CG260">
            <v>0</v>
          </cell>
          <cell r="CH260">
            <v>0</v>
          </cell>
          <cell r="CI260">
            <v>0</v>
          </cell>
          <cell r="CJ260">
            <v>0</v>
          </cell>
          <cell r="CK260">
            <v>0</v>
          </cell>
          <cell r="CL260">
            <v>0</v>
          </cell>
          <cell r="CM260">
            <v>0</v>
          </cell>
          <cell r="CN260">
            <v>0</v>
          </cell>
          <cell r="CO260">
            <v>0</v>
          </cell>
        </row>
        <row r="332">
          <cell r="L332">
            <v>17358.429079522699</v>
          </cell>
          <cell r="M332">
            <v>34963.259105454992</v>
          </cell>
          <cell r="N332">
            <v>52817.987711489048</v>
          </cell>
          <cell r="O332">
            <v>70926.162179833482</v>
          </cell>
          <cell r="P332">
            <v>236881.43938131153</v>
          </cell>
          <cell r="Q332">
            <v>460762.62568153033</v>
          </cell>
          <cell r="R332">
            <v>687844.6818541761</v>
          </cell>
          <cell r="S332">
            <v>922020.89930072881</v>
          </cell>
          <cell r="T332">
            <v>1161884.5486689517</v>
          </cell>
          <cell r="U332">
            <v>1407763.6720975735</v>
          </cell>
          <cell r="V332">
            <v>1659796.9252777104</v>
          </cell>
          <cell r="W332">
            <v>1917900.2088396682</v>
          </cell>
          <cell r="X332">
            <v>2181801.550150421</v>
          </cell>
          <cell r="Y332">
            <v>2451841.1846190458</v>
          </cell>
          <cell r="Z332">
            <v>2728427.974665517</v>
          </cell>
          <cell r="AA332">
            <v>2894746.4118876886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0</v>
          </cell>
          <cell r="BJ332">
            <v>0</v>
          </cell>
          <cell r="BK332">
            <v>0</v>
          </cell>
          <cell r="BL332">
            <v>0</v>
          </cell>
          <cell r="BM332">
            <v>0</v>
          </cell>
          <cell r="BN332">
            <v>0</v>
          </cell>
          <cell r="BO332">
            <v>0</v>
          </cell>
          <cell r="BP332">
            <v>0</v>
          </cell>
          <cell r="BQ332">
            <v>0</v>
          </cell>
          <cell r="BR332">
            <v>0</v>
          </cell>
          <cell r="BS332">
            <v>0</v>
          </cell>
          <cell r="BT332">
            <v>0</v>
          </cell>
          <cell r="BU332">
            <v>0</v>
          </cell>
          <cell r="BV332">
            <v>0</v>
          </cell>
          <cell r="BW332">
            <v>0</v>
          </cell>
          <cell r="BX332">
            <v>0</v>
          </cell>
          <cell r="BY332">
            <v>0</v>
          </cell>
          <cell r="BZ332">
            <v>0</v>
          </cell>
          <cell r="CA332">
            <v>0</v>
          </cell>
          <cell r="CB332">
            <v>0</v>
          </cell>
          <cell r="CC332">
            <v>0</v>
          </cell>
          <cell r="CD332">
            <v>0</v>
          </cell>
          <cell r="CE332">
            <v>0</v>
          </cell>
          <cell r="CF332">
            <v>0</v>
          </cell>
          <cell r="CG332">
            <v>0</v>
          </cell>
          <cell r="CH332">
            <v>0</v>
          </cell>
          <cell r="CI332">
            <v>0</v>
          </cell>
          <cell r="CJ332">
            <v>0</v>
          </cell>
          <cell r="CK332">
            <v>0</v>
          </cell>
          <cell r="CL332">
            <v>0</v>
          </cell>
          <cell r="CM332">
            <v>0</v>
          </cell>
          <cell r="CN332">
            <v>0</v>
          </cell>
          <cell r="CO332">
            <v>0</v>
          </cell>
        </row>
        <row r="334">
          <cell r="L334">
            <v>17358.429079522699</v>
          </cell>
          <cell r="M334">
            <v>17604.830025932293</v>
          </cell>
          <cell r="N334">
            <v>17854.728606034052</v>
          </cell>
          <cell r="O334">
            <v>18108.17446834443</v>
          </cell>
          <cell r="P334">
            <v>165955.27720147805</v>
          </cell>
          <cell r="Q334">
            <v>223881.18630021886</v>
          </cell>
          <cell r="R334">
            <v>226087.17864750029</v>
          </cell>
          <cell r="S334">
            <v>228314.90753422346</v>
          </cell>
          <cell r="T334">
            <v>230564.58713934835</v>
          </cell>
          <cell r="U334">
            <v>232836.43375222755</v>
          </cell>
          <cell r="V334">
            <v>235130.66579340029</v>
          </cell>
          <cell r="W334">
            <v>237447.50383559233</v>
          </cell>
          <cell r="X334">
            <v>239787.17062492229</v>
          </cell>
          <cell r="Y334">
            <v>242149.89110231656</v>
          </cell>
          <cell r="Z334">
            <v>244535.89242513615</v>
          </cell>
          <cell r="AA334">
            <v>131342.53722513857</v>
          </cell>
          <cell r="AB334">
            <v>132636.70864159093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0</v>
          </cell>
          <cell r="BJ334">
            <v>0</v>
          </cell>
          <cell r="BK334">
            <v>0</v>
          </cell>
          <cell r="BL334">
            <v>0</v>
          </cell>
          <cell r="BM334">
            <v>0</v>
          </cell>
          <cell r="BN334">
            <v>0</v>
          </cell>
          <cell r="BO334">
            <v>0</v>
          </cell>
          <cell r="BP334">
            <v>0</v>
          </cell>
          <cell r="BQ334">
            <v>0</v>
          </cell>
          <cell r="BR334">
            <v>0</v>
          </cell>
          <cell r="BS334">
            <v>0</v>
          </cell>
          <cell r="BT334">
            <v>0</v>
          </cell>
          <cell r="BU334">
            <v>0</v>
          </cell>
          <cell r="BV334">
            <v>0</v>
          </cell>
          <cell r="BW334">
            <v>0</v>
          </cell>
          <cell r="BX334">
            <v>0</v>
          </cell>
          <cell r="BY334">
            <v>0</v>
          </cell>
          <cell r="BZ334">
            <v>0</v>
          </cell>
          <cell r="CA334">
            <v>0</v>
          </cell>
          <cell r="CB334">
            <v>0</v>
          </cell>
          <cell r="CC334">
            <v>0</v>
          </cell>
          <cell r="CD334">
            <v>0</v>
          </cell>
          <cell r="CE334">
            <v>0</v>
          </cell>
          <cell r="CF334">
            <v>0</v>
          </cell>
          <cell r="CG334">
            <v>0</v>
          </cell>
          <cell r="CH334">
            <v>0</v>
          </cell>
          <cell r="CI334">
            <v>0</v>
          </cell>
          <cell r="CJ334">
            <v>0</v>
          </cell>
          <cell r="CK334">
            <v>0</v>
          </cell>
          <cell r="CL334">
            <v>0</v>
          </cell>
          <cell r="CM334">
            <v>0</v>
          </cell>
          <cell r="CN334">
            <v>0</v>
          </cell>
          <cell r="CO334">
            <v>0</v>
          </cell>
        </row>
        <row r="335"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0</v>
          </cell>
          <cell r="BJ335">
            <v>0</v>
          </cell>
          <cell r="BK335">
            <v>0</v>
          </cell>
          <cell r="BL335">
            <v>0</v>
          </cell>
          <cell r="BM335">
            <v>0</v>
          </cell>
          <cell r="BN335">
            <v>0</v>
          </cell>
          <cell r="BO335">
            <v>0</v>
          </cell>
          <cell r="BP335">
            <v>0</v>
          </cell>
          <cell r="BQ335">
            <v>0</v>
          </cell>
          <cell r="BR335">
            <v>0</v>
          </cell>
          <cell r="BS335">
            <v>0</v>
          </cell>
          <cell r="BT335">
            <v>0</v>
          </cell>
          <cell r="BU335">
            <v>0</v>
          </cell>
          <cell r="BV335">
            <v>0</v>
          </cell>
          <cell r="BW335">
            <v>0</v>
          </cell>
          <cell r="BX335">
            <v>0</v>
          </cell>
          <cell r="BY335">
            <v>0</v>
          </cell>
          <cell r="BZ335">
            <v>0</v>
          </cell>
          <cell r="CA335">
            <v>0</v>
          </cell>
          <cell r="CB335">
            <v>0</v>
          </cell>
          <cell r="CC335">
            <v>0</v>
          </cell>
          <cell r="CD335">
            <v>0</v>
          </cell>
          <cell r="CE335">
            <v>0</v>
          </cell>
          <cell r="CF335">
            <v>0</v>
          </cell>
          <cell r="CG335">
            <v>0</v>
          </cell>
          <cell r="CH335">
            <v>0</v>
          </cell>
          <cell r="CI335">
            <v>0</v>
          </cell>
          <cell r="CJ335">
            <v>0</v>
          </cell>
          <cell r="CK335">
            <v>0</v>
          </cell>
          <cell r="CL335">
            <v>0</v>
          </cell>
          <cell r="CM335">
            <v>0</v>
          </cell>
          <cell r="CN335">
            <v>0</v>
          </cell>
          <cell r="CO335">
            <v>0</v>
          </cell>
        </row>
        <row r="490"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-42399.544964947738</v>
          </cell>
          <cell r="AD490">
            <v>-42399.544964947738</v>
          </cell>
          <cell r="AE490">
            <v>-42399.544964947738</v>
          </cell>
          <cell r="AF490">
            <v>-42399.544964947738</v>
          </cell>
          <cell r="AG490">
            <v>-42399.544964947738</v>
          </cell>
          <cell r="AH490">
            <v>-42399.544964947738</v>
          </cell>
          <cell r="AI490">
            <v>-42399.544964947738</v>
          </cell>
          <cell r="AJ490">
            <v>-42399.544964947738</v>
          </cell>
          <cell r="AK490">
            <v>-42399.544964947738</v>
          </cell>
          <cell r="AL490">
            <v>-42399.544964947738</v>
          </cell>
          <cell r="AM490">
            <v>-42399.544964947738</v>
          </cell>
          <cell r="AN490">
            <v>-42399.544964947738</v>
          </cell>
          <cell r="AO490">
            <v>-42399.544964947738</v>
          </cell>
          <cell r="AP490">
            <v>-42399.544964947738</v>
          </cell>
          <cell r="AQ490">
            <v>-42399.544964947738</v>
          </cell>
          <cell r="AR490">
            <v>-42399.544964947738</v>
          </cell>
          <cell r="AS490">
            <v>-42399.544964947738</v>
          </cell>
          <cell r="AT490">
            <v>-42399.544964947738</v>
          </cell>
          <cell r="AU490">
            <v>-42399.544964947738</v>
          </cell>
          <cell r="AV490">
            <v>-42399.544964947738</v>
          </cell>
          <cell r="AW490">
            <v>-42399.544964947738</v>
          </cell>
          <cell r="AX490">
            <v>-42399.544964947738</v>
          </cell>
          <cell r="AY490">
            <v>-42399.544964947738</v>
          </cell>
          <cell r="AZ490">
            <v>-42399.544964947738</v>
          </cell>
          <cell r="BA490">
            <v>-42399.544964947738</v>
          </cell>
          <cell r="BB490">
            <v>-42399.544964947738</v>
          </cell>
          <cell r="BC490">
            <v>-42399.544964947738</v>
          </cell>
          <cell r="BD490">
            <v>-42399.544964947578</v>
          </cell>
          <cell r="BE490">
            <v>-20397.348813563563</v>
          </cell>
          <cell r="BF490">
            <v>-20397.348813563563</v>
          </cell>
          <cell r="BG490">
            <v>-20397.348813563563</v>
          </cell>
          <cell r="BH490">
            <v>-20397.348813563563</v>
          </cell>
          <cell r="BI490">
            <v>-20397.348813563563</v>
          </cell>
          <cell r="BJ490">
            <v>-20397.348813563563</v>
          </cell>
          <cell r="BK490">
            <v>-20397.348813563563</v>
          </cell>
          <cell r="BL490">
            <v>-20397.348813563563</v>
          </cell>
          <cell r="BM490">
            <v>-20397.348813563563</v>
          </cell>
          <cell r="BN490">
            <v>-20397.348813563563</v>
          </cell>
          <cell r="BO490">
            <v>-20397.348813563563</v>
          </cell>
          <cell r="BP490">
            <v>-20397.348813563563</v>
          </cell>
          <cell r="BQ490">
            <v>-20397.348813563563</v>
          </cell>
          <cell r="BR490">
            <v>-20397.348813563563</v>
          </cell>
          <cell r="BS490">
            <v>-20397.348813563563</v>
          </cell>
          <cell r="BT490">
            <v>-20397.348813563563</v>
          </cell>
          <cell r="BU490">
            <v>-20397.348813563563</v>
          </cell>
          <cell r="BV490">
            <v>-20397.348813563563</v>
          </cell>
          <cell r="BW490">
            <v>-20397.348813563563</v>
          </cell>
          <cell r="BX490">
            <v>-20397.348813563563</v>
          </cell>
          <cell r="BY490">
            <v>-20397.348813563563</v>
          </cell>
          <cell r="BZ490">
            <v>-20397.348813563563</v>
          </cell>
          <cell r="CA490">
            <v>-20397.348813563563</v>
          </cell>
          <cell r="CB490">
            <v>-20397.348813563563</v>
          </cell>
          <cell r="CC490">
            <v>-20397.348813563563</v>
          </cell>
          <cell r="CD490">
            <v>-20397.348813563563</v>
          </cell>
          <cell r="CE490">
            <v>-20397.348813563563</v>
          </cell>
          <cell r="CF490">
            <v>-20397.348813563563</v>
          </cell>
          <cell r="CG490">
            <v>-20397.348813563563</v>
          </cell>
          <cell r="CH490">
            <v>-20397.348813563563</v>
          </cell>
          <cell r="CI490">
            <v>-20397.348813563563</v>
          </cell>
          <cell r="CJ490">
            <v>-20397.348813563563</v>
          </cell>
          <cell r="CK490">
            <v>-20397.348813563563</v>
          </cell>
          <cell r="CL490">
            <v>-20397.348813563563</v>
          </cell>
          <cell r="CM490">
            <v>-20397.348813563563</v>
          </cell>
          <cell r="CN490">
            <v>-20397.348813563563</v>
          </cell>
          <cell r="CO490">
            <v>-20397.348813563563</v>
          </cell>
        </row>
        <row r="491"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3063743.3498663851</v>
          </cell>
          <cell r="AC491">
            <v>3021343.8049014374</v>
          </cell>
          <cell r="AD491">
            <v>2978944.2599364896</v>
          </cell>
          <cell r="AE491">
            <v>2936544.7149715419</v>
          </cell>
          <cell r="AF491">
            <v>2894145.1700065942</v>
          </cell>
          <cell r="AG491">
            <v>2851745.6250416464</v>
          </cell>
          <cell r="AH491">
            <v>2809346.0800766987</v>
          </cell>
          <cell r="AI491">
            <v>2766946.5351117509</v>
          </cell>
          <cell r="AJ491">
            <v>2724546.9901468032</v>
          </cell>
          <cell r="AK491">
            <v>2682147.4451818555</v>
          </cell>
          <cell r="AL491">
            <v>2639747.9002169077</v>
          </cell>
          <cell r="AM491">
            <v>2597348.35525196</v>
          </cell>
          <cell r="AN491">
            <v>2554948.8102870123</v>
          </cell>
          <cell r="AO491">
            <v>2512549.2653220645</v>
          </cell>
          <cell r="AP491">
            <v>2470149.7203571168</v>
          </cell>
          <cell r="AQ491">
            <v>2427750.175392169</v>
          </cell>
          <cell r="AR491">
            <v>2385350.6304272213</v>
          </cell>
          <cell r="AS491">
            <v>2342951.0854622736</v>
          </cell>
          <cell r="AT491">
            <v>2300551.5404973258</v>
          </cell>
          <cell r="AU491">
            <v>2258151.9955323781</v>
          </cell>
          <cell r="AV491">
            <v>2215752.4505674304</v>
          </cell>
          <cell r="AW491">
            <v>2173352.9056024826</v>
          </cell>
          <cell r="AX491">
            <v>2130953.3606375349</v>
          </cell>
          <cell r="AY491">
            <v>2088553.8156725871</v>
          </cell>
          <cell r="AZ491">
            <v>2046154.2707076394</v>
          </cell>
          <cell r="BA491">
            <v>2003754.7257426917</v>
          </cell>
          <cell r="BB491">
            <v>1961355.1807777439</v>
          </cell>
          <cell r="BC491">
            <v>1918955.6358127962</v>
          </cell>
          <cell r="BD491">
            <v>1876556.0908478487</v>
          </cell>
          <cell r="BE491">
            <v>1856158.7420342851</v>
          </cell>
          <cell r="BF491">
            <v>1835761.3932207215</v>
          </cell>
          <cell r="BG491">
            <v>1815364.0444071579</v>
          </cell>
          <cell r="BH491">
            <v>1794966.6955935943</v>
          </cell>
          <cell r="BI491">
            <v>1774569.3467800308</v>
          </cell>
          <cell r="BJ491">
            <v>1754171.9979664672</v>
          </cell>
          <cell r="BK491">
            <v>1733774.6491529036</v>
          </cell>
          <cell r="BL491">
            <v>1713377.30033934</v>
          </cell>
          <cell r="BM491">
            <v>1692979.9515257764</v>
          </cell>
          <cell r="BN491">
            <v>1672582.6027122128</v>
          </cell>
          <cell r="BO491">
            <v>1652185.2538986492</v>
          </cell>
          <cell r="BP491">
            <v>1631787.9050850857</v>
          </cell>
          <cell r="BQ491">
            <v>1611390.5562715221</v>
          </cell>
          <cell r="BR491">
            <v>1590993.2074579585</v>
          </cell>
          <cell r="BS491">
            <v>1570595.8586443949</v>
          </cell>
          <cell r="BT491">
            <v>1550198.5098308313</v>
          </cell>
          <cell r="BU491">
            <v>1529801.1610172677</v>
          </cell>
          <cell r="BV491">
            <v>1509403.8122037041</v>
          </cell>
          <cell r="BW491">
            <v>1489006.4633901406</v>
          </cell>
          <cell r="BX491">
            <v>1468609.114576577</v>
          </cell>
          <cell r="BY491">
            <v>1448211.7657630134</v>
          </cell>
          <cell r="BZ491">
            <v>1427814.4169494498</v>
          </cell>
          <cell r="CA491">
            <v>1407417.0681358862</v>
          </cell>
          <cell r="CB491">
            <v>1387019.7193223226</v>
          </cell>
          <cell r="CC491">
            <v>1366622.370508759</v>
          </cell>
          <cell r="CD491">
            <v>1346225.0216951955</v>
          </cell>
          <cell r="CE491">
            <v>1325827.6728816319</v>
          </cell>
          <cell r="CF491">
            <v>1305430.3240680683</v>
          </cell>
          <cell r="CG491">
            <v>1285032.9752545047</v>
          </cell>
          <cell r="CH491">
            <v>1264635.6264409411</v>
          </cell>
          <cell r="CI491">
            <v>1244238.2776273775</v>
          </cell>
          <cell r="CJ491">
            <v>1223840.928813814</v>
          </cell>
          <cell r="CK491">
            <v>1203443.5800002504</v>
          </cell>
          <cell r="CL491">
            <v>1183046.2311866868</v>
          </cell>
          <cell r="CM491">
            <v>1162648.8823731232</v>
          </cell>
          <cell r="CN491">
            <v>1142251.5335595596</v>
          </cell>
          <cell r="CO491">
            <v>1121854.184745996</v>
          </cell>
        </row>
        <row r="494"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-33180.019108243068</v>
          </cell>
          <cell r="AD494">
            <v>-31311.32788358918</v>
          </cell>
          <cell r="AE494">
            <v>-31311.32788358918</v>
          </cell>
          <cell r="AF494">
            <v>-31311.32788358918</v>
          </cell>
          <cell r="AG494">
            <v>-31311.32788358918</v>
          </cell>
          <cell r="AH494">
            <v>-31311.32788358918</v>
          </cell>
          <cell r="AI494">
            <v>-31311.32788358918</v>
          </cell>
          <cell r="AJ494">
            <v>-31311.32788358918</v>
          </cell>
          <cell r="AK494">
            <v>-31311.32788358918</v>
          </cell>
          <cell r="AL494">
            <v>-31311.32788358918</v>
          </cell>
          <cell r="AM494">
            <v>-31311.32788358918</v>
          </cell>
          <cell r="AN494">
            <v>-31311.32788358918</v>
          </cell>
          <cell r="AO494">
            <v>-31311.32788358918</v>
          </cell>
          <cell r="AP494">
            <v>-31311.32788358918</v>
          </cell>
          <cell r="AQ494">
            <v>-31311.32788358918</v>
          </cell>
          <cell r="AR494">
            <v>-31311.32788358918</v>
          </cell>
          <cell r="AS494">
            <v>-31311.32788358918</v>
          </cell>
          <cell r="AT494">
            <v>-31311.32788358918</v>
          </cell>
          <cell r="AU494">
            <v>-31311.32788358918</v>
          </cell>
          <cell r="AV494">
            <v>-31311.32788358918</v>
          </cell>
          <cell r="AW494">
            <v>-31311.32788358918</v>
          </cell>
          <cell r="AX494">
            <v>-31311.32788358918</v>
          </cell>
          <cell r="AY494">
            <v>-31311.32788358918</v>
          </cell>
          <cell r="AZ494">
            <v>-31311.32788358918</v>
          </cell>
          <cell r="BA494">
            <v>-31311.32788358918</v>
          </cell>
          <cell r="BB494">
            <v>-31311.32788358918</v>
          </cell>
          <cell r="BC494">
            <v>-31311.32788358918</v>
          </cell>
          <cell r="BD494">
            <v>-31311.327883588961</v>
          </cell>
          <cell r="BE494">
            <v>-17026.532004207427</v>
          </cell>
          <cell r="BF494">
            <v>-17026.532004207427</v>
          </cell>
          <cell r="BG494">
            <v>-17026.532004207427</v>
          </cell>
          <cell r="BH494">
            <v>-17026.532004207427</v>
          </cell>
          <cell r="BI494">
            <v>-17026.532004207427</v>
          </cell>
          <cell r="BJ494">
            <v>-17026.532004207427</v>
          </cell>
          <cell r="BK494">
            <v>-17026.532004207427</v>
          </cell>
          <cell r="BL494">
            <v>-17026.532004207427</v>
          </cell>
          <cell r="BM494">
            <v>-17026.532004207427</v>
          </cell>
          <cell r="BN494">
            <v>-17026.532004207427</v>
          </cell>
          <cell r="BO494">
            <v>-17026.532004207427</v>
          </cell>
          <cell r="BP494">
            <v>-17026.532004207427</v>
          </cell>
          <cell r="BQ494">
            <v>-17026.532004207427</v>
          </cell>
          <cell r="BR494">
            <v>-17026.532004207427</v>
          </cell>
          <cell r="BS494">
            <v>-17026.532004207427</v>
          </cell>
          <cell r="BT494">
            <v>-17026.532004207427</v>
          </cell>
          <cell r="BU494">
            <v>-17026.532004207427</v>
          </cell>
          <cell r="BV494">
            <v>-17026.532004207427</v>
          </cell>
          <cell r="BW494">
            <v>-17026.532004207427</v>
          </cell>
          <cell r="BX494">
            <v>-17026.532004207427</v>
          </cell>
          <cell r="BY494">
            <v>-17026.532004207427</v>
          </cell>
          <cell r="BZ494">
            <v>-17026.532004207427</v>
          </cell>
          <cell r="CA494">
            <v>-17026.532004207427</v>
          </cell>
          <cell r="CB494">
            <v>-17026.532004207427</v>
          </cell>
          <cell r="CC494">
            <v>-17026.532004207427</v>
          </cell>
          <cell r="CD494">
            <v>-17026.532004207427</v>
          </cell>
          <cell r="CE494">
            <v>-17026.532004207427</v>
          </cell>
          <cell r="CF494">
            <v>-17026.532004207427</v>
          </cell>
          <cell r="CG494">
            <v>-17026.532004207427</v>
          </cell>
          <cell r="CH494">
            <v>-17026.532004207427</v>
          </cell>
          <cell r="CI494">
            <v>-17026.532004207427</v>
          </cell>
          <cell r="CJ494">
            <v>-17026.532004207427</v>
          </cell>
          <cell r="CK494">
            <v>-17026.532004207427</v>
          </cell>
          <cell r="CL494">
            <v>-17026.532004207427</v>
          </cell>
          <cell r="CM494">
            <v>-17026.532004207427</v>
          </cell>
          <cell r="CN494">
            <v>-17026.532004207427</v>
          </cell>
          <cell r="CO494">
            <v>-17026.532004207427</v>
          </cell>
        </row>
        <row r="495"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-398437.97727534676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0</v>
          </cell>
          <cell r="BJ495">
            <v>0</v>
          </cell>
          <cell r="BK495">
            <v>0</v>
          </cell>
          <cell r="BL495">
            <v>0</v>
          </cell>
          <cell r="BM495">
            <v>0</v>
          </cell>
          <cell r="BN495">
            <v>0</v>
          </cell>
          <cell r="BO495">
            <v>0</v>
          </cell>
          <cell r="BP495">
            <v>0</v>
          </cell>
          <cell r="BQ495">
            <v>0</v>
          </cell>
          <cell r="BR495">
            <v>0</v>
          </cell>
          <cell r="BS495">
            <v>0</v>
          </cell>
          <cell r="BT495">
            <v>0</v>
          </cell>
          <cell r="BU495">
            <v>0</v>
          </cell>
          <cell r="BV495">
            <v>0</v>
          </cell>
          <cell r="BW495">
            <v>0</v>
          </cell>
          <cell r="BX495">
            <v>0</v>
          </cell>
          <cell r="BY495">
            <v>0</v>
          </cell>
          <cell r="BZ495">
            <v>0</v>
          </cell>
          <cell r="CA495">
            <v>0</v>
          </cell>
          <cell r="CB495">
            <v>0</v>
          </cell>
          <cell r="CC495">
            <v>0</v>
          </cell>
          <cell r="CD495">
            <v>0</v>
          </cell>
          <cell r="CE495">
            <v>0</v>
          </cell>
          <cell r="CF495">
            <v>0</v>
          </cell>
          <cell r="CG495">
            <v>0</v>
          </cell>
          <cell r="CH495">
            <v>0</v>
          </cell>
          <cell r="CI495">
            <v>0</v>
          </cell>
          <cell r="CJ495">
            <v>0</v>
          </cell>
          <cell r="CK495">
            <v>0</v>
          </cell>
          <cell r="CL495">
            <v>0</v>
          </cell>
          <cell r="CM495">
            <v>0</v>
          </cell>
          <cell r="CN495">
            <v>0</v>
          </cell>
          <cell r="CO495">
            <v>0</v>
          </cell>
        </row>
        <row r="748"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>
            <v>0</v>
          </cell>
          <cell r="AC748">
            <v>323489.43981721537</v>
          </cell>
          <cell r="AD748">
            <v>420939.65615477052</v>
          </cell>
          <cell r="AE748">
            <v>249377.48016211341</v>
          </cell>
          <cell r="AF748">
            <v>244727.40759990399</v>
          </cell>
          <cell r="AG748">
            <v>386270.35332248232</v>
          </cell>
          <cell r="AH748">
            <v>500316.84845824167</v>
          </cell>
          <cell r="AI748">
            <v>295125.34893668047</v>
          </cell>
          <cell r="AJ748">
            <v>288452.03775775357</v>
          </cell>
          <cell r="AK748">
            <v>453556.15680446324</v>
          </cell>
          <cell r="AL748">
            <v>585370.71269614284</v>
          </cell>
          <cell r="AM748">
            <v>344134.04324495367</v>
          </cell>
          <cell r="AN748">
            <v>339008.44197024993</v>
          </cell>
          <cell r="AO748">
            <v>525606.79199968628</v>
          </cell>
          <cell r="AP748">
            <v>659517.66963765386</v>
          </cell>
          <cell r="AQ748">
            <v>377245.3187571704</v>
          </cell>
          <cell r="AR748">
            <v>357870.56580919598</v>
          </cell>
          <cell r="AS748">
            <v>546631.06367967371</v>
          </cell>
          <cell r="AT748">
            <v>685898.3764231602</v>
          </cell>
          <cell r="AU748">
            <v>392335.13150745723</v>
          </cell>
          <cell r="AV748">
            <v>372185.3884415637</v>
          </cell>
          <cell r="AW748">
            <v>475300.19045196543</v>
          </cell>
          <cell r="AX748">
            <v>596394.26041777711</v>
          </cell>
          <cell r="AY748">
            <v>341138.61270746769</v>
          </cell>
          <cell r="AZ748">
            <v>323618.24594984483</v>
          </cell>
          <cell r="BA748">
            <v>494312.19807004399</v>
          </cell>
          <cell r="BB748">
            <v>620250.03083448787</v>
          </cell>
          <cell r="BC748">
            <v>354784.15721576638</v>
          </cell>
          <cell r="BD748">
            <v>340302.56440770347</v>
          </cell>
          <cell r="BE748">
            <v>514084.68599284568</v>
          </cell>
          <cell r="BF748">
            <v>645060.03206786746</v>
          </cell>
          <cell r="BG748">
            <v>368975.52350439696</v>
          </cell>
          <cell r="BH748">
            <v>350025.49481935211</v>
          </cell>
          <cell r="BI748">
            <v>534648.07343255926</v>
          </cell>
          <cell r="BJ748">
            <v>670862.43335058214</v>
          </cell>
          <cell r="BK748">
            <v>383734.54444457276</v>
          </cell>
          <cell r="BL748">
            <v>364026.51461212622</v>
          </cell>
          <cell r="BM748">
            <v>556033.99636986165</v>
          </cell>
          <cell r="BN748">
            <v>697696.93068460515</v>
          </cell>
          <cell r="BO748">
            <v>399083.92622235557</v>
          </cell>
          <cell r="BP748">
            <v>378587.57519661105</v>
          </cell>
          <cell r="BQ748">
            <v>578275.35622465611</v>
          </cell>
          <cell r="BR748">
            <v>725604.80791198928</v>
          </cell>
          <cell r="BS748">
            <v>415047.28327124979</v>
          </cell>
          <cell r="BT748">
            <v>398105.86796230299</v>
          </cell>
          <cell r="BU748">
            <v>601406.37047364225</v>
          </cell>
          <cell r="BV748">
            <v>754629.00022846879</v>
          </cell>
          <cell r="BW748">
            <v>431649.17460209969</v>
          </cell>
          <cell r="BX748">
            <v>409480.32133265445</v>
          </cell>
          <cell r="BY748">
            <v>625462.62529258791</v>
          </cell>
          <cell r="BZ748">
            <v>784814.16023760755</v>
          </cell>
          <cell r="CA748">
            <v>448915.14158618363</v>
          </cell>
          <cell r="CB748">
            <v>425859.53418596066</v>
          </cell>
          <cell r="CC748">
            <v>650481.13030429138</v>
          </cell>
          <cell r="CD748">
            <v>816206.72664711194</v>
          </cell>
          <cell r="CE748">
            <v>466871.74724963104</v>
          </cell>
          <cell r="CF748">
            <v>442893.91555339901</v>
          </cell>
          <cell r="CG748">
            <v>676500.37551646295</v>
          </cell>
          <cell r="CH748">
            <v>848854.99571299623</v>
          </cell>
          <cell r="CI748">
            <v>485546.61713961628</v>
          </cell>
          <cell r="CJ748">
            <v>465727.55742192979</v>
          </cell>
          <cell r="CK748">
            <v>703560.39053712133</v>
          </cell>
          <cell r="CL748">
            <v>882809.19554151583</v>
          </cell>
          <cell r="CM748">
            <v>504968.48182520078</v>
          </cell>
          <cell r="CN748">
            <v>479034.05906255619</v>
          </cell>
          <cell r="CO748">
            <v>731702.80615860608</v>
          </cell>
        </row>
        <row r="750"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>
            <v>0</v>
          </cell>
          <cell r="AC750">
            <v>10007.140130195883</v>
          </cell>
          <cell r="AD750">
            <v>13021.76085833722</v>
          </cell>
          <cell r="AE750">
            <v>7714.4879619795538</v>
          </cell>
          <cell r="AF750">
            <v>7570.6380490676966</v>
          </cell>
          <cell r="AG750">
            <v>11949.266585093108</v>
          </cell>
          <cell r="AH750">
            <v>15477.292905909475</v>
          </cell>
          <cell r="AI750">
            <v>9129.6974777633441</v>
          </cell>
          <cell r="AJ750">
            <v>8923.2587138344534</v>
          </cell>
          <cell r="AK750">
            <v>14030.751732173841</v>
          </cell>
          <cell r="AL750">
            <v>18108.432699913974</v>
          </cell>
          <cell r="AM750">
            <v>10645.780574070814</v>
          </cell>
          <cell r="AN750">
            <v>10487.220188802981</v>
          </cell>
          <cell r="AO750">
            <v>16259.636864484928</v>
          </cell>
          <cell r="AP750">
            <v>20402.167508569779</v>
          </cell>
          <cell r="AQ750">
            <v>11670.077299575903</v>
          </cell>
          <cell r="AR750">
            <v>11070.719657954411</v>
          </cell>
          <cell r="AS750">
            <v>16910.022339064279</v>
          </cell>
          <cell r="AT750">
            <v>21218.254208912724</v>
          </cell>
          <cell r="AU750">
            <v>12136.880391558923</v>
          </cell>
          <cell r="AV750">
            <v>11513.548444272601</v>
          </cell>
          <cell r="AW750">
            <v>16208.621290103998</v>
          </cell>
          <cell r="AX750">
            <v>20338.1544987628</v>
          </cell>
          <cell r="AY750">
            <v>11633.46174035588</v>
          </cell>
          <cell r="AZ750">
            <v>11035.984618859249</v>
          </cell>
          <cell r="BA750">
            <v>16856.966141708137</v>
          </cell>
          <cell r="BB750">
            <v>21151.680678713252</v>
          </cell>
          <cell r="BC750">
            <v>12098.800209970097</v>
          </cell>
          <cell r="BD750">
            <v>11604.950936987123</v>
          </cell>
          <cell r="BE750">
            <v>17531.24478737649</v>
          </cell>
          <cell r="BF750">
            <v>21997.747905861819</v>
          </cell>
          <cell r="BG750">
            <v>12582.752218368929</v>
          </cell>
          <cell r="BH750">
            <v>11936.520963758172</v>
          </cell>
          <cell r="BI750">
            <v>18232.494578871527</v>
          </cell>
          <cell r="BJ750">
            <v>22877.657822096255</v>
          </cell>
          <cell r="BK750">
            <v>13086.062307103653</v>
          </cell>
          <cell r="BL750">
            <v>12413.981802308583</v>
          </cell>
          <cell r="BM750">
            <v>18961.794362026383</v>
          </cell>
          <cell r="BN750">
            <v>23792.76413498004</v>
          </cell>
          <cell r="BO750">
            <v>13609.504799387825</v>
          </cell>
          <cell r="BP750">
            <v>12910.541074400826</v>
          </cell>
          <cell r="BQ750">
            <v>19720.266136507504</v>
          </cell>
          <cell r="BR750">
            <v>24744.474700379185</v>
          </cell>
          <cell r="BS750">
            <v>14153.884991363331</v>
          </cell>
          <cell r="BT750">
            <v>13576.151192014455</v>
          </cell>
          <cell r="BU750">
            <v>20509.076781967771</v>
          </cell>
          <cell r="BV750">
            <v>25734.253688394325</v>
          </cell>
          <cell r="BW750">
            <v>14720.040391017916</v>
          </cell>
          <cell r="BX750">
            <v>13964.041226072004</v>
          </cell>
          <cell r="BY750">
            <v>21329.439853246557</v>
          </cell>
          <cell r="BZ750">
            <v>26763.623835930252</v>
          </cell>
          <cell r="CA750">
            <v>15308.842006658611</v>
          </cell>
          <cell r="CB750">
            <v>14522.602875114884</v>
          </cell>
          <cell r="CC750">
            <v>22182.617447376368</v>
          </cell>
          <cell r="CD750">
            <v>27834.168789367541</v>
          </cell>
          <cell r="CE750">
            <v>15921.195686925028</v>
          </cell>
          <cell r="CF750">
            <v>15103.506990119466</v>
          </cell>
          <cell r="CG750">
            <v>23069.922145271441</v>
          </cell>
          <cell r="CH750">
            <v>28947.535540942103</v>
          </cell>
          <cell r="CI750">
            <v>16558.043514401885</v>
          </cell>
          <cell r="CJ750">
            <v>15882.176683832251</v>
          </cell>
          <cell r="CK750">
            <v>23992.719031082233</v>
          </cell>
          <cell r="CL750">
            <v>30105.436962579726</v>
          </cell>
          <cell r="CM750">
            <v>17220.365254978009</v>
          </cell>
          <cell r="CN750">
            <v>16335.953160513251</v>
          </cell>
          <cell r="CO750">
            <v>24952.427792325499</v>
          </cell>
        </row>
        <row r="751"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0</v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>
            <v>0</v>
          </cell>
          <cell r="AC751">
            <v>313482.29968701949</v>
          </cell>
          <cell r="AD751">
            <v>407917.8952964333</v>
          </cell>
          <cell r="AE751">
            <v>241662.99220013386</v>
          </cell>
          <cell r="AF751">
            <v>237156.7695508363</v>
          </cell>
          <cell r="AG751">
            <v>374321.08673738921</v>
          </cell>
          <cell r="AH751">
            <v>484839.5555523322</v>
          </cell>
          <cell r="AI751">
            <v>285995.65145891713</v>
          </cell>
          <cell r="AJ751">
            <v>279528.77904391912</v>
          </cell>
          <cell r="AK751">
            <v>439525.4050722894</v>
          </cell>
          <cell r="AL751">
            <v>567262.27999622887</v>
          </cell>
          <cell r="AM751">
            <v>333488.26267088286</v>
          </cell>
          <cell r="AN751">
            <v>328521.22178144695</v>
          </cell>
          <cell r="AO751">
            <v>509347.15513520135</v>
          </cell>
          <cell r="AP751">
            <v>639115.50212908408</v>
          </cell>
          <cell r="AQ751">
            <v>365575.2414575945</v>
          </cell>
          <cell r="AR751">
            <v>346799.84615124157</v>
          </cell>
          <cell r="AS751">
            <v>529721.04134060943</v>
          </cell>
          <cell r="AT751">
            <v>664680.12221424747</v>
          </cell>
          <cell r="AU751">
            <v>380198.25111589831</v>
          </cell>
          <cell r="AV751">
            <v>360671.8399972911</v>
          </cell>
          <cell r="AW751">
            <v>459091.56916186144</v>
          </cell>
          <cell r="AX751">
            <v>576056.10591901431</v>
          </cell>
          <cell r="AY751">
            <v>329505.15096711181</v>
          </cell>
          <cell r="AZ751">
            <v>312582.26133098558</v>
          </cell>
          <cell r="BA751">
            <v>477455.23192833585</v>
          </cell>
          <cell r="BB751">
            <v>599098.35015577462</v>
          </cell>
          <cell r="BC751">
            <v>342685.35700579628</v>
          </cell>
          <cell r="BD751">
            <v>328697.61347071634</v>
          </cell>
          <cell r="BE751">
            <v>496553.44120546919</v>
          </cell>
          <cell r="BF751">
            <v>623062.28416200564</v>
          </cell>
          <cell r="BG751">
            <v>356392.77128602803</v>
          </cell>
          <cell r="BH751">
            <v>338088.97385559394</v>
          </cell>
          <cell r="BI751">
            <v>516415.57885368774</v>
          </cell>
          <cell r="BJ751">
            <v>647984.77552848589</v>
          </cell>
          <cell r="BK751">
            <v>370648.48213746911</v>
          </cell>
          <cell r="BL751">
            <v>351612.53280981764</v>
          </cell>
          <cell r="BM751">
            <v>537072.20200783527</v>
          </cell>
          <cell r="BN751">
            <v>673904.16654962511</v>
          </cell>
          <cell r="BO751">
            <v>385474.42142296775</v>
          </cell>
          <cell r="BP751">
            <v>365677.03412221023</v>
          </cell>
          <cell r="BQ751">
            <v>558555.0900881486</v>
          </cell>
          <cell r="BR751">
            <v>700860.33321161009</v>
          </cell>
          <cell r="BS751">
            <v>400893.39827988646</v>
          </cell>
          <cell r="BT751">
            <v>384529.71677028853</v>
          </cell>
          <cell r="BU751">
            <v>580897.29369167448</v>
          </cell>
          <cell r="BV751">
            <v>728894.74654007447</v>
          </cell>
          <cell r="BW751">
            <v>416929.13421108178</v>
          </cell>
          <cell r="BX751">
            <v>395516.28010658245</v>
          </cell>
          <cell r="BY751">
            <v>604133.18543934135</v>
          </cell>
          <cell r="BZ751">
            <v>758050.53640167729</v>
          </cell>
          <cell r="CA751">
            <v>433606.29957952502</v>
          </cell>
          <cell r="CB751">
            <v>411336.93131084577</v>
          </cell>
          <cell r="CC751">
            <v>628298.51285691501</v>
          </cell>
          <cell r="CD751">
            <v>788372.5578577444</v>
          </cell>
          <cell r="CE751">
            <v>450950.55156270601</v>
          </cell>
          <cell r="CF751">
            <v>427790.40856327955</v>
          </cell>
          <cell r="CG751">
            <v>653430.45337119151</v>
          </cell>
          <cell r="CH751">
            <v>819907.46017205412</v>
          </cell>
          <cell r="CI751">
            <v>468988.5736252144</v>
          </cell>
          <cell r="CJ751">
            <v>449845.38073809753</v>
          </cell>
          <cell r="CK751">
            <v>679567.6715060391</v>
          </cell>
          <cell r="CL751">
            <v>852703.7585789361</v>
          </cell>
          <cell r="CM751">
            <v>487748.11657022277</v>
          </cell>
          <cell r="CN751">
            <v>462698.10590204294</v>
          </cell>
          <cell r="CO751">
            <v>706750.37836628058</v>
          </cell>
        </row>
        <row r="959"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-186055.09017940742</v>
          </cell>
          <cell r="AD959">
            <v>-242041.09823244068</v>
          </cell>
          <cell r="AE959">
            <v>-143487.58800601022</v>
          </cell>
          <cell r="AF959">
            <v>-140813.52051370771</v>
          </cell>
          <cell r="AG959">
            <v>-222129.1902204362</v>
          </cell>
          <cell r="AH959">
            <v>-287649.29771768773</v>
          </cell>
          <cell r="AI959">
            <v>-169777.14731171215</v>
          </cell>
          <cell r="AJ959">
            <v>-165940.69712081039</v>
          </cell>
          <cell r="AK959">
            <v>-260791.53012046037</v>
          </cell>
          <cell r="AL959">
            <v>-336518.8874045827</v>
          </cell>
          <cell r="AM959">
            <v>-197940.29122106062</v>
          </cell>
          <cell r="AN959">
            <v>-194994.87562118465</v>
          </cell>
          <cell r="AO959">
            <v>-302190.76492486766</v>
          </cell>
          <cell r="AP959">
            <v>-379122.56482103909</v>
          </cell>
          <cell r="AQ959">
            <v>-216970.66619510794</v>
          </cell>
          <cell r="AR959">
            <v>-205838.20558928998</v>
          </cell>
          <cell r="AS959">
            <v>-314279.10852845892</v>
          </cell>
          <cell r="AT959">
            <v>-394288.19535846217</v>
          </cell>
          <cell r="AU959">
            <v>-225650.22796022767</v>
          </cell>
          <cell r="AV959">
            <v>-214071.73381286155</v>
          </cell>
          <cell r="AW959">
            <v>-322810.96548960765</v>
          </cell>
          <cell r="AX959">
            <v>-404991.30581071583</v>
          </cell>
          <cell r="AY959">
            <v>-231777.09303537774</v>
          </cell>
          <cell r="AZ959">
            <v>-219884.35480565729</v>
          </cell>
          <cell r="BA959">
            <v>-335723.40410919185</v>
          </cell>
          <cell r="BB959">
            <v>-421190.95804314408</v>
          </cell>
          <cell r="BC959">
            <v>-241048.17675679279</v>
          </cell>
          <cell r="BD959">
            <v>-231219.82066585755</v>
          </cell>
          <cell r="BE959">
            <v>-349151.5382381074</v>
          </cell>
          <cell r="BF959">
            <v>-438037.77752621635</v>
          </cell>
          <cell r="BG959">
            <v>-250689.27692006069</v>
          </cell>
          <cell r="BH959">
            <v>-237826.91815779888</v>
          </cell>
          <cell r="BI959">
            <v>-363118.43388450181</v>
          </cell>
          <cell r="BJ959">
            <v>-455560.14021946484</v>
          </cell>
          <cell r="BK959">
            <v>-260717.70798014698</v>
          </cell>
          <cell r="BL959">
            <v>-247339.99488411084</v>
          </cell>
          <cell r="BM959">
            <v>-377643.17123988183</v>
          </cell>
          <cell r="BN959">
            <v>-473782.54582824325</v>
          </cell>
          <cell r="BO959">
            <v>-271146.41629935289</v>
          </cell>
          <cell r="BP959">
            <v>-257233.59467947515</v>
          </cell>
          <cell r="BQ959">
            <v>-392748.89808947721</v>
          </cell>
          <cell r="BR959">
            <v>-492733.84766137291</v>
          </cell>
          <cell r="BS959">
            <v>-281992.27295132703</v>
          </cell>
          <cell r="BT959">
            <v>-270494.48644761811</v>
          </cell>
          <cell r="BU959">
            <v>-408457.91574501712</v>
          </cell>
          <cell r="BV959">
            <v>-512442.24364241946</v>
          </cell>
          <cell r="BW959">
            <v>-293270.9965051433</v>
          </cell>
          <cell r="BX959">
            <v>-278223.85600532027</v>
          </cell>
          <cell r="BY959">
            <v>-424797.20817357831</v>
          </cell>
          <cell r="BZ959">
            <v>-532940.92963054078</v>
          </cell>
          <cell r="CA959">
            <v>-305002.84242415521</v>
          </cell>
          <cell r="CB959">
            <v>-289352.81024553307</v>
          </cell>
          <cell r="CC959">
            <v>-441789.09650052147</v>
          </cell>
          <cell r="CD959">
            <v>-554258.56681576255</v>
          </cell>
          <cell r="CE959">
            <v>-317202.95612112142</v>
          </cell>
          <cell r="CF959">
            <v>-300926.92265535437</v>
          </cell>
          <cell r="CG959">
            <v>-459460.66036054218</v>
          </cell>
          <cell r="CH959">
            <v>-576428.90948839299</v>
          </cell>
          <cell r="CI959">
            <v>-329891.0743659662</v>
          </cell>
          <cell r="CJ959">
            <v>-316440.29040355003</v>
          </cell>
          <cell r="CK959">
            <v>-477837.9891340668</v>
          </cell>
          <cell r="CL959">
            <v>-599484.94523068995</v>
          </cell>
          <cell r="CM959">
            <v>-343085.58566127176</v>
          </cell>
          <cell r="CN959">
            <v>-325482.5595440311</v>
          </cell>
          <cell r="CO959">
            <v>-496952.65024596237</v>
          </cell>
        </row>
        <row r="961"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129402.92287735427</v>
          </cell>
          <cell r="AD961">
            <v>168322.6367023722</v>
          </cell>
          <cell r="AE961">
            <v>99814.524874517418</v>
          </cell>
          <cell r="AF961">
            <v>97954.816852217511</v>
          </cell>
          <cell r="AG961">
            <v>154482.3060049476</v>
          </cell>
          <cell r="AH961">
            <v>200029.64058480645</v>
          </cell>
          <cell r="AI961">
            <v>118092.33604713167</v>
          </cell>
          <cell r="AJ961">
            <v>115424.57173846723</v>
          </cell>
          <cell r="AK961">
            <v>181360.99510614469</v>
          </cell>
          <cell r="AL961">
            <v>234003.88855911151</v>
          </cell>
          <cell r="AM961">
            <v>137672.6688737559</v>
          </cell>
          <cell r="AN961">
            <v>135624.89129601198</v>
          </cell>
          <cell r="AO961">
            <v>210142.12206256361</v>
          </cell>
          <cell r="AP961">
            <v>263622.33278847486</v>
          </cell>
          <cell r="AQ961">
            <v>150904.32126519774</v>
          </cell>
          <cell r="AR961">
            <v>143164.92890316786</v>
          </cell>
          <cell r="AS961">
            <v>218548.51995166263</v>
          </cell>
          <cell r="AT961">
            <v>274167.95404459536</v>
          </cell>
          <cell r="AU961">
            <v>156941.22923312103</v>
          </cell>
          <cell r="AV961">
            <v>148891.52605929453</v>
          </cell>
          <cell r="AW961">
            <v>223251.15336973959</v>
          </cell>
          <cell r="AX961">
            <v>280066.2548442944</v>
          </cell>
          <cell r="AY961">
            <v>160319.73435918684</v>
          </cell>
          <cell r="AZ961">
            <v>152096.93874194767</v>
          </cell>
          <cell r="BA961">
            <v>232181.19950452916</v>
          </cell>
          <cell r="BB961">
            <v>291268.90503806598</v>
          </cell>
          <cell r="BC961">
            <v>166732.52373355432</v>
          </cell>
          <cell r="BD961">
            <v>159937.58670730775</v>
          </cell>
          <cell r="BE961">
            <v>241467.64544925813</v>
          </cell>
          <cell r="BF961">
            <v>302918.84240093501</v>
          </cell>
          <cell r="BG961">
            <v>173400.99777589267</v>
          </cell>
          <cell r="BH961">
            <v>164508.04894329057</v>
          </cell>
          <cell r="BI961">
            <v>251127.18538409856</v>
          </cell>
          <cell r="BJ961">
            <v>315036.44768917217</v>
          </cell>
          <cell r="BK961">
            <v>180337.89767021229</v>
          </cell>
          <cell r="BL961">
            <v>171088.37090102219</v>
          </cell>
          <cell r="BM961">
            <v>261172.27279946249</v>
          </cell>
          <cell r="BN961">
            <v>327637.90559673897</v>
          </cell>
          <cell r="BO961">
            <v>187551.41357702072</v>
          </cell>
          <cell r="BP961">
            <v>177931.90573706297</v>
          </cell>
          <cell r="BQ961">
            <v>271619.16371144104</v>
          </cell>
          <cell r="BR961">
            <v>340743.42182060849</v>
          </cell>
          <cell r="BS961">
            <v>195053.47012010153</v>
          </cell>
          <cell r="BT961">
            <v>187104.35487528608</v>
          </cell>
          <cell r="BU961">
            <v>282482.99199185951</v>
          </cell>
          <cell r="BV961">
            <v>354372.20076802466</v>
          </cell>
          <cell r="BW961">
            <v>202854.64156066885</v>
          </cell>
          <cell r="BX961">
            <v>192451.14924520729</v>
          </cell>
          <cell r="BY961">
            <v>293783.28747029451</v>
          </cell>
          <cell r="BZ961">
            <v>368548.08504117007</v>
          </cell>
          <cell r="CA961">
            <v>210969.83328190178</v>
          </cell>
          <cell r="CB961">
            <v>200149.19521501556</v>
          </cell>
          <cell r="CC961">
            <v>305534.61896910629</v>
          </cell>
          <cell r="CD961">
            <v>383290.00844281696</v>
          </cell>
          <cell r="CE961">
            <v>219408.62661317782</v>
          </cell>
          <cell r="CF961">
            <v>208155.16302361616</v>
          </cell>
          <cell r="CG961">
            <v>317756.00372787053</v>
          </cell>
          <cell r="CH961">
            <v>398621.60878052947</v>
          </cell>
          <cell r="CI961">
            <v>228184.97167770498</v>
          </cell>
          <cell r="CJ961">
            <v>218885.6311641311</v>
          </cell>
          <cell r="CK961">
            <v>330465.14623608813</v>
          </cell>
          <cell r="CL961">
            <v>414565.35249451193</v>
          </cell>
          <cell r="CM961">
            <v>237311.23886548018</v>
          </cell>
          <cell r="CN961">
            <v>225140.62432634315</v>
          </cell>
          <cell r="CO961">
            <v>343684.89363206463</v>
          </cell>
        </row>
        <row r="962"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>
            <v>0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  <cell r="AS962">
            <v>0</v>
          </cell>
          <cell r="AT962">
            <v>0</v>
          </cell>
          <cell r="AU962">
            <v>0</v>
          </cell>
          <cell r="AV962">
            <v>0</v>
          </cell>
          <cell r="AW962">
            <v>0</v>
          </cell>
          <cell r="AX962">
            <v>0</v>
          </cell>
          <cell r="AY962">
            <v>0</v>
          </cell>
          <cell r="AZ962">
            <v>0</v>
          </cell>
          <cell r="BA962">
            <v>0</v>
          </cell>
          <cell r="BB962">
            <v>0</v>
          </cell>
          <cell r="BC962">
            <v>0</v>
          </cell>
          <cell r="BD962">
            <v>0</v>
          </cell>
          <cell r="BE962">
            <v>0</v>
          </cell>
          <cell r="BF962">
            <v>0</v>
          </cell>
          <cell r="BG962">
            <v>0</v>
          </cell>
          <cell r="BH962">
            <v>0</v>
          </cell>
          <cell r="BI962">
            <v>0</v>
          </cell>
          <cell r="BJ962">
            <v>0</v>
          </cell>
          <cell r="BK962">
            <v>0</v>
          </cell>
          <cell r="BL962">
            <v>0</v>
          </cell>
          <cell r="BM962">
            <v>0</v>
          </cell>
          <cell r="BN962">
            <v>0</v>
          </cell>
          <cell r="BO962">
            <v>0</v>
          </cell>
          <cell r="BP962">
            <v>0</v>
          </cell>
          <cell r="BQ962">
            <v>0</v>
          </cell>
          <cell r="BR962">
            <v>0</v>
          </cell>
          <cell r="BS962">
            <v>0</v>
          </cell>
          <cell r="BT962">
            <v>0</v>
          </cell>
          <cell r="BU962">
            <v>0</v>
          </cell>
          <cell r="BV962">
            <v>0</v>
          </cell>
          <cell r="BW962">
            <v>0</v>
          </cell>
          <cell r="BX962">
            <v>0</v>
          </cell>
          <cell r="BY962">
            <v>0</v>
          </cell>
          <cell r="BZ962">
            <v>0</v>
          </cell>
          <cell r="CA962">
            <v>0</v>
          </cell>
          <cell r="CB962">
            <v>0</v>
          </cell>
          <cell r="CC962">
            <v>0</v>
          </cell>
          <cell r="CD962">
            <v>0</v>
          </cell>
          <cell r="CE962">
            <v>0</v>
          </cell>
          <cell r="CF962">
            <v>0</v>
          </cell>
          <cell r="CG962">
            <v>0</v>
          </cell>
          <cell r="CH962">
            <v>0</v>
          </cell>
          <cell r="CI962">
            <v>0</v>
          </cell>
          <cell r="CJ962">
            <v>0</v>
          </cell>
          <cell r="CK962">
            <v>0</v>
          </cell>
          <cell r="CL962">
            <v>0</v>
          </cell>
          <cell r="CM962">
            <v>0</v>
          </cell>
          <cell r="CN962">
            <v>0</v>
          </cell>
          <cell r="CO962">
            <v>0</v>
          </cell>
        </row>
        <row r="963"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-186055.09017940742</v>
          </cell>
          <cell r="AD963">
            <v>-242041.09823244068</v>
          </cell>
          <cell r="AE963">
            <v>-143487.58800601022</v>
          </cell>
          <cell r="AF963">
            <v>-140813.52051370771</v>
          </cell>
          <cell r="AG963">
            <v>-222129.1902204362</v>
          </cell>
          <cell r="AH963">
            <v>-287649.29771768773</v>
          </cell>
          <cell r="AI963">
            <v>-169777.14731171215</v>
          </cell>
          <cell r="AJ963">
            <v>-165940.69712081039</v>
          </cell>
          <cell r="AK963">
            <v>-260791.53012046037</v>
          </cell>
          <cell r="AL963">
            <v>-336518.8874045827</v>
          </cell>
          <cell r="AM963">
            <v>-197940.29122106062</v>
          </cell>
          <cell r="AN963">
            <v>-194994.87562118465</v>
          </cell>
          <cell r="AO963">
            <v>-302190.76492486766</v>
          </cell>
          <cell r="AP963">
            <v>-379122.56482103909</v>
          </cell>
          <cell r="AQ963">
            <v>-216970.66619510794</v>
          </cell>
          <cell r="AR963">
            <v>-205838.20558928998</v>
          </cell>
          <cell r="AS963">
            <v>-314279.10852845892</v>
          </cell>
          <cell r="AT963">
            <v>-394288.19535846217</v>
          </cell>
          <cell r="AU963">
            <v>-225650.22796022767</v>
          </cell>
          <cell r="AV963">
            <v>-214071.73381286155</v>
          </cell>
          <cell r="AW963">
            <v>-322810.96548960765</v>
          </cell>
          <cell r="AX963">
            <v>-404991.30581071583</v>
          </cell>
          <cell r="AY963">
            <v>-231777.09303537774</v>
          </cell>
          <cell r="AZ963">
            <v>-219884.35480565729</v>
          </cell>
          <cell r="BA963">
            <v>-335723.40410919185</v>
          </cell>
          <cell r="BB963">
            <v>-421190.95804314408</v>
          </cell>
          <cell r="BC963">
            <v>-241048.17675679279</v>
          </cell>
          <cell r="BD963">
            <v>-231219.82066585755</v>
          </cell>
          <cell r="BE963">
            <v>-349151.5382381074</v>
          </cell>
          <cell r="BF963">
            <v>-438037.77752621635</v>
          </cell>
          <cell r="BG963">
            <v>-250689.27692006069</v>
          </cell>
          <cell r="BH963">
            <v>-237826.91815779888</v>
          </cell>
          <cell r="BI963">
            <v>-363118.43388450181</v>
          </cell>
          <cell r="BJ963">
            <v>-455560.14021946484</v>
          </cell>
          <cell r="BK963">
            <v>-260717.70798014698</v>
          </cell>
          <cell r="BL963">
            <v>-247339.99488411084</v>
          </cell>
          <cell r="BM963">
            <v>-377643.17123988183</v>
          </cell>
          <cell r="BN963">
            <v>-473782.54582824325</v>
          </cell>
          <cell r="BO963">
            <v>-271146.41629935289</v>
          </cell>
          <cell r="BP963">
            <v>-257233.59467947515</v>
          </cell>
          <cell r="BQ963">
            <v>-392748.89808947721</v>
          </cell>
          <cell r="BR963">
            <v>-492733.84766137291</v>
          </cell>
          <cell r="BS963">
            <v>-281992.27295132703</v>
          </cell>
          <cell r="BT963">
            <v>-270494.48644761811</v>
          </cell>
          <cell r="BU963">
            <v>-408457.91574501712</v>
          </cell>
          <cell r="BV963">
            <v>-512442.24364241946</v>
          </cell>
          <cell r="BW963">
            <v>-293270.9965051433</v>
          </cell>
          <cell r="BX963">
            <v>-278223.85600532027</v>
          </cell>
          <cell r="BY963">
            <v>-424797.20817357831</v>
          </cell>
          <cell r="BZ963">
            <v>-532940.92963054078</v>
          </cell>
          <cell r="CA963">
            <v>-305002.84242415521</v>
          </cell>
          <cell r="CB963">
            <v>-289352.81024553307</v>
          </cell>
          <cell r="CC963">
            <v>-441789.09650052147</v>
          </cell>
          <cell r="CD963">
            <v>-554258.56681576255</v>
          </cell>
          <cell r="CE963">
            <v>-317202.95612112142</v>
          </cell>
          <cell r="CF963">
            <v>-300926.92265535437</v>
          </cell>
          <cell r="CG963">
            <v>-459460.66036054218</v>
          </cell>
          <cell r="CH963">
            <v>-576428.90948839299</v>
          </cell>
          <cell r="CI963">
            <v>-329891.0743659662</v>
          </cell>
          <cell r="CJ963">
            <v>-316440.29040355003</v>
          </cell>
          <cell r="CK963">
            <v>-477837.9891340668</v>
          </cell>
          <cell r="CL963">
            <v>-599484.94523068995</v>
          </cell>
          <cell r="CM963">
            <v>-343085.58566127176</v>
          </cell>
          <cell r="CN963">
            <v>-325482.5595440311</v>
          </cell>
          <cell r="CO963">
            <v>-496952.65024596237</v>
          </cell>
        </row>
        <row r="977"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-2125.3581807013679</v>
          </cell>
          <cell r="AD977">
            <v>-2148.7137651046796</v>
          </cell>
          <cell r="AE977">
            <v>-2148.7137651046796</v>
          </cell>
          <cell r="AF977">
            <v>-2102.0025962980558</v>
          </cell>
          <cell r="AG977">
            <v>-2125.3581807013679</v>
          </cell>
          <cell r="AH977">
            <v>-2148.7137651046796</v>
          </cell>
          <cell r="AI977">
            <v>-2148.7137651046796</v>
          </cell>
          <cell r="AJ977">
            <v>-2102.0025962980558</v>
          </cell>
          <cell r="AK977">
            <v>-2125.3581807013679</v>
          </cell>
          <cell r="AL977">
            <v>-2148.7137651046796</v>
          </cell>
          <cell r="AM977">
            <v>-2148.7137651046796</v>
          </cell>
          <cell r="AN977">
            <v>-2119.5511911366098</v>
          </cell>
          <cell r="AO977">
            <v>-2119.5511911366098</v>
          </cell>
          <cell r="AP977">
            <v>-2142.8429624677815</v>
          </cell>
          <cell r="AQ977">
            <v>-2142.8429624677815</v>
          </cell>
          <cell r="AR977">
            <v>-2102.0025962980558</v>
          </cell>
          <cell r="AS977">
            <v>-2125.3581807013679</v>
          </cell>
          <cell r="AT977">
            <v>-2148.7137651046796</v>
          </cell>
          <cell r="AU977">
            <v>-2148.7137651046796</v>
          </cell>
          <cell r="AV977">
            <v>-2102.0025962980558</v>
          </cell>
          <cell r="AW977">
            <v>-2125.3581807013679</v>
          </cell>
          <cell r="AX977">
            <v>-2148.7137651046796</v>
          </cell>
          <cell r="AY977">
            <v>-2148.7137651046796</v>
          </cell>
          <cell r="AZ977">
            <v>-2102.0025962980558</v>
          </cell>
          <cell r="BA977">
            <v>-2125.3581807013679</v>
          </cell>
          <cell r="BB977">
            <v>-2148.7137651046796</v>
          </cell>
          <cell r="BC977">
            <v>-2148.7137651046796</v>
          </cell>
          <cell r="BD977">
            <v>-2119.5511911366098</v>
          </cell>
          <cell r="BE977">
            <v>-2119.5511911366098</v>
          </cell>
          <cell r="BF977">
            <v>-2142.8429624677815</v>
          </cell>
          <cell r="BG977">
            <v>-2142.8429624677815</v>
          </cell>
          <cell r="BH977">
            <v>-2102.0025962980558</v>
          </cell>
          <cell r="BI977">
            <v>-2125.3581807013679</v>
          </cell>
          <cell r="BJ977">
            <v>-2148.7137651046796</v>
          </cell>
          <cell r="BK977">
            <v>-2148.7137651046796</v>
          </cell>
          <cell r="BL977">
            <v>-2102.0025962980558</v>
          </cell>
          <cell r="BM977">
            <v>-2125.3581807013679</v>
          </cell>
          <cell r="BN977">
            <v>-2148.7137651046796</v>
          </cell>
          <cell r="BO977">
            <v>-2148.7137651046796</v>
          </cell>
          <cell r="BP977">
            <v>-2102.0025962980558</v>
          </cell>
          <cell r="BQ977">
            <v>-2125.3581807013679</v>
          </cell>
          <cell r="BR977">
            <v>-2148.7137651046796</v>
          </cell>
          <cell r="BS977">
            <v>-2148.7137651046796</v>
          </cell>
          <cell r="BT977">
            <v>-2119.5511911366098</v>
          </cell>
          <cell r="BU977">
            <v>-2119.5511911366098</v>
          </cell>
          <cell r="BV977">
            <v>-2142.8429624677815</v>
          </cell>
          <cell r="BW977">
            <v>-2142.8429624677815</v>
          </cell>
          <cell r="BX977">
            <v>-2102.0025962980558</v>
          </cell>
          <cell r="BY977">
            <v>-2125.3581807013679</v>
          </cell>
          <cell r="BZ977">
            <v>-2148.7137651046796</v>
          </cell>
          <cell r="CA977">
            <v>-2148.7137651046796</v>
          </cell>
          <cell r="CB977">
            <v>-2102.0025962980558</v>
          </cell>
          <cell r="CC977">
            <v>-2125.3581807013679</v>
          </cell>
          <cell r="CD977">
            <v>-2148.7137651046796</v>
          </cell>
          <cell r="CE977">
            <v>-2148.7137651046796</v>
          </cell>
          <cell r="CF977">
            <v>-2102.0025962980558</v>
          </cell>
          <cell r="CG977">
            <v>-2125.3581807013679</v>
          </cell>
          <cell r="CH977">
            <v>-2148.7137651046796</v>
          </cell>
          <cell r="CI977">
            <v>-2148.7137651046796</v>
          </cell>
          <cell r="CJ977">
            <v>-2119.5511911366098</v>
          </cell>
          <cell r="CK977">
            <v>-2119.5511911366098</v>
          </cell>
          <cell r="CL977">
            <v>-2142.8429624677815</v>
          </cell>
          <cell r="CM977">
            <v>-2142.8429624677815</v>
          </cell>
          <cell r="CN977">
            <v>-2102.0025962980558</v>
          </cell>
          <cell r="CO977">
            <v>-2125.3581807013679</v>
          </cell>
        </row>
        <row r="980"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>
            <v>0</v>
          </cell>
          <cell r="AM980">
            <v>0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  <cell r="AR980">
            <v>0</v>
          </cell>
          <cell r="AS980">
            <v>0</v>
          </cell>
          <cell r="AT980">
            <v>0</v>
          </cell>
          <cell r="AU980">
            <v>0</v>
          </cell>
          <cell r="AV980">
            <v>0</v>
          </cell>
          <cell r="AW980">
            <v>0</v>
          </cell>
          <cell r="AX980">
            <v>0</v>
          </cell>
          <cell r="AY980">
            <v>0</v>
          </cell>
          <cell r="AZ980">
            <v>0</v>
          </cell>
          <cell r="BA980">
            <v>0</v>
          </cell>
          <cell r="BB980">
            <v>0</v>
          </cell>
          <cell r="BC980">
            <v>0</v>
          </cell>
          <cell r="BD980">
            <v>0</v>
          </cell>
          <cell r="BE980">
            <v>0</v>
          </cell>
          <cell r="BF980">
            <v>0</v>
          </cell>
          <cell r="BG980">
            <v>0</v>
          </cell>
          <cell r="BH980">
            <v>0</v>
          </cell>
          <cell r="BI980">
            <v>0</v>
          </cell>
          <cell r="BJ980">
            <v>0</v>
          </cell>
          <cell r="BK980">
            <v>0</v>
          </cell>
          <cell r="BL980">
            <v>0</v>
          </cell>
          <cell r="BM980">
            <v>0</v>
          </cell>
          <cell r="BN980">
            <v>0</v>
          </cell>
          <cell r="BO980">
            <v>0</v>
          </cell>
          <cell r="BP980">
            <v>0</v>
          </cell>
          <cell r="BQ980">
            <v>0</v>
          </cell>
          <cell r="BR980">
            <v>0</v>
          </cell>
          <cell r="BS980">
            <v>0</v>
          </cell>
          <cell r="BT980">
            <v>0</v>
          </cell>
          <cell r="BU980">
            <v>0</v>
          </cell>
          <cell r="BV980">
            <v>0</v>
          </cell>
          <cell r="BW980">
            <v>0</v>
          </cell>
          <cell r="BX980">
            <v>0</v>
          </cell>
          <cell r="BY980">
            <v>0</v>
          </cell>
          <cell r="BZ980">
            <v>0</v>
          </cell>
          <cell r="CA980">
            <v>0</v>
          </cell>
          <cell r="CB980">
            <v>0</v>
          </cell>
          <cell r="CC980">
            <v>0</v>
          </cell>
          <cell r="CD980">
            <v>0</v>
          </cell>
          <cell r="CE980">
            <v>0</v>
          </cell>
          <cell r="CF980">
            <v>0</v>
          </cell>
          <cell r="CG980">
            <v>0</v>
          </cell>
          <cell r="CH980">
            <v>0</v>
          </cell>
          <cell r="CI980">
            <v>0</v>
          </cell>
          <cell r="CJ980">
            <v>0</v>
          </cell>
          <cell r="CK980">
            <v>0</v>
          </cell>
          <cell r="CL980">
            <v>0</v>
          </cell>
          <cell r="CM980">
            <v>0</v>
          </cell>
          <cell r="CN980">
            <v>0</v>
          </cell>
          <cell r="CO980">
            <v>0</v>
          </cell>
        </row>
        <row r="981"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-2125.3581807013679</v>
          </cell>
          <cell r="AD981">
            <v>-2148.7137651046796</v>
          </cell>
          <cell r="AE981">
            <v>-2148.7137651046796</v>
          </cell>
          <cell r="AF981">
            <v>-2102.0025962980558</v>
          </cell>
          <cell r="AG981">
            <v>-2125.3581807013679</v>
          </cell>
          <cell r="AH981">
            <v>-2148.7137651046796</v>
          </cell>
          <cell r="AI981">
            <v>-2148.7137651046796</v>
          </cell>
          <cell r="AJ981">
            <v>-2102.0025962980558</v>
          </cell>
          <cell r="AK981">
            <v>-2125.3581807013679</v>
          </cell>
          <cell r="AL981">
            <v>-2148.7137651046796</v>
          </cell>
          <cell r="AM981">
            <v>-2148.7137651046796</v>
          </cell>
          <cell r="AN981">
            <v>-2119.5511911366098</v>
          </cell>
          <cell r="AO981">
            <v>-2119.5511911366098</v>
          </cell>
          <cell r="AP981">
            <v>-2142.8429624677815</v>
          </cell>
          <cell r="AQ981">
            <v>-2142.8429624677815</v>
          </cell>
          <cell r="AR981">
            <v>-2102.0025962980558</v>
          </cell>
          <cell r="AS981">
            <v>-2125.3581807013679</v>
          </cell>
          <cell r="AT981">
            <v>-2148.7137651046796</v>
          </cell>
          <cell r="AU981">
            <v>-2148.7137651046796</v>
          </cell>
          <cell r="AV981">
            <v>-2102.0025962980558</v>
          </cell>
          <cell r="AW981">
            <v>-2125.3581807013679</v>
          </cell>
          <cell r="AX981">
            <v>-2148.7137651046796</v>
          </cell>
          <cell r="AY981">
            <v>-2148.7137651046796</v>
          </cell>
          <cell r="AZ981">
            <v>-2102.0025962980558</v>
          </cell>
          <cell r="BA981">
            <v>-2125.3581807013679</v>
          </cell>
          <cell r="BB981">
            <v>-2148.7137651046796</v>
          </cell>
          <cell r="BC981">
            <v>-2148.7137651046796</v>
          </cell>
          <cell r="BD981">
            <v>-2119.5511911366098</v>
          </cell>
          <cell r="BE981">
            <v>-2119.5511911366098</v>
          </cell>
          <cell r="BF981">
            <v>-2142.8429624677815</v>
          </cell>
          <cell r="BG981">
            <v>-2142.8429624677815</v>
          </cell>
          <cell r="BH981">
            <v>-2102.0025962980558</v>
          </cell>
          <cell r="BI981">
            <v>-2125.3581807013679</v>
          </cell>
          <cell r="BJ981">
            <v>-2148.7137651046796</v>
          </cell>
          <cell r="BK981">
            <v>-2148.7137651046796</v>
          </cell>
          <cell r="BL981">
            <v>-2102.0025962980558</v>
          </cell>
          <cell r="BM981">
            <v>-2125.3581807013679</v>
          </cell>
          <cell r="BN981">
            <v>-2148.7137651046796</v>
          </cell>
          <cell r="BO981">
            <v>-2148.7137651046796</v>
          </cell>
          <cell r="BP981">
            <v>-2102.0025962980558</v>
          </cell>
          <cell r="BQ981">
            <v>-2125.3581807013679</v>
          </cell>
          <cell r="BR981">
            <v>-2148.7137651046796</v>
          </cell>
          <cell r="BS981">
            <v>-2148.7137651046796</v>
          </cell>
          <cell r="BT981">
            <v>-2119.5511911366098</v>
          </cell>
          <cell r="BU981">
            <v>-2119.5511911366098</v>
          </cell>
          <cell r="BV981">
            <v>-2142.8429624677815</v>
          </cell>
          <cell r="BW981">
            <v>-2142.8429624677815</v>
          </cell>
          <cell r="BX981">
            <v>-2102.0025962980558</v>
          </cell>
          <cell r="BY981">
            <v>-2125.3581807013679</v>
          </cell>
          <cell r="BZ981">
            <v>-2148.7137651046796</v>
          </cell>
          <cell r="CA981">
            <v>-2148.7137651046796</v>
          </cell>
          <cell r="CB981">
            <v>-2102.0025962980558</v>
          </cell>
          <cell r="CC981">
            <v>-2125.3581807013679</v>
          </cell>
          <cell r="CD981">
            <v>-2148.7137651046796</v>
          </cell>
          <cell r="CE981">
            <v>-2148.7137651046796</v>
          </cell>
          <cell r="CF981">
            <v>-2102.0025962980558</v>
          </cell>
          <cell r="CG981">
            <v>-2125.3581807013679</v>
          </cell>
          <cell r="CH981">
            <v>-2148.7137651046796</v>
          </cell>
          <cell r="CI981">
            <v>-2148.7137651046796</v>
          </cell>
          <cell r="CJ981">
            <v>-2119.5511911366098</v>
          </cell>
          <cell r="CK981">
            <v>-2119.5511911366098</v>
          </cell>
          <cell r="CL981">
            <v>-2142.8429624677815</v>
          </cell>
          <cell r="CM981">
            <v>-2142.8429624677815</v>
          </cell>
          <cell r="CN981">
            <v>-2102.0025962980558</v>
          </cell>
          <cell r="CO981">
            <v>-2125.3581807013679</v>
          </cell>
        </row>
        <row r="983"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>
            <v>0</v>
          </cell>
          <cell r="AM983">
            <v>0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  <cell r="AR983">
            <v>0</v>
          </cell>
          <cell r="AS983">
            <v>0</v>
          </cell>
          <cell r="AT983">
            <v>0</v>
          </cell>
          <cell r="AU983">
            <v>0</v>
          </cell>
          <cell r="AV983">
            <v>0</v>
          </cell>
          <cell r="AW983">
            <v>0</v>
          </cell>
          <cell r="AX983">
            <v>0</v>
          </cell>
          <cell r="AY983">
            <v>0</v>
          </cell>
          <cell r="AZ983">
            <v>0</v>
          </cell>
          <cell r="BA983">
            <v>0</v>
          </cell>
          <cell r="BB983">
            <v>0</v>
          </cell>
          <cell r="BC983">
            <v>0</v>
          </cell>
          <cell r="BD983">
            <v>0</v>
          </cell>
          <cell r="BE983">
            <v>0</v>
          </cell>
          <cell r="BF983">
            <v>0</v>
          </cell>
          <cell r="BG983">
            <v>0</v>
          </cell>
          <cell r="BH983">
            <v>0</v>
          </cell>
          <cell r="BI983">
            <v>0</v>
          </cell>
          <cell r="BJ983">
            <v>0</v>
          </cell>
          <cell r="BK983">
            <v>0</v>
          </cell>
          <cell r="BL983">
            <v>0</v>
          </cell>
          <cell r="BM983">
            <v>0</v>
          </cell>
          <cell r="BN983">
            <v>0</v>
          </cell>
          <cell r="BO983">
            <v>0</v>
          </cell>
          <cell r="BP983">
            <v>0</v>
          </cell>
          <cell r="BQ983">
            <v>0</v>
          </cell>
          <cell r="BR983">
            <v>0</v>
          </cell>
          <cell r="BS983">
            <v>0</v>
          </cell>
          <cell r="BT983">
            <v>0</v>
          </cell>
          <cell r="BU983">
            <v>0</v>
          </cell>
          <cell r="BV983">
            <v>0</v>
          </cell>
          <cell r="BW983">
            <v>0</v>
          </cell>
          <cell r="BX983">
            <v>0</v>
          </cell>
          <cell r="BY983">
            <v>0</v>
          </cell>
          <cell r="BZ983">
            <v>0</v>
          </cell>
          <cell r="CA983">
            <v>0</v>
          </cell>
          <cell r="CB983">
            <v>0</v>
          </cell>
          <cell r="CC983">
            <v>0</v>
          </cell>
          <cell r="CD983">
            <v>0</v>
          </cell>
          <cell r="CE983">
            <v>0</v>
          </cell>
          <cell r="CF983">
            <v>0</v>
          </cell>
          <cell r="CG983">
            <v>0</v>
          </cell>
          <cell r="CH983">
            <v>0</v>
          </cell>
          <cell r="CI983">
            <v>0</v>
          </cell>
          <cell r="CJ983">
            <v>0</v>
          </cell>
          <cell r="CK983">
            <v>0</v>
          </cell>
          <cell r="CL983">
            <v>0</v>
          </cell>
          <cell r="CM983">
            <v>0</v>
          </cell>
          <cell r="CN983">
            <v>0</v>
          </cell>
          <cell r="CO983">
            <v>0</v>
          </cell>
        </row>
        <row r="996"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106644.87026941165</v>
          </cell>
          <cell r="AD996">
            <v>137262.93135481642</v>
          </cell>
          <cell r="AE996">
            <v>81318.743531123968</v>
          </cell>
          <cell r="AF996">
            <v>81575.80253330135</v>
          </cell>
          <cell r="AG996">
            <v>127341.87472169747</v>
          </cell>
          <cell r="AH996">
            <v>163146.79841029627</v>
          </cell>
          <cell r="AI996">
            <v>96236.52682717843</v>
          </cell>
          <cell r="AJ996">
            <v>96150.679252584523</v>
          </cell>
          <cell r="AK996">
            <v>149524.00773773523</v>
          </cell>
          <cell r="AL996">
            <v>190881.75414004654</v>
          </cell>
          <cell r="AM996">
            <v>112217.62279726745</v>
          </cell>
          <cell r="AN996">
            <v>111761.02482535713</v>
          </cell>
          <cell r="AO996">
            <v>173276.96439550095</v>
          </cell>
          <cell r="AP996">
            <v>215060.10966445238</v>
          </cell>
          <cell r="AQ996">
            <v>123014.77785559912</v>
          </cell>
          <cell r="AR996">
            <v>119290.18860306533</v>
          </cell>
          <cell r="AS996">
            <v>180208.04297132103</v>
          </cell>
          <cell r="AT996">
            <v>223662.51405103051</v>
          </cell>
          <cell r="AU996">
            <v>127935.368969823</v>
          </cell>
          <cell r="AV996">
            <v>124061.79614718788</v>
          </cell>
          <cell r="AW996">
            <v>156692.37047867</v>
          </cell>
          <cell r="AX996">
            <v>194476.38926666649</v>
          </cell>
          <cell r="AY996">
            <v>111240.8519698265</v>
          </cell>
          <cell r="AZ996">
            <v>107872.74864994828</v>
          </cell>
          <cell r="BA996">
            <v>162960.06529781665</v>
          </cell>
          <cell r="BB996">
            <v>202255.44483733294</v>
          </cell>
          <cell r="BC996">
            <v>115690.4860486195</v>
          </cell>
          <cell r="BD996">
            <v>112187.65859594621</v>
          </cell>
          <cell r="BE996">
            <v>169478.4679097294</v>
          </cell>
          <cell r="BF996">
            <v>210345.66263082623</v>
          </cell>
          <cell r="BG996">
            <v>120318.10549056414</v>
          </cell>
          <cell r="BH996">
            <v>116675.16493978404</v>
          </cell>
          <cell r="BI996">
            <v>176257.60662611853</v>
          </cell>
          <cell r="BJ996">
            <v>218759.4891360593</v>
          </cell>
          <cell r="BK996">
            <v>125130.82971018675</v>
          </cell>
          <cell r="BL996">
            <v>121342.17153737543</v>
          </cell>
          <cell r="BM996">
            <v>183307.91089116316</v>
          </cell>
          <cell r="BN996">
            <v>227509.86870150163</v>
          </cell>
          <cell r="BO996">
            <v>130136.06289859425</v>
          </cell>
          <cell r="BP996">
            <v>126195.85839887033</v>
          </cell>
          <cell r="BQ996">
            <v>190640.22732680972</v>
          </cell>
          <cell r="BR996">
            <v>236610.26344956167</v>
          </cell>
          <cell r="BS996">
            <v>135341.50541453791</v>
          </cell>
          <cell r="BT996">
            <v>131243.69273482525</v>
          </cell>
          <cell r="BU996">
            <v>198265.83641988214</v>
          </cell>
          <cell r="BV996">
            <v>246074.67398754414</v>
          </cell>
          <cell r="BW996">
            <v>140755.16563111939</v>
          </cell>
          <cell r="BX996">
            <v>136493.44044421811</v>
          </cell>
          <cell r="BY996">
            <v>206196.46987667726</v>
          </cell>
          <cell r="BZ996">
            <v>255917.66094704589</v>
          </cell>
          <cell r="CA996">
            <v>146385.37225636432</v>
          </cell>
          <cell r="CB996">
            <v>141953.17806198692</v>
          </cell>
          <cell r="CC996">
            <v>214444.32867174444</v>
          </cell>
          <cell r="CD996">
            <v>266154.36738492781</v>
          </cell>
          <cell r="CE996">
            <v>152240.78714661882</v>
          </cell>
          <cell r="CF996">
            <v>147631.30518446636</v>
          </cell>
          <cell r="CG996">
            <v>223022.10181861417</v>
          </cell>
          <cell r="CH996">
            <v>276800.54208032484</v>
          </cell>
          <cell r="CI996">
            <v>158330.41863248358</v>
          </cell>
          <cell r="CJ996">
            <v>153536.55739184498</v>
          </cell>
          <cell r="CK996">
            <v>231942.98589135858</v>
          </cell>
          <cell r="CL996">
            <v>287872.56376353779</v>
          </cell>
          <cell r="CM996">
            <v>164663.63537778286</v>
          </cell>
          <cell r="CN996">
            <v>159678.01968751865</v>
          </cell>
          <cell r="CO996">
            <v>241220.70532701304</v>
          </cell>
        </row>
        <row r="1004"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61336.842916288151</v>
          </cell>
          <cell r="AD1004">
            <v>78926.445075795869</v>
          </cell>
          <cell r="AE1004">
            <v>46789.430871525081</v>
          </cell>
          <cell r="AF1004">
            <v>46937.840171235905</v>
          </cell>
          <cell r="AG1004">
            <v>73229.403369374573</v>
          </cell>
          <cell r="AH1004">
            <v>93798.684038376494</v>
          </cell>
          <cell r="AI1004">
            <v>55362.113253819174</v>
          </cell>
          <cell r="AJ1004">
            <v>55313.565706936817</v>
          </cell>
          <cell r="AK1004">
            <v>85975.229710041865</v>
          </cell>
          <cell r="AL1004">
            <v>109734.41980584222</v>
          </cell>
          <cell r="AM1004">
            <v>64545.747137302387</v>
          </cell>
          <cell r="AN1004">
            <v>64284.02493006087</v>
          </cell>
          <cell r="AO1004">
            <v>99623.329096110188</v>
          </cell>
          <cell r="AP1004">
            <v>123626.92331120837</v>
          </cell>
          <cell r="AQ1004">
            <v>70751.304194056953</v>
          </cell>
          <cell r="AR1004">
            <v>68612.735196429945</v>
          </cell>
          <cell r="AS1004">
            <v>103608.49731707433</v>
          </cell>
          <cell r="AT1004">
            <v>128572.23761688982</v>
          </cell>
          <cell r="AU1004">
            <v>73581.596073987312</v>
          </cell>
          <cell r="AV1004">
            <v>71357.244604287174</v>
          </cell>
          <cell r="AW1004">
            <v>106421.1974141564</v>
          </cell>
          <cell r="AX1004">
            <v>132062.38232958125</v>
          </cell>
          <cell r="AY1004">
            <v>75579.48685936234</v>
          </cell>
          <cell r="AZ1004">
            <v>73294.784935219097</v>
          </cell>
          <cell r="BA1004">
            <v>110678.04531072261</v>
          </cell>
          <cell r="BB1004">
            <v>137344.87762276444</v>
          </cell>
          <cell r="BC1004">
            <v>78602.666333736794</v>
          </cell>
          <cell r="BD1004">
            <v>76226.314505227783</v>
          </cell>
          <cell r="BE1004">
            <v>115104.90271585959</v>
          </cell>
          <cell r="BF1004">
            <v>142838.40571507055</v>
          </cell>
          <cell r="BG1004">
            <v>81746.503343498043</v>
          </cell>
          <cell r="BH1004">
            <v>79275.63938593294</v>
          </cell>
          <cell r="BI1004">
            <v>119709.37380807754</v>
          </cell>
          <cell r="BJ1004">
            <v>148552.21963678207</v>
          </cell>
          <cell r="BK1004">
            <v>85016.64390656969</v>
          </cell>
          <cell r="BL1004">
            <v>82446.664961370319</v>
          </cell>
          <cell r="BM1004">
            <v>124497.74876040063</v>
          </cell>
          <cell r="BN1004">
            <v>154494.30842225318</v>
          </cell>
          <cell r="BO1004">
            <v>88417.309662832471</v>
          </cell>
          <cell r="BP1004">
            <v>85744.531559825031</v>
          </cell>
          <cell r="BQ1004">
            <v>129477.65871081664</v>
          </cell>
          <cell r="BR1004">
            <v>160674.0807591434</v>
          </cell>
          <cell r="BS1004">
            <v>91954.002049345814</v>
          </cell>
          <cell r="BT1004">
            <v>89174.006521192787</v>
          </cell>
          <cell r="BU1004">
            <v>134656.45574011555</v>
          </cell>
          <cell r="BV1004">
            <v>167100.73162252805</v>
          </cell>
          <cell r="BW1004">
            <v>95631.846686459787</v>
          </cell>
          <cell r="BX1004">
            <v>92741.285335106775</v>
          </cell>
          <cell r="BY1004">
            <v>140043.03566161921</v>
          </cell>
          <cell r="BZ1004">
            <v>173785.08574908931</v>
          </cell>
          <cell r="CA1004">
            <v>99457.448616572365</v>
          </cell>
          <cell r="CB1004">
            <v>96450.936748511042</v>
          </cell>
          <cell r="CC1004">
            <v>145644.75708808395</v>
          </cell>
          <cell r="CD1004">
            <v>180736.48917905311</v>
          </cell>
          <cell r="CE1004">
            <v>103435.74656123522</v>
          </cell>
          <cell r="CF1004">
            <v>100308.97421845148</v>
          </cell>
          <cell r="CG1004">
            <v>151470.54737160733</v>
          </cell>
          <cell r="CH1004">
            <v>187965.94874621509</v>
          </cell>
          <cell r="CI1004">
            <v>107573.17642368464</v>
          </cell>
          <cell r="CJ1004">
            <v>104320.97485831316</v>
          </cell>
          <cell r="CK1004">
            <v>157529.00740683521</v>
          </cell>
          <cell r="CL1004">
            <v>195484.22127087705</v>
          </cell>
          <cell r="CM1004">
            <v>111875.73445476248</v>
          </cell>
          <cell r="CN1004">
            <v>108494.18651467701</v>
          </cell>
          <cell r="CO1004">
            <v>163830.54403713049</v>
          </cell>
        </row>
        <row r="1012"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92005.264374432241</v>
          </cell>
          <cell r="AD1012">
            <v>118389.6676136938</v>
          </cell>
          <cell r="AE1012">
            <v>70184.146307287621</v>
          </cell>
          <cell r="AF1012">
            <v>70406.760256853857</v>
          </cell>
          <cell r="AG1012">
            <v>109844.10505406189</v>
          </cell>
          <cell r="AH1012">
            <v>140698.02605756468</v>
          </cell>
          <cell r="AI1012">
            <v>83043.169880728732</v>
          </cell>
          <cell r="AJ1012">
            <v>82970.348560405197</v>
          </cell>
          <cell r="AK1012">
            <v>128962.84456506284</v>
          </cell>
          <cell r="AL1012">
            <v>164601.62970876327</v>
          </cell>
          <cell r="AM1012">
            <v>96818.620705953566</v>
          </cell>
          <cell r="AN1012">
            <v>96426.03739509132</v>
          </cell>
          <cell r="AO1012">
            <v>149434.99364416534</v>
          </cell>
          <cell r="AP1012">
            <v>185440.38496681256</v>
          </cell>
          <cell r="AQ1012">
            <v>106126.95629108546</v>
          </cell>
          <cell r="AR1012">
            <v>102919.10279464503</v>
          </cell>
          <cell r="AS1012">
            <v>155412.74597561159</v>
          </cell>
          <cell r="AT1012">
            <v>192858.35642533482</v>
          </cell>
          <cell r="AU1012">
            <v>110372.39411098091</v>
          </cell>
          <cell r="AV1012">
            <v>107035.86690643078</v>
          </cell>
          <cell r="AW1012">
            <v>159631.79612123454</v>
          </cell>
          <cell r="AX1012">
            <v>198093.57349437184</v>
          </cell>
          <cell r="AY1012">
            <v>113369.23028904345</v>
          </cell>
          <cell r="AZ1012">
            <v>109942.17740282865</v>
          </cell>
          <cell r="BA1012">
            <v>166017.06796608388</v>
          </cell>
          <cell r="BB1012">
            <v>206017.31643414655</v>
          </cell>
          <cell r="BC1012">
            <v>117903.99950060516</v>
          </cell>
          <cell r="BD1012">
            <v>114339.47175784162</v>
          </cell>
          <cell r="BE1012">
            <v>172657.35407378932</v>
          </cell>
          <cell r="BF1012">
            <v>214257.60857260576</v>
          </cell>
          <cell r="BG1012">
            <v>122619.75501524709</v>
          </cell>
          <cell r="BH1012">
            <v>118913.45907889944</v>
          </cell>
          <cell r="BI1012">
            <v>179564.0607121163</v>
          </cell>
          <cell r="BJ1012">
            <v>222828.32945517311</v>
          </cell>
          <cell r="BK1012">
            <v>127524.96585985448</v>
          </cell>
          <cell r="BL1012">
            <v>123669.99744205546</v>
          </cell>
          <cell r="BM1012">
            <v>186746.62314060086</v>
          </cell>
          <cell r="BN1012">
            <v>231741.46263337985</v>
          </cell>
          <cell r="BO1012">
            <v>132625.96449424868</v>
          </cell>
          <cell r="BP1012">
            <v>128616.79733973753</v>
          </cell>
          <cell r="BQ1012">
            <v>194216.48806622496</v>
          </cell>
          <cell r="BR1012">
            <v>241011.12113871495</v>
          </cell>
          <cell r="BS1012">
            <v>137931.00307401863</v>
          </cell>
          <cell r="BT1012">
            <v>133761.00978178915</v>
          </cell>
          <cell r="BU1012">
            <v>201984.68361017329</v>
          </cell>
          <cell r="BV1012">
            <v>250651.09743379208</v>
          </cell>
          <cell r="BW1012">
            <v>143447.77002968959</v>
          </cell>
          <cell r="BX1012">
            <v>139111.92800266016</v>
          </cell>
          <cell r="BY1012">
            <v>210064.55349242891</v>
          </cell>
          <cell r="BZ1012">
            <v>260677.62862363411</v>
          </cell>
          <cell r="CA1012">
            <v>149186.17292485852</v>
          </cell>
          <cell r="CB1012">
            <v>144676.40512276656</v>
          </cell>
          <cell r="CC1012">
            <v>218467.13563212601</v>
          </cell>
          <cell r="CD1012">
            <v>271104.73376857949</v>
          </cell>
          <cell r="CE1012">
            <v>155153.61984185281</v>
          </cell>
          <cell r="CF1012">
            <v>150463.46132767719</v>
          </cell>
          <cell r="CG1012">
            <v>227205.82105741097</v>
          </cell>
          <cell r="CH1012">
            <v>281948.92311932263</v>
          </cell>
          <cell r="CI1012">
            <v>161359.76463552704</v>
          </cell>
          <cell r="CJ1012">
            <v>156481.46228746977</v>
          </cell>
          <cell r="CK1012">
            <v>236293.51111025276</v>
          </cell>
          <cell r="CL1012">
            <v>293226.33190631587</v>
          </cell>
          <cell r="CM1012">
            <v>167813.60168214387</v>
          </cell>
          <cell r="CN1012">
            <v>162741.27977201558</v>
          </cell>
          <cell r="CO1012">
            <v>245745.8160556957</v>
          </cell>
        </row>
        <row r="1017"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-75976.448811267561</v>
          </cell>
          <cell r="AD1017">
            <v>-21823.260005650925</v>
          </cell>
          <cell r="AE1017">
            <v>39875.680721557059</v>
          </cell>
          <cell r="AF1017">
            <v>-182.85435232197051</v>
          </cell>
          <cell r="AG1017">
            <v>-32620.29058932676</v>
          </cell>
          <cell r="AH1017">
            <v>-25520.283354097919</v>
          </cell>
          <cell r="AI1017">
            <v>47691.986190839205</v>
          </cell>
          <cell r="AJ1017">
            <v>61.573801152728265</v>
          </cell>
          <cell r="AK1017">
            <v>-38042.496483598108</v>
          </cell>
          <cell r="AL1017">
            <v>-29478.151354411239</v>
          </cell>
          <cell r="AM1017">
            <v>56069.795008509216</v>
          </cell>
          <cell r="AN1017">
            <v>325.73686828959035</v>
          </cell>
          <cell r="AO1017">
            <v>-43846.287487119116</v>
          </cell>
          <cell r="AP1017">
            <v>-29781.348161402391</v>
          </cell>
          <cell r="AQ1017">
            <v>65607.522250277572</v>
          </cell>
          <cell r="AR1017">
            <v>2655.304753720382</v>
          </cell>
          <cell r="AS1017">
            <v>-43419.973307933542</v>
          </cell>
          <cell r="AT1017">
            <v>-30972.600929801731</v>
          </cell>
          <cell r="AU1017">
            <v>68231.824309756106</v>
          </cell>
          <cell r="AV1017">
            <v>2761.3970877851243</v>
          </cell>
          <cell r="AW1017">
            <v>-15098.597926547576</v>
          </cell>
          <cell r="AX1017">
            <v>-24963.426330284041</v>
          </cell>
          <cell r="AY1017">
            <v>54994.089561730507</v>
          </cell>
          <cell r="AZ1017">
            <v>2225.7523578066612</v>
          </cell>
          <cell r="BA1017">
            <v>-36395.686460116645</v>
          </cell>
          <cell r="BB1017">
            <v>-25961.963383495458</v>
          </cell>
          <cell r="BC1017">
            <v>57193.853144199704</v>
          </cell>
          <cell r="BD1017">
            <v>2314.6515384187514</v>
          </cell>
          <cell r="BE1017">
            <v>-37851.515208467288</v>
          </cell>
          <cell r="BF1017">
            <v>-27000.443221491354</v>
          </cell>
          <cell r="BG1017">
            <v>59481.605954475934</v>
          </cell>
          <cell r="BH1017">
            <v>2407.5085719975468</v>
          </cell>
          <cell r="BI1017">
            <v>-39365.574475262227</v>
          </cell>
          <cell r="BJ1017">
            <v>-28080.459595588502</v>
          </cell>
          <cell r="BK1017">
            <v>61860.871560766303</v>
          </cell>
          <cell r="BL1017">
            <v>2503.6687002116814</v>
          </cell>
          <cell r="BM1017">
            <v>-40940.197454272653</v>
          </cell>
          <cell r="BN1017">
            <v>-29203.677979412023</v>
          </cell>
          <cell r="BO1017">
            <v>64335.306423196918</v>
          </cell>
          <cell r="BP1017">
            <v>2603.8154482202081</v>
          </cell>
          <cell r="BQ1017">
            <v>-42577.805352443567</v>
          </cell>
          <cell r="BR1017">
            <v>-30371.825098588713</v>
          </cell>
          <cell r="BS1017">
            <v>66908.718680125021</v>
          </cell>
          <cell r="BT1017">
            <v>2707.8149156362051</v>
          </cell>
          <cell r="BU1017">
            <v>-44280.919075595506</v>
          </cell>
          <cell r="BV1017">
            <v>-31586.699626455724</v>
          </cell>
          <cell r="BW1017">
            <v>69585.065888390527</v>
          </cell>
          <cell r="BX1017">
            <v>2816.444511224865</v>
          </cell>
          <cell r="BY1017">
            <v>-46052.154269202845</v>
          </cell>
          <cell r="BZ1017">
            <v>-32850.166026633524</v>
          </cell>
          <cell r="CA1017">
            <v>72368.470124422922</v>
          </cell>
          <cell r="CB1017">
            <v>2928.9382603467675</v>
          </cell>
          <cell r="CC1017">
            <v>-47894.240439970978</v>
          </cell>
          <cell r="CD1017">
            <v>-34164.172667699051</v>
          </cell>
          <cell r="CE1017">
            <v>75263.208929400193</v>
          </cell>
          <cell r="CF1017">
            <v>3046.0957907605916</v>
          </cell>
          <cell r="CG1017">
            <v>-49810.010057569889</v>
          </cell>
          <cell r="CH1017">
            <v>-35530.739574406762</v>
          </cell>
          <cell r="CI1017">
            <v>78273.737286576128</v>
          </cell>
          <cell r="CJ1017">
            <v>3167.7604579527979</v>
          </cell>
          <cell r="CK1017">
            <v>-51802.412225252658</v>
          </cell>
          <cell r="CL1017">
            <v>-36951.970940157946</v>
          </cell>
          <cell r="CM1017">
            <v>81404.6849776975</v>
          </cell>
          <cell r="CN1017">
            <v>3294.8417202213896</v>
          </cell>
          <cell r="CO1017">
            <v>-53874.506878267741</v>
          </cell>
        </row>
        <row r="1036"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>
            <v>0</v>
          </cell>
          <cell r="AM1036">
            <v>0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  <cell r="AR1036">
            <v>0</v>
          </cell>
          <cell r="AS1036">
            <v>0</v>
          </cell>
          <cell r="AT1036">
            <v>0</v>
          </cell>
          <cell r="AU1036">
            <v>0</v>
          </cell>
          <cell r="AV1036">
            <v>0</v>
          </cell>
          <cell r="AW1036">
            <v>0</v>
          </cell>
          <cell r="AX1036">
            <v>-50409.807416445168</v>
          </cell>
          <cell r="AY1036">
            <v>-63265.601114696554</v>
          </cell>
          <cell r="AZ1036">
            <v>-36163.77566965617</v>
          </cell>
          <cell r="BA1036">
            <v>-34304.261441579438</v>
          </cell>
          <cell r="BB1036">
            <v>-52426.199713102957</v>
          </cell>
          <cell r="BC1036">
            <v>-65796.225159284382</v>
          </cell>
          <cell r="BD1036">
            <v>-37610.326696442411</v>
          </cell>
          <cell r="BE1036">
            <v>-36072.995540079151</v>
          </cell>
          <cell r="BF1036">
            <v>-54523.408108717515</v>
          </cell>
          <cell r="BG1036">
            <v>-68428.237933386496</v>
          </cell>
          <cell r="BH1036">
            <v>-39114.905145700861</v>
          </cell>
          <cell r="BI1036">
            <v>-37103.4891752123</v>
          </cell>
          <cell r="BJ1036">
            <v>-56704.177609692153</v>
          </cell>
          <cell r="BK1036">
            <v>-71165.197132281988</v>
          </cell>
          <cell r="BL1036">
            <v>-40679.32935487209</v>
          </cell>
          <cell r="BM1036">
            <v>-38587.628742220797</v>
          </cell>
          <cell r="BN1036">
            <v>-58972.344714079838</v>
          </cell>
          <cell r="BO1036">
            <v>-74011.805017573235</v>
          </cell>
          <cell r="BP1036">
            <v>-42306.502529066973</v>
          </cell>
          <cell r="BQ1036">
            <v>-40131.133891909616</v>
          </cell>
          <cell r="BR1036">
            <v>-61331.238502643013</v>
          </cell>
          <cell r="BS1036">
            <v>-76972.277218276169</v>
          </cell>
          <cell r="BT1036">
            <v>-43998.762630229648</v>
          </cell>
          <cell r="BU1036">
            <v>-42200.302617403388</v>
          </cell>
          <cell r="BV1036">
            <v>-63784.675696356542</v>
          </cell>
          <cell r="BW1036">
            <v>-80051.359892088847</v>
          </cell>
          <cell r="BX1036">
            <v>-45758.906608286175</v>
          </cell>
          <cell r="BY1036">
            <v>-43405.834417489437</v>
          </cell>
          <cell r="BZ1036">
            <v>-66335.867564458691</v>
          </cell>
          <cell r="CA1036">
            <v>-83253.215039287505</v>
          </cell>
          <cell r="CB1036">
            <v>-47589.061660856372</v>
          </cell>
          <cell r="CC1036">
            <v>-45142.067794189032</v>
          </cell>
          <cell r="CD1036">
            <v>-68989.302267037026</v>
          </cell>
          <cell r="CE1036">
            <v>-86583.343640858991</v>
          </cell>
          <cell r="CF1036">
            <v>-49492.624127290648</v>
          </cell>
          <cell r="CG1036">
            <v>-46947.750505956574</v>
          </cell>
          <cell r="CH1036">
            <v>-71748.87435771848</v>
          </cell>
          <cell r="CI1036">
            <v>-90046.677386493335</v>
          </cell>
          <cell r="CJ1036">
            <v>-51472.329092382257</v>
          </cell>
          <cell r="CK1036">
            <v>-49368.385251559739</v>
          </cell>
          <cell r="CL1036">
            <v>-74619.048860206662</v>
          </cell>
          <cell r="CM1036">
            <v>-93648.768609400766</v>
          </cell>
          <cell r="CN1036">
            <v>-53531.448591944121</v>
          </cell>
          <cell r="CO1036">
            <v>-50778.686947242604</v>
          </cell>
        </row>
        <row r="1037"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>
            <v>0</v>
          </cell>
          <cell r="AM1037">
            <v>0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  <cell r="AR1037">
            <v>0</v>
          </cell>
          <cell r="AS1037">
            <v>0</v>
          </cell>
          <cell r="AT1037">
            <v>0</v>
          </cell>
          <cell r="AU1037">
            <v>0</v>
          </cell>
          <cell r="AV1037">
            <v>0</v>
          </cell>
          <cell r="AW1037">
            <v>0</v>
          </cell>
          <cell r="AX1037">
            <v>0</v>
          </cell>
          <cell r="AY1037">
            <v>0</v>
          </cell>
          <cell r="AZ1037">
            <v>0</v>
          </cell>
          <cell r="BA1037">
            <v>0</v>
          </cell>
          <cell r="BB1037">
            <v>0</v>
          </cell>
          <cell r="BC1037">
            <v>0</v>
          </cell>
          <cell r="BD1037">
            <v>0</v>
          </cell>
          <cell r="BE1037">
            <v>0</v>
          </cell>
          <cell r="BF1037">
            <v>0</v>
          </cell>
          <cell r="BG1037">
            <v>0</v>
          </cell>
          <cell r="BH1037">
            <v>0</v>
          </cell>
          <cell r="BI1037">
            <v>0</v>
          </cell>
          <cell r="BJ1037">
            <v>0</v>
          </cell>
          <cell r="BK1037">
            <v>0</v>
          </cell>
          <cell r="BL1037">
            <v>0</v>
          </cell>
          <cell r="BM1037">
            <v>0</v>
          </cell>
          <cell r="BN1037">
            <v>0</v>
          </cell>
          <cell r="BO1037">
            <v>0</v>
          </cell>
          <cell r="BP1037">
            <v>0</v>
          </cell>
          <cell r="BQ1037">
            <v>0</v>
          </cell>
          <cell r="BR1037">
            <v>0</v>
          </cell>
          <cell r="BS1037">
            <v>0</v>
          </cell>
          <cell r="BT1037">
            <v>0</v>
          </cell>
          <cell r="BU1037">
            <v>0</v>
          </cell>
          <cell r="BV1037">
            <v>0</v>
          </cell>
          <cell r="BW1037">
            <v>0</v>
          </cell>
          <cell r="BX1037">
            <v>0</v>
          </cell>
          <cell r="BY1037">
            <v>0</v>
          </cell>
          <cell r="BZ1037">
            <v>0</v>
          </cell>
          <cell r="CA1037">
            <v>0</v>
          </cell>
          <cell r="CB1037">
            <v>0</v>
          </cell>
          <cell r="CC1037">
            <v>0</v>
          </cell>
          <cell r="CD1037">
            <v>0</v>
          </cell>
          <cell r="CE1037">
            <v>0</v>
          </cell>
          <cell r="CF1037">
            <v>0</v>
          </cell>
          <cell r="CG1037">
            <v>0</v>
          </cell>
          <cell r="CH1037">
            <v>0</v>
          </cell>
          <cell r="CI1037">
            <v>0</v>
          </cell>
          <cell r="CJ1037">
            <v>0</v>
          </cell>
          <cell r="CK1037">
            <v>0</v>
          </cell>
          <cell r="CL1037">
            <v>0</v>
          </cell>
          <cell r="CM1037">
            <v>0</v>
          </cell>
          <cell r="CN1037">
            <v>0</v>
          </cell>
          <cell r="CO1037">
            <v>0</v>
          </cell>
        </row>
        <row r="1038"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>
            <v>0</v>
          </cell>
          <cell r="AM1038">
            <v>0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  <cell r="AR1038">
            <v>0</v>
          </cell>
          <cell r="AS1038">
            <v>0</v>
          </cell>
          <cell r="AT1038">
            <v>0</v>
          </cell>
          <cell r="AU1038">
            <v>0</v>
          </cell>
          <cell r="AV1038">
            <v>0</v>
          </cell>
          <cell r="AW1038">
            <v>50409.807416445168</v>
          </cell>
          <cell r="AX1038">
            <v>63265.601114696561</v>
          </cell>
          <cell r="AY1038">
            <v>36163.775669656177</v>
          </cell>
          <cell r="AZ1038">
            <v>34304.261441579438</v>
          </cell>
          <cell r="BA1038">
            <v>52426.199713102949</v>
          </cell>
          <cell r="BB1038">
            <v>65796.225159284368</v>
          </cell>
          <cell r="BC1038">
            <v>37610.326696442396</v>
          </cell>
          <cell r="BD1038">
            <v>36072.995540079137</v>
          </cell>
          <cell r="BE1038">
            <v>54523.4081087175</v>
          </cell>
          <cell r="BF1038">
            <v>68428.237933386481</v>
          </cell>
          <cell r="BG1038">
            <v>39114.905145700846</v>
          </cell>
          <cell r="BH1038">
            <v>37103.489175212293</v>
          </cell>
          <cell r="BI1038">
            <v>56704.177609692146</v>
          </cell>
          <cell r="BJ1038">
            <v>71165.197132281988</v>
          </cell>
          <cell r="BK1038">
            <v>40679.329354872083</v>
          </cell>
          <cell r="BL1038">
            <v>38587.62874222079</v>
          </cell>
          <cell r="BM1038">
            <v>58972.344714079823</v>
          </cell>
          <cell r="BN1038">
            <v>74011.805017573206</v>
          </cell>
          <cell r="BO1038">
            <v>42306.502529066944</v>
          </cell>
          <cell r="BP1038">
            <v>40131.133891909587</v>
          </cell>
          <cell r="BQ1038">
            <v>61331.238502642984</v>
          </cell>
          <cell r="BR1038">
            <v>76972.27721827614</v>
          </cell>
          <cell r="BS1038">
            <v>43998.762630229612</v>
          </cell>
          <cell r="BT1038">
            <v>42200.302617403351</v>
          </cell>
          <cell r="BU1038">
            <v>63784.675696356513</v>
          </cell>
          <cell r="BV1038">
            <v>80051.359892088833</v>
          </cell>
          <cell r="BW1038">
            <v>45758.906608286154</v>
          </cell>
          <cell r="BX1038">
            <v>43405.834417489408</v>
          </cell>
          <cell r="BY1038">
            <v>66335.867564458662</v>
          </cell>
          <cell r="BZ1038">
            <v>83253.215039287461</v>
          </cell>
          <cell r="CA1038">
            <v>47589.061660856329</v>
          </cell>
          <cell r="CB1038">
            <v>45142.067794188988</v>
          </cell>
          <cell r="CC1038">
            <v>68989.302267036983</v>
          </cell>
          <cell r="CD1038">
            <v>86583.343640858962</v>
          </cell>
          <cell r="CE1038">
            <v>49492.624127290634</v>
          </cell>
          <cell r="CF1038">
            <v>46947.750505956559</v>
          </cell>
          <cell r="CG1038">
            <v>71748.874357718465</v>
          </cell>
          <cell r="CH1038">
            <v>90046.677386493335</v>
          </cell>
          <cell r="CI1038">
            <v>51472.32909238225</v>
          </cell>
          <cell r="CJ1038">
            <v>49368.385251559732</v>
          </cell>
          <cell r="CK1038">
            <v>74619.048860206662</v>
          </cell>
          <cell r="CL1038">
            <v>93648.768609400766</v>
          </cell>
          <cell r="CM1038">
            <v>53531.448591944136</v>
          </cell>
          <cell r="CN1038">
            <v>50778.686947242619</v>
          </cell>
          <cell r="CO1038">
            <v>77603.58250530831</v>
          </cell>
        </row>
        <row r="1051">
          <cell r="L1051">
            <v>3471.68581590454</v>
          </cell>
          <cell r="M1051">
            <v>6992.651821090999</v>
          </cell>
          <cell r="N1051">
            <v>10563.59754229781</v>
          </cell>
          <cell r="O1051">
            <v>14185.232435966696</v>
          </cell>
          <cell r="P1051">
            <v>47376.287876262308</v>
          </cell>
          <cell r="Q1051">
            <v>92152.525136306082</v>
          </cell>
          <cell r="R1051">
            <v>137369.96086580615</v>
          </cell>
          <cell r="S1051">
            <v>183032.94237265084</v>
          </cell>
          <cell r="T1051">
            <v>229145.85980052053</v>
          </cell>
          <cell r="U1051">
            <v>275713.14655096602</v>
          </cell>
          <cell r="V1051">
            <v>322739.27970964607</v>
          </cell>
          <cell r="W1051">
            <v>370228.78047676454</v>
          </cell>
          <cell r="X1051">
            <v>418186.21460174897</v>
          </cell>
          <cell r="Y1051">
            <v>466616.1928222123</v>
          </cell>
          <cell r="Z1051">
            <v>515523.37130723952</v>
          </cell>
          <cell r="AA1051">
            <v>541791.87875226722</v>
          </cell>
          <cell r="AB1051">
            <v>568319.22048058535</v>
          </cell>
          <cell r="AC1051">
            <v>50406.498277749866</v>
          </cell>
          <cell r="AD1051">
            <v>54939.331718238682</v>
          </cell>
          <cell r="AE1051">
            <v>49480.182551314581</v>
          </cell>
          <cell r="AF1051">
            <v>36496.843143137543</v>
          </cell>
          <cell r="AG1051">
            <v>46583.443644600869</v>
          </cell>
          <cell r="AH1051">
            <v>65417.077419750305</v>
          </cell>
          <cell r="AI1051">
            <v>58702.997249653075</v>
          </cell>
          <cell r="AJ1051">
            <v>43092.790318800238</v>
          </cell>
          <cell r="AK1051">
            <v>54766.311279720729</v>
          </cell>
          <cell r="AL1051">
            <v>76645.139846633683</v>
          </cell>
          <cell r="AM1051">
            <v>68584.468831776525</v>
          </cell>
          <cell r="AN1051">
            <v>50432.911881378823</v>
          </cell>
          <cell r="AO1051">
            <v>63804.031261057535</v>
          </cell>
          <cell r="AP1051">
            <v>87420.530095596754</v>
          </cell>
          <cell r="AQ1051">
            <v>76490.881849105383</v>
          </cell>
          <cell r="AR1051">
            <v>54265.690642167043</v>
          </cell>
          <cell r="AS1051">
            <v>66746.541371562344</v>
          </cell>
          <cell r="AT1051">
            <v>90917.639489656198</v>
          </cell>
          <cell r="AU1051">
            <v>79550.809735448958</v>
          </cell>
          <cell r="AV1051">
            <v>56436.465291316817</v>
          </cell>
          <cell r="AW1051">
            <v>-22934.211893440777</v>
          </cell>
          <cell r="AX1051">
            <v>-63265.601114696561</v>
          </cell>
          <cell r="AY1051">
            <v>-36163.775669656177</v>
          </cell>
          <cell r="AZ1051">
            <v>-34304.261441579438</v>
          </cell>
          <cell r="BA1051">
            <v>-52426.199713102949</v>
          </cell>
          <cell r="BB1051">
            <v>-65796.225159284368</v>
          </cell>
          <cell r="BC1051">
            <v>-37610.326696442396</v>
          </cell>
          <cell r="BD1051">
            <v>-36072.995540079137</v>
          </cell>
          <cell r="BE1051">
            <v>-54523.4081087175</v>
          </cell>
          <cell r="BF1051">
            <v>-68428.237933386481</v>
          </cell>
          <cell r="BG1051">
            <v>-39114.905145700846</v>
          </cell>
          <cell r="BH1051">
            <v>-37103.489175212293</v>
          </cell>
          <cell r="BI1051">
            <v>-56704.177609692146</v>
          </cell>
          <cell r="BJ1051">
            <v>-71165.197132281988</v>
          </cell>
          <cell r="BK1051">
            <v>-40679.329354872083</v>
          </cell>
          <cell r="BL1051">
            <v>-38587.62874222079</v>
          </cell>
          <cell r="BM1051">
            <v>-58972.344714079823</v>
          </cell>
          <cell r="BN1051">
            <v>-74011.805017573206</v>
          </cell>
          <cell r="BO1051">
            <v>-42306.502529066944</v>
          </cell>
          <cell r="BP1051">
            <v>-40131.133891909587</v>
          </cell>
          <cell r="BQ1051">
            <v>-61331.238502642984</v>
          </cell>
          <cell r="BR1051">
            <v>-76972.27721827614</v>
          </cell>
          <cell r="BS1051">
            <v>-43998.762630229612</v>
          </cell>
          <cell r="BT1051">
            <v>-42200.302617403351</v>
          </cell>
          <cell r="BU1051">
            <v>-63784.675696356513</v>
          </cell>
          <cell r="BV1051">
            <v>-80051.359892088833</v>
          </cell>
          <cell r="BW1051">
            <v>-45758.906608286154</v>
          </cell>
          <cell r="BX1051">
            <v>-43405.834417489408</v>
          </cell>
          <cell r="BY1051">
            <v>-66335.867564458662</v>
          </cell>
          <cell r="BZ1051">
            <v>-83253.215039287461</v>
          </cell>
          <cell r="CA1051">
            <v>-47589.061660856329</v>
          </cell>
          <cell r="CB1051">
            <v>-45142.067794188988</v>
          </cell>
          <cell r="CC1051">
            <v>-68989.302267036983</v>
          </cell>
          <cell r="CD1051">
            <v>-86583.343640858962</v>
          </cell>
          <cell r="CE1051">
            <v>-49492.624127290634</v>
          </cell>
          <cell r="CF1051">
            <v>-46947.750505956559</v>
          </cell>
          <cell r="CG1051">
            <v>-71748.874357718465</v>
          </cell>
          <cell r="CH1051">
            <v>-90046.677386493335</v>
          </cell>
          <cell r="CI1051">
            <v>-51472.32909238225</v>
          </cell>
          <cell r="CJ1051">
            <v>-49368.385251559732</v>
          </cell>
          <cell r="CK1051">
            <v>-74619.048860206662</v>
          </cell>
          <cell r="CL1051">
            <v>-93648.768609400766</v>
          </cell>
          <cell r="CM1051">
            <v>-53531.448591944136</v>
          </cell>
          <cell r="CN1051">
            <v>-50778.686947242619</v>
          </cell>
          <cell r="CO1051">
            <v>-77603.58250530831</v>
          </cell>
        </row>
        <row r="1052">
          <cell r="L1052">
            <v>0</v>
          </cell>
        </row>
        <row r="1053">
          <cell r="L1053">
            <v>-3471.68581590454</v>
          </cell>
          <cell r="M1053">
            <v>-3520.9660051864589</v>
          </cell>
          <cell r="N1053">
            <v>-3570.945721206811</v>
          </cell>
          <cell r="O1053">
            <v>-3621.6348936688864</v>
          </cell>
          <cell r="P1053">
            <v>-33191.055440295611</v>
          </cell>
          <cell r="Q1053">
            <v>-44776.237260043774</v>
          </cell>
          <cell r="R1053">
            <v>-45217.435729500066</v>
          </cell>
          <cell r="S1053">
            <v>-45662.981506844691</v>
          </cell>
          <cell r="T1053">
            <v>-46112.917427869688</v>
          </cell>
          <cell r="U1053">
            <v>-46567.286750445492</v>
          </cell>
          <cell r="V1053">
            <v>-47026.133158680052</v>
          </cell>
          <cell r="W1053">
            <v>-47489.500767118472</v>
          </cell>
          <cell r="X1053">
            <v>-47957.434124984429</v>
          </cell>
          <cell r="Y1053">
            <v>-48429.978220463323</v>
          </cell>
          <cell r="Z1053">
            <v>-48907.178485027223</v>
          </cell>
          <cell r="AA1053">
            <v>-26268.507445027702</v>
          </cell>
          <cell r="AB1053">
            <v>-26527.341728318133</v>
          </cell>
          <cell r="AC1053">
            <v>517912.72220283549</v>
          </cell>
          <cell r="AD1053">
            <v>-4532.8334404888155</v>
          </cell>
          <cell r="AE1053">
            <v>5459.1491669241004</v>
          </cell>
          <cell r="AF1053">
            <v>12983.339408177038</v>
          </cell>
          <cell r="AG1053">
            <v>-10086.600501463327</v>
          </cell>
          <cell r="AH1053">
            <v>-18833.633775149436</v>
          </cell>
          <cell r="AI1053">
            <v>6714.0801700972297</v>
          </cell>
          <cell r="AJ1053">
            <v>15610.206930852837</v>
          </cell>
          <cell r="AK1053">
            <v>-11673.52096092049</v>
          </cell>
          <cell r="AL1053">
            <v>-21878.828566912955</v>
          </cell>
          <cell r="AM1053">
            <v>8060.6710148571583</v>
          </cell>
          <cell r="AN1053">
            <v>18151.556950397702</v>
          </cell>
          <cell r="AO1053">
            <v>-13371.119379678712</v>
          </cell>
          <cell r="AP1053">
            <v>-23616.498834539219</v>
          </cell>
          <cell r="AQ1053">
            <v>10929.648246491372</v>
          </cell>
          <cell r="AR1053">
            <v>22225.19120693834</v>
          </cell>
          <cell r="AS1053">
            <v>-12480.850729395301</v>
          </cell>
          <cell r="AT1053">
            <v>-24171.098118093854</v>
          </cell>
          <cell r="AU1053">
            <v>11366.82975420724</v>
          </cell>
          <cell r="AV1053">
            <v>23114.344444132141</v>
          </cell>
          <cell r="AW1053">
            <v>79370.677184757602</v>
          </cell>
          <cell r="AX1053">
            <v>40331.389221255784</v>
          </cell>
          <cell r="AY1053">
            <v>-27101.825445040384</v>
          </cell>
          <cell r="AZ1053">
            <v>-1859.5142280767395</v>
          </cell>
          <cell r="BA1053">
            <v>18121.938271523512</v>
          </cell>
          <cell r="BB1053">
            <v>13370.025446181418</v>
          </cell>
          <cell r="BC1053">
            <v>-28185.898462841971</v>
          </cell>
          <cell r="BD1053">
            <v>-1537.3311563632597</v>
          </cell>
          <cell r="BE1053">
            <v>18450.412568638363</v>
          </cell>
          <cell r="BF1053">
            <v>13904.829824668981</v>
          </cell>
          <cell r="BG1053">
            <v>-29313.332787685635</v>
          </cell>
          <cell r="BH1053">
            <v>-2011.4159704885533</v>
          </cell>
          <cell r="BI1053">
            <v>19600.688434479853</v>
          </cell>
          <cell r="BJ1053">
            <v>14461.019522589842</v>
          </cell>
          <cell r="BK1053">
            <v>-30485.867777409905</v>
          </cell>
          <cell r="BL1053">
            <v>-2091.7006126512933</v>
          </cell>
          <cell r="BM1053">
            <v>20384.715971859034</v>
          </cell>
          <cell r="BN1053">
            <v>15039.460303493383</v>
          </cell>
          <cell r="BO1053">
            <v>-31705.302488506262</v>
          </cell>
          <cell r="BP1053">
            <v>-2175.3686371573567</v>
          </cell>
          <cell r="BQ1053">
            <v>21200.104610733397</v>
          </cell>
          <cell r="BR1053">
            <v>15641.038715633156</v>
          </cell>
          <cell r="BS1053">
            <v>-32973.514588046528</v>
          </cell>
          <cell r="BT1053">
            <v>-1798.4600128262609</v>
          </cell>
          <cell r="BU1053">
            <v>21584.373078953162</v>
          </cell>
          <cell r="BV1053">
            <v>16266.684195732319</v>
          </cell>
          <cell r="BW1053">
            <v>-34292.453283802679</v>
          </cell>
          <cell r="BX1053">
            <v>-2353.0721907967454</v>
          </cell>
          <cell r="BY1053">
            <v>22930.033146969254</v>
          </cell>
          <cell r="BZ1053">
            <v>16917.347474828799</v>
          </cell>
          <cell r="CA1053">
            <v>-35664.153378431132</v>
          </cell>
          <cell r="CB1053">
            <v>-2446.9938666673406</v>
          </cell>
          <cell r="CC1053">
            <v>23847.234472847995</v>
          </cell>
          <cell r="CD1053">
            <v>17594.04137382198</v>
          </cell>
          <cell r="CE1053">
            <v>-37090.719513568329</v>
          </cell>
          <cell r="CF1053">
            <v>-2544.8736213340744</v>
          </cell>
          <cell r="CG1053">
            <v>24801.123851761906</v>
          </cell>
          <cell r="CH1053">
            <v>18297.80302877487</v>
          </cell>
          <cell r="CI1053">
            <v>-38574.348294111085</v>
          </cell>
          <cell r="CJ1053">
            <v>-2103.9438408225178</v>
          </cell>
          <cell r="CK1053">
            <v>25250.66360864693</v>
          </cell>
          <cell r="CL1053">
            <v>19029.719749194104</v>
          </cell>
          <cell r="CM1053">
            <v>-40117.32001745663</v>
          </cell>
          <cell r="CN1053">
            <v>-2752.7616447015171</v>
          </cell>
          <cell r="CO1053">
            <v>26824.895558065691</v>
          </cell>
        </row>
        <row r="1073"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-1134.7858084972802</v>
          </cell>
          <cell r="AE1073">
            <v>-422.41294914102838</v>
          </cell>
          <cell r="AF1073">
            <v>-422.50407537050165</v>
          </cell>
          <cell r="AG1073">
            <v>-1030.6624350115719</v>
          </cell>
          <cell r="AH1073">
            <v>-1522.5775908471849</v>
          </cell>
          <cell r="AI1073">
            <v>-664.80732552037136</v>
          </cell>
          <cell r="AJ1073">
            <v>-659.13070875901008</v>
          </cell>
          <cell r="AK1073">
            <v>-1371.2610804298899</v>
          </cell>
          <cell r="AL1073">
            <v>-1942.6222463801166</v>
          </cell>
          <cell r="AM1073">
            <v>-935.63177134845114</v>
          </cell>
          <cell r="AN1073">
            <v>-937.9091790124578</v>
          </cell>
          <cell r="AO1073">
            <v>-3416.1537201033821</v>
          </cell>
          <cell r="AP1073">
            <v>-4664.7960915917211</v>
          </cell>
          <cell r="AQ1073">
            <v>-2309.7613012100537</v>
          </cell>
          <cell r="AR1073">
            <v>-2199.9472770251946</v>
          </cell>
          <cell r="AS1073">
            <v>-3841.3770931882977</v>
          </cell>
          <cell r="AT1073">
            <v>-5062.4028515068221</v>
          </cell>
          <cell r="AU1073">
            <v>-9155.793674910421</v>
          </cell>
          <cell r="AV1073">
            <v>-8729.0226904170449</v>
          </cell>
          <cell r="AW1073">
            <v>-8333.6777228647061</v>
          </cell>
          <cell r="AX1073">
            <v>-11056.003907085722</v>
          </cell>
          <cell r="AY1073">
            <v>-5313.1034616377274</v>
          </cell>
          <cell r="AZ1073">
            <v>-4922.4392465010214</v>
          </cell>
          <cell r="BA1073">
            <v>-8760.647552759312</v>
          </cell>
          <cell r="BB1073">
            <v>-11591.932179985497</v>
          </cell>
          <cell r="BC1073">
            <v>-5619.3157167195814</v>
          </cell>
          <cell r="BD1073">
            <v>-5295.6305266984245</v>
          </cell>
          <cell r="BE1073">
            <v>-10205.094519157597</v>
          </cell>
          <cell r="BF1073">
            <v>-13149.701570248315</v>
          </cell>
          <cell r="BG1073">
            <v>-6938.1810132362752</v>
          </cell>
          <cell r="BH1073">
            <v>-6514.9029442733427</v>
          </cell>
          <cell r="BI1073">
            <v>-10666.442455420409</v>
          </cell>
          <cell r="BJ1073">
            <v>-13728.893315326364</v>
          </cell>
          <cell r="BK1073">
            <v>-7268.9113486579581</v>
          </cell>
          <cell r="BL1073">
            <v>-6829.0589589256933</v>
          </cell>
          <cell r="BM1073">
            <v>-11146.725446154973</v>
          </cell>
          <cell r="BN1073">
            <v>-14331.739736093486</v>
          </cell>
          <cell r="BO1073">
            <v>-16858.150943822038</v>
          </cell>
          <cell r="BP1073">
            <v>-15844.944117077714</v>
          </cell>
          <cell r="BQ1073">
            <v>-25788.058032291869</v>
          </cell>
          <cell r="BR1073">
            <v>-33122.835744602162</v>
          </cell>
          <cell r="BS1073">
            <v>-17651.363505344649</v>
          </cell>
          <cell r="BT1073">
            <v>-16812.121239497832</v>
          </cell>
          <cell r="BU1073">
            <v>-26939.367587658569</v>
          </cell>
          <cell r="BV1073">
            <v>-34567.694151002986</v>
          </cell>
          <cell r="BW1073">
            <v>-18477.364485193582</v>
          </cell>
          <cell r="BX1073">
            <v>-17379.829262658448</v>
          </cell>
          <cell r="BY1073">
            <v>-28134.596674785626</v>
          </cell>
          <cell r="BZ1073">
            <v>-36068.18764985197</v>
          </cell>
          <cell r="CA1073">
            <v>-19334.243275871027</v>
          </cell>
          <cell r="CB1073">
            <v>-18193.619347687927</v>
          </cell>
          <cell r="CC1073">
            <v>-29378.722260923474</v>
          </cell>
          <cell r="CD1073">
            <v>-37629.801679615775</v>
          </cell>
          <cell r="CE1073">
            <v>-20226.499530675614</v>
          </cell>
          <cell r="CF1073">
            <v>-19039.96103611857</v>
          </cell>
          <cell r="CG1073">
            <v>-30672.612870506859</v>
          </cell>
          <cell r="CH1073">
            <v>-39253.880270570124</v>
          </cell>
          <cell r="CI1073">
            <v>-21154.446035672387</v>
          </cell>
          <cell r="CJ1073">
            <v>-20171.883492570538</v>
          </cell>
          <cell r="CK1073">
            <v>-32019.329322195124</v>
          </cell>
          <cell r="CL1073">
            <v>-40944.005678343347</v>
          </cell>
          <cell r="CM1073">
            <v>-22120.59578557434</v>
          </cell>
          <cell r="CN1073">
            <v>-20835.559562293038</v>
          </cell>
          <cell r="CO1073">
            <v>-33417.731187798912</v>
          </cell>
        </row>
        <row r="1094"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>
            <v>0</v>
          </cell>
          <cell r="AM1094">
            <v>0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  <cell r="AR1094">
            <v>0</v>
          </cell>
          <cell r="AS1094">
            <v>0</v>
          </cell>
          <cell r="AT1094">
            <v>0</v>
          </cell>
          <cell r="AU1094">
            <v>0</v>
          </cell>
          <cell r="AV1094">
            <v>0</v>
          </cell>
          <cell r="AW1094">
            <v>0</v>
          </cell>
          <cell r="AX1094">
            <v>0</v>
          </cell>
          <cell r="AY1094">
            <v>0</v>
          </cell>
          <cell r="AZ1094">
            <v>0</v>
          </cell>
          <cell r="BA1094">
            <v>0</v>
          </cell>
          <cell r="BB1094">
            <v>0</v>
          </cell>
          <cell r="BC1094">
            <v>0</v>
          </cell>
          <cell r="BD1094">
            <v>0</v>
          </cell>
          <cell r="BE1094">
            <v>0</v>
          </cell>
          <cell r="BF1094">
            <v>0</v>
          </cell>
          <cell r="BG1094">
            <v>0</v>
          </cell>
          <cell r="BH1094">
            <v>0</v>
          </cell>
          <cell r="BI1094">
            <v>0</v>
          </cell>
          <cell r="BJ1094">
            <v>0</v>
          </cell>
          <cell r="BK1094">
            <v>0</v>
          </cell>
          <cell r="BL1094">
            <v>0</v>
          </cell>
          <cell r="BM1094">
            <v>0</v>
          </cell>
          <cell r="BN1094">
            <v>0</v>
          </cell>
          <cell r="BO1094">
            <v>0</v>
          </cell>
          <cell r="BP1094">
            <v>0</v>
          </cell>
          <cell r="BQ1094">
            <v>0</v>
          </cell>
          <cell r="BR1094">
            <v>0</v>
          </cell>
          <cell r="BS1094">
            <v>0</v>
          </cell>
          <cell r="BT1094">
            <v>0</v>
          </cell>
          <cell r="BU1094">
            <v>0</v>
          </cell>
          <cell r="BV1094">
            <v>0</v>
          </cell>
          <cell r="BW1094">
            <v>0</v>
          </cell>
          <cell r="BX1094">
            <v>0</v>
          </cell>
          <cell r="BY1094">
            <v>0</v>
          </cell>
          <cell r="BZ1094">
            <v>0</v>
          </cell>
          <cell r="CA1094">
            <v>0</v>
          </cell>
          <cell r="CB1094">
            <v>0</v>
          </cell>
          <cell r="CC1094">
            <v>0</v>
          </cell>
          <cell r="CD1094">
            <v>0</v>
          </cell>
          <cell r="CE1094">
            <v>0</v>
          </cell>
          <cell r="CF1094">
            <v>0</v>
          </cell>
          <cell r="CG1094">
            <v>0</v>
          </cell>
          <cell r="CH1094">
            <v>0</v>
          </cell>
          <cell r="CI1094">
            <v>0</v>
          </cell>
          <cell r="CJ1094">
            <v>0</v>
          </cell>
          <cell r="CK1094">
            <v>0</v>
          </cell>
          <cell r="CL1094">
            <v>0</v>
          </cell>
          <cell r="CM1094">
            <v>0</v>
          </cell>
          <cell r="CN1094">
            <v>0</v>
          </cell>
          <cell r="CO1094">
            <v>0</v>
          </cell>
        </row>
        <row r="1100"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>
            <v>0</v>
          </cell>
          <cell r="AM1100">
            <v>0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  <cell r="AR1100">
            <v>0</v>
          </cell>
          <cell r="AS1100">
            <v>0</v>
          </cell>
          <cell r="AT1100">
            <v>0</v>
          </cell>
          <cell r="AU1100">
            <v>0</v>
          </cell>
          <cell r="AV1100">
            <v>0</v>
          </cell>
          <cell r="AW1100">
            <v>0</v>
          </cell>
          <cell r="AX1100">
            <v>0</v>
          </cell>
          <cell r="AY1100">
            <v>0</v>
          </cell>
          <cell r="AZ1100">
            <v>0</v>
          </cell>
          <cell r="BA1100">
            <v>0</v>
          </cell>
          <cell r="BB1100">
            <v>0</v>
          </cell>
          <cell r="BC1100">
            <v>0</v>
          </cell>
          <cell r="BD1100">
            <v>0</v>
          </cell>
          <cell r="BE1100">
            <v>0</v>
          </cell>
          <cell r="BF1100">
            <v>0</v>
          </cell>
          <cell r="BG1100">
            <v>0</v>
          </cell>
          <cell r="BH1100">
            <v>0</v>
          </cell>
          <cell r="BI1100">
            <v>0</v>
          </cell>
          <cell r="BJ1100">
            <v>0</v>
          </cell>
          <cell r="BK1100">
            <v>0</v>
          </cell>
          <cell r="BL1100">
            <v>0</v>
          </cell>
          <cell r="BM1100">
            <v>0</v>
          </cell>
          <cell r="BN1100">
            <v>0</v>
          </cell>
          <cell r="BO1100">
            <v>0</v>
          </cell>
          <cell r="BP1100">
            <v>0</v>
          </cell>
          <cell r="BQ1100">
            <v>0</v>
          </cell>
          <cell r="BR1100">
            <v>0</v>
          </cell>
          <cell r="BS1100">
            <v>0</v>
          </cell>
          <cell r="BT1100">
            <v>0</v>
          </cell>
          <cell r="BU1100">
            <v>0</v>
          </cell>
          <cell r="BV1100">
            <v>0</v>
          </cell>
          <cell r="BW1100">
            <v>0</v>
          </cell>
          <cell r="BX1100">
            <v>0</v>
          </cell>
          <cell r="BY1100">
            <v>0</v>
          </cell>
          <cell r="BZ1100">
            <v>0</v>
          </cell>
          <cell r="CA1100">
            <v>0</v>
          </cell>
          <cell r="CB1100">
            <v>0</v>
          </cell>
          <cell r="CC1100">
            <v>0</v>
          </cell>
          <cell r="CD1100">
            <v>0</v>
          </cell>
          <cell r="CE1100">
            <v>0</v>
          </cell>
          <cell r="CF1100">
            <v>0</v>
          </cell>
          <cell r="CG1100">
            <v>0</v>
          </cell>
          <cell r="CH1100">
            <v>0</v>
          </cell>
          <cell r="CI1100">
            <v>0</v>
          </cell>
          <cell r="CJ1100">
            <v>0</v>
          </cell>
          <cell r="CK1100">
            <v>0</v>
          </cell>
          <cell r="CL1100">
            <v>0</v>
          </cell>
          <cell r="CM1100">
            <v>0</v>
          </cell>
          <cell r="CN1100">
            <v>0</v>
          </cell>
          <cell r="CO1100">
            <v>0</v>
          </cell>
        </row>
        <row r="1124">
          <cell r="E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5.8207660913467407E-11</v>
          </cell>
          <cell r="V1124">
            <v>5.8207660913467407E-11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>
            <v>0</v>
          </cell>
          <cell r="AM1124">
            <v>0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  <cell r="AR1124">
            <v>0</v>
          </cell>
          <cell r="AS1124">
            <v>0</v>
          </cell>
          <cell r="AT1124">
            <v>0</v>
          </cell>
          <cell r="AU1124">
            <v>0</v>
          </cell>
          <cell r="AV1124">
            <v>0</v>
          </cell>
          <cell r="AW1124">
            <v>0</v>
          </cell>
          <cell r="AX1124">
            <v>0</v>
          </cell>
          <cell r="AY1124">
            <v>0</v>
          </cell>
          <cell r="AZ1124">
            <v>0</v>
          </cell>
          <cell r="BA1124">
            <v>0</v>
          </cell>
          <cell r="BB1124">
            <v>0</v>
          </cell>
          <cell r="BC1124">
            <v>0</v>
          </cell>
          <cell r="BD1124">
            <v>0</v>
          </cell>
          <cell r="BE1124">
            <v>0</v>
          </cell>
          <cell r="BF1124">
            <v>0</v>
          </cell>
          <cell r="BG1124">
            <v>0</v>
          </cell>
          <cell r="BH1124">
            <v>0</v>
          </cell>
          <cell r="BI1124">
            <v>0</v>
          </cell>
          <cell r="BJ1124">
            <v>0</v>
          </cell>
          <cell r="BK1124">
            <v>0</v>
          </cell>
          <cell r="BL1124">
            <v>0</v>
          </cell>
          <cell r="BM1124">
            <v>0</v>
          </cell>
          <cell r="BN1124">
            <v>0</v>
          </cell>
          <cell r="BO1124">
            <v>0</v>
          </cell>
          <cell r="BP1124">
            <v>0</v>
          </cell>
          <cell r="BQ1124">
            <v>0</v>
          </cell>
          <cell r="BR1124">
            <v>0</v>
          </cell>
          <cell r="BS1124">
            <v>0</v>
          </cell>
          <cell r="BT1124">
            <v>0</v>
          </cell>
          <cell r="BU1124">
            <v>0</v>
          </cell>
          <cell r="BV1124">
            <v>0</v>
          </cell>
          <cell r="BW1124">
            <v>0</v>
          </cell>
          <cell r="BX1124">
            <v>0</v>
          </cell>
          <cell r="BY1124">
            <v>0</v>
          </cell>
          <cell r="BZ1124">
            <v>0</v>
          </cell>
          <cell r="CA1124">
            <v>0</v>
          </cell>
          <cell r="CB1124">
            <v>0</v>
          </cell>
          <cell r="CC1124">
            <v>0</v>
          </cell>
          <cell r="CD1124">
            <v>0</v>
          </cell>
          <cell r="CE1124">
            <v>0</v>
          </cell>
          <cell r="CF1124">
            <v>0</v>
          </cell>
          <cell r="CG1124">
            <v>0</v>
          </cell>
          <cell r="CH1124">
            <v>0</v>
          </cell>
          <cell r="CI1124">
            <v>0</v>
          </cell>
          <cell r="CJ1124">
            <v>0</v>
          </cell>
          <cell r="CK1124">
            <v>0</v>
          </cell>
          <cell r="CL1124">
            <v>0</v>
          </cell>
          <cell r="CM1124">
            <v>0</v>
          </cell>
          <cell r="CN1124">
            <v>0</v>
          </cell>
          <cell r="CO1124">
            <v>0</v>
          </cell>
        </row>
        <row r="1201"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142236.70061813446</v>
          </cell>
          <cell r="T1201">
            <v>416214.58965920261</v>
          </cell>
          <cell r="U1201">
            <v>692892.09422642062</v>
          </cell>
          <cell r="V1201">
            <v>972295.81472909369</v>
          </cell>
          <cell r="W1201">
            <v>1254452.6136811741</v>
          </cell>
          <cell r="X1201">
            <v>1539389.6182838848</v>
          </cell>
          <cell r="Y1201">
            <v>1827134.2230337916</v>
          </cell>
          <cell r="Z1201">
            <v>2117714.0923565715</v>
          </cell>
          <cell r="AA1201">
            <v>2411157.1632667347</v>
          </cell>
          <cell r="AB1201">
            <v>2568768.2079369011</v>
          </cell>
          <cell r="AC1201">
            <v>2727932.2583068102</v>
          </cell>
          <cell r="AD1201">
            <v>2284640.8988888375</v>
          </cell>
          <cell r="AE1201">
            <v>2158014.6477784696</v>
          </cell>
          <cell r="AF1201">
            <v>2064325.2072631605</v>
          </cell>
          <cell r="AG1201">
            <v>1997417.1351071005</v>
          </cell>
          <cell r="AH1201">
            <v>1926490.159147413</v>
          </cell>
          <cell r="AI1201">
            <v>1816237.9572750924</v>
          </cell>
          <cell r="AJ1201">
            <v>1694194.7622865967</v>
          </cell>
          <cell r="AK1201">
            <v>1604528.0448478418</v>
          </cell>
          <cell r="AL1201">
            <v>1510436.5524426044</v>
          </cell>
          <cell r="AM1201">
            <v>1370396.5203151663</v>
          </cell>
          <cell r="AN1201">
            <v>1216867.159796515</v>
          </cell>
          <cell r="AO1201">
            <v>1100797.7626716059</v>
          </cell>
          <cell r="AP1201">
            <v>982102.1067559087</v>
          </cell>
          <cell r="AQ1201">
            <v>812311.88717470237</v>
          </cell>
          <cell r="AR1201">
            <v>630011.62150091049</v>
          </cell>
          <cell r="AS1201">
            <v>494790.86546696833</v>
          </cell>
          <cell r="AT1201">
            <v>359566.95002781413</v>
          </cell>
          <cell r="AU1201">
            <v>173550.80903498473</v>
          </cell>
          <cell r="AV1201">
            <v>0</v>
          </cell>
          <cell r="AW1201">
            <v>0</v>
          </cell>
          <cell r="AX1201">
            <v>0</v>
          </cell>
          <cell r="AY1201">
            <v>0</v>
          </cell>
          <cell r="AZ1201">
            <v>0</v>
          </cell>
          <cell r="BA1201">
            <v>0</v>
          </cell>
          <cell r="BB1201">
            <v>0</v>
          </cell>
          <cell r="BC1201">
            <v>0</v>
          </cell>
          <cell r="BD1201">
            <v>0</v>
          </cell>
          <cell r="BE1201">
            <v>0</v>
          </cell>
          <cell r="BF1201">
            <v>0</v>
          </cell>
          <cell r="BG1201">
            <v>0</v>
          </cell>
          <cell r="BH1201">
            <v>0</v>
          </cell>
          <cell r="BI1201">
            <v>0</v>
          </cell>
          <cell r="BJ1201">
            <v>0</v>
          </cell>
          <cell r="BK1201">
            <v>0</v>
          </cell>
          <cell r="BL1201">
            <v>0</v>
          </cell>
          <cell r="BM1201">
            <v>0</v>
          </cell>
          <cell r="BN1201">
            <v>0</v>
          </cell>
          <cell r="BO1201">
            <v>0</v>
          </cell>
          <cell r="BP1201">
            <v>0</v>
          </cell>
          <cell r="BQ1201">
            <v>0</v>
          </cell>
          <cell r="BR1201">
            <v>0</v>
          </cell>
          <cell r="BS1201">
            <v>0</v>
          </cell>
          <cell r="BT1201">
            <v>0</v>
          </cell>
          <cell r="BU1201">
            <v>0</v>
          </cell>
          <cell r="BV1201">
            <v>0</v>
          </cell>
          <cell r="BW1201">
            <v>0</v>
          </cell>
          <cell r="BX1201">
            <v>0</v>
          </cell>
          <cell r="BY1201">
            <v>0</v>
          </cell>
          <cell r="BZ1201">
            <v>0</v>
          </cell>
          <cell r="CA1201">
            <v>0</v>
          </cell>
          <cell r="CB1201">
            <v>0</v>
          </cell>
          <cell r="CC1201">
            <v>0</v>
          </cell>
          <cell r="CD1201">
            <v>0</v>
          </cell>
          <cell r="CE1201">
            <v>0</v>
          </cell>
          <cell r="CF1201">
            <v>0</v>
          </cell>
          <cell r="CG1201">
            <v>0</v>
          </cell>
          <cell r="CH1201">
            <v>0</v>
          </cell>
          <cell r="CI1201">
            <v>0</v>
          </cell>
          <cell r="CJ1201">
            <v>0</v>
          </cell>
          <cell r="CK1201">
            <v>0</v>
          </cell>
          <cell r="CL1201">
            <v>0</v>
          </cell>
          <cell r="CM1201">
            <v>0</v>
          </cell>
          <cell r="CN1201">
            <v>0</v>
          </cell>
          <cell r="CO1201">
            <v>0</v>
          </cell>
        </row>
        <row r="1202"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142236.70061813446</v>
          </cell>
          <cell r="S1202">
            <v>273977.88904106815</v>
          </cell>
          <cell r="T1202">
            <v>276677.50456721801</v>
          </cell>
          <cell r="U1202">
            <v>279403.72050267307</v>
          </cell>
          <cell r="V1202">
            <v>282156.79895208037</v>
          </cell>
          <cell r="W1202">
            <v>284937.00460271077</v>
          </cell>
          <cell r="X1202">
            <v>287744.60474990675</v>
          </cell>
          <cell r="Y1202">
            <v>290579.86932277988</v>
          </cell>
          <cell r="Z1202">
            <v>293443.0709101634</v>
          </cell>
          <cell r="AA1202">
            <v>157611.04467016627</v>
          </cell>
          <cell r="AB1202">
            <v>159164.05036990903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>
            <v>0</v>
          </cell>
          <cell r="AM1202">
            <v>0</v>
          </cell>
          <cell r="AN1202">
            <v>0</v>
          </cell>
          <cell r="AO1202">
            <v>0</v>
          </cell>
          <cell r="AP1202">
            <v>0</v>
          </cell>
          <cell r="AQ1202">
            <v>0</v>
          </cell>
          <cell r="AR1202">
            <v>0</v>
          </cell>
          <cell r="AS1202">
            <v>0</v>
          </cell>
          <cell r="AT1202">
            <v>0</v>
          </cell>
          <cell r="AU1202">
            <v>0</v>
          </cell>
          <cell r="AV1202">
            <v>0</v>
          </cell>
          <cell r="AW1202">
            <v>0</v>
          </cell>
          <cell r="AX1202">
            <v>0</v>
          </cell>
          <cell r="AY1202">
            <v>0</v>
          </cell>
          <cell r="AZ1202">
            <v>0</v>
          </cell>
          <cell r="BA1202">
            <v>0</v>
          </cell>
          <cell r="BB1202">
            <v>0</v>
          </cell>
          <cell r="BC1202">
            <v>0</v>
          </cell>
          <cell r="BD1202">
            <v>0</v>
          </cell>
          <cell r="BE1202">
            <v>0</v>
          </cell>
          <cell r="BF1202">
            <v>0</v>
          </cell>
          <cell r="BG1202">
            <v>0</v>
          </cell>
          <cell r="BH1202">
            <v>0</v>
          </cell>
          <cell r="BI1202">
            <v>0</v>
          </cell>
          <cell r="BJ1202">
            <v>0</v>
          </cell>
          <cell r="BK1202">
            <v>0</v>
          </cell>
          <cell r="BL1202">
            <v>0</v>
          </cell>
          <cell r="BM1202">
            <v>0</v>
          </cell>
          <cell r="BN1202">
            <v>0</v>
          </cell>
          <cell r="BO1202">
            <v>0</v>
          </cell>
          <cell r="BP1202">
            <v>0</v>
          </cell>
          <cell r="BQ1202">
            <v>0</v>
          </cell>
          <cell r="BR1202">
            <v>0</v>
          </cell>
          <cell r="BS1202">
            <v>0</v>
          </cell>
          <cell r="BT1202">
            <v>0</v>
          </cell>
          <cell r="BU1202">
            <v>0</v>
          </cell>
          <cell r="BV1202">
            <v>0</v>
          </cell>
          <cell r="BW1202">
            <v>0</v>
          </cell>
          <cell r="BX1202">
            <v>0</v>
          </cell>
          <cell r="BY1202">
            <v>0</v>
          </cell>
          <cell r="BZ1202">
            <v>0</v>
          </cell>
          <cell r="CA1202">
            <v>0</v>
          </cell>
          <cell r="CB1202">
            <v>0</v>
          </cell>
          <cell r="CC1202">
            <v>0</v>
          </cell>
          <cell r="CD1202">
            <v>0</v>
          </cell>
          <cell r="CE1202">
            <v>0</v>
          </cell>
          <cell r="CF1202">
            <v>0</v>
          </cell>
          <cell r="CG1202">
            <v>0</v>
          </cell>
          <cell r="CH1202">
            <v>0</v>
          </cell>
          <cell r="CI1202">
            <v>0</v>
          </cell>
          <cell r="CJ1202">
            <v>0</v>
          </cell>
          <cell r="CK1202">
            <v>0</v>
          </cell>
          <cell r="CL1202">
            <v>0</v>
          </cell>
          <cell r="CM1202">
            <v>0</v>
          </cell>
          <cell r="CN1202">
            <v>0</v>
          </cell>
          <cell r="CO1202">
            <v>0</v>
          </cell>
        </row>
        <row r="1203"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-443291.35941797256</v>
          </cell>
          <cell r="AD1203">
            <v>-126626.251110368</v>
          </cell>
          <cell r="AE1203">
            <v>-93689.440515309048</v>
          </cell>
          <cell r="AF1203">
            <v>-66908.072156060123</v>
          </cell>
          <cell r="AG1203">
            <v>-70926.975959687552</v>
          </cell>
          <cell r="AH1203">
            <v>-110252.20187232064</v>
          </cell>
          <cell r="AI1203">
            <v>-122043.19498849577</v>
          </cell>
          <cell r="AJ1203">
            <v>-89666.7174387548</v>
          </cell>
          <cell r="AK1203">
            <v>-94091.492405237499</v>
          </cell>
          <cell r="AL1203">
            <v>-140040.03212743805</v>
          </cell>
          <cell r="AM1203">
            <v>-153529.3605186512</v>
          </cell>
          <cell r="AN1203">
            <v>-116069.3971249092</v>
          </cell>
          <cell r="AO1203">
            <v>-118695.65591569725</v>
          </cell>
          <cell r="AP1203">
            <v>-169790.2195812063</v>
          </cell>
          <cell r="AQ1203">
            <v>-182300.26567379184</v>
          </cell>
          <cell r="AR1203">
            <v>-135220.75603394216</v>
          </cell>
          <cell r="AS1203">
            <v>-135223.9154391542</v>
          </cell>
          <cell r="AT1203">
            <v>-186016.1409928294</v>
          </cell>
          <cell r="AU1203">
            <v>-173550.80903498473</v>
          </cell>
          <cell r="AV1203">
            <v>0</v>
          </cell>
          <cell r="AW1203">
            <v>0</v>
          </cell>
          <cell r="AX1203">
            <v>0</v>
          </cell>
          <cell r="AY1203">
            <v>0</v>
          </cell>
          <cell r="AZ1203">
            <v>0</v>
          </cell>
          <cell r="BA1203">
            <v>0</v>
          </cell>
          <cell r="BB1203">
            <v>0</v>
          </cell>
          <cell r="BC1203">
            <v>0</v>
          </cell>
          <cell r="BD1203">
            <v>0</v>
          </cell>
          <cell r="BE1203">
            <v>0</v>
          </cell>
          <cell r="BF1203">
            <v>0</v>
          </cell>
          <cell r="BG1203">
            <v>0</v>
          </cell>
          <cell r="BH1203">
            <v>0</v>
          </cell>
          <cell r="BI1203">
            <v>0</v>
          </cell>
          <cell r="BJ1203">
            <v>0</v>
          </cell>
          <cell r="BK1203">
            <v>0</v>
          </cell>
          <cell r="BL1203">
            <v>0</v>
          </cell>
          <cell r="BM1203">
            <v>0</v>
          </cell>
          <cell r="BN1203">
            <v>0</v>
          </cell>
          <cell r="BO1203">
            <v>0</v>
          </cell>
          <cell r="BP1203">
            <v>0</v>
          </cell>
          <cell r="BQ1203">
            <v>0</v>
          </cell>
          <cell r="BR1203">
            <v>0</v>
          </cell>
          <cell r="BS1203">
            <v>0</v>
          </cell>
          <cell r="BT1203">
            <v>0</v>
          </cell>
          <cell r="BU1203">
            <v>0</v>
          </cell>
          <cell r="BV1203">
            <v>0</v>
          </cell>
          <cell r="BW1203">
            <v>0</v>
          </cell>
          <cell r="BX1203">
            <v>0</v>
          </cell>
          <cell r="BY1203">
            <v>0</v>
          </cell>
          <cell r="BZ1203">
            <v>0</v>
          </cell>
          <cell r="CA1203">
            <v>0</v>
          </cell>
          <cell r="CB1203">
            <v>0</v>
          </cell>
          <cell r="CC1203">
            <v>0</v>
          </cell>
          <cell r="CD1203">
            <v>0</v>
          </cell>
          <cell r="CE1203">
            <v>0</v>
          </cell>
          <cell r="CF1203">
            <v>0</v>
          </cell>
          <cell r="CG1203">
            <v>0</v>
          </cell>
          <cell r="CH1203">
            <v>0</v>
          </cell>
          <cell r="CI1203">
            <v>0</v>
          </cell>
          <cell r="CJ1203">
            <v>0</v>
          </cell>
          <cell r="CK1203">
            <v>0</v>
          </cell>
          <cell r="CL1203">
            <v>0</v>
          </cell>
          <cell r="CM1203">
            <v>0</v>
          </cell>
          <cell r="CN1203">
            <v>0</v>
          </cell>
          <cell r="CO1203">
            <v>0</v>
          </cell>
        </row>
        <row r="1204"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142236.70061813446</v>
          </cell>
          <cell r="S1204">
            <v>416214.58965920261</v>
          </cell>
          <cell r="T1204">
            <v>692892.09422642062</v>
          </cell>
          <cell r="U1204">
            <v>972295.81472909369</v>
          </cell>
          <cell r="V1204">
            <v>1254452.6136811741</v>
          </cell>
          <cell r="W1204">
            <v>1539389.6182838848</v>
          </cell>
          <cell r="X1204">
            <v>1827134.2230337916</v>
          </cell>
          <cell r="Y1204">
            <v>2117714.0923565715</v>
          </cell>
          <cell r="Z1204">
            <v>2411157.1632667347</v>
          </cell>
          <cell r="AA1204">
            <v>2568768.2079369011</v>
          </cell>
          <cell r="AB1204">
            <v>2727932.2583068102</v>
          </cell>
          <cell r="AC1204">
            <v>2284640.8988888375</v>
          </cell>
          <cell r="AD1204">
            <v>2158014.6477784696</v>
          </cell>
          <cell r="AE1204">
            <v>2064325.2072631605</v>
          </cell>
          <cell r="AF1204">
            <v>1997417.1351071005</v>
          </cell>
          <cell r="AG1204">
            <v>1926490.159147413</v>
          </cell>
          <cell r="AH1204">
            <v>1816237.9572750924</v>
          </cell>
          <cell r="AI1204">
            <v>1694194.7622865967</v>
          </cell>
          <cell r="AJ1204">
            <v>1604528.0448478418</v>
          </cell>
          <cell r="AK1204">
            <v>1510436.5524426044</v>
          </cell>
          <cell r="AL1204">
            <v>1370396.5203151663</v>
          </cell>
          <cell r="AM1204">
            <v>1216867.159796515</v>
          </cell>
          <cell r="AN1204">
            <v>1100797.7626716059</v>
          </cell>
          <cell r="AO1204">
            <v>982102.1067559087</v>
          </cell>
          <cell r="AP1204">
            <v>812311.88717470237</v>
          </cell>
          <cell r="AQ1204">
            <v>630011.62150091049</v>
          </cell>
          <cell r="AR1204">
            <v>494790.86546696833</v>
          </cell>
          <cell r="AS1204">
            <v>359566.95002781413</v>
          </cell>
          <cell r="AT1204">
            <v>173550.80903498473</v>
          </cell>
          <cell r="AU1204">
            <v>0</v>
          </cell>
          <cell r="AV1204">
            <v>0</v>
          </cell>
          <cell r="AW1204">
            <v>0</v>
          </cell>
          <cell r="AX1204">
            <v>0</v>
          </cell>
          <cell r="AY1204">
            <v>0</v>
          </cell>
          <cell r="AZ1204">
            <v>0</v>
          </cell>
          <cell r="BA1204">
            <v>0</v>
          </cell>
          <cell r="BB1204">
            <v>0</v>
          </cell>
          <cell r="BC1204">
            <v>0</v>
          </cell>
          <cell r="BD1204">
            <v>0</v>
          </cell>
          <cell r="BE1204">
            <v>0</v>
          </cell>
          <cell r="BF1204">
            <v>0</v>
          </cell>
          <cell r="BG1204">
            <v>0</v>
          </cell>
          <cell r="BH1204">
            <v>0</v>
          </cell>
          <cell r="BI1204">
            <v>0</v>
          </cell>
          <cell r="BJ1204">
            <v>0</v>
          </cell>
          <cell r="BK1204">
            <v>0</v>
          </cell>
          <cell r="BL1204">
            <v>0</v>
          </cell>
          <cell r="BM1204">
            <v>0</v>
          </cell>
          <cell r="BN1204">
            <v>0</v>
          </cell>
          <cell r="BO1204">
            <v>0</v>
          </cell>
          <cell r="BP1204">
            <v>0</v>
          </cell>
          <cell r="BQ1204">
            <v>0</v>
          </cell>
          <cell r="BR1204">
            <v>0</v>
          </cell>
          <cell r="BS1204">
            <v>0</v>
          </cell>
          <cell r="BT1204">
            <v>0</v>
          </cell>
          <cell r="BU1204">
            <v>0</v>
          </cell>
          <cell r="BV1204">
            <v>0</v>
          </cell>
          <cell r="BW1204">
            <v>0</v>
          </cell>
          <cell r="BX1204">
            <v>0</v>
          </cell>
          <cell r="BY1204">
            <v>0</v>
          </cell>
          <cell r="BZ1204">
            <v>0</v>
          </cell>
          <cell r="CA1204">
            <v>0</v>
          </cell>
          <cell r="CB1204">
            <v>0</v>
          </cell>
          <cell r="CC1204">
            <v>0</v>
          </cell>
          <cell r="CD1204">
            <v>0</v>
          </cell>
          <cell r="CE1204">
            <v>0</v>
          </cell>
          <cell r="CF1204">
            <v>0</v>
          </cell>
          <cell r="CG1204">
            <v>0</v>
          </cell>
          <cell r="CH1204">
            <v>0</v>
          </cell>
          <cell r="CI1204">
            <v>0</v>
          </cell>
          <cell r="CJ1204">
            <v>0</v>
          </cell>
          <cell r="CK1204">
            <v>0</v>
          </cell>
          <cell r="CL1204">
            <v>0</v>
          </cell>
          <cell r="CM1204">
            <v>0</v>
          </cell>
          <cell r="CN1204">
            <v>0</v>
          </cell>
          <cell r="CO1204">
            <v>0</v>
          </cell>
        </row>
        <row r="1207"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-994.87752514547208</v>
          </cell>
          <cell r="S1207">
            <v>-3906.099024871347</v>
          </cell>
          <cell r="T1207">
            <v>-7589.0245013817648</v>
          </cell>
          <cell r="U1207">
            <v>-11520.59114271209</v>
          </cell>
          <cell r="V1207">
            <v>-15575.037637620315</v>
          </cell>
          <cell r="W1207">
            <v>-19541.586899196704</v>
          </cell>
          <cell r="X1207">
            <v>-23227.634782206183</v>
          </cell>
          <cell r="Y1207">
            <v>-27217.836635080643</v>
          </cell>
          <cell r="Z1207">
            <v>-31590.733102749455</v>
          </cell>
          <cell r="AA1207">
            <v>-34737.020417166343</v>
          </cell>
          <cell r="AB1207">
            <v>-36242.491546421013</v>
          </cell>
          <cell r="AC1207">
            <v>-37746.361289256289</v>
          </cell>
          <cell r="AD1207">
            <v>-31959.935423907962</v>
          </cell>
          <cell r="AE1207">
            <v>-30188.555593306486</v>
          </cell>
          <cell r="AF1207">
            <v>-28250.149069258867</v>
          </cell>
          <cell r="AG1207">
            <v>-27638.233536598389</v>
          </cell>
          <cell r="AH1207">
            <v>-26949.750007141622</v>
          </cell>
          <cell r="AI1207">
            <v>-25407.427424237321</v>
          </cell>
          <cell r="AJ1207">
            <v>-23184.939281154933</v>
          </cell>
          <cell r="AK1207">
            <v>-22201.832576723358</v>
          </cell>
          <cell r="AL1207">
            <v>-21129.559004854629</v>
          </cell>
          <cell r="AM1207">
            <v>-19170.533240354081</v>
          </cell>
          <cell r="AN1207">
            <v>-16791.769373093714</v>
          </cell>
          <cell r="AO1207">
            <v>-15190.106831620071</v>
          </cell>
          <cell r="AP1207">
            <v>-13701.129390971775</v>
          </cell>
          <cell r="AQ1207">
            <v>-11332.416655502815</v>
          </cell>
          <cell r="AR1207">
            <v>-8621.6658887590347</v>
          </cell>
          <cell r="AS1207">
            <v>-6846.4144275093804</v>
          </cell>
          <cell r="AT1207">
            <v>-5029.996840663066</v>
          </cell>
          <cell r="AU1207">
            <v>-2427.8093998154304</v>
          </cell>
          <cell r="AV1207">
            <v>0</v>
          </cell>
          <cell r="AW1207">
            <v>0</v>
          </cell>
          <cell r="AX1207">
            <v>0</v>
          </cell>
          <cell r="AY1207">
            <v>0</v>
          </cell>
          <cell r="AZ1207">
            <v>0</v>
          </cell>
          <cell r="BA1207">
            <v>0</v>
          </cell>
          <cell r="BB1207">
            <v>0</v>
          </cell>
          <cell r="BC1207">
            <v>0</v>
          </cell>
          <cell r="BD1207">
            <v>0</v>
          </cell>
          <cell r="BE1207">
            <v>0</v>
          </cell>
          <cell r="BF1207">
            <v>0</v>
          </cell>
          <cell r="BG1207">
            <v>0</v>
          </cell>
          <cell r="BH1207">
            <v>0</v>
          </cell>
          <cell r="BI1207">
            <v>0</v>
          </cell>
          <cell r="BJ1207">
            <v>0</v>
          </cell>
          <cell r="BK1207">
            <v>0</v>
          </cell>
          <cell r="BL1207">
            <v>0</v>
          </cell>
          <cell r="BM1207">
            <v>0</v>
          </cell>
          <cell r="BN1207">
            <v>0</v>
          </cell>
          <cell r="BO1207">
            <v>0</v>
          </cell>
          <cell r="BP1207">
            <v>0</v>
          </cell>
          <cell r="BQ1207">
            <v>0</v>
          </cell>
          <cell r="BR1207">
            <v>0</v>
          </cell>
          <cell r="BS1207">
            <v>0</v>
          </cell>
          <cell r="BT1207">
            <v>0</v>
          </cell>
          <cell r="BU1207">
            <v>0</v>
          </cell>
          <cell r="BV1207">
            <v>0</v>
          </cell>
          <cell r="BW1207">
            <v>0</v>
          </cell>
          <cell r="BX1207">
            <v>0</v>
          </cell>
          <cell r="BY1207">
            <v>0</v>
          </cell>
          <cell r="BZ1207">
            <v>0</v>
          </cell>
          <cell r="CA1207">
            <v>0</v>
          </cell>
          <cell r="CB1207">
            <v>0</v>
          </cell>
          <cell r="CC1207">
            <v>0</v>
          </cell>
          <cell r="CD1207">
            <v>0</v>
          </cell>
          <cell r="CE1207">
            <v>0</v>
          </cell>
          <cell r="CF1207">
            <v>0</v>
          </cell>
          <cell r="CG1207">
            <v>0</v>
          </cell>
          <cell r="CH1207">
            <v>0</v>
          </cell>
          <cell r="CI1207">
            <v>0</v>
          </cell>
          <cell r="CJ1207">
            <v>0</v>
          </cell>
          <cell r="CK1207">
            <v>0</v>
          </cell>
          <cell r="CL1207">
            <v>0</v>
          </cell>
          <cell r="CM1207">
            <v>0</v>
          </cell>
          <cell r="CN1207">
            <v>0</v>
          </cell>
          <cell r="CO1207">
            <v>0</v>
          </cell>
        </row>
        <row r="1208"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-994.87752514547208</v>
          </cell>
          <cell r="S1208">
            <v>-3906.099024871347</v>
          </cell>
          <cell r="T1208">
            <v>-7589.0245013817648</v>
          </cell>
          <cell r="U1208">
            <v>-11520.59114271209</v>
          </cell>
          <cell r="V1208">
            <v>-15575.037637620315</v>
          </cell>
          <cell r="W1208">
            <v>-19541.586899196704</v>
          </cell>
          <cell r="X1208">
            <v>-23227.634782206183</v>
          </cell>
          <cell r="Y1208">
            <v>-27217.836635080643</v>
          </cell>
          <cell r="Z1208">
            <v>-31590.733102749455</v>
          </cell>
          <cell r="AA1208">
            <v>-34737.020417166343</v>
          </cell>
          <cell r="AB1208">
            <v>-36242.491546421013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>
            <v>0</v>
          </cell>
          <cell r="AM1208">
            <v>0</v>
          </cell>
          <cell r="AN1208">
            <v>0</v>
          </cell>
          <cell r="AO1208">
            <v>0</v>
          </cell>
          <cell r="AP1208">
            <v>0</v>
          </cell>
          <cell r="AQ1208">
            <v>0</v>
          </cell>
          <cell r="AR1208">
            <v>0</v>
          </cell>
          <cell r="AS1208">
            <v>0</v>
          </cell>
          <cell r="AT1208">
            <v>0</v>
          </cell>
          <cell r="AU1208">
            <v>0</v>
          </cell>
          <cell r="AV1208">
            <v>0</v>
          </cell>
          <cell r="AW1208">
            <v>0</v>
          </cell>
          <cell r="AX1208">
            <v>0</v>
          </cell>
          <cell r="AY1208">
            <v>0</v>
          </cell>
          <cell r="AZ1208">
            <v>0</v>
          </cell>
          <cell r="BA1208">
            <v>0</v>
          </cell>
          <cell r="BB1208">
            <v>0</v>
          </cell>
          <cell r="BC1208">
            <v>0</v>
          </cell>
          <cell r="BD1208">
            <v>0</v>
          </cell>
          <cell r="BE1208">
            <v>0</v>
          </cell>
          <cell r="BF1208">
            <v>0</v>
          </cell>
          <cell r="BG1208">
            <v>0</v>
          </cell>
          <cell r="BH1208">
            <v>0</v>
          </cell>
          <cell r="BI1208">
            <v>0</v>
          </cell>
          <cell r="BJ1208">
            <v>0</v>
          </cell>
          <cell r="BK1208">
            <v>0</v>
          </cell>
          <cell r="BL1208">
            <v>0</v>
          </cell>
          <cell r="BM1208">
            <v>0</v>
          </cell>
          <cell r="BN1208">
            <v>0</v>
          </cell>
          <cell r="BO1208">
            <v>0</v>
          </cell>
          <cell r="BP1208">
            <v>0</v>
          </cell>
          <cell r="BQ1208">
            <v>0</v>
          </cell>
          <cell r="BR1208">
            <v>0</v>
          </cell>
          <cell r="BS1208">
            <v>0</v>
          </cell>
          <cell r="BT1208">
            <v>0</v>
          </cell>
          <cell r="BU1208">
            <v>0</v>
          </cell>
          <cell r="BV1208">
            <v>0</v>
          </cell>
          <cell r="BW1208">
            <v>0</v>
          </cell>
          <cell r="BX1208">
            <v>0</v>
          </cell>
          <cell r="BY1208">
            <v>0</v>
          </cell>
          <cell r="BZ1208">
            <v>0</v>
          </cell>
          <cell r="CA1208">
            <v>0</v>
          </cell>
          <cell r="CB1208">
            <v>0</v>
          </cell>
          <cell r="CC1208">
            <v>0</v>
          </cell>
          <cell r="CD1208">
            <v>0</v>
          </cell>
          <cell r="CE1208">
            <v>0</v>
          </cell>
          <cell r="CF1208">
            <v>0</v>
          </cell>
          <cell r="CG1208">
            <v>0</v>
          </cell>
          <cell r="CH1208">
            <v>0</v>
          </cell>
          <cell r="CI1208">
            <v>0</v>
          </cell>
          <cell r="CJ1208">
            <v>0</v>
          </cell>
          <cell r="CK1208">
            <v>0</v>
          </cell>
          <cell r="CL1208">
            <v>0</v>
          </cell>
          <cell r="CM1208">
            <v>0</v>
          </cell>
          <cell r="CN1208">
            <v>0</v>
          </cell>
          <cell r="CO1208">
            <v>0</v>
          </cell>
        </row>
        <row r="1209"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-37746.361289256289</v>
          </cell>
          <cell r="AD1209">
            <v>-31959.935423907962</v>
          </cell>
          <cell r="AE1209">
            <v>-30188.555593306486</v>
          </cell>
          <cell r="AF1209">
            <v>-28250.149069258867</v>
          </cell>
          <cell r="AG1209">
            <v>-27638.233536598389</v>
          </cell>
          <cell r="AH1209">
            <v>-26949.750007141622</v>
          </cell>
          <cell r="AI1209">
            <v>-25407.427424237321</v>
          </cell>
          <cell r="AJ1209">
            <v>-23184.939281154933</v>
          </cell>
          <cell r="AK1209">
            <v>-22201.832576723358</v>
          </cell>
          <cell r="AL1209">
            <v>-21129.559004854629</v>
          </cell>
          <cell r="AM1209">
            <v>-19170.533240354081</v>
          </cell>
          <cell r="AN1209">
            <v>-16791.769373093714</v>
          </cell>
          <cell r="AO1209">
            <v>-15190.106831620071</v>
          </cell>
          <cell r="AP1209">
            <v>-13701.129390971775</v>
          </cell>
          <cell r="AQ1209">
            <v>-11332.416655502815</v>
          </cell>
          <cell r="AR1209">
            <v>-8621.6658887590347</v>
          </cell>
          <cell r="AS1209">
            <v>-6846.4144275093804</v>
          </cell>
          <cell r="AT1209">
            <v>-5029.996840663066</v>
          </cell>
          <cell r="AU1209">
            <v>-2427.8093998154304</v>
          </cell>
          <cell r="AV1209">
            <v>0</v>
          </cell>
          <cell r="AW1209">
            <v>0</v>
          </cell>
          <cell r="AX1209">
            <v>0</v>
          </cell>
          <cell r="AY1209">
            <v>0</v>
          </cell>
          <cell r="AZ1209">
            <v>0</v>
          </cell>
          <cell r="BA1209">
            <v>0</v>
          </cell>
          <cell r="BB1209">
            <v>0</v>
          </cell>
          <cell r="BC1209">
            <v>0</v>
          </cell>
          <cell r="BD1209">
            <v>0</v>
          </cell>
          <cell r="BE1209">
            <v>0</v>
          </cell>
          <cell r="BF1209">
            <v>0</v>
          </cell>
          <cell r="BG1209">
            <v>0</v>
          </cell>
          <cell r="BH1209">
            <v>0</v>
          </cell>
          <cell r="BI1209">
            <v>0</v>
          </cell>
          <cell r="BJ1209">
            <v>0</v>
          </cell>
          <cell r="BK1209">
            <v>0</v>
          </cell>
          <cell r="BL1209">
            <v>0</v>
          </cell>
          <cell r="BM1209">
            <v>0</v>
          </cell>
          <cell r="BN1209">
            <v>0</v>
          </cell>
          <cell r="BO1209">
            <v>0</v>
          </cell>
          <cell r="BP1209">
            <v>0</v>
          </cell>
          <cell r="BQ1209">
            <v>0</v>
          </cell>
          <cell r="BR1209">
            <v>0</v>
          </cell>
          <cell r="BS1209">
            <v>0</v>
          </cell>
          <cell r="BT1209">
            <v>0</v>
          </cell>
          <cell r="BU1209">
            <v>0</v>
          </cell>
          <cell r="BV1209">
            <v>0</v>
          </cell>
          <cell r="BW1209">
            <v>0</v>
          </cell>
          <cell r="BX1209">
            <v>0</v>
          </cell>
          <cell r="BY1209">
            <v>0</v>
          </cell>
          <cell r="BZ1209">
            <v>0</v>
          </cell>
          <cell r="CA1209">
            <v>0</v>
          </cell>
          <cell r="CB1209">
            <v>0</v>
          </cell>
          <cell r="CC1209">
            <v>0</v>
          </cell>
          <cell r="CD1209">
            <v>0</v>
          </cell>
          <cell r="CE1209">
            <v>0</v>
          </cell>
          <cell r="CF1209">
            <v>0</v>
          </cell>
          <cell r="CG1209">
            <v>0</v>
          </cell>
          <cell r="CH1209">
            <v>0</v>
          </cell>
          <cell r="CI1209">
            <v>0</v>
          </cell>
          <cell r="CJ1209">
            <v>0</v>
          </cell>
          <cell r="CK1209">
            <v>0</v>
          </cell>
          <cell r="CL1209">
            <v>0</v>
          </cell>
          <cell r="CM1209">
            <v>0</v>
          </cell>
          <cell r="CN1209">
            <v>0</v>
          </cell>
          <cell r="CO1209">
            <v>0</v>
          </cell>
        </row>
        <row r="1210"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-994.87752514547208</v>
          </cell>
          <cell r="S1210">
            <v>-3906.099024871347</v>
          </cell>
          <cell r="T1210">
            <v>-7589.0245013817648</v>
          </cell>
          <cell r="U1210">
            <v>-11520.59114271209</v>
          </cell>
          <cell r="V1210">
            <v>-15575.037637620315</v>
          </cell>
          <cell r="W1210">
            <v>-19541.586899196704</v>
          </cell>
          <cell r="X1210">
            <v>-23227.634782206183</v>
          </cell>
          <cell r="Y1210">
            <v>-27217.836635080643</v>
          </cell>
          <cell r="Z1210">
            <v>-31590.733102749455</v>
          </cell>
          <cell r="AA1210">
            <v>-34737.020417166343</v>
          </cell>
          <cell r="AB1210">
            <v>-36242.491546421013</v>
          </cell>
          <cell r="AC1210">
            <v>-37746.361289256289</v>
          </cell>
          <cell r="AD1210">
            <v>-31959.935423907962</v>
          </cell>
          <cell r="AE1210">
            <v>-30188.555593306486</v>
          </cell>
          <cell r="AF1210">
            <v>-28250.149069258867</v>
          </cell>
          <cell r="AG1210">
            <v>-27638.233536598389</v>
          </cell>
          <cell r="AH1210">
            <v>-26949.750007141622</v>
          </cell>
          <cell r="AI1210">
            <v>-25407.427424237321</v>
          </cell>
          <cell r="AJ1210">
            <v>-23184.939281154933</v>
          </cell>
          <cell r="AK1210">
            <v>-22201.832576723358</v>
          </cell>
          <cell r="AL1210">
            <v>-21129.559004854629</v>
          </cell>
          <cell r="AM1210">
            <v>-19170.533240354081</v>
          </cell>
          <cell r="AN1210">
            <v>-16791.769373093714</v>
          </cell>
          <cell r="AO1210">
            <v>-15190.106831620071</v>
          </cell>
          <cell r="AP1210">
            <v>-13701.129390971775</v>
          </cell>
          <cell r="AQ1210">
            <v>-11332.416655502815</v>
          </cell>
          <cell r="AR1210">
            <v>-8621.6658887590347</v>
          </cell>
          <cell r="AS1210">
            <v>-6846.4144275093804</v>
          </cell>
          <cell r="AT1210">
            <v>-5029.996840663066</v>
          </cell>
          <cell r="AU1210">
            <v>-2427.8093998154304</v>
          </cell>
          <cell r="AV1210">
            <v>0</v>
          </cell>
          <cell r="AW1210">
            <v>0</v>
          </cell>
          <cell r="AX1210">
            <v>0</v>
          </cell>
          <cell r="AY1210">
            <v>0</v>
          </cell>
          <cell r="AZ1210">
            <v>0</v>
          </cell>
          <cell r="BA1210">
            <v>0</v>
          </cell>
          <cell r="BB1210">
            <v>0</v>
          </cell>
          <cell r="BC1210">
            <v>0</v>
          </cell>
          <cell r="BD1210">
            <v>0</v>
          </cell>
          <cell r="BE1210">
            <v>0</v>
          </cell>
          <cell r="BF1210">
            <v>0</v>
          </cell>
          <cell r="BG1210">
            <v>0</v>
          </cell>
          <cell r="BH1210">
            <v>0</v>
          </cell>
          <cell r="BI1210">
            <v>0</v>
          </cell>
          <cell r="BJ1210">
            <v>0</v>
          </cell>
          <cell r="BK1210">
            <v>0</v>
          </cell>
          <cell r="BL1210">
            <v>0</v>
          </cell>
          <cell r="BM1210">
            <v>0</v>
          </cell>
          <cell r="BN1210">
            <v>0</v>
          </cell>
          <cell r="BO1210">
            <v>0</v>
          </cell>
          <cell r="BP1210">
            <v>0</v>
          </cell>
          <cell r="BQ1210">
            <v>0</v>
          </cell>
          <cell r="BR1210">
            <v>0</v>
          </cell>
          <cell r="BS1210">
            <v>0</v>
          </cell>
          <cell r="BT1210">
            <v>0</v>
          </cell>
          <cell r="BU1210">
            <v>0</v>
          </cell>
          <cell r="BV1210">
            <v>0</v>
          </cell>
          <cell r="BW1210">
            <v>0</v>
          </cell>
          <cell r="BX1210">
            <v>0</v>
          </cell>
          <cell r="BY1210">
            <v>0</v>
          </cell>
          <cell r="BZ1210">
            <v>0</v>
          </cell>
          <cell r="CA1210">
            <v>0</v>
          </cell>
          <cell r="CB1210">
            <v>0</v>
          </cell>
          <cell r="CC1210">
            <v>0</v>
          </cell>
          <cell r="CD1210">
            <v>0</v>
          </cell>
          <cell r="CE1210">
            <v>0</v>
          </cell>
          <cell r="CF1210">
            <v>0</v>
          </cell>
          <cell r="CG1210">
            <v>0</v>
          </cell>
          <cell r="CH1210">
            <v>0</v>
          </cell>
          <cell r="CI1210">
            <v>0</v>
          </cell>
          <cell r="CJ1210">
            <v>0</v>
          </cell>
          <cell r="CK1210">
            <v>0</v>
          </cell>
          <cell r="CL1210">
            <v>0</v>
          </cell>
          <cell r="CM1210">
            <v>0</v>
          </cell>
          <cell r="CN1210">
            <v>0</v>
          </cell>
          <cell r="CO1210">
            <v>0</v>
          </cell>
        </row>
        <row r="1215"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-1955.2108874577386</v>
          </cell>
          <cell r="T1215">
            <v>-1710.0377274927509</v>
          </cell>
          <cell r="U1215">
            <v>-1522.0985336820449</v>
          </cell>
          <cell r="V1215">
            <v>-1327.5497491163007</v>
          </cell>
          <cell r="W1215">
            <v>-1114.1928271689742</v>
          </cell>
          <cell r="X1215">
            <v>-886.53590362365742</v>
          </cell>
          <cell r="Y1215">
            <v>-671.90673122823512</v>
          </cell>
          <cell r="Z1215">
            <v>-460.16451858542592</v>
          </cell>
          <cell r="AA1215">
            <v>-238.87957986628643</v>
          </cell>
          <cell r="AB1215">
            <v>-117.73779068459024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>
            <v>0</v>
          </cell>
          <cell r="AM1215">
            <v>0</v>
          </cell>
          <cell r="AN1215">
            <v>0</v>
          </cell>
          <cell r="AO1215">
            <v>0</v>
          </cell>
          <cell r="AP1215">
            <v>0</v>
          </cell>
          <cell r="AQ1215">
            <v>0</v>
          </cell>
          <cell r="AR1215">
            <v>0</v>
          </cell>
          <cell r="AS1215">
            <v>0</v>
          </cell>
          <cell r="AT1215">
            <v>0</v>
          </cell>
          <cell r="AU1215">
            <v>0</v>
          </cell>
          <cell r="AV1215">
            <v>0</v>
          </cell>
          <cell r="AW1215">
            <v>0</v>
          </cell>
          <cell r="AX1215">
            <v>0</v>
          </cell>
          <cell r="AY1215">
            <v>0</v>
          </cell>
          <cell r="AZ1215">
            <v>0</v>
          </cell>
          <cell r="BA1215">
            <v>0</v>
          </cell>
          <cell r="BB1215">
            <v>0</v>
          </cell>
          <cell r="BC1215">
            <v>0</v>
          </cell>
          <cell r="BD1215">
            <v>0</v>
          </cell>
          <cell r="BE1215">
            <v>0</v>
          </cell>
          <cell r="BF1215">
            <v>0</v>
          </cell>
          <cell r="BG1215">
            <v>0</v>
          </cell>
          <cell r="BH1215">
            <v>0</v>
          </cell>
          <cell r="BI1215">
            <v>0</v>
          </cell>
          <cell r="BJ1215">
            <v>0</v>
          </cell>
          <cell r="BK1215">
            <v>0</v>
          </cell>
          <cell r="BL1215">
            <v>0</v>
          </cell>
          <cell r="BM1215">
            <v>0</v>
          </cell>
          <cell r="BN1215">
            <v>0</v>
          </cell>
          <cell r="BO1215">
            <v>0</v>
          </cell>
          <cell r="BP1215">
            <v>0</v>
          </cell>
          <cell r="BQ1215">
            <v>0</v>
          </cell>
          <cell r="BR1215">
            <v>0</v>
          </cell>
          <cell r="BS1215">
            <v>0</v>
          </cell>
          <cell r="BT1215">
            <v>0</v>
          </cell>
          <cell r="BU1215">
            <v>0</v>
          </cell>
          <cell r="BV1215">
            <v>0</v>
          </cell>
          <cell r="BW1215">
            <v>0</v>
          </cell>
          <cell r="BX1215">
            <v>0</v>
          </cell>
          <cell r="BY1215">
            <v>0</v>
          </cell>
          <cell r="BZ1215">
            <v>0</v>
          </cell>
          <cell r="CA1215">
            <v>0</v>
          </cell>
          <cell r="CB1215">
            <v>0</v>
          </cell>
          <cell r="CC1215">
            <v>0</v>
          </cell>
          <cell r="CD1215">
            <v>0</v>
          </cell>
          <cell r="CE1215">
            <v>0</v>
          </cell>
          <cell r="CF1215">
            <v>0</v>
          </cell>
          <cell r="CG1215">
            <v>0</v>
          </cell>
          <cell r="CH1215">
            <v>0</v>
          </cell>
          <cell r="CI1215">
            <v>0</v>
          </cell>
          <cell r="CJ1215">
            <v>0</v>
          </cell>
          <cell r="CK1215">
            <v>0</v>
          </cell>
          <cell r="CL1215">
            <v>0</v>
          </cell>
          <cell r="CM1215">
            <v>0</v>
          </cell>
          <cell r="CN1215">
            <v>0</v>
          </cell>
          <cell r="CO1215">
            <v>0</v>
          </cell>
        </row>
        <row r="1230">
          <cell r="L1230">
            <v>20830.114895427239</v>
          </cell>
          <cell r="M1230">
            <v>21125.796031118753</v>
          </cell>
          <cell r="N1230">
            <v>21425.674327240864</v>
          </cell>
          <cell r="O1230">
            <v>21729.809362013315</v>
          </cell>
          <cell r="P1230">
            <v>199146.33264177365</v>
          </cell>
          <cell r="Q1230">
            <v>268657.42356026266</v>
          </cell>
          <cell r="R1230">
            <v>130062.79128401139</v>
          </cell>
          <cell r="S1230">
            <v>5861.3099123290858</v>
          </cell>
          <cell r="T1230">
            <v>9299.0622288745162</v>
          </cell>
          <cell r="U1230">
            <v>13042.689676394135</v>
          </cell>
          <cell r="V1230">
            <v>16902.587386736617</v>
          </cell>
          <cell r="W1230">
            <v>20655.779726365679</v>
          </cell>
          <cell r="X1230">
            <v>24114.170685829842</v>
          </cell>
          <cell r="Y1230">
            <v>27889.743366308878</v>
          </cell>
          <cell r="Z1230">
            <v>32050.89762133488</v>
          </cell>
          <cell r="AA1230">
            <v>34975.899997032626</v>
          </cell>
          <cell r="AB1230">
            <v>36360.2293371056</v>
          </cell>
          <cell r="AC1230">
            <v>0</v>
          </cell>
          <cell r="AD1230">
            <v>0</v>
          </cell>
          <cell r="AE1230">
            <v>0</v>
          </cell>
          <cell r="AF1230">
            <v>0</v>
          </cell>
          <cell r="AG1230">
            <v>0</v>
          </cell>
          <cell r="AH1230">
            <v>0</v>
          </cell>
          <cell r="AI1230">
            <v>0</v>
          </cell>
          <cell r="AJ1230">
            <v>0</v>
          </cell>
          <cell r="AK1230">
            <v>0</v>
          </cell>
          <cell r="AL1230">
            <v>0</v>
          </cell>
          <cell r="AM1230">
            <v>0</v>
          </cell>
          <cell r="AN1230">
            <v>0</v>
          </cell>
          <cell r="AO1230">
            <v>0</v>
          </cell>
          <cell r="AP1230">
            <v>0</v>
          </cell>
          <cell r="AQ1230">
            <v>0</v>
          </cell>
          <cell r="AR1230">
            <v>0</v>
          </cell>
          <cell r="AS1230">
            <v>0</v>
          </cell>
          <cell r="AT1230">
            <v>0</v>
          </cell>
          <cell r="AU1230">
            <v>0</v>
          </cell>
          <cell r="AV1230">
            <v>0</v>
          </cell>
          <cell r="AW1230">
            <v>0</v>
          </cell>
          <cell r="AX1230">
            <v>0</v>
          </cell>
          <cell r="AY1230">
            <v>0</v>
          </cell>
          <cell r="AZ1230">
            <v>0</v>
          </cell>
          <cell r="BA1230">
            <v>0</v>
          </cell>
          <cell r="BB1230">
            <v>0</v>
          </cell>
          <cell r="BC1230">
            <v>0</v>
          </cell>
          <cell r="BD1230">
            <v>0</v>
          </cell>
          <cell r="BE1230">
            <v>0</v>
          </cell>
          <cell r="BF1230">
            <v>0</v>
          </cell>
          <cell r="BG1230">
            <v>0</v>
          </cell>
          <cell r="BH1230">
            <v>0</v>
          </cell>
          <cell r="BI1230">
            <v>0</v>
          </cell>
          <cell r="BJ1230">
            <v>0</v>
          </cell>
          <cell r="BK1230">
            <v>0</v>
          </cell>
          <cell r="BL1230">
            <v>0</v>
          </cell>
          <cell r="BM1230">
            <v>0</v>
          </cell>
          <cell r="BN1230">
            <v>0</v>
          </cell>
          <cell r="BO1230">
            <v>0</v>
          </cell>
          <cell r="BP1230">
            <v>0</v>
          </cell>
          <cell r="BQ1230">
            <v>0</v>
          </cell>
          <cell r="BR1230">
            <v>0</v>
          </cell>
          <cell r="BS1230">
            <v>0</v>
          </cell>
          <cell r="BT1230">
            <v>0</v>
          </cell>
          <cell r="BU1230">
            <v>0</v>
          </cell>
          <cell r="BV1230">
            <v>0</v>
          </cell>
          <cell r="BW1230">
            <v>0</v>
          </cell>
          <cell r="BX1230">
            <v>0</v>
          </cell>
          <cell r="BY1230">
            <v>0</v>
          </cell>
          <cell r="BZ1230">
            <v>0</v>
          </cell>
          <cell r="CA1230">
            <v>0</v>
          </cell>
          <cell r="CB1230">
            <v>0</v>
          </cell>
          <cell r="CC1230">
            <v>0</v>
          </cell>
          <cell r="CD1230">
            <v>0</v>
          </cell>
          <cell r="CE1230">
            <v>0</v>
          </cell>
          <cell r="CF1230">
            <v>0</v>
          </cell>
          <cell r="CG1230">
            <v>0</v>
          </cell>
          <cell r="CH1230">
            <v>0</v>
          </cell>
          <cell r="CI1230">
            <v>0</v>
          </cell>
          <cell r="CJ1230">
            <v>0</v>
          </cell>
          <cell r="CK1230">
            <v>0</v>
          </cell>
          <cell r="CL1230">
            <v>0</v>
          </cell>
          <cell r="CM1230">
            <v>0</v>
          </cell>
          <cell r="CN1230">
            <v>0</v>
          </cell>
          <cell r="CO1230">
            <v>0</v>
          </cell>
        </row>
        <row r="1231"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0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>
            <v>0</v>
          </cell>
          <cell r="AM1231">
            <v>0</v>
          </cell>
          <cell r="AN1231">
            <v>0</v>
          </cell>
          <cell r="AO1231">
            <v>0</v>
          </cell>
          <cell r="AP1231">
            <v>0</v>
          </cell>
          <cell r="AQ1231">
            <v>0</v>
          </cell>
          <cell r="AR1231">
            <v>0</v>
          </cell>
          <cell r="AS1231">
            <v>0</v>
          </cell>
          <cell r="AT1231">
            <v>0</v>
          </cell>
          <cell r="AU1231">
            <v>0</v>
          </cell>
          <cell r="AV1231">
            <v>0</v>
          </cell>
          <cell r="AW1231">
            <v>0</v>
          </cell>
          <cell r="AX1231">
            <v>0</v>
          </cell>
          <cell r="AY1231">
            <v>0</v>
          </cell>
          <cell r="AZ1231">
            <v>0</v>
          </cell>
          <cell r="BA1231">
            <v>0</v>
          </cell>
          <cell r="BB1231">
            <v>0</v>
          </cell>
          <cell r="BC1231">
            <v>0</v>
          </cell>
          <cell r="BD1231">
            <v>0</v>
          </cell>
          <cell r="BE1231">
            <v>0</v>
          </cell>
          <cell r="BF1231">
            <v>0</v>
          </cell>
          <cell r="BG1231">
            <v>0</v>
          </cell>
          <cell r="BH1231">
            <v>0</v>
          </cell>
          <cell r="BI1231">
            <v>0</v>
          </cell>
          <cell r="BJ1231">
            <v>0</v>
          </cell>
          <cell r="BK1231">
            <v>0</v>
          </cell>
          <cell r="BL1231">
            <v>0</v>
          </cell>
          <cell r="BM1231">
            <v>0</v>
          </cell>
          <cell r="BN1231">
            <v>0</v>
          </cell>
          <cell r="BO1231">
            <v>0</v>
          </cell>
          <cell r="BP1231">
            <v>0</v>
          </cell>
          <cell r="BQ1231">
            <v>0</v>
          </cell>
          <cell r="BR1231">
            <v>0</v>
          </cell>
          <cell r="BS1231">
            <v>0</v>
          </cell>
          <cell r="BT1231">
            <v>0</v>
          </cell>
          <cell r="BU1231">
            <v>0</v>
          </cell>
          <cell r="BV1231">
            <v>0</v>
          </cell>
          <cell r="BW1231">
            <v>0</v>
          </cell>
          <cell r="BX1231">
            <v>0</v>
          </cell>
          <cell r="BY1231">
            <v>0</v>
          </cell>
          <cell r="BZ1231">
            <v>0</v>
          </cell>
          <cell r="CA1231">
            <v>0</v>
          </cell>
          <cell r="CB1231">
            <v>0</v>
          </cell>
          <cell r="CC1231">
            <v>0</v>
          </cell>
          <cell r="CD1231">
            <v>0</v>
          </cell>
          <cell r="CE1231">
            <v>0</v>
          </cell>
          <cell r="CF1231">
            <v>0</v>
          </cell>
          <cell r="CG1231">
            <v>0</v>
          </cell>
          <cell r="CH1231">
            <v>0</v>
          </cell>
          <cell r="CI1231">
            <v>0</v>
          </cell>
          <cell r="CJ1231">
            <v>0</v>
          </cell>
          <cell r="CK1231">
            <v>0</v>
          </cell>
          <cell r="CL1231">
            <v>0</v>
          </cell>
          <cell r="CM1231">
            <v>0</v>
          </cell>
          <cell r="CN1231">
            <v>0</v>
          </cell>
          <cell r="CO1231">
            <v>0</v>
          </cell>
        </row>
        <row r="1232"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0</v>
          </cell>
          <cell r="AA1232">
            <v>0</v>
          </cell>
          <cell r="AB1232">
            <v>0</v>
          </cell>
          <cell r="AC1232">
            <v>0</v>
          </cell>
          <cell r="AD1232">
            <v>0</v>
          </cell>
          <cell r="AE1232">
            <v>0</v>
          </cell>
          <cell r="AF1232">
            <v>0</v>
          </cell>
          <cell r="AG1232">
            <v>0</v>
          </cell>
          <cell r="AH1232">
            <v>0</v>
          </cell>
          <cell r="AI1232">
            <v>0</v>
          </cell>
          <cell r="AJ1232">
            <v>0</v>
          </cell>
          <cell r="AK1232">
            <v>0</v>
          </cell>
          <cell r="AL1232">
            <v>0</v>
          </cell>
          <cell r="AM1232">
            <v>0</v>
          </cell>
          <cell r="AN1232">
            <v>0</v>
          </cell>
          <cell r="AO1232">
            <v>0</v>
          </cell>
          <cell r="AP1232">
            <v>0</v>
          </cell>
          <cell r="AQ1232">
            <v>0</v>
          </cell>
          <cell r="AR1232">
            <v>0</v>
          </cell>
          <cell r="AS1232">
            <v>0</v>
          </cell>
          <cell r="AT1232">
            <v>0</v>
          </cell>
          <cell r="AU1232">
            <v>0</v>
          </cell>
          <cell r="AV1232">
            <v>0</v>
          </cell>
          <cell r="AW1232">
            <v>0</v>
          </cell>
          <cell r="AX1232">
            <v>0</v>
          </cell>
          <cell r="AY1232">
            <v>0</v>
          </cell>
          <cell r="AZ1232">
            <v>0</v>
          </cell>
          <cell r="BA1232">
            <v>0</v>
          </cell>
          <cell r="BB1232">
            <v>0</v>
          </cell>
          <cell r="BC1232">
            <v>0</v>
          </cell>
          <cell r="BD1232">
            <v>0</v>
          </cell>
          <cell r="BE1232">
            <v>0</v>
          </cell>
          <cell r="BF1232">
            <v>0</v>
          </cell>
          <cell r="BG1232">
            <v>0</v>
          </cell>
          <cell r="BH1232">
            <v>0</v>
          </cell>
          <cell r="BI1232">
            <v>0</v>
          </cell>
          <cell r="BJ1232">
            <v>0</v>
          </cell>
          <cell r="BK1232">
            <v>0</v>
          </cell>
          <cell r="BL1232">
            <v>0</v>
          </cell>
          <cell r="BM1232">
            <v>0</v>
          </cell>
          <cell r="BN1232">
            <v>0</v>
          </cell>
          <cell r="BO1232">
            <v>0</v>
          </cell>
          <cell r="BP1232">
            <v>0</v>
          </cell>
          <cell r="BQ1232">
            <v>0</v>
          </cell>
          <cell r="BR1232">
            <v>0</v>
          </cell>
          <cell r="BS1232">
            <v>0</v>
          </cell>
          <cell r="BT1232">
            <v>0</v>
          </cell>
          <cell r="BU1232">
            <v>0</v>
          </cell>
          <cell r="BV1232">
            <v>0</v>
          </cell>
          <cell r="BW1232">
            <v>0</v>
          </cell>
          <cell r="BX1232">
            <v>0</v>
          </cell>
          <cell r="BY1232">
            <v>0</v>
          </cell>
          <cell r="BZ1232">
            <v>0</v>
          </cell>
          <cell r="CA1232">
            <v>0</v>
          </cell>
          <cell r="CB1232">
            <v>0</v>
          </cell>
          <cell r="CC1232">
            <v>0</v>
          </cell>
          <cell r="CD1232">
            <v>0</v>
          </cell>
          <cell r="CE1232">
            <v>0</v>
          </cell>
          <cell r="CF1232">
            <v>0</v>
          </cell>
          <cell r="CG1232">
            <v>0</v>
          </cell>
          <cell r="CH1232">
            <v>0</v>
          </cell>
          <cell r="CI1232">
            <v>0</v>
          </cell>
          <cell r="CJ1232">
            <v>0</v>
          </cell>
          <cell r="CK1232">
            <v>0</v>
          </cell>
          <cell r="CL1232">
            <v>0</v>
          </cell>
          <cell r="CM1232">
            <v>0</v>
          </cell>
          <cell r="CN1232">
            <v>0</v>
          </cell>
          <cell r="CO1232">
            <v>0</v>
          </cell>
        </row>
        <row r="1234">
          <cell r="L1234">
            <v>20830.114895427239</v>
          </cell>
          <cell r="M1234">
            <v>41955.910926545992</v>
          </cell>
          <cell r="N1234">
            <v>63381.585253786856</v>
          </cell>
          <cell r="O1234">
            <v>85111.394615800178</v>
          </cell>
          <cell r="P1234">
            <v>284257.72725757386</v>
          </cell>
          <cell r="Q1234">
            <v>552915.15081783652</v>
          </cell>
          <cell r="R1234">
            <v>682977.94210184785</v>
          </cell>
          <cell r="S1234">
            <v>688839.25201417692</v>
          </cell>
          <cell r="T1234">
            <v>698138.31424305146</v>
          </cell>
          <cell r="U1234">
            <v>711181.00391944556</v>
          </cell>
          <cell r="V1234">
            <v>728083.59130618221</v>
          </cell>
          <cell r="W1234">
            <v>748739.3710325479</v>
          </cell>
          <cell r="X1234">
            <v>772853.54171837773</v>
          </cell>
          <cell r="Y1234">
            <v>800743.28508468659</v>
          </cell>
          <cell r="Z1234">
            <v>832794.18270602147</v>
          </cell>
          <cell r="AA1234">
            <v>867770.08270305407</v>
          </cell>
          <cell r="AB1234">
            <v>904130.31204015971</v>
          </cell>
          <cell r="AC1234">
            <v>904130.31204015971</v>
          </cell>
          <cell r="AD1234">
            <v>904130.31204015971</v>
          </cell>
          <cell r="AE1234">
            <v>904130.31204015971</v>
          </cell>
          <cell r="AF1234">
            <v>904130.31204015971</v>
          </cell>
          <cell r="AG1234">
            <v>904130.31204015971</v>
          </cell>
          <cell r="AH1234">
            <v>904130.31204015971</v>
          </cell>
          <cell r="AI1234">
            <v>904130.31204015971</v>
          </cell>
          <cell r="AJ1234">
            <v>904130.31204015971</v>
          </cell>
          <cell r="AK1234">
            <v>904130.31204015971</v>
          </cell>
          <cell r="AL1234">
            <v>904130.31204015971</v>
          </cell>
          <cell r="AM1234">
            <v>904130.31204015971</v>
          </cell>
          <cell r="AN1234">
            <v>904130.31204015971</v>
          </cell>
          <cell r="AO1234">
            <v>904130.31204015971</v>
          </cell>
          <cell r="AP1234">
            <v>904130.31204015971</v>
          </cell>
          <cell r="AQ1234">
            <v>904130.31204015971</v>
          </cell>
          <cell r="AR1234">
            <v>904130.31204015971</v>
          </cell>
          <cell r="AS1234">
            <v>904130.31204015971</v>
          </cell>
          <cell r="AT1234">
            <v>904130.31204015971</v>
          </cell>
          <cell r="AU1234">
            <v>904130.31204015971</v>
          </cell>
          <cell r="AV1234">
            <v>904130.31204015971</v>
          </cell>
          <cell r="AW1234">
            <v>904130.31204015971</v>
          </cell>
          <cell r="AX1234">
            <v>904130.31204015971</v>
          </cell>
          <cell r="AY1234">
            <v>904130.31204015971</v>
          </cell>
          <cell r="AZ1234">
            <v>904130.31204015971</v>
          </cell>
          <cell r="BA1234">
            <v>904130.31204015971</v>
          </cell>
          <cell r="BB1234">
            <v>904130.31204015971</v>
          </cell>
          <cell r="BC1234">
            <v>904130.31204015971</v>
          </cell>
          <cell r="BD1234">
            <v>904130.31204015971</v>
          </cell>
          <cell r="BE1234">
            <v>904130.31204015971</v>
          </cell>
          <cell r="BF1234">
            <v>904130.31204015971</v>
          </cell>
          <cell r="BG1234">
            <v>904130.31204015971</v>
          </cell>
          <cell r="BH1234">
            <v>904130.31204015971</v>
          </cell>
          <cell r="BI1234">
            <v>904130.31204015971</v>
          </cell>
          <cell r="BJ1234">
            <v>904130.31204015971</v>
          </cell>
          <cell r="BK1234">
            <v>904130.31204015971</v>
          </cell>
          <cell r="BL1234">
            <v>904130.31204015971</v>
          </cell>
          <cell r="BM1234">
            <v>904130.31204015971</v>
          </cell>
          <cell r="BN1234">
            <v>904130.31204015971</v>
          </cell>
          <cell r="BO1234">
            <v>904130.31204015971</v>
          </cell>
          <cell r="BP1234">
            <v>904130.31204015971</v>
          </cell>
          <cell r="BQ1234">
            <v>904130.31204015971</v>
          </cell>
          <cell r="BR1234">
            <v>904130.31204015971</v>
          </cell>
          <cell r="BS1234">
            <v>904130.31204015971</v>
          </cell>
          <cell r="BT1234">
            <v>904130.31204015971</v>
          </cell>
          <cell r="BU1234">
            <v>904130.31204015971</v>
          </cell>
          <cell r="BV1234">
            <v>904130.31204015971</v>
          </cell>
          <cell r="BW1234">
            <v>904130.31204015971</v>
          </cell>
          <cell r="BX1234">
            <v>904130.31204015971</v>
          </cell>
          <cell r="BY1234">
            <v>904130.31204015971</v>
          </cell>
          <cell r="BZ1234">
            <v>904130.31204015971</v>
          </cell>
          <cell r="CA1234">
            <v>904130.31204015971</v>
          </cell>
          <cell r="CB1234">
            <v>904130.31204015971</v>
          </cell>
          <cell r="CC1234">
            <v>904130.31204015971</v>
          </cell>
          <cell r="CD1234">
            <v>904130.31204015971</v>
          </cell>
          <cell r="CE1234">
            <v>904130.31204015971</v>
          </cell>
          <cell r="CF1234">
            <v>904130.31204015971</v>
          </cell>
          <cell r="CG1234">
            <v>904130.31204015971</v>
          </cell>
          <cell r="CH1234">
            <v>904130.31204015971</v>
          </cell>
          <cell r="CI1234">
            <v>904130.31204015971</v>
          </cell>
          <cell r="CJ1234">
            <v>904130.31204015971</v>
          </cell>
          <cell r="CK1234">
            <v>904130.31204015971</v>
          </cell>
          <cell r="CL1234">
            <v>904130.31204015971</v>
          </cell>
          <cell r="CM1234">
            <v>904130.31204015971</v>
          </cell>
          <cell r="CN1234">
            <v>904130.31204015971</v>
          </cell>
          <cell r="CO1234">
            <v>904130.31204015971</v>
          </cell>
        </row>
        <row r="1243"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0</v>
          </cell>
          <cell r="AA1243">
            <v>0</v>
          </cell>
          <cell r="AB1243">
            <v>0</v>
          </cell>
          <cell r="AC1243">
            <v>-5.9176459653328548E-11</v>
          </cell>
          <cell r="AD1243">
            <v>0</v>
          </cell>
          <cell r="AE1243">
            <v>0</v>
          </cell>
          <cell r="AF1243">
            <v>0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>
            <v>0</v>
          </cell>
          <cell r="AM1243">
            <v>0</v>
          </cell>
          <cell r="AN1243">
            <v>0</v>
          </cell>
          <cell r="AO1243">
            <v>0</v>
          </cell>
          <cell r="AP1243">
            <v>0</v>
          </cell>
          <cell r="AQ1243">
            <v>0</v>
          </cell>
          <cell r="AR1243">
            <v>0</v>
          </cell>
          <cell r="AS1243">
            <v>0</v>
          </cell>
          <cell r="AT1243">
            <v>0</v>
          </cell>
          <cell r="AU1243">
            <v>0</v>
          </cell>
          <cell r="AV1243">
            <v>0</v>
          </cell>
          <cell r="AW1243">
            <v>0</v>
          </cell>
          <cell r="AX1243">
            <v>0</v>
          </cell>
          <cell r="AY1243">
            <v>0</v>
          </cell>
          <cell r="AZ1243">
            <v>0</v>
          </cell>
          <cell r="BA1243">
            <v>0</v>
          </cell>
          <cell r="BB1243">
            <v>0</v>
          </cell>
          <cell r="BC1243">
            <v>0</v>
          </cell>
          <cell r="BD1243">
            <v>0</v>
          </cell>
          <cell r="BE1243">
            <v>0</v>
          </cell>
          <cell r="BF1243">
            <v>0</v>
          </cell>
          <cell r="BG1243">
            <v>0</v>
          </cell>
          <cell r="BH1243">
            <v>0</v>
          </cell>
          <cell r="BI1243">
            <v>0</v>
          </cell>
          <cell r="BJ1243">
            <v>0</v>
          </cell>
          <cell r="BK1243">
            <v>0</v>
          </cell>
          <cell r="BL1243">
            <v>0</v>
          </cell>
          <cell r="BM1243">
            <v>0</v>
          </cell>
          <cell r="BN1243">
            <v>0</v>
          </cell>
          <cell r="BO1243">
            <v>0</v>
          </cell>
          <cell r="BP1243">
            <v>0</v>
          </cell>
          <cell r="BQ1243">
            <v>0</v>
          </cell>
          <cell r="BR1243">
            <v>0</v>
          </cell>
          <cell r="BS1243">
            <v>0</v>
          </cell>
          <cell r="BT1243">
            <v>0</v>
          </cell>
          <cell r="BU1243">
            <v>0</v>
          </cell>
          <cell r="BV1243">
            <v>0</v>
          </cell>
          <cell r="BW1243">
            <v>0</v>
          </cell>
          <cell r="BX1243">
            <v>0</v>
          </cell>
          <cell r="BY1243">
            <v>0</v>
          </cell>
          <cell r="BZ1243">
            <v>0</v>
          </cell>
          <cell r="CA1243">
            <v>0</v>
          </cell>
          <cell r="CB1243">
            <v>0</v>
          </cell>
          <cell r="CC1243">
            <v>0</v>
          </cell>
          <cell r="CD1243">
            <v>0</v>
          </cell>
          <cell r="CE1243">
            <v>0</v>
          </cell>
          <cell r="CF1243">
            <v>0</v>
          </cell>
          <cell r="CG1243">
            <v>0</v>
          </cell>
          <cell r="CH1243">
            <v>0</v>
          </cell>
          <cell r="CI1243">
            <v>0</v>
          </cell>
          <cell r="CJ1243">
            <v>0</v>
          </cell>
          <cell r="CK1243">
            <v>0</v>
          </cell>
          <cell r="CL1243">
            <v>0</v>
          </cell>
          <cell r="CM1243">
            <v>0</v>
          </cell>
          <cell r="CN1243">
            <v>0</v>
          </cell>
          <cell r="CO1243">
            <v>0</v>
          </cell>
        </row>
        <row r="1244"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0</v>
          </cell>
          <cell r="AA1244">
            <v>0</v>
          </cell>
          <cell r="AB1244">
            <v>5.9176459653328548E-11</v>
          </cell>
          <cell r="AC1244">
            <v>0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>
            <v>0</v>
          </cell>
          <cell r="AM1244">
            <v>0</v>
          </cell>
          <cell r="AN1244">
            <v>0</v>
          </cell>
          <cell r="AO1244">
            <v>0</v>
          </cell>
          <cell r="AP1244">
            <v>0</v>
          </cell>
          <cell r="AQ1244">
            <v>0</v>
          </cell>
          <cell r="AR1244">
            <v>0</v>
          </cell>
          <cell r="AS1244">
            <v>0</v>
          </cell>
          <cell r="AT1244">
            <v>0</v>
          </cell>
          <cell r="AU1244">
            <v>0</v>
          </cell>
          <cell r="AV1244">
            <v>0</v>
          </cell>
          <cell r="AW1244">
            <v>0</v>
          </cell>
          <cell r="AX1244">
            <v>0</v>
          </cell>
          <cell r="AY1244">
            <v>0</v>
          </cell>
          <cell r="AZ1244">
            <v>0</v>
          </cell>
          <cell r="BA1244">
            <v>0</v>
          </cell>
          <cell r="BB1244">
            <v>0</v>
          </cell>
          <cell r="BC1244">
            <v>0</v>
          </cell>
          <cell r="BD1244">
            <v>0</v>
          </cell>
          <cell r="BE1244">
            <v>0</v>
          </cell>
          <cell r="BF1244">
            <v>0</v>
          </cell>
          <cell r="BG1244">
            <v>0</v>
          </cell>
          <cell r="BH1244">
            <v>0</v>
          </cell>
          <cell r="BI1244">
            <v>0</v>
          </cell>
          <cell r="BJ1244">
            <v>0</v>
          </cell>
          <cell r="BK1244">
            <v>0</v>
          </cell>
          <cell r="BL1244">
            <v>0</v>
          </cell>
          <cell r="BM1244">
            <v>0</v>
          </cell>
          <cell r="BN1244">
            <v>0</v>
          </cell>
          <cell r="BO1244">
            <v>0</v>
          </cell>
          <cell r="BP1244">
            <v>0</v>
          </cell>
          <cell r="BQ1244">
            <v>0</v>
          </cell>
          <cell r="BR1244">
            <v>0</v>
          </cell>
          <cell r="BS1244">
            <v>0</v>
          </cell>
          <cell r="BT1244">
            <v>0</v>
          </cell>
          <cell r="BU1244">
            <v>0</v>
          </cell>
          <cell r="BV1244">
            <v>0</v>
          </cell>
          <cell r="BW1244">
            <v>0</v>
          </cell>
          <cell r="BX1244">
            <v>0</v>
          </cell>
          <cell r="BY1244">
            <v>0</v>
          </cell>
          <cell r="BZ1244">
            <v>0</v>
          </cell>
          <cell r="CA1244">
            <v>0</v>
          </cell>
          <cell r="CB1244">
            <v>0</v>
          </cell>
          <cell r="CC1244">
            <v>0</v>
          </cell>
          <cell r="CD1244">
            <v>0</v>
          </cell>
          <cell r="CE1244">
            <v>0</v>
          </cell>
          <cell r="CF1244">
            <v>0</v>
          </cell>
          <cell r="CG1244">
            <v>0</v>
          </cell>
          <cell r="CH1244">
            <v>0</v>
          </cell>
          <cell r="CI1244">
            <v>0</v>
          </cell>
          <cell r="CJ1244">
            <v>0</v>
          </cell>
          <cell r="CK1244">
            <v>0</v>
          </cell>
          <cell r="CL1244">
            <v>0</v>
          </cell>
          <cell r="CM1244">
            <v>0</v>
          </cell>
          <cell r="CN1244">
            <v>0</v>
          </cell>
          <cell r="CO1244">
            <v>0</v>
          </cell>
        </row>
        <row r="1246"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0</v>
          </cell>
          <cell r="AA1246">
            <v>0</v>
          </cell>
          <cell r="AB1246">
            <v>5.8207660913467407E-11</v>
          </cell>
          <cell r="AC1246">
            <v>0</v>
          </cell>
          <cell r="AD1246">
            <v>0</v>
          </cell>
          <cell r="AE1246">
            <v>0</v>
          </cell>
          <cell r="AF1246">
            <v>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>
            <v>0</v>
          </cell>
          <cell r="AM1246">
            <v>0</v>
          </cell>
          <cell r="AN1246">
            <v>0</v>
          </cell>
          <cell r="AO1246">
            <v>0</v>
          </cell>
          <cell r="AP1246">
            <v>0</v>
          </cell>
          <cell r="AQ1246">
            <v>0</v>
          </cell>
          <cell r="AR1246">
            <v>0</v>
          </cell>
          <cell r="AS1246">
            <v>0</v>
          </cell>
          <cell r="AT1246">
            <v>0</v>
          </cell>
          <cell r="AU1246">
            <v>0</v>
          </cell>
          <cell r="AV1246">
            <v>0</v>
          </cell>
          <cell r="AW1246">
            <v>0</v>
          </cell>
          <cell r="AX1246">
            <v>0</v>
          </cell>
          <cell r="AY1246">
            <v>0</v>
          </cell>
          <cell r="AZ1246">
            <v>0</v>
          </cell>
          <cell r="BA1246">
            <v>0</v>
          </cell>
          <cell r="BB1246">
            <v>0</v>
          </cell>
          <cell r="BC1246">
            <v>0</v>
          </cell>
          <cell r="BD1246">
            <v>0</v>
          </cell>
          <cell r="BE1246">
            <v>0</v>
          </cell>
          <cell r="BF1246">
            <v>0</v>
          </cell>
          <cell r="BG1246">
            <v>0</v>
          </cell>
          <cell r="BH1246">
            <v>0</v>
          </cell>
          <cell r="BI1246">
            <v>0</v>
          </cell>
          <cell r="BJ1246">
            <v>0</v>
          </cell>
          <cell r="BK1246">
            <v>0</v>
          </cell>
          <cell r="BL1246">
            <v>0</v>
          </cell>
          <cell r="BM1246">
            <v>0</v>
          </cell>
          <cell r="BN1246">
            <v>0</v>
          </cell>
          <cell r="BO1246">
            <v>0</v>
          </cell>
          <cell r="BP1246">
            <v>0</v>
          </cell>
          <cell r="BQ1246">
            <v>0</v>
          </cell>
          <cell r="BR1246">
            <v>0</v>
          </cell>
          <cell r="BS1246">
            <v>0</v>
          </cell>
          <cell r="BT1246">
            <v>0</v>
          </cell>
          <cell r="BU1246">
            <v>0</v>
          </cell>
          <cell r="BV1246">
            <v>0</v>
          </cell>
          <cell r="BW1246">
            <v>0</v>
          </cell>
          <cell r="BX1246">
            <v>0</v>
          </cell>
          <cell r="BY1246">
            <v>0</v>
          </cell>
          <cell r="BZ1246">
            <v>0</v>
          </cell>
          <cell r="CA1246">
            <v>0</v>
          </cell>
          <cell r="CB1246">
            <v>0</v>
          </cell>
          <cell r="CC1246">
            <v>0</v>
          </cell>
          <cell r="CD1246">
            <v>0</v>
          </cell>
          <cell r="CE1246">
            <v>0</v>
          </cell>
          <cell r="CF1246">
            <v>0</v>
          </cell>
          <cell r="CG1246">
            <v>0</v>
          </cell>
          <cell r="CH1246">
            <v>0</v>
          </cell>
          <cell r="CI1246">
            <v>0</v>
          </cell>
          <cell r="CJ1246">
            <v>0</v>
          </cell>
          <cell r="CK1246">
            <v>0</v>
          </cell>
          <cell r="CL1246">
            <v>0</v>
          </cell>
          <cell r="CM1246">
            <v>0</v>
          </cell>
          <cell r="CN1246">
            <v>0</v>
          </cell>
          <cell r="CO1246">
            <v>0</v>
          </cell>
        </row>
        <row r="1251"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0</v>
          </cell>
          <cell r="AA1251">
            <v>0</v>
          </cell>
          <cell r="AB1251">
            <v>9.6879873986113571E-13</v>
          </cell>
          <cell r="AC1251">
            <v>1.9917337173729898E-12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>
            <v>0</v>
          </cell>
          <cell r="AM1251">
            <v>0</v>
          </cell>
          <cell r="AN1251">
            <v>0</v>
          </cell>
          <cell r="AO1251">
            <v>0</v>
          </cell>
          <cell r="AP1251">
            <v>0</v>
          </cell>
          <cell r="AQ1251">
            <v>0</v>
          </cell>
          <cell r="AR1251">
            <v>0</v>
          </cell>
          <cell r="AS1251">
            <v>0</v>
          </cell>
          <cell r="AT1251">
            <v>0</v>
          </cell>
          <cell r="AU1251">
            <v>0</v>
          </cell>
          <cell r="AV1251">
            <v>0</v>
          </cell>
          <cell r="AW1251">
            <v>0</v>
          </cell>
          <cell r="AX1251">
            <v>0</v>
          </cell>
          <cell r="AY1251">
            <v>0</v>
          </cell>
          <cell r="AZ1251">
            <v>0</v>
          </cell>
          <cell r="BA1251">
            <v>0</v>
          </cell>
          <cell r="BB1251">
            <v>0</v>
          </cell>
          <cell r="BC1251">
            <v>0</v>
          </cell>
          <cell r="BD1251">
            <v>0</v>
          </cell>
          <cell r="BE1251">
            <v>0</v>
          </cell>
          <cell r="BF1251">
            <v>0</v>
          </cell>
          <cell r="BG1251">
            <v>0</v>
          </cell>
          <cell r="BH1251">
            <v>0</v>
          </cell>
          <cell r="BI1251">
            <v>0</v>
          </cell>
          <cell r="BJ1251">
            <v>0</v>
          </cell>
          <cell r="BK1251">
            <v>0</v>
          </cell>
          <cell r="BL1251">
            <v>0</v>
          </cell>
          <cell r="BM1251">
            <v>0</v>
          </cell>
          <cell r="BN1251">
            <v>0</v>
          </cell>
          <cell r="BO1251">
            <v>0</v>
          </cell>
          <cell r="BP1251">
            <v>0</v>
          </cell>
          <cell r="BQ1251">
            <v>0</v>
          </cell>
          <cell r="BR1251">
            <v>0</v>
          </cell>
          <cell r="BS1251">
            <v>0</v>
          </cell>
          <cell r="BT1251">
            <v>0</v>
          </cell>
          <cell r="BU1251">
            <v>0</v>
          </cell>
          <cell r="BV1251">
            <v>0</v>
          </cell>
          <cell r="BW1251">
            <v>0</v>
          </cell>
          <cell r="BX1251">
            <v>0</v>
          </cell>
          <cell r="BY1251">
            <v>0</v>
          </cell>
          <cell r="BZ1251">
            <v>0</v>
          </cell>
          <cell r="CA1251">
            <v>0</v>
          </cell>
          <cell r="CB1251">
            <v>0</v>
          </cell>
          <cell r="CC1251">
            <v>0</v>
          </cell>
          <cell r="CD1251">
            <v>0</v>
          </cell>
          <cell r="CE1251">
            <v>0</v>
          </cell>
          <cell r="CF1251">
            <v>0</v>
          </cell>
          <cell r="CG1251">
            <v>0</v>
          </cell>
          <cell r="CH1251">
            <v>0</v>
          </cell>
          <cell r="CI1251">
            <v>0</v>
          </cell>
          <cell r="CJ1251">
            <v>0</v>
          </cell>
          <cell r="CK1251">
            <v>0</v>
          </cell>
          <cell r="CL1251">
            <v>0</v>
          </cell>
          <cell r="CM1251">
            <v>0</v>
          </cell>
          <cell r="CN1251">
            <v>0</v>
          </cell>
          <cell r="CO1251">
            <v>0</v>
          </cell>
        </row>
        <row r="1255"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0</v>
          </cell>
          <cell r="AA1255">
            <v>0</v>
          </cell>
          <cell r="AB1255">
            <v>0</v>
          </cell>
          <cell r="AC1255">
            <v>-1.9917337173729898E-12</v>
          </cell>
          <cell r="AD1255">
            <v>0</v>
          </cell>
          <cell r="AE1255">
            <v>0</v>
          </cell>
          <cell r="AF1255">
            <v>0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>
            <v>0</v>
          </cell>
          <cell r="AM1255">
            <v>0</v>
          </cell>
          <cell r="AN1255">
            <v>0</v>
          </cell>
          <cell r="AO1255">
            <v>0</v>
          </cell>
          <cell r="AP1255">
            <v>0</v>
          </cell>
          <cell r="AQ1255">
            <v>0</v>
          </cell>
          <cell r="AR1255">
            <v>0</v>
          </cell>
          <cell r="AS1255">
            <v>0</v>
          </cell>
          <cell r="AT1255">
            <v>0</v>
          </cell>
          <cell r="AU1255">
            <v>0</v>
          </cell>
          <cell r="AV1255">
            <v>0</v>
          </cell>
          <cell r="AW1255">
            <v>0</v>
          </cell>
          <cell r="AX1255">
            <v>0</v>
          </cell>
          <cell r="AY1255">
            <v>0</v>
          </cell>
          <cell r="AZ1255">
            <v>0</v>
          </cell>
          <cell r="BA1255">
            <v>0</v>
          </cell>
          <cell r="BB1255">
            <v>0</v>
          </cell>
          <cell r="BC1255">
            <v>0</v>
          </cell>
          <cell r="BD1255">
            <v>0</v>
          </cell>
          <cell r="BE1255">
            <v>0</v>
          </cell>
          <cell r="BF1255">
            <v>0</v>
          </cell>
          <cell r="BG1255">
            <v>0</v>
          </cell>
          <cell r="BH1255">
            <v>0</v>
          </cell>
          <cell r="BI1255">
            <v>0</v>
          </cell>
          <cell r="BJ1255">
            <v>0</v>
          </cell>
          <cell r="BK1255">
            <v>0</v>
          </cell>
          <cell r="BL1255">
            <v>0</v>
          </cell>
          <cell r="BM1255">
            <v>0</v>
          </cell>
          <cell r="BN1255">
            <v>0</v>
          </cell>
          <cell r="BO1255">
            <v>0</v>
          </cell>
          <cell r="BP1255">
            <v>0</v>
          </cell>
          <cell r="BQ1255">
            <v>0</v>
          </cell>
          <cell r="BR1255">
            <v>0</v>
          </cell>
          <cell r="BS1255">
            <v>0</v>
          </cell>
          <cell r="BT1255">
            <v>0</v>
          </cell>
          <cell r="BU1255">
            <v>0</v>
          </cell>
          <cell r="BV1255">
            <v>0</v>
          </cell>
          <cell r="BW1255">
            <v>0</v>
          </cell>
          <cell r="BX1255">
            <v>0</v>
          </cell>
          <cell r="BY1255">
            <v>0</v>
          </cell>
          <cell r="BZ1255">
            <v>0</v>
          </cell>
          <cell r="CA1255">
            <v>0</v>
          </cell>
          <cell r="CB1255">
            <v>0</v>
          </cell>
          <cell r="CC1255">
            <v>0</v>
          </cell>
          <cell r="CD1255">
            <v>0</v>
          </cell>
          <cell r="CE1255">
            <v>0</v>
          </cell>
          <cell r="CF1255">
            <v>0</v>
          </cell>
          <cell r="CG1255">
            <v>0</v>
          </cell>
          <cell r="CH1255">
            <v>0</v>
          </cell>
          <cell r="CI1255">
            <v>0</v>
          </cell>
          <cell r="CJ1255">
            <v>0</v>
          </cell>
          <cell r="CK1255">
            <v>0</v>
          </cell>
          <cell r="CL1255">
            <v>0</v>
          </cell>
          <cell r="CM1255">
            <v>0</v>
          </cell>
          <cell r="CN1255">
            <v>0</v>
          </cell>
          <cell r="CO1255">
            <v>0</v>
          </cell>
        </row>
        <row r="1257">
          <cell r="E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0</v>
          </cell>
          <cell r="AA1257">
            <v>0</v>
          </cell>
          <cell r="AB1257">
            <v>0</v>
          </cell>
          <cell r="AC1257">
            <v>0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>
            <v>0</v>
          </cell>
          <cell r="AM1257">
            <v>0</v>
          </cell>
          <cell r="AN1257">
            <v>0</v>
          </cell>
          <cell r="AO1257">
            <v>0</v>
          </cell>
          <cell r="AP1257">
            <v>0</v>
          </cell>
          <cell r="AQ1257">
            <v>0</v>
          </cell>
          <cell r="AR1257">
            <v>0</v>
          </cell>
          <cell r="AS1257">
            <v>0</v>
          </cell>
          <cell r="AT1257">
            <v>0</v>
          </cell>
          <cell r="AU1257">
            <v>0</v>
          </cell>
          <cell r="AV1257">
            <v>0</v>
          </cell>
          <cell r="AW1257">
            <v>0</v>
          </cell>
          <cell r="AX1257">
            <v>0</v>
          </cell>
          <cell r="AY1257">
            <v>0</v>
          </cell>
          <cell r="AZ1257">
            <v>0</v>
          </cell>
          <cell r="BA1257">
            <v>0</v>
          </cell>
          <cell r="BB1257">
            <v>0</v>
          </cell>
          <cell r="BC1257">
            <v>0</v>
          </cell>
          <cell r="BD1257">
            <v>0</v>
          </cell>
          <cell r="BE1257">
            <v>0</v>
          </cell>
          <cell r="BF1257">
            <v>0</v>
          </cell>
          <cell r="BG1257">
            <v>0</v>
          </cell>
          <cell r="BH1257">
            <v>0</v>
          </cell>
          <cell r="BI1257">
            <v>0</v>
          </cell>
          <cell r="BJ1257">
            <v>0</v>
          </cell>
          <cell r="BK1257">
            <v>0</v>
          </cell>
          <cell r="BL1257">
            <v>0</v>
          </cell>
          <cell r="BM1257">
            <v>0</v>
          </cell>
          <cell r="BN1257">
            <v>0</v>
          </cell>
          <cell r="BO1257">
            <v>0</v>
          </cell>
          <cell r="BP1257">
            <v>0</v>
          </cell>
          <cell r="BQ1257">
            <v>0</v>
          </cell>
          <cell r="BR1257">
            <v>0</v>
          </cell>
          <cell r="BS1257">
            <v>0</v>
          </cell>
          <cell r="BT1257">
            <v>0</v>
          </cell>
          <cell r="BU1257">
            <v>0</v>
          </cell>
          <cell r="BV1257">
            <v>0</v>
          </cell>
          <cell r="BW1257">
            <v>0</v>
          </cell>
          <cell r="BX1257">
            <v>0</v>
          </cell>
          <cell r="BY1257">
            <v>0</v>
          </cell>
          <cell r="BZ1257">
            <v>0</v>
          </cell>
          <cell r="CA1257">
            <v>0</v>
          </cell>
          <cell r="CB1257">
            <v>0</v>
          </cell>
          <cell r="CC1257">
            <v>0</v>
          </cell>
          <cell r="CD1257">
            <v>0</v>
          </cell>
          <cell r="CE1257">
            <v>0</v>
          </cell>
          <cell r="CF1257">
            <v>0</v>
          </cell>
          <cell r="CG1257">
            <v>0</v>
          </cell>
          <cell r="CH1257">
            <v>0</v>
          </cell>
          <cell r="CI1257">
            <v>0</v>
          </cell>
          <cell r="CJ1257">
            <v>0</v>
          </cell>
          <cell r="CK1257">
            <v>0</v>
          </cell>
          <cell r="CL1257">
            <v>0</v>
          </cell>
          <cell r="CM1257">
            <v>0</v>
          </cell>
          <cell r="CN1257">
            <v>0</v>
          </cell>
          <cell r="CO1257">
            <v>0</v>
          </cell>
        </row>
        <row r="1275"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0</v>
          </cell>
          <cell r="AA1275">
            <v>0</v>
          </cell>
          <cell r="AB1275">
            <v>0</v>
          </cell>
          <cell r="AC1275">
            <v>-55163.085202902577</v>
          </cell>
          <cell r="AD1275">
            <v>-31717.237306855386</v>
          </cell>
          <cell r="AE1275">
            <v>-24775.599221723096</v>
          </cell>
          <cell r="AF1275">
            <v>-19031.644245063799</v>
          </cell>
          <cell r="AG1275">
            <v>-19713.041899257179</v>
          </cell>
          <cell r="AH1275">
            <v>-27440.390375892457</v>
          </cell>
          <cell r="AI1275">
            <v>-29490.124482546598</v>
          </cell>
          <cell r="AJ1275">
            <v>-22570.331343981947</v>
          </cell>
          <cell r="AK1275">
            <v>-23258.664996392166</v>
          </cell>
          <cell r="AL1275">
            <v>-32233.918226458482</v>
          </cell>
          <cell r="AM1275">
            <v>-34539.978751801013</v>
          </cell>
          <cell r="AN1275">
            <v>-26572.233299600586</v>
          </cell>
          <cell r="AO1275">
            <v>-26777.15254946347</v>
          </cell>
          <cell r="AP1275">
            <v>-36698.26979443559</v>
          </cell>
          <cell r="AQ1275">
            <v>-38726.536465858924</v>
          </cell>
          <cell r="AR1275">
            <v>-28768.484384540236</v>
          </cell>
          <cell r="AS1275">
            <v>-28414.065973332705</v>
          </cell>
          <cell r="AT1275">
            <v>-38209.227566698479</v>
          </cell>
          <cell r="AU1275">
            <v>-59000.43173637765</v>
          </cell>
          <cell r="AV1275">
            <v>-173158.37087390432</v>
          </cell>
          <cell r="AW1275">
            <v>-206302.26831700176</v>
          </cell>
          <cell r="AX1275">
            <v>-193566.19982584263</v>
          </cell>
          <cell r="AY1275">
            <v>-129791.96656203766</v>
          </cell>
          <cell r="AZ1275">
            <v>-97075.687431118393</v>
          </cell>
          <cell r="BA1275">
            <v>-129429.04003879834</v>
          </cell>
          <cell r="BB1275">
            <v>-172726.48890893956</v>
          </cell>
          <cell r="BC1275">
            <v>-134975.90565850705</v>
          </cell>
          <cell r="BD1275">
            <v>-102444.88240606638</v>
          </cell>
          <cell r="BE1275">
            <v>-133207.39940461513</v>
          </cell>
          <cell r="BF1275">
            <v>-178634.09661211263</v>
          </cell>
          <cell r="BG1275">
            <v>-139373.49577542249</v>
          </cell>
          <cell r="BH1275">
            <v>-103977.76372249082</v>
          </cell>
          <cell r="BI1275">
            <v>-138972.95287115331</v>
          </cell>
          <cell r="BJ1275">
            <v>-185805.24597768759</v>
          </cell>
          <cell r="BK1275">
            <v>-144974.21513401956</v>
          </cell>
          <cell r="BL1275">
            <v>-108167.426260352</v>
          </cell>
          <cell r="BM1275">
            <v>-144563.26002070986</v>
          </cell>
          <cell r="BN1275">
            <v>-193269.71367924509</v>
          </cell>
          <cell r="BO1275">
            <v>-141560.64914876659</v>
          </cell>
          <cell r="BP1275">
            <v>-103835.48061482298</v>
          </cell>
          <cell r="BQ1275">
            <v>-136235.34118047549</v>
          </cell>
          <cell r="BR1275">
            <v>-182868.62435795396</v>
          </cell>
          <cell r="BS1275">
            <v>-147190.13714155194</v>
          </cell>
          <cell r="BT1275">
            <v>-109589.06398686038</v>
          </cell>
          <cell r="BU1275">
            <v>-141192.98995318759</v>
          </cell>
          <cell r="BV1275">
            <v>-190156.20404185518</v>
          </cell>
          <cell r="BW1275">
            <v>-153050.58325388288</v>
          </cell>
          <cell r="BX1275">
            <v>-112238.00578880579</v>
          </cell>
          <cell r="BY1275">
            <v>-147283.34114128901</v>
          </cell>
          <cell r="BZ1275">
            <v>-197723.51064030541</v>
          </cell>
          <cell r="CA1275">
            <v>-159133.65886704449</v>
          </cell>
          <cell r="CB1275">
            <v>-116693.04639012105</v>
          </cell>
          <cell r="CC1275">
            <v>-153140.94739502209</v>
          </cell>
          <cell r="CD1275">
            <v>-205599.51309275188</v>
          </cell>
          <cell r="CE1275">
            <v>-165466.06724856119</v>
          </cell>
          <cell r="CF1275">
            <v>-121326.25143505452</v>
          </cell>
          <cell r="CG1275">
            <v>-159232.85789890456</v>
          </cell>
          <cell r="CH1275">
            <v>-213790.55564329657</v>
          </cell>
          <cell r="CI1275">
            <v>-172051.77196533806</v>
          </cell>
          <cell r="CJ1275">
            <v>-128059.64895180287</v>
          </cell>
          <cell r="CK1275">
            <v>-165031.77227311707</v>
          </cell>
          <cell r="CL1275">
            <v>-222315.15047905088</v>
          </cell>
          <cell r="CM1275">
            <v>-178906.82237612776</v>
          </cell>
          <cell r="CN1275">
            <v>-131156.01743545386</v>
          </cell>
          <cell r="CO1275">
            <v>-172157.45522394142</v>
          </cell>
        </row>
        <row r="1292">
          <cell r="L1292">
            <v>-20830.114895427239</v>
          </cell>
          <cell r="M1292">
            <v>-21125.796031118753</v>
          </cell>
          <cell r="N1292">
            <v>-21425.674327240864</v>
          </cell>
          <cell r="O1292">
            <v>-21729.809362013315</v>
          </cell>
          <cell r="P1292">
            <v>-199146.33264177365</v>
          </cell>
          <cell r="Q1292">
            <v>-268657.42356026266</v>
          </cell>
          <cell r="R1292">
            <v>-272299.49190214585</v>
          </cell>
          <cell r="S1292">
            <v>-279839.19895339728</v>
          </cell>
          <cell r="T1292">
            <v>-285976.56679609255</v>
          </cell>
          <cell r="U1292">
            <v>-292446.41017906717</v>
          </cell>
          <cell r="V1292">
            <v>-299059.3863388169</v>
          </cell>
          <cell r="W1292">
            <v>-305592.78432907653</v>
          </cell>
          <cell r="X1292">
            <v>-311858.77543573658</v>
          </cell>
          <cell r="Y1292">
            <v>-318469.61268908874</v>
          </cell>
          <cell r="Z1292">
            <v>-325493.96853149822</v>
          </cell>
          <cell r="AA1292">
            <v>-192586.9446671989</v>
          </cell>
          <cell r="AB1292">
            <v>-195524.27970701468</v>
          </cell>
          <cell r="AC1292">
            <v>96207.544141445833</v>
          </cell>
          <cell r="AD1292">
            <v>31717.237306855386</v>
          </cell>
          <cell r="AE1292">
            <v>24775.599221723096</v>
          </cell>
          <cell r="AF1292">
            <v>19031.644245063799</v>
          </cell>
          <cell r="AG1292">
            <v>19713.041899257179</v>
          </cell>
          <cell r="AH1292">
            <v>27440.390375892457</v>
          </cell>
          <cell r="AI1292">
            <v>29490.124482546598</v>
          </cell>
          <cell r="AJ1292">
            <v>22570.331343981947</v>
          </cell>
          <cell r="AK1292">
            <v>23258.664996392166</v>
          </cell>
          <cell r="AL1292">
            <v>32233.918226458482</v>
          </cell>
          <cell r="AM1292">
            <v>34539.978751801013</v>
          </cell>
          <cell r="AN1292">
            <v>26572.233299600586</v>
          </cell>
          <cell r="AO1292">
            <v>26777.15254946347</v>
          </cell>
          <cell r="AP1292">
            <v>36698.26979443559</v>
          </cell>
          <cell r="AQ1292">
            <v>38726.536465858924</v>
          </cell>
          <cell r="AR1292">
            <v>28768.484384540236</v>
          </cell>
          <cell r="AS1292">
            <v>28414.065973332705</v>
          </cell>
          <cell r="AT1292">
            <v>38209.227566698479</v>
          </cell>
          <cell r="AU1292">
            <v>59000.43173637765</v>
          </cell>
          <cell r="AV1292">
            <v>173158.37087390432</v>
          </cell>
          <cell r="AW1292">
            <v>206302.26831700176</v>
          </cell>
          <cell r="AX1292">
            <v>193566.19982584263</v>
          </cell>
          <cell r="AY1292">
            <v>129791.96656203766</v>
          </cell>
          <cell r="AZ1292">
            <v>97075.687431118393</v>
          </cell>
          <cell r="BA1292">
            <v>129429.04003879834</v>
          </cell>
          <cell r="BB1292">
            <v>172726.48890893956</v>
          </cell>
          <cell r="BC1292">
            <v>134975.90565850705</v>
          </cell>
          <cell r="BD1292">
            <v>102444.88240606638</v>
          </cell>
          <cell r="BE1292">
            <v>133207.39940461513</v>
          </cell>
          <cell r="BF1292">
            <v>178634.09661211263</v>
          </cell>
          <cell r="BG1292">
            <v>139373.49577542249</v>
          </cell>
          <cell r="BH1292">
            <v>103977.76372249082</v>
          </cell>
          <cell r="BI1292">
            <v>138972.95287115331</v>
          </cell>
          <cell r="BJ1292">
            <v>185805.24597768759</v>
          </cell>
          <cell r="BK1292">
            <v>144974.21513401956</v>
          </cell>
          <cell r="BL1292">
            <v>108167.426260352</v>
          </cell>
          <cell r="BM1292">
            <v>144563.26002070986</v>
          </cell>
          <cell r="BN1292">
            <v>193269.71367924509</v>
          </cell>
          <cell r="BO1292">
            <v>141560.64914876659</v>
          </cell>
          <cell r="BP1292">
            <v>103835.48061482298</v>
          </cell>
          <cell r="BQ1292">
            <v>136235.34118047549</v>
          </cell>
          <cell r="BR1292">
            <v>182868.62435795396</v>
          </cell>
          <cell r="BS1292">
            <v>147190.13714155194</v>
          </cell>
          <cell r="BT1292">
            <v>109589.06398686038</v>
          </cell>
          <cell r="BU1292">
            <v>141192.98995318759</v>
          </cell>
          <cell r="BV1292">
            <v>190156.20404185518</v>
          </cell>
          <cell r="BW1292">
            <v>153050.58325388288</v>
          </cell>
          <cell r="BX1292">
            <v>112238.00578880579</v>
          </cell>
          <cell r="BY1292">
            <v>147283.34114128901</v>
          </cell>
          <cell r="BZ1292">
            <v>197723.51064030541</v>
          </cell>
          <cell r="CA1292">
            <v>159133.65886704449</v>
          </cell>
          <cell r="CB1292">
            <v>116693.04639012105</v>
          </cell>
          <cell r="CC1292">
            <v>153140.94739502209</v>
          </cell>
          <cell r="CD1292">
            <v>205599.51309275188</v>
          </cell>
          <cell r="CE1292">
            <v>165466.06724856119</v>
          </cell>
          <cell r="CF1292">
            <v>121326.25143505452</v>
          </cell>
          <cell r="CG1292">
            <v>159232.85789890456</v>
          </cell>
          <cell r="CH1292">
            <v>213790.55564329657</v>
          </cell>
          <cell r="CI1292">
            <v>172051.77196533806</v>
          </cell>
          <cell r="CJ1292">
            <v>128059.64895180287</v>
          </cell>
          <cell r="CK1292">
            <v>165031.77227311707</v>
          </cell>
          <cell r="CL1292">
            <v>222315.15047905088</v>
          </cell>
          <cell r="CM1292">
            <v>178906.82237612776</v>
          </cell>
          <cell r="CN1292">
            <v>131156.01743545386</v>
          </cell>
          <cell r="CO1292">
            <v>172157.45522394142</v>
          </cell>
        </row>
        <row r="1302">
          <cell r="L1302">
            <v>-20830.114895427239</v>
          </cell>
          <cell r="M1302">
            <v>-21125.796031118753</v>
          </cell>
          <cell r="N1302">
            <v>-21425.674327240864</v>
          </cell>
          <cell r="O1302">
            <v>-21729.809362013315</v>
          </cell>
          <cell r="P1302">
            <v>-199146.33264177365</v>
          </cell>
          <cell r="Q1302">
            <v>-268657.42356026266</v>
          </cell>
          <cell r="R1302">
            <v>-271304.61437700037</v>
          </cell>
          <cell r="S1302">
            <v>-275933.09992852592</v>
          </cell>
          <cell r="T1302">
            <v>-278387.54229471076</v>
          </cell>
          <cell r="U1302">
            <v>-280925.81903635507</v>
          </cell>
          <cell r="V1302">
            <v>-283484.34870119661</v>
          </cell>
          <cell r="W1302">
            <v>-286051.1974298798</v>
          </cell>
          <cell r="X1302">
            <v>-288631.14065353037</v>
          </cell>
          <cell r="Y1302">
            <v>-291251.77605400811</v>
          </cell>
          <cell r="Z1302">
            <v>-293903.23542874877</v>
          </cell>
          <cell r="AA1302">
            <v>-157849.92425003255</v>
          </cell>
          <cell r="AB1302">
            <v>-159281.78816059366</v>
          </cell>
          <cell r="AC1302">
            <v>577245.26484867465</v>
          </cell>
          <cell r="AD1302">
            <v>149258.96490258817</v>
          </cell>
          <cell r="AE1302">
            <v>148653.59533033863</v>
          </cell>
          <cell r="AF1302">
            <v>114189.86547038279</v>
          </cell>
          <cell r="AG1302">
            <v>118278.25139554312</v>
          </cell>
          <cell r="AH1302">
            <v>164642.34225535471</v>
          </cell>
          <cell r="AI1302">
            <v>176940.74689527971</v>
          </cell>
          <cell r="AJ1302">
            <v>135421.98806389168</v>
          </cell>
          <cell r="AK1302">
            <v>139551.98997835303</v>
          </cell>
          <cell r="AL1302">
            <v>193403.50935875118</v>
          </cell>
          <cell r="AM1302">
            <v>207239.87251080631</v>
          </cell>
          <cell r="AN1302">
            <v>159433.39979760349</v>
          </cell>
          <cell r="AO1302">
            <v>160662.91529678079</v>
          </cell>
          <cell r="AP1302">
            <v>220189.61876661365</v>
          </cell>
          <cell r="AQ1302">
            <v>232359.21879515357</v>
          </cell>
          <cell r="AR1302">
            <v>172610.90630724144</v>
          </cell>
          <cell r="AS1302">
            <v>170484.39583999629</v>
          </cell>
          <cell r="AT1302">
            <v>229255.36540019096</v>
          </cell>
          <cell r="AU1302">
            <v>234979.05017117781</v>
          </cell>
          <cell r="AV1302">
            <v>173158.37087390432</v>
          </cell>
          <cell r="AW1302">
            <v>206302.26831700176</v>
          </cell>
          <cell r="AX1302">
            <v>193566.19982584263</v>
          </cell>
          <cell r="AY1302">
            <v>129791.96656203766</v>
          </cell>
          <cell r="AZ1302">
            <v>97075.687431118393</v>
          </cell>
          <cell r="BA1302">
            <v>129429.04003879834</v>
          </cell>
          <cell r="BB1302">
            <v>172726.48890893956</v>
          </cell>
          <cell r="BC1302">
            <v>134975.90565850705</v>
          </cell>
          <cell r="BD1302">
            <v>102444.88240606638</v>
          </cell>
          <cell r="BE1302">
            <v>133207.39940461513</v>
          </cell>
          <cell r="BF1302">
            <v>178634.09661211263</v>
          </cell>
          <cell r="BG1302">
            <v>139373.49577542249</v>
          </cell>
          <cell r="BH1302">
            <v>103977.76372249082</v>
          </cell>
          <cell r="BI1302">
            <v>138972.95287115331</v>
          </cell>
          <cell r="BJ1302">
            <v>185805.24597768759</v>
          </cell>
          <cell r="BK1302">
            <v>144974.21513401956</v>
          </cell>
          <cell r="BL1302">
            <v>108167.426260352</v>
          </cell>
          <cell r="BM1302">
            <v>144563.26002070986</v>
          </cell>
          <cell r="BN1302">
            <v>193269.71367924509</v>
          </cell>
          <cell r="BO1302">
            <v>141560.64914876659</v>
          </cell>
          <cell r="BP1302">
            <v>103835.48061482298</v>
          </cell>
          <cell r="BQ1302">
            <v>136235.34118047549</v>
          </cell>
          <cell r="BR1302">
            <v>182868.62435795396</v>
          </cell>
          <cell r="BS1302">
            <v>147190.13714155194</v>
          </cell>
          <cell r="BT1302">
            <v>109589.06398686038</v>
          </cell>
          <cell r="BU1302">
            <v>141192.98995318759</v>
          </cell>
          <cell r="BV1302">
            <v>190156.20404185518</v>
          </cell>
          <cell r="BW1302">
            <v>153050.58325388288</v>
          </cell>
          <cell r="BX1302">
            <v>112238.00578880579</v>
          </cell>
          <cell r="BY1302">
            <v>147283.34114128901</v>
          </cell>
          <cell r="BZ1302">
            <v>197723.51064030541</v>
          </cell>
          <cell r="CA1302">
            <v>159133.65886704449</v>
          </cell>
          <cell r="CB1302">
            <v>116693.04639012105</v>
          </cell>
          <cell r="CC1302">
            <v>153140.94739502209</v>
          </cell>
          <cell r="CD1302">
            <v>205599.51309275188</v>
          </cell>
          <cell r="CE1302">
            <v>165466.06724856119</v>
          </cell>
          <cell r="CF1302">
            <v>121326.25143505452</v>
          </cell>
          <cell r="CG1302">
            <v>159232.85789890456</v>
          </cell>
          <cell r="CH1302">
            <v>213790.55564329657</v>
          </cell>
          <cell r="CI1302">
            <v>172051.77196533806</v>
          </cell>
          <cell r="CJ1302">
            <v>128059.64895180287</v>
          </cell>
          <cell r="CK1302">
            <v>165031.77227311707</v>
          </cell>
          <cell r="CL1302">
            <v>222315.15047905088</v>
          </cell>
          <cell r="CM1302">
            <v>178906.82237612776</v>
          </cell>
          <cell r="CN1302">
            <v>131156.01743545386</v>
          </cell>
          <cell r="CO1302">
            <v>172157.45522394142</v>
          </cell>
        </row>
        <row r="1361">
          <cell r="E1361">
            <v>0.21537282136279923</v>
          </cell>
        </row>
        <row r="1367">
          <cell r="E1367">
            <v>8.9232765739665668E-2</v>
          </cell>
        </row>
        <row r="1387">
          <cell r="E1387">
            <v>1374546.1950014329</v>
          </cell>
        </row>
        <row r="1388">
          <cell r="E1388">
            <v>0.15623513708388659</v>
          </cell>
        </row>
        <row r="1395">
          <cell r="E1395">
            <v>8.7034859101820263</v>
          </cell>
        </row>
        <row r="1425">
          <cell r="E1425">
            <v>7140.8083309312678</v>
          </cell>
        </row>
        <row r="1426">
          <cell r="E1426">
            <v>0.21696003520837648</v>
          </cell>
        </row>
        <row r="1433">
          <cell r="E1433">
            <v>9.4065867725772101</v>
          </cell>
        </row>
      </sheetData>
      <sheetData sheetId="10">
        <row r="9">
          <cell r="L9">
            <v>1</v>
          </cell>
        </row>
        <row r="39">
          <cell r="I39">
            <v>0</v>
          </cell>
        </row>
        <row r="40">
          <cell r="I40">
            <v>0</v>
          </cell>
        </row>
        <row r="55"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55163.085202902577</v>
          </cell>
          <cell r="AD55">
            <v>102390.36376836945</v>
          </cell>
          <cell r="AE55">
            <v>31153.077832744286</v>
          </cell>
          <cell r="AF55">
            <v>31162.190455691616</v>
          </cell>
          <cell r="AG55">
            <v>91978.02641979864</v>
          </cell>
          <cell r="AH55">
            <v>141169.54200335991</v>
          </cell>
          <cell r="AI55">
            <v>55392.515470678583</v>
          </cell>
          <cell r="AJ55">
            <v>54824.853794542447</v>
          </cell>
          <cell r="AK55">
            <v>126037.89096163042</v>
          </cell>
          <cell r="AL55">
            <v>183174.00755665312</v>
          </cell>
          <cell r="AM55">
            <v>82474.96005348656</v>
          </cell>
          <cell r="AN55">
            <v>82702.700819887206</v>
          </cell>
          <cell r="AO55">
            <v>163706.82408711419</v>
          </cell>
          <cell r="AP55">
            <v>222151.58749822745</v>
          </cell>
          <cell r="AQ55">
            <v>104399.84797914412</v>
          </cell>
          <cell r="AR55">
            <v>98909.14676990117</v>
          </cell>
          <cell r="AS55">
            <v>180980.63757805631</v>
          </cell>
          <cell r="AT55">
            <v>242031.92549398256</v>
          </cell>
          <cell r="AU55">
            <v>119708.83541736171</v>
          </cell>
          <cell r="AV55">
            <v>113612.10706745635</v>
          </cell>
          <cell r="AW55">
            <v>107964.32181670869</v>
          </cell>
          <cell r="AX55">
            <v>146854.69587700887</v>
          </cell>
          <cell r="AY55">
            <v>64813.260942037537</v>
          </cell>
          <cell r="AZ55">
            <v>59232.343582941743</v>
          </cell>
          <cell r="BA55">
            <v>114063.89081520305</v>
          </cell>
          <cell r="BB55">
            <v>154510.81406129137</v>
          </cell>
          <cell r="BC55">
            <v>69187.721728921169</v>
          </cell>
          <cell r="BD55">
            <v>64563.647585761733</v>
          </cell>
          <cell r="BE55">
            <v>142416.24775003811</v>
          </cell>
          <cell r="BF55">
            <v>184482.06276561978</v>
          </cell>
          <cell r="BG55">
            <v>95746.054808304936</v>
          </cell>
          <cell r="BH55">
            <v>89699.22525169162</v>
          </cell>
          <cell r="BI55">
            <v>149006.93255379255</v>
          </cell>
          <cell r="BJ55">
            <v>192756.23055244907</v>
          </cell>
          <cell r="BK55">
            <v>100470.77388575755</v>
          </cell>
          <cell r="BL55">
            <v>94187.168318153766</v>
          </cell>
          <cell r="BM55">
            <v>155868.1181357149</v>
          </cell>
          <cell r="BN55">
            <v>201368.32227769366</v>
          </cell>
          <cell r="BO55">
            <v>105391.44734433445</v>
          </cell>
          <cell r="BP55">
            <v>98854.62910727429</v>
          </cell>
          <cell r="BQ55">
            <v>163003.75114091398</v>
          </cell>
          <cell r="BR55">
            <v>210324.89767194813</v>
          </cell>
          <cell r="BS55">
            <v>110508.94774125452</v>
          </cell>
          <cell r="BT55">
            <v>105094.4815099847</v>
          </cell>
          <cell r="BU55">
            <v>170431.55472392496</v>
          </cell>
          <cell r="BV55">
            <v>219646.564810018</v>
          </cell>
          <cell r="BW55">
            <v>115837.98632092506</v>
          </cell>
          <cell r="BX55">
            <v>108757.11391747257</v>
          </cell>
          <cell r="BY55">
            <v>178142.71012474468</v>
          </cell>
          <cell r="BZ55">
            <v>229327.16802839853</v>
          </cell>
          <cell r="CA55">
            <v>121366.23658336018</v>
          </cell>
          <cell r="CB55">
            <v>114007.37253056598</v>
          </cell>
          <cell r="CC55">
            <v>186169.326809505</v>
          </cell>
          <cell r="CD55">
            <v>239402.09725268115</v>
          </cell>
          <cell r="CE55">
            <v>127122.72854984138</v>
          </cell>
          <cell r="CF55">
            <v>119467.64148818303</v>
          </cell>
          <cell r="CG55">
            <v>194517.00816165586</v>
          </cell>
          <cell r="CH55">
            <v>249880.02364593503</v>
          </cell>
          <cell r="CI55">
            <v>133109.48019498185</v>
          </cell>
          <cell r="CJ55">
            <v>126770.36701367958</v>
          </cell>
          <cell r="CK55">
            <v>203205.50139835436</v>
          </cell>
          <cell r="CL55">
            <v>260784.05853479452</v>
          </cell>
          <cell r="CM55">
            <v>139342.70438789768</v>
          </cell>
          <cell r="CN55">
            <v>131052.14810866347</v>
          </cell>
          <cell r="CO55">
            <v>212227.4489183788</v>
          </cell>
        </row>
        <row r="57"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55163.085202902577</v>
          </cell>
          <cell r="AD57">
            <v>101255.57795987217</v>
          </cell>
          <cell r="AE57">
            <v>30730.664883603258</v>
          </cell>
          <cell r="AF57">
            <v>30739.686380321113</v>
          </cell>
          <cell r="AG57">
            <v>90947.363984787065</v>
          </cell>
          <cell r="AH57">
            <v>139646.96441251272</v>
          </cell>
          <cell r="AI57">
            <v>54727.708145158213</v>
          </cell>
          <cell r="AJ57">
            <v>54165.723085783437</v>
          </cell>
          <cell r="AK57">
            <v>124666.62988120053</v>
          </cell>
          <cell r="AL57">
            <v>181231.38531027301</v>
          </cell>
          <cell r="AM57">
            <v>81539.328282138114</v>
          </cell>
          <cell r="AN57">
            <v>81764.791640874755</v>
          </cell>
          <cell r="AO57">
            <v>160290.67036701081</v>
          </cell>
          <cell r="AP57">
            <v>217486.79140663572</v>
          </cell>
          <cell r="AQ57">
            <v>102090.08667793407</v>
          </cell>
          <cell r="AR57">
            <v>96709.199492875981</v>
          </cell>
          <cell r="AS57">
            <v>177139.26048486802</v>
          </cell>
          <cell r="AT57">
            <v>236969.52264247573</v>
          </cell>
          <cell r="AU57">
            <v>110553.04174245129</v>
          </cell>
          <cell r="AV57">
            <v>104883.08437703931</v>
          </cell>
          <cell r="AW57">
            <v>99630.644093843977</v>
          </cell>
          <cell r="AX57">
            <v>135798.69196992315</v>
          </cell>
          <cell r="AY57">
            <v>59500.157480399808</v>
          </cell>
          <cell r="AZ57">
            <v>54309.904336440719</v>
          </cell>
          <cell r="BA57">
            <v>105303.24326244374</v>
          </cell>
          <cell r="BB57">
            <v>142918.88188130586</v>
          </cell>
          <cell r="BC57">
            <v>63568.406012201587</v>
          </cell>
          <cell r="BD57">
            <v>59268.017059063306</v>
          </cell>
          <cell r="BE57">
            <v>132211.1532308805</v>
          </cell>
          <cell r="BF57">
            <v>171332.36119537146</v>
          </cell>
          <cell r="BG57">
            <v>88807.873795068663</v>
          </cell>
          <cell r="BH57">
            <v>83184.322307418275</v>
          </cell>
          <cell r="BI57">
            <v>138340.49009837213</v>
          </cell>
          <cell r="BJ57">
            <v>179027.3372371227</v>
          </cell>
          <cell r="BK57">
            <v>93201.862537099587</v>
          </cell>
          <cell r="BL57">
            <v>87358.109359228067</v>
          </cell>
          <cell r="BM57">
            <v>144721.39268955993</v>
          </cell>
          <cell r="BN57">
            <v>187036.58254160016</v>
          </cell>
          <cell r="BO57">
            <v>88533.296400512409</v>
          </cell>
          <cell r="BP57">
            <v>83009.684990196576</v>
          </cell>
          <cell r="BQ57">
            <v>137215.6931086221</v>
          </cell>
          <cell r="BR57">
            <v>177202.06192734596</v>
          </cell>
          <cell r="BS57">
            <v>92857.584235909875</v>
          </cell>
          <cell r="BT57">
            <v>88282.360270486868</v>
          </cell>
          <cell r="BU57">
            <v>143492.18713626638</v>
          </cell>
          <cell r="BV57">
            <v>185078.87065901503</v>
          </cell>
          <cell r="BW57">
            <v>97360.621835731479</v>
          </cell>
          <cell r="BX57">
            <v>91377.284654814124</v>
          </cell>
          <cell r="BY57">
            <v>150008.11344995906</v>
          </cell>
          <cell r="BZ57">
            <v>193258.98037854658</v>
          </cell>
          <cell r="CA57">
            <v>102031.99330748915</v>
          </cell>
          <cell r="CB57">
            <v>95813.753182878048</v>
          </cell>
          <cell r="CC57">
            <v>156790.60454858153</v>
          </cell>
          <cell r="CD57">
            <v>201772.29557306538</v>
          </cell>
          <cell r="CE57">
            <v>106896.22901916577</v>
          </cell>
          <cell r="CF57">
            <v>100427.68045206447</v>
          </cell>
          <cell r="CG57">
            <v>163844.39529114901</v>
          </cell>
          <cell r="CH57">
            <v>210626.14337536489</v>
          </cell>
          <cell r="CI57">
            <v>111955.03415930946</v>
          </cell>
          <cell r="CJ57">
            <v>106598.48352110904</v>
          </cell>
          <cell r="CK57">
            <v>171186.17207615924</v>
          </cell>
          <cell r="CL57">
            <v>219840.05285645116</v>
          </cell>
          <cell r="CM57">
            <v>117222.10860232334</v>
          </cell>
          <cell r="CN57">
            <v>110216.58854637043</v>
          </cell>
          <cell r="CO57">
            <v>178809.7177305799</v>
          </cell>
        </row>
        <row r="61"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135308.9914571066</v>
          </cell>
          <cell r="AD61">
            <v>176749.84415722516</v>
          </cell>
          <cell r="AE61">
            <v>103741.17839099851</v>
          </cell>
          <cell r="AF61">
            <v>101811.88448989822</v>
          </cell>
          <cell r="AG61">
            <v>162015.80492134477</v>
          </cell>
          <cell r="AH61">
            <v>210518.83697544926</v>
          </cell>
          <cell r="AI61">
            <v>123199.48785986364</v>
          </cell>
          <cell r="AJ61">
            <v>120409.33804064512</v>
          </cell>
          <cell r="AK61">
            <v>190639.26850330152</v>
          </cell>
          <cell r="AL61">
            <v>246703.11152645547</v>
          </cell>
          <cell r="AM61">
            <v>144045.03825878838</v>
          </cell>
          <cell r="AN61">
            <v>141894.01515792866</v>
          </cell>
          <cell r="AO61">
            <v>221296.475883682</v>
          </cell>
          <cell r="AP61">
            <v>278252.26185414696</v>
          </cell>
          <cell r="AQ61">
            <v>158131.80959959468</v>
          </cell>
          <cell r="AR61">
            <v>149930.35762360794</v>
          </cell>
          <cell r="AS61">
            <v>230226.59697051343</v>
          </cell>
          <cell r="AT61">
            <v>289461.46729959338</v>
          </cell>
          <cell r="AU61">
            <v>164536.18978212489</v>
          </cell>
          <cell r="AV61">
            <v>156011.65203240409</v>
          </cell>
          <cell r="AW61">
            <v>150363.86678165643</v>
          </cell>
          <cell r="AX61">
            <v>189254.24084195661</v>
          </cell>
          <cell r="AY61">
            <v>107212.80590698528</v>
          </cell>
          <cell r="AZ61">
            <v>101631.88854788948</v>
          </cell>
          <cell r="BA61">
            <v>156463.43578015079</v>
          </cell>
          <cell r="BB61">
            <v>196910.35902623911</v>
          </cell>
          <cell r="BC61">
            <v>111587.26669386891</v>
          </cell>
          <cell r="BD61">
            <v>106963.19255070931</v>
          </cell>
          <cell r="BE61">
            <v>162813.59656360166</v>
          </cell>
          <cell r="BF61">
            <v>204879.41157918333</v>
          </cell>
          <cell r="BG61">
            <v>116143.40362186849</v>
          </cell>
          <cell r="BH61">
            <v>110096.57406525518</v>
          </cell>
          <cell r="BI61">
            <v>169404.2813673561</v>
          </cell>
          <cell r="BJ61">
            <v>213153.57936601262</v>
          </cell>
          <cell r="BK61">
            <v>120868.1226993211</v>
          </cell>
          <cell r="BL61">
            <v>114584.51713171732</v>
          </cell>
          <cell r="BM61">
            <v>176265.46694927846</v>
          </cell>
          <cell r="BN61">
            <v>221765.67109125722</v>
          </cell>
          <cell r="BO61">
            <v>125788.796157898</v>
          </cell>
          <cell r="BP61">
            <v>119251.97792083785</v>
          </cell>
          <cell r="BQ61">
            <v>183401.09995447754</v>
          </cell>
          <cell r="BR61">
            <v>230722.24648551169</v>
          </cell>
          <cell r="BS61">
            <v>130906.29655481808</v>
          </cell>
          <cell r="BT61">
            <v>125491.83032354827</v>
          </cell>
          <cell r="BU61">
            <v>190828.90353748851</v>
          </cell>
          <cell r="BV61">
            <v>240043.91362358155</v>
          </cell>
          <cell r="BW61">
            <v>136235.33513448862</v>
          </cell>
          <cell r="BX61">
            <v>129154.46273103612</v>
          </cell>
          <cell r="BY61">
            <v>198540.05893830824</v>
          </cell>
          <cell r="BZ61">
            <v>249724.51684196209</v>
          </cell>
          <cell r="CA61">
            <v>141763.58539692374</v>
          </cell>
          <cell r="CB61">
            <v>134404.72134412953</v>
          </cell>
          <cell r="CC61">
            <v>206566.67562306856</v>
          </cell>
          <cell r="CD61">
            <v>259799.44606624471</v>
          </cell>
          <cell r="CE61">
            <v>147520.07736340494</v>
          </cell>
          <cell r="CF61">
            <v>139864.99030174658</v>
          </cell>
          <cell r="CG61">
            <v>214914.35697521942</v>
          </cell>
          <cell r="CH61">
            <v>270277.37245949858</v>
          </cell>
          <cell r="CI61">
            <v>153506.82900854541</v>
          </cell>
          <cell r="CJ61">
            <v>147167.71582724314</v>
          </cell>
          <cell r="CK61">
            <v>223602.85021191792</v>
          </cell>
          <cell r="CL61">
            <v>281181.40734835807</v>
          </cell>
          <cell r="CM61">
            <v>159740.05320146124</v>
          </cell>
          <cell r="CN61">
            <v>151449.49692222703</v>
          </cell>
          <cell r="CO61">
            <v>232624.79773194235</v>
          </cell>
        </row>
        <row r="62"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92909.446492158866</v>
          </cell>
          <cell r="AD62">
            <v>134350.29919227742</v>
          </cell>
          <cell r="AE62">
            <v>61341.633426050772</v>
          </cell>
          <cell r="AF62">
            <v>59412.339524950483</v>
          </cell>
          <cell r="AG62">
            <v>119616.25995639703</v>
          </cell>
          <cell r="AH62">
            <v>168119.29201050152</v>
          </cell>
          <cell r="AI62">
            <v>80799.942894915905</v>
          </cell>
          <cell r="AJ62">
            <v>78009.79307569738</v>
          </cell>
          <cell r="AK62">
            <v>148239.72353835378</v>
          </cell>
          <cell r="AL62">
            <v>204303.56656150773</v>
          </cell>
          <cell r="AM62">
            <v>101645.49329384064</v>
          </cell>
          <cell r="AN62">
            <v>99494.470192980923</v>
          </cell>
          <cell r="AO62">
            <v>178896.93091873426</v>
          </cell>
          <cell r="AP62">
            <v>235852.71688919922</v>
          </cell>
          <cell r="AQ62">
            <v>115732.26463464694</v>
          </cell>
          <cell r="AR62">
            <v>107530.8126586602</v>
          </cell>
          <cell r="AS62">
            <v>187827.0520055657</v>
          </cell>
          <cell r="AT62">
            <v>247061.92233464564</v>
          </cell>
          <cell r="AU62">
            <v>122136.64481717715</v>
          </cell>
          <cell r="AV62">
            <v>113612.10706745635</v>
          </cell>
          <cell r="AW62">
            <v>107964.32181670869</v>
          </cell>
          <cell r="AX62">
            <v>146854.69587700887</v>
          </cell>
          <cell r="AY62">
            <v>64813.260942037537</v>
          </cell>
          <cell r="AZ62">
            <v>59232.343582941743</v>
          </cell>
          <cell r="BA62">
            <v>114063.89081520305</v>
          </cell>
          <cell r="BB62">
            <v>154510.81406129137</v>
          </cell>
          <cell r="BC62">
            <v>69187.721728921169</v>
          </cell>
          <cell r="BD62">
            <v>64563.647585761733</v>
          </cell>
          <cell r="BE62">
            <v>142416.24775003811</v>
          </cell>
          <cell r="BF62">
            <v>184482.06276561978</v>
          </cell>
          <cell r="BG62">
            <v>95746.054808304936</v>
          </cell>
          <cell r="BH62">
            <v>89699.22525169162</v>
          </cell>
          <cell r="BI62">
            <v>149006.93255379255</v>
          </cell>
          <cell r="BJ62">
            <v>192756.23055244907</v>
          </cell>
          <cell r="BK62">
            <v>100470.77388575755</v>
          </cell>
          <cell r="BL62">
            <v>94187.168318153766</v>
          </cell>
          <cell r="BM62">
            <v>155868.1181357149</v>
          </cell>
          <cell r="BN62">
            <v>201368.32227769366</v>
          </cell>
          <cell r="BO62">
            <v>105391.44734433445</v>
          </cell>
          <cell r="BP62">
            <v>98854.62910727429</v>
          </cell>
          <cell r="BQ62">
            <v>163003.75114091398</v>
          </cell>
          <cell r="BR62">
            <v>210324.89767194813</v>
          </cell>
          <cell r="BS62">
            <v>110508.94774125452</v>
          </cell>
          <cell r="BT62">
            <v>105094.4815099847</v>
          </cell>
          <cell r="BU62">
            <v>170431.55472392496</v>
          </cell>
          <cell r="BV62">
            <v>219646.564810018</v>
          </cell>
          <cell r="BW62">
            <v>115837.98632092506</v>
          </cell>
          <cell r="BX62">
            <v>108757.11391747257</v>
          </cell>
          <cell r="BY62">
            <v>178142.71012474468</v>
          </cell>
          <cell r="BZ62">
            <v>229327.16802839853</v>
          </cell>
          <cell r="CA62">
            <v>121366.23658336018</v>
          </cell>
          <cell r="CB62">
            <v>114007.37253056598</v>
          </cell>
          <cell r="CC62">
            <v>186169.326809505</v>
          </cell>
          <cell r="CD62">
            <v>239402.09725268115</v>
          </cell>
          <cell r="CE62">
            <v>127122.72854984138</v>
          </cell>
          <cell r="CF62">
            <v>119467.64148818303</v>
          </cell>
          <cell r="CG62">
            <v>194517.00816165586</v>
          </cell>
          <cell r="CH62">
            <v>249880.02364593503</v>
          </cell>
          <cell r="CI62">
            <v>133109.48019498185</v>
          </cell>
          <cell r="CJ62">
            <v>126770.36701367958</v>
          </cell>
          <cell r="CK62">
            <v>203205.50139835436</v>
          </cell>
          <cell r="CL62">
            <v>260784.05853479452</v>
          </cell>
          <cell r="CM62">
            <v>139342.70438789768</v>
          </cell>
          <cell r="CN62">
            <v>131052.14810866347</v>
          </cell>
          <cell r="CO62">
            <v>212227.4489183788</v>
          </cell>
        </row>
        <row r="78">
          <cell r="L78">
            <v>-3471.68581590454</v>
          </cell>
          <cell r="M78">
            <v>-3520.9660051864589</v>
          </cell>
          <cell r="N78">
            <v>-3570.945721206811</v>
          </cell>
          <cell r="O78">
            <v>-3621.6348936688864</v>
          </cell>
          <cell r="P78">
            <v>-33191.055440295611</v>
          </cell>
          <cell r="Q78">
            <v>-44776.237260043774</v>
          </cell>
          <cell r="R78">
            <v>-46212.313254645538</v>
          </cell>
          <cell r="S78">
            <v>-51524.29141917378</v>
          </cell>
          <cell r="T78">
            <v>-55411.979656744203</v>
          </cell>
          <cell r="U78">
            <v>-59609.976426839625</v>
          </cell>
          <cell r="V78">
            <v>-63928.720545416669</v>
          </cell>
          <cell r="W78">
            <v>-68145.280493484155</v>
          </cell>
          <cell r="X78">
            <v>-72071.604810814271</v>
          </cell>
          <cell r="Y78">
            <v>-76319.721586772197</v>
          </cell>
          <cell r="Z78">
            <v>-80958.076106362103</v>
          </cell>
          <cell r="AA78">
            <v>-61244.407442060328</v>
          </cell>
          <cell r="AB78">
            <v>-62887.571065423734</v>
          </cell>
          <cell r="AC78">
            <v>539498.90355941816</v>
          </cell>
          <cell r="AD78">
            <v>117299.02947868017</v>
          </cell>
          <cell r="AE78">
            <v>118465.03973703214</v>
          </cell>
          <cell r="AF78">
            <v>85939.716401123922</v>
          </cell>
          <cell r="AG78">
            <v>90640.017858944731</v>
          </cell>
          <cell r="AH78">
            <v>137692.5922482131</v>
          </cell>
          <cell r="AI78">
            <v>151533.31947104237</v>
          </cell>
          <cell r="AJ78">
            <v>112237.04878273673</v>
          </cell>
          <cell r="AK78">
            <v>117350.15740162967</v>
          </cell>
          <cell r="AL78">
            <v>172273.95035389657</v>
          </cell>
          <cell r="AM78">
            <v>188069.33927045224</v>
          </cell>
          <cell r="AN78">
            <v>142641.63042450979</v>
          </cell>
          <cell r="AO78">
            <v>145472.80846516072</v>
          </cell>
          <cell r="AP78">
            <v>206488.48937564186</v>
          </cell>
          <cell r="AQ78">
            <v>221026.80213965074</v>
          </cell>
          <cell r="AR78">
            <v>163989.24041848243</v>
          </cell>
          <cell r="AS78">
            <v>163637.98141248693</v>
          </cell>
          <cell r="AT78">
            <v>224225.36855952788</v>
          </cell>
          <cell r="AU78">
            <v>232551.24077136238</v>
          </cell>
          <cell r="AV78">
            <v>173158.37087390432</v>
          </cell>
          <cell r="AW78">
            <v>206302.26831700176</v>
          </cell>
          <cell r="AX78">
            <v>193566.19982584263</v>
          </cell>
          <cell r="AY78">
            <v>129791.96656203768</v>
          </cell>
          <cell r="AZ78">
            <v>97075.687431118393</v>
          </cell>
          <cell r="BA78">
            <v>129429.04003879835</v>
          </cell>
          <cell r="BB78">
            <v>172726.48890893956</v>
          </cell>
          <cell r="BC78">
            <v>134975.90565850708</v>
          </cell>
          <cell r="BD78">
            <v>102444.88240606638</v>
          </cell>
          <cell r="BE78">
            <v>133207.39940461513</v>
          </cell>
          <cell r="BF78">
            <v>178634.09661211265</v>
          </cell>
          <cell r="BG78">
            <v>139373.49577542252</v>
          </cell>
          <cell r="BH78">
            <v>103977.76372249082</v>
          </cell>
          <cell r="BI78">
            <v>138972.95287115331</v>
          </cell>
          <cell r="BJ78">
            <v>185805.24597768759</v>
          </cell>
          <cell r="BK78">
            <v>144974.21513401956</v>
          </cell>
          <cell r="BL78">
            <v>108167.42626035202</v>
          </cell>
          <cell r="BM78">
            <v>144563.26002070986</v>
          </cell>
          <cell r="BN78">
            <v>193269.71367924509</v>
          </cell>
          <cell r="BO78">
            <v>141560.64914876662</v>
          </cell>
          <cell r="BP78">
            <v>103835.48061482298</v>
          </cell>
          <cell r="BQ78">
            <v>136235.34118047552</v>
          </cell>
          <cell r="BR78">
            <v>182868.62435795396</v>
          </cell>
          <cell r="BS78">
            <v>147190.13714155194</v>
          </cell>
          <cell r="BT78">
            <v>109589.06398686039</v>
          </cell>
          <cell r="BU78">
            <v>141192.98995318759</v>
          </cell>
          <cell r="BV78">
            <v>190156.20404185515</v>
          </cell>
          <cell r="BW78">
            <v>153050.58325388288</v>
          </cell>
          <cell r="BX78">
            <v>112238.00578880581</v>
          </cell>
          <cell r="BY78">
            <v>147283.34114128901</v>
          </cell>
          <cell r="BZ78">
            <v>197723.51064030538</v>
          </cell>
          <cell r="CA78">
            <v>159133.65886704449</v>
          </cell>
          <cell r="CB78">
            <v>116693.04639012103</v>
          </cell>
          <cell r="CC78">
            <v>153140.94739502209</v>
          </cell>
          <cell r="CD78">
            <v>205599.51309275185</v>
          </cell>
          <cell r="CE78">
            <v>165466.06724856119</v>
          </cell>
          <cell r="CF78">
            <v>121326.25143505454</v>
          </cell>
          <cell r="CG78">
            <v>159232.85789890459</v>
          </cell>
          <cell r="CH78">
            <v>213790.55564329657</v>
          </cell>
          <cell r="CI78">
            <v>172051.77196533806</v>
          </cell>
          <cell r="CJ78">
            <v>128059.64895180287</v>
          </cell>
          <cell r="CK78">
            <v>165031.77227311707</v>
          </cell>
          <cell r="CL78">
            <v>222315.15047905088</v>
          </cell>
          <cell r="CM78">
            <v>178906.82237612776</v>
          </cell>
          <cell r="CN78">
            <v>131156.01743545386</v>
          </cell>
          <cell r="CO78">
            <v>172157.45522394136</v>
          </cell>
        </row>
        <row r="82">
          <cell r="L82">
            <v>-17358.429079522699</v>
          </cell>
          <cell r="M82">
            <v>-17604.830025932293</v>
          </cell>
          <cell r="N82">
            <v>-17854.728606034052</v>
          </cell>
          <cell r="O82">
            <v>-18108.17446834443</v>
          </cell>
          <cell r="P82">
            <v>-165955.27720147805</v>
          </cell>
          <cell r="Q82">
            <v>-223881.18630021886</v>
          </cell>
          <cell r="R82">
            <v>-226087.17864750029</v>
          </cell>
          <cell r="S82">
            <v>-228314.90753422349</v>
          </cell>
          <cell r="T82">
            <v>-230564.58713934835</v>
          </cell>
          <cell r="U82">
            <v>-232836.43375222755</v>
          </cell>
          <cell r="V82">
            <v>-235130.66579340029</v>
          </cell>
          <cell r="W82">
            <v>-237447.50383559233</v>
          </cell>
          <cell r="X82">
            <v>-239787.17062492229</v>
          </cell>
          <cell r="Y82">
            <v>-242149.89110231656</v>
          </cell>
          <cell r="Z82">
            <v>-244535.89242513615</v>
          </cell>
          <cell r="AA82">
            <v>-131342.53722513857</v>
          </cell>
          <cell r="AB82">
            <v>-132636.70864159093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0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</row>
        <row r="91">
          <cell r="L91">
            <v>20830.114895427239</v>
          </cell>
          <cell r="M91">
            <v>21125.796031118753</v>
          </cell>
          <cell r="N91">
            <v>21425.674327240864</v>
          </cell>
          <cell r="O91">
            <v>21729.809362013315</v>
          </cell>
          <cell r="P91">
            <v>199146.33264177365</v>
          </cell>
          <cell r="Q91">
            <v>268657.42356026266</v>
          </cell>
          <cell r="R91">
            <v>272299.49190214585</v>
          </cell>
          <cell r="S91">
            <v>279839.19895339722</v>
          </cell>
          <cell r="T91">
            <v>285976.56679609255</v>
          </cell>
          <cell r="U91">
            <v>292446.41017906723</v>
          </cell>
          <cell r="V91">
            <v>299059.38633881696</v>
          </cell>
          <cell r="W91">
            <v>305592.78432907647</v>
          </cell>
          <cell r="X91">
            <v>311858.77543573658</v>
          </cell>
          <cell r="Y91">
            <v>318469.61268908874</v>
          </cell>
          <cell r="Z91">
            <v>325493.96853149828</v>
          </cell>
          <cell r="AA91">
            <v>192586.9446671989</v>
          </cell>
          <cell r="AB91">
            <v>195524.27970701468</v>
          </cell>
          <cell r="AC91">
            <v>-498454.44462087518</v>
          </cell>
          <cell r="AD91">
            <v>-158343.48841722339</v>
          </cell>
          <cell r="AE91">
            <v>-118465.03973703214</v>
          </cell>
          <cell r="AF91">
            <v>-85939.716401123922</v>
          </cell>
          <cell r="AG91">
            <v>-90640.017858944731</v>
          </cell>
          <cell r="AH91">
            <v>-137692.5922482131</v>
          </cell>
          <cell r="AI91">
            <v>-151533.31947104237</v>
          </cell>
          <cell r="AJ91">
            <v>-112237.04878273675</v>
          </cell>
          <cell r="AK91">
            <v>-117350.15740162967</v>
          </cell>
          <cell r="AL91">
            <v>-172273.95035389654</v>
          </cell>
          <cell r="AM91">
            <v>-188069.33927045221</v>
          </cell>
          <cell r="AN91">
            <v>-142641.63042450979</v>
          </cell>
          <cell r="AO91">
            <v>-145472.80846516072</v>
          </cell>
          <cell r="AP91">
            <v>-206488.48937564189</v>
          </cell>
          <cell r="AQ91">
            <v>-221026.80213965077</v>
          </cell>
          <cell r="AR91">
            <v>-163989.2404184824</v>
          </cell>
          <cell r="AS91">
            <v>-163637.9814124869</v>
          </cell>
          <cell r="AT91">
            <v>-224225.36855952788</v>
          </cell>
          <cell r="AU91">
            <v>-232551.24077136238</v>
          </cell>
          <cell r="AV91">
            <v>-173158.37087390432</v>
          </cell>
          <cell r="AW91">
            <v>-206302.26831700176</v>
          </cell>
          <cell r="AX91">
            <v>-193566.19982584263</v>
          </cell>
          <cell r="AY91">
            <v>-129791.96656203766</v>
          </cell>
          <cell r="AZ91">
            <v>-97075.687431118393</v>
          </cell>
          <cell r="BA91">
            <v>-129429.04003879834</v>
          </cell>
          <cell r="BB91">
            <v>-172726.48890893956</v>
          </cell>
          <cell r="BC91">
            <v>-134975.90565850705</v>
          </cell>
          <cell r="BD91">
            <v>-102444.88240606638</v>
          </cell>
          <cell r="BE91">
            <v>-133207.39940461513</v>
          </cell>
          <cell r="BF91">
            <v>-178634.09661211263</v>
          </cell>
          <cell r="BG91">
            <v>-139373.49577542249</v>
          </cell>
          <cell r="BH91">
            <v>-103977.76372249082</v>
          </cell>
          <cell r="BI91">
            <v>-138972.95287115331</v>
          </cell>
          <cell r="BJ91">
            <v>-185805.24597768759</v>
          </cell>
          <cell r="BK91">
            <v>-144974.21513401956</v>
          </cell>
          <cell r="BL91">
            <v>-108167.426260352</v>
          </cell>
          <cell r="BM91">
            <v>-144563.26002070986</v>
          </cell>
          <cell r="BN91">
            <v>-193269.71367924509</v>
          </cell>
          <cell r="BO91">
            <v>-141560.64914876659</v>
          </cell>
          <cell r="BP91">
            <v>-103835.48061482298</v>
          </cell>
          <cell r="BQ91">
            <v>-136235.34118047549</v>
          </cell>
          <cell r="BR91">
            <v>-182868.62435795396</v>
          </cell>
          <cell r="BS91">
            <v>-147190.13714155194</v>
          </cell>
          <cell r="BT91">
            <v>-109589.06398686038</v>
          </cell>
          <cell r="BU91">
            <v>-141192.98995318759</v>
          </cell>
          <cell r="BV91">
            <v>-190156.20404185518</v>
          </cell>
          <cell r="BW91">
            <v>-153050.58325388288</v>
          </cell>
          <cell r="BX91">
            <v>-112238.00578880579</v>
          </cell>
          <cell r="BY91">
            <v>-147283.34114128901</v>
          </cell>
          <cell r="BZ91">
            <v>-197723.51064030541</v>
          </cell>
          <cell r="CA91">
            <v>-159133.65886704449</v>
          </cell>
          <cell r="CB91">
            <v>-116693.04639012105</v>
          </cell>
          <cell r="CC91">
            <v>-153140.94739502209</v>
          </cell>
          <cell r="CD91">
            <v>-205599.51309275188</v>
          </cell>
          <cell r="CE91">
            <v>-165466.06724856119</v>
          </cell>
          <cell r="CF91">
            <v>-121326.25143505452</v>
          </cell>
          <cell r="CG91">
            <v>-159232.85789890456</v>
          </cell>
          <cell r="CH91">
            <v>-213790.55564329657</v>
          </cell>
          <cell r="CI91">
            <v>-172051.77196533806</v>
          </cell>
          <cell r="CJ91">
            <v>-128059.64895180287</v>
          </cell>
          <cell r="CK91">
            <v>-165031.77227311707</v>
          </cell>
          <cell r="CL91">
            <v>-222315.15047905088</v>
          </cell>
          <cell r="CM91">
            <v>-178906.82237612776</v>
          </cell>
          <cell r="CN91">
            <v>-131156.01743545386</v>
          </cell>
          <cell r="CO91">
            <v>-172157.45522394142</v>
          </cell>
        </row>
        <row r="95"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41044.458938542986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>
            <v>0</v>
          </cell>
          <cell r="CO95">
            <v>0</v>
          </cell>
        </row>
        <row r="97"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41044.458938542986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0</v>
          </cell>
          <cell r="CO97">
            <v>0</v>
          </cell>
        </row>
      </sheetData>
      <sheetData sheetId="11">
        <row r="6">
          <cell r="L6">
            <v>2025</v>
          </cell>
          <cell r="M6">
            <v>2026</v>
          </cell>
          <cell r="N6">
            <v>2027</v>
          </cell>
          <cell r="O6">
            <v>2028</v>
          </cell>
          <cell r="P6">
            <v>2029</v>
          </cell>
          <cell r="Q6">
            <v>2030</v>
          </cell>
          <cell r="R6">
            <v>2031</v>
          </cell>
          <cell r="S6">
            <v>2032</v>
          </cell>
          <cell r="T6">
            <v>2033</v>
          </cell>
          <cell r="U6">
            <v>2034</v>
          </cell>
          <cell r="V6">
            <v>2035</v>
          </cell>
          <cell r="W6">
            <v>2036</v>
          </cell>
          <cell r="X6">
            <v>2037</v>
          </cell>
          <cell r="Y6">
            <v>2038</v>
          </cell>
          <cell r="Z6">
            <v>2039</v>
          </cell>
          <cell r="AA6">
            <v>2040</v>
          </cell>
          <cell r="AB6">
            <v>2041</v>
          </cell>
          <cell r="AC6">
            <v>2042</v>
          </cell>
          <cell r="AD6">
            <v>2043</v>
          </cell>
          <cell r="AE6">
            <v>2044</v>
          </cell>
          <cell r="AF6">
            <v>2045</v>
          </cell>
          <cell r="AG6">
            <v>2046</v>
          </cell>
          <cell r="AH6">
            <v>2047</v>
          </cell>
          <cell r="AI6">
            <v>2048</v>
          </cell>
          <cell r="AJ6">
            <v>2049</v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 t="str">
            <v/>
          </cell>
          <cell r="BC6" t="str">
            <v/>
          </cell>
          <cell r="BD6" t="str">
            <v/>
          </cell>
          <cell r="BE6" t="str">
            <v/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</row>
      </sheetData>
      <sheetData sheetId="12">
        <row r="19">
          <cell r="C19" t="b">
            <v>1</v>
          </cell>
        </row>
      </sheetData>
      <sheetData sheetId="13"/>
      <sheetData sheetId="14"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</sheetData>
      <sheetData sheetId="15">
        <row r="121">
          <cell r="L121">
            <v>0</v>
          </cell>
        </row>
      </sheetData>
      <sheetData sheetId="16"/>
      <sheetData sheetId="17">
        <row r="23"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CO23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ean Family Resort &amp; SPA Dovil"/>
      <sheetName val="Отель &quot;Город MIRA&quot;"/>
      <sheetName val="Отель Movenpik resort&amp;spa"/>
      <sheetName val="Отель FЮNF "/>
      <sheetName val="Radisson Collection Paradise Re"/>
      <sheetName val="Лист1"/>
    </sheetNames>
    <sheetDataSet>
      <sheetData sheetId="0">
        <row r="8">
          <cell r="A8">
            <v>44</v>
          </cell>
          <cell r="AI8">
            <v>36781.950844854066</v>
          </cell>
        </row>
        <row r="9">
          <cell r="A9">
            <v>78</v>
          </cell>
        </row>
        <row r="10">
          <cell r="A10">
            <v>110</v>
          </cell>
        </row>
        <row r="23">
          <cell r="AI23">
            <v>49897.888888888883</v>
          </cell>
        </row>
        <row r="24">
          <cell r="AI24">
            <v>85674.146953405012</v>
          </cell>
        </row>
        <row r="25">
          <cell r="AI25">
            <v>94058.44802867384</v>
          </cell>
        </row>
        <row r="38">
          <cell r="AI38">
            <v>69696.681003584221</v>
          </cell>
        </row>
        <row r="39">
          <cell r="AI39">
            <v>123127.89247311826</v>
          </cell>
        </row>
        <row r="40">
          <cell r="AI40">
            <v>130085.53405017922</v>
          </cell>
        </row>
        <row r="53">
          <cell r="AI53">
            <v>36369.247311827959</v>
          </cell>
        </row>
        <row r="54">
          <cell r="AI54">
            <v>69877.096774193546</v>
          </cell>
        </row>
        <row r="55">
          <cell r="AI55">
            <v>73437.419354838712</v>
          </cell>
        </row>
      </sheetData>
      <sheetData sheetId="1">
        <row r="3">
          <cell r="A3">
            <v>40</v>
          </cell>
        </row>
        <row r="8">
          <cell r="AI8">
            <v>27689.938556067587</v>
          </cell>
        </row>
        <row r="23">
          <cell r="AI23">
            <v>30916.845878136199</v>
          </cell>
        </row>
        <row r="38">
          <cell r="AI38">
            <v>40817.204301075268</v>
          </cell>
        </row>
        <row r="53">
          <cell r="AI53">
            <v>27266.666666666668</v>
          </cell>
        </row>
      </sheetData>
      <sheetData sheetId="2">
        <row r="3">
          <cell r="A3">
            <v>43</v>
          </cell>
        </row>
        <row r="4">
          <cell r="A4">
            <v>90</v>
          </cell>
        </row>
        <row r="5">
          <cell r="A5">
            <v>80</v>
          </cell>
        </row>
        <row r="7">
          <cell r="AI7">
            <v>39363.133640552995</v>
          </cell>
        </row>
        <row r="8">
          <cell r="AI8">
            <v>58727.188940092165</v>
          </cell>
        </row>
        <row r="9">
          <cell r="AI9">
            <v>49923.809523809527</v>
          </cell>
        </row>
        <row r="19">
          <cell r="AI19">
            <v>42976.702508960567</v>
          </cell>
        </row>
        <row r="20">
          <cell r="AI20">
            <v>62976.702508960581</v>
          </cell>
        </row>
        <row r="21">
          <cell r="AI21">
            <v>52976.702508960567</v>
          </cell>
        </row>
        <row r="31">
          <cell r="AI31">
            <v>59788.172043010745</v>
          </cell>
        </row>
        <row r="32">
          <cell r="AI32">
            <v>84512.186379928316</v>
          </cell>
        </row>
        <row r="33">
          <cell r="AI33">
            <v>66481.362007168456</v>
          </cell>
        </row>
        <row r="43">
          <cell r="AI43">
            <v>38694.982078853049</v>
          </cell>
        </row>
        <row r="44">
          <cell r="AI44">
            <v>55300.716845878131</v>
          </cell>
        </row>
        <row r="45">
          <cell r="AI45">
            <v>52272.043010752684</v>
          </cell>
        </row>
      </sheetData>
      <sheetData sheetId="3">
        <row r="3">
          <cell r="A3">
            <v>45</v>
          </cell>
        </row>
        <row r="4">
          <cell r="A4">
            <v>75</v>
          </cell>
        </row>
        <row r="5">
          <cell r="A5">
            <v>180</v>
          </cell>
        </row>
        <row r="8">
          <cell r="AI8">
            <v>49216.850998463895</v>
          </cell>
        </row>
        <row r="9">
          <cell r="AI9">
            <v>67135.449308755764</v>
          </cell>
        </row>
        <row r="10">
          <cell r="AI10">
            <v>257797.22734254994</v>
          </cell>
        </row>
        <row r="23">
          <cell r="AI23">
            <v>53587.096774193546</v>
          </cell>
        </row>
        <row r="24">
          <cell r="AI24">
            <v>72343.953405017921</v>
          </cell>
        </row>
        <row r="25">
          <cell r="AI25">
            <v>264887.09677419352</v>
          </cell>
        </row>
        <row r="38">
          <cell r="AI38">
            <v>60083.870967741939</v>
          </cell>
        </row>
        <row r="39">
          <cell r="AI39">
            <v>80480.645161290318</v>
          </cell>
        </row>
        <row r="40">
          <cell r="AI40">
            <v>271383.87096774194</v>
          </cell>
        </row>
        <row r="53">
          <cell r="AI53">
            <v>47974.551971326167</v>
          </cell>
        </row>
        <row r="54">
          <cell r="AI54">
            <v>69344.444444444438</v>
          </cell>
        </row>
        <row r="55">
          <cell r="AI55">
            <v>227007.88530465952</v>
          </cell>
        </row>
      </sheetData>
      <sheetData sheetId="4">
        <row r="3">
          <cell r="A3">
            <v>32</v>
          </cell>
        </row>
        <row r="4">
          <cell r="A4">
            <v>65</v>
          </cell>
        </row>
        <row r="5">
          <cell r="A5">
            <v>125</v>
          </cell>
        </row>
        <row r="8">
          <cell r="AI8">
            <v>38792.319508448541</v>
          </cell>
        </row>
        <row r="9">
          <cell r="AI9">
            <v>75190.168970814135</v>
          </cell>
        </row>
        <row r="10">
          <cell r="AI10">
            <v>108909.37019969278</v>
          </cell>
        </row>
        <row r="23">
          <cell r="AI23">
            <v>43350.709677419356</v>
          </cell>
        </row>
        <row r="24">
          <cell r="AI24">
            <v>83968.458781362002</v>
          </cell>
        </row>
        <row r="25">
          <cell r="AI25">
            <v>133834.40860215054</v>
          </cell>
        </row>
        <row r="38">
          <cell r="AI38">
            <v>56282.437275985663</v>
          </cell>
        </row>
        <row r="39">
          <cell r="AI39">
            <v>117250.17921146954</v>
          </cell>
        </row>
        <row r="40">
          <cell r="AI40">
            <v>227605.37634408602</v>
          </cell>
        </row>
        <row r="53">
          <cell r="AI53">
            <v>39747.670250896052</v>
          </cell>
        </row>
        <row r="54">
          <cell r="AI54">
            <v>80715.412186379937</v>
          </cell>
        </row>
        <row r="55">
          <cell r="AI55">
            <v>118949.46236559139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ТуризмРФ">
      <a:dk1>
        <a:sysClr val="windowText" lastClr="000000"/>
      </a:dk1>
      <a:lt1>
        <a:srgbClr val="FFFFFF"/>
      </a:lt1>
      <a:dk2>
        <a:srgbClr val="075197"/>
      </a:dk2>
      <a:lt2>
        <a:srgbClr val="D0CECE"/>
      </a:lt2>
      <a:accent1>
        <a:srgbClr val="AEABAB"/>
      </a:accent1>
      <a:accent2>
        <a:srgbClr val="757171"/>
      </a:accent2>
      <a:accent3>
        <a:srgbClr val="575757"/>
      </a:accent3>
      <a:accent4>
        <a:srgbClr val="0B7EE7"/>
      </a:accent4>
      <a:accent5>
        <a:srgbClr val="64B2F8"/>
      </a:accent5>
      <a:accent6>
        <a:srgbClr val="BADDFC"/>
      </a:accent6>
      <a:hlink>
        <a:srgbClr val="AEABAB"/>
      </a:hlink>
      <a:folHlink>
        <a:srgbClr val="000000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fedstat.ru/indicator/31448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://people.stern.nyu.edu/adamodar/New_Home_Page/home.htm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s://www.bloomberg.com/markets/rates-bonds/government-bonds/us" TargetMode="External"/><Relationship Id="rId1" Type="http://schemas.openxmlformats.org/officeDocument/2006/relationships/hyperlink" Target="https://smart-lab.ru/q/eurobonds/order_by_mat_years/desc/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smart-lab.ru/q/ofz/order_by_mat_date/desc/" TargetMode="External"/><Relationship Id="rId4" Type="http://schemas.openxmlformats.org/officeDocument/2006/relationships/hyperlink" Target="http://pages.stern.nyu.edu/~adamodar/New_Home_Page/datafile/Betas.html" TargetMode="External"/><Relationship Id="rId9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ww.rusbonds.ru/ank_obl.asp?tool=15347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852AE-3286-4DDF-A622-D79A95C54AEC}">
  <sheetPr codeName="Sheet10">
    <tabColor theme="5"/>
    <pageSetUpPr fitToPage="1"/>
  </sheetPr>
  <dimension ref="A1:KF112"/>
  <sheetViews>
    <sheetView view="pageBreakPreview" zoomScale="70" zoomScaleNormal="60" zoomScaleSheetLayoutView="70" workbookViewId="0">
      <pane xSplit="10" ySplit="9" topLeftCell="K10" activePane="bottomRight" state="frozen"/>
      <selection pane="topRight" activeCell="K1" sqref="K1"/>
      <selection pane="bottomLeft" activeCell="A10" sqref="A10"/>
      <selection pane="bottomRight" activeCell="L18" sqref="L18:P19"/>
    </sheetView>
  </sheetViews>
  <sheetFormatPr defaultColWidth="0" defaultRowHeight="15" customHeight="1" zeroHeight="1"/>
  <cols>
    <col min="1" max="1" width="2.28515625" customWidth="1"/>
    <col min="2" max="2" width="2.42578125" customWidth="1"/>
    <col min="3" max="3" width="52.42578125" customWidth="1"/>
    <col min="4" max="5" width="10.42578125" customWidth="1"/>
    <col min="6" max="6" width="2.28515625" customWidth="1"/>
    <col min="7" max="7" width="9.28515625" style="25" customWidth="1"/>
    <col min="8" max="8" width="10.42578125" customWidth="1"/>
    <col min="9" max="9" width="13.42578125" customWidth="1"/>
    <col min="10" max="11" width="2.28515625" customWidth="1"/>
    <col min="12" max="93" width="12.42578125" customWidth="1"/>
    <col min="94" max="106" width="0" hidden="1" customWidth="1"/>
    <col min="107" max="114" width="12.42578125" hidden="1" customWidth="1"/>
    <col min="115" max="126" width="0" hidden="1" customWidth="1"/>
    <col min="127" max="134" width="12.42578125" hidden="1" customWidth="1"/>
    <col min="135" max="146" width="0" hidden="1" customWidth="1"/>
    <col min="147" max="155" width="12.42578125" hidden="1" customWidth="1"/>
    <col min="156" max="211" width="0" hidden="1" customWidth="1"/>
    <col min="212" max="219" width="12.42578125" hidden="1" customWidth="1"/>
    <col min="220" max="243" width="0" hidden="1" customWidth="1"/>
    <col min="244" max="251" width="12.42578125" hidden="1" customWidth="1"/>
    <col min="252" max="263" width="0" hidden="1" customWidth="1"/>
    <col min="264" max="271" width="12.42578125" hidden="1" customWidth="1"/>
    <col min="272" max="283" width="0" hidden="1" customWidth="1"/>
    <col min="284" max="292" width="12.42578125" hidden="1" customWidth="1"/>
    <col min="293" max="16384" width="8.7109375" hidden="1"/>
  </cols>
  <sheetData>
    <row r="1" spans="1:93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1171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470">
        <f>IF(L7,YEAR(L7),"")</f>
        <v>2025</v>
      </c>
      <c r="M6" s="470">
        <f t="shared" ref="M6:BX6" si="0">IF(M7,YEAR(M7),"")</f>
        <v>2026</v>
      </c>
      <c r="N6" s="470">
        <f t="shared" si="0"/>
        <v>2027</v>
      </c>
      <c r="O6" s="470">
        <f t="shared" si="0"/>
        <v>2028</v>
      </c>
      <c r="P6" s="470">
        <f t="shared" si="0"/>
        <v>2029</v>
      </c>
      <c r="Q6" s="470">
        <f t="shared" si="0"/>
        <v>2030</v>
      </c>
      <c r="R6" s="470">
        <f t="shared" si="0"/>
        <v>2031</v>
      </c>
      <c r="S6" s="470">
        <f t="shared" si="0"/>
        <v>2032</v>
      </c>
      <c r="T6" s="470">
        <f t="shared" si="0"/>
        <v>2033</v>
      </c>
      <c r="U6" s="470">
        <f t="shared" si="0"/>
        <v>2034</v>
      </c>
      <c r="V6" s="470">
        <f t="shared" si="0"/>
        <v>2035</v>
      </c>
      <c r="W6" s="470">
        <f t="shared" si="0"/>
        <v>2036</v>
      </c>
      <c r="X6" s="470">
        <f t="shared" si="0"/>
        <v>2037</v>
      </c>
      <c r="Y6" s="470">
        <f t="shared" si="0"/>
        <v>2038</v>
      </c>
      <c r="Z6" s="470">
        <f t="shared" si="0"/>
        <v>2039</v>
      </c>
      <c r="AA6" s="470">
        <f t="shared" si="0"/>
        <v>2040</v>
      </c>
      <c r="AB6" s="470">
        <f t="shared" si="0"/>
        <v>2041</v>
      </c>
      <c r="AC6" s="470">
        <f t="shared" si="0"/>
        <v>2042</v>
      </c>
      <c r="AD6" s="470">
        <f t="shared" si="0"/>
        <v>2043</v>
      </c>
      <c r="AE6" s="470">
        <f t="shared" si="0"/>
        <v>2044</v>
      </c>
      <c r="AF6" s="470">
        <f t="shared" si="0"/>
        <v>2045</v>
      </c>
      <c r="AG6" s="470">
        <f t="shared" si="0"/>
        <v>2046</v>
      </c>
      <c r="AH6" s="470">
        <f t="shared" si="0"/>
        <v>2047</v>
      </c>
      <c r="AI6" s="470">
        <f t="shared" si="0"/>
        <v>2048</v>
      </c>
      <c r="AJ6" s="470">
        <f t="shared" si="0"/>
        <v>2049</v>
      </c>
      <c r="AK6" s="470" t="str">
        <f t="shared" si="0"/>
        <v/>
      </c>
      <c r="AL6" s="470" t="str">
        <f t="shared" si="0"/>
        <v/>
      </c>
      <c r="AM6" s="470" t="str">
        <f t="shared" si="0"/>
        <v/>
      </c>
      <c r="AN6" s="470" t="str">
        <f t="shared" si="0"/>
        <v/>
      </c>
      <c r="AO6" s="470" t="str">
        <f t="shared" si="0"/>
        <v/>
      </c>
      <c r="AP6" s="470" t="str">
        <f t="shared" si="0"/>
        <v/>
      </c>
      <c r="AQ6" s="470" t="str">
        <f t="shared" si="0"/>
        <v/>
      </c>
      <c r="AR6" s="470" t="str">
        <f t="shared" si="0"/>
        <v/>
      </c>
      <c r="AS6" s="470" t="str">
        <f t="shared" si="0"/>
        <v/>
      </c>
      <c r="AT6" s="470" t="str">
        <f t="shared" si="0"/>
        <v/>
      </c>
      <c r="AU6" s="470" t="str">
        <f t="shared" si="0"/>
        <v/>
      </c>
      <c r="AV6" s="470" t="str">
        <f t="shared" si="0"/>
        <v/>
      </c>
      <c r="AW6" s="470" t="str">
        <f t="shared" si="0"/>
        <v/>
      </c>
      <c r="AX6" s="470" t="str">
        <f t="shared" si="0"/>
        <v/>
      </c>
      <c r="AY6" s="470" t="str">
        <f t="shared" si="0"/>
        <v/>
      </c>
      <c r="AZ6" s="470" t="str">
        <f t="shared" si="0"/>
        <v/>
      </c>
      <c r="BA6" s="470" t="str">
        <f t="shared" si="0"/>
        <v/>
      </c>
      <c r="BB6" s="470" t="str">
        <f t="shared" si="0"/>
        <v/>
      </c>
      <c r="BC6" s="470" t="str">
        <f t="shared" si="0"/>
        <v/>
      </c>
      <c r="BD6" s="470" t="str">
        <f t="shared" si="0"/>
        <v/>
      </c>
      <c r="BE6" s="470" t="str">
        <f t="shared" si="0"/>
        <v/>
      </c>
      <c r="BF6" s="470" t="str">
        <f t="shared" si="0"/>
        <v/>
      </c>
      <c r="BG6" s="470" t="str">
        <f t="shared" si="0"/>
        <v/>
      </c>
      <c r="BH6" s="470" t="str">
        <f t="shared" si="0"/>
        <v/>
      </c>
      <c r="BI6" s="470" t="str">
        <f t="shared" si="0"/>
        <v/>
      </c>
      <c r="BJ6" s="470" t="str">
        <f t="shared" si="0"/>
        <v/>
      </c>
      <c r="BK6" s="470" t="str">
        <f t="shared" si="0"/>
        <v/>
      </c>
      <c r="BL6" s="470" t="str">
        <f t="shared" si="0"/>
        <v/>
      </c>
      <c r="BM6" s="470" t="str">
        <f t="shared" si="0"/>
        <v/>
      </c>
      <c r="BN6" s="470" t="str">
        <f t="shared" si="0"/>
        <v/>
      </c>
      <c r="BO6" s="470" t="str">
        <f t="shared" si="0"/>
        <v/>
      </c>
      <c r="BP6" s="470" t="str">
        <f t="shared" si="0"/>
        <v/>
      </c>
      <c r="BQ6" s="470" t="str">
        <f t="shared" si="0"/>
        <v/>
      </c>
      <c r="BR6" s="470" t="str">
        <f t="shared" si="0"/>
        <v/>
      </c>
      <c r="BS6" s="470" t="str">
        <f t="shared" si="0"/>
        <v/>
      </c>
      <c r="BT6" s="470" t="str">
        <f t="shared" si="0"/>
        <v/>
      </c>
      <c r="BU6" s="470" t="str">
        <f t="shared" si="0"/>
        <v/>
      </c>
      <c r="BV6" s="470" t="str">
        <f t="shared" si="0"/>
        <v/>
      </c>
      <c r="BW6" s="470" t="str">
        <f t="shared" si="0"/>
        <v/>
      </c>
      <c r="BX6" s="470" t="str">
        <f t="shared" si="0"/>
        <v/>
      </c>
      <c r="BY6" s="470" t="str">
        <f t="shared" ref="BY6:CO6" si="1">IF(BY7,YEAR(BY7),"")</f>
        <v/>
      </c>
      <c r="BZ6" s="470" t="str">
        <f t="shared" si="1"/>
        <v/>
      </c>
      <c r="CA6" s="470" t="str">
        <f t="shared" si="1"/>
        <v/>
      </c>
      <c r="CB6" s="470" t="str">
        <f t="shared" si="1"/>
        <v/>
      </c>
      <c r="CC6" s="470" t="str">
        <f t="shared" si="1"/>
        <v/>
      </c>
      <c r="CD6" s="470" t="str">
        <f t="shared" si="1"/>
        <v/>
      </c>
      <c r="CE6" s="470" t="str">
        <f t="shared" si="1"/>
        <v/>
      </c>
      <c r="CF6" s="470" t="str">
        <f t="shared" si="1"/>
        <v/>
      </c>
      <c r="CG6" s="470" t="str">
        <f t="shared" si="1"/>
        <v/>
      </c>
      <c r="CH6" s="470" t="str">
        <f t="shared" si="1"/>
        <v/>
      </c>
      <c r="CI6" s="470" t="str">
        <f t="shared" si="1"/>
        <v/>
      </c>
      <c r="CJ6" s="470" t="str">
        <f t="shared" si="1"/>
        <v/>
      </c>
      <c r="CK6" s="470" t="str">
        <f t="shared" si="1"/>
        <v/>
      </c>
      <c r="CL6" s="470" t="str">
        <f t="shared" si="1"/>
        <v/>
      </c>
      <c r="CM6" s="470" t="str">
        <f t="shared" si="1"/>
        <v/>
      </c>
      <c r="CN6" s="470" t="str">
        <f t="shared" si="1"/>
        <v/>
      </c>
      <c r="CO6" s="470" t="str">
        <f t="shared" si="1"/>
        <v/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469">
        <f>IF(SUM($K7:K7)=0,DATE(YEAR(Date_Model_Start),1,1),IF(K7,IF(K8+1&lt;=Date_Operations_End,K8+1)))</f>
        <v>45658</v>
      </c>
      <c r="M7" s="469">
        <f>IF(SUM($K7:L7)=0,DATE(YEAR(Date_Model_Start),1,1),IF(L7,IF(L8+1&lt;=Date_Operations_End,L8+1)))</f>
        <v>46023</v>
      </c>
      <c r="N7" s="469">
        <f>IF(SUM($K7:M7)=0,DATE(YEAR(Date_Model_Start),1,1),IF(M7,IF(M8+1&lt;=Date_Operations_End,M8+1)))</f>
        <v>46388</v>
      </c>
      <c r="O7" s="469">
        <f>IF(SUM($K7:N7)=0,DATE(YEAR(Date_Model_Start),1,1),IF(N7,IF(N8+1&lt;=Date_Operations_End,N8+1)))</f>
        <v>46753</v>
      </c>
      <c r="P7" s="469">
        <f>IF(SUM($K7:O7)=0,DATE(YEAR(Date_Model_Start),1,1),IF(O7,IF(O8+1&lt;=Date_Operations_End,O8+1)))</f>
        <v>47119</v>
      </c>
      <c r="Q7" s="469">
        <f>IF(SUM($K7:P7)=0,DATE(YEAR(Date_Model_Start),1,1),IF(P7,IF(P8+1&lt;=Date_Operations_End,P8+1)))</f>
        <v>47484</v>
      </c>
      <c r="R7" s="469">
        <f>IF(SUM($K7:Q7)=0,DATE(YEAR(Date_Model_Start),1,1),IF(Q7,IF(Q8+1&lt;=Date_Operations_End,Q8+1)))</f>
        <v>47849</v>
      </c>
      <c r="S7" s="469">
        <f>IF(SUM($K7:R7)=0,DATE(YEAR(Date_Model_Start),1,1),IF(R7,IF(R8+1&lt;=Date_Operations_End,R8+1)))</f>
        <v>48214</v>
      </c>
      <c r="T7" s="469">
        <f>IF(SUM($K7:S7)=0,DATE(YEAR(Date_Model_Start),1,1),IF(S7,IF(S8+1&lt;=Date_Operations_End,S8+1)))</f>
        <v>48580</v>
      </c>
      <c r="U7" s="469">
        <f>IF(SUM($K7:T7)=0,DATE(YEAR(Date_Model_Start),1,1),IF(T7,IF(T8+1&lt;=Date_Operations_End,T8+1)))</f>
        <v>48945</v>
      </c>
      <c r="V7" s="469">
        <f>IF(SUM($K7:U7)=0,DATE(YEAR(Date_Model_Start),1,1),IF(U7,IF(U8+1&lt;=Date_Operations_End,U8+1)))</f>
        <v>49310</v>
      </c>
      <c r="W7" s="469">
        <f>IF(SUM($K7:V7)=0,DATE(YEAR(Date_Model_Start),1,1),IF(V7,IF(V8+1&lt;=Date_Operations_End,V8+1)))</f>
        <v>49675</v>
      </c>
      <c r="X7" s="469">
        <f>IF(SUM($K7:W7)=0,DATE(YEAR(Date_Model_Start),1,1),IF(W7,IF(W8+1&lt;=Date_Operations_End,W8+1)))</f>
        <v>50041</v>
      </c>
      <c r="Y7" s="469">
        <f>IF(SUM($K7:X7)=0,DATE(YEAR(Date_Model_Start),1,1),IF(X7,IF(X8+1&lt;=Date_Operations_End,X8+1)))</f>
        <v>50406</v>
      </c>
      <c r="Z7" s="469">
        <f>IF(SUM($K7:Y7)=0,DATE(YEAR(Date_Model_Start),1,1),IF(Y7,IF(Y8+1&lt;=Date_Operations_End,Y8+1)))</f>
        <v>50771</v>
      </c>
      <c r="AA7" s="469">
        <f>IF(SUM($K7:Z7)=0,DATE(YEAR(Date_Model_Start),1,1),IF(Z7,IF(Z8+1&lt;=Date_Operations_End,Z8+1)))</f>
        <v>51136</v>
      </c>
      <c r="AB7" s="469">
        <f>IF(SUM($K7:AA7)=0,DATE(YEAR(Date_Model_Start),1,1),IF(AA7,IF(AA8+1&lt;=Date_Operations_End,AA8+1)))</f>
        <v>51502</v>
      </c>
      <c r="AC7" s="469">
        <f>IF(SUM($K7:AB7)=0,DATE(YEAR(Date_Model_Start),1,1),IF(AB7,IF(AB8+1&lt;=Date_Operations_End,AB8+1)))</f>
        <v>51867</v>
      </c>
      <c r="AD7" s="469">
        <f>IF(SUM($K7:AC7)=0,DATE(YEAR(Date_Model_Start),1,1),IF(AC7,IF(AC8+1&lt;=Date_Operations_End,AC8+1)))</f>
        <v>52232</v>
      </c>
      <c r="AE7" s="469">
        <f>IF(SUM($K7:AD7)=0,DATE(YEAR(Date_Model_Start),1,1),IF(AD7,IF(AD8+1&lt;=Date_Operations_End,AD8+1)))</f>
        <v>52597</v>
      </c>
      <c r="AF7" s="469">
        <f>IF(SUM($K7:AE7)=0,DATE(YEAR(Date_Model_Start),1,1),IF(AE7,IF(AE8+1&lt;=Date_Operations_End,AE8+1)))</f>
        <v>52963</v>
      </c>
      <c r="AG7" s="469">
        <f>IF(SUM($K7:AF7)=0,DATE(YEAR(Date_Model_Start),1,1),IF(AF7,IF(AF8+1&lt;=Date_Operations_End,AF8+1)))</f>
        <v>53328</v>
      </c>
      <c r="AH7" s="469">
        <f>IF(SUM($K7:AG7)=0,DATE(YEAR(Date_Model_Start),1,1),IF(AG7,IF(AG8+1&lt;=Date_Operations_End,AG8+1)))</f>
        <v>53693</v>
      </c>
      <c r="AI7" s="469">
        <f>IF(SUM($K7:AH7)=0,DATE(YEAR(Date_Model_Start),1,1),IF(AH7,IF(AH8+1&lt;=Date_Operations_End,AH8+1)))</f>
        <v>54058</v>
      </c>
      <c r="AJ7" s="469">
        <f>IF(SUM($K7:AI7)=0,DATE(YEAR(Date_Model_Start),1,1),IF(AI7,IF(AI8+1&lt;=Date_Operations_End,AI8+1)))</f>
        <v>54424</v>
      </c>
      <c r="AK7" s="469" t="b">
        <f>IF(SUM($K7:AJ7)=0,DATE(YEAR(Date_Model_Start),1,1),IF(AJ7,IF(AJ8+1&lt;=Date_Operations_End,AJ8+1)))</f>
        <v>0</v>
      </c>
      <c r="AL7" s="469" t="b">
        <f>IF(SUM($K7:AK7)=0,DATE(YEAR(Date_Model_Start),1,1),IF(AK7,IF(AK8+1&lt;=Date_Operations_End,AK8+1)))</f>
        <v>0</v>
      </c>
      <c r="AM7" s="469" t="b">
        <f>IF(SUM($K7:AL7)=0,DATE(YEAR(Date_Model_Start),1,1),IF(AL7,IF(AL8+1&lt;=Date_Operations_End,AL8+1)))</f>
        <v>0</v>
      </c>
      <c r="AN7" s="469" t="b">
        <f>IF(SUM($K7:AM7)=0,DATE(YEAR(Date_Model_Start),1,1),IF(AM7,IF(AM8+1&lt;=Date_Operations_End,AM8+1)))</f>
        <v>0</v>
      </c>
      <c r="AO7" s="469" t="b">
        <f>IF(SUM($K7:AN7)=0,DATE(YEAR(Date_Model_Start),1,1),IF(AN7,IF(AN8+1&lt;=Date_Operations_End,AN8+1)))</f>
        <v>0</v>
      </c>
      <c r="AP7" s="469" t="b">
        <f>IF(SUM($K7:AO7)=0,DATE(YEAR(Date_Model_Start),1,1),IF(AO7,IF(AO8+1&lt;=Date_Operations_End,AO8+1)))</f>
        <v>0</v>
      </c>
      <c r="AQ7" s="469" t="b">
        <f>IF(SUM($K7:AP7)=0,DATE(YEAR(Date_Model_Start),1,1),IF(AP7,IF(AP8+1&lt;=Date_Operations_End,AP8+1)))</f>
        <v>0</v>
      </c>
      <c r="AR7" s="469" t="b">
        <f>IF(SUM($K7:AQ7)=0,DATE(YEAR(Date_Model_Start),1,1),IF(AQ7,IF(AQ8+1&lt;=Date_Operations_End,AQ8+1)))</f>
        <v>0</v>
      </c>
      <c r="AS7" s="469" t="b">
        <f>IF(SUM($K7:AR7)=0,DATE(YEAR(Date_Model_Start),1,1),IF(AR7,IF(AR8+1&lt;=Date_Operations_End,AR8+1)))</f>
        <v>0</v>
      </c>
      <c r="AT7" s="469" t="b">
        <f>IF(SUM($K7:AS7)=0,DATE(YEAR(Date_Model_Start),1,1),IF(AS7,IF(AS8+1&lt;=Date_Operations_End,AS8+1)))</f>
        <v>0</v>
      </c>
      <c r="AU7" s="469" t="b">
        <f>IF(SUM($K7:AT7)=0,DATE(YEAR(Date_Model_Start),1,1),IF(AT7,IF(AT8+1&lt;=Date_Operations_End,AT8+1)))</f>
        <v>0</v>
      </c>
      <c r="AV7" s="469" t="b">
        <f>IF(SUM($K7:AU7)=0,DATE(YEAR(Date_Model_Start),1,1),IF(AU7,IF(AU8+1&lt;=Date_Operations_End,AU8+1)))</f>
        <v>0</v>
      </c>
      <c r="AW7" s="469" t="b">
        <f>IF(SUM($K7:AV7)=0,DATE(YEAR(Date_Model_Start),1,1),IF(AV7,IF(AV8+1&lt;=Date_Operations_End,AV8+1)))</f>
        <v>0</v>
      </c>
      <c r="AX7" s="469" t="b">
        <f>IF(SUM($K7:AW7)=0,DATE(YEAR(Date_Model_Start),1,1),IF(AW7,IF(AW8+1&lt;=Date_Operations_End,AW8+1)))</f>
        <v>0</v>
      </c>
      <c r="AY7" s="469" t="b">
        <f>IF(SUM($K7:AX7)=0,DATE(YEAR(Date_Model_Start),1,1),IF(AX7,IF(AX8+1&lt;=Date_Operations_End,AX8+1)))</f>
        <v>0</v>
      </c>
      <c r="AZ7" s="469" t="b">
        <f>IF(SUM($K7:AY7)=0,DATE(YEAR(Date_Model_Start),1,1),IF(AY7,IF(AY8+1&lt;=Date_Operations_End,AY8+1)))</f>
        <v>0</v>
      </c>
      <c r="BA7" s="469" t="b">
        <f>IF(SUM($K7:AZ7)=0,DATE(YEAR(Date_Model_Start),1,1),IF(AZ7,IF(AZ8+1&lt;=Date_Operations_End,AZ8+1)))</f>
        <v>0</v>
      </c>
      <c r="BB7" s="469" t="b">
        <f>IF(SUM($K7:BA7)=0,DATE(YEAR(Date_Model_Start),1,1),IF(BA7,IF(BA8+1&lt;=Date_Operations_End,BA8+1)))</f>
        <v>0</v>
      </c>
      <c r="BC7" s="469" t="b">
        <f>IF(SUM($K7:BB7)=0,DATE(YEAR(Date_Model_Start),1,1),IF(BB7,IF(BB8+1&lt;=Date_Operations_End,BB8+1)))</f>
        <v>0</v>
      </c>
      <c r="BD7" s="469" t="b">
        <f>IF(SUM($K7:BC7)=0,DATE(YEAR(Date_Model_Start),1,1),IF(BC7,IF(BC8+1&lt;=Date_Operations_End,BC8+1)))</f>
        <v>0</v>
      </c>
      <c r="BE7" s="469" t="b">
        <f>IF(SUM($K7:BD7)=0,DATE(YEAR(Date_Model_Start),1,1),IF(BD7,IF(BD8+1&lt;=Date_Operations_End,BD8+1)))</f>
        <v>0</v>
      </c>
      <c r="BF7" s="469" t="b">
        <f>IF(SUM($K7:BE7)=0,DATE(YEAR(Date_Model_Start),1,1),IF(BE7,IF(BE8+1&lt;=Date_Operations_End,BE8+1)))</f>
        <v>0</v>
      </c>
      <c r="BG7" s="469" t="b">
        <f>IF(SUM($K7:BF7)=0,DATE(YEAR(Date_Model_Start),1,1),IF(BF7,IF(BF8+1&lt;=Date_Operations_End,BF8+1)))</f>
        <v>0</v>
      </c>
      <c r="BH7" s="469" t="b">
        <f>IF(SUM($K7:BG7)=0,DATE(YEAR(Date_Model_Start),1,1),IF(BG7,IF(BG8+1&lt;=Date_Operations_End,BG8+1)))</f>
        <v>0</v>
      </c>
      <c r="BI7" s="469" t="b">
        <f>IF(SUM($K7:BH7)=0,DATE(YEAR(Date_Model_Start),1,1),IF(BH7,IF(BH8+1&lt;=Date_Operations_End,BH8+1)))</f>
        <v>0</v>
      </c>
      <c r="BJ7" s="469" t="b">
        <f>IF(SUM($K7:BI7)=0,DATE(YEAR(Date_Model_Start),1,1),IF(BI7,IF(BI8+1&lt;=Date_Operations_End,BI8+1)))</f>
        <v>0</v>
      </c>
      <c r="BK7" s="469" t="b">
        <f>IF(SUM($K7:BJ7)=0,DATE(YEAR(Date_Model_Start),1,1),IF(BJ7,IF(BJ8+1&lt;=Date_Operations_End,BJ8+1)))</f>
        <v>0</v>
      </c>
      <c r="BL7" s="469" t="b">
        <f>IF(SUM($K7:BK7)=0,DATE(YEAR(Date_Model_Start),1,1),IF(BK7,IF(BK8+1&lt;=Date_Operations_End,BK8+1)))</f>
        <v>0</v>
      </c>
      <c r="BM7" s="469" t="b">
        <f>IF(SUM($K7:BL7)=0,DATE(YEAR(Date_Model_Start),1,1),IF(BL7,IF(BL8+1&lt;=Date_Operations_End,BL8+1)))</f>
        <v>0</v>
      </c>
      <c r="BN7" s="469" t="b">
        <f>IF(SUM($K7:BM7)=0,DATE(YEAR(Date_Model_Start),1,1),IF(BM7,IF(BM8+1&lt;=Date_Operations_End,BM8+1)))</f>
        <v>0</v>
      </c>
      <c r="BO7" s="469" t="b">
        <f>IF(SUM($K7:BN7)=0,DATE(YEAR(Date_Model_Start),1,1),IF(BN7,IF(BN8+1&lt;=Date_Operations_End,BN8+1)))</f>
        <v>0</v>
      </c>
      <c r="BP7" s="469" t="b">
        <f>IF(SUM($K7:BO7)=0,DATE(YEAR(Date_Model_Start),1,1),IF(BO7,IF(BO8+1&lt;=Date_Operations_End,BO8+1)))</f>
        <v>0</v>
      </c>
      <c r="BQ7" s="469" t="b">
        <f>IF(SUM($K7:BP7)=0,DATE(YEAR(Date_Model_Start),1,1),IF(BP7,IF(BP8+1&lt;=Date_Operations_End,BP8+1)))</f>
        <v>0</v>
      </c>
      <c r="BR7" s="469" t="b">
        <f>IF(SUM($K7:BQ7)=0,DATE(YEAR(Date_Model_Start),1,1),IF(BQ7,IF(BQ8+1&lt;=Date_Operations_End,BQ8+1)))</f>
        <v>0</v>
      </c>
      <c r="BS7" s="469" t="b">
        <f>IF(SUM($K7:BR7)=0,DATE(YEAR(Date_Model_Start),1,1),IF(BR7,IF(BR8+1&lt;=Date_Operations_End,BR8+1)))</f>
        <v>0</v>
      </c>
      <c r="BT7" s="469" t="b">
        <f>IF(SUM($K7:BS7)=0,DATE(YEAR(Date_Model_Start),1,1),IF(BS7,IF(BS8+1&lt;=Date_Operations_End,BS8+1)))</f>
        <v>0</v>
      </c>
      <c r="BU7" s="469" t="b">
        <f>IF(SUM($K7:BT7)=0,DATE(YEAR(Date_Model_Start),1,1),IF(BT7,IF(BT8+1&lt;=Date_Operations_End,BT8+1)))</f>
        <v>0</v>
      </c>
      <c r="BV7" s="469" t="b">
        <f>IF(SUM($K7:BU7)=0,DATE(YEAR(Date_Model_Start),1,1),IF(BU7,IF(BU8+1&lt;=Date_Operations_End,BU8+1)))</f>
        <v>0</v>
      </c>
      <c r="BW7" s="469" t="b">
        <f>IF(SUM($K7:BV7)=0,DATE(YEAR(Date_Model_Start),1,1),IF(BV7,IF(BV8+1&lt;=Date_Operations_End,BV8+1)))</f>
        <v>0</v>
      </c>
      <c r="BX7" s="469" t="b">
        <f>IF(SUM($K7:BW7)=0,DATE(YEAR(Date_Model_Start),1,1),IF(BW7,IF(BW8+1&lt;=Date_Operations_End,BW8+1)))</f>
        <v>0</v>
      </c>
      <c r="BY7" s="469" t="b">
        <f>IF(SUM($K7:BX7)=0,DATE(YEAR(Date_Model_Start),1,1),IF(BX7,IF(BX8+1&lt;=Date_Operations_End,BX8+1)))</f>
        <v>0</v>
      </c>
      <c r="BZ7" s="469" t="b">
        <f>IF(SUM($K7:BY7)=0,DATE(YEAR(Date_Model_Start),1,1),IF(BY7,IF(BY8+1&lt;=Date_Operations_End,BY8+1)))</f>
        <v>0</v>
      </c>
      <c r="CA7" s="469" t="b">
        <f>IF(SUM($K7:BZ7)=0,DATE(YEAR(Date_Model_Start),1,1),IF(BZ7,IF(BZ8+1&lt;=Date_Operations_End,BZ8+1)))</f>
        <v>0</v>
      </c>
      <c r="CB7" s="469" t="b">
        <f>IF(SUM($K7:CA7)=0,DATE(YEAR(Date_Model_Start),1,1),IF(CA7,IF(CA8+1&lt;=Date_Operations_End,CA8+1)))</f>
        <v>0</v>
      </c>
      <c r="CC7" s="469" t="b">
        <f>IF(SUM($K7:CB7)=0,DATE(YEAR(Date_Model_Start),1,1),IF(CB7,IF(CB8+1&lt;=Date_Operations_End,CB8+1)))</f>
        <v>0</v>
      </c>
      <c r="CD7" s="469" t="b">
        <f>IF(SUM($K7:CC7)=0,DATE(YEAR(Date_Model_Start),1,1),IF(CC7,IF(CC8+1&lt;=Date_Operations_End,CC8+1)))</f>
        <v>0</v>
      </c>
      <c r="CE7" s="469" t="b">
        <f>IF(SUM($K7:CD7)=0,DATE(YEAR(Date_Model_Start),1,1),IF(CD7,IF(CD8+1&lt;=Date_Operations_End,CD8+1)))</f>
        <v>0</v>
      </c>
      <c r="CF7" s="469" t="b">
        <f>IF(SUM($K7:CE7)=0,DATE(YEAR(Date_Model_Start),1,1),IF(CE7,IF(CE8+1&lt;=Date_Operations_End,CE8+1)))</f>
        <v>0</v>
      </c>
      <c r="CG7" s="469" t="b">
        <f>IF(SUM($K7:CF7)=0,DATE(YEAR(Date_Model_Start),1,1),IF(CF7,IF(CF8+1&lt;=Date_Operations_End,CF8+1)))</f>
        <v>0</v>
      </c>
      <c r="CH7" s="469" t="b">
        <f>IF(SUM($K7:CG7)=0,DATE(YEAR(Date_Model_Start),1,1),IF(CG7,IF(CG8+1&lt;=Date_Operations_End,CG8+1)))</f>
        <v>0</v>
      </c>
      <c r="CI7" s="469" t="b">
        <f>IF(SUM($K7:CH7)=0,DATE(YEAR(Date_Model_Start),1,1),IF(CH7,IF(CH8+1&lt;=Date_Operations_End,CH8+1)))</f>
        <v>0</v>
      </c>
      <c r="CJ7" s="469" t="b">
        <f>IF(SUM($K7:CI7)=0,DATE(YEAR(Date_Model_Start),1,1),IF(CI7,IF(CI8+1&lt;=Date_Operations_End,CI8+1)))</f>
        <v>0</v>
      </c>
      <c r="CK7" s="469" t="b">
        <f>IF(SUM($K7:CJ7)=0,DATE(YEAR(Date_Model_Start),1,1),IF(CJ7,IF(CJ8+1&lt;=Date_Operations_End,CJ8+1)))</f>
        <v>0</v>
      </c>
      <c r="CL7" s="469" t="b">
        <f>IF(SUM($K7:CK7)=0,DATE(YEAR(Date_Model_Start),1,1),IF(CK7,IF(CK8+1&lt;=Date_Operations_End,CK8+1)))</f>
        <v>0</v>
      </c>
      <c r="CM7" s="469" t="b">
        <f>IF(SUM($K7:CL7)=0,DATE(YEAR(Date_Model_Start),1,1),IF(CL7,IF(CL8+1&lt;=Date_Operations_End,CL8+1)))</f>
        <v>0</v>
      </c>
      <c r="CN7" s="469" t="b">
        <f>IF(SUM($K7:CM7)=0,DATE(YEAR(Date_Model_Start),1,1),IF(CM7,IF(CM8+1&lt;=Date_Operations_End,CM8+1)))</f>
        <v>0</v>
      </c>
      <c r="CO7" s="469" t="b">
        <f>IF(SUM($K7:CN7)=0,DATE(YEAR(Date_Model_Start),1,1),IF(CN7,IF(CN8+1&lt;=Date_Operations_End,CN8+1)))</f>
        <v>0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469">
        <f t="shared" ref="L8:BW8" si="2">MIN(IF(L7,EOMONTH(L$7,Months_in_Year-1)),Date_Operations_End)</f>
        <v>46022</v>
      </c>
      <c r="M8" s="469">
        <f t="shared" si="2"/>
        <v>46387</v>
      </c>
      <c r="N8" s="469">
        <f t="shared" si="2"/>
        <v>46752</v>
      </c>
      <c r="O8" s="469">
        <f t="shared" si="2"/>
        <v>47118</v>
      </c>
      <c r="P8" s="469">
        <f t="shared" si="2"/>
        <v>47483</v>
      </c>
      <c r="Q8" s="469">
        <f t="shared" si="2"/>
        <v>47848</v>
      </c>
      <c r="R8" s="469">
        <f t="shared" si="2"/>
        <v>48213</v>
      </c>
      <c r="S8" s="469">
        <f t="shared" si="2"/>
        <v>48579</v>
      </c>
      <c r="T8" s="469">
        <f t="shared" si="2"/>
        <v>48944</v>
      </c>
      <c r="U8" s="469">
        <f t="shared" si="2"/>
        <v>49309</v>
      </c>
      <c r="V8" s="469">
        <f t="shared" si="2"/>
        <v>49674</v>
      </c>
      <c r="W8" s="469">
        <f t="shared" si="2"/>
        <v>50040</v>
      </c>
      <c r="X8" s="469">
        <f t="shared" si="2"/>
        <v>50405</v>
      </c>
      <c r="Y8" s="469">
        <f t="shared" si="2"/>
        <v>50770</v>
      </c>
      <c r="Z8" s="469">
        <f t="shared" si="2"/>
        <v>51135</v>
      </c>
      <c r="AA8" s="469">
        <f t="shared" si="2"/>
        <v>51501</v>
      </c>
      <c r="AB8" s="469">
        <f t="shared" si="2"/>
        <v>51866</v>
      </c>
      <c r="AC8" s="469">
        <f t="shared" si="2"/>
        <v>52231</v>
      </c>
      <c r="AD8" s="469">
        <f t="shared" si="2"/>
        <v>52596</v>
      </c>
      <c r="AE8" s="469">
        <f t="shared" si="2"/>
        <v>52962</v>
      </c>
      <c r="AF8" s="469">
        <f t="shared" si="2"/>
        <v>53327</v>
      </c>
      <c r="AG8" s="469">
        <f t="shared" si="2"/>
        <v>53692</v>
      </c>
      <c r="AH8" s="469">
        <f t="shared" si="2"/>
        <v>54057</v>
      </c>
      <c r="AI8" s="469">
        <f t="shared" si="2"/>
        <v>54423</v>
      </c>
      <c r="AJ8" s="469">
        <f t="shared" si="2"/>
        <v>54513</v>
      </c>
      <c r="AK8" s="469">
        <f t="shared" si="2"/>
        <v>0</v>
      </c>
      <c r="AL8" s="469">
        <f t="shared" si="2"/>
        <v>0</v>
      </c>
      <c r="AM8" s="469">
        <f t="shared" si="2"/>
        <v>0</v>
      </c>
      <c r="AN8" s="469">
        <f t="shared" si="2"/>
        <v>0</v>
      </c>
      <c r="AO8" s="469">
        <f t="shared" si="2"/>
        <v>0</v>
      </c>
      <c r="AP8" s="469">
        <f t="shared" si="2"/>
        <v>0</v>
      </c>
      <c r="AQ8" s="469">
        <f t="shared" si="2"/>
        <v>0</v>
      </c>
      <c r="AR8" s="469">
        <f t="shared" si="2"/>
        <v>0</v>
      </c>
      <c r="AS8" s="469">
        <f t="shared" si="2"/>
        <v>0</v>
      </c>
      <c r="AT8" s="469">
        <f t="shared" si="2"/>
        <v>0</v>
      </c>
      <c r="AU8" s="469">
        <f t="shared" si="2"/>
        <v>0</v>
      </c>
      <c r="AV8" s="469">
        <f t="shared" si="2"/>
        <v>0</v>
      </c>
      <c r="AW8" s="469">
        <f t="shared" si="2"/>
        <v>0</v>
      </c>
      <c r="AX8" s="469">
        <f t="shared" si="2"/>
        <v>0</v>
      </c>
      <c r="AY8" s="469">
        <f t="shared" si="2"/>
        <v>0</v>
      </c>
      <c r="AZ8" s="469">
        <f t="shared" si="2"/>
        <v>0</v>
      </c>
      <c r="BA8" s="469">
        <f t="shared" si="2"/>
        <v>0</v>
      </c>
      <c r="BB8" s="469">
        <f t="shared" si="2"/>
        <v>0</v>
      </c>
      <c r="BC8" s="469">
        <f t="shared" si="2"/>
        <v>0</v>
      </c>
      <c r="BD8" s="469">
        <f t="shared" si="2"/>
        <v>0</v>
      </c>
      <c r="BE8" s="469">
        <f t="shared" si="2"/>
        <v>0</v>
      </c>
      <c r="BF8" s="469">
        <f t="shared" si="2"/>
        <v>0</v>
      </c>
      <c r="BG8" s="469">
        <f t="shared" si="2"/>
        <v>0</v>
      </c>
      <c r="BH8" s="469">
        <f t="shared" si="2"/>
        <v>0</v>
      </c>
      <c r="BI8" s="469">
        <f t="shared" si="2"/>
        <v>0</v>
      </c>
      <c r="BJ8" s="469">
        <f t="shared" si="2"/>
        <v>0</v>
      </c>
      <c r="BK8" s="469">
        <f t="shared" si="2"/>
        <v>0</v>
      </c>
      <c r="BL8" s="469">
        <f t="shared" si="2"/>
        <v>0</v>
      </c>
      <c r="BM8" s="469">
        <f t="shared" si="2"/>
        <v>0</v>
      </c>
      <c r="BN8" s="469">
        <f t="shared" si="2"/>
        <v>0</v>
      </c>
      <c r="BO8" s="469">
        <f t="shared" si="2"/>
        <v>0</v>
      </c>
      <c r="BP8" s="469">
        <f t="shared" si="2"/>
        <v>0</v>
      </c>
      <c r="BQ8" s="469">
        <f t="shared" si="2"/>
        <v>0</v>
      </c>
      <c r="BR8" s="469">
        <f t="shared" si="2"/>
        <v>0</v>
      </c>
      <c r="BS8" s="469">
        <f t="shared" si="2"/>
        <v>0</v>
      </c>
      <c r="BT8" s="469">
        <f t="shared" si="2"/>
        <v>0</v>
      </c>
      <c r="BU8" s="469">
        <f t="shared" si="2"/>
        <v>0</v>
      </c>
      <c r="BV8" s="469">
        <f t="shared" si="2"/>
        <v>0</v>
      </c>
      <c r="BW8" s="469">
        <f t="shared" si="2"/>
        <v>0</v>
      </c>
      <c r="BX8" s="469">
        <f t="shared" ref="BX8:CO8" si="3">MIN(IF(BX7,EOMONTH(BX$7,Months_in_Year-1)),Date_Operations_End)</f>
        <v>0</v>
      </c>
      <c r="BY8" s="469">
        <f t="shared" si="3"/>
        <v>0</v>
      </c>
      <c r="BZ8" s="469">
        <f t="shared" si="3"/>
        <v>0</v>
      </c>
      <c r="CA8" s="469">
        <f t="shared" si="3"/>
        <v>0</v>
      </c>
      <c r="CB8" s="469">
        <f t="shared" si="3"/>
        <v>0</v>
      </c>
      <c r="CC8" s="469">
        <f t="shared" si="3"/>
        <v>0</v>
      </c>
      <c r="CD8" s="469">
        <f t="shared" si="3"/>
        <v>0</v>
      </c>
      <c r="CE8" s="469">
        <f t="shared" si="3"/>
        <v>0</v>
      </c>
      <c r="CF8" s="469">
        <f t="shared" si="3"/>
        <v>0</v>
      </c>
      <c r="CG8" s="469">
        <f t="shared" si="3"/>
        <v>0</v>
      </c>
      <c r="CH8" s="469">
        <f t="shared" si="3"/>
        <v>0</v>
      </c>
      <c r="CI8" s="469">
        <f t="shared" si="3"/>
        <v>0</v>
      </c>
      <c r="CJ8" s="469">
        <f t="shared" si="3"/>
        <v>0</v>
      </c>
      <c r="CK8" s="469">
        <f t="shared" si="3"/>
        <v>0</v>
      </c>
      <c r="CL8" s="469">
        <f t="shared" si="3"/>
        <v>0</v>
      </c>
      <c r="CM8" s="469">
        <f t="shared" si="3"/>
        <v>0</v>
      </c>
      <c r="CN8" s="469">
        <f t="shared" si="3"/>
        <v>0</v>
      </c>
      <c r="CO8" s="469">
        <f t="shared" si="3"/>
        <v>0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>SUMIF(End_of_period,L$8,Отчетность!$L9:$CO9)</f>
        <v>1</v>
      </c>
      <c r="M9" s="152">
        <f>SUMIF(End_of_period,M$8,Отчетность!$L9:$CO9)</f>
        <v>1</v>
      </c>
      <c r="N9" s="152">
        <f>SUMIF(End_of_period,N$8,Отчетность!$L9:$CO9)</f>
        <v>1</v>
      </c>
      <c r="O9" s="152">
        <f>SUMIF(End_of_period,O$8,Отчетность!$L9:$CO9)</f>
        <v>1</v>
      </c>
      <c r="P9" s="152">
        <f>SUMIF(End_of_period,P$8,Отчетность!$L9:$CO9)</f>
        <v>2</v>
      </c>
      <c r="Q9" s="152">
        <f>SUMIF(End_of_period,Q$8,Отчетность!$L9:$CO9)</f>
        <v>2</v>
      </c>
      <c r="R9" s="152">
        <f>SUMIF(End_of_period,R$8,Отчетность!$L9:$CO9)</f>
        <v>2</v>
      </c>
      <c r="S9" s="152">
        <f>SUMIF(End_of_period,S$8,Отчетность!$L9:$CO9)</f>
        <v>2</v>
      </c>
      <c r="T9" s="152">
        <f>SUMIF(End_of_period,T$8,Отчетность!$L9:$CO9)</f>
        <v>2</v>
      </c>
      <c r="U9" s="152">
        <f>SUMIF(End_of_period,U$8,Отчетность!$L9:$CO9)</f>
        <v>2</v>
      </c>
      <c r="V9" s="152">
        <f>SUMIF(End_of_period,V$8,Отчетность!$L9:$CO9)</f>
        <v>2</v>
      </c>
      <c r="W9" s="152">
        <f>SUMIF(End_of_period,W$8,Отчетность!$L9:$CO9)</f>
        <v>2</v>
      </c>
      <c r="X9" s="152">
        <f>SUMIF(End_of_period,X$8,Отчетность!$L9:$CO9)</f>
        <v>2</v>
      </c>
      <c r="Y9" s="152">
        <f>SUMIF(End_of_period,Y$8,Отчетность!$L9:$CO9)</f>
        <v>2</v>
      </c>
      <c r="Z9" s="152">
        <f>SUMIF(End_of_period,Z$8,Отчетность!$L9:$CO9)</f>
        <v>2</v>
      </c>
      <c r="AA9" s="152">
        <f>SUMIF(End_of_period,AA$8,Отчетность!$L9:$CO9)</f>
        <v>2</v>
      </c>
      <c r="AB9" s="152">
        <f>SUMIF(End_of_period,AB$8,Отчетность!$L9:$CO9)</f>
        <v>2</v>
      </c>
      <c r="AC9" s="152">
        <f>SUMIF(End_of_period,AC$8,Отчетность!$L9:$CO9)</f>
        <v>2</v>
      </c>
      <c r="AD9" s="152">
        <f>SUMIF(End_of_period,AD$8,Отчетность!$L9:$CO9)</f>
        <v>2</v>
      </c>
      <c r="AE9" s="152">
        <f>SUMIF(End_of_period,AE$8,Отчетность!$L9:$CO9)</f>
        <v>2</v>
      </c>
      <c r="AF9" s="152">
        <f>SUMIF(End_of_period,AF$8,Отчетность!$L9:$CO9)</f>
        <v>0</v>
      </c>
      <c r="AG9" s="152">
        <f>SUMIF(End_of_period,AG$8,Отчетность!$L9:$CO9)</f>
        <v>0</v>
      </c>
      <c r="AH9" s="152">
        <f>SUMIF(End_of_period,AH$8,Отчетность!$L9:$CO9)</f>
        <v>0</v>
      </c>
      <c r="AI9" s="152">
        <f>SUMIF(End_of_period,AI$8,Отчетность!$L9:$CO9)</f>
        <v>0</v>
      </c>
      <c r="AJ9" s="152">
        <f>SUMIF(End_of_period,AJ$8,Отчетность!$L9:$CO9)</f>
        <v>0</v>
      </c>
      <c r="AK9" s="152">
        <f>SUMIF(End_of_period,AK$8,Отчетность!$L9:$CO9)</f>
        <v>0</v>
      </c>
      <c r="AL9" s="152">
        <f>SUMIF(End_of_period,AL$8,Отчетность!$L9:$CO9)</f>
        <v>0</v>
      </c>
      <c r="AM9" s="152">
        <f>SUMIF(End_of_period,AM$8,Отчетность!$L9:$CO9)</f>
        <v>0</v>
      </c>
      <c r="AN9" s="152">
        <f>SUMIF(End_of_period,AN$8,Отчетность!$L9:$CO9)</f>
        <v>0</v>
      </c>
      <c r="AO9" s="152">
        <f>SUMIF(End_of_period,AO$8,Отчетность!$L9:$CO9)</f>
        <v>0</v>
      </c>
      <c r="AP9" s="152">
        <f>SUMIF(End_of_period,AP$8,Отчетность!$L9:$CO9)</f>
        <v>0</v>
      </c>
      <c r="AQ9" s="152">
        <f>SUMIF(End_of_period,AQ$8,Отчетность!$L9:$CO9)</f>
        <v>0</v>
      </c>
      <c r="AR9" s="152">
        <f>SUMIF(End_of_period,AR$8,Отчетность!$L9:$CO9)</f>
        <v>0</v>
      </c>
      <c r="AS9" s="152">
        <f>SUMIF(End_of_period,AS$8,Отчетность!$L9:$CO9)</f>
        <v>0</v>
      </c>
      <c r="AT9" s="152">
        <f>SUMIF(End_of_period,AT$8,Отчетность!$L9:$CO9)</f>
        <v>0</v>
      </c>
      <c r="AU9" s="152">
        <f>SUMIF(End_of_period,AU$8,Отчетность!$L9:$CO9)</f>
        <v>0</v>
      </c>
      <c r="AV9" s="152">
        <f>SUMIF(End_of_period,AV$8,Отчетность!$L9:$CO9)</f>
        <v>0</v>
      </c>
      <c r="AW9" s="152">
        <f>SUMIF(End_of_period,AW$8,Отчетность!$L9:$CO9)</f>
        <v>0</v>
      </c>
      <c r="AX9" s="152">
        <f>SUMIF(End_of_period,AX$8,Отчетность!$L9:$CO9)</f>
        <v>0</v>
      </c>
      <c r="AY9" s="152">
        <f>SUMIF(End_of_period,AY$8,Отчетность!$L9:$CO9)</f>
        <v>0</v>
      </c>
      <c r="AZ9" s="152">
        <f>SUMIF(End_of_period,AZ$8,Отчетность!$L9:$CO9)</f>
        <v>0</v>
      </c>
      <c r="BA9" s="152">
        <f>SUMIF(End_of_period,BA$8,Отчетность!$L9:$CO9)</f>
        <v>0</v>
      </c>
      <c r="BB9" s="152">
        <f>SUMIF(End_of_period,BB$8,Отчетность!$L9:$CO9)</f>
        <v>0</v>
      </c>
      <c r="BC9" s="152">
        <f>SUMIF(End_of_period,BC$8,Отчетность!$L9:$CO9)</f>
        <v>0</v>
      </c>
      <c r="BD9" s="152">
        <f>SUMIF(End_of_period,BD$8,Отчетность!$L9:$CO9)</f>
        <v>0</v>
      </c>
      <c r="BE9" s="152">
        <f>SUMIF(End_of_period,BE$8,Отчетность!$L9:$CO9)</f>
        <v>0</v>
      </c>
      <c r="BF9" s="152">
        <f>SUMIF(End_of_period,BF$8,Отчетность!$L9:$CO9)</f>
        <v>0</v>
      </c>
      <c r="BG9" s="152">
        <f>SUMIF(End_of_period,BG$8,Отчетность!$L9:$CO9)</f>
        <v>0</v>
      </c>
      <c r="BH9" s="152">
        <f>SUMIF(End_of_period,BH$8,Отчетность!$L9:$CO9)</f>
        <v>0</v>
      </c>
      <c r="BI9" s="152">
        <f>SUMIF(End_of_period,BI$8,Отчетность!$L9:$CO9)</f>
        <v>0</v>
      </c>
      <c r="BJ9" s="152">
        <f>SUMIF(End_of_period,BJ$8,Отчетность!$L9:$CO9)</f>
        <v>0</v>
      </c>
      <c r="BK9" s="152">
        <f>SUMIF(End_of_period,BK$8,Отчетность!$L9:$CO9)</f>
        <v>0</v>
      </c>
      <c r="BL9" s="152">
        <f>SUMIF(End_of_period,BL$8,Отчетность!$L9:$CO9)</f>
        <v>0</v>
      </c>
      <c r="BM9" s="152">
        <f>SUMIF(End_of_period,BM$8,Отчетность!$L9:$CO9)</f>
        <v>0</v>
      </c>
      <c r="BN9" s="152">
        <f>SUMIF(End_of_period,BN$8,Отчетность!$L9:$CO9)</f>
        <v>0</v>
      </c>
      <c r="BO9" s="152">
        <f>SUMIF(End_of_period,BO$8,Отчетность!$L9:$CO9)</f>
        <v>0</v>
      </c>
      <c r="BP9" s="152">
        <f>SUMIF(End_of_period,BP$8,Отчетность!$L9:$CO9)</f>
        <v>0</v>
      </c>
      <c r="BQ9" s="152">
        <f>SUMIF(End_of_period,BQ$8,Отчетность!$L9:$CO9)</f>
        <v>0</v>
      </c>
      <c r="BR9" s="152">
        <f>SUMIF(End_of_period,BR$8,Отчетность!$L9:$CO9)</f>
        <v>0</v>
      </c>
      <c r="BS9" s="152">
        <f>SUMIF(End_of_period,BS$8,Отчетность!$L9:$CO9)</f>
        <v>0</v>
      </c>
      <c r="BT9" s="152">
        <f>SUMIF(End_of_period,BT$8,Отчетность!$L9:$CO9)</f>
        <v>0</v>
      </c>
      <c r="BU9" s="152">
        <f>SUMIF(End_of_period,BU$8,Отчетность!$L9:$CO9)</f>
        <v>0</v>
      </c>
      <c r="BV9" s="152">
        <f>SUMIF(End_of_period,BV$8,Отчетность!$L9:$CO9)</f>
        <v>0</v>
      </c>
      <c r="BW9" s="152">
        <f>SUMIF(End_of_period,BW$8,Отчетность!$L9:$CO9)</f>
        <v>0</v>
      </c>
      <c r="BX9" s="152">
        <f>SUMIF(End_of_period,BX$8,Отчетность!$L9:$CO9)</f>
        <v>0</v>
      </c>
      <c r="BY9" s="152">
        <f>SUMIF(End_of_period,BY$8,Отчетность!$L9:$CO9)</f>
        <v>0</v>
      </c>
      <c r="BZ9" s="152">
        <f>SUMIF(End_of_period,BZ$8,Отчетность!$L9:$CO9)</f>
        <v>0</v>
      </c>
      <c r="CA9" s="152">
        <f>SUMIF(End_of_period,CA$8,Отчетность!$L9:$CO9)</f>
        <v>0</v>
      </c>
      <c r="CB9" s="152">
        <f>SUMIF(End_of_period,CB$8,Отчетность!$L9:$CO9)</f>
        <v>0</v>
      </c>
      <c r="CC9" s="152">
        <f>SUMIF(End_of_period,CC$8,Отчетность!$L9:$CO9)</f>
        <v>0</v>
      </c>
      <c r="CD9" s="152">
        <f>SUMIF(End_of_period,CD$8,Отчетность!$L9:$CO9)</f>
        <v>0</v>
      </c>
      <c r="CE9" s="152">
        <f>SUMIF(End_of_period,CE$8,Отчетность!$L9:$CO9)</f>
        <v>0</v>
      </c>
      <c r="CF9" s="152">
        <f>SUMIF(End_of_period,CF$8,Отчетность!$L9:$CO9)</f>
        <v>0</v>
      </c>
      <c r="CG9" s="152">
        <f>SUMIF(End_of_period,CG$8,Отчетность!$L9:$CO9)</f>
        <v>0</v>
      </c>
      <c r="CH9" s="152">
        <f>SUMIF(End_of_period,CH$8,Отчетность!$L9:$CO9)</f>
        <v>0</v>
      </c>
      <c r="CI9" s="152">
        <f>SUMIF(End_of_period,CI$8,Отчетность!$L9:$CO9)</f>
        <v>0</v>
      </c>
      <c r="CJ9" s="152">
        <f>SUMIF(End_of_period,CJ$8,Отчетность!$L9:$CO9)</f>
        <v>0</v>
      </c>
      <c r="CK9" s="152">
        <f>SUMIF(End_of_period,CK$8,Отчетность!$L9:$CO9)</f>
        <v>0</v>
      </c>
      <c r="CL9" s="152">
        <f>SUMIF(End_of_period,CL$8,Отчетность!$L9:$CO9)</f>
        <v>0</v>
      </c>
      <c r="CM9" s="152">
        <f>SUMIF(End_of_period,CM$8,Отчетность!$L9:$CO9)</f>
        <v>0</v>
      </c>
      <c r="CN9" s="152">
        <f>SUMIF(End_of_period,CN$8,Отчетность!$L9:$CO9)</f>
        <v>0</v>
      </c>
      <c r="CO9" s="152">
        <f>SUMIF(End_of_period,CO$8,Отчетность!$L9:$CO9)</f>
        <v>0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10"/>
      <c r="B11" s="5" t="s">
        <v>312</v>
      </c>
      <c r="C11" s="5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>
      <c r="A12" s="73"/>
      <c r="B12" s="73"/>
      <c r="C12" s="73"/>
      <c r="D12" s="73"/>
      <c r="E12" s="73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510" customFormat="1">
      <c r="A13" s="35"/>
      <c r="B13" s="35"/>
      <c r="C13" s="504" t="s">
        <v>96</v>
      </c>
      <c r="D13" s="35"/>
      <c r="E13" s="35"/>
      <c r="F13" s="35"/>
      <c r="G13" s="131" t="str">
        <f t="shared" ref="G13:G20" si="4">Monetary_Unit</f>
        <v>тыс. руб.</v>
      </c>
      <c r="H13" s="35"/>
      <c r="I13" s="176">
        <f t="shared" ref="I13:I20" ca="1" si="5">SUM(L13:CQ13)</f>
        <v>31948941.046733908</v>
      </c>
      <c r="J13" s="35"/>
      <c r="K13" s="35"/>
      <c r="L13" s="35">
        <f>SUMIF(Year,L$6,Расчеты!$L$949:$CO$949)</f>
        <v>0</v>
      </c>
      <c r="M13" s="35">
        <f t="shared" ref="M13:BW13" ca="1" si="6">SUMIF(Year,M$6,Revenue)</f>
        <v>0</v>
      </c>
      <c r="N13" s="35">
        <f t="shared" ca="1" si="6"/>
        <v>0</v>
      </c>
      <c r="O13" s="35">
        <f t="shared" ca="1" si="6"/>
        <v>0</v>
      </c>
      <c r="P13" s="35">
        <f t="shared" ca="1" si="6"/>
        <v>1038022.0902898253</v>
      </c>
      <c r="Q13" s="35">
        <f t="shared" ca="1" si="6"/>
        <v>1391447.0225738049</v>
      </c>
      <c r="R13" s="35">
        <f t="shared" ca="1" si="6"/>
        <v>1601318.2246666639</v>
      </c>
      <c r="S13" s="35">
        <f t="shared" ca="1" si="6"/>
        <v>1797179.0411013491</v>
      </c>
      <c r="T13" s="35">
        <f t="shared" ca="1" si="6"/>
        <v>1872022.5911065759</v>
      </c>
      <c r="U13" s="35">
        <f t="shared" ca="1" si="6"/>
        <v>1748363.3736631824</v>
      </c>
      <c r="V13" s="35">
        <f t="shared" ca="1" si="6"/>
        <v>1788268.8416386014</v>
      </c>
      <c r="W13" s="35">
        <f t="shared" ca="1" si="6"/>
        <v>1862690.6231502416</v>
      </c>
      <c r="X13" s="35">
        <f t="shared" ca="1" si="6"/>
        <v>1934191.5791163107</v>
      </c>
      <c r="Y13" s="35">
        <f t="shared" ca="1" si="6"/>
        <v>2011559.2422809629</v>
      </c>
      <c r="Z13" s="35">
        <f t="shared" ca="1" si="6"/>
        <v>2092021.6119722011</v>
      </c>
      <c r="AA13" s="35">
        <f t="shared" ca="1" si="6"/>
        <v>2179084.5701240427</v>
      </c>
      <c r="AB13" s="35">
        <f t="shared" ca="1" si="6"/>
        <v>2262730.5755091319</v>
      </c>
      <c r="AC13" s="35">
        <f t="shared" ca="1" si="6"/>
        <v>2353239.7985294969</v>
      </c>
      <c r="AD13" s="35">
        <f t="shared" ca="1" si="6"/>
        <v>2447369.3904706766</v>
      </c>
      <c r="AE13" s="35">
        <f t="shared" ca="1" si="6"/>
        <v>2549220.7373235305</v>
      </c>
      <c r="AF13" s="35">
        <f t="shared" ca="1" si="6"/>
        <v>1020211.7332173092</v>
      </c>
      <c r="AG13" s="35">
        <f t="shared" si="6"/>
        <v>0</v>
      </c>
      <c r="AH13" s="35">
        <f t="shared" si="6"/>
        <v>0</v>
      </c>
      <c r="AI13" s="35">
        <f t="shared" si="6"/>
        <v>0</v>
      </c>
      <c r="AJ13" s="35">
        <f t="shared" si="6"/>
        <v>0</v>
      </c>
      <c r="AK13" s="35">
        <f t="shared" si="6"/>
        <v>0</v>
      </c>
      <c r="AL13" s="35">
        <f t="shared" si="6"/>
        <v>0</v>
      </c>
      <c r="AM13" s="35">
        <f t="shared" si="6"/>
        <v>0</v>
      </c>
      <c r="AN13" s="35">
        <f t="shared" si="6"/>
        <v>0</v>
      </c>
      <c r="AO13" s="35">
        <f t="shared" si="6"/>
        <v>0</v>
      </c>
      <c r="AP13" s="35">
        <f t="shared" si="6"/>
        <v>0</v>
      </c>
      <c r="AQ13" s="35">
        <f t="shared" si="6"/>
        <v>0</v>
      </c>
      <c r="AR13" s="35">
        <f t="shared" si="6"/>
        <v>0</v>
      </c>
      <c r="AS13" s="35">
        <f t="shared" si="6"/>
        <v>0</v>
      </c>
      <c r="AT13" s="35">
        <f t="shared" si="6"/>
        <v>0</v>
      </c>
      <c r="AU13" s="35">
        <f t="shared" si="6"/>
        <v>0</v>
      </c>
      <c r="AV13" s="35">
        <f t="shared" si="6"/>
        <v>0</v>
      </c>
      <c r="AW13" s="35">
        <f t="shared" si="6"/>
        <v>0</v>
      </c>
      <c r="AX13" s="35">
        <f t="shared" si="6"/>
        <v>0</v>
      </c>
      <c r="AY13" s="35">
        <f t="shared" si="6"/>
        <v>0</v>
      </c>
      <c r="AZ13" s="35">
        <f t="shared" si="6"/>
        <v>0</v>
      </c>
      <c r="BA13" s="35">
        <f t="shared" si="6"/>
        <v>0</v>
      </c>
      <c r="BB13" s="35">
        <f t="shared" si="6"/>
        <v>0</v>
      </c>
      <c r="BC13" s="35">
        <f t="shared" si="6"/>
        <v>0</v>
      </c>
      <c r="BD13" s="35">
        <f t="shared" si="6"/>
        <v>0</v>
      </c>
      <c r="BE13" s="35">
        <f t="shared" si="6"/>
        <v>0</v>
      </c>
      <c r="BF13" s="35">
        <f t="shared" si="6"/>
        <v>0</v>
      </c>
      <c r="BG13" s="35">
        <f t="shared" si="6"/>
        <v>0</v>
      </c>
      <c r="BH13" s="35">
        <f t="shared" si="6"/>
        <v>0</v>
      </c>
      <c r="BI13" s="35">
        <f t="shared" si="6"/>
        <v>0</v>
      </c>
      <c r="BJ13" s="35">
        <f t="shared" si="6"/>
        <v>0</v>
      </c>
      <c r="BK13" s="35">
        <f t="shared" si="6"/>
        <v>0</v>
      </c>
      <c r="BL13" s="35">
        <f t="shared" si="6"/>
        <v>0</v>
      </c>
      <c r="BM13" s="35">
        <f t="shared" si="6"/>
        <v>0</v>
      </c>
      <c r="BN13" s="35">
        <f t="shared" si="6"/>
        <v>0</v>
      </c>
      <c r="BO13" s="35">
        <f t="shared" si="6"/>
        <v>0</v>
      </c>
      <c r="BP13" s="35">
        <f t="shared" si="6"/>
        <v>0</v>
      </c>
      <c r="BQ13" s="35">
        <f t="shared" si="6"/>
        <v>0</v>
      </c>
      <c r="BR13" s="35">
        <f t="shared" si="6"/>
        <v>0</v>
      </c>
      <c r="BS13" s="35">
        <f t="shared" si="6"/>
        <v>0</v>
      </c>
      <c r="BT13" s="35">
        <f t="shared" si="6"/>
        <v>0</v>
      </c>
      <c r="BU13" s="35">
        <f t="shared" si="6"/>
        <v>0</v>
      </c>
      <c r="BV13" s="35">
        <f t="shared" si="6"/>
        <v>0</v>
      </c>
      <c r="BW13" s="35">
        <f t="shared" si="6"/>
        <v>0</v>
      </c>
      <c r="BX13" s="35">
        <f t="shared" ref="BX13:CO13" si="7">SUMIF(Year,BX$6,Revenue)</f>
        <v>0</v>
      </c>
      <c r="BY13" s="35">
        <f t="shared" si="7"/>
        <v>0</v>
      </c>
      <c r="BZ13" s="35">
        <f t="shared" si="7"/>
        <v>0</v>
      </c>
      <c r="CA13" s="35">
        <f t="shared" si="7"/>
        <v>0</v>
      </c>
      <c r="CB13" s="35">
        <f t="shared" si="7"/>
        <v>0</v>
      </c>
      <c r="CC13" s="35">
        <f t="shared" si="7"/>
        <v>0</v>
      </c>
      <c r="CD13" s="35">
        <f t="shared" si="7"/>
        <v>0</v>
      </c>
      <c r="CE13" s="35">
        <f t="shared" si="7"/>
        <v>0</v>
      </c>
      <c r="CF13" s="35">
        <f t="shared" si="7"/>
        <v>0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>
        <f t="shared" si="7"/>
        <v>0</v>
      </c>
      <c r="CL13" s="35">
        <f t="shared" si="7"/>
        <v>0</v>
      </c>
      <c r="CM13" s="35">
        <f t="shared" si="7"/>
        <v>0</v>
      </c>
      <c r="CN13" s="35">
        <f t="shared" si="7"/>
        <v>0</v>
      </c>
      <c r="CO13" s="35">
        <f t="shared" si="7"/>
        <v>0</v>
      </c>
    </row>
    <row r="14" spans="1:93" s="509" customFormat="1" ht="14.25">
      <c r="A14" s="225"/>
      <c r="B14" s="225"/>
      <c r="C14" s="506" t="s">
        <v>1439</v>
      </c>
      <c r="D14" s="225"/>
      <c r="E14" s="225"/>
      <c r="F14" s="225"/>
      <c r="G14" s="507" t="str">
        <f t="shared" si="4"/>
        <v>тыс. руб.</v>
      </c>
      <c r="H14" s="225"/>
      <c r="I14" s="508">
        <f t="shared" ca="1" si="5"/>
        <v>8827758.9602651857</v>
      </c>
      <c r="J14" s="225"/>
      <c r="K14" s="225"/>
      <c r="L14" s="35">
        <f ca="1">SUMIF(Year,L$6,Расчеты!$L$1311:$CO$1311)</f>
        <v>-82665.685468645795</v>
      </c>
      <c r="M14" s="35">
        <f ca="1">SUMIF(Year,M$6,Расчеты!$L$1311:$CO$1311)</f>
        <v>-720524.37801153562</v>
      </c>
      <c r="N14" s="35">
        <f ca="1">SUMIF(Year,N$6,Расчеты!$L$1311:$CO$1311)</f>
        <v>-755062.17616139771</v>
      </c>
      <c r="O14" s="35">
        <f ca="1">SUMIF(Year,O$6,Расчеты!$L$1311:$CO$1311)</f>
        <v>-1496961.8403861744</v>
      </c>
      <c r="P14" s="35">
        <f ca="1">SUMIF(Year,P$6,Расчеты!$L$1311:$CO$1311)</f>
        <v>364989.20608070481</v>
      </c>
      <c r="Q14" s="35">
        <f ca="1">SUMIF(Year,Q$6,Расчеты!$L$1311:$CO$1311)</f>
        <v>631915.38565598265</v>
      </c>
      <c r="R14" s="35">
        <f ca="1">SUMIF(Year,R$6,Расчеты!$L$1311:$CO$1311)</f>
        <v>727003.93137241947</v>
      </c>
      <c r="S14" s="35">
        <f ca="1">SUMIF(Year,S$6,Расчеты!$L$1311:$CO$1311)</f>
        <v>824380.21797705232</v>
      </c>
      <c r="T14" s="35">
        <f ca="1">SUMIF(Year,T$6,Расчеты!$L$1311:$CO$1311)</f>
        <v>852537.3455371419</v>
      </c>
      <c r="U14" s="35">
        <f ca="1">SUMIF(Year,U$6,Расчеты!$L$1311:$CO$1311)</f>
        <v>760799.65182775783</v>
      </c>
      <c r="V14" s="35">
        <f ca="1">SUMIF(Year,V$6,Расчеты!$L$1311:$CO$1311)</f>
        <v>671542.7981329232</v>
      </c>
      <c r="W14" s="35">
        <f ca="1">SUMIF(Year,W$6,Расчеты!$L$1311:$CO$1311)</f>
        <v>696272.09737878665</v>
      </c>
      <c r="X14" s="35">
        <f ca="1">SUMIF(Year,X$6,Расчеты!$L$1311:$CO$1311)</f>
        <v>722118.62923451606</v>
      </c>
      <c r="Y14" s="35">
        <f ca="1">SUMIF(Year,Y$6,Расчеты!$L$1311:$CO$1311)</f>
        <v>742094.23303240421</v>
      </c>
      <c r="Z14" s="35">
        <f ca="1">SUMIF(Year,Z$6,Расчеты!$L$1311:$CO$1311)</f>
        <v>699652.39890484186</v>
      </c>
      <c r="AA14" s="35">
        <f ca="1">SUMIF(Year,AA$6,Расчеты!$L$1311:$CO$1311)</f>
        <v>713869.0358755819</v>
      </c>
      <c r="AB14" s="35">
        <f ca="1">SUMIF(Year,AB$6,Расчеты!$L$1311:$CO$1311)</f>
        <v>744167.45245579071</v>
      </c>
      <c r="AC14" s="35">
        <f ca="1">SUMIF(Year,AC$6,Расчеты!$L$1311:$CO$1311)</f>
        <v>776731.92671345687</v>
      </c>
      <c r="AD14" s="35">
        <f ca="1">SUMIF(Year,AD$6,Расчеты!$L$1311:$CO$1311)</f>
        <v>810529.96975931467</v>
      </c>
      <c r="AE14" s="35">
        <f ca="1">SUMIF(Year,AE$6,Расчеты!$L$1311:$CO$1311)</f>
        <v>846874.50952719396</v>
      </c>
      <c r="AF14" s="35">
        <f ca="1">SUMIF(Year,AF$6,Расчеты!$L$1311:$CO$1311)</f>
        <v>297494.25082707044</v>
      </c>
      <c r="AG14" s="35">
        <f>SUMIF(Year,AG$6,Расчеты!$L$1311:$CO$1311)</f>
        <v>0</v>
      </c>
      <c r="AH14" s="35">
        <f>SUMIF(Year,AH$6,Расчеты!$L$1311:$CO$1311)</f>
        <v>0</v>
      </c>
      <c r="AI14" s="35">
        <f>SUMIF(Year,AI$6,Расчеты!$L$1311:$CO$1311)</f>
        <v>0</v>
      </c>
      <c r="AJ14" s="10">
        <f>SUMIF(Year,AJ$6,Расчеты!$L$627:$CO$627)</f>
        <v>0</v>
      </c>
      <c r="AK14" s="10">
        <f>SUMIF(Year,AK$6,Расчеты!$L$627:$CO$627)</f>
        <v>0</v>
      </c>
      <c r="AL14" s="10">
        <f>SUMIF(Year,AL$6,Расчеты!$L$627:$CO$627)</f>
        <v>0</v>
      </c>
      <c r="AM14" s="10">
        <f>SUMIF(Year,AM$6,Расчеты!$L$627:$CO$627)</f>
        <v>0</v>
      </c>
      <c r="AN14" s="10">
        <f>SUMIF(Year,AN$6,Расчеты!$L$627:$CO$627)</f>
        <v>0</v>
      </c>
      <c r="AO14" s="10">
        <f>SUMIF(Year,AO$6,Расчеты!$L$627:$CO$627)</f>
        <v>0</v>
      </c>
      <c r="AP14" s="10">
        <f>SUMIF(Year,AP$6,Расчеты!$L$627:$CO$627)</f>
        <v>0</v>
      </c>
      <c r="AQ14" s="10">
        <f>SUMIF(Year,AQ$6,Расчеты!AM627:DP627)</f>
        <v>0</v>
      </c>
      <c r="AR14" s="10">
        <f>SUMIF(Year,AR$6,Расчеты!AN627:DQ627)</f>
        <v>0</v>
      </c>
      <c r="AS14" s="10">
        <f>SUMIF(Year,AS$6,Расчеты!AO627:DR627)</f>
        <v>0</v>
      </c>
      <c r="AT14" s="10">
        <f>SUMIF(Year,AT$6,Расчеты!AP627:DS627)</f>
        <v>0</v>
      </c>
      <c r="AU14" s="10">
        <f>SUMIF(Year,AU$6,Расчеты!AQ627:DT627)</f>
        <v>0</v>
      </c>
      <c r="AV14" s="10">
        <f>SUMIF(Year,AV$6,Расчеты!AR627:DU627)</f>
        <v>0</v>
      </c>
      <c r="AW14" s="10">
        <f>SUMIF(Year,AW$6,Расчеты!AS627:DV627)</f>
        <v>0</v>
      </c>
      <c r="AX14" s="10">
        <f>SUMIF(Year,AX$6,Расчеты!AT627:DW627)</f>
        <v>0</v>
      </c>
      <c r="AY14" s="10">
        <f>SUMIF(Year,AY$6,Расчеты!AU627:DX627)</f>
        <v>0</v>
      </c>
      <c r="AZ14" s="10">
        <f>SUMIF(Year,AZ$6,Расчеты!AV627:DY627)</f>
        <v>0</v>
      </c>
      <c r="BA14" s="10">
        <f>SUMIF(Year,BA$6,Расчеты!AW627:DZ627)</f>
        <v>0</v>
      </c>
      <c r="BB14" s="10">
        <f>SUMIF(Year,BB$6,Расчеты!AX627:EA627)</f>
        <v>0</v>
      </c>
      <c r="BC14" s="10">
        <f>SUMIF(Year,BC$6,Расчеты!AY627:EB627)</f>
        <v>0</v>
      </c>
      <c r="BD14" s="10">
        <f>SUMIF(Year,BD$6,Расчеты!AZ627:EC627)</f>
        <v>0</v>
      </c>
      <c r="BE14" s="10">
        <f>SUMIF(Year,BE$6,Расчеты!BA627:ED627)</f>
        <v>0</v>
      </c>
      <c r="BF14" s="10">
        <f>SUMIF(Year,BF$6,Расчеты!BB627:EE627)</f>
        <v>0</v>
      </c>
      <c r="BG14" s="10">
        <f>SUMIF(Year,BG$6,Расчеты!BC627:EF627)</f>
        <v>0</v>
      </c>
      <c r="BH14" s="10">
        <f>SUMIF(Year,BH$6,Расчеты!BD627:EG627)</f>
        <v>0</v>
      </c>
      <c r="BI14" s="10">
        <f>SUMIF(Year,BI$6,Расчеты!BE627:EH627)</f>
        <v>0</v>
      </c>
      <c r="BJ14" s="10">
        <f>SUMIF(Year,BJ$6,Расчеты!BF627:EI627)</f>
        <v>0</v>
      </c>
      <c r="BK14" s="10">
        <f>SUMIF(Year,BK$6,Расчеты!BG627:EJ627)</f>
        <v>0</v>
      </c>
      <c r="BL14" s="10">
        <f>SUMIF(Year,BL$6,Расчеты!BH627:EK627)</f>
        <v>0</v>
      </c>
      <c r="BM14" s="10">
        <f>SUMIF(Year,BM$6,Расчеты!BI627:EL627)</f>
        <v>0</v>
      </c>
      <c r="BN14" s="10">
        <f>SUMIF(Year,BN$6,Расчеты!BJ627:EM627)</f>
        <v>0</v>
      </c>
      <c r="BO14" s="10">
        <f>SUMIF(Year,BO$6,Расчеты!BK627:EN627)</f>
        <v>0</v>
      </c>
      <c r="BP14" s="10">
        <f>SUMIF(Year,BP$6,Расчеты!BL627:EO627)</f>
        <v>0</v>
      </c>
      <c r="BQ14" s="10">
        <f>SUMIF(Year,BQ$6,Расчеты!BM627:EP627)</f>
        <v>0</v>
      </c>
      <c r="BR14" s="10">
        <f>SUMIF(Year,BR$6,Расчеты!BN627:EQ627)</f>
        <v>0</v>
      </c>
      <c r="BS14" s="10">
        <f>SUMIF(Year,BS$6,Расчеты!BO627:ER627)</f>
        <v>0</v>
      </c>
      <c r="BT14" s="10">
        <f>SUMIF(Year,BT$6,Расчеты!BP627:ES627)</f>
        <v>0</v>
      </c>
      <c r="BU14" s="10">
        <f>SUMIF(Year,BU$6,Расчеты!BQ627:ET627)</f>
        <v>0</v>
      </c>
      <c r="BV14" s="10">
        <f>SUMIF(Year,BV$6,Расчеты!BR627:EU627)</f>
        <v>0</v>
      </c>
      <c r="BW14" s="10">
        <f>SUMIF(Year,BW$6,Расчеты!BS627:EV627)</f>
        <v>0</v>
      </c>
      <c r="BX14" s="10">
        <f>SUMIF(Year,BX$6,Расчеты!BT627:EW627)</f>
        <v>0</v>
      </c>
      <c r="BY14" s="10">
        <f>SUMIF(Year,BY$6,Расчеты!BU627:EX627)</f>
        <v>0</v>
      </c>
      <c r="BZ14" s="10">
        <f>SUMIF(Year,BZ$6,Расчеты!BV627:EY627)</f>
        <v>0</v>
      </c>
      <c r="CA14" s="10">
        <f>SUMIF(Year,CA$6,Расчеты!BW627:EZ627)</f>
        <v>0</v>
      </c>
      <c r="CB14" s="10">
        <f>SUMIF(Year,CB$6,Расчеты!BX627:FA627)</f>
        <v>0</v>
      </c>
      <c r="CC14" s="10">
        <f>SUMIF(Year,CC$6,Расчеты!BY627:FB627)</f>
        <v>0</v>
      </c>
      <c r="CD14" s="10">
        <f>SUMIF(Year,CD$6,Расчеты!BZ627:FC627)</f>
        <v>0</v>
      </c>
      <c r="CE14" s="10">
        <f>SUMIF(Year,CE$6,Расчеты!CA627:FD627)</f>
        <v>0</v>
      </c>
      <c r="CF14" s="10">
        <f>SUMIF(Year,CF$6,Расчеты!CB627:FE627)</f>
        <v>0</v>
      </c>
      <c r="CG14" s="10">
        <f>SUMIF(Year,CG$6,Расчеты!CC627:FF627)</f>
        <v>0</v>
      </c>
      <c r="CH14" s="10">
        <f>SUMIF(Year,CH$6,Расчеты!CD627:FG627)</f>
        <v>0</v>
      </c>
      <c r="CI14" s="10">
        <f>SUMIF(Year,CI$6,Расчеты!CE627:FH627)</f>
        <v>0</v>
      </c>
      <c r="CJ14" s="10">
        <f>SUMIF(Year,CJ$6,Расчеты!CF627:FI627)</f>
        <v>0</v>
      </c>
      <c r="CK14" s="10">
        <f>SUMIF(Year,CK$6,Расчеты!CG627:FJ627)</f>
        <v>0</v>
      </c>
      <c r="CL14" s="10">
        <f>SUMIF(Year,CL$6,Расчеты!CH627:FK627)</f>
        <v>0</v>
      </c>
      <c r="CM14" s="10">
        <f>SUMIF(Year,CM$6,Расчеты!CI627:FL627)</f>
        <v>0</v>
      </c>
      <c r="CN14" s="10">
        <f>SUMIF(Year,CN$6,Расчеты!CJ627:FM627)</f>
        <v>0</v>
      </c>
      <c r="CO14" s="10">
        <f>SUMIF(Year,CO$6,Расчеты!CK627:FN627)</f>
        <v>0</v>
      </c>
    </row>
    <row r="15" spans="1:93" s="509" customFormat="1" ht="14.25">
      <c r="A15" s="225"/>
      <c r="B15" s="225"/>
      <c r="C15" s="506" t="s">
        <v>1440</v>
      </c>
      <c r="D15" s="225"/>
      <c r="E15" s="225"/>
      <c r="F15" s="225"/>
      <c r="G15" s="507" t="str">
        <f t="shared" si="4"/>
        <v>тыс. руб.</v>
      </c>
      <c r="H15" s="225"/>
      <c r="I15" s="508">
        <f t="shared" ca="1" si="5"/>
        <v>8367530.1348439679</v>
      </c>
      <c r="J15" s="225"/>
      <c r="K15" s="225"/>
      <c r="L15" s="35">
        <f ca="1">SUMIF(Year,L$6,Расчеты!$L$1348:$CO$1348)</f>
        <v>-82665.685468645795</v>
      </c>
      <c r="M15" s="35">
        <f ca="1">SUMIF(Year,M$6,Расчеты!$L$1348:$CO$1348)</f>
        <v>-720524.37801153562</v>
      </c>
      <c r="N15" s="35">
        <f ca="1">SUMIF(Year,N$6,Расчеты!$L$1348:$CO$1348)</f>
        <v>-149838.26045935682</v>
      </c>
      <c r="O15" s="35">
        <f ca="1">SUMIF(Year,O$6,Расчеты!$L$1348:$CO$1348)</f>
        <v>-80445.137982464512</v>
      </c>
      <c r="P15" s="35">
        <f ca="1">SUMIF(Year,P$6,Расчеты!$L$1348:$CO$1348)</f>
        <v>137083.75303849331</v>
      </c>
      <c r="Q15" s="35">
        <f ca="1">SUMIF(Year,Q$6,Расчеты!$L$1348:$CO$1348)</f>
        <v>105674.94925967572</v>
      </c>
      <c r="R15" s="35">
        <f ca="1">SUMIF(Year,R$6,Расчеты!$L$1348:$CO$1348)</f>
        <v>121905.10116095984</v>
      </c>
      <c r="S15" s="35">
        <f ca="1">SUMIF(Year,S$6,Расчеты!$L$1348:$CO$1348)</f>
        <v>137679.26829769684</v>
      </c>
      <c r="T15" s="35">
        <f ca="1">SUMIF(Year,T$6,Расчеты!$L$1348:$CO$1348)</f>
        <v>415771.16842824378</v>
      </c>
      <c r="U15" s="35">
        <f ca="1">SUMIF(Year,U$6,Расчеты!$L$1348:$CO$1348)</f>
        <v>761542.05473902018</v>
      </c>
      <c r="V15" s="35">
        <f ca="1">SUMIF(Year,V$6,Расчеты!$L$1348:$CO$1348)</f>
        <v>671542.7981329232</v>
      </c>
      <c r="W15" s="35">
        <f ca="1">SUMIF(Year,W$6,Расчеты!$L$1348:$CO$1348)</f>
        <v>696272.09737878665</v>
      </c>
      <c r="X15" s="35">
        <f ca="1">SUMIF(Year,X$6,Расчеты!$L$1348:$CO$1348)</f>
        <v>722118.62923451606</v>
      </c>
      <c r="Y15" s="35">
        <f ca="1">SUMIF(Year,Y$6,Расчеты!$L$1348:$CO$1348)</f>
        <v>742094.23303240421</v>
      </c>
      <c r="Z15" s="35">
        <f ca="1">SUMIF(Year,Z$6,Расчеты!$L$1348:$CO$1348)</f>
        <v>699652.39890484186</v>
      </c>
      <c r="AA15" s="35">
        <f ca="1">SUMIF(Year,AA$6,Расчеты!$L$1348:$CO$1348)</f>
        <v>713869.0358755819</v>
      </c>
      <c r="AB15" s="35">
        <f ca="1">SUMIF(Year,AB$6,Расчеты!$L$1348:$CO$1348)</f>
        <v>744167.45245579071</v>
      </c>
      <c r="AC15" s="35">
        <f ca="1">SUMIF(Year,AC$6,Расчеты!$L$1348:$CO$1348)</f>
        <v>776731.92671345687</v>
      </c>
      <c r="AD15" s="35">
        <f ca="1">SUMIF(Year,AD$6,Расчеты!$L$1348:$CO$1348)</f>
        <v>810529.96975931467</v>
      </c>
      <c r="AE15" s="35">
        <f ca="1">SUMIF(Year,AE$6,Расчеты!$L$1348:$CO$1348)</f>
        <v>846874.50952719396</v>
      </c>
      <c r="AF15" s="35">
        <f ca="1">SUMIF(Year,AF$6,Расчеты!$L$1348:$CO$1348)</f>
        <v>297494.25082707044</v>
      </c>
      <c r="AG15" s="35">
        <f>SUMIF(Year,AG$6,Расчеты!$L$1348:$CO$1348)</f>
        <v>0</v>
      </c>
      <c r="AH15" s="35">
        <f>SUMIF(Year,AH$6,Расчеты!$L$1348:$CO$1348)</f>
        <v>0</v>
      </c>
      <c r="AI15" s="35">
        <f>SUMIF(Year,AI$6,Расчеты!$L$1348:$CO$1348)</f>
        <v>0</v>
      </c>
      <c r="AJ15" s="35">
        <f>SUMIF(Year,AJ$6,Расчеты!$L$1348:$CO$1348)</f>
        <v>0</v>
      </c>
      <c r="AK15" s="35">
        <f>SUMIF(Year,AK$6,Расчеты!$L$1348:$CO$1348)</f>
        <v>0</v>
      </c>
      <c r="AL15" s="10">
        <f>SUMIF(Year,AL$6,Расчеты!$L$628:$CO$628)</f>
        <v>0</v>
      </c>
      <c r="AM15" s="10">
        <f>SUMIF(Year,AM$6,Расчеты!$L$628:$CO$628)</f>
        <v>0</v>
      </c>
      <c r="AN15" s="10">
        <f>SUMIF(Year,AN$6,Расчеты!$L$628:$CO$628)</f>
        <v>0</v>
      </c>
      <c r="AO15" s="10">
        <f>SUMIF(Year,AO$6,Расчеты!$L$628:$CO$628)</f>
        <v>0</v>
      </c>
      <c r="AP15" s="10">
        <f>SUMIF(Year,AP$6,Расчеты!$L$628:$CO$628)</f>
        <v>0</v>
      </c>
      <c r="AQ15" s="10">
        <f>SUMIF(Year,AQ$6,Расчеты!AM628:DP628)</f>
        <v>0</v>
      </c>
      <c r="AR15" s="10">
        <f>SUMIF(Year,AR$6,Расчеты!AN628:DQ628)</f>
        <v>0</v>
      </c>
      <c r="AS15" s="10">
        <f>SUMIF(Year,AS$6,Расчеты!AO628:DR628)</f>
        <v>0</v>
      </c>
      <c r="AT15" s="10">
        <f>SUMIF(Year,AT$6,Расчеты!AP628:DS628)</f>
        <v>0</v>
      </c>
      <c r="AU15" s="10">
        <f>SUMIF(Year,AU$6,Расчеты!AQ628:DT628)</f>
        <v>0</v>
      </c>
      <c r="AV15" s="10">
        <f>SUMIF(Year,AV$6,Расчеты!AR628:DU628)</f>
        <v>0</v>
      </c>
      <c r="AW15" s="10">
        <f>SUMIF(Year,AW$6,Расчеты!AS628:DV628)</f>
        <v>0</v>
      </c>
      <c r="AX15" s="10">
        <f>SUMIF(Year,AX$6,Расчеты!AT628:DW628)</f>
        <v>0</v>
      </c>
      <c r="AY15" s="10">
        <f>SUMIF(Year,AY$6,Расчеты!AU628:DX628)</f>
        <v>0</v>
      </c>
      <c r="AZ15" s="10">
        <f>SUMIF(Year,AZ$6,Расчеты!AV628:DY628)</f>
        <v>0</v>
      </c>
      <c r="BA15" s="10">
        <f>SUMIF(Year,BA$6,Расчеты!AW628:DZ628)</f>
        <v>0</v>
      </c>
      <c r="BB15" s="10">
        <f>SUMIF(Year,BB$6,Расчеты!AX628:EA628)</f>
        <v>0</v>
      </c>
      <c r="BC15" s="10">
        <f>SUMIF(Year,BC$6,Расчеты!AY628:EB628)</f>
        <v>0</v>
      </c>
      <c r="BD15" s="10">
        <f>SUMIF(Year,BD$6,Расчеты!AZ628:EC628)</f>
        <v>0</v>
      </c>
      <c r="BE15" s="10">
        <f>SUMIF(Year,BE$6,Расчеты!BA628:ED628)</f>
        <v>0</v>
      </c>
      <c r="BF15" s="10">
        <f>SUMIF(Year,BF$6,Расчеты!BB628:EE628)</f>
        <v>0</v>
      </c>
      <c r="BG15" s="10">
        <f>SUMIF(Year,BG$6,Расчеты!BC628:EF628)</f>
        <v>0</v>
      </c>
      <c r="BH15" s="10">
        <f>SUMIF(Year,BH$6,Расчеты!BD628:EG628)</f>
        <v>0</v>
      </c>
      <c r="BI15" s="10">
        <f>SUMIF(Year,BI$6,Расчеты!BE628:EH628)</f>
        <v>0</v>
      </c>
      <c r="BJ15" s="10">
        <f>SUMIF(Year,BJ$6,Расчеты!BF628:EI628)</f>
        <v>0</v>
      </c>
      <c r="BK15" s="10">
        <f>SUMIF(Year,BK$6,Расчеты!BG628:EJ628)</f>
        <v>0</v>
      </c>
      <c r="BL15" s="10">
        <f>SUMIF(Year,BL$6,Расчеты!BH628:EK628)</f>
        <v>0</v>
      </c>
      <c r="BM15" s="10">
        <f>SUMIF(Year,BM$6,Расчеты!BI628:EL628)</f>
        <v>0</v>
      </c>
      <c r="BN15" s="10">
        <f>SUMIF(Year,BN$6,Расчеты!BJ628:EM628)</f>
        <v>0</v>
      </c>
      <c r="BO15" s="10">
        <f>SUMIF(Year,BO$6,Расчеты!BK628:EN628)</f>
        <v>0</v>
      </c>
      <c r="BP15" s="10">
        <f>SUMIF(Year,BP$6,Расчеты!BL628:EO628)</f>
        <v>0</v>
      </c>
      <c r="BQ15" s="10">
        <f>SUMIF(Year,BQ$6,Расчеты!BM628:EP628)</f>
        <v>0</v>
      </c>
      <c r="BR15" s="10">
        <f>SUMIF(Year,BR$6,Расчеты!BN628:EQ628)</f>
        <v>0</v>
      </c>
      <c r="BS15" s="10">
        <f>SUMIF(Year,BS$6,Расчеты!BO628:ER628)</f>
        <v>0</v>
      </c>
      <c r="BT15" s="10">
        <f>SUMIF(Year,BT$6,Расчеты!BP628:ES628)</f>
        <v>0</v>
      </c>
      <c r="BU15" s="10">
        <f>SUMIF(Year,BU$6,Расчеты!BQ628:ET628)</f>
        <v>0</v>
      </c>
      <c r="BV15" s="10">
        <f>SUMIF(Year,BV$6,Расчеты!BR628:EU628)</f>
        <v>0</v>
      </c>
      <c r="BW15" s="10">
        <f>SUMIF(Year,BW$6,Расчеты!BS628:EV628)</f>
        <v>0</v>
      </c>
      <c r="BX15" s="10">
        <f>SUMIF(Year,BX$6,Расчеты!BT628:EW628)</f>
        <v>0</v>
      </c>
      <c r="BY15" s="10">
        <f>SUMIF(Year,BY$6,Расчеты!BU628:EX628)</f>
        <v>0</v>
      </c>
      <c r="BZ15" s="10">
        <f>SUMIF(Year,BZ$6,Расчеты!BV628:EY628)</f>
        <v>0</v>
      </c>
      <c r="CA15" s="10">
        <f>SUMIF(Year,CA$6,Расчеты!BW628:EZ628)</f>
        <v>0</v>
      </c>
      <c r="CB15" s="10">
        <f>SUMIF(Year,CB$6,Расчеты!BX628:FA628)</f>
        <v>0</v>
      </c>
      <c r="CC15" s="10">
        <f>SUMIF(Year,CC$6,Расчеты!BY628:FB628)</f>
        <v>0</v>
      </c>
      <c r="CD15" s="10">
        <f>SUMIF(Year,CD$6,Расчеты!BZ628:FC628)</f>
        <v>0</v>
      </c>
      <c r="CE15" s="10">
        <f>SUMIF(Year,CE$6,Расчеты!CA628:FD628)</f>
        <v>0</v>
      </c>
      <c r="CF15" s="10">
        <f>SUMIF(Year,CF$6,Расчеты!CB628:FE628)</f>
        <v>0</v>
      </c>
      <c r="CG15" s="10">
        <f>SUMIF(Year,CG$6,Расчеты!CC628:FF628)</f>
        <v>0</v>
      </c>
      <c r="CH15" s="10">
        <f>SUMIF(Year,CH$6,Расчеты!CD628:FG628)</f>
        <v>0</v>
      </c>
      <c r="CI15" s="10">
        <f>SUMIF(Year,CI$6,Расчеты!CE628:FH628)</f>
        <v>0</v>
      </c>
      <c r="CJ15" s="10">
        <f>SUMIF(Year,CJ$6,Расчеты!CF628:FI628)</f>
        <v>0</v>
      </c>
      <c r="CK15" s="10">
        <f>SUMIF(Year,CK$6,Расчеты!CG628:FJ628)</f>
        <v>0</v>
      </c>
      <c r="CL15" s="10">
        <f>SUMIF(Year,CL$6,Расчеты!CH628:FK628)</f>
        <v>0</v>
      </c>
      <c r="CM15" s="10">
        <f>SUMIF(Year,CM$6,Расчеты!CI628:FL628)</f>
        <v>0</v>
      </c>
      <c r="CN15" s="10">
        <f>SUMIF(Year,CN$6,Расчеты!CJ628:FM628)</f>
        <v>0</v>
      </c>
      <c r="CO15" s="10">
        <f>SUMIF(Year,CO$6,Расчеты!CK628:FN628)</f>
        <v>0</v>
      </c>
    </row>
    <row r="16" spans="1:93" s="509" customFormat="1" ht="14.25">
      <c r="A16" s="225"/>
      <c r="B16" s="225"/>
      <c r="C16" s="506" t="s">
        <v>120</v>
      </c>
      <c r="D16" s="225"/>
      <c r="E16" s="225"/>
      <c r="F16" s="225"/>
      <c r="G16" s="507" t="str">
        <f t="shared" si="4"/>
        <v>тыс. руб.</v>
      </c>
      <c r="H16" s="225"/>
      <c r="I16" s="508">
        <f t="shared" ca="1" si="5"/>
        <v>-617457.09245746897</v>
      </c>
      <c r="J16" s="225"/>
      <c r="K16" s="225"/>
      <c r="L16" s="10">
        <f ca="1">SUMIF(Year,L$6,Расчеты!$L$960:$CO$960)</f>
        <v>-13777.614244774297</v>
      </c>
      <c r="M16" s="10">
        <f ca="1">SUMIF(Year,M$6,Расчеты!$L$960:$CO$960)</f>
        <v>-120087.39633525597</v>
      </c>
      <c r="N16" s="10">
        <f ca="1">SUMIF(Year,N$6,Расчеты!$L$960:$CO$960)</f>
        <v>-124890.89218866618</v>
      </c>
      <c r="O16" s="10">
        <f ca="1">SUMIF(Year,O$6,Расчеты!$L$960:$CO$960)</f>
        <v>-248696.0477338139</v>
      </c>
      <c r="P16" s="10">
        <f ca="1">SUMIF(Year,P$6,Расчеты!$L$960:$CO$960)</f>
        <v>-110005.14195495863</v>
      </c>
      <c r="Q16" s="10">
        <f ca="1">SUMIF(Year,Q$6,Расчеты!$L$960:$CO$960)</f>
        <v>0</v>
      </c>
      <c r="R16" s="10">
        <f ca="1">SUMIF(Year,R$6,Расчеты!$L$960:$CO$960)</f>
        <v>0</v>
      </c>
      <c r="S16" s="10">
        <f ca="1">SUMIF(Year,S$6,Расчеты!$L$960:$CO$960)</f>
        <v>0</v>
      </c>
      <c r="T16" s="10">
        <f ca="1">SUMIF(Year,T$6,Расчеты!$L$960:$CO$960)</f>
        <v>0</v>
      </c>
      <c r="U16" s="10">
        <f ca="1">SUMIF(Year,U$6,Расчеты!$L$960:$CO$960)</f>
        <v>0</v>
      </c>
      <c r="V16" s="10">
        <f ca="1">SUMIF(Year,V$6,Расчеты!$L$960:$CO$960)</f>
        <v>0</v>
      </c>
      <c r="W16" s="10">
        <f ca="1">SUMIF(Year,W$6,Расчеты!$L$960:$CO$960)</f>
        <v>0</v>
      </c>
      <c r="X16" s="10">
        <f ca="1">SUMIF(Year,X$6,Расчеты!$L$960:$CO$960)</f>
        <v>0</v>
      </c>
      <c r="Y16" s="10">
        <f ca="1">SUMIF(Year,Y$6,Расчеты!$L$960:$CO$960)</f>
        <v>0</v>
      </c>
      <c r="Z16" s="10">
        <f ca="1">SUMIF(Year,Z$6,Расчеты!$L$960:$CO$960)</f>
        <v>0</v>
      </c>
      <c r="AA16" s="10">
        <f ca="1">SUMIF(Year,AA$6,Расчеты!$L$960:$CO$960)</f>
        <v>0</v>
      </c>
      <c r="AB16" s="10">
        <f ca="1">SUMIF(Year,AB$6,Расчеты!$L$960:$CO$960)</f>
        <v>0</v>
      </c>
      <c r="AC16" s="10">
        <f ca="1">SUMIF(Year,AC$6,Расчеты!$L$960:$CO$960)</f>
        <v>0</v>
      </c>
      <c r="AD16" s="10">
        <f ca="1">SUMIF(Year,AD$6,Расчеты!$L$960:$CO$960)</f>
        <v>0</v>
      </c>
      <c r="AE16" s="10">
        <f ca="1">SUMIF(Year,AE$6,Расчеты!$L$960:$CO$960)</f>
        <v>0</v>
      </c>
      <c r="AF16" s="10">
        <f ca="1">SUMIF(Year,AF$6,Расчеты!$L$960:$CO$960)</f>
        <v>0</v>
      </c>
      <c r="AG16" s="10">
        <f>SUMIF(Year,AG$6,Расчеты!$L$960:$CO$960)</f>
        <v>0</v>
      </c>
      <c r="AH16" s="10">
        <f>SUMIF(Year,AH$6,Расчеты!$L$960:$CO$960)</f>
        <v>0</v>
      </c>
      <c r="AI16" s="10">
        <f>SUMIF(Year,AI$6,Расчеты!$L$960:$CO$960)</f>
        <v>0</v>
      </c>
      <c r="AJ16" s="10">
        <f>SUMIF(Year,AJ$6,Расчеты!$L$960:$CO$960)</f>
        <v>0</v>
      </c>
      <c r="AK16" s="10">
        <f>SUMIF(Year,AK$6,Расчеты!$L$960:$CO$960)</f>
        <v>0</v>
      </c>
      <c r="AL16" s="10">
        <f>SUMIF(Year,AL$6,Расчеты!AH629:DK629)</f>
        <v>0</v>
      </c>
      <c r="AM16" s="10">
        <f>SUMIF(Year,AM$6,Расчеты!AI629:DL629)</f>
        <v>0</v>
      </c>
      <c r="AN16" s="10">
        <f>SUMIF(Year,AN$6,Расчеты!AJ629:DM629)</f>
        <v>0</v>
      </c>
      <c r="AO16" s="10">
        <f>SUMIF(Year,AO$6,Расчеты!AK629:DN629)</f>
        <v>0</v>
      </c>
      <c r="AP16" s="10">
        <f>SUMIF(Year,AP$6,Расчеты!AL629:DO629)</f>
        <v>0</v>
      </c>
      <c r="AQ16" s="10">
        <f>SUMIF(Year,AQ$6,Расчеты!AM629:DP629)</f>
        <v>0</v>
      </c>
      <c r="AR16" s="10">
        <f>SUMIF(Year,AR$6,Расчеты!AN629:DQ629)</f>
        <v>0</v>
      </c>
      <c r="AS16" s="10">
        <f>SUMIF(Year,AS$6,Расчеты!AO629:DR629)</f>
        <v>0</v>
      </c>
      <c r="AT16" s="10">
        <f>SUMIF(Year,AT$6,Расчеты!AP629:DS629)</f>
        <v>0</v>
      </c>
      <c r="AU16" s="10">
        <f>SUMIF(Year,AU$6,Расчеты!AQ629:DT629)</f>
        <v>0</v>
      </c>
      <c r="AV16" s="10">
        <f>SUMIF(Year,AV$6,Расчеты!AR629:DU629)</f>
        <v>0</v>
      </c>
      <c r="AW16" s="10">
        <f>SUMIF(Year,AW$6,Расчеты!AS629:DV629)</f>
        <v>0</v>
      </c>
      <c r="AX16" s="10">
        <f>SUMIF(Year,AX$6,Расчеты!AT629:DW629)</f>
        <v>0</v>
      </c>
      <c r="AY16" s="10">
        <f>SUMIF(Year,AY$6,Расчеты!AU629:DX629)</f>
        <v>0</v>
      </c>
      <c r="AZ16" s="10">
        <f>SUMIF(Year,AZ$6,Расчеты!AV629:DY629)</f>
        <v>0</v>
      </c>
      <c r="BA16" s="10">
        <f>SUMIF(Year,BA$6,Расчеты!AW629:DZ629)</f>
        <v>0</v>
      </c>
      <c r="BB16" s="10">
        <f>SUMIF(Year,BB$6,Расчеты!AX629:EA629)</f>
        <v>0</v>
      </c>
      <c r="BC16" s="10">
        <f>SUMIF(Year,BC$6,Расчеты!AY629:EB629)</f>
        <v>0</v>
      </c>
      <c r="BD16" s="10">
        <f>SUMIF(Year,BD$6,Расчеты!AZ629:EC629)</f>
        <v>0</v>
      </c>
      <c r="BE16" s="10">
        <f>SUMIF(Year,BE$6,Расчеты!BA629:ED629)</f>
        <v>0</v>
      </c>
      <c r="BF16" s="10">
        <f>SUMIF(Year,BF$6,Расчеты!BB629:EE629)</f>
        <v>0</v>
      </c>
      <c r="BG16" s="10">
        <f>SUMIF(Year,BG$6,Расчеты!BC629:EF629)</f>
        <v>0</v>
      </c>
      <c r="BH16" s="10">
        <f>SUMIF(Year,BH$6,Расчеты!BD629:EG629)</f>
        <v>0</v>
      </c>
      <c r="BI16" s="10">
        <f>SUMIF(Year,BI$6,Расчеты!BE629:EH629)</f>
        <v>0</v>
      </c>
      <c r="BJ16" s="10">
        <f>SUMIF(Year,BJ$6,Расчеты!BF629:EI629)</f>
        <v>0</v>
      </c>
      <c r="BK16" s="10">
        <f>SUMIF(Year,BK$6,Расчеты!BG629:EJ629)</f>
        <v>0</v>
      </c>
      <c r="BL16" s="10">
        <f>SUMIF(Year,BL$6,Расчеты!BH629:EK629)</f>
        <v>0</v>
      </c>
      <c r="BM16" s="10">
        <f>SUMIF(Year,BM$6,Расчеты!BI629:EL629)</f>
        <v>0</v>
      </c>
      <c r="BN16" s="10">
        <f>SUMIF(Year,BN$6,Расчеты!BJ629:EM629)</f>
        <v>0</v>
      </c>
      <c r="BO16" s="10">
        <f>SUMIF(Year,BO$6,Расчеты!BK629:EN629)</f>
        <v>0</v>
      </c>
      <c r="BP16" s="10">
        <f>SUMIF(Year,BP$6,Расчеты!BL629:EO629)</f>
        <v>0</v>
      </c>
      <c r="BQ16" s="10">
        <f>SUMIF(Year,BQ$6,Расчеты!BM629:EP629)</f>
        <v>0</v>
      </c>
      <c r="BR16" s="10">
        <f>SUMIF(Year,BR$6,Расчеты!BN629:EQ629)</f>
        <v>0</v>
      </c>
      <c r="BS16" s="10">
        <f>SUMIF(Year,BS$6,Расчеты!BO629:ER629)</f>
        <v>0</v>
      </c>
      <c r="BT16" s="10">
        <f>SUMIF(Year,BT$6,Расчеты!BP629:ES629)</f>
        <v>0</v>
      </c>
      <c r="BU16" s="10">
        <f>SUMIF(Year,BU$6,Расчеты!BQ629:ET629)</f>
        <v>0</v>
      </c>
      <c r="BV16" s="10">
        <f>SUMIF(Year,BV$6,Расчеты!BR629:EU629)</f>
        <v>0</v>
      </c>
      <c r="BW16" s="10">
        <f>SUMIF(Year,BW$6,Расчеты!BS629:EV629)</f>
        <v>0</v>
      </c>
      <c r="BX16" s="10">
        <f>SUMIF(Year,BX$6,Расчеты!BT629:EW629)</f>
        <v>0</v>
      </c>
      <c r="BY16" s="10">
        <f>SUMIF(Year,BY$6,Расчеты!BU629:EX629)</f>
        <v>0</v>
      </c>
      <c r="BZ16" s="10">
        <f>SUMIF(Year,BZ$6,Расчеты!BV629:EY629)</f>
        <v>0</v>
      </c>
      <c r="CA16" s="10">
        <f>SUMIF(Year,CA$6,Расчеты!BW629:EZ629)</f>
        <v>0</v>
      </c>
      <c r="CB16" s="10">
        <f>SUMIF(Year,CB$6,Расчеты!BX629:FA629)</f>
        <v>0</v>
      </c>
      <c r="CC16" s="10">
        <f>SUMIF(Year,CC$6,Расчеты!BY629:FB629)</f>
        <v>0</v>
      </c>
      <c r="CD16" s="10">
        <f>SUMIF(Year,CD$6,Расчеты!BZ629:FC629)</f>
        <v>0</v>
      </c>
      <c r="CE16" s="10">
        <f>SUMIF(Year,CE$6,Расчеты!CA629:FD629)</f>
        <v>0</v>
      </c>
      <c r="CF16" s="10">
        <f>SUMIF(Year,CF$6,Расчеты!CB629:FE629)</f>
        <v>0</v>
      </c>
      <c r="CG16" s="10">
        <f>SUMIF(Year,CG$6,Расчеты!CC629:FF629)</f>
        <v>0</v>
      </c>
      <c r="CH16" s="10">
        <f>SUMIF(Year,CH$6,Расчеты!CD629:FG629)</f>
        <v>0</v>
      </c>
      <c r="CI16" s="10">
        <f>SUMIF(Year,CI$6,Расчеты!CE629:FH629)</f>
        <v>0</v>
      </c>
      <c r="CJ16" s="10">
        <f>SUMIF(Year,CJ$6,Расчеты!CF629:FI629)</f>
        <v>0</v>
      </c>
      <c r="CK16" s="10">
        <f>SUMIF(Year,CK$6,Расчеты!CG629:FJ629)</f>
        <v>0</v>
      </c>
      <c r="CL16" s="10">
        <f>SUMIF(Year,CL$6,Расчеты!CH629:FK629)</f>
        <v>0</v>
      </c>
      <c r="CM16" s="10">
        <f>SUMIF(Year,CM$6,Расчеты!CI629:FL629)</f>
        <v>0</v>
      </c>
      <c r="CN16" s="10">
        <f>SUMIF(Year,CN$6,Расчеты!CJ629:FM629)</f>
        <v>0</v>
      </c>
      <c r="CO16" s="10">
        <f>SUMIF(Year,CO$6,Расчеты!CK629:FN629)</f>
        <v>0</v>
      </c>
    </row>
    <row r="17" spans="1:93" s="133" customFormat="1" ht="14.25">
      <c r="A17" s="10"/>
      <c r="B17" s="10"/>
      <c r="C17" s="17"/>
      <c r="D17" s="10"/>
      <c r="E17" s="10"/>
      <c r="F17" s="10"/>
      <c r="G17" s="134"/>
      <c r="H17" s="10"/>
      <c r="I17" s="23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3" s="510" customFormat="1">
      <c r="A18" s="35"/>
      <c r="B18" s="35"/>
      <c r="C18" s="17" t="s">
        <v>1455</v>
      </c>
      <c r="D18" s="35"/>
      <c r="E18" s="35"/>
      <c r="F18" s="35"/>
      <c r="G18" s="511" t="str">
        <f t="shared" si="4"/>
        <v>тыс. руб.</v>
      </c>
      <c r="H18" s="35"/>
      <c r="I18" s="23">
        <f t="shared" ca="1" si="5"/>
        <v>-533689.28401900001</v>
      </c>
      <c r="J18" s="35"/>
      <c r="K18" s="35"/>
      <c r="L18" s="10">
        <f ca="1">-SUMIF(Year,L$6,Финансирование!$L$13:$XFD$13)</f>
        <v>-41332.842733999998</v>
      </c>
      <c r="M18" s="10">
        <f ca="1">-SUMIF(Year,M$6,Финансирование!$L$13:$XFD$13)</f>
        <v>-360262.18900499999</v>
      </c>
      <c r="N18" s="10">
        <f ca="1">-SUMIF(Year,N$6,Финансирование!$L$13:$XFD$13)</f>
        <v>-74919.130229999995</v>
      </c>
      <c r="O18" s="10">
        <f ca="1">-SUMIF(Year,O$6,Финансирование!$L$13:$XFD$13)</f>
        <v>-40222.568991</v>
      </c>
      <c r="P18" s="10">
        <f ca="1">-SUMIF(Year,P$6,Финансирование!$L$13:$XFD$13)</f>
        <v>-16952.553059000002</v>
      </c>
      <c r="Q18" s="10">
        <f ca="1">-SUMIF(Year,Q$6,Финансирование!$L$13:$XFD$13)</f>
        <v>0</v>
      </c>
      <c r="R18" s="10">
        <f ca="1">-SUMIF(Year,R$6,Финансирование!$L$13:$XFD$13)</f>
        <v>0</v>
      </c>
      <c r="S18" s="10">
        <f ca="1">-SUMIF(Year,S$6,Финансирование!$L$13:$XFD$13)</f>
        <v>0</v>
      </c>
      <c r="T18" s="10">
        <f ca="1">-SUMIF(Year,T$6,Финансирование!$L$13:$XFD$13)</f>
        <v>0</v>
      </c>
      <c r="U18" s="10">
        <f ca="1">-SUMIF(Year,U$6,Финансирование!$L$13:$XFD$13)</f>
        <v>0</v>
      </c>
      <c r="V18" s="10">
        <f ca="1">-SUMIF(Year,V$6,Финансирование!$L$13:$XFD$13)</f>
        <v>0</v>
      </c>
      <c r="W18" s="10">
        <f ca="1">-SUMIF(Year,W$6,Финансирование!$L$13:$XFD$13)</f>
        <v>0</v>
      </c>
      <c r="X18" s="10">
        <f ca="1">-SUMIF(Year,X$6,Финансирование!$L$13:$XFD$13)</f>
        <v>0</v>
      </c>
      <c r="Y18" s="10">
        <f ca="1">-SUMIF(Year,Y$6,Финансирование!$L$13:$XFD$13)</f>
        <v>0</v>
      </c>
      <c r="Z18" s="10">
        <f ca="1">-SUMIF(Year,Z$6,Финансирование!$L$13:$XFD$13)</f>
        <v>0</v>
      </c>
      <c r="AA18" s="10">
        <f ca="1">-SUMIF(Year,AA$6,Финансирование!$L$13:$XFD$13)</f>
        <v>0</v>
      </c>
      <c r="AB18" s="10">
        <f ca="1">-SUMIF(Year,AB$6,Финансирование!$L$13:$XFD$13)</f>
        <v>0</v>
      </c>
      <c r="AC18" s="10">
        <f ca="1">-SUMIF(Year,AC$6,Финансирование!$L$13:$XFD$13)</f>
        <v>0</v>
      </c>
      <c r="AD18" s="10">
        <f ca="1">-SUMIF(Year,AD$6,Финансирование!$L$13:$XFD$13)</f>
        <v>0</v>
      </c>
      <c r="AE18" s="10">
        <f ca="1">-SUMIF(Year,AE$6,Финансирование!$L$13:$XFD$13)</f>
        <v>0</v>
      </c>
      <c r="AF18" s="10">
        <f ca="1">-SUMIF(Year,AF$6,Финансирование!$L$13:$XFD$13)</f>
        <v>0</v>
      </c>
      <c r="AG18" s="10">
        <f>-SUMIF(Year,AG$6,Финансирование!$L$13:$XFD$13)</f>
        <v>0</v>
      </c>
      <c r="AH18" s="10">
        <f>-SUMIF(Year,AH$6,Финансирование!$L$13:$XFD$13)</f>
        <v>0</v>
      </c>
      <c r="AI18" s="10">
        <f>-SUMIF(Year,AI$6,Финансирование!$L$13:$XFD$13)</f>
        <v>0</v>
      </c>
      <c r="AJ18" s="10">
        <f>-SUMIF(Year,AJ$6,Финансирование!$L$13:$XFD$13)</f>
        <v>0</v>
      </c>
      <c r="AK18" s="10">
        <f>-SUMIF(Year,AK$6,Финансирование!$L$13:$XFD$13)</f>
        <v>0</v>
      </c>
      <c r="AL18" s="10">
        <f>-SUMIF(Year,AL$6,'Бюдж эффективность'!$L$121:$XFD$121)</f>
        <v>0</v>
      </c>
      <c r="AM18" s="10">
        <f>-SUMIF(Year,AM$6,'Бюдж эффективность'!$L$121:$XFD$121)</f>
        <v>0</v>
      </c>
      <c r="AN18" s="10">
        <f>-SUMIF(Year,AN$6,'Бюдж эффективность'!$L$121:$XFD$121)</f>
        <v>0</v>
      </c>
      <c r="AO18" s="10">
        <f>-SUMIF(Year,AO$6,'Бюдж эффективность'!$L$121:$XFD$121)</f>
        <v>0</v>
      </c>
      <c r="AP18" s="10">
        <f>-SUMIF(Year,AP$6,'Бюдж эффективность'!$L$121:$XFD$121)</f>
        <v>0</v>
      </c>
      <c r="AQ18" s="10">
        <f>-SUMIF(Year,AQ$6,'Бюдж эффективность'!$L$121:$XFD$121)</f>
        <v>0</v>
      </c>
      <c r="AR18" s="10">
        <f>-SUMIF(Year,AR$6,'Бюдж эффективность'!$L$121:$XFD$121)</f>
        <v>0</v>
      </c>
      <c r="AS18" s="10">
        <f>-SUMIF(Year,AS$6,'Бюдж эффективность'!$L$121:$XFD$121)</f>
        <v>0</v>
      </c>
      <c r="AT18" s="10">
        <f>-SUMIF(Year,AT$6,'Бюдж эффективность'!$L$121:$XFD$121)</f>
        <v>0</v>
      </c>
      <c r="AU18" s="10">
        <f>-SUMIF(Year,AU$6,'Бюдж эффективность'!$L$121:$XFD$121)</f>
        <v>0</v>
      </c>
      <c r="AV18" s="10">
        <f>-SUMIF(Year,AV$6,'Бюдж эффективность'!$L$121:$XFD$121)</f>
        <v>0</v>
      </c>
      <c r="AW18" s="10">
        <f>-SUMIF(Year,AW$6,'Бюдж эффективность'!$L$121:$XFD$121)</f>
        <v>0</v>
      </c>
      <c r="AX18" s="10">
        <f>-SUMIF(Year,AX$6,'Бюдж эффективность'!$L$121:$XFD$121)</f>
        <v>0</v>
      </c>
      <c r="AY18" s="10">
        <f>-SUMIF(Year,AY$6,'Бюдж эффективность'!$L$121:$XFD$121)</f>
        <v>0</v>
      </c>
      <c r="AZ18" s="10">
        <f>-SUMIF(Year,AZ$6,'Бюдж эффективность'!$L$121:$XFD$121)</f>
        <v>0</v>
      </c>
      <c r="BA18" s="10">
        <f>-SUMIF(Year,BA$6,'Бюдж эффективность'!$L$121:$XFD$121)</f>
        <v>0</v>
      </c>
      <c r="BB18" s="10">
        <f>-SUMIF(Year,BB$6,'Бюдж эффективность'!$L$121:$XFD$121)</f>
        <v>0</v>
      </c>
      <c r="BC18" s="10">
        <f>-SUMIF(Year,BC$6,'Бюдж эффективность'!$L$121:$XFD$121)</f>
        <v>0</v>
      </c>
      <c r="BD18" s="10">
        <f>-SUMIF(Year,BD$6,'Бюдж эффективность'!$L$121:$XFD$121)</f>
        <v>0</v>
      </c>
      <c r="BE18" s="10">
        <f>-SUMIF(Year,BE$6,'Бюдж эффективность'!$L$121:$XFD$121)</f>
        <v>0</v>
      </c>
      <c r="BF18" s="10">
        <f>-SUMIF(Year,BF$6,'Бюдж эффективность'!$L$121:$XFD$121)</f>
        <v>0</v>
      </c>
      <c r="BG18" s="10">
        <f>-SUMIF(Year,BG$6,'Бюдж эффективность'!$L$121:$XFD$121)</f>
        <v>0</v>
      </c>
      <c r="BH18" s="10">
        <f>-SUMIF(Year,BH$6,'Бюдж эффективность'!$L$121:$XFD$121)</f>
        <v>0</v>
      </c>
      <c r="BI18" s="10">
        <f>-SUMIF(Year,BI$6,'Бюдж эффективность'!$L$121:$XFD$121)</f>
        <v>0</v>
      </c>
      <c r="BJ18" s="10">
        <f>-SUMIF(Year,BJ$6,'Бюдж эффективность'!$L$121:$XFD$121)</f>
        <v>0</v>
      </c>
      <c r="BK18" s="10">
        <f>-SUMIF(Year,BK$6,'Бюдж эффективность'!$L$121:$XFD$121)</f>
        <v>0</v>
      </c>
      <c r="BL18" s="10">
        <f>-SUMIF(Year,BL$6,'Бюдж эффективность'!$L$121:$XFD$121)</f>
        <v>0</v>
      </c>
      <c r="BM18" s="10">
        <f>-SUMIF(Year,BM$6,'Бюдж эффективность'!$L$121:$XFD$121)</f>
        <v>0</v>
      </c>
      <c r="BN18" s="10">
        <f>-SUMIF(Year,BN$6,'Бюдж эффективность'!$L$121:$XFD$121)</f>
        <v>0</v>
      </c>
      <c r="BO18" s="10">
        <f>-SUMIF(Year,BO$6,'Бюдж эффективность'!$L$121:$XFD$121)</f>
        <v>0</v>
      </c>
      <c r="BP18" s="10">
        <f>-SUMIF(Year,BP$6,'Бюдж эффективность'!$L$121:$XFD$121)</f>
        <v>0</v>
      </c>
      <c r="BQ18" s="10">
        <f>-SUMIF(Year,BQ$6,'Бюдж эффективность'!$L$121:$XFD$121)</f>
        <v>0</v>
      </c>
      <c r="BR18" s="10">
        <f>-SUMIF(Year,BR$6,'Бюдж эффективность'!$L$121:$XFD$121)</f>
        <v>0</v>
      </c>
      <c r="BS18" s="10">
        <f>-SUMIF(Year,BS$6,'Бюдж эффективность'!$L$121:$XFD$121)</f>
        <v>0</v>
      </c>
      <c r="BT18" s="10">
        <f>-SUMIF(Year,BT$6,'Бюдж эффективность'!$L$121:$XFD$121)</f>
        <v>0</v>
      </c>
      <c r="BU18" s="10">
        <f>-SUMIF(Year,BU$6,'Бюдж эффективность'!$L$121:$XFD$121)</f>
        <v>0</v>
      </c>
      <c r="BV18" s="10">
        <f>-SUMIF(Year,BV$6,'Бюдж эффективность'!$L$121:$XFD$121)</f>
        <v>0</v>
      </c>
      <c r="BW18" s="10">
        <f>-SUMIF(Year,BW$6,'Бюдж эффективность'!$L$121:$XFD$121)</f>
        <v>0</v>
      </c>
      <c r="BX18" s="10">
        <f>-SUMIF(Year,BX$6,'Бюдж эффективность'!$L$121:$XFD$121)</f>
        <v>0</v>
      </c>
      <c r="BY18" s="10">
        <f>-SUMIF(Year,BY$6,'Бюдж эффективность'!$L$121:$XFD$121)</f>
        <v>0</v>
      </c>
      <c r="BZ18" s="10">
        <f>-SUMIF(Year,BZ$6,'Бюдж эффективность'!$L$121:$XFD$121)</f>
        <v>0</v>
      </c>
      <c r="CA18" s="10">
        <f>-SUMIF(Year,CA$6,'Бюдж эффективность'!$L$121:$XFD$121)</f>
        <v>0</v>
      </c>
      <c r="CB18" s="10">
        <f>-SUMIF(Year,CB$6,'Бюдж эффективность'!$L$121:$XFD$121)</f>
        <v>0</v>
      </c>
      <c r="CC18" s="10">
        <f>-SUMIF(Year,CC$6,'Бюдж эффективность'!$L$121:$XFD$121)</f>
        <v>0</v>
      </c>
      <c r="CD18" s="10">
        <f>-SUMIF(Year,CD$6,'Бюдж эффективность'!$L$121:$XFD$121)</f>
        <v>0</v>
      </c>
      <c r="CE18" s="10">
        <f>-SUMIF(Year,CE$6,'Бюдж эффективность'!$L$121:$XFD$121)</f>
        <v>0</v>
      </c>
      <c r="CF18" s="10">
        <f>-SUMIF(Year,CF$6,'Бюдж эффективность'!$L$121:$XFD$121)</f>
        <v>0</v>
      </c>
      <c r="CG18" s="10">
        <f>-SUMIF(Year,CG$6,'Бюдж эффективность'!$L$121:$XFD$121)</f>
        <v>0</v>
      </c>
      <c r="CH18" s="10">
        <f>-SUMIF(Year,CH$6,'Бюдж эффективность'!$L$121:$XFD$121)</f>
        <v>0</v>
      </c>
      <c r="CI18" s="10">
        <f>-SUMIF(Year,CI$6,'Бюдж эффективность'!$L$121:$XFD$121)</f>
        <v>0</v>
      </c>
      <c r="CJ18" s="10">
        <f>-SUMIF(Year,CJ$6,'Бюдж эффективность'!$L$121:$XFD$121)</f>
        <v>0</v>
      </c>
      <c r="CK18" s="10">
        <f>-SUMIF(Year,CK$6,'Бюдж эффективность'!$L$121:$XFD$121)</f>
        <v>0</v>
      </c>
      <c r="CL18" s="10">
        <f>-SUMIF(Year,CL$6,'Бюдж эффективность'!$L$121:$XFD$121)</f>
        <v>0</v>
      </c>
      <c r="CM18" s="10">
        <f>-SUMIF(Year,CM$6,'Бюдж эффективность'!$L$121:$XFD$121)</f>
        <v>0</v>
      </c>
      <c r="CN18" s="10">
        <f>-SUMIF(Year,CN$6,'Бюдж эффективность'!$L$121:$XFD$121)</f>
        <v>0</v>
      </c>
      <c r="CO18" s="10">
        <f>-SUMIF(Year,CO$6,'Бюдж эффективность'!$L$121:$XFD$121)</f>
        <v>0</v>
      </c>
    </row>
    <row r="19" spans="1:93" s="133" customFormat="1" ht="14.25">
      <c r="A19" s="10"/>
      <c r="B19" s="10"/>
      <c r="C19" s="17" t="s">
        <v>1456</v>
      </c>
      <c r="D19" s="10"/>
      <c r="E19" s="10"/>
      <c r="F19" s="10"/>
      <c r="G19" s="134" t="str">
        <f t="shared" si="4"/>
        <v>тыс. руб.</v>
      </c>
      <c r="H19" s="10"/>
      <c r="I19" s="23">
        <f t="shared" ca="1" si="5"/>
        <v>-3305577.6634790688</v>
      </c>
      <c r="J19" s="10"/>
      <c r="K19" s="10"/>
      <c r="L19" s="10">
        <f ca="1">-SUMIF(Year,L$6,Финансирование!$L$17:$XFD$17)</f>
        <v>-41332.842733999998</v>
      </c>
      <c r="M19" s="10">
        <f ca="1">-SUMIF(Year,M$6,Финансирование!$L$17:$XFD$17)</f>
        <v>-360262.18900499999</v>
      </c>
      <c r="N19" s="10">
        <f ca="1">-SUMIF(Year,N$6,Финансирование!$L$17:$XFD$17)</f>
        <v>-694600.37155743432</v>
      </c>
      <c r="O19" s="10">
        <f ca="1">-SUMIF(Year,O$6,Финансирование!$L$17:$XFD$17)</f>
        <v>-1532398.8553938831</v>
      </c>
      <c r="P19" s="10">
        <f ca="1">-SUMIF(Year,P$6,Финансирование!$L$17:$XFD$17)</f>
        <v>-676983.40478875162</v>
      </c>
      <c r="Q19" s="10">
        <f ca="1">-SUMIF(Year,Q$6,Финансирование!$L$17:$XFD$17)</f>
        <v>0</v>
      </c>
      <c r="R19" s="10">
        <f ca="1">-SUMIF(Year,R$6,Финансирование!$L$17:$XFD$17)</f>
        <v>0</v>
      </c>
      <c r="S19" s="10">
        <f ca="1">-SUMIF(Year,S$6,Финансирование!$L$17:$XFD$17)</f>
        <v>0</v>
      </c>
      <c r="T19" s="10">
        <f ca="1">-SUMIF(Year,T$6,Финансирование!$L$17:$XFD$17)</f>
        <v>0</v>
      </c>
      <c r="U19" s="10">
        <f ca="1">-SUMIF(Year,U$6,Финансирование!$L$17:$XFD$17)</f>
        <v>0</v>
      </c>
      <c r="V19" s="10">
        <f ca="1">-SUMIF(Year,V$6,Финансирование!$L$17:$XFD$17)</f>
        <v>0</v>
      </c>
      <c r="W19" s="10">
        <f ca="1">-SUMIF(Year,W$6,Финансирование!$L$17:$XFD$17)</f>
        <v>0</v>
      </c>
      <c r="X19" s="10">
        <f ca="1">-SUMIF(Year,X$6,Финансирование!$L$17:$XFD$17)</f>
        <v>0</v>
      </c>
      <c r="Y19" s="10">
        <f ca="1">-SUMIF(Year,Y$6,Финансирование!$L$17:$XFD$17)</f>
        <v>0</v>
      </c>
      <c r="Z19" s="10">
        <f ca="1">-SUMIF(Year,Z$6,Финансирование!$L$17:$XFD$17)</f>
        <v>0</v>
      </c>
      <c r="AA19" s="10">
        <f ca="1">-SUMIF(Year,AA$6,Финансирование!$L$17:$XFD$17)</f>
        <v>0</v>
      </c>
      <c r="AB19" s="10">
        <f ca="1">-SUMIF(Year,AB$6,Финансирование!$L$17:$XFD$17)</f>
        <v>0</v>
      </c>
      <c r="AC19" s="10">
        <f ca="1">-SUMIF(Year,AC$6,Финансирование!$L$17:$XFD$17)</f>
        <v>0</v>
      </c>
      <c r="AD19" s="10">
        <f ca="1">-SUMIF(Year,AD$6,Финансирование!$L$17:$XFD$17)</f>
        <v>0</v>
      </c>
      <c r="AE19" s="10">
        <f ca="1">-SUMIF(Year,AE$6,Финансирование!$L$17:$XFD$17)</f>
        <v>0</v>
      </c>
      <c r="AF19" s="10">
        <f ca="1">-SUMIF(Year,AF$6,Финансирование!$L$17:$XFD$17)</f>
        <v>0</v>
      </c>
      <c r="AG19" s="10">
        <f>-SUMIF(Year,AG$6,Финансирование!$L$17:$XFD$17)</f>
        <v>0</v>
      </c>
      <c r="AH19" s="10">
        <f>-SUMIF(Year,AH$6,Финансирование!$L$17:$XFD$17)</f>
        <v>0</v>
      </c>
      <c r="AI19" s="10">
        <f>-SUMIF(Year,AI$6,Финансирование!$L$17:$XFD$17)</f>
        <v>0</v>
      </c>
      <c r="AJ19" s="10">
        <f>-SUMIF(Year,AJ$6,Финансирование!$L$17:$XFD$17)</f>
        <v>0</v>
      </c>
      <c r="AK19" s="10">
        <f>-SUMIF(Year,AK$6,Финансирование!$L$17:$XFD$17)</f>
        <v>0</v>
      </c>
      <c r="AL19" s="10">
        <f t="shared" ref="AL19:AU19" si="8">SUMIF(Year,AL$6,COGS_PL)-AL18</f>
        <v>0</v>
      </c>
      <c r="AM19" s="10">
        <f t="shared" si="8"/>
        <v>0</v>
      </c>
      <c r="AN19" s="10">
        <f t="shared" si="8"/>
        <v>0</v>
      </c>
      <c r="AO19" s="10">
        <f t="shared" si="8"/>
        <v>0</v>
      </c>
      <c r="AP19" s="10">
        <f t="shared" si="8"/>
        <v>0</v>
      </c>
      <c r="AQ19" s="10">
        <f t="shared" si="8"/>
        <v>0</v>
      </c>
      <c r="AR19" s="10">
        <f t="shared" si="8"/>
        <v>0</v>
      </c>
      <c r="AS19" s="10">
        <f t="shared" si="8"/>
        <v>0</v>
      </c>
      <c r="AT19" s="10">
        <f t="shared" si="8"/>
        <v>0</v>
      </c>
      <c r="AU19" s="10">
        <f t="shared" si="8"/>
        <v>0</v>
      </c>
      <c r="AV19" s="10">
        <f t="shared" ref="AV19:CA19" si="9">SUMIF(Year,AV$6,COGS_PL)-AV18</f>
        <v>0</v>
      </c>
      <c r="AW19" s="10">
        <f t="shared" si="9"/>
        <v>0</v>
      </c>
      <c r="AX19" s="10">
        <f t="shared" si="9"/>
        <v>0</v>
      </c>
      <c r="AY19" s="10">
        <f t="shared" si="9"/>
        <v>0</v>
      </c>
      <c r="AZ19" s="10">
        <f t="shared" si="9"/>
        <v>0</v>
      </c>
      <c r="BA19" s="10">
        <f t="shared" si="9"/>
        <v>0</v>
      </c>
      <c r="BB19" s="10">
        <f t="shared" si="9"/>
        <v>0</v>
      </c>
      <c r="BC19" s="10">
        <f t="shared" si="9"/>
        <v>0</v>
      </c>
      <c r="BD19" s="10">
        <f t="shared" si="9"/>
        <v>0</v>
      </c>
      <c r="BE19" s="10">
        <f t="shared" si="9"/>
        <v>0</v>
      </c>
      <c r="BF19" s="10">
        <f t="shared" si="9"/>
        <v>0</v>
      </c>
      <c r="BG19" s="10">
        <f t="shared" si="9"/>
        <v>0</v>
      </c>
      <c r="BH19" s="10">
        <f t="shared" si="9"/>
        <v>0</v>
      </c>
      <c r="BI19" s="10">
        <f t="shared" si="9"/>
        <v>0</v>
      </c>
      <c r="BJ19" s="10">
        <f t="shared" si="9"/>
        <v>0</v>
      </c>
      <c r="BK19" s="10">
        <f t="shared" si="9"/>
        <v>0</v>
      </c>
      <c r="BL19" s="10">
        <f t="shared" si="9"/>
        <v>0</v>
      </c>
      <c r="BM19" s="10">
        <f t="shared" si="9"/>
        <v>0</v>
      </c>
      <c r="BN19" s="10">
        <f t="shared" si="9"/>
        <v>0</v>
      </c>
      <c r="BO19" s="10">
        <f t="shared" si="9"/>
        <v>0</v>
      </c>
      <c r="BP19" s="10">
        <f t="shared" si="9"/>
        <v>0</v>
      </c>
      <c r="BQ19" s="10">
        <f t="shared" si="9"/>
        <v>0</v>
      </c>
      <c r="BR19" s="10">
        <f t="shared" si="9"/>
        <v>0</v>
      </c>
      <c r="BS19" s="10">
        <f t="shared" si="9"/>
        <v>0</v>
      </c>
      <c r="BT19" s="10">
        <f t="shared" si="9"/>
        <v>0</v>
      </c>
      <c r="BU19" s="10">
        <f t="shared" si="9"/>
        <v>0</v>
      </c>
      <c r="BV19" s="10">
        <f t="shared" si="9"/>
        <v>0</v>
      </c>
      <c r="BW19" s="10">
        <f t="shared" si="9"/>
        <v>0</v>
      </c>
      <c r="BX19" s="10">
        <f t="shared" si="9"/>
        <v>0</v>
      </c>
      <c r="BY19" s="10">
        <f t="shared" si="9"/>
        <v>0</v>
      </c>
      <c r="BZ19" s="10">
        <f t="shared" si="9"/>
        <v>0</v>
      </c>
      <c r="CA19" s="10">
        <f t="shared" si="9"/>
        <v>0</v>
      </c>
      <c r="CB19" s="10">
        <f t="shared" ref="CB19:CO19" si="10">SUMIF(Year,CB$6,COGS_PL)-CB18</f>
        <v>0</v>
      </c>
      <c r="CC19" s="10">
        <f t="shared" si="10"/>
        <v>0</v>
      </c>
      <c r="CD19" s="10">
        <f t="shared" si="10"/>
        <v>0</v>
      </c>
      <c r="CE19" s="10">
        <f t="shared" si="10"/>
        <v>0</v>
      </c>
      <c r="CF19" s="10">
        <f t="shared" si="10"/>
        <v>0</v>
      </c>
      <c r="CG19" s="10">
        <f t="shared" si="10"/>
        <v>0</v>
      </c>
      <c r="CH19" s="10">
        <f t="shared" si="10"/>
        <v>0</v>
      </c>
      <c r="CI19" s="10">
        <f t="shared" si="10"/>
        <v>0</v>
      </c>
      <c r="CJ19" s="10">
        <f t="shared" si="10"/>
        <v>0</v>
      </c>
      <c r="CK19" s="10">
        <f t="shared" si="10"/>
        <v>0</v>
      </c>
      <c r="CL19" s="10">
        <f t="shared" si="10"/>
        <v>0</v>
      </c>
      <c r="CM19" s="10">
        <f t="shared" si="10"/>
        <v>0</v>
      </c>
      <c r="CN19" s="10">
        <f t="shared" si="10"/>
        <v>0</v>
      </c>
      <c r="CO19" s="10">
        <f t="shared" si="10"/>
        <v>0</v>
      </c>
    </row>
    <row r="20" spans="1:93" s="133" customFormat="1" ht="14.25">
      <c r="A20" s="10"/>
      <c r="B20" s="10"/>
      <c r="C20" s="17" t="s">
        <v>728</v>
      </c>
      <c r="D20" s="10"/>
      <c r="E20" s="10"/>
      <c r="F20" s="10"/>
      <c r="G20" s="134" t="str">
        <f t="shared" si="4"/>
        <v>тыс. руб.</v>
      </c>
      <c r="H20" s="10"/>
      <c r="I20" s="23">
        <f t="shared" ca="1" si="5"/>
        <v>-355606.44199776114</v>
      </c>
      <c r="J20" s="10"/>
      <c r="K20" s="10"/>
      <c r="L20" s="10">
        <f t="shared" ref="L20:BW20" ca="1" si="11">SUMIF(Year,L$6,SGA_PL)</f>
        <v>0</v>
      </c>
      <c r="M20" s="10">
        <f t="shared" ca="1" si="11"/>
        <v>0</v>
      </c>
      <c r="N20" s="10">
        <f t="shared" ca="1" si="11"/>
        <v>0</v>
      </c>
      <c r="O20" s="10">
        <f t="shared" ca="1" si="11"/>
        <v>0</v>
      </c>
      <c r="P20" s="10">
        <f t="shared" ca="1" si="11"/>
        <v>-6978.1109764029025</v>
      </c>
      <c r="Q20" s="10">
        <f t="shared" ca="1" si="11"/>
        <v>-9261.8563868620349</v>
      </c>
      <c r="R20" s="10">
        <f t="shared" ca="1" si="11"/>
        <v>-9261.8563868620349</v>
      </c>
      <c r="S20" s="10">
        <f t="shared" ca="1" si="11"/>
        <v>-9261.8563868620331</v>
      </c>
      <c r="T20" s="10">
        <f t="shared" ca="1" si="11"/>
        <v>-9261.8563868620349</v>
      </c>
      <c r="U20" s="10">
        <f t="shared" ca="1" si="11"/>
        <v>-9261.8563868620349</v>
      </c>
      <c r="V20" s="10">
        <f t="shared" ca="1" si="11"/>
        <v>-9261.8563868620349</v>
      </c>
      <c r="W20" s="10">
        <f t="shared" ca="1" si="11"/>
        <v>-9261.8563868620331</v>
      </c>
      <c r="X20" s="10">
        <f t="shared" ca="1" si="11"/>
        <v>-9261.8563868620349</v>
      </c>
      <c r="Y20" s="10">
        <f t="shared" ca="1" si="11"/>
        <v>-9261.8563868620349</v>
      </c>
      <c r="Z20" s="10">
        <f t="shared" ca="1" si="11"/>
        <v>-29321.443809480887</v>
      </c>
      <c r="AA20" s="10">
        <f t="shared" ca="1" si="11"/>
        <v>-47520.718993786337</v>
      </c>
      <c r="AB20" s="10">
        <f t="shared" ca="1" si="11"/>
        <v>-45477.993475852301</v>
      </c>
      <c r="AC20" s="10">
        <f t="shared" ca="1" si="11"/>
        <v>-43437.372124331712</v>
      </c>
      <c r="AD20" s="10">
        <f t="shared" ca="1" si="11"/>
        <v>-41396.750772811116</v>
      </c>
      <c r="AE20" s="10">
        <f t="shared" ca="1" si="11"/>
        <v>-39358.233587703966</v>
      </c>
      <c r="AF20" s="10">
        <f t="shared" ca="1" si="11"/>
        <v>-18759.110775633599</v>
      </c>
      <c r="AG20" s="10">
        <f t="shared" si="11"/>
        <v>0</v>
      </c>
      <c r="AH20" s="10">
        <f t="shared" si="11"/>
        <v>0</v>
      </c>
      <c r="AI20" s="10">
        <f t="shared" si="11"/>
        <v>0</v>
      </c>
      <c r="AJ20" s="10">
        <f t="shared" si="11"/>
        <v>0</v>
      </c>
      <c r="AK20" s="10">
        <f t="shared" si="11"/>
        <v>0</v>
      </c>
      <c r="AL20" s="10">
        <f t="shared" si="11"/>
        <v>0</v>
      </c>
      <c r="AM20" s="10">
        <f t="shared" si="11"/>
        <v>0</v>
      </c>
      <c r="AN20" s="10">
        <f t="shared" si="11"/>
        <v>0</v>
      </c>
      <c r="AO20" s="10">
        <f t="shared" si="11"/>
        <v>0</v>
      </c>
      <c r="AP20" s="10">
        <f t="shared" si="11"/>
        <v>0</v>
      </c>
      <c r="AQ20" s="10">
        <f t="shared" si="11"/>
        <v>0</v>
      </c>
      <c r="AR20" s="10">
        <f t="shared" si="11"/>
        <v>0</v>
      </c>
      <c r="AS20" s="10">
        <f t="shared" si="11"/>
        <v>0</v>
      </c>
      <c r="AT20" s="10">
        <f t="shared" si="11"/>
        <v>0</v>
      </c>
      <c r="AU20" s="10">
        <f t="shared" si="11"/>
        <v>0</v>
      </c>
      <c r="AV20" s="10">
        <f t="shared" si="11"/>
        <v>0</v>
      </c>
      <c r="AW20" s="10">
        <f t="shared" si="11"/>
        <v>0</v>
      </c>
      <c r="AX20" s="10">
        <f t="shared" si="11"/>
        <v>0</v>
      </c>
      <c r="AY20" s="10">
        <f t="shared" si="11"/>
        <v>0</v>
      </c>
      <c r="AZ20" s="10">
        <f t="shared" si="11"/>
        <v>0</v>
      </c>
      <c r="BA20" s="10">
        <f t="shared" si="11"/>
        <v>0</v>
      </c>
      <c r="BB20" s="10">
        <f t="shared" si="11"/>
        <v>0</v>
      </c>
      <c r="BC20" s="10">
        <f t="shared" si="11"/>
        <v>0</v>
      </c>
      <c r="BD20" s="10">
        <f t="shared" si="11"/>
        <v>0</v>
      </c>
      <c r="BE20" s="10">
        <f t="shared" si="11"/>
        <v>0</v>
      </c>
      <c r="BF20" s="10">
        <f t="shared" si="11"/>
        <v>0</v>
      </c>
      <c r="BG20" s="10">
        <f t="shared" si="11"/>
        <v>0</v>
      </c>
      <c r="BH20" s="10">
        <f t="shared" si="11"/>
        <v>0</v>
      </c>
      <c r="BI20" s="10">
        <f t="shared" si="11"/>
        <v>0</v>
      </c>
      <c r="BJ20" s="10">
        <f t="shared" si="11"/>
        <v>0</v>
      </c>
      <c r="BK20" s="10">
        <f t="shared" si="11"/>
        <v>0</v>
      </c>
      <c r="BL20" s="10">
        <f t="shared" si="11"/>
        <v>0</v>
      </c>
      <c r="BM20" s="10">
        <f t="shared" si="11"/>
        <v>0</v>
      </c>
      <c r="BN20" s="10">
        <f t="shared" si="11"/>
        <v>0</v>
      </c>
      <c r="BO20" s="10">
        <f t="shared" si="11"/>
        <v>0</v>
      </c>
      <c r="BP20" s="10">
        <f t="shared" si="11"/>
        <v>0</v>
      </c>
      <c r="BQ20" s="10">
        <f t="shared" si="11"/>
        <v>0</v>
      </c>
      <c r="BR20" s="10">
        <f t="shared" si="11"/>
        <v>0</v>
      </c>
      <c r="BS20" s="10">
        <f t="shared" si="11"/>
        <v>0</v>
      </c>
      <c r="BT20" s="10">
        <f t="shared" si="11"/>
        <v>0</v>
      </c>
      <c r="BU20" s="10">
        <f t="shared" si="11"/>
        <v>0</v>
      </c>
      <c r="BV20" s="10">
        <f t="shared" si="11"/>
        <v>0</v>
      </c>
      <c r="BW20" s="10">
        <f t="shared" si="11"/>
        <v>0</v>
      </c>
      <c r="BX20" s="10">
        <f t="shared" ref="BX20:CO20" si="12">SUMIF(Year,BX$6,SGA_PL)</f>
        <v>0</v>
      </c>
      <c r="BY20" s="10">
        <f t="shared" si="12"/>
        <v>0</v>
      </c>
      <c r="BZ20" s="10">
        <f t="shared" si="12"/>
        <v>0</v>
      </c>
      <c r="CA20" s="10">
        <f t="shared" si="12"/>
        <v>0</v>
      </c>
      <c r="CB20" s="10">
        <f t="shared" si="12"/>
        <v>0</v>
      </c>
      <c r="CC20" s="10">
        <f t="shared" si="12"/>
        <v>0</v>
      </c>
      <c r="CD20" s="10">
        <f t="shared" si="12"/>
        <v>0</v>
      </c>
      <c r="CE20" s="10">
        <f t="shared" si="12"/>
        <v>0</v>
      </c>
      <c r="CF20" s="10">
        <f t="shared" si="12"/>
        <v>0</v>
      </c>
      <c r="CG20" s="10">
        <f t="shared" si="12"/>
        <v>0</v>
      </c>
      <c r="CH20" s="10">
        <f t="shared" si="12"/>
        <v>0</v>
      </c>
      <c r="CI20" s="10">
        <f t="shared" si="12"/>
        <v>0</v>
      </c>
      <c r="CJ20" s="10">
        <f t="shared" si="12"/>
        <v>0</v>
      </c>
      <c r="CK20" s="10">
        <f t="shared" si="12"/>
        <v>0</v>
      </c>
      <c r="CL20" s="10">
        <f t="shared" si="12"/>
        <v>0</v>
      </c>
      <c r="CM20" s="10">
        <f t="shared" si="12"/>
        <v>0</v>
      </c>
      <c r="CN20" s="10">
        <f t="shared" si="12"/>
        <v>0</v>
      </c>
      <c r="CO20" s="10">
        <f t="shared" si="12"/>
        <v>0</v>
      </c>
    </row>
    <row r="21" spans="1:93" ht="15" customHeight="1"/>
    <row r="22" spans="1:93" ht="15" customHeight="1"/>
    <row r="23" spans="1:93" ht="15" customHeight="1"/>
    <row r="24" spans="1:93" ht="15" customHeight="1"/>
    <row r="25" spans="1:93" ht="15" customHeight="1"/>
    <row r="26" spans="1:93" ht="15" customHeight="1"/>
    <row r="27" spans="1:93" ht="15" customHeight="1"/>
    <row r="28" spans="1:93" ht="15" customHeight="1"/>
    <row r="29" spans="1:93" ht="15" customHeight="1"/>
    <row r="30" spans="1:93" ht="15" customHeight="1"/>
    <row r="31" spans="1:93" ht="15" customHeight="1"/>
    <row r="32" spans="1:93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</sheetData>
  <conditionalFormatting sqref="L9:CO9">
    <cfRule type="cellIs" dxfId="299" priority="3" operator="equal">
      <formula>2</formula>
    </cfRule>
    <cfRule type="cellIs" dxfId="298" priority="4" operator="equal">
      <formula>1</formula>
    </cfRule>
  </conditionalFormatting>
  <conditionalFormatting sqref="E4">
    <cfRule type="cellIs" dxfId="297" priority="1" operator="equal">
      <formula>FALSE</formula>
    </cfRule>
    <cfRule type="cellIs" dxfId="296" priority="2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8" scale="17" fitToHeight="0" orientation="landscape" r:id="rId1"/>
  <colBreaks count="1" manualBreakCount="1">
    <brk id="45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/>
  </sheetPr>
  <dimension ref="A1:L19"/>
  <sheetViews>
    <sheetView zoomScale="70" zoomScaleNormal="70" workbookViewId="0">
      <selection activeCell="B1" sqref="B1"/>
    </sheetView>
  </sheetViews>
  <sheetFormatPr defaultColWidth="0" defaultRowHeight="15" zeroHeight="1"/>
  <cols>
    <col min="1" max="2" width="2.7109375" customWidth="1"/>
    <col min="3" max="5" width="24.42578125" customWidth="1"/>
    <col min="6" max="6" width="27.28515625" customWidth="1"/>
    <col min="7" max="7" width="2.7109375" customWidth="1"/>
    <col min="8" max="8" width="18.28515625" customWidth="1"/>
    <col min="9" max="10" width="2.7109375" customWidth="1"/>
    <col min="11" max="12" width="0" hidden="1" customWidth="1"/>
    <col min="13" max="16384" width="9.28515625" hidden="1"/>
  </cols>
  <sheetData>
    <row r="1" spans="1:10" s="5" customFormat="1" ht="27.75" customHeight="1">
      <c r="A1" s="249"/>
      <c r="B1" s="249"/>
      <c r="C1" s="249"/>
      <c r="D1" s="249"/>
      <c r="E1" s="249"/>
      <c r="F1" s="249"/>
      <c r="G1" s="249"/>
      <c r="H1" s="249"/>
      <c r="I1" s="249"/>
      <c r="J1" s="249"/>
    </row>
    <row r="2" spans="1:10" ht="22.15" customHeight="1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 ht="22.15" customHeight="1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ht="22.15" customHeight="1">
      <c r="A4" s="10"/>
      <c r="B4" s="90"/>
      <c r="C4" s="91"/>
      <c r="D4" s="90"/>
      <c r="E4" s="90"/>
      <c r="G4" s="90"/>
      <c r="H4" s="90"/>
      <c r="I4" s="91"/>
      <c r="J4" s="90"/>
    </row>
    <row r="5" spans="1:10" ht="22.15" customHeight="1">
      <c r="A5" s="10"/>
      <c r="B5" s="90"/>
      <c r="C5" s="90"/>
      <c r="D5" s="90"/>
      <c r="E5" s="90"/>
      <c r="F5" s="90"/>
      <c r="G5" s="90"/>
      <c r="H5" s="90"/>
      <c r="I5" s="90"/>
      <c r="J5" s="90"/>
    </row>
    <row r="6" spans="1:10" ht="22.15" customHeight="1">
      <c r="A6" s="10"/>
      <c r="B6" s="90"/>
      <c r="C6" s="98"/>
      <c r="D6" s="90"/>
      <c r="E6" s="90"/>
      <c r="F6" s="90"/>
      <c r="G6" s="90"/>
      <c r="H6" s="90"/>
      <c r="I6" s="90"/>
      <c r="J6" s="90"/>
    </row>
    <row r="7" spans="1:10" ht="22.15" customHeight="1">
      <c r="A7" s="10"/>
      <c r="B7" s="90"/>
      <c r="C7" s="91"/>
      <c r="D7" s="90"/>
      <c r="E7" s="90"/>
      <c r="F7" s="90"/>
      <c r="G7" s="90"/>
      <c r="H7" s="90"/>
      <c r="I7" s="90"/>
      <c r="J7" s="90"/>
    </row>
    <row r="8" spans="1:10" s="91" customFormat="1" ht="22.15" customHeight="1">
      <c r="A8" s="90"/>
      <c r="B8" s="90"/>
      <c r="C8" s="90"/>
      <c r="D8" s="90"/>
      <c r="E8" s="90"/>
      <c r="F8" s="218"/>
      <c r="G8" s="219"/>
      <c r="H8" s="220"/>
      <c r="I8" s="90"/>
      <c r="J8" s="90"/>
    </row>
    <row r="9" spans="1:10" s="91" customFormat="1">
      <c r="A9" s="90"/>
      <c r="B9" s="90"/>
      <c r="C9" s="90"/>
      <c r="D9" s="90"/>
      <c r="E9" s="90"/>
      <c r="F9" s="218"/>
      <c r="G9" s="219"/>
      <c r="H9" s="221"/>
      <c r="I9" s="90"/>
      <c r="J9" s="90"/>
    </row>
    <row r="10" spans="1:10" s="91" customFormat="1">
      <c r="A10" s="90"/>
      <c r="B10" s="90"/>
      <c r="C10" s="90"/>
      <c r="D10" s="90"/>
      <c r="E10" s="90"/>
      <c r="F10" s="218"/>
      <c r="G10" s="219"/>
      <c r="H10" s="222"/>
      <c r="I10" s="90"/>
      <c r="J10" s="90"/>
    </row>
    <row r="11" spans="1:10" s="91" customFormat="1" ht="20.65" customHeight="1">
      <c r="A11" s="90"/>
      <c r="B11" s="90"/>
      <c r="C11" s="90"/>
      <c r="D11" s="90"/>
      <c r="E11" s="90"/>
      <c r="F11" s="90"/>
      <c r="G11" s="90"/>
      <c r="H11" s="90"/>
      <c r="I11" s="90"/>
      <c r="J11" s="90"/>
    </row>
    <row r="12" spans="1:10" s="91" customFormat="1" ht="20.65" customHeight="1">
      <c r="A12" s="90"/>
      <c r="B12" s="90"/>
      <c r="C12" s="90"/>
      <c r="D12" s="90"/>
      <c r="E12" s="90"/>
      <c r="F12" s="90"/>
      <c r="G12" s="90"/>
      <c r="H12" s="90"/>
      <c r="I12" s="90"/>
      <c r="J12" s="90"/>
    </row>
    <row r="13" spans="1:10" s="252" customFormat="1" ht="14.65" customHeight="1">
      <c r="A13" s="251"/>
      <c r="B13" s="251"/>
      <c r="C13" s="251"/>
      <c r="D13" s="251"/>
      <c r="E13" s="251"/>
      <c r="F13" s="251"/>
      <c r="G13" s="251"/>
      <c r="H13" s="251"/>
      <c r="I13" s="251"/>
      <c r="J13" s="251"/>
    </row>
    <row r="14" spans="1:10" s="252" customFormat="1" ht="14.65" customHeight="1">
      <c r="A14" s="251"/>
      <c r="B14" s="251"/>
      <c r="C14" s="251"/>
      <c r="D14" s="251"/>
      <c r="E14" s="251"/>
      <c r="F14" s="253" t="s">
        <v>0</v>
      </c>
      <c r="G14" s="251"/>
      <c r="H14" s="254">
        <f xml:space="preserve"> Version_Model</f>
        <v>1</v>
      </c>
      <c r="I14" s="251"/>
      <c r="J14" s="251"/>
    </row>
    <row r="15" spans="1:10" s="252" customFormat="1" ht="14.65" customHeight="1">
      <c r="A15" s="251"/>
      <c r="B15" s="251"/>
      <c r="C15" s="251"/>
      <c r="D15" s="251"/>
      <c r="E15" s="251"/>
      <c r="F15" s="253" t="s">
        <v>905</v>
      </c>
      <c r="G15" s="251"/>
      <c r="H15" s="255">
        <f xml:space="preserve"> Предпосылки!E15</f>
        <v>45505</v>
      </c>
      <c r="I15" s="251"/>
      <c r="J15" s="251"/>
    </row>
    <row r="16" spans="1:10" s="252" customFormat="1" ht="14.65" customHeight="1">
      <c r="A16" s="251"/>
      <c r="B16" s="251"/>
      <c r="C16" s="251"/>
      <c r="D16" s="251"/>
      <c r="E16" s="251"/>
      <c r="F16" s="251"/>
      <c r="G16" s="251"/>
      <c r="H16" s="251"/>
      <c r="I16" s="251"/>
      <c r="J16" s="251"/>
    </row>
    <row r="17" spans="1:10" s="91" customFormat="1" ht="20.65" customHeight="1">
      <c r="A17" s="90"/>
      <c r="B17" s="90"/>
      <c r="C17" s="250" t="s">
        <v>1</v>
      </c>
      <c r="D17" s="212"/>
      <c r="E17" s="212"/>
      <c r="F17" s="212"/>
      <c r="G17" s="212"/>
      <c r="H17" s="212"/>
      <c r="I17" s="90"/>
      <c r="J17" s="90"/>
    </row>
    <row r="18" spans="1:10" s="96" customFormat="1" ht="82.15" customHeight="1">
      <c r="A18" s="95"/>
      <c r="B18" s="95"/>
      <c r="C18" s="650" t="s">
        <v>561</v>
      </c>
      <c r="D18" s="650"/>
      <c r="E18" s="650"/>
      <c r="F18" s="650"/>
      <c r="G18" s="650"/>
      <c r="H18" s="650"/>
      <c r="I18" s="90"/>
      <c r="J18" s="90"/>
    </row>
    <row r="19" spans="1:10" s="5" customFormat="1" ht="15.75">
      <c r="A19" s="249"/>
      <c r="B19" s="249"/>
      <c r="C19" s="249"/>
      <c r="D19" s="249"/>
      <c r="E19" s="249"/>
      <c r="F19" s="249"/>
      <c r="G19" s="249"/>
      <c r="H19" s="249"/>
      <c r="I19" s="249"/>
      <c r="J19" s="249"/>
    </row>
  </sheetData>
  <mergeCells count="1">
    <mergeCell ref="C18:H1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/>
  </sheetPr>
  <dimension ref="A1:J41"/>
  <sheetViews>
    <sheetView zoomScale="70" zoomScaleNormal="70" workbookViewId="0">
      <pane ySplit="3" topLeftCell="A4" activePane="bottomLeft" state="frozen"/>
      <selection pane="bottomLeft" activeCell="G10" sqref="G10"/>
    </sheetView>
  </sheetViews>
  <sheetFormatPr defaultColWidth="0" defaultRowHeight="15" zeroHeight="1"/>
  <cols>
    <col min="1" max="1" width="2" customWidth="1"/>
    <col min="2" max="2" width="45.7109375" customWidth="1"/>
    <col min="3" max="3" width="2" customWidth="1"/>
    <col min="4" max="4" width="90.28515625" customWidth="1"/>
    <col min="5" max="6" width="2.7109375" customWidth="1"/>
    <col min="7" max="7" width="23.42578125" customWidth="1"/>
    <col min="8" max="8" width="2" customWidth="1"/>
    <col min="9" max="9" width="64.42578125" customWidth="1"/>
    <col min="10" max="10" width="2" customWidth="1"/>
    <col min="11" max="16384" width="9.28515625" hidden="1"/>
  </cols>
  <sheetData>
    <row r="1" spans="1:10">
      <c r="A1" s="10"/>
      <c r="B1" s="10"/>
      <c r="C1" s="10"/>
      <c r="D1" s="10"/>
      <c r="E1" s="10"/>
      <c r="F1" s="10"/>
      <c r="G1" s="10"/>
      <c r="H1" s="10"/>
      <c r="I1" s="10"/>
      <c r="J1" s="10"/>
    </row>
    <row r="2" spans="1:10" ht="29.65" customHeight="1">
      <c r="A2" s="10"/>
      <c r="B2" s="256" t="str">
        <f>Name_Model</f>
        <v>Отель в коттеджах 5* UAI</v>
      </c>
      <c r="C2" s="256"/>
      <c r="D2" s="249"/>
      <c r="E2" s="249"/>
      <c r="F2" s="249"/>
      <c r="G2" s="249"/>
      <c r="H2" s="249"/>
      <c r="I2" s="249"/>
      <c r="J2" s="10"/>
    </row>
    <row r="3" spans="1:10">
      <c r="A3" s="10"/>
      <c r="B3" s="10"/>
      <c r="C3" s="10"/>
      <c r="D3" s="10"/>
      <c r="E3" s="10"/>
      <c r="F3" s="10"/>
      <c r="G3" s="10"/>
      <c r="H3" s="10"/>
      <c r="I3" s="10"/>
      <c r="J3" s="10"/>
    </row>
    <row r="4" spans="1:10" s="39" customFormat="1" ht="21.75" customHeight="1">
      <c r="A4" s="37"/>
      <c r="B4" s="256" t="s">
        <v>2</v>
      </c>
      <c r="C4" s="256"/>
      <c r="D4" s="256" t="s">
        <v>3</v>
      </c>
      <c r="E4" s="10"/>
      <c r="F4" s="10"/>
      <c r="G4" s="256" t="s">
        <v>6</v>
      </c>
      <c r="H4" s="256"/>
      <c r="I4" s="256" t="s">
        <v>7</v>
      </c>
      <c r="J4" s="10"/>
    </row>
    <row r="5" spans="1:10" s="81" customFormat="1" ht="15" customHeight="1">
      <c r="A5" s="38"/>
      <c r="B5" s="38"/>
      <c r="C5" s="38"/>
      <c r="D5" s="38"/>
      <c r="E5" s="10"/>
      <c r="F5" s="10"/>
      <c r="G5" s="10"/>
      <c r="H5" s="10"/>
      <c r="I5" s="10"/>
      <c r="J5" s="10"/>
    </row>
    <row r="6" spans="1:10" s="81" customFormat="1" ht="15" customHeight="1" thickBot="1">
      <c r="A6" s="38"/>
      <c r="B6" s="12" t="s">
        <v>767</v>
      </c>
      <c r="C6" s="30"/>
      <c r="D6" s="109"/>
      <c r="E6" s="10"/>
      <c r="F6" s="10"/>
      <c r="G6" s="12" t="s">
        <v>8</v>
      </c>
      <c r="H6" s="30"/>
      <c r="I6" s="109"/>
      <c r="J6" s="10"/>
    </row>
    <row r="7" spans="1:10" s="81" customFormat="1" ht="15" customHeight="1">
      <c r="A7" s="38"/>
      <c r="B7" s="82"/>
      <c r="C7" s="38"/>
      <c r="D7" s="38"/>
      <c r="E7" s="10"/>
      <c r="F7" s="10"/>
      <c r="G7" s="10"/>
      <c r="H7" s="10"/>
      <c r="I7" s="28"/>
      <c r="J7" s="10"/>
    </row>
    <row r="8" spans="1:10" s="81" customFormat="1" ht="15.75" customHeight="1">
      <c r="A8" s="38"/>
      <c r="B8" s="384" t="s">
        <v>768</v>
      </c>
      <c r="C8" s="385"/>
      <c r="D8" s="385" t="s">
        <v>769</v>
      </c>
      <c r="E8" s="10"/>
      <c r="F8" s="10"/>
      <c r="G8" s="15" t="s">
        <v>9</v>
      </c>
      <c r="H8" s="10"/>
      <c r="I8" s="10" t="s">
        <v>10</v>
      </c>
      <c r="J8" s="10"/>
    </row>
    <row r="9" spans="1:10" s="81" customFormat="1" ht="15.75" customHeight="1">
      <c r="A9" s="38"/>
      <c r="B9" s="384" t="s">
        <v>3</v>
      </c>
      <c r="C9" s="385"/>
      <c r="D9" s="385" t="s">
        <v>770</v>
      </c>
      <c r="E9" s="10"/>
      <c r="F9" s="10"/>
      <c r="G9" s="10"/>
      <c r="H9" s="10"/>
      <c r="I9" s="10"/>
      <c r="J9" s="10"/>
    </row>
    <row r="10" spans="1:10" s="81" customFormat="1" ht="15.75" customHeight="1" thickBot="1">
      <c r="A10" s="38"/>
      <c r="B10" s="384" t="s">
        <v>771</v>
      </c>
      <c r="C10" s="385"/>
      <c r="D10" s="385" t="s">
        <v>772</v>
      </c>
      <c r="E10" s="10"/>
      <c r="F10" s="10"/>
      <c r="G10" s="26" t="s">
        <v>9</v>
      </c>
      <c r="H10" s="10"/>
      <c r="I10" s="10" t="s">
        <v>11</v>
      </c>
      <c r="J10" s="10"/>
    </row>
    <row r="11" spans="1:10" s="81" customFormat="1" ht="15.75" customHeight="1" thickTop="1">
      <c r="A11" s="38"/>
      <c r="B11" s="384" t="s">
        <v>4</v>
      </c>
      <c r="C11" s="385"/>
      <c r="D11" s="385" t="s">
        <v>773</v>
      </c>
      <c r="E11" s="10"/>
      <c r="F11" s="10"/>
      <c r="G11" s="10"/>
      <c r="H11" s="10"/>
      <c r="I11" s="10"/>
      <c r="J11" s="10"/>
    </row>
    <row r="12" spans="1:10" s="81" customFormat="1" ht="15.75" customHeight="1" thickBot="1">
      <c r="A12" s="38"/>
      <c r="B12" s="384" t="s">
        <v>774</v>
      </c>
      <c r="C12" s="385"/>
      <c r="D12" s="385" t="s">
        <v>775</v>
      </c>
      <c r="E12" s="10"/>
      <c r="F12" s="10"/>
      <c r="G12" s="12" t="s">
        <v>9</v>
      </c>
      <c r="H12" s="10"/>
      <c r="I12" s="10" t="s">
        <v>12</v>
      </c>
      <c r="J12" s="10"/>
    </row>
    <row r="13" spans="1:10" s="81" customFormat="1" ht="15.75" customHeight="1">
      <c r="A13" s="38"/>
      <c r="B13" s="386" t="s">
        <v>915</v>
      </c>
      <c r="C13" s="385"/>
      <c r="D13" s="385" t="s">
        <v>1046</v>
      </c>
      <c r="E13" s="10"/>
      <c r="F13" s="10"/>
      <c r="G13" s="10"/>
      <c r="H13" s="10"/>
      <c r="I13" s="10"/>
      <c r="J13" s="10"/>
    </row>
    <row r="14" spans="1:10" s="81" customFormat="1" ht="15.75" customHeight="1">
      <c r="A14" s="38"/>
      <c r="B14" s="384" t="s">
        <v>314</v>
      </c>
      <c r="C14" s="385"/>
      <c r="D14" s="385" t="s">
        <v>776</v>
      </c>
      <c r="E14" s="10"/>
      <c r="F14" s="10"/>
      <c r="G14" s="16" t="s">
        <v>9</v>
      </c>
      <c r="H14" s="10"/>
      <c r="I14" s="10" t="s">
        <v>13</v>
      </c>
      <c r="J14" s="10"/>
    </row>
    <row r="15" spans="1:10" s="81" customFormat="1" ht="15.75" customHeight="1">
      <c r="A15" s="38"/>
      <c r="B15" s="384" t="s">
        <v>777</v>
      </c>
      <c r="C15" s="385"/>
      <c r="D15" s="385" t="s">
        <v>778</v>
      </c>
      <c r="E15" s="10"/>
      <c r="F15" s="10"/>
      <c r="G15" s="10"/>
      <c r="H15" s="10"/>
      <c r="I15" s="28"/>
      <c r="J15" s="10"/>
    </row>
    <row r="16" spans="1:10" s="81" customFormat="1" ht="15.75" customHeight="1" thickBot="1">
      <c r="A16" s="38"/>
      <c r="B16" s="384"/>
      <c r="C16" s="385"/>
      <c r="D16" s="385"/>
      <c r="E16" s="10"/>
      <c r="F16" s="10"/>
      <c r="G16" s="12" t="s">
        <v>97</v>
      </c>
      <c r="H16" s="30"/>
      <c r="I16" s="109"/>
      <c r="J16" s="10"/>
    </row>
    <row r="17" spans="1:10" s="81" customFormat="1" ht="15.75" customHeight="1">
      <c r="A17" s="38"/>
      <c r="B17" s="387"/>
      <c r="C17" s="385"/>
      <c r="D17" s="385"/>
      <c r="E17" s="38"/>
      <c r="F17" s="10"/>
      <c r="G17" s="10"/>
      <c r="H17" s="10"/>
      <c r="I17" s="28"/>
      <c r="J17" s="10"/>
    </row>
    <row r="18" spans="1:10" s="81" customFormat="1" ht="15.75" customHeight="1" thickBot="1">
      <c r="A18" s="38"/>
      <c r="B18" s="388" t="s">
        <v>779</v>
      </c>
      <c r="C18" s="389"/>
      <c r="D18" s="390"/>
      <c r="E18" s="38"/>
      <c r="F18" s="10"/>
      <c r="G18" s="14">
        <v>100</v>
      </c>
      <c r="H18" s="10"/>
      <c r="I18" s="28" t="s">
        <v>14</v>
      </c>
      <c r="J18" s="10"/>
    </row>
    <row r="19" spans="1:10" s="81" customFormat="1" ht="15.75" customHeight="1">
      <c r="A19" s="38"/>
      <c r="B19" s="387"/>
      <c r="C19" s="385"/>
      <c r="D19" s="385"/>
      <c r="E19" s="38"/>
      <c r="F19" s="10"/>
      <c r="G19" s="10"/>
      <c r="H19" s="10"/>
      <c r="I19" s="28"/>
      <c r="J19" s="10"/>
    </row>
    <row r="20" spans="1:10" s="81" customFormat="1" ht="15.75" customHeight="1">
      <c r="A20" s="38"/>
      <c r="B20" s="391" t="s">
        <v>379</v>
      </c>
      <c r="C20" s="9"/>
      <c r="D20" s="9" t="s">
        <v>780</v>
      </c>
      <c r="E20" s="38"/>
      <c r="F20" s="10"/>
      <c r="G20" s="66">
        <v>100</v>
      </c>
      <c r="H20" s="10"/>
      <c r="I20" s="28" t="s">
        <v>15</v>
      </c>
      <c r="J20" s="10"/>
    </row>
    <row r="21" spans="1:10" s="81" customFormat="1" ht="15.75" customHeight="1">
      <c r="A21" s="38"/>
      <c r="B21" s="391" t="s">
        <v>382</v>
      </c>
      <c r="C21" s="9"/>
      <c r="D21" s="9" t="s">
        <v>1047</v>
      </c>
      <c r="E21" s="38"/>
      <c r="F21" s="10"/>
      <c r="G21" s="10"/>
      <c r="H21" s="10"/>
      <c r="I21" s="28"/>
      <c r="J21" s="10"/>
    </row>
    <row r="22" spans="1:10" s="81" customFormat="1" ht="15.75" customHeight="1">
      <c r="A22" s="38"/>
      <c r="B22" s="391" t="s">
        <v>576</v>
      </c>
      <c r="C22" s="9"/>
      <c r="D22" s="9" t="s">
        <v>1048</v>
      </c>
      <c r="E22" s="38"/>
      <c r="F22" s="10"/>
      <c r="G22" s="64">
        <v>100</v>
      </c>
      <c r="H22" s="10"/>
      <c r="I22" s="28" t="s">
        <v>16</v>
      </c>
      <c r="J22" s="10"/>
    </row>
    <row r="23" spans="1:10" s="81" customFormat="1" ht="15.75" customHeight="1">
      <c r="A23" s="38"/>
      <c r="B23" s="391" t="s">
        <v>299</v>
      </c>
      <c r="C23" s="9"/>
      <c r="D23" s="9" t="s">
        <v>1049</v>
      </c>
      <c r="E23" s="38"/>
      <c r="F23" s="10"/>
      <c r="G23" s="10"/>
      <c r="H23" s="10"/>
      <c r="I23" s="28"/>
      <c r="J23" s="10"/>
    </row>
    <row r="24" spans="1:10" s="81" customFormat="1" ht="15.75" customHeight="1">
      <c r="A24" s="38"/>
      <c r="B24" s="391" t="s">
        <v>96</v>
      </c>
      <c r="C24" s="9"/>
      <c r="D24" s="9" t="s">
        <v>1057</v>
      </c>
      <c r="E24" s="38"/>
      <c r="F24" s="10"/>
      <c r="G24" s="184">
        <v>100</v>
      </c>
      <c r="H24" s="10"/>
      <c r="I24" s="28" t="s">
        <v>114</v>
      </c>
      <c r="J24" s="10"/>
    </row>
    <row r="25" spans="1:10" s="81" customFormat="1" ht="15.75" customHeight="1">
      <c r="A25" s="38"/>
      <c r="B25" s="391" t="s">
        <v>700</v>
      </c>
      <c r="C25" s="9"/>
      <c r="D25" s="9" t="s">
        <v>1050</v>
      </c>
      <c r="E25" s="38"/>
      <c r="F25" s="10"/>
      <c r="G25" s="10"/>
      <c r="H25" s="10"/>
      <c r="I25" s="28"/>
      <c r="J25" s="10"/>
    </row>
    <row r="26" spans="1:10" s="83" customFormat="1" ht="15.75" customHeight="1">
      <c r="A26" s="38"/>
      <c r="B26" s="391" t="s">
        <v>781</v>
      </c>
      <c r="C26" s="9"/>
      <c r="D26" s="9" t="s">
        <v>1051</v>
      </c>
      <c r="E26" s="28"/>
      <c r="F26" s="10"/>
      <c r="G26" s="52">
        <v>1</v>
      </c>
      <c r="H26" s="10"/>
      <c r="I26" s="28" t="s">
        <v>304</v>
      </c>
      <c r="J26" s="10"/>
    </row>
    <row r="27" spans="1:10" ht="15.75" customHeight="1">
      <c r="A27" s="38"/>
      <c r="B27" s="391" t="s">
        <v>98</v>
      </c>
      <c r="C27" s="9"/>
      <c r="D27" s="9" t="s">
        <v>1058</v>
      </c>
      <c r="E27" s="28"/>
      <c r="F27" s="10"/>
      <c r="G27" s="10"/>
      <c r="H27" s="10"/>
      <c r="I27" s="28"/>
      <c r="J27" s="10"/>
    </row>
    <row r="28" spans="1:10" ht="15.75" customHeight="1">
      <c r="A28" s="38"/>
      <c r="B28" s="391" t="s">
        <v>498</v>
      </c>
      <c r="C28" s="9"/>
      <c r="D28" s="9" t="s">
        <v>1059</v>
      </c>
      <c r="E28" s="28"/>
      <c r="F28" s="10"/>
      <c r="G28" s="223" t="b">
        <f ca="1">Overall_Check</f>
        <v>1</v>
      </c>
      <c r="H28" s="10"/>
      <c r="I28" s="28" t="s">
        <v>17</v>
      </c>
      <c r="J28" s="10"/>
    </row>
    <row r="29" spans="1:10" ht="15.75" customHeight="1">
      <c r="A29" s="38"/>
      <c r="B29" s="391" t="s">
        <v>107</v>
      </c>
      <c r="C29" s="9"/>
      <c r="D29" s="9" t="s">
        <v>1052</v>
      </c>
      <c r="E29" s="28"/>
      <c r="F29" s="10"/>
      <c r="G29" s="10"/>
      <c r="H29" s="10"/>
      <c r="I29" s="28"/>
      <c r="J29" s="10"/>
    </row>
    <row r="30" spans="1:10" ht="15.75" customHeight="1">
      <c r="A30" s="38"/>
      <c r="B30" s="391" t="s">
        <v>111</v>
      </c>
      <c r="C30" s="9"/>
      <c r="D30" s="9" t="s">
        <v>1053</v>
      </c>
      <c r="E30" s="28"/>
      <c r="F30" s="10"/>
      <c r="G30" s="224">
        <v>100</v>
      </c>
      <c r="H30" s="10"/>
      <c r="I30" s="28" t="s">
        <v>115</v>
      </c>
      <c r="J30" s="10"/>
    </row>
    <row r="31" spans="1:10" ht="15.75" customHeight="1">
      <c r="A31" s="38"/>
      <c r="B31" s="391" t="s">
        <v>173</v>
      </c>
      <c r="C31" s="9"/>
      <c r="D31" s="9" t="s">
        <v>1090</v>
      </c>
      <c r="E31" s="28"/>
      <c r="F31" s="10"/>
      <c r="G31" s="10"/>
      <c r="H31" s="10"/>
      <c r="I31" s="28"/>
      <c r="J31" s="10"/>
    </row>
    <row r="32" spans="1:10" ht="15.75" customHeight="1">
      <c r="A32" s="38"/>
      <c r="B32" s="391" t="s">
        <v>489</v>
      </c>
      <c r="C32" s="9"/>
      <c r="D32" s="9" t="s">
        <v>1091</v>
      </c>
      <c r="E32" s="28"/>
      <c r="F32" s="10"/>
      <c r="G32" s="62" t="str">
        <f>Monetary_Unit</f>
        <v>тыс. руб.</v>
      </c>
      <c r="H32" s="10"/>
      <c r="I32" s="28" t="s">
        <v>18</v>
      </c>
      <c r="J32" s="10"/>
    </row>
    <row r="33" spans="1:10" ht="15.75" customHeight="1" thickBot="1">
      <c r="A33" s="38"/>
      <c r="B33" s="391" t="s">
        <v>490</v>
      </c>
      <c r="C33" s="9"/>
      <c r="D33" s="9" t="s">
        <v>1092</v>
      </c>
      <c r="E33" s="28"/>
      <c r="F33" s="10"/>
      <c r="G33" s="10"/>
      <c r="H33" s="10"/>
      <c r="I33" s="28"/>
      <c r="J33" s="10"/>
    </row>
    <row r="34" spans="1:10" ht="15.75" customHeight="1" thickTop="1">
      <c r="A34" s="38"/>
      <c r="B34" s="391" t="s">
        <v>166</v>
      </c>
      <c r="C34" s="9"/>
      <c r="D34" s="9" t="s">
        <v>1054</v>
      </c>
      <c r="E34" s="28"/>
      <c r="F34" s="10"/>
      <c r="G34" s="136">
        <v>100</v>
      </c>
      <c r="H34" s="10"/>
      <c r="I34" s="28" t="s">
        <v>19</v>
      </c>
      <c r="J34" s="10"/>
    </row>
    <row r="35" spans="1:10" ht="15.75" customHeight="1">
      <c r="A35" s="38"/>
      <c r="B35" s="391" t="s">
        <v>197</v>
      </c>
      <c r="C35" s="9"/>
      <c r="D35" s="9" t="s">
        <v>197</v>
      </c>
      <c r="E35" s="28"/>
      <c r="F35" s="10"/>
      <c r="G35" s="10"/>
      <c r="H35" s="10"/>
      <c r="I35" s="28"/>
      <c r="J35" s="10"/>
    </row>
    <row r="36" spans="1:10" ht="15.75" customHeight="1">
      <c r="A36" s="38"/>
      <c r="B36" s="391" t="s">
        <v>171</v>
      </c>
      <c r="C36" s="9"/>
      <c r="D36" s="9" t="s">
        <v>1060</v>
      </c>
      <c r="E36" s="28"/>
      <c r="F36" s="10"/>
      <c r="G36" s="24">
        <v>100</v>
      </c>
      <c r="H36" s="10"/>
      <c r="I36" s="28" t="s">
        <v>333</v>
      </c>
      <c r="J36" s="10"/>
    </row>
    <row r="37" spans="1:10" ht="15.75" customHeight="1">
      <c r="A37" s="38"/>
      <c r="B37" s="391" t="s">
        <v>782</v>
      </c>
      <c r="C37" s="9"/>
      <c r="D37" s="9" t="s">
        <v>1061</v>
      </c>
      <c r="E37" s="28"/>
      <c r="F37" s="10"/>
      <c r="G37" s="10"/>
      <c r="H37" s="10"/>
      <c r="I37" s="28"/>
      <c r="J37" s="10"/>
    </row>
    <row r="38" spans="1:10" ht="15.75" customHeight="1">
      <c r="A38" s="38"/>
      <c r="B38" s="391" t="s">
        <v>230</v>
      </c>
      <c r="C38" s="9"/>
      <c r="D38" s="9" t="s">
        <v>1055</v>
      </c>
      <c r="E38" s="28"/>
      <c r="F38" s="10"/>
      <c r="G38" s="144">
        <v>1</v>
      </c>
      <c r="H38" s="10"/>
      <c r="I38" s="28" t="s">
        <v>332</v>
      </c>
      <c r="J38" s="10"/>
    </row>
    <row r="39" spans="1:10" ht="15.75" customHeight="1">
      <c r="A39" s="38"/>
      <c r="B39" s="391" t="s">
        <v>783</v>
      </c>
      <c r="C39" s="9"/>
      <c r="D39" s="9" t="s">
        <v>1056</v>
      </c>
      <c r="E39" s="28"/>
      <c r="F39" s="10"/>
      <c r="G39" s="10"/>
      <c r="H39" s="10"/>
      <c r="I39" s="28"/>
      <c r="J39" s="10"/>
    </row>
    <row r="40" spans="1:10" ht="15" customHeight="1">
      <c r="A40" s="38"/>
      <c r="B40" s="28"/>
      <c r="C40" s="28"/>
      <c r="D40" s="28"/>
      <c r="E40" s="28"/>
      <c r="F40" s="10"/>
      <c r="G40" s="27">
        <v>1</v>
      </c>
      <c r="H40" s="10"/>
      <c r="I40" s="28" t="s">
        <v>95</v>
      </c>
      <c r="J40" s="10"/>
    </row>
    <row r="41" spans="1:10" ht="15" customHeight="1">
      <c r="A41" s="28"/>
      <c r="B41" s="28"/>
      <c r="C41" s="28"/>
      <c r="D41" s="28"/>
      <c r="E41" s="28"/>
      <c r="F41" s="10"/>
      <c r="G41" s="27"/>
      <c r="H41" s="10"/>
      <c r="I41" s="28"/>
      <c r="J41" s="10"/>
    </row>
  </sheetData>
  <conditionalFormatting sqref="G26">
    <cfRule type="cellIs" dxfId="295" priority="7" operator="equal">
      <formula>1</formula>
    </cfRule>
  </conditionalFormatting>
  <conditionalFormatting sqref="G28">
    <cfRule type="cellIs" dxfId="294" priority="1" operator="equal">
      <formula>FALSE</formula>
    </cfRule>
    <cfRule type="cellIs" dxfId="293" priority="2" operator="equal">
      <formula>TRUE</formula>
    </cfRule>
  </conditionalFormatting>
  <hyperlinks>
    <hyperlink ref="B8" location="Титул!A1" display="Титул" xr:uid="{00000000-0004-0000-0100-000000000000}"/>
    <hyperlink ref="B9" location="Описание!A1" display="Описание" xr:uid="{00000000-0004-0000-0100-000001000000}"/>
    <hyperlink ref="B10" location="Контр_панель!A1" display="Контр_панель" xr:uid="{00000000-0004-0000-0100-000002000000}"/>
    <hyperlink ref="B11" location="Предпосылки!A1" display="Предпосылки" xr:uid="{00000000-0004-0000-0100-000003000000}"/>
    <hyperlink ref="B12" location="Расчеты!A1" display="Расчеты" xr:uid="{00000000-0004-0000-0100-000004000000}"/>
    <hyperlink ref="B13" location="Отчетность!A1" display="Отчетность" xr:uid="{00000000-0004-0000-0100-000005000000}"/>
    <hyperlink ref="B14" location="Проверки!A1" display="Проверки" xr:uid="{00000000-0004-0000-0100-000006000000}"/>
    <hyperlink ref="B15" location="Свод!A1" display="Свод" xr:uid="{00000000-0004-0000-0100-000007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3"/>
    <pageSetUpPr fitToPage="1"/>
  </sheetPr>
  <dimension ref="A1:AG228"/>
  <sheetViews>
    <sheetView tabSelected="1" view="pageBreakPreview" topLeftCell="A26" zoomScale="85" zoomScaleNormal="85" zoomScaleSheetLayoutView="85" workbookViewId="0">
      <selection activeCell="G18" sqref="G18"/>
    </sheetView>
  </sheetViews>
  <sheetFormatPr defaultColWidth="0" defaultRowHeight="15" zeroHeight="1"/>
  <cols>
    <col min="1" max="1" width="2.28515625" customWidth="1"/>
    <col min="2" max="2" width="2.42578125" customWidth="1"/>
    <col min="3" max="13" width="15.7109375" customWidth="1"/>
    <col min="14" max="14" width="3.140625" customWidth="1"/>
    <col min="15" max="15" width="2.28515625" customWidth="1"/>
    <col min="16" max="16" width="1.7109375" hidden="1" customWidth="1"/>
    <col min="17" max="26" width="16" hidden="1"/>
    <col min="30" max="33" width="16" hidden="1"/>
  </cols>
  <sheetData>
    <row r="1" spans="1:16" s="119" customFormat="1" ht="15.75" customHeight="1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</row>
    <row r="2" spans="1:16" s="3" customFormat="1" ht="15.75" customHeight="1">
      <c r="A2" s="118"/>
      <c r="B2" s="257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9"/>
      <c r="O2" s="119"/>
      <c r="P2" s="119"/>
    </row>
    <row r="3" spans="1:16" s="3" customFormat="1" ht="15.75">
      <c r="A3" s="118"/>
      <c r="B3" s="260"/>
      <c r="C3" s="261"/>
      <c r="D3" s="261"/>
      <c r="E3" s="261"/>
      <c r="F3" s="262" t="str">
        <f xml:space="preserve"> Name_Model</f>
        <v>Отель в коттеджах 5* UAI</v>
      </c>
      <c r="G3" s="263"/>
      <c r="H3" s="263"/>
      <c r="I3" s="263"/>
      <c r="J3" s="263"/>
      <c r="K3" s="263"/>
      <c r="L3" s="263"/>
      <c r="M3" s="263"/>
      <c r="N3" s="264"/>
      <c r="O3" s="119"/>
      <c r="P3" s="119"/>
    </row>
    <row r="4" spans="1:16" s="3" customFormat="1" ht="15.75">
      <c r="A4" s="118"/>
      <c r="B4" s="260"/>
      <c r="C4" s="261"/>
      <c r="D4" s="261"/>
      <c r="E4" s="261"/>
      <c r="F4" s="265" t="s">
        <v>562</v>
      </c>
      <c r="G4" s="380">
        <f>Предпосылки!E15</f>
        <v>45505</v>
      </c>
      <c r="H4" s="263"/>
      <c r="I4" s="263"/>
      <c r="J4" s="263"/>
      <c r="K4" s="263"/>
      <c r="L4" s="263"/>
      <c r="M4" s="263"/>
      <c r="N4" s="264"/>
      <c r="O4" s="119"/>
      <c r="P4" s="119"/>
    </row>
    <row r="5" spans="1:16" s="3" customFormat="1" ht="15.75">
      <c r="A5" s="118"/>
      <c r="B5" s="260"/>
      <c r="C5" s="261"/>
      <c r="D5" s="261"/>
      <c r="E5" s="261"/>
      <c r="F5" s="265" t="s">
        <v>563</v>
      </c>
      <c r="G5" s="266" t="b">
        <f ca="1">Overall_Check</f>
        <v>1</v>
      </c>
      <c r="H5" s="263"/>
      <c r="I5" s="263"/>
      <c r="J5" s="263"/>
      <c r="K5" s="263"/>
      <c r="L5" s="263"/>
      <c r="M5" s="263"/>
      <c r="N5" s="264"/>
      <c r="O5" s="119"/>
      <c r="P5" s="119"/>
    </row>
    <row r="6" spans="1:16" s="3" customFormat="1" ht="15.75">
      <c r="A6" s="118"/>
      <c r="B6" s="260"/>
      <c r="C6" s="261"/>
      <c r="D6" s="261"/>
      <c r="E6" s="261"/>
      <c r="F6" s="265" t="s">
        <v>594</v>
      </c>
      <c r="G6" s="265"/>
      <c r="H6" s="267"/>
      <c r="I6" s="263"/>
      <c r="J6" s="263"/>
      <c r="K6" s="263"/>
      <c r="L6" s="263"/>
      <c r="M6" s="263"/>
      <c r="N6" s="264"/>
      <c r="O6" s="119"/>
      <c r="P6" s="119"/>
    </row>
    <row r="7" spans="1:16" s="3" customFormat="1" ht="15.75">
      <c r="A7" s="118"/>
      <c r="B7" s="268"/>
      <c r="C7" s="269"/>
      <c r="D7" s="269"/>
      <c r="E7" s="269"/>
      <c r="F7" s="269"/>
      <c r="G7" s="269"/>
      <c r="H7" s="269"/>
      <c r="I7" s="269"/>
      <c r="J7" s="269"/>
      <c r="K7" s="269"/>
      <c r="L7" s="269"/>
      <c r="M7" s="269"/>
      <c r="N7" s="270"/>
      <c r="O7" s="119"/>
      <c r="P7" s="119"/>
    </row>
    <row r="8" spans="1:16" ht="14.65" customHeight="1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9"/>
      <c r="P8" s="119"/>
    </row>
    <row r="9" spans="1:16" ht="25.15" customHeight="1">
      <c r="A9" s="117"/>
      <c r="B9" s="120"/>
      <c r="C9" s="121" t="s">
        <v>757</v>
      </c>
      <c r="D9" s="121"/>
      <c r="E9" s="121"/>
      <c r="F9" s="121"/>
      <c r="G9" s="121"/>
      <c r="H9" s="121"/>
      <c r="I9" s="121" t="s">
        <v>842</v>
      </c>
      <c r="J9" s="121"/>
      <c r="K9" s="121"/>
      <c r="L9" s="121"/>
      <c r="M9" s="121"/>
      <c r="N9" s="122"/>
      <c r="O9" s="119"/>
      <c r="P9" s="119"/>
    </row>
    <row r="10" spans="1:16" ht="15" customHeight="1">
      <c r="A10" s="118"/>
      <c r="B10" s="129"/>
      <c r="C10" s="125"/>
      <c r="D10" s="125"/>
      <c r="E10" s="125"/>
      <c r="F10" s="88"/>
      <c r="G10" s="125"/>
      <c r="H10" s="125"/>
      <c r="I10" s="125"/>
      <c r="J10" s="125"/>
      <c r="K10" s="125"/>
      <c r="L10" s="125"/>
      <c r="M10" s="125"/>
      <c r="N10" s="124"/>
      <c r="O10" s="119"/>
      <c r="P10" s="119"/>
    </row>
    <row r="11" spans="1:16" ht="15" customHeight="1" thickBot="1">
      <c r="A11" s="118"/>
      <c r="B11" s="129"/>
      <c r="C11" s="280" t="s">
        <v>584</v>
      </c>
      <c r="D11" s="276"/>
      <c r="E11" s="276"/>
      <c r="F11" s="277"/>
      <c r="G11" s="278"/>
      <c r="H11" s="210"/>
      <c r="I11" s="280" t="s">
        <v>41</v>
      </c>
      <c r="J11" s="276"/>
      <c r="K11" s="280"/>
      <c r="L11" s="276"/>
      <c r="M11" s="280"/>
      <c r="N11" s="124"/>
      <c r="O11" s="119"/>
      <c r="P11" s="119"/>
    </row>
    <row r="12" spans="1:16" ht="15" customHeight="1" thickBot="1">
      <c r="A12" s="118"/>
      <c r="B12" s="123"/>
      <c r="C12" s="17" t="str">
        <f xml:space="preserve"> "Чистая приведенная стоимость (NPV)"</f>
        <v>Чистая приведенная стоимость (NPV)</v>
      </c>
      <c r="D12" s="10"/>
      <c r="E12" s="10"/>
      <c r="F12" s="142" t="s">
        <v>292</v>
      </c>
      <c r="G12" s="275">
        <f ca="1">NPV / 1000</f>
        <v>2872.4861902732218</v>
      </c>
      <c r="H12" s="210"/>
      <c r="I12" s="17" t="s">
        <v>42</v>
      </c>
      <c r="J12" s="210"/>
      <c r="K12" s="210"/>
      <c r="L12" s="210"/>
      <c r="M12" s="274">
        <f ca="1" xml:space="preserve"> Проверки!C9</f>
        <v>0</v>
      </c>
      <c r="N12" s="124"/>
      <c r="O12" s="119"/>
      <c r="P12" s="119"/>
    </row>
    <row r="13" spans="1:16" ht="15" customHeight="1" thickBot="1">
      <c r="A13" s="118"/>
      <c r="B13" s="123"/>
      <c r="C13" s="17" t="s">
        <v>293</v>
      </c>
      <c r="D13" s="10"/>
      <c r="E13" s="10"/>
      <c r="F13" s="142" t="s">
        <v>28</v>
      </c>
      <c r="G13" s="214">
        <f ca="1" xml:space="preserve"> IRR</f>
        <v>0.19090007845891566</v>
      </c>
      <c r="H13" s="210"/>
      <c r="I13" s="17" t="s">
        <v>351</v>
      </c>
      <c r="J13" s="210"/>
      <c r="K13" s="210"/>
      <c r="L13" s="210"/>
      <c r="M13" s="274">
        <f ca="1" xml:space="preserve"> Проверки!C10</f>
        <v>0</v>
      </c>
      <c r="N13" s="124"/>
      <c r="O13" s="119"/>
      <c r="P13" s="119"/>
    </row>
    <row r="14" spans="1:16" ht="15" customHeight="1" thickBot="1">
      <c r="A14" s="117"/>
      <c r="B14" s="123"/>
      <c r="C14" s="17" t="s">
        <v>220</v>
      </c>
      <c r="D14" s="10"/>
      <c r="E14" s="10"/>
      <c r="F14" s="142" t="s">
        <v>123</v>
      </c>
      <c r="G14" s="215">
        <f ca="1">PBP</f>
        <v>8.6865337828050446</v>
      </c>
      <c r="H14" s="210"/>
      <c r="I14" s="17" t="s">
        <v>352</v>
      </c>
      <c r="J14" s="210"/>
      <c r="K14" s="210"/>
      <c r="L14" s="210"/>
      <c r="M14" s="274">
        <f ca="1" xml:space="preserve"> Проверки!C11</f>
        <v>0</v>
      </c>
      <c r="N14" s="124"/>
      <c r="O14" s="119"/>
      <c r="P14" s="119"/>
    </row>
    <row r="15" spans="1:16" ht="15" customHeight="1" thickBot="1">
      <c r="A15" s="117"/>
      <c r="B15" s="123"/>
      <c r="C15" s="17" t="s">
        <v>225</v>
      </c>
      <c r="D15" s="10"/>
      <c r="E15" s="10"/>
      <c r="F15" s="142" t="s">
        <v>123</v>
      </c>
      <c r="G15" s="215">
        <f ca="1" xml:space="preserve"> Расчеты!E1339</f>
        <v>10.66336275022463</v>
      </c>
      <c r="H15" s="210"/>
      <c r="I15" s="17" t="s">
        <v>353</v>
      </c>
      <c r="J15" s="210"/>
      <c r="K15" s="210"/>
      <c r="L15" s="210"/>
      <c r="M15" s="274">
        <f ca="1" xml:space="preserve"> Проверки!C12</f>
        <v>0</v>
      </c>
      <c r="N15" s="124"/>
      <c r="O15" s="119"/>
      <c r="P15" s="119"/>
    </row>
    <row r="16" spans="1:16" ht="15" customHeight="1" thickBot="1">
      <c r="A16" s="117"/>
      <c r="B16" s="123"/>
      <c r="C16" s="17"/>
      <c r="D16" s="10"/>
      <c r="E16" s="10"/>
      <c r="F16" s="142"/>
      <c r="G16" s="212"/>
      <c r="H16" s="210"/>
      <c r="I16" s="17" t="s">
        <v>43</v>
      </c>
      <c r="J16" s="210"/>
      <c r="K16" s="210"/>
      <c r="L16" s="210"/>
      <c r="M16" s="274">
        <f ca="1" xml:space="preserve"> Проверки!C13</f>
        <v>0</v>
      </c>
      <c r="N16" s="124"/>
      <c r="O16" s="119"/>
      <c r="P16" s="119"/>
    </row>
    <row r="17" spans="1:16" ht="15" customHeight="1" thickBot="1">
      <c r="A17" s="117"/>
      <c r="B17" s="129"/>
      <c r="C17" s="280" t="s">
        <v>585</v>
      </c>
      <c r="D17" s="276"/>
      <c r="E17" s="276"/>
      <c r="F17" s="279"/>
      <c r="G17" s="279"/>
      <c r="H17" s="210"/>
      <c r="I17" s="17" t="s">
        <v>350</v>
      </c>
      <c r="J17" s="210"/>
      <c r="K17" s="210"/>
      <c r="L17" s="210"/>
      <c r="M17" s="274">
        <f ca="1" xml:space="preserve"> Проверки!C14</f>
        <v>0</v>
      </c>
      <c r="N17" s="124"/>
      <c r="O17" s="119"/>
      <c r="P17" s="119"/>
    </row>
    <row r="18" spans="1:16" ht="15" customHeight="1" thickBot="1">
      <c r="A18" s="117"/>
      <c r="B18" s="129"/>
      <c r="C18" s="17" t="str">
        <f xml:space="preserve"> "Чистая приведенная стоимость (NPV Equity)"</f>
        <v>Чистая приведенная стоимость (NPV Equity)</v>
      </c>
      <c r="D18" s="10"/>
      <c r="E18" s="10"/>
      <c r="F18" s="142" t="s">
        <v>292</v>
      </c>
      <c r="G18" s="213">
        <f ca="1" xml:space="preserve"> NPV_Equity / 1000</f>
        <v>7.0829500253420363</v>
      </c>
      <c r="H18" s="210"/>
      <c r="I18" s="17" t="s">
        <v>268</v>
      </c>
      <c r="J18" s="210"/>
      <c r="K18" s="210"/>
      <c r="L18" s="210"/>
      <c r="M18" s="274">
        <f ca="1" xml:space="preserve"> Проверки!C15</f>
        <v>0</v>
      </c>
      <c r="N18" s="124"/>
      <c r="O18" s="119"/>
      <c r="P18" s="119"/>
    </row>
    <row r="19" spans="1:16" ht="15" customHeight="1" thickBot="1">
      <c r="A19" s="117"/>
      <c r="B19" s="123"/>
      <c r="C19" s="17" t="s">
        <v>586</v>
      </c>
      <c r="D19" s="10"/>
      <c r="E19" s="10"/>
      <c r="F19" s="142" t="s">
        <v>28</v>
      </c>
      <c r="G19" s="214">
        <f ca="1" xml:space="preserve"> IRR_Equity</f>
        <v>0.23776266093536091</v>
      </c>
      <c r="H19" s="210"/>
      <c r="I19" s="17" t="s">
        <v>297</v>
      </c>
      <c r="J19" s="210"/>
      <c r="K19" s="210"/>
      <c r="L19" s="210"/>
      <c r="M19" s="274">
        <f ca="1" xml:space="preserve"> Проверки!C16</f>
        <v>0</v>
      </c>
      <c r="N19" s="124"/>
      <c r="O19" s="119"/>
      <c r="P19" s="119"/>
    </row>
    <row r="20" spans="1:16" ht="15" customHeight="1" thickBot="1">
      <c r="A20" s="117"/>
      <c r="B20" s="123"/>
      <c r="C20" s="17" t="s">
        <v>587</v>
      </c>
      <c r="D20" s="10"/>
      <c r="E20" s="10"/>
      <c r="F20" s="142" t="s">
        <v>123</v>
      </c>
      <c r="G20" s="215">
        <f ca="1" xml:space="preserve"> PBP_Equity</f>
        <v>9.2009524839054535</v>
      </c>
      <c r="H20" s="210"/>
      <c r="I20" s="17" t="s">
        <v>354</v>
      </c>
      <c r="J20" s="210"/>
      <c r="K20" s="210"/>
      <c r="L20" s="210"/>
      <c r="M20" s="274">
        <f ca="1" xml:space="preserve"> Проверки!C17</f>
        <v>0</v>
      </c>
      <c r="N20" s="124"/>
      <c r="O20" s="119"/>
      <c r="P20" s="119"/>
    </row>
    <row r="21" spans="1:16" ht="15" customHeight="1" thickBot="1">
      <c r="A21" s="117"/>
      <c r="B21" s="123"/>
      <c r="C21" s="17" t="s">
        <v>588</v>
      </c>
      <c r="D21" s="10"/>
      <c r="E21" s="10"/>
      <c r="F21" s="142" t="s">
        <v>123</v>
      </c>
      <c r="G21" s="215" t="str">
        <f ca="1" xml:space="preserve"> Расчеты!E1377</f>
        <v>н.пр.</v>
      </c>
      <c r="H21" s="210"/>
      <c r="I21" s="17" t="s">
        <v>596</v>
      </c>
      <c r="J21" s="210"/>
      <c r="K21" s="210"/>
      <c r="L21" s="210"/>
      <c r="M21" s="273" t="b">
        <f ca="1" xml:space="preserve"> Overall_Check</f>
        <v>1</v>
      </c>
      <c r="N21" s="124"/>
      <c r="O21" s="119"/>
      <c r="P21" s="119"/>
    </row>
    <row r="22" spans="1:16" ht="15" customHeight="1">
      <c r="A22" s="117"/>
      <c r="B22" s="126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8"/>
      <c r="O22" s="119"/>
      <c r="P22" s="119"/>
    </row>
    <row r="23" spans="1:16" ht="15" customHeight="1">
      <c r="A23" s="117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9"/>
      <c r="P23" s="119"/>
    </row>
    <row r="24" spans="1:16" ht="25.15" customHeight="1">
      <c r="A24" s="117"/>
      <c r="B24" s="120"/>
      <c r="C24" s="121" t="s">
        <v>784</v>
      </c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2"/>
      <c r="O24" s="119"/>
      <c r="P24" s="119"/>
    </row>
    <row r="25" spans="1:16" s="133" customFormat="1" ht="15" customHeight="1">
      <c r="A25" s="283"/>
      <c r="B25" s="284"/>
      <c r="C25" s="285"/>
      <c r="D25" s="285"/>
      <c r="E25" s="285"/>
      <c r="F25" s="285"/>
      <c r="G25" s="292"/>
      <c r="H25" s="285"/>
      <c r="I25" s="292"/>
      <c r="J25" s="292"/>
      <c r="K25" s="292"/>
      <c r="L25" s="292"/>
      <c r="M25" s="292"/>
      <c r="N25" s="286"/>
      <c r="O25" s="282"/>
      <c r="P25" s="282"/>
    </row>
    <row r="26" spans="1:16" s="133" customFormat="1" ht="15" customHeight="1" thickBot="1">
      <c r="A26" s="283"/>
      <c r="B26" s="284"/>
      <c r="C26" s="280" t="s">
        <v>843</v>
      </c>
      <c r="D26" s="291"/>
      <c r="E26" s="291"/>
      <c r="F26" s="285"/>
      <c r="G26" s="290">
        <v>1</v>
      </c>
      <c r="H26" s="285"/>
      <c r="I26" s="467">
        <v>1</v>
      </c>
      <c r="J26" s="467">
        <v>2</v>
      </c>
      <c r="K26" s="467">
        <v>3</v>
      </c>
      <c r="L26" s="467">
        <v>4</v>
      </c>
      <c r="M26" s="467">
        <v>5</v>
      </c>
      <c r="N26" s="286"/>
      <c r="O26" s="282"/>
      <c r="P26" s="282"/>
    </row>
    <row r="27" spans="1:16" s="133" customFormat="1" ht="15" customHeight="1">
      <c r="A27" s="283"/>
      <c r="B27" s="284"/>
      <c r="C27" s="285"/>
      <c r="D27" s="285"/>
      <c r="E27" s="285"/>
      <c r="F27" s="285"/>
      <c r="G27" s="285"/>
      <c r="H27" s="285"/>
      <c r="I27" s="285"/>
      <c r="J27" s="285"/>
      <c r="K27" s="285"/>
      <c r="L27" s="285"/>
      <c r="M27" s="285"/>
      <c r="N27" s="286"/>
      <c r="O27" s="282"/>
      <c r="P27" s="282"/>
    </row>
    <row r="28" spans="1:16" s="133" customFormat="1" ht="15" customHeight="1">
      <c r="A28" s="283"/>
      <c r="B28" s="284"/>
      <c r="C28" s="293" t="s">
        <v>844</v>
      </c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86"/>
      <c r="O28" s="282"/>
      <c r="P28" s="282"/>
    </row>
    <row r="29" spans="1:16" s="133" customFormat="1" ht="15" customHeight="1" thickBot="1">
      <c r="A29" s="283"/>
      <c r="B29" s="284"/>
      <c r="C29" s="285"/>
      <c r="D29" s="285"/>
      <c r="E29" s="285"/>
      <c r="F29" s="285"/>
      <c r="G29" s="285"/>
      <c r="H29" s="285"/>
      <c r="I29" s="285"/>
      <c r="J29" s="285"/>
      <c r="K29" s="285"/>
      <c r="L29" s="285"/>
      <c r="M29" s="285"/>
      <c r="N29" s="286"/>
      <c r="O29" s="282"/>
      <c r="P29" s="282"/>
    </row>
    <row r="30" spans="1:16" s="133" customFormat="1" ht="15" customHeight="1" thickBot="1">
      <c r="A30" s="283"/>
      <c r="B30" s="284"/>
      <c r="C30" s="442" t="str">
        <f>Предпосылки!C84</f>
        <v>Объект размещения (отель)</v>
      </c>
      <c r="D30" s="285"/>
      <c r="E30" s="285"/>
      <c r="F30" s="285"/>
      <c r="G30" s="398" t="str">
        <f>CHOOSE(SC_Global,I30,J30,K30,L30,M30)</f>
        <v>в проекте</v>
      </c>
      <c r="H30" s="9"/>
      <c r="I30" s="303" t="s">
        <v>845</v>
      </c>
      <c r="J30" s="303" t="s">
        <v>877</v>
      </c>
      <c r="K30" s="303" t="s">
        <v>877</v>
      </c>
      <c r="L30" s="303" t="s">
        <v>877</v>
      </c>
      <c r="M30" s="303" t="s">
        <v>877</v>
      </c>
      <c r="N30" s="286"/>
      <c r="O30" s="282"/>
      <c r="P30" s="282"/>
    </row>
    <row r="31" spans="1:16" s="133" customFormat="1" ht="15" customHeight="1" thickBot="1">
      <c r="A31" s="283"/>
      <c r="B31" s="284"/>
      <c r="C31" s="443" t="str">
        <f xml:space="preserve"> Предпосылки!C134</f>
        <v>Развлекательный комплекс</v>
      </c>
      <c r="D31" s="285"/>
      <c r="E31" s="285"/>
      <c r="F31" s="285"/>
      <c r="G31" s="398" t="str">
        <f>CHOOSE(SC_Global,I31,J31,K31,L31,M31)</f>
        <v>в проекте</v>
      </c>
      <c r="H31" s="9"/>
      <c r="I31" s="303" t="s">
        <v>845</v>
      </c>
      <c r="J31" s="303" t="s">
        <v>877</v>
      </c>
      <c r="K31" s="303" t="s">
        <v>877</v>
      </c>
      <c r="L31" s="303" t="s">
        <v>877</v>
      </c>
      <c r="M31" s="303" t="s">
        <v>877</v>
      </c>
      <c r="N31" s="286"/>
      <c r="O31" s="282"/>
      <c r="P31" s="282"/>
    </row>
    <row r="32" spans="1:16" s="133" customFormat="1" ht="15" customHeight="1" thickBot="1">
      <c r="A32" s="283"/>
      <c r="B32" s="284"/>
      <c r="C32" s="444" t="str">
        <f xml:space="preserve"> Предпосылки!C142</f>
        <v>Крытый парк развлечений</v>
      </c>
      <c r="D32" s="285"/>
      <c r="E32" s="285"/>
      <c r="F32" s="285"/>
      <c r="G32" s="398" t="str">
        <f>CHOOSE(SC_Global,I32,J32,K32,L32,M32)</f>
        <v>в проекте</v>
      </c>
      <c r="H32" s="9"/>
      <c r="I32" s="303" t="s">
        <v>845</v>
      </c>
      <c r="J32" s="303" t="s">
        <v>877</v>
      </c>
      <c r="K32" s="303" t="s">
        <v>877</v>
      </c>
      <c r="L32" s="303" t="s">
        <v>877</v>
      </c>
      <c r="M32" s="303" t="s">
        <v>877</v>
      </c>
      <c r="N32" s="286"/>
      <c r="O32" s="282"/>
      <c r="P32" s="282"/>
    </row>
    <row r="33" spans="1:16" s="133" customFormat="1" ht="15" customHeight="1" thickBot="1">
      <c r="A33" s="283"/>
      <c r="B33" s="284"/>
      <c r="C33" s="9"/>
      <c r="D33" s="9"/>
      <c r="E33" s="9"/>
      <c r="F33" s="9"/>
      <c r="G33" s="9"/>
      <c r="H33" s="9"/>
      <c r="I33" s="304"/>
      <c r="J33" s="304"/>
      <c r="K33" s="304"/>
      <c r="L33" s="304"/>
      <c r="M33" s="304"/>
      <c r="N33" s="286"/>
      <c r="O33" s="282"/>
      <c r="P33" s="282"/>
    </row>
    <row r="34" spans="1:16" s="133" customFormat="1" ht="15" customHeight="1" thickBot="1">
      <c r="A34" s="283"/>
      <c r="B34" s="284"/>
      <c r="C34" s="9" t="s">
        <v>1188</v>
      </c>
      <c r="D34" s="9"/>
      <c r="E34" s="9"/>
      <c r="F34" s="9"/>
      <c r="G34" s="215" t="str">
        <f>CHOOSE(SC_Global,I34,J34,K34,L34,M34)</f>
        <v>да</v>
      </c>
      <c r="H34" s="9"/>
      <c r="I34" s="303" t="s">
        <v>846</v>
      </c>
      <c r="J34" s="303" t="s">
        <v>846</v>
      </c>
      <c r="K34" s="303" t="s">
        <v>1035</v>
      </c>
      <c r="L34" s="303" t="s">
        <v>1035</v>
      </c>
      <c r="M34" s="303" t="s">
        <v>1035</v>
      </c>
      <c r="N34" s="286"/>
      <c r="O34" s="282"/>
      <c r="P34" s="282"/>
    </row>
    <row r="35" spans="1:16" s="133" customFormat="1" ht="15" customHeight="1">
      <c r="A35" s="283"/>
      <c r="B35" s="284"/>
      <c r="C35" s="285"/>
      <c r="D35" s="285"/>
      <c r="E35" s="285"/>
      <c r="F35" s="285"/>
      <c r="G35" s="285"/>
      <c r="H35" s="285"/>
      <c r="I35" s="285"/>
      <c r="J35" s="285"/>
      <c r="K35" s="285"/>
      <c r="L35" s="285"/>
      <c r="M35" s="285"/>
      <c r="N35" s="286"/>
      <c r="O35" s="282"/>
      <c r="P35" s="282"/>
    </row>
    <row r="36" spans="1:16" s="133" customFormat="1" ht="15" customHeight="1">
      <c r="A36" s="283"/>
      <c r="B36" s="284"/>
      <c r="C36" s="293" t="s">
        <v>898</v>
      </c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86"/>
      <c r="O36" s="282"/>
      <c r="P36" s="282"/>
    </row>
    <row r="37" spans="1:16" s="133" customFormat="1" ht="15" customHeight="1" thickBot="1">
      <c r="A37" s="283"/>
      <c r="B37" s="284"/>
      <c r="C37" s="285"/>
      <c r="D37" s="285"/>
      <c r="E37" s="285"/>
      <c r="F37" s="285"/>
      <c r="G37" s="285"/>
      <c r="H37" s="285"/>
      <c r="I37" s="285"/>
      <c r="J37" s="285"/>
      <c r="K37" s="285"/>
      <c r="L37" s="285"/>
      <c r="M37" s="285"/>
      <c r="N37" s="286"/>
      <c r="O37" s="282"/>
      <c r="P37" s="282"/>
    </row>
    <row r="38" spans="1:16" s="133" customFormat="1" ht="15" customHeight="1" thickBot="1">
      <c r="A38" s="283"/>
      <c r="B38" s="284"/>
      <c r="C38" s="9" t="str">
        <f>"[+/-] Изменение затрат на " &amp; C30</f>
        <v>[+/-] Изменение затрат на Объект размещения (отель)</v>
      </c>
      <c r="D38" s="285"/>
      <c r="E38" s="285"/>
      <c r="F38" s="285"/>
      <c r="G38" s="306">
        <f>CHOOSE(SC_Global,I38,J38,K38,L38,M38)</f>
        <v>0</v>
      </c>
      <c r="H38" s="285"/>
      <c r="I38" s="305">
        <v>0</v>
      </c>
      <c r="J38" s="305">
        <v>-0.2</v>
      </c>
      <c r="K38" s="305">
        <v>-0.2</v>
      </c>
      <c r="L38" s="305">
        <v>-0.2</v>
      </c>
      <c r="M38" s="305">
        <v>-0.2</v>
      </c>
      <c r="N38" s="286"/>
      <c r="O38" s="282"/>
      <c r="P38" s="282"/>
    </row>
    <row r="39" spans="1:16" s="133" customFormat="1" ht="15" customHeight="1" thickBot="1">
      <c r="A39" s="283"/>
      <c r="B39" s="284"/>
      <c r="C39" s="9" t="str">
        <f>"[+/-] Изменение затрат на " &amp; C31</f>
        <v>[+/-] Изменение затрат на Развлекательный комплекс</v>
      </c>
      <c r="D39" s="285"/>
      <c r="E39" s="285"/>
      <c r="F39" s="285"/>
      <c r="G39" s="306">
        <f>CHOOSE(SC_Global,I39,J39,K39,L39,M39)</f>
        <v>0</v>
      </c>
      <c r="H39" s="285"/>
      <c r="I39" s="305">
        <v>0</v>
      </c>
      <c r="J39" s="305">
        <v>-0.2</v>
      </c>
      <c r="K39" s="305">
        <v>-0.2</v>
      </c>
      <c r="L39" s="305">
        <v>-0.2</v>
      </c>
      <c r="M39" s="305">
        <v>-0.2</v>
      </c>
      <c r="N39" s="286"/>
      <c r="O39" s="282"/>
      <c r="P39" s="282"/>
    </row>
    <row r="40" spans="1:16" s="133" customFormat="1" ht="15" customHeight="1" thickBot="1">
      <c r="A40" s="283"/>
      <c r="B40" s="284"/>
      <c r="C40" s="9" t="str">
        <f>"[+/-] Изменение затрат на " &amp; C32</f>
        <v>[+/-] Изменение затрат на Крытый парк развлечений</v>
      </c>
      <c r="D40" s="285"/>
      <c r="E40" s="285"/>
      <c r="F40" s="285"/>
      <c r="G40" s="306">
        <f>CHOOSE(SC_Global,I40,J40,K40,L40,M40)</f>
        <v>0</v>
      </c>
      <c r="H40" s="285"/>
      <c r="I40" s="305">
        <v>0</v>
      </c>
      <c r="J40" s="305">
        <v>-0.2</v>
      </c>
      <c r="K40" s="305">
        <v>-0.2</v>
      </c>
      <c r="L40" s="305">
        <v>-0.2</v>
      </c>
      <c r="M40" s="305">
        <v>-0.2</v>
      </c>
      <c r="N40" s="286"/>
      <c r="O40" s="282"/>
      <c r="P40" s="282"/>
    </row>
    <row r="41" spans="1:16" s="133" customFormat="1" ht="15" customHeight="1" thickBot="1">
      <c r="A41" s="283"/>
      <c r="B41" s="284"/>
      <c r="C41" s="285"/>
      <c r="D41" s="285"/>
      <c r="E41" s="285"/>
      <c r="F41" s="285"/>
      <c r="G41" s="285"/>
      <c r="H41" s="285"/>
      <c r="I41" s="285"/>
      <c r="J41" s="285"/>
      <c r="K41" s="285"/>
      <c r="L41" s="285"/>
      <c r="M41" s="285"/>
      <c r="N41" s="286"/>
      <c r="O41" s="282"/>
      <c r="P41" s="282"/>
    </row>
    <row r="42" spans="1:16" s="133" customFormat="1" ht="15" customHeight="1" thickBot="1">
      <c r="A42" s="283"/>
      <c r="B42" s="284"/>
      <c r="C42" s="448" t="str">
        <f>Предпосылки!C66</f>
        <v>Транспортная инфраструктура</v>
      </c>
      <c r="D42" s="285"/>
      <c r="E42" s="285"/>
      <c r="F42" s="285"/>
      <c r="G42" s="397">
        <f>CHOOSE(SC_Global,I42,J42,K42,L42,M42)</f>
        <v>0</v>
      </c>
      <c r="H42" s="285"/>
      <c r="I42" s="305">
        <v>0</v>
      </c>
      <c r="J42" s="305">
        <v>-0.2</v>
      </c>
      <c r="K42" s="305">
        <v>-0.2</v>
      </c>
      <c r="L42" s="305">
        <v>-0.2</v>
      </c>
      <c r="M42" s="305">
        <v>-0.2</v>
      </c>
      <c r="N42" s="286"/>
      <c r="O42" s="282"/>
      <c r="P42" s="282"/>
    </row>
    <row r="43" spans="1:16" s="133" customFormat="1" ht="15" customHeight="1" thickBot="1">
      <c r="A43" s="283"/>
      <c r="B43" s="284"/>
      <c r="C43" s="448" t="str">
        <f>Предпосылки!C72</f>
        <v>Коммунальная инфраструктура</v>
      </c>
      <c r="D43" s="285"/>
      <c r="E43" s="285"/>
      <c r="F43" s="285"/>
      <c r="G43" s="397">
        <f>CHOOSE(SC_Global,I43,J43,K43,L43,M43)</f>
        <v>0</v>
      </c>
      <c r="H43" s="285"/>
      <c r="I43" s="305">
        <v>0</v>
      </c>
      <c r="J43" s="305">
        <v>-0.2</v>
      </c>
      <c r="K43" s="305">
        <v>-0.2</v>
      </c>
      <c r="L43" s="305">
        <v>-0.2</v>
      </c>
      <c r="M43" s="305">
        <v>-0.2</v>
      </c>
      <c r="N43" s="286"/>
      <c r="O43" s="282"/>
      <c r="P43" s="282"/>
    </row>
    <row r="44" spans="1:16" s="133" customFormat="1" ht="15" customHeight="1" thickBot="1">
      <c r="A44" s="283"/>
      <c r="B44" s="284"/>
      <c r="C44" s="448" t="str">
        <f>Предпосылки!C80</f>
        <v>Прочая обеспечивающая инфраструктура</v>
      </c>
      <c r="D44" s="285"/>
      <c r="E44" s="285"/>
      <c r="F44" s="285"/>
      <c r="G44" s="397">
        <f>CHOOSE(SC_Global,I44,J44,K44,L44,M44)</f>
        <v>0</v>
      </c>
      <c r="H44" s="285"/>
      <c r="I44" s="305">
        <v>0</v>
      </c>
      <c r="J44" s="305">
        <v>-0.2</v>
      </c>
      <c r="K44" s="305">
        <v>-0.2</v>
      </c>
      <c r="L44" s="305">
        <v>-0.2</v>
      </c>
      <c r="M44" s="305">
        <v>-0.2</v>
      </c>
      <c r="N44" s="286"/>
      <c r="O44" s="282"/>
      <c r="P44" s="282"/>
    </row>
    <row r="45" spans="1:16" s="133" customFormat="1" ht="15" customHeight="1">
      <c r="A45" s="283"/>
      <c r="B45" s="284"/>
      <c r="C45" s="285"/>
      <c r="D45" s="285"/>
      <c r="E45" s="285"/>
      <c r="F45" s="285"/>
      <c r="G45" s="285"/>
      <c r="H45" s="285"/>
      <c r="I45" s="285"/>
      <c r="J45" s="285"/>
      <c r="K45" s="285"/>
      <c r="L45" s="285"/>
      <c r="M45" s="285"/>
      <c r="N45" s="286"/>
      <c r="O45" s="282"/>
      <c r="P45" s="282"/>
    </row>
    <row r="46" spans="1:16" s="133" customFormat="1" ht="15" customHeight="1">
      <c r="A46" s="283"/>
      <c r="B46" s="284"/>
      <c r="C46" s="293" t="s">
        <v>899</v>
      </c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86"/>
      <c r="O46" s="282"/>
      <c r="P46" s="282"/>
    </row>
    <row r="47" spans="1:16" s="133" customFormat="1" ht="15" customHeight="1" thickBot="1">
      <c r="A47" s="283"/>
      <c r="B47" s="284"/>
      <c r="C47" s="285"/>
      <c r="D47" s="285"/>
      <c r="E47" s="285"/>
      <c r="F47" s="285"/>
      <c r="G47" s="285"/>
      <c r="H47" s="285"/>
      <c r="I47" s="285"/>
      <c r="J47" s="285"/>
      <c r="K47" s="285"/>
      <c r="L47" s="285"/>
      <c r="M47" s="285"/>
      <c r="N47" s="286"/>
      <c r="O47" s="282"/>
      <c r="P47" s="282"/>
    </row>
    <row r="48" spans="1:16" s="133" customFormat="1" ht="15" customHeight="1" thickBot="1">
      <c r="A48" s="283"/>
      <c r="B48" s="284"/>
      <c r="C48" s="9" t="str">
        <f>"[+/-] Изменение выручки " &amp; C30</f>
        <v>[+/-] Изменение выручки Объект размещения (отель)</v>
      </c>
      <c r="D48" s="285"/>
      <c r="E48" s="285"/>
      <c r="F48" s="285"/>
      <c r="G48" s="306">
        <f>CHOOSE(SC_Global,I48,J48,K48,L48,M48)</f>
        <v>0</v>
      </c>
      <c r="H48" s="285"/>
      <c r="I48" s="305">
        <v>0</v>
      </c>
      <c r="J48" s="305">
        <v>0.2</v>
      </c>
      <c r="K48" s="305">
        <v>0.2</v>
      </c>
      <c r="L48" s="305">
        <v>0.2</v>
      </c>
      <c r="M48" s="305">
        <v>0.2</v>
      </c>
      <c r="N48" s="286"/>
      <c r="O48" s="282"/>
      <c r="P48" s="282"/>
    </row>
    <row r="49" spans="1:16" s="133" customFormat="1" ht="14.65" customHeight="1" thickBot="1">
      <c r="A49" s="283"/>
      <c r="B49" s="284"/>
      <c r="C49" s="9" t="str">
        <f>"[+/-] Изменение выручки " &amp; C31</f>
        <v>[+/-] Изменение выручки Развлекательный комплекс</v>
      </c>
      <c r="D49" s="285"/>
      <c r="E49" s="285"/>
      <c r="F49" s="285"/>
      <c r="G49" s="306">
        <f>CHOOSE(SC_Global,I49,J49,K49,L49,M49)</f>
        <v>0</v>
      </c>
      <c r="H49" s="285"/>
      <c r="I49" s="305">
        <v>0</v>
      </c>
      <c r="J49" s="305">
        <v>0.2</v>
      </c>
      <c r="K49" s="305">
        <v>0.2</v>
      </c>
      <c r="L49" s="305">
        <v>0.2</v>
      </c>
      <c r="M49" s="305">
        <v>0.2</v>
      </c>
      <c r="N49" s="286"/>
      <c r="O49" s="282"/>
      <c r="P49" s="282"/>
    </row>
    <row r="50" spans="1:16" s="133" customFormat="1" ht="14.65" customHeight="1" thickBot="1">
      <c r="A50" s="283"/>
      <c r="B50" s="284"/>
      <c r="C50" s="9" t="str">
        <f>"[+/-] Изменение выручки " &amp; C32</f>
        <v>[+/-] Изменение выручки Крытый парк развлечений</v>
      </c>
      <c r="D50" s="285"/>
      <c r="E50" s="285"/>
      <c r="F50" s="285"/>
      <c r="G50" s="306">
        <f>CHOOSE(SC_Global,I50,J50,K50,L50,M50)</f>
        <v>0</v>
      </c>
      <c r="H50" s="285"/>
      <c r="I50" s="305">
        <v>0</v>
      </c>
      <c r="J50" s="305">
        <v>0.2</v>
      </c>
      <c r="K50" s="305">
        <v>0.2</v>
      </c>
      <c r="L50" s="305">
        <v>0.2</v>
      </c>
      <c r="M50" s="305">
        <v>0.2</v>
      </c>
      <c r="N50" s="286"/>
      <c r="O50" s="282"/>
      <c r="P50" s="282"/>
    </row>
    <row r="51" spans="1:16" s="133" customFormat="1" ht="14.65" customHeight="1">
      <c r="A51" s="283"/>
      <c r="B51" s="284"/>
      <c r="C51" s="285"/>
      <c r="D51" s="285"/>
      <c r="E51" s="285"/>
      <c r="F51" s="285"/>
      <c r="G51" s="285"/>
      <c r="H51" s="285"/>
      <c r="I51" s="285"/>
      <c r="J51" s="285"/>
      <c r="K51" s="285"/>
      <c r="L51" s="285"/>
      <c r="M51" s="285"/>
      <c r="N51" s="286"/>
      <c r="O51" s="282"/>
      <c r="P51" s="282"/>
    </row>
    <row r="52" spans="1:16" s="133" customFormat="1" ht="15" customHeight="1">
      <c r="A52" s="283"/>
      <c r="B52" s="284"/>
      <c r="C52" s="293" t="s">
        <v>900</v>
      </c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86"/>
      <c r="O52" s="282"/>
      <c r="P52" s="282"/>
    </row>
    <row r="53" spans="1:16" s="133" customFormat="1" ht="15" customHeight="1" thickBot="1">
      <c r="A53" s="283"/>
      <c r="B53" s="284"/>
      <c r="C53" s="285"/>
      <c r="D53" s="285"/>
      <c r="E53" s="285"/>
      <c r="F53" s="285"/>
      <c r="G53" s="285"/>
      <c r="H53" s="285"/>
      <c r="I53" s="285"/>
      <c r="J53" s="285"/>
      <c r="K53" s="285"/>
      <c r="L53" s="285"/>
      <c r="M53" s="285"/>
      <c r="N53" s="286"/>
      <c r="O53" s="282"/>
      <c r="P53" s="282"/>
    </row>
    <row r="54" spans="1:16" s="133" customFormat="1" ht="15" customHeight="1" thickBot="1">
      <c r="A54" s="283"/>
      <c r="B54" s="284"/>
      <c r="C54" s="9" t="str">
        <f>"[+/-] Изменение затрат на " &amp; C30</f>
        <v>[+/-] Изменение затрат на Объект размещения (отель)</v>
      </c>
      <c r="D54" s="285"/>
      <c r="E54" s="285"/>
      <c r="F54" s="285"/>
      <c r="G54" s="306">
        <f>CHOOSE(SC_Global,I54,J54,K54,L54,M54)</f>
        <v>0</v>
      </c>
      <c r="H54" s="285"/>
      <c r="I54" s="305">
        <v>0</v>
      </c>
      <c r="J54" s="305">
        <v>-0.2</v>
      </c>
      <c r="K54" s="305">
        <v>-0.2</v>
      </c>
      <c r="L54" s="305">
        <v>-0.2</v>
      </c>
      <c r="M54" s="305">
        <v>-0.2</v>
      </c>
      <c r="N54" s="286"/>
      <c r="O54" s="282"/>
      <c r="P54" s="282"/>
    </row>
    <row r="55" spans="1:16" s="133" customFormat="1" ht="15" customHeight="1" thickBot="1">
      <c r="A55" s="283"/>
      <c r="B55" s="284"/>
      <c r="C55" s="9" t="str">
        <f>"[+/-] Изменение затрат на " &amp; C31</f>
        <v>[+/-] Изменение затрат на Развлекательный комплекс</v>
      </c>
      <c r="D55" s="285"/>
      <c r="E55" s="285"/>
      <c r="F55" s="285"/>
      <c r="G55" s="306">
        <f>CHOOSE(SC_Global,I55,J55,K55,L55,M55)</f>
        <v>0</v>
      </c>
      <c r="H55" s="285"/>
      <c r="I55" s="305">
        <v>0</v>
      </c>
      <c r="J55" s="305">
        <v>-0.2</v>
      </c>
      <c r="K55" s="305">
        <v>-0.2</v>
      </c>
      <c r="L55" s="305">
        <v>-0.2</v>
      </c>
      <c r="M55" s="305">
        <v>-0.2</v>
      </c>
      <c r="N55" s="286"/>
      <c r="O55" s="282"/>
      <c r="P55" s="282"/>
    </row>
    <row r="56" spans="1:16" s="133" customFormat="1" ht="15" customHeight="1" thickBot="1">
      <c r="A56" s="283"/>
      <c r="B56" s="284"/>
      <c r="C56" s="9" t="str">
        <f>"[+/-] Изменение затрат на " &amp; C32</f>
        <v>[+/-] Изменение затрат на Крытый парк развлечений</v>
      </c>
      <c r="D56" s="285"/>
      <c r="E56" s="285"/>
      <c r="F56" s="285"/>
      <c r="G56" s="306">
        <f>CHOOSE(SC_Global,I56,J56,K56,L56,M56)</f>
        <v>0</v>
      </c>
      <c r="H56" s="285"/>
      <c r="I56" s="305">
        <v>0</v>
      </c>
      <c r="J56" s="305">
        <v>-0.2</v>
      </c>
      <c r="K56" s="305">
        <v>-0.2</v>
      </c>
      <c r="L56" s="305">
        <v>-0.2</v>
      </c>
      <c r="M56" s="305">
        <v>-0.2</v>
      </c>
      <c r="N56" s="286"/>
      <c r="O56" s="282"/>
      <c r="P56" s="282"/>
    </row>
    <row r="57" spans="1:16" s="133" customFormat="1" ht="15" customHeight="1" thickBot="1">
      <c r="A57" s="283"/>
      <c r="B57" s="284"/>
      <c r="C57" s="285"/>
      <c r="D57" s="285"/>
      <c r="E57" s="285"/>
      <c r="F57" s="285"/>
      <c r="G57" s="285"/>
      <c r="H57" s="285"/>
      <c r="I57" s="285"/>
      <c r="J57" s="285"/>
      <c r="K57" s="285"/>
      <c r="L57" s="285"/>
      <c r="M57" s="285"/>
      <c r="N57" s="286"/>
      <c r="O57" s="282"/>
      <c r="P57" s="282"/>
    </row>
    <row r="58" spans="1:16" s="133" customFormat="1" ht="15" customHeight="1" thickBot="1">
      <c r="A58" s="283"/>
      <c r="B58" s="284"/>
      <c r="C58" s="9" t="s">
        <v>902</v>
      </c>
      <c r="D58" s="285"/>
      <c r="E58" s="285"/>
      <c r="F58" s="285"/>
      <c r="G58" s="306">
        <f>CHOOSE(SC_Global,I58,J58,K58,L58,M58)</f>
        <v>0</v>
      </c>
      <c r="H58" s="285"/>
      <c r="I58" s="305">
        <v>0</v>
      </c>
      <c r="J58" s="305">
        <v>-0.2</v>
      </c>
      <c r="K58" s="305">
        <v>-0.2</v>
      </c>
      <c r="L58" s="305">
        <v>-0.2</v>
      </c>
      <c r="M58" s="305">
        <v>-0.2</v>
      </c>
      <c r="N58" s="286"/>
      <c r="O58" s="282"/>
      <c r="P58" s="282"/>
    </row>
    <row r="59" spans="1:16" s="133" customFormat="1" ht="15" customHeight="1">
      <c r="A59" s="283"/>
      <c r="B59" s="287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9"/>
      <c r="O59" s="282"/>
      <c r="P59" s="282"/>
    </row>
    <row r="60" spans="1:16" ht="15" customHeight="1">
      <c r="A60" s="117"/>
      <c r="B60" s="117"/>
      <c r="C60" s="117"/>
      <c r="D60" s="117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9"/>
      <c r="P60" s="119"/>
    </row>
    <row r="61" spans="1:16" ht="24.75" customHeight="1">
      <c r="A61" s="117"/>
      <c r="B61" s="120"/>
      <c r="C61" s="121" t="s">
        <v>847</v>
      </c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2"/>
      <c r="O61" s="119"/>
      <c r="P61" s="119"/>
    </row>
    <row r="62" spans="1:16" ht="15" customHeight="1">
      <c r="A62" s="117"/>
      <c r="B62" s="129"/>
      <c r="C62" s="125"/>
      <c r="D62" s="125"/>
      <c r="E62" s="125"/>
      <c r="F62" s="88"/>
      <c r="G62" s="125"/>
      <c r="H62" s="125"/>
      <c r="I62" s="125"/>
      <c r="J62" s="125"/>
      <c r="K62" s="125"/>
      <c r="L62" s="125"/>
      <c r="M62" s="125"/>
      <c r="N62" s="124"/>
      <c r="O62" s="119"/>
      <c r="P62" s="119"/>
    </row>
    <row r="63" spans="1:16" ht="15" customHeight="1">
      <c r="A63" s="117"/>
      <c r="B63" s="129"/>
      <c r="C63" s="293" t="s">
        <v>867</v>
      </c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124"/>
      <c r="O63" s="119"/>
      <c r="P63" s="119"/>
    </row>
    <row r="64" spans="1:16" s="141" customFormat="1" ht="15" customHeight="1" thickBot="1">
      <c r="A64" s="281"/>
      <c r="B64" s="296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297"/>
      <c r="O64" s="298"/>
      <c r="P64" s="298"/>
    </row>
    <row r="65" spans="1:16" s="93" customFormat="1" ht="15" customHeight="1" thickBot="1">
      <c r="A65" s="117"/>
      <c r="B65" s="123"/>
      <c r="C65" s="9" t="str">
        <f>"[1] " &amp; C30</f>
        <v>[1] Объект размещения (отель)</v>
      </c>
      <c r="D65" s="88"/>
      <c r="E65" s="88"/>
      <c r="F65" s="88"/>
      <c r="G65" s="295">
        <f ca="1" xml:space="preserve"> Расчеты!I212</f>
        <v>3059510.6646443531</v>
      </c>
      <c r="H65" s="68"/>
      <c r="I65" s="301">
        <v>4780624.7071368461</v>
      </c>
      <c r="J65" s="301">
        <v>0</v>
      </c>
      <c r="K65" s="301">
        <v>0</v>
      </c>
      <c r="L65" s="301">
        <v>0</v>
      </c>
      <c r="M65" s="301">
        <v>0</v>
      </c>
      <c r="N65" s="299"/>
      <c r="O65" s="300"/>
      <c r="P65" s="300"/>
    </row>
    <row r="66" spans="1:16" s="93" customFormat="1" ht="15" customHeight="1" thickBot="1">
      <c r="A66" s="117"/>
      <c r="B66" s="123"/>
      <c r="C66" s="9" t="str">
        <f>"[2] " &amp; C31</f>
        <v>[2] Развлекательный комплекс</v>
      </c>
      <c r="D66" s="88"/>
      <c r="E66" s="88"/>
      <c r="F66" s="88"/>
      <c r="G66" s="295">
        <f ca="1" xml:space="preserve"> Расчеты!I235</f>
        <v>0</v>
      </c>
      <c r="H66" s="88"/>
      <c r="I66" s="301">
        <v>0</v>
      </c>
      <c r="J66" s="301">
        <v>0</v>
      </c>
      <c r="K66" s="301">
        <v>0</v>
      </c>
      <c r="L66" s="301">
        <v>0</v>
      </c>
      <c r="M66" s="301">
        <v>0</v>
      </c>
      <c r="N66" s="299"/>
      <c r="O66" s="300"/>
      <c r="P66" s="300"/>
    </row>
    <row r="67" spans="1:16" s="93" customFormat="1" ht="15" customHeight="1" thickBot="1">
      <c r="A67" s="117"/>
      <c r="B67" s="123"/>
      <c r="C67" s="9" t="str">
        <f>"[3] " &amp; C32</f>
        <v>[3] Крытый парк развлечений</v>
      </c>
      <c r="D67" s="88"/>
      <c r="E67" s="88"/>
      <c r="F67" s="88"/>
      <c r="G67" s="295">
        <f ca="1" xml:space="preserve"> Расчеты!I258</f>
        <v>0</v>
      </c>
      <c r="H67" s="88"/>
      <c r="I67" s="301">
        <v>0</v>
      </c>
      <c r="J67" s="301">
        <v>0</v>
      </c>
      <c r="K67" s="301">
        <v>0</v>
      </c>
      <c r="L67" s="301">
        <v>0</v>
      </c>
      <c r="M67" s="301">
        <v>0</v>
      </c>
      <c r="N67" s="299"/>
      <c r="O67" s="300"/>
      <c r="P67" s="300"/>
    </row>
    <row r="68" spans="1:16" s="93" customFormat="1" ht="15" customHeight="1" thickBot="1">
      <c r="A68" s="117"/>
      <c r="B68" s="123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299"/>
      <c r="O68" s="300"/>
      <c r="P68" s="300"/>
    </row>
    <row r="69" spans="1:16" s="93" customFormat="1" ht="15" customHeight="1" thickBot="1">
      <c r="A69" s="117"/>
      <c r="B69" s="123"/>
      <c r="C69" s="9" t="s">
        <v>848</v>
      </c>
      <c r="D69" s="88"/>
      <c r="E69" s="88"/>
      <c r="F69" s="88"/>
      <c r="G69" s="295">
        <f ca="1" xml:space="preserve"> Расчеты!I163</f>
        <v>27774.797642991573</v>
      </c>
      <c r="H69" s="88"/>
      <c r="I69" s="301">
        <v>27774.797642991573</v>
      </c>
      <c r="J69" s="301">
        <v>0</v>
      </c>
      <c r="K69" s="301">
        <v>0</v>
      </c>
      <c r="L69" s="301">
        <v>0</v>
      </c>
      <c r="M69" s="301">
        <v>0</v>
      </c>
      <c r="N69" s="299"/>
      <c r="O69" s="300"/>
      <c r="P69" s="300"/>
    </row>
    <row r="70" spans="1:16" s="93" customFormat="1" ht="15" customHeight="1" thickBot="1">
      <c r="A70" s="117"/>
      <c r="B70" s="123"/>
      <c r="C70" s="9" t="s">
        <v>849</v>
      </c>
      <c r="D70" s="88"/>
      <c r="E70" s="88"/>
      <c r="F70" s="88"/>
      <c r="G70" s="295">
        <f ca="1">Расчеты!I170</f>
        <v>0</v>
      </c>
      <c r="H70" s="88"/>
      <c r="I70" s="301">
        <v>0</v>
      </c>
      <c r="J70" s="301">
        <v>0</v>
      </c>
      <c r="K70" s="301">
        <v>0</v>
      </c>
      <c r="L70" s="301">
        <v>0</v>
      </c>
      <c r="M70" s="301">
        <v>0</v>
      </c>
      <c r="N70" s="299"/>
      <c r="O70" s="300"/>
      <c r="P70" s="300"/>
    </row>
    <row r="71" spans="1:16" s="93" customFormat="1" ht="15" customHeight="1" thickBot="1">
      <c r="A71" s="117"/>
      <c r="B71" s="123"/>
      <c r="C71" s="9" t="s">
        <v>850</v>
      </c>
      <c r="D71" s="88"/>
      <c r="E71" s="88"/>
      <c r="F71" s="88"/>
      <c r="G71" s="295">
        <f ca="1">Расчеты!I177</f>
        <v>0</v>
      </c>
      <c r="H71" s="88"/>
      <c r="I71" s="301">
        <v>0</v>
      </c>
      <c r="J71" s="301">
        <v>0</v>
      </c>
      <c r="K71" s="301">
        <v>91734.195390778914</v>
      </c>
      <c r="L71" s="301">
        <v>91734.195390778914</v>
      </c>
      <c r="M71" s="301">
        <v>91734.195390778914</v>
      </c>
      <c r="N71" s="299"/>
      <c r="O71" s="300"/>
      <c r="P71" s="300"/>
    </row>
    <row r="72" spans="1:16" s="93" customFormat="1" ht="15" customHeight="1" thickBot="1">
      <c r="A72" s="117"/>
      <c r="B72" s="123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299"/>
      <c r="O72" s="300"/>
      <c r="P72" s="300"/>
    </row>
    <row r="73" spans="1:16" s="93" customFormat="1" ht="15" customHeight="1" thickBot="1">
      <c r="A73" s="117"/>
      <c r="B73" s="123"/>
      <c r="C73" s="302" t="s">
        <v>853</v>
      </c>
      <c r="D73" s="88"/>
      <c r="E73" s="88"/>
      <c r="F73" s="88"/>
      <c r="G73" s="311">
        <f ca="1">SUM(G65:G67,G69:G71)</f>
        <v>3087285.4622873445</v>
      </c>
      <c r="H73" s="88"/>
      <c r="I73" s="313">
        <v>4808399.504779838</v>
      </c>
      <c r="J73" s="313">
        <v>0</v>
      </c>
      <c r="K73" s="313">
        <v>91734.195390778914</v>
      </c>
      <c r="L73" s="313">
        <v>91734.195390778914</v>
      </c>
      <c r="M73" s="313">
        <v>91734.195390778914</v>
      </c>
      <c r="N73" s="299"/>
      <c r="O73" s="300"/>
      <c r="P73" s="300"/>
    </row>
    <row r="74" spans="1:16" s="93" customFormat="1" ht="15" customHeight="1">
      <c r="A74" s="117"/>
      <c r="B74" s="123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299"/>
      <c r="O74" s="300"/>
      <c r="P74" s="300"/>
    </row>
    <row r="75" spans="1:16" ht="15" customHeight="1">
      <c r="A75" s="117"/>
      <c r="B75" s="129"/>
      <c r="C75" s="293" t="s">
        <v>868</v>
      </c>
      <c r="D75" s="293"/>
      <c r="E75" s="293"/>
      <c r="F75" s="293"/>
      <c r="G75" s="293"/>
      <c r="H75" s="293"/>
      <c r="I75" s="293"/>
      <c r="J75" s="293"/>
      <c r="K75" s="293"/>
      <c r="L75" s="293"/>
      <c r="M75" s="293"/>
      <c r="N75" s="124"/>
      <c r="O75" s="119"/>
      <c r="P75" s="119"/>
    </row>
    <row r="76" spans="1:16" s="93" customFormat="1" ht="15" customHeight="1" thickBot="1">
      <c r="A76" s="117"/>
      <c r="B76" s="123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299"/>
      <c r="O76" s="300"/>
      <c r="P76" s="300"/>
    </row>
    <row r="77" spans="1:16" s="93" customFormat="1" ht="15" customHeight="1" thickBot="1">
      <c r="A77" s="117"/>
      <c r="B77" s="123"/>
      <c r="C77" s="9" t="str">
        <f>C65</f>
        <v>[1] Объект размещения (отель)</v>
      </c>
      <c r="D77" s="88"/>
      <c r="E77" s="88"/>
      <c r="F77" s="88"/>
      <c r="G77" s="295">
        <f ca="1" xml:space="preserve"> Расчеты!I630</f>
        <v>31948941.046733905</v>
      </c>
      <c r="H77" s="88"/>
      <c r="I77" s="301">
        <v>56833816.08920376</v>
      </c>
      <c r="J77" s="301">
        <v>0</v>
      </c>
      <c r="K77" s="301">
        <v>0</v>
      </c>
      <c r="L77" s="301">
        <v>0</v>
      </c>
      <c r="M77" s="301">
        <v>0</v>
      </c>
      <c r="N77" s="299"/>
      <c r="O77" s="300"/>
      <c r="P77" s="300"/>
    </row>
    <row r="78" spans="1:16" s="93" customFormat="1" ht="15" customHeight="1" thickBot="1">
      <c r="A78" s="117"/>
      <c r="B78" s="123"/>
      <c r="C78" s="9" t="str">
        <f>C66</f>
        <v>[2] Развлекательный комплекс</v>
      </c>
      <c r="D78" s="88"/>
      <c r="E78" s="88"/>
      <c r="F78" s="88"/>
      <c r="G78" s="295">
        <f ca="1" xml:space="preserve"> Расчеты!I669</f>
        <v>0</v>
      </c>
      <c r="H78" s="88"/>
      <c r="I78" s="301">
        <v>0</v>
      </c>
      <c r="J78" s="301">
        <v>0</v>
      </c>
      <c r="K78" s="301">
        <v>0</v>
      </c>
      <c r="L78" s="301">
        <v>0</v>
      </c>
      <c r="M78" s="301">
        <v>0</v>
      </c>
      <c r="N78" s="299"/>
      <c r="O78" s="300"/>
      <c r="P78" s="300"/>
    </row>
    <row r="79" spans="1:16" s="93" customFormat="1" ht="15" customHeight="1" thickBot="1">
      <c r="A79" s="117"/>
      <c r="B79" s="123"/>
      <c r="C79" s="9" t="str">
        <f>C67</f>
        <v>[3] Крытый парк развлечений</v>
      </c>
      <c r="D79" s="88"/>
      <c r="E79" s="88"/>
      <c r="F79" s="88"/>
      <c r="G79" s="295">
        <f ca="1" xml:space="preserve"> Расчеты!I680</f>
        <v>0</v>
      </c>
      <c r="H79" s="88"/>
      <c r="I79" s="301">
        <v>0</v>
      </c>
      <c r="J79" s="301">
        <v>0</v>
      </c>
      <c r="K79" s="301">
        <v>0</v>
      </c>
      <c r="L79" s="301">
        <v>0</v>
      </c>
      <c r="M79" s="301">
        <v>0</v>
      </c>
      <c r="N79" s="299"/>
      <c r="O79" s="300"/>
      <c r="P79" s="300"/>
    </row>
    <row r="80" spans="1:16" s="93" customFormat="1" ht="15" customHeight="1" thickBot="1">
      <c r="A80" s="117"/>
      <c r="B80" s="123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299"/>
      <c r="O80" s="300"/>
      <c r="P80" s="300"/>
    </row>
    <row r="81" spans="1:16" s="93" customFormat="1" ht="15" customHeight="1" thickBot="1">
      <c r="A81" s="117"/>
      <c r="B81" s="123"/>
      <c r="C81" s="302" t="s">
        <v>869</v>
      </c>
      <c r="D81" s="88"/>
      <c r="E81" s="88"/>
      <c r="F81" s="88"/>
      <c r="G81" s="311">
        <f ca="1">SUM(G77:G79)</f>
        <v>31948941.046733905</v>
      </c>
      <c r="H81" s="88"/>
      <c r="I81" s="313">
        <v>56833816.08920376</v>
      </c>
      <c r="J81" s="313">
        <v>0</v>
      </c>
      <c r="K81" s="313">
        <v>0</v>
      </c>
      <c r="L81" s="313">
        <v>0</v>
      </c>
      <c r="M81" s="313">
        <v>0</v>
      </c>
      <c r="N81" s="299"/>
      <c r="O81" s="300"/>
      <c r="P81" s="300"/>
    </row>
    <row r="82" spans="1:16" s="93" customFormat="1" ht="15" customHeight="1">
      <c r="A82" s="117"/>
      <c r="B82" s="123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299"/>
      <c r="O82" s="300"/>
      <c r="P82" s="300"/>
    </row>
    <row r="83" spans="1:16" ht="15" customHeight="1">
      <c r="A83" s="117"/>
      <c r="B83" s="129"/>
      <c r="C83" s="293" t="s">
        <v>903</v>
      </c>
      <c r="D83" s="293"/>
      <c r="E83" s="293"/>
      <c r="F83" s="293"/>
      <c r="G83" s="293"/>
      <c r="H83" s="293"/>
      <c r="I83" s="293"/>
      <c r="J83" s="293"/>
      <c r="K83" s="293"/>
      <c r="L83" s="293"/>
      <c r="M83" s="293"/>
      <c r="N83" s="124"/>
      <c r="O83" s="119"/>
      <c r="P83" s="119"/>
    </row>
    <row r="84" spans="1:16" s="93" customFormat="1" ht="15" customHeight="1" thickBot="1">
      <c r="A84" s="117"/>
      <c r="B84" s="123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299"/>
      <c r="O84" s="300"/>
      <c r="P84" s="300"/>
    </row>
    <row r="85" spans="1:16" s="93" customFormat="1" ht="15" customHeight="1" thickBot="1">
      <c r="A85" s="117"/>
      <c r="B85" s="123"/>
      <c r="C85" s="9" t="str">
        <f>C77</f>
        <v>[1] Объект размещения (отель)</v>
      </c>
      <c r="D85" s="88"/>
      <c r="E85" s="88"/>
      <c r="F85" s="88"/>
      <c r="G85" s="295">
        <f ca="1" xml:space="preserve"> Расчеты!I826</f>
        <v>18473399.15159034</v>
      </c>
      <c r="H85" s="68"/>
      <c r="I85" s="301">
        <v>40628339.25008823</v>
      </c>
      <c r="J85" s="301">
        <v>0</v>
      </c>
      <c r="K85" s="301">
        <v>0</v>
      </c>
      <c r="L85" s="301">
        <v>0</v>
      </c>
      <c r="M85" s="301">
        <v>0</v>
      </c>
      <c r="N85" s="299"/>
      <c r="O85" s="300"/>
      <c r="P85" s="300"/>
    </row>
    <row r="86" spans="1:16" s="93" customFormat="1" ht="15" customHeight="1" thickBot="1">
      <c r="A86" s="117"/>
      <c r="B86" s="123"/>
      <c r="C86" s="9" t="str">
        <f>C78</f>
        <v>[2] Развлекательный комплекс</v>
      </c>
      <c r="D86" s="88"/>
      <c r="E86" s="88"/>
      <c r="F86" s="88"/>
      <c r="G86" s="295">
        <f ca="1" xml:space="preserve"> Расчеты!I879</f>
        <v>0</v>
      </c>
      <c r="H86" s="88"/>
      <c r="I86" s="301">
        <v>0</v>
      </c>
      <c r="J86" s="301">
        <v>0</v>
      </c>
      <c r="K86" s="301">
        <v>0</v>
      </c>
      <c r="L86" s="301">
        <v>0</v>
      </c>
      <c r="M86" s="301">
        <v>0</v>
      </c>
      <c r="N86" s="299"/>
      <c r="O86" s="300"/>
      <c r="P86" s="300"/>
    </row>
    <row r="87" spans="1:16" s="93" customFormat="1" ht="15" customHeight="1" thickBot="1">
      <c r="A87" s="117"/>
      <c r="B87" s="123"/>
      <c r="C87" s="9" t="str">
        <f>C79</f>
        <v>[3] Крытый парк развлечений</v>
      </c>
      <c r="D87" s="88"/>
      <c r="E87" s="88"/>
      <c r="F87" s="88"/>
      <c r="G87" s="295">
        <f ca="1" xml:space="preserve"> Расчеты!I891</f>
        <v>0</v>
      </c>
      <c r="H87" s="88"/>
      <c r="I87" s="301">
        <v>0</v>
      </c>
      <c r="J87" s="301">
        <v>0</v>
      </c>
      <c r="K87" s="301">
        <v>0</v>
      </c>
      <c r="L87" s="301">
        <v>0</v>
      </c>
      <c r="M87" s="301">
        <v>0</v>
      </c>
      <c r="N87" s="299"/>
      <c r="O87" s="300"/>
      <c r="P87" s="300"/>
    </row>
    <row r="88" spans="1:16" s="93" customFormat="1" ht="15" customHeight="1" thickBot="1">
      <c r="A88" s="117"/>
      <c r="B88" s="123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299"/>
      <c r="O88" s="300"/>
      <c r="P88" s="300"/>
    </row>
    <row r="89" spans="1:16" s="93" customFormat="1" ht="15" customHeight="1" thickBot="1">
      <c r="A89" s="117"/>
      <c r="B89" s="123"/>
      <c r="C89" s="9" t="str">
        <f>C69</f>
        <v>[•] Транспортная инфраструктура</v>
      </c>
      <c r="D89" s="88"/>
      <c r="E89" s="88"/>
      <c r="F89" s="88"/>
      <c r="G89" s="295">
        <f ca="1">Расчеты!I716</f>
        <v>20234.399718852401</v>
      </c>
      <c r="H89" s="88"/>
      <c r="I89" s="301">
        <v>20234.399718852401</v>
      </c>
      <c r="J89" s="301">
        <v>0</v>
      </c>
      <c r="K89" s="301">
        <v>0</v>
      </c>
      <c r="L89" s="301">
        <v>0</v>
      </c>
      <c r="M89" s="301">
        <v>0</v>
      </c>
      <c r="N89" s="299"/>
      <c r="O89" s="300"/>
      <c r="P89" s="300"/>
    </row>
    <row r="90" spans="1:16" s="93" customFormat="1" ht="15" customHeight="1" thickBot="1">
      <c r="A90" s="117"/>
      <c r="B90" s="123"/>
      <c r="C90" s="9" t="str">
        <f>C70</f>
        <v>[•] Коммунальная инфраструктура</v>
      </c>
      <c r="D90" s="88"/>
      <c r="E90" s="88"/>
      <c r="F90" s="88"/>
      <c r="G90" s="295">
        <f ca="1">Расчеты!I717</f>
        <v>0</v>
      </c>
      <c r="H90" s="88"/>
      <c r="I90" s="301">
        <v>0</v>
      </c>
      <c r="J90" s="301">
        <v>0</v>
      </c>
      <c r="K90" s="301">
        <v>0</v>
      </c>
      <c r="L90" s="301">
        <v>0</v>
      </c>
      <c r="M90" s="301">
        <v>0</v>
      </c>
      <c r="N90" s="299"/>
      <c r="O90" s="300"/>
      <c r="P90" s="300"/>
    </row>
    <row r="91" spans="1:16" s="93" customFormat="1" ht="15" customHeight="1" thickBot="1">
      <c r="A91" s="117"/>
      <c r="B91" s="123"/>
      <c r="C91" s="9" t="str">
        <f>C71</f>
        <v>[•] Прочая обеспечивающая инфраструктура</v>
      </c>
      <c r="D91" s="88"/>
      <c r="E91" s="88"/>
      <c r="F91" s="88"/>
      <c r="G91" s="295">
        <f ca="1">Расчеты!I718</f>
        <v>0</v>
      </c>
      <c r="H91" s="88"/>
      <c r="I91" s="301">
        <v>0</v>
      </c>
      <c r="J91" s="301">
        <v>0</v>
      </c>
      <c r="K91" s="301">
        <v>0</v>
      </c>
      <c r="L91" s="301">
        <v>0</v>
      </c>
      <c r="M91" s="301">
        <v>0</v>
      </c>
      <c r="N91" s="299"/>
      <c r="O91" s="300"/>
      <c r="P91" s="300"/>
    </row>
    <row r="92" spans="1:16" s="93" customFormat="1" ht="15" customHeight="1" thickBot="1">
      <c r="A92" s="117"/>
      <c r="B92" s="123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299"/>
      <c r="O92" s="300"/>
      <c r="P92" s="300"/>
    </row>
    <row r="93" spans="1:16" s="93" customFormat="1" ht="15" customHeight="1" thickBot="1">
      <c r="A93" s="117"/>
      <c r="B93" s="123"/>
      <c r="C93" s="302" t="s">
        <v>904</v>
      </c>
      <c r="D93" s="88"/>
      <c r="E93" s="88"/>
      <c r="F93" s="88"/>
      <c r="G93" s="311">
        <f ca="1">SUM(G85:G87,G89:G91)</f>
        <v>18493633.551309191</v>
      </c>
      <c r="H93" s="88"/>
      <c r="I93" s="313">
        <v>40648573.649807081</v>
      </c>
      <c r="J93" s="313">
        <v>0</v>
      </c>
      <c r="K93" s="313">
        <v>0</v>
      </c>
      <c r="L93" s="313">
        <v>0</v>
      </c>
      <c r="M93" s="313">
        <v>0</v>
      </c>
      <c r="N93" s="299"/>
      <c r="O93" s="300"/>
      <c r="P93" s="300"/>
    </row>
    <row r="94" spans="1:16" s="93" customFormat="1" ht="15" customHeight="1">
      <c r="A94" s="117"/>
      <c r="B94" s="123"/>
      <c r="C94" s="302"/>
      <c r="D94" s="88"/>
      <c r="E94" s="88"/>
      <c r="F94" s="88"/>
      <c r="G94" s="88"/>
      <c r="H94" s="88"/>
      <c r="I94" s="336"/>
      <c r="J94" s="336"/>
      <c r="K94" s="336"/>
      <c r="L94" s="336"/>
      <c r="M94" s="336"/>
      <c r="N94" s="299"/>
      <c r="O94" s="300"/>
      <c r="P94" s="300"/>
    </row>
    <row r="95" spans="1:16" s="93" customFormat="1" ht="15" customHeight="1">
      <c r="A95" s="117"/>
      <c r="B95" s="123"/>
      <c r="C95" s="293" t="s">
        <v>757</v>
      </c>
      <c r="D95" s="293"/>
      <c r="E95" s="293"/>
      <c r="F95" s="293"/>
      <c r="G95" s="293"/>
      <c r="H95" s="293"/>
      <c r="I95" s="293"/>
      <c r="J95" s="293"/>
      <c r="K95" s="293"/>
      <c r="L95" s="293"/>
      <c r="M95" s="293"/>
      <c r="N95" s="299"/>
      <c r="O95" s="300"/>
      <c r="P95" s="300"/>
    </row>
    <row r="96" spans="1:16" s="93" customFormat="1" ht="15" customHeight="1">
      <c r="A96" s="117"/>
      <c r="B96" s="123"/>
      <c r="C96" s="302"/>
      <c r="D96" s="88"/>
      <c r="E96" s="88"/>
      <c r="F96" s="88"/>
      <c r="G96" s="88"/>
      <c r="H96" s="88"/>
      <c r="I96" s="336"/>
      <c r="J96" s="336"/>
      <c r="K96" s="336"/>
      <c r="L96" s="336"/>
      <c r="M96" s="336"/>
      <c r="N96" s="299"/>
      <c r="O96" s="300"/>
      <c r="P96" s="300"/>
    </row>
    <row r="97" spans="1:16" s="93" customFormat="1" ht="15" customHeight="1" thickBot="1">
      <c r="A97" s="117"/>
      <c r="B97" s="123"/>
      <c r="C97" s="338" t="s">
        <v>584</v>
      </c>
      <c r="D97" s="10"/>
      <c r="E97" s="10"/>
      <c r="F97" s="9"/>
      <c r="G97" s="88"/>
      <c r="H97" s="88"/>
      <c r="I97" s="336"/>
      <c r="J97" s="336"/>
      <c r="K97" s="336"/>
      <c r="L97" s="336"/>
      <c r="M97" s="336"/>
      <c r="N97" s="299"/>
      <c r="O97" s="300"/>
      <c r="P97" s="300"/>
    </row>
    <row r="98" spans="1:16" s="93" customFormat="1" ht="15" customHeight="1" thickBot="1">
      <c r="A98" s="117"/>
      <c r="B98" s="123"/>
      <c r="C98" s="339" t="str">
        <f xml:space="preserve"> "Чистая приведенная стоимость (NPV)"</f>
        <v>Чистая приведенная стоимость (NPV)</v>
      </c>
      <c r="D98" s="340"/>
      <c r="E98" s="340"/>
      <c r="F98" s="341" t="s">
        <v>292</v>
      </c>
      <c r="G98" s="342">
        <f ca="1">NPV / 1000</f>
        <v>2872.4861902732218</v>
      </c>
      <c r="H98" s="343"/>
      <c r="I98" s="344">
        <v>1577.8044662123518</v>
      </c>
      <c r="J98" s="344">
        <v>-150</v>
      </c>
      <c r="K98" s="344">
        <v>-168.43677456383301</v>
      </c>
      <c r="L98" s="344">
        <v>-168.43677456383301</v>
      </c>
      <c r="M98" s="344">
        <v>-168.43677456383301</v>
      </c>
      <c r="N98" s="299"/>
      <c r="O98" s="300"/>
      <c r="P98" s="300"/>
    </row>
    <row r="99" spans="1:16" s="93" customFormat="1" ht="15" customHeight="1" thickBot="1">
      <c r="A99" s="117"/>
      <c r="B99" s="123"/>
      <c r="C99" s="17" t="s">
        <v>293</v>
      </c>
      <c r="D99" s="10"/>
      <c r="E99" s="10"/>
      <c r="F99" s="142" t="s">
        <v>28</v>
      </c>
      <c r="G99" s="214">
        <f ca="1" xml:space="preserve"> IRR</f>
        <v>0.19090007845891566</v>
      </c>
      <c r="H99" s="88"/>
      <c r="I99" s="337">
        <v>0.14121125446633509</v>
      </c>
      <c r="J99" s="337">
        <v>0</v>
      </c>
      <c r="K99" s="337">
        <v>0</v>
      </c>
      <c r="L99" s="337">
        <v>0</v>
      </c>
      <c r="M99" s="337">
        <v>0</v>
      </c>
      <c r="N99" s="299"/>
      <c r="O99" s="300"/>
      <c r="P99" s="300"/>
    </row>
    <row r="100" spans="1:16" s="93" customFormat="1" ht="15" customHeight="1" thickBot="1">
      <c r="A100" s="117"/>
      <c r="B100" s="123"/>
      <c r="C100" s="17" t="s">
        <v>220</v>
      </c>
      <c r="D100" s="10"/>
      <c r="E100" s="10"/>
      <c r="F100" s="142" t="s">
        <v>123</v>
      </c>
      <c r="G100" s="215">
        <f ca="1">PBP</f>
        <v>8.6865337828050446</v>
      </c>
      <c r="H100" s="88"/>
      <c r="I100" s="301">
        <v>9.2249407265387351</v>
      </c>
      <c r="J100" s="301" t="s">
        <v>954</v>
      </c>
      <c r="K100" s="301" t="s">
        <v>954</v>
      </c>
      <c r="L100" s="301" t="s">
        <v>954</v>
      </c>
      <c r="M100" s="301" t="s">
        <v>954</v>
      </c>
      <c r="N100" s="299"/>
      <c r="O100" s="300"/>
      <c r="P100" s="300"/>
    </row>
    <row r="101" spans="1:16" s="93" customFormat="1" ht="15" customHeight="1" thickBot="1">
      <c r="A101" s="117"/>
      <c r="B101" s="123"/>
      <c r="C101" s="17" t="s">
        <v>225</v>
      </c>
      <c r="D101" s="10"/>
      <c r="E101" s="10"/>
      <c r="F101" s="142" t="s">
        <v>123</v>
      </c>
      <c r="G101" s="215">
        <f ca="1" xml:space="preserve"> Расчеты!E1339</f>
        <v>10.66336275022463</v>
      </c>
      <c r="H101" s="88"/>
      <c r="I101" s="301">
        <v>12.855965391822595</v>
      </c>
      <c r="J101" s="301" t="s">
        <v>954</v>
      </c>
      <c r="K101" s="301" t="s">
        <v>954</v>
      </c>
      <c r="L101" s="301" t="s">
        <v>954</v>
      </c>
      <c r="M101" s="301" t="s">
        <v>954</v>
      </c>
      <c r="N101" s="299"/>
      <c r="O101" s="300"/>
      <c r="P101" s="300"/>
    </row>
    <row r="102" spans="1:16" s="93" customFormat="1" ht="15" customHeight="1">
      <c r="A102" s="117"/>
      <c r="B102" s="123"/>
      <c r="C102" s="17"/>
      <c r="D102" s="10"/>
      <c r="E102" s="10"/>
      <c r="F102" s="142"/>
      <c r="G102" s="212"/>
      <c r="H102" s="88"/>
      <c r="I102" s="336"/>
      <c r="J102" s="336"/>
      <c r="K102" s="336"/>
      <c r="L102" s="336"/>
      <c r="M102" s="336"/>
      <c r="N102" s="299"/>
      <c r="O102" s="300"/>
      <c r="P102" s="300"/>
    </row>
    <row r="103" spans="1:16" s="93" customFormat="1" ht="15" customHeight="1" thickBot="1">
      <c r="A103" s="117"/>
      <c r="B103" s="123"/>
      <c r="C103" s="338" t="s">
        <v>585</v>
      </c>
      <c r="D103" s="10"/>
      <c r="E103" s="10"/>
      <c r="F103" s="210"/>
      <c r="G103" s="210"/>
      <c r="H103" s="88"/>
      <c r="I103" s="336"/>
      <c r="J103" s="336"/>
      <c r="K103" s="336"/>
      <c r="L103" s="336"/>
      <c r="M103" s="336"/>
      <c r="N103" s="299"/>
      <c r="O103" s="300"/>
      <c r="P103" s="300"/>
    </row>
    <row r="104" spans="1:16" s="93" customFormat="1" ht="15" customHeight="1" thickBot="1">
      <c r="A104" s="117"/>
      <c r="B104" s="123"/>
      <c r="C104" s="339" t="str">
        <f xml:space="preserve"> "Чистая приведенная стоимость (NPV Equity)"</f>
        <v>Чистая приведенная стоимость (NPV Equity)</v>
      </c>
      <c r="D104" s="340"/>
      <c r="E104" s="340"/>
      <c r="F104" s="341" t="s">
        <v>292</v>
      </c>
      <c r="G104" s="342">
        <f ca="1" xml:space="preserve"> NPV_Equity / 1000</f>
        <v>7.0829500253420363</v>
      </c>
      <c r="H104" s="343"/>
      <c r="I104" s="344">
        <v>20.87549002341644</v>
      </c>
      <c r="J104" s="344" t="e">
        <v>#DIV/0!</v>
      </c>
      <c r="K104" s="344" t="e">
        <v>#DIV/0!</v>
      </c>
      <c r="L104" s="344" t="e">
        <v>#DIV/0!</v>
      </c>
      <c r="M104" s="344" t="e">
        <v>#DIV/0!</v>
      </c>
      <c r="N104" s="299"/>
      <c r="O104" s="300"/>
      <c r="P104" s="300"/>
    </row>
    <row r="105" spans="1:16" s="93" customFormat="1" ht="15" customHeight="1" thickBot="1">
      <c r="A105" s="117"/>
      <c r="B105" s="123"/>
      <c r="C105" s="17" t="s">
        <v>586</v>
      </c>
      <c r="D105" s="10"/>
      <c r="E105" s="10"/>
      <c r="F105" s="142" t="s">
        <v>28</v>
      </c>
      <c r="G105" s="214">
        <f ca="1" xml:space="preserve"> IRR_Equity</f>
        <v>0.23776266093536091</v>
      </c>
      <c r="H105" s="88"/>
      <c r="I105" s="337">
        <v>0.21913553984822021</v>
      </c>
      <c r="J105" s="337">
        <v>0</v>
      </c>
      <c r="K105" s="337">
        <v>0</v>
      </c>
      <c r="L105" s="337">
        <v>0</v>
      </c>
      <c r="M105" s="337">
        <v>0</v>
      </c>
      <c r="N105" s="299"/>
      <c r="O105" s="300"/>
      <c r="P105" s="300"/>
    </row>
    <row r="106" spans="1:16" s="93" customFormat="1" ht="15" customHeight="1" thickBot="1">
      <c r="A106" s="117"/>
      <c r="B106" s="123"/>
      <c r="C106" s="17" t="s">
        <v>587</v>
      </c>
      <c r="D106" s="10"/>
      <c r="E106" s="10"/>
      <c r="F106" s="142" t="s">
        <v>123</v>
      </c>
      <c r="G106" s="215">
        <f ca="1" xml:space="preserve"> PBP_Equity</f>
        <v>9.2009524839054535</v>
      </c>
      <c r="H106" s="88"/>
      <c r="I106" s="301">
        <v>7.6910182241702847</v>
      </c>
      <c r="J106" s="301" t="s">
        <v>954</v>
      </c>
      <c r="K106" s="301" t="s">
        <v>954</v>
      </c>
      <c r="L106" s="301" t="s">
        <v>954</v>
      </c>
      <c r="M106" s="301" t="s">
        <v>954</v>
      </c>
      <c r="N106" s="299"/>
      <c r="O106" s="300"/>
      <c r="P106" s="300"/>
    </row>
    <row r="107" spans="1:16" s="93" customFormat="1" ht="15" customHeight="1" thickBot="1">
      <c r="A107" s="117"/>
      <c r="B107" s="123"/>
      <c r="C107" s="17" t="s">
        <v>588</v>
      </c>
      <c r="D107" s="10"/>
      <c r="E107" s="10"/>
      <c r="F107" s="142" t="s">
        <v>123</v>
      </c>
      <c r="G107" s="215" t="str">
        <f ca="1" xml:space="preserve"> Расчеты!E1377</f>
        <v>н.пр.</v>
      </c>
      <c r="H107" s="88"/>
      <c r="I107" s="301">
        <v>20.451189047602234</v>
      </c>
      <c r="J107" s="301" t="s">
        <v>954</v>
      </c>
      <c r="K107" s="301" t="s">
        <v>954</v>
      </c>
      <c r="L107" s="301" t="s">
        <v>954</v>
      </c>
      <c r="M107" s="301" t="s">
        <v>954</v>
      </c>
      <c r="N107" s="299"/>
      <c r="O107" s="300"/>
      <c r="P107" s="300"/>
    </row>
    <row r="108" spans="1:16" ht="15" customHeight="1">
      <c r="A108" s="117"/>
      <c r="B108" s="126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N108" s="128"/>
      <c r="O108" s="119"/>
      <c r="P108" s="119"/>
    </row>
    <row r="109" spans="1:16" ht="15" customHeight="1">
      <c r="A109" s="117"/>
      <c r="B109" s="117"/>
      <c r="C109" s="117"/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9"/>
      <c r="P109" s="119"/>
    </row>
    <row r="110" spans="1:16" ht="24.75" customHeight="1">
      <c r="A110" s="117"/>
      <c r="B110" s="120"/>
      <c r="C110" s="121" t="s">
        <v>784</v>
      </c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2"/>
      <c r="O110" s="119"/>
      <c r="P110" s="119"/>
    </row>
    <row r="111" spans="1:16" ht="15" customHeight="1">
      <c r="A111" s="117"/>
      <c r="B111" s="129"/>
      <c r="C111" s="125"/>
      <c r="D111" s="125"/>
      <c r="E111" s="125"/>
      <c r="F111" s="88"/>
      <c r="G111" s="125"/>
      <c r="H111" s="125"/>
      <c r="I111" s="125"/>
      <c r="J111" s="125"/>
      <c r="K111" s="125"/>
      <c r="L111" s="125"/>
      <c r="M111" s="125"/>
      <c r="N111" s="124"/>
      <c r="O111" s="119"/>
      <c r="P111" s="119"/>
    </row>
    <row r="112" spans="1:16" ht="15" customHeight="1">
      <c r="A112" s="117"/>
      <c r="B112" s="129"/>
      <c r="C112" s="67" t="s">
        <v>574</v>
      </c>
      <c r="D112" s="125"/>
      <c r="E112" s="125"/>
      <c r="F112" s="88"/>
      <c r="G112" s="125"/>
      <c r="H112" s="125"/>
      <c r="I112" s="125"/>
      <c r="J112" s="125"/>
      <c r="K112" s="125"/>
      <c r="L112" s="125"/>
      <c r="M112" s="125"/>
      <c r="N112" s="124"/>
      <c r="O112" s="119"/>
      <c r="P112" s="119"/>
    </row>
    <row r="113" spans="1:16" ht="15" customHeight="1">
      <c r="A113" s="117"/>
      <c r="B113" s="129"/>
      <c r="C113" s="125"/>
      <c r="D113" s="125"/>
      <c r="E113" s="125"/>
      <c r="F113" s="88"/>
      <c r="G113" s="125"/>
      <c r="H113" s="125"/>
      <c r="I113" s="125"/>
      <c r="J113" s="125"/>
      <c r="K113" s="125"/>
      <c r="L113" s="125"/>
      <c r="M113" s="125"/>
      <c r="N113" s="124"/>
      <c r="O113" s="119"/>
      <c r="P113" s="119"/>
    </row>
    <row r="114" spans="1:16" ht="15" customHeight="1">
      <c r="A114" s="117"/>
      <c r="B114" s="129"/>
      <c r="C114" s="67" t="s">
        <v>748</v>
      </c>
      <c r="D114" s="10"/>
      <c r="E114" s="10"/>
      <c r="F114" s="9"/>
      <c r="G114" s="209"/>
      <c r="H114" s="210"/>
      <c r="I114" s="210"/>
      <c r="J114" s="210"/>
      <c r="K114" s="125"/>
      <c r="L114" s="125"/>
      <c r="M114" s="125"/>
      <c r="N114" s="124"/>
      <c r="O114" s="119"/>
      <c r="P114" s="119"/>
    </row>
    <row r="115" spans="1:16" ht="15" customHeight="1">
      <c r="A115" s="117"/>
      <c r="B115" s="129"/>
      <c r="C115" s="17" t="s">
        <v>1437</v>
      </c>
      <c r="D115" s="153"/>
      <c r="F115" s="217" t="s">
        <v>309</v>
      </c>
      <c r="G115" s="217"/>
      <c r="H115" s="217"/>
      <c r="I115" s="244"/>
      <c r="J115" s="461">
        <v>0.74819999999999998</v>
      </c>
      <c r="K115" s="125"/>
      <c r="L115" s="125"/>
      <c r="M115" s="125"/>
      <c r="N115" s="124"/>
      <c r="O115" s="119"/>
      <c r="P115" s="119"/>
    </row>
    <row r="116" spans="1:16" ht="15" customHeight="1">
      <c r="A116" s="117"/>
      <c r="B116" s="129"/>
      <c r="C116" s="17" t="s">
        <v>747</v>
      </c>
      <c r="D116" s="10"/>
      <c r="E116" s="10"/>
      <c r="F116" s="217"/>
      <c r="G116" s="217"/>
      <c r="H116" s="217"/>
      <c r="I116" s="244"/>
      <c r="J116" s="245">
        <f xml:space="preserve"> 1 - J115</f>
        <v>0.25180000000000002</v>
      </c>
      <c r="K116" s="125"/>
      <c r="L116" s="125"/>
      <c r="M116" s="125"/>
      <c r="N116" s="124"/>
      <c r="O116" s="119"/>
      <c r="P116" s="119"/>
    </row>
    <row r="117" spans="1:16" ht="15" customHeight="1">
      <c r="A117" s="117"/>
      <c r="B117" s="129"/>
      <c r="C117" s="17"/>
      <c r="D117" s="10"/>
      <c r="E117" s="10"/>
      <c r="F117" s="9"/>
      <c r="G117" s="211"/>
      <c r="H117" s="142"/>
      <c r="I117" s="244"/>
      <c r="J117" s="244"/>
      <c r="K117" s="125"/>
      <c r="L117" s="125"/>
      <c r="M117" s="125"/>
      <c r="N117" s="124"/>
      <c r="O117" s="119"/>
      <c r="P117" s="119"/>
    </row>
    <row r="118" spans="1:16" ht="15" customHeight="1">
      <c r="A118" s="117"/>
      <c r="B118" s="129"/>
      <c r="C118" s="67" t="s">
        <v>177</v>
      </c>
      <c r="D118" s="10"/>
      <c r="E118" s="10"/>
      <c r="F118" s="9"/>
      <c r="G118" s="211"/>
      <c r="H118" s="142"/>
      <c r="I118" s="244"/>
      <c r="J118" s="244"/>
      <c r="K118" s="125"/>
      <c r="L118" s="125"/>
      <c r="M118" s="125"/>
      <c r="N118" s="124"/>
      <c r="O118" s="119"/>
      <c r="P118" s="119"/>
    </row>
    <row r="119" spans="1:16" ht="15" customHeight="1">
      <c r="A119" s="117"/>
      <c r="B119" s="129"/>
      <c r="C119" s="21" t="s">
        <v>106</v>
      </c>
      <c r="D119" s="10"/>
      <c r="E119" s="10"/>
      <c r="F119" s="217" t="s">
        <v>749</v>
      </c>
      <c r="G119" s="47"/>
      <c r="H119" s="142"/>
      <c r="I119" s="244"/>
      <c r="J119" s="461">
        <v>0.5</v>
      </c>
      <c r="K119" s="125"/>
      <c r="L119" s="125"/>
      <c r="M119" s="125"/>
      <c r="N119" s="124"/>
      <c r="O119" s="119"/>
      <c r="P119" s="119"/>
    </row>
    <row r="120" spans="1:16" ht="15" customHeight="1">
      <c r="A120" s="117"/>
      <c r="B120" s="129"/>
      <c r="C120" s="21" t="s">
        <v>1431</v>
      </c>
      <c r="D120" s="10"/>
      <c r="E120" s="10"/>
      <c r="F120" s="217" t="s">
        <v>750</v>
      </c>
      <c r="G120" s="211"/>
      <c r="H120" s="209"/>
      <c r="I120" s="244"/>
      <c r="J120" s="245">
        <f xml:space="preserve"> 1 - J119</f>
        <v>0.5</v>
      </c>
      <c r="K120" s="125"/>
      <c r="L120" s="125"/>
      <c r="M120" s="125"/>
      <c r="N120" s="124"/>
      <c r="O120" s="119"/>
      <c r="P120" s="119"/>
    </row>
    <row r="121" spans="1:16" ht="15" customHeight="1">
      <c r="A121" s="117"/>
      <c r="B121" s="129"/>
      <c r="C121" s="21"/>
      <c r="D121" s="10"/>
      <c r="E121" s="10"/>
      <c r="F121" s="217"/>
      <c r="G121" s="211"/>
      <c r="H121" s="209"/>
      <c r="I121" s="244"/>
      <c r="J121" s="245"/>
      <c r="K121" s="125"/>
      <c r="L121" s="125"/>
      <c r="M121" s="125"/>
      <c r="N121" s="124"/>
      <c r="O121" s="119"/>
      <c r="P121" s="119"/>
    </row>
    <row r="122" spans="1:16" ht="15" customHeight="1">
      <c r="A122" s="117"/>
      <c r="B122" s="129"/>
      <c r="C122" s="21"/>
      <c r="D122" s="10"/>
      <c r="E122" s="10"/>
      <c r="F122" s="153" t="s">
        <v>599</v>
      </c>
      <c r="G122" s="3"/>
      <c r="H122" s="3"/>
      <c r="I122" s="243" t="s">
        <v>1432</v>
      </c>
      <c r="J122" s="461">
        <v>0.05</v>
      </c>
      <c r="K122" s="125"/>
      <c r="L122" s="125"/>
      <c r="M122" s="125"/>
      <c r="N122" s="124"/>
      <c r="O122" s="119"/>
      <c r="P122" s="119"/>
    </row>
    <row r="123" spans="1:16" ht="15" customHeight="1">
      <c r="A123" s="117"/>
      <c r="B123" s="129"/>
      <c r="C123" s="3"/>
      <c r="D123" s="3"/>
      <c r="E123" s="3"/>
      <c r="F123" s="3"/>
      <c r="G123" s="3"/>
      <c r="H123" s="3"/>
      <c r="I123" s="246"/>
      <c r="J123" s="247"/>
      <c r="K123" s="125">
        <f>23100*120</f>
        <v>2772000</v>
      </c>
      <c r="L123" s="125"/>
      <c r="M123" s="125"/>
      <c r="N123" s="124"/>
      <c r="O123" s="119"/>
      <c r="P123" s="119"/>
    </row>
    <row r="124" spans="1:16" ht="15" customHeight="1">
      <c r="A124" s="117"/>
      <c r="B124" s="129"/>
      <c r="C124" s="67" t="s">
        <v>751</v>
      </c>
      <c r="D124" s="3"/>
      <c r="E124" s="3"/>
      <c r="F124" s="3"/>
      <c r="G124" s="3"/>
      <c r="H124" s="3"/>
      <c r="I124" s="246"/>
      <c r="J124" s="247"/>
      <c r="K124" s="125"/>
      <c r="L124" s="125"/>
      <c r="M124" s="125"/>
      <c r="N124" s="124"/>
      <c r="O124" s="119"/>
      <c r="P124" s="119"/>
    </row>
    <row r="125" spans="1:16" ht="15" customHeight="1">
      <c r="A125" s="117"/>
      <c r="B125" s="129"/>
      <c r="C125" s="153" t="s">
        <v>599</v>
      </c>
      <c r="D125" s="3"/>
      <c r="E125" s="3"/>
      <c r="F125" s="243" t="s">
        <v>1207</v>
      </c>
      <c r="G125" s="3"/>
      <c r="H125" s="653" t="s">
        <v>1206</v>
      </c>
      <c r="I125" s="654"/>
      <c r="J125" s="655"/>
      <c r="K125" s="125"/>
      <c r="L125" s="125"/>
      <c r="M125" s="125"/>
      <c r="N125" s="124"/>
      <c r="O125" s="119"/>
      <c r="P125" s="119"/>
    </row>
    <row r="126" spans="1:16" ht="15" customHeight="1">
      <c r="A126" s="117"/>
      <c r="B126" s="129"/>
      <c r="C126" s="153" t="s">
        <v>598</v>
      </c>
      <c r="D126" s="3"/>
      <c r="E126" s="3"/>
      <c r="F126" s="243" t="s">
        <v>602</v>
      </c>
      <c r="G126" s="3"/>
      <c r="H126" s="3"/>
      <c r="I126" s="651" t="s">
        <v>518</v>
      </c>
      <c r="J126" s="652"/>
      <c r="K126" s="125"/>
      <c r="L126" s="125"/>
      <c r="M126" s="125"/>
      <c r="N126" s="124"/>
      <c r="O126" s="119"/>
      <c r="P126" s="119"/>
    </row>
    <row r="127" spans="1:16" ht="15" customHeight="1">
      <c r="A127" s="117"/>
      <c r="B127" s="129"/>
      <c r="C127" s="153" t="s">
        <v>600</v>
      </c>
      <c r="D127" s="3"/>
      <c r="E127" s="3"/>
      <c r="F127" s="243" t="s">
        <v>549</v>
      </c>
      <c r="G127" s="3"/>
      <c r="H127" s="3"/>
      <c r="I127" s="246"/>
      <c r="J127" s="462">
        <v>0.03</v>
      </c>
      <c r="K127" s="125"/>
      <c r="L127" s="125"/>
      <c r="M127" s="125"/>
      <c r="N127" s="124"/>
      <c r="O127" s="119"/>
      <c r="P127" s="119"/>
    </row>
    <row r="128" spans="1:16" ht="15" customHeight="1">
      <c r="A128" s="117"/>
      <c r="B128" s="129"/>
      <c r="C128" s="153" t="s">
        <v>1204</v>
      </c>
      <c r="D128" s="3"/>
      <c r="E128" s="3"/>
      <c r="F128" s="243" t="s">
        <v>1208</v>
      </c>
      <c r="G128" s="3"/>
      <c r="H128" s="3"/>
      <c r="I128" s="246"/>
      <c r="J128" s="462">
        <v>0.3</v>
      </c>
      <c r="K128" s="125"/>
      <c r="L128" s="125"/>
      <c r="M128" s="125"/>
      <c r="N128" s="124"/>
      <c r="O128" s="119"/>
      <c r="P128" s="119"/>
    </row>
    <row r="129" spans="1:16" ht="15" customHeight="1">
      <c r="A129" s="117"/>
      <c r="B129" s="129"/>
      <c r="C129" s="153" t="s">
        <v>550</v>
      </c>
      <c r="D129" s="3"/>
      <c r="E129" s="3"/>
      <c r="F129" s="243" t="s">
        <v>601</v>
      </c>
      <c r="G129" s="3"/>
      <c r="H129" s="3"/>
      <c r="I129" s="246"/>
      <c r="J129" s="461"/>
      <c r="K129" s="125"/>
      <c r="L129" s="125"/>
      <c r="M129" s="125"/>
      <c r="N129" s="124"/>
      <c r="O129" s="119"/>
      <c r="P129" s="119"/>
    </row>
    <row r="130" spans="1:16" ht="15" customHeight="1">
      <c r="A130" s="117"/>
      <c r="B130" s="126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8"/>
      <c r="O130" s="119"/>
      <c r="P130" s="119"/>
    </row>
    <row r="131" spans="1:16" ht="15" customHeight="1">
      <c r="A131" s="117"/>
      <c r="B131" s="117"/>
      <c r="C131" s="117"/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9"/>
      <c r="P131" s="119"/>
    </row>
    <row r="132" spans="1:16" ht="24.75" customHeight="1">
      <c r="A132" s="117"/>
      <c r="B132" s="120"/>
      <c r="C132" s="121" t="s">
        <v>1138</v>
      </c>
      <c r="D132" s="121"/>
      <c r="E132" s="121"/>
      <c r="F132" s="121"/>
      <c r="G132" s="121"/>
      <c r="H132" s="121"/>
      <c r="I132" s="121"/>
      <c r="J132" s="121"/>
      <c r="K132" s="121"/>
      <c r="L132" s="121"/>
      <c r="M132" s="121"/>
      <c r="N132" s="122"/>
      <c r="O132" s="119"/>
      <c r="P132" s="119"/>
    </row>
    <row r="133" spans="1:16" ht="15" customHeight="1">
      <c r="A133" s="117"/>
      <c r="B133" s="129"/>
      <c r="C133" s="125"/>
      <c r="D133" s="125"/>
      <c r="E133" s="125"/>
      <c r="F133" s="88"/>
      <c r="G133" s="125"/>
      <c r="H133" s="125"/>
      <c r="I133" s="125"/>
      <c r="J133" s="125"/>
      <c r="K133" s="125"/>
      <c r="L133" s="125"/>
      <c r="M133" s="125"/>
      <c r="N133" s="124"/>
      <c r="O133" s="119"/>
      <c r="P133" s="119"/>
    </row>
    <row r="134" spans="1:16" ht="15" customHeight="1">
      <c r="A134" s="117"/>
      <c r="B134" s="129"/>
      <c r="C134" s="429" t="s">
        <v>1122</v>
      </c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124"/>
      <c r="O134" s="119"/>
      <c r="P134" s="119"/>
    </row>
    <row r="135" spans="1:16" s="141" customFormat="1" ht="6" customHeight="1">
      <c r="A135" s="281"/>
      <c r="B135" s="296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297"/>
      <c r="O135" s="298"/>
      <c r="P135" s="298"/>
    </row>
    <row r="136" spans="1:16" s="141" customFormat="1" ht="15" customHeight="1" thickBot="1">
      <c r="A136" s="281"/>
      <c r="B136" s="296"/>
      <c r="C136" s="426"/>
      <c r="D136" s="426"/>
      <c r="E136" s="426"/>
      <c r="F136" s="427" t="s">
        <v>1140</v>
      </c>
      <c r="G136" s="427" t="s">
        <v>20</v>
      </c>
      <c r="H136" s="428">
        <f>YEAR(Date_Model_Start)</f>
        <v>2025</v>
      </c>
      <c r="I136" s="428">
        <f>H136+1</f>
        <v>2026</v>
      </c>
      <c r="J136" s="428">
        <f>I136+1</f>
        <v>2027</v>
      </c>
      <c r="K136" s="428">
        <f>J136+1</f>
        <v>2028</v>
      </c>
      <c r="L136" s="428">
        <f>K136+1</f>
        <v>2029</v>
      </c>
      <c r="M136" s="428">
        <f>L136+1</f>
        <v>2030</v>
      </c>
      <c r="N136" s="297"/>
      <c r="O136" s="298"/>
      <c r="P136" s="298"/>
    </row>
    <row r="137" spans="1:16" s="93" customFormat="1" ht="15" customHeight="1" thickBot="1">
      <c r="A137" s="117"/>
      <c r="B137" s="123"/>
      <c r="C137" s="423" t="str">
        <f>Финансирование!C13</f>
        <v>Взносы в уставной капитал</v>
      </c>
      <c r="D137" s="424"/>
      <c r="E137" s="424"/>
      <c r="F137" s="425" t="s">
        <v>1139</v>
      </c>
      <c r="G137" s="431">
        <f ca="1">SUM(H137:M137)</f>
        <v>533689.28401900001</v>
      </c>
      <c r="H137" s="422">
        <f ca="1">SUMIF(Финансирование!$L$6:$CO$6,H$136,Финансирование!$L13:$CO13)</f>
        <v>41332.842733999998</v>
      </c>
      <c r="I137" s="422">
        <f ca="1">SUMIF(Финансирование!$L$6:$CO$6,I$136,Финансирование!$L13:$CO13)</f>
        <v>360262.18900499999</v>
      </c>
      <c r="J137" s="422">
        <f ca="1">SUMIF(Финансирование!$L$6:$CO$6,J$136,Финансирование!$L13:$CO13)</f>
        <v>74919.130229999995</v>
      </c>
      <c r="K137" s="422">
        <f ca="1">SUMIF(Финансирование!$L$6:$CO$6,K$136,Финансирование!$L13:$CO13)</f>
        <v>40222.568991</v>
      </c>
      <c r="L137" s="422">
        <f ca="1">SUMIF(Финансирование!$L$6:$CO$6,L$136,Финансирование!$L13:$CO13)</f>
        <v>16952.553059000002</v>
      </c>
      <c r="M137" s="422">
        <f ca="1">SUMIF(Финансирование!$L$6:$CO$6,M$136,Финансирование!$L13:$CO13)</f>
        <v>0</v>
      </c>
      <c r="N137" s="299"/>
      <c r="O137" s="300"/>
      <c r="P137" s="300"/>
    </row>
    <row r="138" spans="1:16" s="93" customFormat="1" ht="15" customHeight="1" thickBot="1">
      <c r="A138" s="117"/>
      <c r="B138" s="123"/>
      <c r="C138" s="17" t="str">
        <f>Финансирование!C14</f>
        <v>Денежные взносы инвестора</v>
      </c>
      <c r="D138" s="88"/>
      <c r="E138" s="88"/>
      <c r="F138" s="142" t="s">
        <v>1139</v>
      </c>
      <c r="G138" s="432">
        <f t="shared" ref="G138:G152" ca="1" si="0">SUM(H138:M138)</f>
        <v>533689.28401900001</v>
      </c>
      <c r="H138" s="421">
        <f ca="1">SUMIF(Финансирование!$L$6:$CO$6,H$136,Финансирование!$L14:$CO14)</f>
        <v>41332.842733999998</v>
      </c>
      <c r="I138" s="421">
        <f ca="1">SUMIF(Финансирование!$L$6:$CO$6,I$136,Финансирование!$L14:$CO14)</f>
        <v>360262.18900499999</v>
      </c>
      <c r="J138" s="421">
        <f ca="1">SUMIF(Финансирование!$L$6:$CO$6,J$136,Финансирование!$L14:$CO14)</f>
        <v>74919.130229999995</v>
      </c>
      <c r="K138" s="421">
        <f ca="1">SUMIF(Финансирование!$L$6:$CO$6,K$136,Финансирование!$L14:$CO14)</f>
        <v>40222.568991</v>
      </c>
      <c r="L138" s="421">
        <f ca="1">SUMIF(Финансирование!$L$6:$CO$6,L$136,Финансирование!$L14:$CO14)</f>
        <v>16952.553059000002</v>
      </c>
      <c r="M138" s="421">
        <f ca="1">SUMIF(Финансирование!$L$6:$CO$6,M$136,Финансирование!$L14:$CO14)</f>
        <v>0</v>
      </c>
      <c r="N138" s="299"/>
      <c r="O138" s="300"/>
      <c r="P138" s="300"/>
    </row>
    <row r="139" spans="1:16" s="93" customFormat="1" ht="15" customHeight="1" thickBot="1">
      <c r="A139" s="117"/>
      <c r="B139" s="123"/>
      <c r="C139" s="17" t="str">
        <f>Финансирование!C15</f>
        <v>Имущественные взносы инвестора</v>
      </c>
      <c r="D139" s="88"/>
      <c r="E139" s="88"/>
      <c r="F139" s="142" t="s">
        <v>1139</v>
      </c>
      <c r="G139" s="433">
        <f t="shared" si="0"/>
        <v>0</v>
      </c>
      <c r="H139" s="301">
        <f>SUMIF(Финансирование!$L$6:$CO$6,H$136,Финансирование!$L15:$CO15)</f>
        <v>0</v>
      </c>
      <c r="I139" s="301">
        <f>SUMIF(Финансирование!$L$6:$CO$6,I$136,Финансирование!$L15:$CO15)</f>
        <v>0</v>
      </c>
      <c r="J139" s="301">
        <f>SUMIF(Финансирование!$L$6:$CO$6,J$136,Финансирование!$L15:$CO15)</f>
        <v>0</v>
      </c>
      <c r="K139" s="301">
        <f>SUMIF(Финансирование!$L$6:$CO$6,K$136,Финансирование!$L15:$CO15)</f>
        <v>0</v>
      </c>
      <c r="L139" s="301">
        <f>SUMIF(Финансирование!$L$6:$CO$6,L$136,Финансирование!$L15:$CO15)</f>
        <v>0</v>
      </c>
      <c r="M139" s="301">
        <f>SUMIF(Финансирование!$L$6:$CO$6,M$136,Финансирование!$L15:$CO15)</f>
        <v>0</v>
      </c>
      <c r="N139" s="299"/>
      <c r="O139" s="300"/>
      <c r="P139" s="300"/>
    </row>
    <row r="140" spans="1:16" s="93" customFormat="1" ht="15" customHeight="1" thickBot="1">
      <c r="A140" s="117"/>
      <c r="B140" s="123"/>
      <c r="C140" s="17">
        <f>Финансирование!C16</f>
        <v>0</v>
      </c>
      <c r="D140" s="88"/>
      <c r="E140" s="88"/>
      <c r="F140" s="142" t="s">
        <v>1139</v>
      </c>
      <c r="G140" s="433">
        <f t="shared" ca="1" si="0"/>
        <v>0</v>
      </c>
      <c r="H140" s="301">
        <f ca="1">SUMIF(Финансирование!$L$6:$CO$6,H$136,Финансирование!$L16:$CO16)</f>
        <v>0</v>
      </c>
      <c r="I140" s="301">
        <f ca="1">SUMIF(Финансирование!$L$6:$CO$6,I$136,Финансирование!$L16:$CO16)</f>
        <v>0</v>
      </c>
      <c r="J140" s="301">
        <f ca="1">SUMIF(Финансирование!$L$6:$CO$6,J$136,Финансирование!$L16:$CO16)</f>
        <v>0</v>
      </c>
      <c r="K140" s="301">
        <f ca="1">SUMIF(Финансирование!$L$6:$CO$6,K$136,Финансирование!$L16:$CO16)</f>
        <v>0</v>
      </c>
      <c r="L140" s="301">
        <f ca="1">SUMIF(Финансирование!$L$6:$CO$6,L$136,Финансирование!$L16:$CO16)</f>
        <v>0</v>
      </c>
      <c r="M140" s="301">
        <f ca="1">SUMIF(Финансирование!$L$6:$CO$6,M$136,Финансирование!$L16:$CO16)</f>
        <v>0</v>
      </c>
      <c r="N140" s="299"/>
      <c r="O140" s="300"/>
      <c r="P140" s="300"/>
    </row>
    <row r="141" spans="1:16" ht="6" customHeight="1" thickBot="1">
      <c r="A141" s="117"/>
      <c r="B141" s="129"/>
      <c r="C141" s="3"/>
      <c r="D141" s="3"/>
      <c r="E141" s="3"/>
      <c r="F141" s="3"/>
      <c r="G141" s="434"/>
      <c r="H141" s="3"/>
      <c r="I141" s="246"/>
      <c r="J141" s="247"/>
      <c r="K141" s="125"/>
      <c r="L141" s="125"/>
      <c r="M141" s="125"/>
      <c r="N141" s="124"/>
      <c r="O141" s="119"/>
      <c r="P141" s="119"/>
    </row>
    <row r="142" spans="1:16" s="93" customFormat="1" ht="15" customHeight="1" thickBot="1">
      <c r="A142" s="117"/>
      <c r="B142" s="123"/>
      <c r="C142" s="423" t="str">
        <f>Финансирование!C17</f>
        <v>Заемные средства</v>
      </c>
      <c r="D142" s="424"/>
      <c r="E142" s="424"/>
      <c r="F142" s="425" t="s">
        <v>1139</v>
      </c>
      <c r="G142" s="431">
        <f t="shared" ca="1" si="0"/>
        <v>3305577.6634790688</v>
      </c>
      <c r="H142" s="422">
        <f ca="1">SUMIF(Финансирование!$L$6:$CO$6,H$136,Финансирование!$L17:$CO17)</f>
        <v>41332.842733999998</v>
      </c>
      <c r="I142" s="422">
        <f ca="1">SUMIF(Финансирование!$L$6:$CO$6,I$136,Финансирование!$L17:$CO17)</f>
        <v>360262.18900499999</v>
      </c>
      <c r="J142" s="422">
        <f ca="1">SUMIF(Финансирование!$L$6:$CO$6,J$136,Финансирование!$L17:$CO17)</f>
        <v>694600.37155743432</v>
      </c>
      <c r="K142" s="422">
        <f ca="1">SUMIF(Финансирование!$L$6:$CO$6,K$136,Финансирование!$L17:$CO17)</f>
        <v>1532398.8553938831</v>
      </c>
      <c r="L142" s="422">
        <f ca="1">SUMIF(Финансирование!$L$6:$CO$6,L$136,Финансирование!$L17:$CO17)</f>
        <v>676983.40478875162</v>
      </c>
      <c r="M142" s="422">
        <f ca="1">SUMIF(Финансирование!$L$6:$CO$6,M$136,Финансирование!$L17:$CO17)</f>
        <v>0</v>
      </c>
      <c r="N142" s="299"/>
      <c r="O142" s="300"/>
      <c r="P142" s="300"/>
    </row>
    <row r="143" spans="1:16" s="93" customFormat="1" ht="15" customHeight="1" thickBot="1">
      <c r="A143" s="117"/>
      <c r="B143" s="123"/>
      <c r="C143" s="17" t="str">
        <f>Финансирование!C18</f>
        <v>Банковский кредит</v>
      </c>
      <c r="D143" s="88"/>
      <c r="E143" s="88"/>
      <c r="F143" s="142" t="s">
        <v>1139</v>
      </c>
      <c r="G143" s="433">
        <f t="shared" ca="1" si="0"/>
        <v>2771888.3794600694</v>
      </c>
      <c r="H143" s="301">
        <f ca="1">SUMIF(Финансирование!$L$6:$CO$6,H$136,Финансирование!$L18:$CO18)</f>
        <v>0</v>
      </c>
      <c r="I143" s="301">
        <f ca="1">SUMIF(Финансирование!$L$6:$CO$6,I$136,Финансирование!$L18:$CO18)</f>
        <v>0</v>
      </c>
      <c r="J143" s="301">
        <f ca="1">SUMIF(Финансирование!$L$6:$CO$6,J$136,Финансирование!$L18:$CO18)</f>
        <v>619681.24132743443</v>
      </c>
      <c r="K143" s="301">
        <f ca="1">SUMIF(Финансирование!$L$6:$CO$6,K$136,Финансирование!$L18:$CO18)</f>
        <v>1492176.2864028835</v>
      </c>
      <c r="L143" s="301">
        <f ca="1">SUMIF(Финансирование!$L$6:$CO$6,L$136,Финансирование!$L18:$CO18)</f>
        <v>660030.85172975156</v>
      </c>
      <c r="M143" s="301">
        <f ca="1">SUMIF(Финансирование!$L$6:$CO$6,M$136,Финансирование!$L18:$CO18)</f>
        <v>0</v>
      </c>
      <c r="N143" s="299"/>
      <c r="O143" s="300"/>
      <c r="P143" s="300"/>
    </row>
    <row r="144" spans="1:16" s="93" customFormat="1" ht="15" customHeight="1" thickBot="1">
      <c r="A144" s="117"/>
      <c r="B144" s="123"/>
      <c r="C144" s="17" t="str">
        <f>Финансирование!C19</f>
        <v>Акционерный займ\Коммерческий кредит</v>
      </c>
      <c r="D144" s="88"/>
      <c r="E144" s="88"/>
      <c r="F144" s="142" t="s">
        <v>1139</v>
      </c>
      <c r="G144" s="433">
        <f t="shared" ca="1" si="0"/>
        <v>533689.28401900001</v>
      </c>
      <c r="H144" s="301">
        <f ca="1">SUMIF(Финансирование!$L$6:$CO$6,H$136,Финансирование!$L19:$CO19)</f>
        <v>41332.842733999998</v>
      </c>
      <c r="I144" s="301">
        <f ca="1">SUMIF(Финансирование!$L$6:$CO$6,I$136,Финансирование!$L19:$CO19)</f>
        <v>360262.18900499999</v>
      </c>
      <c r="J144" s="301">
        <f ca="1">SUMIF(Финансирование!$L$6:$CO$6,J$136,Финансирование!$L19:$CO19)</f>
        <v>74919.130229999995</v>
      </c>
      <c r="K144" s="301">
        <f ca="1">SUMIF(Финансирование!$L$6:$CO$6,K$136,Финансирование!$L19:$CO19)</f>
        <v>40222.568991</v>
      </c>
      <c r="L144" s="301">
        <f ca="1">SUMIF(Финансирование!$L$6:$CO$6,L$136,Финансирование!$L19:$CO19)</f>
        <v>16952.553059000002</v>
      </c>
      <c r="M144" s="301">
        <f ca="1">SUMIF(Финансирование!$L$6:$CO$6,M$136,Финансирование!$L19:$CO19)</f>
        <v>0</v>
      </c>
      <c r="N144" s="299"/>
      <c r="O144" s="300"/>
      <c r="P144" s="300"/>
    </row>
    <row r="145" spans="1:16" ht="6" customHeight="1" thickBot="1">
      <c r="A145" s="117"/>
      <c r="B145" s="129"/>
      <c r="C145" s="3"/>
      <c r="D145" s="3"/>
      <c r="E145" s="3"/>
      <c r="F145" s="3"/>
      <c r="G145" s="434"/>
      <c r="H145" s="3"/>
      <c r="I145" s="246"/>
      <c r="J145" s="247"/>
      <c r="K145" s="125"/>
      <c r="L145" s="125"/>
      <c r="M145" s="125"/>
      <c r="N145" s="124"/>
      <c r="O145" s="119"/>
      <c r="P145" s="119"/>
    </row>
    <row r="146" spans="1:16" s="93" customFormat="1" ht="15" customHeight="1" thickBot="1">
      <c r="A146" s="117"/>
      <c r="B146" s="123"/>
      <c r="C146" s="423" t="str">
        <f>Финансирование!C20</f>
        <v>Прочие источники</v>
      </c>
      <c r="D146" s="424"/>
      <c r="E146" s="424"/>
      <c r="F146" s="425" t="s">
        <v>1139</v>
      </c>
      <c r="G146" s="431">
        <f t="shared" ca="1" si="0"/>
        <v>0</v>
      </c>
      <c r="H146" s="422">
        <f ca="1">SUMIF(Финансирование!$L$6:$CO$6,H$136,Финансирование!$L20:$CO20)</f>
        <v>0</v>
      </c>
      <c r="I146" s="422">
        <f ca="1">SUMIF(Финансирование!$L$6:$CO$6,I$136,Финансирование!$L20:$CO20)</f>
        <v>0</v>
      </c>
      <c r="J146" s="422">
        <f ca="1">SUMIF(Финансирование!$L$6:$CO$6,J$136,Финансирование!$L20:$CO20)</f>
        <v>0</v>
      </c>
      <c r="K146" s="422">
        <f ca="1">SUMIF(Финансирование!$L$6:$CO$6,K$136,Финансирование!$L20:$CO20)</f>
        <v>0</v>
      </c>
      <c r="L146" s="422">
        <f ca="1">SUMIF(Финансирование!$L$6:$CO$6,L$136,Финансирование!$L20:$CO20)</f>
        <v>0</v>
      </c>
      <c r="M146" s="422">
        <f ca="1">SUMIF(Финансирование!$L$6:$CO$6,M$136,Финансирование!$L20:$CO20)</f>
        <v>0</v>
      </c>
      <c r="N146" s="299"/>
      <c r="O146" s="300"/>
      <c r="P146" s="300"/>
    </row>
    <row r="147" spans="1:16" s="93" customFormat="1" ht="15" customHeight="1" thickBot="1">
      <c r="A147" s="117"/>
      <c r="B147" s="123"/>
      <c r="C147" s="17" t="str">
        <f>Финансирование!C21</f>
        <v>Возмещение НДС</v>
      </c>
      <c r="D147" s="88"/>
      <c r="E147" s="88"/>
      <c r="F147" s="142" t="s">
        <v>1139</v>
      </c>
      <c r="G147" s="433">
        <f t="shared" ca="1" si="0"/>
        <v>0</v>
      </c>
      <c r="H147" s="301">
        <f ca="1">SUMIF(Финансирование!$L$6:$CO$6,H$136,Финансирование!$L21:$CO21)</f>
        <v>0</v>
      </c>
      <c r="I147" s="301">
        <f ca="1">SUMIF(Финансирование!$L$6:$CO$6,I$136,Финансирование!$L21:$CO21)</f>
        <v>0</v>
      </c>
      <c r="J147" s="301">
        <f ca="1">SUMIF(Финансирование!$L$6:$CO$6,J$136,Финансирование!$L21:$CO21)</f>
        <v>0</v>
      </c>
      <c r="K147" s="301">
        <f ca="1">SUMIF(Финансирование!$L$6:$CO$6,K$136,Финансирование!$L21:$CO21)</f>
        <v>0</v>
      </c>
      <c r="L147" s="301">
        <f ca="1">SUMIF(Финансирование!$L$6:$CO$6,L$136,Финансирование!$L21:$CO21)</f>
        <v>0</v>
      </c>
      <c r="M147" s="301">
        <f ca="1">SUMIF(Финансирование!$L$6:$CO$6,M$136,Финансирование!$L21:$CO21)</f>
        <v>0</v>
      </c>
      <c r="N147" s="299"/>
      <c r="O147" s="300"/>
      <c r="P147" s="300"/>
    </row>
    <row r="148" spans="1:16" s="93" customFormat="1" ht="15" customHeight="1" thickBot="1">
      <c r="A148" s="117"/>
      <c r="B148" s="123"/>
      <c r="C148" s="17" t="str">
        <f>Финансирование!C22</f>
        <v>Чистая прибыль от операционной деятельности</v>
      </c>
      <c r="D148" s="88"/>
      <c r="E148" s="88"/>
      <c r="F148" s="142" t="s">
        <v>1139</v>
      </c>
      <c r="G148" s="433">
        <f t="shared" ca="1" si="0"/>
        <v>0</v>
      </c>
      <c r="H148" s="301">
        <f ca="1">SUMIF(Финансирование!$L$6:$CO$6,H$136,Финансирование!$L22:$CO22)</f>
        <v>0</v>
      </c>
      <c r="I148" s="301">
        <f ca="1">SUMIF(Финансирование!$L$6:$CO$6,I$136,Финансирование!$L22:$CO22)</f>
        <v>0</v>
      </c>
      <c r="J148" s="301">
        <f ca="1">SUMIF(Финансирование!$L$6:$CO$6,J$136,Финансирование!$L22:$CO22)</f>
        <v>0</v>
      </c>
      <c r="K148" s="301">
        <f ca="1">SUMIF(Финансирование!$L$6:$CO$6,K$136,Финансирование!$L22:$CO22)</f>
        <v>0</v>
      </c>
      <c r="L148" s="301">
        <f ca="1">SUMIF(Финансирование!$L$6:$CO$6,L$136,Финансирование!$L22:$CO22)</f>
        <v>0</v>
      </c>
      <c r="M148" s="301">
        <f ca="1">SUMIF(Финансирование!$L$6:$CO$6,M$136,Финансирование!$L22:$CO22)</f>
        <v>0</v>
      </c>
      <c r="N148" s="299"/>
      <c r="O148" s="300"/>
      <c r="P148" s="300"/>
    </row>
    <row r="149" spans="1:16" s="93" customFormat="1" ht="15" customHeight="1" thickBot="1">
      <c r="A149" s="117"/>
      <c r="B149" s="123"/>
      <c r="C149" s="17" t="str">
        <f>Финансирование!C23</f>
        <v>Прочие поступления</v>
      </c>
      <c r="D149" s="88"/>
      <c r="E149" s="88"/>
      <c r="F149" s="142" t="s">
        <v>1139</v>
      </c>
      <c r="G149" s="433">
        <f t="shared" ca="1" si="0"/>
        <v>0</v>
      </c>
      <c r="H149" s="301">
        <f ca="1">SUMIF(Финансирование!$L$6:$CO$6,H$136,Финансирование!$L23:$CO23)</f>
        <v>0</v>
      </c>
      <c r="I149" s="301">
        <f ca="1">SUMIF(Финансирование!$L$6:$CO$6,I$136,Финансирование!$L23:$CO23)</f>
        <v>0</v>
      </c>
      <c r="J149" s="301">
        <f ca="1">SUMIF(Финансирование!$L$6:$CO$6,J$136,Финансирование!$L23:$CO23)</f>
        <v>0</v>
      </c>
      <c r="K149" s="301">
        <f ca="1">SUMIF(Финансирование!$L$6:$CO$6,K$136,Финансирование!$L23:$CO23)</f>
        <v>0</v>
      </c>
      <c r="L149" s="301">
        <f ca="1">SUMIF(Финансирование!$L$6:$CO$6,L$136,Финансирование!$L23:$CO23)</f>
        <v>0</v>
      </c>
      <c r="M149" s="301">
        <f ca="1">SUMIF(Финансирование!$L$6:$CO$6,M$136,Финансирование!$L23:$CO23)</f>
        <v>0</v>
      </c>
      <c r="N149" s="299"/>
      <c r="O149" s="300"/>
      <c r="P149" s="300"/>
    </row>
    <row r="150" spans="1:16" s="93" customFormat="1" ht="15" customHeight="1" thickBot="1">
      <c r="A150" s="117"/>
      <c r="B150" s="123"/>
      <c r="C150" s="17" t="str">
        <f>Финансирование!C24</f>
        <v>Уменьшение денежных средств на счетах</v>
      </c>
      <c r="D150" s="88"/>
      <c r="E150" s="88"/>
      <c r="F150" s="142" t="s">
        <v>1139</v>
      </c>
      <c r="G150" s="433">
        <f t="shared" ca="1" si="0"/>
        <v>0</v>
      </c>
      <c r="H150" s="301">
        <f ca="1">MAX(SUMIF(Финансирование!$L$6:$CO$6,H$136,Финансирование!$L24:$CO24)-SUMIF(Финансирование!$L$6:$CO$6,H$136,Финансирование!$L44:$CO44),0)</f>
        <v>0</v>
      </c>
      <c r="I150" s="301">
        <f ca="1">MAX(SUMIF(Финансирование!$L$6:$CO$6,I$136,Финансирование!$L24:$CO24)-SUMIF(Финансирование!$L$6:$CO$6,I$136,Финансирование!$L44:$CO44),0)</f>
        <v>0</v>
      </c>
      <c r="J150" s="301">
        <f ca="1">MAX(SUMIF(Финансирование!$L$6:$CO$6,J$136,Финансирование!$L24:$CO24)-SUMIF(Финансирование!$L$6:$CO$6,J$136,Финансирование!$L44:$CO44),0)</f>
        <v>0</v>
      </c>
      <c r="K150" s="301">
        <f ca="1">MAX(SUMIF(Финансирование!$L$6:$CO$6,K$136,Финансирование!$L24:$CO24)-SUMIF(Финансирование!$L$6:$CO$6,K$136,Финансирование!$L44:$CO44),0)</f>
        <v>0</v>
      </c>
      <c r="L150" s="301">
        <f ca="1">MAX(SUMIF(Финансирование!$L$6:$CO$6,L$136,Финансирование!$L24:$CO24)-SUMIF(Финансирование!$L$6:$CO$6,L$136,Финансирование!$L44:$CO44),0)</f>
        <v>0</v>
      </c>
      <c r="M150" s="301">
        <f ca="1">MAX(SUMIF(Финансирование!$L$6:$CO$6,M$136,Финансирование!$L24:$CO24)-SUMIF(Финансирование!$L$6:$CO$6,M$136,Финансирование!$L44:$CO44),0)</f>
        <v>0</v>
      </c>
      <c r="N150" s="299"/>
      <c r="O150" s="300"/>
      <c r="P150" s="300"/>
    </row>
    <row r="151" spans="1:16" ht="6" customHeight="1" thickBot="1">
      <c r="A151" s="117"/>
      <c r="B151" s="129"/>
      <c r="C151" s="3"/>
      <c r="D151" s="3"/>
      <c r="E151" s="3"/>
      <c r="F151" s="3"/>
      <c r="G151" s="434"/>
      <c r="H151" s="3"/>
      <c r="I151" s="246"/>
      <c r="J151" s="247"/>
      <c r="K151" s="125"/>
      <c r="L151" s="125"/>
      <c r="M151" s="125"/>
      <c r="N151" s="124"/>
      <c r="O151" s="119"/>
      <c r="P151" s="119"/>
    </row>
    <row r="152" spans="1:16" s="93" customFormat="1" ht="15" customHeight="1" thickBot="1">
      <c r="A152" s="117"/>
      <c r="B152" s="123"/>
      <c r="C152" s="430" t="s">
        <v>1142</v>
      </c>
      <c r="D152" s="88"/>
      <c r="E152" s="88"/>
      <c r="F152" s="142" t="s">
        <v>1139</v>
      </c>
      <c r="G152" s="435">
        <f t="shared" ca="1" si="0"/>
        <v>3839266.9474980691</v>
      </c>
      <c r="H152" s="313">
        <f t="shared" ref="H152:M152" ca="1" si="1">SUM(H137,H142,H146)</f>
        <v>82665.685467999996</v>
      </c>
      <c r="I152" s="313">
        <f t="shared" ca="1" si="1"/>
        <v>720524.37800999999</v>
      </c>
      <c r="J152" s="313">
        <f t="shared" ca="1" si="1"/>
        <v>769519.50178743433</v>
      </c>
      <c r="K152" s="313">
        <f t="shared" ca="1" si="1"/>
        <v>1572621.4243848831</v>
      </c>
      <c r="L152" s="313">
        <f t="shared" ca="1" si="1"/>
        <v>693935.95784775168</v>
      </c>
      <c r="M152" s="313">
        <f t="shared" ca="1" si="1"/>
        <v>0</v>
      </c>
      <c r="N152" s="299"/>
      <c r="O152" s="300"/>
      <c r="P152" s="300"/>
    </row>
    <row r="153" spans="1:16" ht="15" customHeight="1">
      <c r="A153" s="117"/>
      <c r="B153" s="129"/>
      <c r="C153" s="3"/>
      <c r="D153" s="3"/>
      <c r="E153" s="3"/>
      <c r="F153" s="3"/>
      <c r="G153" s="3"/>
      <c r="H153" s="3"/>
      <c r="I153" s="246"/>
      <c r="J153" s="247"/>
      <c r="K153" s="125"/>
      <c r="L153" s="125"/>
      <c r="M153" s="125"/>
      <c r="N153" s="124"/>
      <c r="O153" s="119"/>
      <c r="P153" s="119"/>
    </row>
    <row r="154" spans="1:16" ht="15" customHeight="1">
      <c r="A154" s="117"/>
      <c r="B154" s="129"/>
      <c r="C154" s="429" t="s">
        <v>1126</v>
      </c>
      <c r="D154" s="293"/>
      <c r="E154" s="293"/>
      <c r="F154" s="293"/>
      <c r="G154" s="293"/>
      <c r="H154" s="293"/>
      <c r="I154" s="293"/>
      <c r="J154" s="293"/>
      <c r="K154" s="293"/>
      <c r="L154" s="293"/>
      <c r="M154" s="293"/>
      <c r="N154" s="124"/>
      <c r="O154" s="119"/>
      <c r="P154" s="119"/>
    </row>
    <row r="155" spans="1:16" s="141" customFormat="1" ht="6" customHeight="1">
      <c r="A155" s="281"/>
      <c r="B155" s="296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297"/>
      <c r="O155" s="298"/>
      <c r="P155" s="298"/>
    </row>
    <row r="156" spans="1:16" s="141" customFormat="1" ht="15" customHeight="1" thickBot="1">
      <c r="A156" s="281"/>
      <c r="B156" s="296"/>
      <c r="C156" s="426"/>
      <c r="D156" s="426"/>
      <c r="E156" s="426"/>
      <c r="F156" s="427" t="s">
        <v>1140</v>
      </c>
      <c r="G156" s="427" t="s">
        <v>20</v>
      </c>
      <c r="H156" s="428">
        <f>YEAR(Date_Model_Start)</f>
        <v>2025</v>
      </c>
      <c r="I156" s="428">
        <f>H156+1</f>
        <v>2026</v>
      </c>
      <c r="J156" s="428">
        <f>I156+1</f>
        <v>2027</v>
      </c>
      <c r="K156" s="428">
        <f>J156+1</f>
        <v>2028</v>
      </c>
      <c r="L156" s="428">
        <f>K156+1</f>
        <v>2029</v>
      </c>
      <c r="M156" s="428">
        <f>L156+1</f>
        <v>2030</v>
      </c>
      <c r="N156" s="297"/>
      <c r="O156" s="298"/>
      <c r="P156" s="298"/>
    </row>
    <row r="157" spans="1:16" s="93" customFormat="1" ht="15" customHeight="1" thickBot="1">
      <c r="A157" s="117"/>
      <c r="B157" s="123"/>
      <c r="C157" s="423" t="str">
        <f>Финансирование!C32</f>
        <v>Капитальные затраты</v>
      </c>
      <c r="D157" s="424"/>
      <c r="E157" s="424"/>
      <c r="F157" s="425" t="s">
        <v>1139</v>
      </c>
      <c r="G157" s="431">
        <f ca="1">SUM(H157:M157)</f>
        <v>3087285.462287345</v>
      </c>
      <c r="H157" s="422">
        <f ca="1">SUMIF(Финансирование!$L$6:$CO$6,H$136,Финансирование!$L32:$CO32)</f>
        <v>68888.071223871491</v>
      </c>
      <c r="I157" s="422">
        <f ca="1">SUMIF(Финансирование!$L$6:$CO$6,I$136,Финансирование!$L32:$CO32)</f>
        <v>600436.9816762798</v>
      </c>
      <c r="J157" s="422">
        <f ca="1">SUMIF(Финансирование!$L$6:$CO$6,J$136,Финансирование!$L32:$CO32)</f>
        <v>624454.46094333089</v>
      </c>
      <c r="K157" s="422">
        <f ca="1">SUMIF(Финансирование!$L$6:$CO$6,K$136,Финансирование!$L32:$CO32)</f>
        <v>1243480.2386690695</v>
      </c>
      <c r="L157" s="422">
        <f ca="1">SUMIF(Финансирование!$L$6:$CO$6,L$136,Финансирование!$L32:$CO32)</f>
        <v>550025.70977479313</v>
      </c>
      <c r="M157" s="422">
        <f ca="1">SUMIF(Финансирование!$L$6:$CO$6,M$136,Финансирование!$L32:$CO32)</f>
        <v>0</v>
      </c>
      <c r="N157" s="299"/>
      <c r="O157" s="300"/>
      <c r="P157" s="300"/>
    </row>
    <row r="158" spans="1:16" s="93" customFormat="1" ht="15" customHeight="1" thickBot="1">
      <c r="A158" s="117"/>
      <c r="B158" s="123"/>
      <c r="C158" s="17" t="str">
        <f>Финансирование!C33</f>
        <v>Финансирование капитальных затрат, без НДС</v>
      </c>
      <c r="D158" s="88"/>
      <c r="E158" s="88"/>
      <c r="F158" s="142" t="s">
        <v>1139</v>
      </c>
      <c r="G158" s="432">
        <f ca="1">SUM(H158:M158)</f>
        <v>3087285.462287345</v>
      </c>
      <c r="H158" s="421">
        <f ca="1">SUMIF(Финансирование!$L$6:$CO$6,H$136,Финансирование!$L33:$CO33)</f>
        <v>68888.071223871491</v>
      </c>
      <c r="I158" s="421">
        <f ca="1">SUMIF(Финансирование!$L$6:$CO$6,I$136,Финансирование!$L33:$CO33)</f>
        <v>600436.9816762798</v>
      </c>
      <c r="J158" s="421">
        <f ca="1">SUMIF(Финансирование!$L$6:$CO$6,J$136,Финансирование!$L33:$CO33)</f>
        <v>624454.46094333089</v>
      </c>
      <c r="K158" s="421">
        <f ca="1">SUMIF(Финансирование!$L$6:$CO$6,K$136,Финансирование!$L33:$CO33)</f>
        <v>1243480.2386690695</v>
      </c>
      <c r="L158" s="421">
        <f ca="1">SUMIF(Финансирование!$L$6:$CO$6,L$136,Финансирование!$L33:$CO33)</f>
        <v>550025.70977479313</v>
      </c>
      <c r="M158" s="421">
        <f ca="1">SUMIF(Финансирование!$L$6:$CO$6,M$136,Финансирование!$L33:$CO33)</f>
        <v>0</v>
      </c>
      <c r="N158" s="299"/>
      <c r="O158" s="300"/>
      <c r="P158" s="300"/>
    </row>
    <row r="159" spans="1:16" s="93" customFormat="1" ht="15" customHeight="1" thickBot="1">
      <c r="A159" s="117"/>
      <c r="B159" s="123"/>
      <c r="C159" s="17" t="str">
        <f>Финансирование!C34</f>
        <v>Внеоборотные активы, внесенные в уставной капитал, без НДС</v>
      </c>
      <c r="D159" s="88"/>
      <c r="E159" s="88"/>
      <c r="F159" s="142" t="s">
        <v>1139</v>
      </c>
      <c r="G159" s="433">
        <f>SUM(H159:M159)</f>
        <v>0</v>
      </c>
      <c r="H159" s="301">
        <f>SUMIF(Финансирование!$L$6:$CO$6,H$136,Финансирование!$L34:$CO34)</f>
        <v>0</v>
      </c>
      <c r="I159" s="301">
        <f>SUMIF(Финансирование!$L$6:$CO$6,I$136,Финансирование!$L34:$CO34)</f>
        <v>0</v>
      </c>
      <c r="J159" s="301">
        <f>SUMIF(Финансирование!$L$6:$CO$6,J$136,Финансирование!$L34:$CO34)</f>
        <v>0</v>
      </c>
      <c r="K159" s="301">
        <f>SUMIF(Финансирование!$L$6:$CO$6,K$136,Финансирование!$L34:$CO34)</f>
        <v>0</v>
      </c>
      <c r="L159" s="301">
        <f>SUMIF(Финансирование!$L$6:$CO$6,L$136,Финансирование!$L34:$CO34)</f>
        <v>0</v>
      </c>
      <c r="M159" s="301">
        <f>SUMIF(Финансирование!$L$6:$CO$6,M$136,Финансирование!$L34:$CO34)</f>
        <v>0</v>
      </c>
      <c r="N159" s="299"/>
      <c r="O159" s="300"/>
      <c r="P159" s="300"/>
    </row>
    <row r="160" spans="1:16" ht="6" customHeight="1" thickBot="1">
      <c r="A160" s="117"/>
      <c r="B160" s="129"/>
      <c r="C160" s="3"/>
      <c r="D160" s="3"/>
      <c r="E160" s="3"/>
      <c r="F160" s="3"/>
      <c r="G160" s="434"/>
      <c r="H160" s="3"/>
      <c r="I160" s="246"/>
      <c r="J160" s="247"/>
      <c r="K160" s="125"/>
      <c r="L160" s="125"/>
      <c r="M160" s="125"/>
      <c r="N160" s="124"/>
      <c r="O160" s="119"/>
      <c r="P160" s="119"/>
    </row>
    <row r="161" spans="1:16" s="93" customFormat="1" ht="15" customHeight="1" thickBot="1">
      <c r="A161" s="117"/>
      <c r="B161" s="123"/>
      <c r="C161" s="423" t="str">
        <f>Финансирование!C35</f>
        <v>Обслуживание займов и кредитов</v>
      </c>
      <c r="D161" s="424"/>
      <c r="E161" s="424"/>
      <c r="F161" s="425" t="s">
        <v>1139</v>
      </c>
      <c r="G161" s="431">
        <f ca="1">SUM(H161:M161)</f>
        <v>134524.39275554652</v>
      </c>
      <c r="H161" s="422">
        <f ca="1">SUMIF(Финансирование!$L$6:$CO$6,H$136,Финансирование!$L35:$CO35)</f>
        <v>0</v>
      </c>
      <c r="I161" s="422">
        <f ca="1">SUMIF(Финансирование!$L$6:$CO$6,I$136,Финансирование!$L35:$CO35)</f>
        <v>0</v>
      </c>
      <c r="J161" s="422">
        <f ca="1">SUMIF(Финансирование!$L$6:$CO$6,J$136,Финансирование!$L35:$CO35)</f>
        <v>20174.148654794226</v>
      </c>
      <c r="K161" s="422">
        <f ca="1">SUMIF(Финансирование!$L$6:$CO$6,K$136,Финансирование!$L35:$CO35)</f>
        <v>80445.137982464541</v>
      </c>
      <c r="L161" s="422">
        <f ca="1">SUMIF(Финансирование!$L$6:$CO$6,L$136,Финансирование!$L35:$CO35)</f>
        <v>33905.106118287738</v>
      </c>
      <c r="M161" s="422">
        <f ca="1">SUMIF(Финансирование!$L$6:$CO$6,M$136,Финансирование!$L35:$CO35)</f>
        <v>0</v>
      </c>
      <c r="N161" s="299"/>
      <c r="O161" s="300"/>
      <c r="P161" s="300"/>
    </row>
    <row r="162" spans="1:16" s="93" customFormat="1" ht="15" customHeight="1" thickBot="1">
      <c r="A162" s="117"/>
      <c r="B162" s="123"/>
      <c r="C162" s="17" t="str">
        <f>Финансирование!C36</f>
        <v>Проценты по кредитам и займам</v>
      </c>
      <c r="D162" s="88"/>
      <c r="E162" s="88"/>
      <c r="F162" s="142" t="s">
        <v>1139</v>
      </c>
      <c r="G162" s="433">
        <f ca="1">SUM(H162:M162)</f>
        <v>123533.77374294518</v>
      </c>
      <c r="H162" s="301">
        <f ca="1">SUMIF(Финансирование!$L$6:$CO$6,H$136,Финансирование!$L36:$CO36)</f>
        <v>0</v>
      </c>
      <c r="I162" s="301">
        <f ca="1">SUMIF(Финансирование!$L$6:$CO$6,I$136,Финансирование!$L36:$CO36)</f>
        <v>0</v>
      </c>
      <c r="J162" s="301">
        <f ca="1">SUMIF(Финансирование!$L$6:$CO$6,J$136,Финансирование!$L36:$CO36)</f>
        <v>14457.325625393623</v>
      </c>
      <c r="K162" s="301">
        <f ca="1">SUMIF(Финансирование!$L$6:$CO$6,K$136,Финансирование!$L36:$CO36)</f>
        <v>75659.583999173497</v>
      </c>
      <c r="L162" s="301">
        <f ca="1">SUMIF(Финансирование!$L$6:$CO$6,L$136,Финансирование!$L36:$CO36)</f>
        <v>33416.864118378056</v>
      </c>
      <c r="M162" s="301">
        <f ca="1">SUMIF(Финансирование!$L$6:$CO$6,M$136,Финансирование!$L36:$CO36)</f>
        <v>0</v>
      </c>
      <c r="N162" s="299"/>
      <c r="O162" s="300"/>
      <c r="P162" s="300"/>
    </row>
    <row r="163" spans="1:16" s="93" customFormat="1" ht="15" customHeight="1" thickBot="1">
      <c r="A163" s="117"/>
      <c r="B163" s="123"/>
      <c r="C163" s="17" t="str">
        <f>Финансирование!C37</f>
        <v>Прочие платы по кредитам</v>
      </c>
      <c r="D163" s="88"/>
      <c r="E163" s="88"/>
      <c r="F163" s="142" t="s">
        <v>1139</v>
      </c>
      <c r="G163" s="433">
        <f ca="1">SUM(H163:M163)</f>
        <v>10990.619012601321</v>
      </c>
      <c r="H163" s="301">
        <f ca="1">SUMIF(Финансирование!$L$6:$CO$6,H$136,Финансирование!$L37:$CO37)</f>
        <v>0</v>
      </c>
      <c r="I163" s="301">
        <f ca="1">SUMIF(Финансирование!$L$6:$CO$6,I$136,Финансирование!$L37:$CO37)</f>
        <v>0</v>
      </c>
      <c r="J163" s="301">
        <f ca="1">SUMIF(Финансирование!$L$6:$CO$6,J$136,Финансирование!$L37:$CO37)</f>
        <v>5716.8230294006007</v>
      </c>
      <c r="K163" s="301">
        <f ca="1">SUMIF(Финансирование!$L$6:$CO$6,K$136,Финансирование!$L37:$CO37)</f>
        <v>4785.5539832910417</v>
      </c>
      <c r="L163" s="301">
        <f ca="1">SUMIF(Финансирование!$L$6:$CO$6,L$136,Финансирование!$L37:$CO37)</f>
        <v>488.24199990967918</v>
      </c>
      <c r="M163" s="301">
        <f ca="1">SUMIF(Финансирование!$L$6:$CO$6,M$136,Финансирование!$L37:$CO37)</f>
        <v>0</v>
      </c>
      <c r="N163" s="299"/>
      <c r="O163" s="300"/>
      <c r="P163" s="300"/>
    </row>
    <row r="164" spans="1:16" s="93" customFormat="1" ht="15" customHeight="1" thickBot="1">
      <c r="A164" s="117"/>
      <c r="B164" s="123"/>
      <c r="C164" s="17" t="str">
        <f>Финансирование!C38</f>
        <v>Возврат банковского кредита</v>
      </c>
      <c r="D164" s="88"/>
      <c r="E164" s="88"/>
      <c r="F164" s="142" t="s">
        <v>1139</v>
      </c>
      <c r="G164" s="433">
        <f ca="1">SUM(H164:M164)</f>
        <v>0</v>
      </c>
      <c r="H164" s="301">
        <f ca="1">SUMIF(Финансирование!$L$6:$CO$6,H$136,Финансирование!$L38:$CO38)</f>
        <v>0</v>
      </c>
      <c r="I164" s="301">
        <f ca="1">SUMIF(Финансирование!$L$6:$CO$6,I$136,Финансирование!$L38:$CO38)</f>
        <v>0</v>
      </c>
      <c r="J164" s="301">
        <f ca="1">SUMIF(Финансирование!$L$6:$CO$6,J$136,Финансирование!$L38:$CO38)</f>
        <v>0</v>
      </c>
      <c r="K164" s="301">
        <f ca="1">SUMIF(Финансирование!$L$6:$CO$6,K$136,Финансирование!$L38:$CO38)</f>
        <v>0</v>
      </c>
      <c r="L164" s="301">
        <f ca="1">SUMIF(Финансирование!$L$6:$CO$6,L$136,Финансирование!$L38:$CO38)</f>
        <v>0</v>
      </c>
      <c r="M164" s="301">
        <f ca="1">SUMIF(Финансирование!$L$6:$CO$6,M$136,Финансирование!$L38:$CO38)</f>
        <v>0</v>
      </c>
      <c r="N164" s="299"/>
      <c r="O164" s="300"/>
      <c r="P164" s="300"/>
    </row>
    <row r="165" spans="1:16" s="93" customFormat="1" ht="15" customHeight="1" thickBot="1">
      <c r="A165" s="117"/>
      <c r="B165" s="123"/>
      <c r="C165" s="17" t="str">
        <f>Финансирование!C39</f>
        <v>Возврат акционерного займа</v>
      </c>
      <c r="D165" s="88"/>
      <c r="E165" s="88"/>
      <c r="F165" s="142" t="s">
        <v>1139</v>
      </c>
      <c r="G165" s="433">
        <f ca="1">SUM(H165:M165)</f>
        <v>0</v>
      </c>
      <c r="H165" s="301">
        <f ca="1">SUMIF(Финансирование!$L$6:$CO$6,H$136,Финансирование!$L39:$CO39)</f>
        <v>0</v>
      </c>
      <c r="I165" s="301">
        <f ca="1">SUMIF(Финансирование!$L$6:$CO$6,I$136,Финансирование!$L39:$CO39)</f>
        <v>0</v>
      </c>
      <c r="J165" s="301">
        <f ca="1">SUMIF(Финансирование!$L$6:$CO$6,J$136,Финансирование!$L39:$CO39)</f>
        <v>0</v>
      </c>
      <c r="K165" s="301">
        <f ca="1">SUMIF(Финансирование!$L$6:$CO$6,K$136,Финансирование!$L39:$CO39)</f>
        <v>0</v>
      </c>
      <c r="L165" s="301">
        <f ca="1">SUMIF(Финансирование!$L$6:$CO$6,L$136,Финансирование!$L39:$CO39)</f>
        <v>0</v>
      </c>
      <c r="M165" s="301">
        <f ca="1">SUMIF(Финансирование!$L$6:$CO$6,M$136,Финансирование!$L39:$CO39)</f>
        <v>0</v>
      </c>
      <c r="N165" s="299"/>
      <c r="O165" s="300"/>
      <c r="P165" s="300"/>
    </row>
    <row r="166" spans="1:16" ht="6" customHeight="1" thickBot="1">
      <c r="A166" s="117"/>
      <c r="B166" s="129"/>
      <c r="C166" s="3"/>
      <c r="D166" s="3"/>
      <c r="E166" s="3"/>
      <c r="F166" s="3"/>
      <c r="G166" s="434"/>
      <c r="H166" s="3"/>
      <c r="I166" s="246"/>
      <c r="J166" s="247"/>
      <c r="K166" s="125"/>
      <c r="L166" s="125"/>
      <c r="M166" s="125"/>
      <c r="N166" s="124"/>
      <c r="O166" s="119"/>
      <c r="P166" s="119"/>
    </row>
    <row r="167" spans="1:16" s="93" customFormat="1" ht="15" customHeight="1" thickBot="1">
      <c r="A167" s="117"/>
      <c r="B167" s="123"/>
      <c r="C167" s="423" t="str">
        <f>Финансирование!C40</f>
        <v>Прочие направления</v>
      </c>
      <c r="D167" s="424"/>
      <c r="E167" s="424"/>
      <c r="F167" s="425" t="s">
        <v>1139</v>
      </c>
      <c r="G167" s="431">
        <f ca="1">SUM(H167:M167)</f>
        <v>617457.09245746897</v>
      </c>
      <c r="H167" s="422">
        <f ca="1">SUMIF(Финансирование!$L$6:$CO$6,H$136,Финансирование!$L40:$CO40)</f>
        <v>13777.614244774297</v>
      </c>
      <c r="I167" s="422">
        <f ca="1">SUMIF(Финансирование!$L$6:$CO$6,I$136,Финансирование!$L40:$CO40)</f>
        <v>120087.39633525597</v>
      </c>
      <c r="J167" s="422">
        <f ca="1">SUMIF(Финансирование!$L$6:$CO$6,J$136,Финансирование!$L40:$CO40)</f>
        <v>124890.89218866616</v>
      </c>
      <c r="K167" s="422">
        <f ca="1">SUMIF(Финансирование!$L$6:$CO$6,K$136,Финансирование!$L40:$CO40)</f>
        <v>248696.04773381393</v>
      </c>
      <c r="L167" s="422">
        <f ca="1">SUMIF(Финансирование!$L$6:$CO$6,L$136,Финансирование!$L40:$CO40)</f>
        <v>110005.14195495861</v>
      </c>
      <c r="M167" s="422">
        <f ca="1">SUMIF(Финансирование!$L$6:$CO$6,M$136,Финансирование!$L40:$CO40)</f>
        <v>0</v>
      </c>
      <c r="N167" s="299"/>
      <c r="O167" s="300"/>
      <c r="P167" s="300"/>
    </row>
    <row r="168" spans="1:16" s="93" customFormat="1" ht="15" customHeight="1" thickBot="1">
      <c r="A168" s="117"/>
      <c r="B168" s="123"/>
      <c r="C168" s="17" t="str">
        <f>Финансирование!C41</f>
        <v>Оплата НДС</v>
      </c>
      <c r="D168" s="88"/>
      <c r="E168" s="88"/>
      <c r="F168" s="142" t="s">
        <v>1139</v>
      </c>
      <c r="G168" s="433">
        <f ca="1">SUM(H168:M168)</f>
        <v>617457.09245746897</v>
      </c>
      <c r="H168" s="301">
        <f ca="1">SUMIF(Финансирование!$L$6:$CO$6,H$136,Финансирование!$L41:$CO41)</f>
        <v>13777.614244774297</v>
      </c>
      <c r="I168" s="301">
        <f ca="1">SUMIF(Финансирование!$L$6:$CO$6,I$136,Финансирование!$L41:$CO41)</f>
        <v>120087.39633525597</v>
      </c>
      <c r="J168" s="301">
        <f ca="1">SUMIF(Финансирование!$L$6:$CO$6,J$136,Финансирование!$L41:$CO41)</f>
        <v>124890.89218866616</v>
      </c>
      <c r="K168" s="301">
        <f ca="1">SUMIF(Финансирование!$L$6:$CO$6,K$136,Финансирование!$L41:$CO41)</f>
        <v>248696.04773381393</v>
      </c>
      <c r="L168" s="301">
        <f ca="1">SUMIF(Финансирование!$L$6:$CO$6,L$136,Финансирование!$L41:$CO41)</f>
        <v>110005.14195495861</v>
      </c>
      <c r="M168" s="301">
        <f ca="1">SUMIF(Финансирование!$L$6:$CO$6,M$136,Финансирование!$L41:$CO41)</f>
        <v>0</v>
      </c>
      <c r="N168" s="299"/>
      <c r="O168" s="300"/>
      <c r="P168" s="300"/>
    </row>
    <row r="169" spans="1:16" s="93" customFormat="1" ht="15" customHeight="1" thickBot="1">
      <c r="A169" s="117"/>
      <c r="B169" s="123"/>
      <c r="C169" s="17" t="str">
        <f>Финансирование!C42</f>
        <v>Капитализируемые операционные расходы, без НДС</v>
      </c>
      <c r="D169" s="88"/>
      <c r="E169" s="88"/>
      <c r="F169" s="142" t="s">
        <v>1139</v>
      </c>
      <c r="G169" s="433">
        <f ca="1">SUM(H169:M169)</f>
        <v>0</v>
      </c>
      <c r="H169" s="301">
        <f ca="1">SUMIF(Финансирование!$L$6:$CO$6,H$136,Финансирование!$L42:$CO42)</f>
        <v>0</v>
      </c>
      <c r="I169" s="301">
        <f ca="1">SUMIF(Финансирование!$L$6:$CO$6,I$136,Финансирование!$L42:$CO42)</f>
        <v>0</v>
      </c>
      <c r="J169" s="301">
        <f ca="1">SUMIF(Финансирование!$L$6:$CO$6,J$136,Финансирование!$L42:$CO42)</f>
        <v>0</v>
      </c>
      <c r="K169" s="301">
        <f ca="1">SUMIF(Финансирование!$L$6:$CO$6,K$136,Финансирование!$L42:$CO42)</f>
        <v>0</v>
      </c>
      <c r="L169" s="301">
        <f ca="1">SUMIF(Финансирование!$L$6:$CO$6,L$136,Финансирование!$L42:$CO42)</f>
        <v>0</v>
      </c>
      <c r="M169" s="301">
        <f ca="1">SUMIF(Финансирование!$L$6:$CO$6,M$136,Финансирование!$L42:$CO42)</f>
        <v>0</v>
      </c>
      <c r="N169" s="299"/>
      <c r="O169" s="300"/>
      <c r="P169" s="300"/>
    </row>
    <row r="170" spans="1:16" s="93" customFormat="1" ht="15" customHeight="1" thickBot="1">
      <c r="A170" s="117"/>
      <c r="B170" s="123"/>
      <c r="C170" s="17" t="str">
        <f>Финансирование!C43</f>
        <v>Прочие расходы</v>
      </c>
      <c r="D170" s="88"/>
      <c r="E170" s="88"/>
      <c r="F170" s="142" t="s">
        <v>1139</v>
      </c>
      <c r="G170" s="433">
        <f ca="1">SUM(H170:M170)</f>
        <v>0</v>
      </c>
      <c r="H170" s="301">
        <f ca="1">SUMIF(Финансирование!$L$6:$CO$6,H$136,Финансирование!$L43:$CO43)</f>
        <v>0</v>
      </c>
      <c r="I170" s="301">
        <f ca="1">SUMIF(Финансирование!$L$6:$CO$6,I$136,Финансирование!$L43:$CO43)</f>
        <v>0</v>
      </c>
      <c r="J170" s="301">
        <f ca="1">SUMIF(Финансирование!$L$6:$CO$6,J$136,Финансирование!$L43:$CO43)</f>
        <v>0</v>
      </c>
      <c r="K170" s="301">
        <f ca="1">SUMIF(Финансирование!$L$6:$CO$6,K$136,Финансирование!$L43:$CO43)</f>
        <v>0</v>
      </c>
      <c r="L170" s="301">
        <f ca="1">SUMIF(Финансирование!$L$6:$CO$6,L$136,Финансирование!$L43:$CO43)</f>
        <v>0</v>
      </c>
      <c r="M170" s="301">
        <f ca="1">SUMIF(Финансирование!$L$6:$CO$6,M$136,Финансирование!$L43:$CO43)</f>
        <v>0</v>
      </c>
      <c r="N170" s="299"/>
      <c r="O170" s="300"/>
      <c r="P170" s="300"/>
    </row>
    <row r="171" spans="1:16" s="93" customFormat="1" ht="15" customHeight="1" thickBot="1">
      <c r="A171" s="117"/>
      <c r="B171" s="123"/>
      <c r="C171" s="17" t="str">
        <f>Финансирование!C44</f>
        <v>Увеличение денежных средств на счетах</v>
      </c>
      <c r="D171" s="88"/>
      <c r="E171" s="88"/>
      <c r="F171" s="142" t="s">
        <v>1139</v>
      </c>
      <c r="G171" s="433">
        <f ca="1">SUM(H171:M171)</f>
        <v>0</v>
      </c>
      <c r="H171" s="301">
        <f ca="1">MAX(-SUMIF(Финансирование!$L$6:$CO$6,H$136,Финансирование!$L24:$CO24)+SUMIF(Финансирование!$L$6:$CO$6,H$136,Финансирование!$L44:$CO44),0)</f>
        <v>0</v>
      </c>
      <c r="I171" s="301">
        <f ca="1">MAX(-SUMIF(Финансирование!$L$6:$CO$6,I$136,Финансирование!$L24:$CO24)+SUMIF(Финансирование!$L$6:$CO$6,I$136,Финансирование!$L44:$CO44),0)</f>
        <v>0</v>
      </c>
      <c r="J171" s="301">
        <f ca="1">MAX(-SUMIF(Финансирование!$L$6:$CO$6,J$136,Финансирование!$L24:$CO24)+SUMIF(Финансирование!$L$6:$CO$6,J$136,Финансирование!$L44:$CO44),0)</f>
        <v>0</v>
      </c>
      <c r="K171" s="301">
        <f ca="1">MAX(-SUMIF(Финансирование!$L$6:$CO$6,K$136,Финансирование!$L24:$CO24)+SUMIF(Финансирование!$L$6:$CO$6,K$136,Финансирование!$L44:$CO44),0)</f>
        <v>0</v>
      </c>
      <c r="L171" s="301">
        <f ca="1">MAX(-SUMIF(Финансирование!$L$6:$CO$6,L$136,Финансирование!$L24:$CO24)+SUMIF(Финансирование!$L$6:$CO$6,L$136,Финансирование!$L44:$CO44),0)</f>
        <v>0</v>
      </c>
      <c r="M171" s="301">
        <f ca="1">MAX(-SUMIF(Финансирование!$L$6:$CO$6,M$136,Финансирование!$L24:$CO24)+SUMIF(Финансирование!$L$6:$CO$6,M$136,Финансирование!$L44:$CO44),0)</f>
        <v>0</v>
      </c>
      <c r="N171" s="299"/>
      <c r="O171" s="300"/>
      <c r="P171" s="300"/>
    </row>
    <row r="172" spans="1:16" ht="6" customHeight="1" thickBot="1">
      <c r="A172" s="117"/>
      <c r="B172" s="129"/>
      <c r="C172" s="3"/>
      <c r="D172" s="3"/>
      <c r="E172" s="3"/>
      <c r="F172" s="3"/>
      <c r="G172" s="434"/>
      <c r="H172" s="3"/>
      <c r="I172" s="246"/>
      <c r="J172" s="247"/>
      <c r="K172" s="125"/>
      <c r="L172" s="125"/>
      <c r="M172" s="125"/>
      <c r="N172" s="124"/>
      <c r="O172" s="119"/>
      <c r="P172" s="119"/>
    </row>
    <row r="173" spans="1:16" s="93" customFormat="1" ht="15" customHeight="1" thickBot="1">
      <c r="A173" s="117"/>
      <c r="B173" s="123"/>
      <c r="C173" s="430" t="s">
        <v>1141</v>
      </c>
      <c r="D173" s="88"/>
      <c r="E173" s="88"/>
      <c r="F173" s="142" t="s">
        <v>1139</v>
      </c>
      <c r="G173" s="435">
        <f ca="1">SUM(H173:M173)</f>
        <v>3839266.9475003602</v>
      </c>
      <c r="H173" s="313">
        <f t="shared" ref="H173:M173" ca="1" si="2">SUM(H157,H161,H167)</f>
        <v>82665.685468645795</v>
      </c>
      <c r="I173" s="313">
        <f t="shared" ca="1" si="2"/>
        <v>720524.37801153574</v>
      </c>
      <c r="J173" s="313">
        <f t="shared" ca="1" si="2"/>
        <v>769519.50178679125</v>
      </c>
      <c r="K173" s="313">
        <f t="shared" ca="1" si="2"/>
        <v>1572621.4243853481</v>
      </c>
      <c r="L173" s="313">
        <f t="shared" ca="1" si="2"/>
        <v>693935.95784803946</v>
      </c>
      <c r="M173" s="313">
        <f t="shared" ca="1" si="2"/>
        <v>0</v>
      </c>
      <c r="N173" s="299"/>
      <c r="O173" s="300"/>
      <c r="P173" s="300"/>
    </row>
    <row r="174" spans="1:16" ht="15" customHeight="1">
      <c r="A174" s="117"/>
      <c r="B174" s="126"/>
      <c r="C174" s="127"/>
      <c r="D174" s="127"/>
      <c r="E174" s="127"/>
      <c r="F174" s="127"/>
      <c r="G174" s="127"/>
      <c r="H174" s="127"/>
      <c r="I174" s="127"/>
      <c r="J174" s="127"/>
      <c r="K174" s="127"/>
      <c r="L174" s="127"/>
      <c r="M174" s="127"/>
      <c r="N174" s="128"/>
      <c r="O174" s="119"/>
      <c r="P174" s="119"/>
    </row>
    <row r="175" spans="1:16" ht="15" customHeight="1">
      <c r="A175" s="117"/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9"/>
      <c r="P175" s="119"/>
    </row>
    <row r="176" spans="1:16" ht="25.15" customHeight="1">
      <c r="A176" s="117"/>
      <c r="B176" s="120"/>
      <c r="C176" s="121" t="s">
        <v>593</v>
      </c>
      <c r="D176" s="121"/>
      <c r="E176" s="121"/>
      <c r="F176" s="121"/>
      <c r="G176" s="121"/>
      <c r="H176" s="121"/>
      <c r="I176" s="121" t="s">
        <v>758</v>
      </c>
      <c r="J176" s="121"/>
      <c r="K176" s="121"/>
      <c r="L176" s="121"/>
      <c r="M176" s="121"/>
      <c r="N176" s="122"/>
      <c r="O176" s="119"/>
      <c r="P176" s="119"/>
    </row>
    <row r="177" spans="1:16" ht="15" customHeight="1">
      <c r="A177" s="117"/>
      <c r="B177" s="129"/>
      <c r="C177" s="125"/>
      <c r="D177" s="125"/>
      <c r="E177" s="125"/>
      <c r="F177" s="88"/>
      <c r="G177" s="125"/>
      <c r="H177" s="125"/>
      <c r="I177" s="125"/>
      <c r="J177" s="125"/>
      <c r="K177" s="125"/>
      <c r="L177" s="125"/>
      <c r="M177" s="125"/>
      <c r="N177" s="124"/>
      <c r="O177" s="119"/>
      <c r="P177" s="119"/>
    </row>
    <row r="178" spans="1:16" ht="15" customHeight="1">
      <c r="A178" s="117"/>
      <c r="B178" s="129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124"/>
      <c r="O178" s="119"/>
      <c r="P178" s="119"/>
    </row>
    <row r="179" spans="1:16" ht="15" customHeight="1">
      <c r="A179" s="117"/>
      <c r="B179" s="12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124"/>
      <c r="O179" s="119"/>
      <c r="P179" s="119"/>
    </row>
    <row r="180" spans="1:16" ht="15" customHeight="1">
      <c r="A180" s="117"/>
      <c r="B180" s="12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124"/>
      <c r="O180" s="119"/>
      <c r="P180" s="119"/>
    </row>
    <row r="181" spans="1:16" ht="15" customHeight="1">
      <c r="A181" s="117"/>
      <c r="B181" s="12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124"/>
      <c r="O181" s="119"/>
      <c r="P181" s="119"/>
    </row>
    <row r="182" spans="1:16" ht="15" customHeight="1">
      <c r="A182" s="117"/>
      <c r="B182" s="12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124"/>
      <c r="O182" s="119"/>
      <c r="P182" s="119"/>
    </row>
    <row r="183" spans="1:16" ht="15" customHeight="1">
      <c r="A183" s="117"/>
      <c r="B183" s="12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124"/>
      <c r="O183" s="119"/>
      <c r="P183" s="119"/>
    </row>
    <row r="184" spans="1:16" ht="15" customHeight="1">
      <c r="A184" s="117"/>
      <c r="B184" s="129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124"/>
      <c r="O184" s="119"/>
      <c r="P184" s="119"/>
    </row>
    <row r="185" spans="1:16" ht="15" customHeight="1">
      <c r="A185" s="117"/>
      <c r="B185" s="129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124"/>
      <c r="O185" s="119"/>
      <c r="P185" s="119"/>
    </row>
    <row r="186" spans="1:16" ht="15" customHeight="1">
      <c r="A186" s="117"/>
      <c r="B186" s="12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124"/>
      <c r="O186" s="119"/>
      <c r="P186" s="119"/>
    </row>
    <row r="187" spans="1:16" ht="15" customHeight="1">
      <c r="A187" s="117"/>
      <c r="B187" s="12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124"/>
      <c r="O187" s="119"/>
      <c r="P187" s="119"/>
    </row>
    <row r="188" spans="1:16" ht="15" customHeight="1">
      <c r="A188" s="117"/>
      <c r="B188" s="12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124"/>
      <c r="O188" s="119"/>
      <c r="P188" s="119"/>
    </row>
    <row r="189" spans="1:16" ht="15" customHeight="1">
      <c r="A189" s="117"/>
      <c r="B189" s="12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124"/>
      <c r="O189" s="119"/>
      <c r="P189" s="119"/>
    </row>
    <row r="190" spans="1:16" ht="15" customHeight="1">
      <c r="A190" s="117"/>
      <c r="B190" s="12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124"/>
      <c r="O190" s="119"/>
      <c r="P190" s="119"/>
    </row>
    <row r="191" spans="1:16" ht="15" customHeight="1">
      <c r="A191" s="117"/>
      <c r="B191" s="12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124"/>
      <c r="O191" s="119"/>
      <c r="P191" s="119"/>
    </row>
    <row r="192" spans="1:16" ht="15" customHeight="1">
      <c r="A192" s="117"/>
      <c r="B192" s="126"/>
      <c r="C192" s="127"/>
      <c r="D192" s="127"/>
      <c r="E192" s="127"/>
      <c r="F192" s="127"/>
      <c r="G192" s="127"/>
      <c r="H192" s="127"/>
      <c r="I192" s="127"/>
      <c r="J192" s="127"/>
      <c r="K192" s="127"/>
      <c r="L192" s="127"/>
      <c r="M192" s="127"/>
      <c r="N192" s="128"/>
      <c r="O192" s="119"/>
      <c r="P192" s="119"/>
    </row>
    <row r="193" spans="1:16" ht="14.65" customHeight="1">
      <c r="A193" s="117"/>
      <c r="B193" s="117"/>
      <c r="C193" s="117"/>
      <c r="D193" s="117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9"/>
      <c r="P193" s="119"/>
    </row>
    <row r="194" spans="1:16" ht="15" hidden="1" customHeight="1">
      <c r="A194" s="117"/>
      <c r="B194" s="117"/>
      <c r="C194" s="117"/>
      <c r="D194" s="117"/>
      <c r="E194" s="117"/>
      <c r="F194" s="117"/>
      <c r="G194" s="117"/>
      <c r="H194" s="117"/>
      <c r="I194" s="117"/>
      <c r="J194" s="117"/>
      <c r="K194" s="117"/>
      <c r="L194" s="117"/>
      <c r="M194" s="117"/>
      <c r="N194" s="117"/>
      <c r="O194" s="119"/>
      <c r="P194" s="119"/>
    </row>
    <row r="209"/>
    <row r="216"/>
    <row r="217"/>
    <row r="218"/>
    <row r="219"/>
    <row r="220"/>
    <row r="221"/>
    <row r="222"/>
    <row r="223"/>
    <row r="224"/>
    <row r="225"/>
    <row r="226"/>
    <row r="227"/>
    <row r="228"/>
  </sheetData>
  <mergeCells count="2">
    <mergeCell ref="I126:J126"/>
    <mergeCell ref="H125:J125"/>
  </mergeCells>
  <conditionalFormatting sqref="G5">
    <cfRule type="cellIs" dxfId="292" priority="25" operator="equal">
      <formula>FALSE</formula>
    </cfRule>
    <cfRule type="cellIs" dxfId="291" priority="26" operator="equal">
      <formula>TRUE</formula>
    </cfRule>
  </conditionalFormatting>
  <conditionalFormatting sqref="M21">
    <cfRule type="cellIs" dxfId="290" priority="2" operator="equal">
      <formula>FALSE</formula>
    </cfRule>
    <cfRule type="cellIs" dxfId="289" priority="3" operator="equal">
      <formula>TRUE</formula>
    </cfRule>
  </conditionalFormatting>
  <conditionalFormatting sqref="M12:M20">
    <cfRule type="cellIs" dxfId="288" priority="1" operator="notEqual">
      <formula>0</formula>
    </cfRule>
  </conditionalFormatting>
  <dataValidations count="4">
    <dataValidation type="list" allowBlank="1" showInputMessage="1" showErrorMessage="1" sqref="G26" xr:uid="{00000000-0002-0000-0200-000000000000}">
      <formula1>"1,2,3,4,5"</formula1>
    </dataValidation>
    <dataValidation type="list" allowBlank="1" showInputMessage="1" showErrorMessage="1" sqref="I30:M32" xr:uid="{00000000-0002-0000-0200-000001000000}">
      <formula1>"в проекте,вне проекта"</formula1>
    </dataValidation>
    <dataValidation type="list" allowBlank="1" showInputMessage="1" showErrorMessage="1" sqref="I34:M34" xr:uid="{00000000-0002-0000-0200-000002000000}">
      <formula1>"да,нет"</formula1>
    </dataValidation>
    <dataValidation type="list" allowBlank="1" showInputMessage="1" showErrorMessage="1" sqref="I54:M56 I38:M40 I48:M50 I42:M44 I58:M58" xr:uid="{00000000-0002-0000-0200-000003000000}">
      <formula1>"20%,15%,10%,5%,0%,-5%,-10%,-15%,-20%"</formula1>
    </dataValidation>
  </dataValidations>
  <pageMargins left="0.7" right="0.7" top="0.75" bottom="0.75" header="0.3" footer="0.3"/>
  <pageSetup paperSize="8" scale="3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4000000}">
          <x14:formula1>
            <xm:f>Предпосылки!$C$545:$C$546</xm:f>
          </x14:formula1>
          <xm:sqref>I126</xm:sqref>
        </x14:dataValidation>
        <x14:dataValidation type="list" allowBlank="1" showInputMessage="1" showErrorMessage="1" xr:uid="{00000000-0002-0000-0200-000005000000}">
          <x14:formula1>
            <xm:f>Предпосылки!$C$539:$C$540</xm:f>
          </x14:formula1>
          <xm:sqref>H125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3D584-F562-42F8-A6DA-166E5E0FDC31}">
  <sheetPr codeName="Лист11"/>
  <dimension ref="A1:F60"/>
  <sheetViews>
    <sheetView workbookViewId="0">
      <selection activeCell="D41" sqref="D41:D44"/>
    </sheetView>
  </sheetViews>
  <sheetFormatPr defaultColWidth="14.42578125" defaultRowHeight="15" customHeight="1"/>
  <cols>
    <col min="1" max="1" width="27.28515625" style="513" customWidth="1"/>
    <col min="2" max="3" width="11.7109375" style="513" customWidth="1"/>
    <col min="4" max="5" width="11.7109375" style="481" customWidth="1"/>
    <col min="6" max="16" width="8.7109375" style="481" customWidth="1"/>
    <col min="17" max="16384" width="14.42578125" style="481"/>
  </cols>
  <sheetData>
    <row r="1" spans="1:2"/>
    <row r="2" spans="1:2"/>
    <row r="3" spans="1:2" ht="16.5">
      <c r="A3" s="516" t="s">
        <v>1441</v>
      </c>
    </row>
    <row r="4" spans="1:2">
      <c r="A4" s="517" t="s">
        <v>1230</v>
      </c>
      <c r="B4" s="518">
        <v>0.34599999999999997</v>
      </c>
    </row>
    <row r="5" spans="1:2">
      <c r="A5" s="517" t="s">
        <v>1231</v>
      </c>
      <c r="B5" s="518">
        <v>0.27200000000000002</v>
      </c>
    </row>
    <row r="6" spans="1:2" ht="15" customHeight="1">
      <c r="A6" s="517" t="s">
        <v>1232</v>
      </c>
      <c r="B6" s="518">
        <v>0.113</v>
      </c>
    </row>
    <row r="7" spans="1:2" ht="15" customHeight="1">
      <c r="A7" s="517" t="s">
        <v>1233</v>
      </c>
      <c r="B7" s="518">
        <v>0.122</v>
      </c>
    </row>
    <row r="8" spans="1:2" ht="15" customHeight="1">
      <c r="A8" s="517" t="s">
        <v>1234</v>
      </c>
      <c r="B8" s="518">
        <v>0.14699999999999999</v>
      </c>
    </row>
    <row r="13" spans="1:2" ht="15.75" customHeight="1">
      <c r="A13" s="516" t="s">
        <v>1442</v>
      </c>
    </row>
    <row r="14" spans="1:2" ht="15.75" customHeight="1">
      <c r="A14" s="517" t="s">
        <v>1235</v>
      </c>
      <c r="B14" s="518">
        <v>0.85</v>
      </c>
    </row>
    <row r="15" spans="1:2" ht="15.75" customHeight="1">
      <c r="A15" s="517" t="s">
        <v>1236</v>
      </c>
      <c r="B15" s="518">
        <v>0.03</v>
      </c>
    </row>
    <row r="16" spans="1:2" ht="15.75" customHeight="1">
      <c r="A16" s="517" t="s">
        <v>1237</v>
      </c>
      <c r="B16" s="518">
        <v>0.09</v>
      </c>
    </row>
    <row r="17" spans="1:2" ht="15.75" customHeight="1">
      <c r="A17" s="517" t="s">
        <v>1238</v>
      </c>
      <c r="B17" s="518">
        <v>0.03</v>
      </c>
    </row>
    <row r="18" spans="1:2" ht="15.75" customHeight="1"/>
    <row r="19" spans="1:2" ht="15.75" customHeight="1">
      <c r="A19" s="516" t="s">
        <v>1443</v>
      </c>
    </row>
    <row r="20" spans="1:2" ht="15.75" customHeight="1">
      <c r="A20" s="517" t="s">
        <v>1239</v>
      </c>
      <c r="B20" s="518">
        <v>0.19</v>
      </c>
    </row>
    <row r="21" spans="1:2" ht="15.75" customHeight="1">
      <c r="A21" s="517" t="s">
        <v>1240</v>
      </c>
      <c r="B21" s="518">
        <v>0.08</v>
      </c>
    </row>
    <row r="22" spans="1:2" ht="15.75" customHeight="1">
      <c r="A22" s="517" t="s">
        <v>1241</v>
      </c>
      <c r="B22" s="518">
        <v>0.08</v>
      </c>
    </row>
    <row r="23" spans="1:2" ht="15.75" customHeight="1">
      <c r="A23" s="517" t="s">
        <v>1242</v>
      </c>
      <c r="B23" s="518">
        <v>0.06</v>
      </c>
    </row>
    <row r="24" spans="1:2" ht="15.75" customHeight="1">
      <c r="A24" s="517" t="s">
        <v>1243</v>
      </c>
      <c r="B24" s="518">
        <v>0.05</v>
      </c>
    </row>
    <row r="25" spans="1:2" ht="44.65" customHeight="1">
      <c r="A25" s="519" t="s">
        <v>1244</v>
      </c>
      <c r="B25" s="518">
        <f>1-B20-B21-B22-B23-B24</f>
        <v>0.54</v>
      </c>
    </row>
    <row r="26" spans="1:2" ht="15.75" customHeight="1"/>
    <row r="27" spans="1:2" ht="15.75" customHeight="1">
      <c r="A27" s="516" t="s">
        <v>1444</v>
      </c>
    </row>
    <row r="28" spans="1:2" ht="15.75" customHeight="1">
      <c r="A28" s="517" t="s">
        <v>1245</v>
      </c>
      <c r="B28" s="518">
        <v>0.33900000000000002</v>
      </c>
    </row>
    <row r="29" spans="1:2" ht="15.75" customHeight="1">
      <c r="A29" s="517" t="s">
        <v>1246</v>
      </c>
      <c r="B29" s="518">
        <v>0.2329</v>
      </c>
    </row>
    <row r="30" spans="1:2" ht="15.75" customHeight="1">
      <c r="A30" s="517" t="s">
        <v>1247</v>
      </c>
      <c r="B30" s="518">
        <v>0.192</v>
      </c>
    </row>
    <row r="31" spans="1:2" ht="15.75" customHeight="1">
      <c r="A31" s="517" t="s">
        <v>1248</v>
      </c>
      <c r="B31" s="518">
        <v>6.3299999999999995E-2</v>
      </c>
    </row>
    <row r="32" spans="1:2" ht="15.75" customHeight="1">
      <c r="A32" s="517" t="s">
        <v>1249</v>
      </c>
      <c r="B32" s="518">
        <v>4.8399999999999999E-2</v>
      </c>
    </row>
    <row r="33" spans="1:5" ht="15.75" customHeight="1">
      <c r="A33" s="517" t="s">
        <v>1250</v>
      </c>
      <c r="B33" s="518">
        <v>3.4599999999999999E-2</v>
      </c>
    </row>
    <row r="34" spans="1:5" ht="15.75" customHeight="1">
      <c r="A34" s="517" t="s">
        <v>1251</v>
      </c>
      <c r="B34" s="518">
        <v>2.6700000000000002E-2</v>
      </c>
    </row>
    <row r="35" spans="1:5" ht="15.75" customHeight="1">
      <c r="A35" s="517" t="s">
        <v>1252</v>
      </c>
      <c r="B35" s="518">
        <v>2.23E-2</v>
      </c>
    </row>
    <row r="36" spans="1:5" ht="15.75" customHeight="1">
      <c r="A36" s="517" t="s">
        <v>1253</v>
      </c>
      <c r="B36" s="518">
        <v>2.1000000000000001E-2</v>
      </c>
    </row>
    <row r="37" spans="1:5" ht="15.75" customHeight="1">
      <c r="A37" s="517" t="s">
        <v>1254</v>
      </c>
      <c r="B37" s="518">
        <v>2.0099999999999996E-2</v>
      </c>
    </row>
    <row r="38" spans="1:5" ht="15.75" customHeight="1"/>
    <row r="39" spans="1:5" ht="15.75" customHeight="1"/>
    <row r="40" spans="1:5" ht="15.75" customHeight="1">
      <c r="A40" s="656" t="s">
        <v>1430</v>
      </c>
      <c r="B40" s="656"/>
      <c r="C40" s="656"/>
      <c r="D40" s="656"/>
      <c r="E40" s="656"/>
    </row>
    <row r="41" spans="1:5" ht="15.75" customHeight="1">
      <c r="A41" s="520"/>
      <c r="B41" s="521" t="s">
        <v>1255</v>
      </c>
      <c r="C41" s="521" t="s">
        <v>1256</v>
      </c>
      <c r="D41" s="522" t="s">
        <v>1257</v>
      </c>
      <c r="E41" s="521" t="s">
        <v>1258</v>
      </c>
    </row>
    <row r="42" spans="1:5" ht="15.75" customHeight="1">
      <c r="A42" s="520" t="s">
        <v>1259</v>
      </c>
      <c r="B42" s="523">
        <v>0.56999999999999995</v>
      </c>
      <c r="C42" s="523">
        <v>0.17</v>
      </c>
      <c r="D42" s="524">
        <v>0.48</v>
      </c>
      <c r="E42" s="523">
        <v>0.28000000000000003</v>
      </c>
    </row>
    <row r="43" spans="1:5" ht="15.75" customHeight="1">
      <c r="A43" s="520" t="s">
        <v>1260</v>
      </c>
      <c r="B43" s="523">
        <f>1-B42</f>
        <v>0.43000000000000005</v>
      </c>
      <c r="C43" s="523">
        <f>1-C42</f>
        <v>0.83</v>
      </c>
      <c r="D43" s="524">
        <f>1-D42</f>
        <v>0.52</v>
      </c>
      <c r="E43" s="523">
        <f>1-E42</f>
        <v>0.72</v>
      </c>
    </row>
    <row r="44" spans="1:5" ht="15.75" customHeight="1"/>
    <row r="45" spans="1:5" ht="15.75" customHeight="1"/>
    <row r="46" spans="1:5" ht="15.75" customHeight="1">
      <c r="C46" s="514"/>
    </row>
    <row r="47" spans="1:5" ht="15.75" customHeight="1">
      <c r="C47" s="514"/>
    </row>
    <row r="48" spans="1:5" ht="15.75" customHeight="1">
      <c r="C48" s="514"/>
    </row>
    <row r="49" spans="3:6" ht="15.75" customHeight="1">
      <c r="C49" s="514"/>
    </row>
    <row r="50" spans="3:6" ht="15.75" customHeight="1">
      <c r="C50" s="514"/>
    </row>
    <row r="51" spans="3:6" ht="15.75" customHeight="1"/>
    <row r="52" spans="3:6" ht="15.75" customHeight="1"/>
    <row r="53" spans="3:6" ht="15.75" customHeight="1">
      <c r="E53" s="480"/>
    </row>
    <row r="54" spans="3:6" ht="15.75" customHeight="1">
      <c r="C54" s="515"/>
      <c r="D54" s="482"/>
      <c r="E54" s="482"/>
      <c r="F54" s="482"/>
    </row>
    <row r="55" spans="3:6" ht="15.75" customHeight="1">
      <c r="C55" s="515"/>
      <c r="D55" s="482"/>
      <c r="E55" s="482"/>
      <c r="F55" s="482"/>
    </row>
    <row r="56" spans="3:6" ht="15.75" customHeight="1">
      <c r="C56" s="515"/>
      <c r="D56" s="482"/>
      <c r="E56" s="482"/>
      <c r="F56" s="482"/>
    </row>
    <row r="57" spans="3:6" ht="15.75" customHeight="1"/>
    <row r="58" spans="3:6" ht="15.75" customHeight="1"/>
    <row r="59" spans="3:6" ht="15.75" customHeight="1"/>
    <row r="60" spans="3:6" ht="15.75" customHeight="1"/>
  </sheetData>
  <mergeCells count="1">
    <mergeCell ref="A40:E40"/>
  </mergeCells>
  <pageMargins left="0.7" right="0.7" top="0.75" bottom="0.75" header="0" footer="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29D8C-1947-4AF2-9E4B-C5CE4091A5F8}">
  <sheetPr codeName="Лист31"/>
  <dimension ref="A1:P63"/>
  <sheetViews>
    <sheetView zoomScale="120" zoomScaleNormal="120" workbookViewId="0">
      <selection activeCell="H3" sqref="H3:H15"/>
    </sheetView>
  </sheetViews>
  <sheetFormatPr defaultColWidth="14.42578125" defaultRowHeight="15" customHeight="1"/>
  <cols>
    <col min="1" max="1" width="17.140625" style="481" customWidth="1"/>
    <col min="2" max="6" width="8.7109375" style="481" customWidth="1"/>
    <col min="7" max="7" width="13.42578125" style="481" customWidth="1"/>
    <col min="8" max="11" width="8.7109375" style="481" customWidth="1"/>
    <col min="12" max="12" width="11.42578125" style="481" customWidth="1"/>
    <col min="13" max="14" width="8.7109375" style="481" customWidth="1"/>
    <col min="15" max="16384" width="14.42578125" style="481"/>
  </cols>
  <sheetData>
    <row r="1" spans="1:16" s="483" customFormat="1" ht="15" customHeight="1">
      <c r="A1" s="657" t="s">
        <v>1282</v>
      </c>
      <c r="B1" s="657"/>
      <c r="C1" s="657"/>
      <c r="D1" s="657"/>
      <c r="E1" s="533"/>
      <c r="F1" s="533"/>
      <c r="G1" s="657" t="s">
        <v>1429</v>
      </c>
      <c r="H1" s="657"/>
      <c r="I1" s="657"/>
      <c r="J1" s="657"/>
      <c r="K1" s="657"/>
      <c r="L1" s="657"/>
      <c r="M1" s="533"/>
    </row>
    <row r="2" spans="1:16" ht="26.25">
      <c r="A2" s="528" t="s">
        <v>1447</v>
      </c>
      <c r="B2" s="530" t="s">
        <v>1283</v>
      </c>
      <c r="C2" s="530" t="s">
        <v>1262</v>
      </c>
      <c r="D2" s="530" t="s">
        <v>1263</v>
      </c>
      <c r="E2" s="513"/>
      <c r="F2" s="513"/>
      <c r="G2" s="528" t="s">
        <v>1447</v>
      </c>
      <c r="H2" s="529" t="s">
        <v>1448</v>
      </c>
      <c r="I2" s="519" t="s">
        <v>1449</v>
      </c>
      <c r="J2" s="517"/>
      <c r="K2" s="517"/>
      <c r="L2" s="575" t="s">
        <v>1291</v>
      </c>
      <c r="M2" s="517" t="s">
        <v>1464</v>
      </c>
      <c r="N2" s="517" t="s">
        <v>1463</v>
      </c>
      <c r="O2" s="517" t="s">
        <v>1462</v>
      </c>
    </row>
    <row r="3" spans="1:16">
      <c r="A3" s="528" t="s">
        <v>1264</v>
      </c>
      <c r="B3" s="530">
        <v>40</v>
      </c>
      <c r="C3" s="530">
        <v>43</v>
      </c>
      <c r="D3" s="530">
        <v>41</v>
      </c>
      <c r="E3" s="513"/>
      <c r="F3" s="513"/>
      <c r="G3" s="528" t="s">
        <v>1264</v>
      </c>
      <c r="H3" s="530">
        <v>43</v>
      </c>
      <c r="I3" s="517"/>
      <c r="J3" s="517"/>
      <c r="K3" s="517">
        <f>H3*100*31/100</f>
        <v>1333</v>
      </c>
      <c r="L3" s="576"/>
      <c r="M3" s="517">
        <v>8</v>
      </c>
      <c r="N3" s="517">
        <v>23</v>
      </c>
      <c r="O3" s="517"/>
    </row>
    <row r="4" spans="1:16">
      <c r="A4" s="528" t="s">
        <v>1265</v>
      </c>
      <c r="B4" s="530">
        <v>43</v>
      </c>
      <c r="C4" s="530">
        <v>45</v>
      </c>
      <c r="D4" s="530">
        <v>44</v>
      </c>
      <c r="E4" s="513"/>
      <c r="F4" s="513"/>
      <c r="G4" s="528" t="s">
        <v>1265</v>
      </c>
      <c r="H4" s="530">
        <v>45</v>
      </c>
      <c r="I4" s="517" t="s">
        <v>1286</v>
      </c>
      <c r="J4" s="517"/>
      <c r="K4" s="517">
        <f>H4*100*28/100</f>
        <v>1260</v>
      </c>
      <c r="L4" s="577"/>
      <c r="M4" s="517"/>
      <c r="N4" s="517"/>
      <c r="O4" s="517">
        <v>28</v>
      </c>
    </row>
    <row r="5" spans="1:16">
      <c r="A5" s="528" t="s">
        <v>1266</v>
      </c>
      <c r="B5" s="530">
        <v>45</v>
      </c>
      <c r="C5" s="530">
        <v>45</v>
      </c>
      <c r="D5" s="530">
        <v>45</v>
      </c>
      <c r="E5" s="513"/>
      <c r="F5" s="513"/>
      <c r="G5" s="528" t="s">
        <v>1266</v>
      </c>
      <c r="H5" s="530">
        <v>45</v>
      </c>
      <c r="I5" s="530">
        <f>AVERAGE(H3:H5)</f>
        <v>44.333333333333336</v>
      </c>
      <c r="J5" s="531">
        <f>0.49*3</f>
        <v>1.47</v>
      </c>
      <c r="K5" s="517">
        <f t="shared" ref="K5:K14" si="0">H5*100*31/100</f>
        <v>1395</v>
      </c>
      <c r="L5" s="578">
        <f>(K5+K4+K3)*100/$K$15</f>
        <v>17.761546341246159</v>
      </c>
      <c r="M5" s="517"/>
      <c r="N5" s="517">
        <v>24</v>
      </c>
      <c r="O5" s="517">
        <v>7</v>
      </c>
    </row>
    <row r="6" spans="1:16">
      <c r="A6" s="528" t="s">
        <v>1267</v>
      </c>
      <c r="B6" s="530">
        <v>43</v>
      </c>
      <c r="C6" s="530">
        <v>45</v>
      </c>
      <c r="D6" s="530">
        <v>45</v>
      </c>
      <c r="E6" s="513"/>
      <c r="F6" s="513"/>
      <c r="G6" s="528" t="s">
        <v>1267</v>
      </c>
      <c r="H6" s="530">
        <v>45</v>
      </c>
      <c r="I6" s="517"/>
      <c r="J6" s="517"/>
      <c r="K6" s="517">
        <f>H6*100*30/100</f>
        <v>1350</v>
      </c>
      <c r="L6" s="577"/>
      <c r="M6" s="517"/>
      <c r="N6" s="517">
        <v>30</v>
      </c>
      <c r="O6" s="517"/>
    </row>
    <row r="7" spans="1:16">
      <c r="A7" s="528" t="s">
        <v>1268</v>
      </c>
      <c r="B7" s="530">
        <v>70</v>
      </c>
      <c r="C7" s="530">
        <v>73</v>
      </c>
      <c r="D7" s="530">
        <v>72</v>
      </c>
      <c r="E7" s="513"/>
      <c r="F7" s="513"/>
      <c r="G7" s="528" t="s">
        <v>1268</v>
      </c>
      <c r="H7" s="530">
        <v>73</v>
      </c>
      <c r="I7" s="517" t="s">
        <v>1287</v>
      </c>
      <c r="J7" s="517"/>
      <c r="K7" s="517">
        <f t="shared" si="0"/>
        <v>2263</v>
      </c>
      <c r="L7" s="577"/>
      <c r="M7" s="517">
        <v>10</v>
      </c>
      <c r="N7" s="517">
        <v>21</v>
      </c>
      <c r="O7" s="517"/>
    </row>
    <row r="8" spans="1:16">
      <c r="A8" s="528" t="s">
        <v>1269</v>
      </c>
      <c r="B8" s="530">
        <v>66</v>
      </c>
      <c r="C8" s="530">
        <v>75</v>
      </c>
      <c r="D8" s="530">
        <v>70</v>
      </c>
      <c r="E8" s="513"/>
      <c r="F8" s="513"/>
      <c r="G8" s="528" t="s">
        <v>1269</v>
      </c>
      <c r="H8" s="530">
        <v>75</v>
      </c>
      <c r="I8" s="530">
        <f>AVERAGE(H6:H8)</f>
        <v>64.333333333333329</v>
      </c>
      <c r="J8" s="531">
        <f>0.71*3</f>
        <v>2.13</v>
      </c>
      <c r="K8" s="517">
        <f>H8*100*30/100</f>
        <v>2250</v>
      </c>
      <c r="L8" s="578">
        <f>(K8+K7+K6)*100/$K$15</f>
        <v>26.112323520242285</v>
      </c>
      <c r="M8" s="517">
        <v>30</v>
      </c>
      <c r="N8" s="517"/>
      <c r="O8" s="517"/>
    </row>
    <row r="9" spans="1:16">
      <c r="A9" s="528" t="s">
        <v>1270</v>
      </c>
      <c r="B9" s="530">
        <v>81</v>
      </c>
      <c r="C9" s="530">
        <v>85</v>
      </c>
      <c r="D9" s="530">
        <v>85</v>
      </c>
      <c r="E9" s="513"/>
      <c r="F9" s="513"/>
      <c r="G9" s="528" t="s">
        <v>1270</v>
      </c>
      <c r="H9" s="530">
        <v>85</v>
      </c>
      <c r="I9" s="517"/>
      <c r="J9" s="517"/>
      <c r="K9" s="517">
        <f t="shared" si="0"/>
        <v>2635</v>
      </c>
      <c r="L9" s="577"/>
      <c r="M9" s="517">
        <v>31</v>
      </c>
      <c r="N9" s="517"/>
      <c r="O9" s="517"/>
    </row>
    <row r="10" spans="1:16">
      <c r="A10" s="528" t="s">
        <v>1271</v>
      </c>
      <c r="B10" s="530">
        <v>93</v>
      </c>
      <c r="C10" s="530">
        <v>94</v>
      </c>
      <c r="D10" s="530">
        <v>94</v>
      </c>
      <c r="E10" s="513"/>
      <c r="F10" s="513"/>
      <c r="G10" s="528" t="s">
        <v>1271</v>
      </c>
      <c r="H10" s="530">
        <v>94</v>
      </c>
      <c r="I10" s="517" t="s">
        <v>1289</v>
      </c>
      <c r="J10" s="517"/>
      <c r="K10" s="517">
        <f t="shared" si="0"/>
        <v>2914</v>
      </c>
      <c r="L10" s="577"/>
      <c r="M10" s="517">
        <v>31</v>
      </c>
      <c r="N10" s="517"/>
      <c r="O10" s="517"/>
    </row>
    <row r="11" spans="1:16">
      <c r="A11" s="528" t="s">
        <v>1272</v>
      </c>
      <c r="B11" s="530">
        <v>90</v>
      </c>
      <c r="C11" s="530">
        <v>94</v>
      </c>
      <c r="D11" s="530">
        <v>94</v>
      </c>
      <c r="E11" s="513"/>
      <c r="F11" s="513"/>
      <c r="G11" s="528" t="s">
        <v>1272</v>
      </c>
      <c r="H11" s="530">
        <v>94</v>
      </c>
      <c r="I11" s="530">
        <f>AVERAGE(H9:H11)</f>
        <v>91</v>
      </c>
      <c r="J11" s="531">
        <f>0.88*3</f>
        <v>2.64</v>
      </c>
      <c r="K11" s="517">
        <f>H11*100*30/100</f>
        <v>2820</v>
      </c>
      <c r="L11" s="578">
        <f>(K11+K10+K9)*100/$K$15</f>
        <v>37.273415579209903</v>
      </c>
      <c r="M11" s="517">
        <v>30</v>
      </c>
      <c r="N11" s="517"/>
      <c r="O11" s="517"/>
    </row>
    <row r="12" spans="1:16">
      <c r="A12" s="528" t="s">
        <v>1288</v>
      </c>
      <c r="B12" s="530">
        <v>45</v>
      </c>
      <c r="C12" s="530">
        <v>50</v>
      </c>
      <c r="D12" s="530">
        <v>41</v>
      </c>
      <c r="E12" s="513"/>
      <c r="F12" s="513"/>
      <c r="G12" s="528" t="s">
        <v>1288</v>
      </c>
      <c r="H12" s="530">
        <v>50</v>
      </c>
      <c r="I12" s="517"/>
      <c r="J12" s="517"/>
      <c r="K12" s="517">
        <f t="shared" si="0"/>
        <v>1550</v>
      </c>
      <c r="L12" s="577"/>
      <c r="M12" s="517"/>
      <c r="N12" s="517">
        <v>31</v>
      </c>
      <c r="O12" s="517"/>
    </row>
    <row r="13" spans="1:16">
      <c r="A13" s="528" t="s">
        <v>1273</v>
      </c>
      <c r="B13" s="530">
        <v>25</v>
      </c>
      <c r="C13" s="530">
        <v>45</v>
      </c>
      <c r="D13" s="530">
        <v>45</v>
      </c>
      <c r="E13" s="513"/>
      <c r="F13" s="513"/>
      <c r="G13" s="528" t="s">
        <v>1273</v>
      </c>
      <c r="H13" s="530">
        <v>45</v>
      </c>
      <c r="I13" s="517" t="s">
        <v>1290</v>
      </c>
      <c r="J13" s="517"/>
      <c r="K13" s="517">
        <f>H13*100*30/100</f>
        <v>1350</v>
      </c>
      <c r="L13" s="577"/>
      <c r="M13" s="517"/>
      <c r="N13" s="517"/>
      <c r="O13" s="517">
        <v>30</v>
      </c>
    </row>
    <row r="14" spans="1:16">
      <c r="A14" s="528" t="s">
        <v>1274</v>
      </c>
      <c r="B14" s="530">
        <v>23</v>
      </c>
      <c r="C14" s="530">
        <v>43</v>
      </c>
      <c r="D14" s="530">
        <v>43</v>
      </c>
      <c r="E14" s="513"/>
      <c r="F14" s="513"/>
      <c r="G14" s="528" t="s">
        <v>1274</v>
      </c>
      <c r="H14" s="530">
        <v>43</v>
      </c>
      <c r="I14" s="530">
        <f>AVERAGE(H12:H14)</f>
        <v>46</v>
      </c>
      <c r="J14" s="531">
        <f>0.5*3</f>
        <v>1.5</v>
      </c>
      <c r="K14" s="517">
        <f t="shared" si="0"/>
        <v>1333</v>
      </c>
      <c r="L14" s="578">
        <f>(K14+K13+K12)*100/$K$15</f>
        <v>18.852714559301653</v>
      </c>
      <c r="M14" s="517">
        <v>10</v>
      </c>
      <c r="N14" s="517">
        <v>21</v>
      </c>
      <c r="O14" s="517"/>
    </row>
    <row r="15" spans="1:16">
      <c r="A15" s="528" t="s">
        <v>1285</v>
      </c>
      <c r="B15" s="530">
        <f>AVERAGE(B3:B14)</f>
        <v>55.333333333333336</v>
      </c>
      <c r="C15" s="614">
        <f>AVERAGE(C3:C14)</f>
        <v>61.416666666666664</v>
      </c>
      <c r="D15" s="530">
        <f>AVERAGE(D3:D14)</f>
        <v>59.916666666666664</v>
      </c>
      <c r="E15" s="513"/>
      <c r="F15" s="513"/>
      <c r="G15" s="532" t="s">
        <v>1285</v>
      </c>
      <c r="H15" s="614">
        <f>AVERAGE(H3:H14)</f>
        <v>61.416666666666664</v>
      </c>
      <c r="I15" s="517"/>
      <c r="J15" s="517"/>
      <c r="K15" s="517">
        <f>SUM(K3:K14)</f>
        <v>22453</v>
      </c>
      <c r="L15" s="577"/>
      <c r="M15" s="517">
        <f>SUM(M3:M14)</f>
        <v>150</v>
      </c>
      <c r="N15" s="517">
        <f>SUM(N3:N14)</f>
        <v>150</v>
      </c>
      <c r="O15" s="517">
        <f>SUM(O3:O14)</f>
        <v>65</v>
      </c>
      <c r="P15" s="481">
        <f>SUM(M15:O15)</f>
        <v>365</v>
      </c>
    </row>
    <row r="16" spans="1:16" ht="15" customHeight="1">
      <c r="A16" s="533" t="s">
        <v>1284</v>
      </c>
      <c r="B16" s="513"/>
      <c r="C16" s="513"/>
      <c r="D16" s="513"/>
      <c r="E16" s="513"/>
      <c r="F16" s="513"/>
      <c r="G16" s="513"/>
      <c r="H16" s="613"/>
      <c r="I16" s="513"/>
      <c r="J16" s="513"/>
      <c r="K16" s="513"/>
      <c r="L16" s="513"/>
      <c r="M16" s="579">
        <f>M15*100/$P$15</f>
        <v>41.095890410958901</v>
      </c>
      <c r="N16" s="579">
        <f>N15*100/$P$15</f>
        <v>41.095890410958901</v>
      </c>
      <c r="O16" s="579">
        <f>O15*100/$P$15</f>
        <v>17.80821917808219</v>
      </c>
    </row>
    <row r="17" spans="1:13">
      <c r="A17" s="513"/>
      <c r="B17" s="513"/>
      <c r="C17" s="513"/>
      <c r="D17" s="513"/>
      <c r="E17" s="513"/>
      <c r="F17" s="513"/>
      <c r="G17" s="533"/>
      <c r="H17" s="533"/>
      <c r="I17" s="533"/>
      <c r="J17" s="533"/>
      <c r="K17" s="533"/>
      <c r="L17" s="533"/>
      <c r="M17" s="513"/>
    </row>
    <row r="18" spans="1:13" ht="15.75" customHeight="1">
      <c r="A18" s="513"/>
      <c r="B18" s="513"/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</row>
    <row r="19" spans="1:13" ht="15.75" customHeight="1">
      <c r="A19" s="513"/>
      <c r="B19" s="513"/>
      <c r="C19" s="513"/>
      <c r="D19" s="513"/>
      <c r="E19" s="513"/>
      <c r="F19" s="513"/>
      <c r="J19" s="513"/>
      <c r="K19" s="513"/>
      <c r="L19" s="513"/>
      <c r="M19" s="513"/>
    </row>
    <row r="20" spans="1:13" ht="15.75" customHeight="1">
      <c r="A20" s="513"/>
      <c r="B20" s="513"/>
      <c r="C20" s="513"/>
      <c r="D20" s="513"/>
      <c r="E20" s="513"/>
      <c r="F20" s="513"/>
      <c r="M20" s="513"/>
    </row>
    <row r="21" spans="1:13" ht="15.75" customHeight="1"/>
    <row r="22" spans="1:13" ht="15.75" customHeight="1"/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</sheetData>
  <mergeCells count="2">
    <mergeCell ref="A1:D1"/>
    <mergeCell ref="G1:L1"/>
  </mergeCells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BCF72-FCBA-48F3-B2C9-5DE15C0F23F2}">
  <dimension ref="A1:S30"/>
  <sheetViews>
    <sheetView topLeftCell="A7" workbookViewId="0">
      <selection activeCell="L20" sqref="L20"/>
    </sheetView>
  </sheetViews>
  <sheetFormatPr defaultColWidth="9.140625" defaultRowHeight="15"/>
  <cols>
    <col min="1" max="1" width="9.140625" style="582"/>
    <col min="2" max="2" width="11.85546875" style="582" customWidth="1"/>
    <col min="3" max="7" width="9.140625" style="582"/>
    <col min="8" max="8" width="9.85546875" style="582" bestFit="1" customWidth="1"/>
    <col min="9" max="10" width="9.140625" style="582"/>
    <col min="11" max="11" width="24.7109375" style="582" customWidth="1"/>
    <col min="12" max="16384" width="9.140625" style="582"/>
  </cols>
  <sheetData>
    <row r="1" spans="1:19">
      <c r="A1" s="582" t="s">
        <v>1465</v>
      </c>
    </row>
    <row r="2" spans="1:19">
      <c r="A2" s="582" t="s">
        <v>1466</v>
      </c>
    </row>
    <row r="3" spans="1:19" ht="43.5" customHeight="1">
      <c r="A3" s="661" t="s">
        <v>1505</v>
      </c>
      <c r="B3" s="662"/>
      <c r="C3" s="662"/>
      <c r="D3" s="662"/>
      <c r="E3" s="662"/>
      <c r="F3" s="662"/>
      <c r="G3" s="662"/>
      <c r="H3" s="662"/>
      <c r="I3" s="662"/>
      <c r="J3" s="662"/>
    </row>
    <row r="4" spans="1:19">
      <c r="A4" s="657" t="s">
        <v>1467</v>
      </c>
      <c r="B4" s="657"/>
      <c r="C4" s="657"/>
      <c r="D4" s="657"/>
      <c r="E4" s="657"/>
      <c r="F4" s="657"/>
      <c r="G4" s="657"/>
      <c r="H4" s="657"/>
      <c r="I4" s="657"/>
      <c r="O4" s="533"/>
      <c r="P4" s="533"/>
      <c r="Q4" s="533"/>
      <c r="R4" s="533"/>
      <c r="S4" s="533"/>
    </row>
    <row r="5" spans="1:19">
      <c r="A5" s="658" t="s">
        <v>1469</v>
      </c>
      <c r="B5" s="658" t="s">
        <v>1470</v>
      </c>
      <c r="C5" s="658" t="s">
        <v>1471</v>
      </c>
      <c r="D5" s="658"/>
      <c r="E5" s="658"/>
      <c r="F5" s="658"/>
      <c r="G5" s="658"/>
      <c r="H5" s="658"/>
      <c r="I5" s="658"/>
    </row>
    <row r="6" spans="1:19">
      <c r="A6" s="658"/>
      <c r="B6" s="658"/>
      <c r="C6" s="658" t="s">
        <v>1472</v>
      </c>
      <c r="D6" s="658" t="s">
        <v>1473</v>
      </c>
      <c r="E6" s="658" t="s">
        <v>1474</v>
      </c>
      <c r="F6" s="658" t="s">
        <v>1475</v>
      </c>
      <c r="G6" s="658" t="s">
        <v>1476</v>
      </c>
      <c r="H6" s="658" t="s">
        <v>1477</v>
      </c>
      <c r="I6" s="658"/>
    </row>
    <row r="7" spans="1:19" ht="27">
      <c r="A7" s="658"/>
      <c r="B7" s="658"/>
      <c r="C7" s="658"/>
      <c r="D7" s="658"/>
      <c r="E7" s="658"/>
      <c r="F7" s="658"/>
      <c r="G7" s="658"/>
      <c r="H7" s="583" t="s">
        <v>1478</v>
      </c>
      <c r="I7" s="583" t="s">
        <v>1479</v>
      </c>
    </row>
    <row r="8" spans="1:19">
      <c r="A8" s="584">
        <v>66061419</v>
      </c>
      <c r="B8" s="584">
        <v>146148111</v>
      </c>
      <c r="C8" s="584">
        <v>27629392</v>
      </c>
      <c r="D8" s="584">
        <v>16478612</v>
      </c>
      <c r="E8" s="584">
        <v>10330685</v>
      </c>
      <c r="F8" s="584">
        <v>6986598</v>
      </c>
      <c r="G8" s="584">
        <v>2846749</v>
      </c>
      <c r="H8" s="584">
        <v>1789383</v>
      </c>
      <c r="I8" s="584">
        <v>12389303</v>
      </c>
    </row>
    <row r="9" spans="1:19" ht="79.5" customHeight="1">
      <c r="A9" s="590" t="s">
        <v>1484</v>
      </c>
      <c r="B9" s="584">
        <v>15231213</v>
      </c>
      <c r="C9" s="584">
        <v>58841893</v>
      </c>
      <c r="D9" s="584">
        <v>1785657</v>
      </c>
      <c r="E9" s="584">
        <v>4826782</v>
      </c>
      <c r="F9" s="584">
        <v>4984503</v>
      </c>
      <c r="G9" s="584">
        <v>2210495</v>
      </c>
      <c r="H9" s="584">
        <v>1423776</v>
      </c>
      <c r="I9" s="584">
        <v>9799746</v>
      </c>
    </row>
    <row r="10" spans="1:19" ht="45.75">
      <c r="A10" s="590" t="s">
        <v>1485</v>
      </c>
      <c r="B10" s="593"/>
      <c r="C10" s="593"/>
      <c r="D10" s="584">
        <f>D9*2</f>
        <v>3571314</v>
      </c>
      <c r="E10" s="584">
        <f>E9*3</f>
        <v>14480346</v>
      </c>
      <c r="F10" s="584">
        <f>F9*4</f>
        <v>19938012</v>
      </c>
      <c r="G10" s="584">
        <f>G9*5</f>
        <v>11052475</v>
      </c>
      <c r="H10" s="584">
        <v>9799746</v>
      </c>
      <c r="I10" s="593"/>
    </row>
    <row r="11" spans="1:19">
      <c r="D11" s="591" t="s">
        <v>1480</v>
      </c>
      <c r="E11" s="592">
        <f>SUM(D10:G10)/SUM(D9:G9)</f>
        <v>3.5518646219425083</v>
      </c>
      <c r="F11" s="659" t="s">
        <v>1504</v>
      </c>
      <c r="G11" s="660"/>
    </row>
    <row r="15" spans="1:19">
      <c r="A15" s="657" t="s">
        <v>1481</v>
      </c>
      <c r="B15" s="657"/>
      <c r="C15" s="657"/>
      <c r="D15" s="657"/>
      <c r="E15" s="657"/>
      <c r="F15" s="657"/>
      <c r="G15" s="657"/>
      <c r="H15" s="657"/>
      <c r="I15" s="657"/>
      <c r="J15" s="513"/>
      <c r="K15" s="533" t="s">
        <v>1468</v>
      </c>
      <c r="L15" s="533"/>
      <c r="M15" s="533"/>
      <c r="N15" s="533"/>
    </row>
    <row r="16" spans="1:19">
      <c r="A16" s="513"/>
      <c r="B16" s="513"/>
      <c r="C16" s="513"/>
      <c r="D16" s="513"/>
      <c r="E16" s="513"/>
      <c r="F16" s="513"/>
      <c r="K16" s="534" t="s">
        <v>1450</v>
      </c>
      <c r="L16" s="526" t="s">
        <v>28</v>
      </c>
      <c r="M16" s="526" t="s">
        <v>1292</v>
      </c>
      <c r="N16" s="526"/>
    </row>
    <row r="17" spans="1:14">
      <c r="A17" s="513"/>
      <c r="B17" s="513"/>
      <c r="C17" s="513"/>
      <c r="D17" s="513"/>
      <c r="E17" s="513"/>
      <c r="F17" s="513"/>
      <c r="K17" s="535" t="s">
        <v>1451</v>
      </c>
      <c r="L17" s="517">
        <v>3.4</v>
      </c>
      <c r="M17" s="517">
        <v>1.4</v>
      </c>
      <c r="N17" s="517">
        <f>M17*L17</f>
        <v>4.76</v>
      </c>
    </row>
    <row r="18" spans="1:14">
      <c r="A18" s="513"/>
      <c r="B18" s="513"/>
      <c r="C18" s="513"/>
      <c r="D18" s="513"/>
      <c r="E18" s="513"/>
      <c r="F18" s="513"/>
      <c r="K18" s="535" t="s">
        <v>1452</v>
      </c>
      <c r="L18" s="535">
        <v>6</v>
      </c>
      <c r="M18" s="517">
        <v>2.2000000000000002</v>
      </c>
      <c r="N18" s="517">
        <f>M18*L18</f>
        <v>13.200000000000001</v>
      </c>
    </row>
    <row r="19" spans="1:14">
      <c r="A19" s="513"/>
      <c r="B19" s="513"/>
      <c r="C19" s="513"/>
      <c r="D19" s="513"/>
      <c r="E19" s="513"/>
      <c r="F19" s="513"/>
      <c r="K19" s="535" t="s">
        <v>1453</v>
      </c>
      <c r="L19" s="517">
        <v>82.5</v>
      </c>
      <c r="M19" s="517">
        <v>2</v>
      </c>
      <c r="N19" s="517">
        <f>M19*L19</f>
        <v>165</v>
      </c>
    </row>
    <row r="20" spans="1:14">
      <c r="A20" s="513"/>
      <c r="B20" s="513"/>
      <c r="C20" s="513"/>
      <c r="D20" s="513"/>
      <c r="E20" s="513"/>
      <c r="F20" s="513"/>
      <c r="K20" s="535"/>
      <c r="L20" s="517"/>
      <c r="M20" s="585"/>
      <c r="N20" s="517"/>
    </row>
    <row r="21" spans="1:14">
      <c r="A21" s="513"/>
      <c r="B21" s="513"/>
      <c r="C21" s="513"/>
      <c r="D21" s="513"/>
      <c r="E21" s="513"/>
      <c r="F21" s="513"/>
      <c r="K21" s="535" t="s">
        <v>1550</v>
      </c>
      <c r="L21" s="517">
        <v>8.1</v>
      </c>
      <c r="M21" s="517">
        <v>1</v>
      </c>
      <c r="N21" s="517">
        <f>M21*L21</f>
        <v>8.1</v>
      </c>
    </row>
    <row r="22" spans="1:14">
      <c r="A22" s="513"/>
      <c r="B22" s="513"/>
      <c r="C22" s="513"/>
      <c r="D22" s="513"/>
      <c r="E22" s="513"/>
      <c r="F22" s="513"/>
      <c r="L22" s="582">
        <f>SUM(L17:L21)</f>
        <v>100</v>
      </c>
      <c r="N22" s="517">
        <f>SUM(N17:N21)</f>
        <v>191.06</v>
      </c>
    </row>
    <row r="23" spans="1:14">
      <c r="A23" s="513"/>
      <c r="B23" s="513"/>
      <c r="C23" s="513"/>
      <c r="D23" s="513"/>
      <c r="E23" s="513"/>
      <c r="F23" s="513"/>
      <c r="G23" s="513"/>
      <c r="H23" s="513"/>
      <c r="I23" s="513"/>
      <c r="J23" s="481"/>
      <c r="K23" s="536" t="s">
        <v>1293</v>
      </c>
      <c r="L23" s="537"/>
      <c r="M23" s="537"/>
      <c r="N23" s="537">
        <f>N22/L22</f>
        <v>1.9106000000000001</v>
      </c>
    </row>
    <row r="24" spans="1:14">
      <c r="A24" s="513"/>
      <c r="B24" s="513"/>
      <c r="C24" s="513"/>
      <c r="D24" s="513"/>
      <c r="E24" s="513"/>
      <c r="F24" s="513"/>
      <c r="G24" s="513"/>
      <c r="H24" s="513"/>
      <c r="I24" s="513"/>
      <c r="J24" s="513"/>
    </row>
    <row r="25" spans="1:14">
      <c r="A25" s="513"/>
      <c r="B25" s="513"/>
      <c r="C25" s="513"/>
      <c r="D25" s="513"/>
      <c r="E25" s="513"/>
      <c r="F25" s="513"/>
      <c r="G25" s="513"/>
      <c r="H25" s="513"/>
      <c r="I25" s="513"/>
      <c r="J25" s="513"/>
    </row>
    <row r="26" spans="1:14">
      <c r="A26" s="513"/>
      <c r="B26" s="513"/>
      <c r="C26" s="513"/>
      <c r="D26" s="513"/>
      <c r="E26" s="513"/>
      <c r="F26" s="513"/>
      <c r="G26" s="513"/>
      <c r="H26" s="513"/>
      <c r="I26" s="513"/>
      <c r="J26" s="513"/>
    </row>
    <row r="27" spans="1:14">
      <c r="A27" s="513"/>
      <c r="B27" s="513"/>
      <c r="C27" s="513"/>
      <c r="D27" s="513"/>
      <c r="E27" s="513"/>
      <c r="F27" s="513"/>
      <c r="G27" s="513"/>
      <c r="H27" s="513"/>
      <c r="I27" s="513"/>
      <c r="J27" s="513"/>
    </row>
    <row r="28" spans="1:14">
      <c r="A28" s="513"/>
      <c r="B28" s="513"/>
      <c r="C28" s="513"/>
      <c r="D28" s="513"/>
      <c r="E28" s="513"/>
      <c r="F28" s="513"/>
      <c r="G28" s="513"/>
      <c r="H28" s="513"/>
      <c r="I28" s="513"/>
      <c r="J28" s="513"/>
    </row>
    <row r="29" spans="1:14">
      <c r="A29" s="538"/>
      <c r="B29" s="539" t="s">
        <v>1261</v>
      </c>
      <c r="C29" s="539" t="s">
        <v>1262</v>
      </c>
      <c r="D29" s="539" t="s">
        <v>1263</v>
      </c>
      <c r="E29" s="513"/>
      <c r="F29" s="513"/>
      <c r="G29" s="513"/>
      <c r="H29" s="513"/>
      <c r="I29" s="513"/>
      <c r="J29" s="513"/>
    </row>
    <row r="30" spans="1:14">
      <c r="A30" s="513"/>
      <c r="B30" s="513"/>
      <c r="C30" s="513"/>
      <c r="D30" s="513"/>
      <c r="E30" s="513"/>
      <c r="F30" s="513"/>
      <c r="G30" s="513"/>
      <c r="H30" s="513"/>
      <c r="I30" s="513"/>
      <c r="J30" s="513"/>
    </row>
  </sheetData>
  <mergeCells count="13">
    <mergeCell ref="H6:I6"/>
    <mergeCell ref="F11:G11"/>
    <mergeCell ref="A15:I15"/>
    <mergeCell ref="A3:J3"/>
    <mergeCell ref="A4:I4"/>
    <mergeCell ref="A5:A7"/>
    <mergeCell ref="B5:B7"/>
    <mergeCell ref="C5:I5"/>
    <mergeCell ref="C6:C7"/>
    <mergeCell ref="D6:D7"/>
    <mergeCell ref="E6:E7"/>
    <mergeCell ref="F6:F7"/>
    <mergeCell ref="G6:G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D369-E0BE-4BD6-AD1F-C05AF85C0024}">
  <dimension ref="A1:Y47"/>
  <sheetViews>
    <sheetView workbookViewId="0">
      <selection activeCell="D11" sqref="D11:F13"/>
    </sheetView>
  </sheetViews>
  <sheetFormatPr defaultRowHeight="15"/>
  <cols>
    <col min="1" max="1" width="22.28515625" customWidth="1"/>
    <col min="2" max="2" width="18.28515625" customWidth="1"/>
    <col min="3" max="7" width="9" bestFit="1" customWidth="1"/>
    <col min="8" max="8" width="12.28515625" bestFit="1" customWidth="1"/>
    <col min="9" max="12" width="9" bestFit="1" customWidth="1"/>
    <col min="13" max="13" width="20.5703125" customWidth="1"/>
    <col min="14" max="14" width="12.7109375" bestFit="1" customWidth="1"/>
    <col min="15" max="15" width="16.7109375" customWidth="1"/>
  </cols>
  <sheetData>
    <row r="1" spans="1:25" s="580" customFormat="1">
      <c r="A1" s="580" t="s">
        <v>1486</v>
      </c>
    </row>
    <row r="2" spans="1:25">
      <c r="A2" s="667" t="s">
        <v>1487</v>
      </c>
      <c r="B2" s="667"/>
      <c r="C2" s="667"/>
      <c r="D2" s="667"/>
      <c r="E2" s="667"/>
      <c r="F2" s="667" t="s">
        <v>1488</v>
      </c>
      <c r="G2" s="667"/>
      <c r="H2" s="667"/>
      <c r="I2" s="667"/>
      <c r="J2" s="667"/>
      <c r="K2" s="667" t="s">
        <v>1489</v>
      </c>
      <c r="L2" s="667"/>
      <c r="M2" s="667"/>
      <c r="N2" s="667"/>
      <c r="O2" s="667"/>
      <c r="P2" s="667" t="s">
        <v>1490</v>
      </c>
      <c r="Q2" s="667"/>
      <c r="R2" s="667"/>
      <c r="S2" s="667"/>
      <c r="T2" s="667"/>
      <c r="U2" s="667" t="s">
        <v>1491</v>
      </c>
      <c r="V2" s="667"/>
      <c r="W2" s="667"/>
      <c r="X2" s="667"/>
      <c r="Y2" s="667"/>
    </row>
    <row r="3" spans="1:25">
      <c r="A3" s="594" t="s">
        <v>1492</v>
      </c>
      <c r="B3" s="594" t="s">
        <v>1286</v>
      </c>
      <c r="C3" s="594" t="s">
        <v>1287</v>
      </c>
      <c r="D3" s="594" t="s">
        <v>1289</v>
      </c>
      <c r="E3" s="594" t="s">
        <v>1290</v>
      </c>
      <c r="F3" s="594" t="s">
        <v>1492</v>
      </c>
      <c r="G3" s="594" t="s">
        <v>1286</v>
      </c>
      <c r="H3" s="594" t="s">
        <v>1287</v>
      </c>
      <c r="I3" s="594" t="s">
        <v>1289</v>
      </c>
      <c r="J3" s="594" t="s">
        <v>1290</v>
      </c>
      <c r="K3" s="594" t="s">
        <v>1492</v>
      </c>
      <c r="L3" s="594" t="s">
        <v>1286</v>
      </c>
      <c r="M3" s="594" t="s">
        <v>1287</v>
      </c>
      <c r="N3" s="594" t="s">
        <v>1289</v>
      </c>
      <c r="O3" s="594" t="s">
        <v>1290</v>
      </c>
      <c r="P3" s="594" t="s">
        <v>1492</v>
      </c>
      <c r="Q3" s="594" t="s">
        <v>1286</v>
      </c>
      <c r="R3" s="594" t="s">
        <v>1287</v>
      </c>
      <c r="S3" s="594" t="s">
        <v>1289</v>
      </c>
      <c r="T3" s="594" t="s">
        <v>1290</v>
      </c>
      <c r="U3" s="594" t="s">
        <v>1492</v>
      </c>
      <c r="V3" s="594" t="s">
        <v>1286</v>
      </c>
      <c r="W3" s="594" t="s">
        <v>1287</v>
      </c>
      <c r="X3" s="594" t="s">
        <v>1289</v>
      </c>
      <c r="Y3" s="594" t="s">
        <v>1290</v>
      </c>
    </row>
    <row r="4" spans="1:25">
      <c r="A4" s="594">
        <f>'[2]Alean Family Resort &amp; SPA Dovil'!A8</f>
        <v>44</v>
      </c>
      <c r="B4" s="594">
        <f>'[2]Alean Family Resort &amp; SPA Dovil'!AI8</f>
        <v>36781.950844854066</v>
      </c>
      <c r="C4" s="594">
        <f>'[2]Alean Family Resort &amp; SPA Dovil'!AI23</f>
        <v>49897.888888888883</v>
      </c>
      <c r="D4" s="594">
        <f>'[2]Alean Family Resort &amp; SPA Dovil'!AI38</f>
        <v>69696.681003584221</v>
      </c>
      <c r="E4" s="594">
        <f>'[2]Alean Family Resort &amp; SPA Dovil'!AI53</f>
        <v>36369.247311827959</v>
      </c>
      <c r="F4" s="594">
        <f>'[2]Отель "Город MIRA"'!A3</f>
        <v>40</v>
      </c>
      <c r="G4" s="594">
        <f>'[2]Отель "Город MIRA"'!AI8</f>
        <v>27689.938556067587</v>
      </c>
      <c r="H4" s="594">
        <f>'[2]Отель "Город MIRA"'!AI23</f>
        <v>30916.845878136199</v>
      </c>
      <c r="I4" s="594">
        <f>'[2]Отель "Город MIRA"'!AI38</f>
        <v>40817.204301075268</v>
      </c>
      <c r="J4" s="594">
        <f>'[2]Отель "Город MIRA"'!AI53</f>
        <v>27266.666666666668</v>
      </c>
      <c r="K4" s="594">
        <f>'[2]Отель Movenpik resort&amp;spa'!A3</f>
        <v>43</v>
      </c>
      <c r="L4" s="594">
        <f>'[2]Отель Movenpik resort&amp;spa'!AI7</f>
        <v>39363.133640552995</v>
      </c>
      <c r="M4" s="594">
        <f>'[2]Отель Movenpik resort&amp;spa'!AI19</f>
        <v>42976.702508960567</v>
      </c>
      <c r="N4" s="594">
        <f>'[2]Отель Movenpik resort&amp;spa'!AI31</f>
        <v>59788.172043010745</v>
      </c>
      <c r="O4" s="594">
        <f>'[2]Отель Movenpik resort&amp;spa'!AI43</f>
        <v>38694.982078853049</v>
      </c>
      <c r="P4" s="594">
        <f>'[2]Отель FЮNF '!A3</f>
        <v>45</v>
      </c>
      <c r="Q4" s="594">
        <f>'[2]Отель FЮNF '!AI8</f>
        <v>49216.850998463895</v>
      </c>
      <c r="R4" s="594">
        <f>'[2]Отель FЮNF '!AI23</f>
        <v>53587.096774193546</v>
      </c>
      <c r="S4" s="594">
        <f>'[2]Отель FЮNF '!AI38</f>
        <v>60083.870967741939</v>
      </c>
      <c r="T4" s="594">
        <f>'[2]Отель FЮNF '!AI53</f>
        <v>47974.551971326167</v>
      </c>
      <c r="U4" s="594">
        <f>'[2]Radisson Collection Paradise Re'!A3</f>
        <v>32</v>
      </c>
      <c r="V4" s="594">
        <f>'[2]Radisson Collection Paradise Re'!AI8</f>
        <v>38792.319508448541</v>
      </c>
      <c r="W4" s="594">
        <f>'[2]Radisson Collection Paradise Re'!AI23</f>
        <v>43350.709677419356</v>
      </c>
      <c r="X4" s="594">
        <f>'[2]Radisson Collection Paradise Re'!AI38</f>
        <v>56282.437275985663</v>
      </c>
      <c r="Y4" s="594">
        <f>'[2]Radisson Collection Paradise Re'!AI53</f>
        <v>39747.670250896052</v>
      </c>
    </row>
    <row r="5" spans="1:25">
      <c r="A5" s="594">
        <f>'[2]Alean Family Resort &amp; SPA Dovil'!A9</f>
        <v>78</v>
      </c>
      <c r="B5" s="594">
        <f>'[2]Alean Family Resort &amp; SPA Dovil'!AI9</f>
        <v>0</v>
      </c>
      <c r="C5" s="594">
        <f>'[2]Alean Family Resort &amp; SPA Dovil'!AI24</f>
        <v>85674.146953405012</v>
      </c>
      <c r="D5" s="594">
        <f>'[2]Alean Family Resort &amp; SPA Dovil'!AI39</f>
        <v>123127.89247311826</v>
      </c>
      <c r="E5" s="594">
        <f>'[2]Alean Family Resort &amp; SPA Dovil'!AI54</f>
        <v>69877.096774193546</v>
      </c>
      <c r="F5" s="594"/>
      <c r="G5" s="594"/>
      <c r="H5" s="594"/>
      <c r="I5" s="594"/>
      <c r="J5" s="594"/>
      <c r="K5" s="594">
        <f>'[2]Отель Movenpik resort&amp;spa'!A4</f>
        <v>90</v>
      </c>
      <c r="L5" s="594">
        <f>'[2]Отель Movenpik resort&amp;spa'!AI8</f>
        <v>58727.188940092165</v>
      </c>
      <c r="M5" s="594">
        <f>'[2]Отель Movenpik resort&amp;spa'!AI20</f>
        <v>62976.702508960581</v>
      </c>
      <c r="N5" s="594">
        <f>'[2]Отель Movenpik resort&amp;spa'!AI32</f>
        <v>84512.186379928316</v>
      </c>
      <c r="O5" s="594">
        <f>'[2]Отель Movenpik resort&amp;spa'!AI44</f>
        <v>55300.716845878131</v>
      </c>
      <c r="P5" s="594">
        <f>'[2]Отель FЮNF '!A4</f>
        <v>75</v>
      </c>
      <c r="Q5" s="594">
        <f>'[2]Отель FЮNF '!AI9</f>
        <v>67135.449308755764</v>
      </c>
      <c r="R5" s="594">
        <f>'[2]Отель FЮNF '!AI24</f>
        <v>72343.953405017921</v>
      </c>
      <c r="S5" s="594">
        <f>'[2]Отель FЮNF '!AI39</f>
        <v>80480.645161290318</v>
      </c>
      <c r="T5" s="594">
        <f>'[2]Отель FЮNF '!AI54</f>
        <v>69344.444444444438</v>
      </c>
      <c r="U5" s="594">
        <f>'[2]Radisson Collection Paradise Re'!A4</f>
        <v>65</v>
      </c>
      <c r="V5" s="594">
        <f>'[2]Radisson Collection Paradise Re'!AI9</f>
        <v>75190.168970814135</v>
      </c>
      <c r="W5" s="594">
        <f>'[2]Radisson Collection Paradise Re'!AI24</f>
        <v>83968.458781362002</v>
      </c>
      <c r="X5" s="594">
        <f>'[2]Radisson Collection Paradise Re'!AI39</f>
        <v>117250.17921146954</v>
      </c>
      <c r="Y5" s="594">
        <f>'[2]Radisson Collection Paradise Re'!AI54</f>
        <v>80715.412186379937</v>
      </c>
    </row>
    <row r="6" spans="1:25">
      <c r="A6" s="594">
        <f>'[2]Alean Family Resort &amp; SPA Dovil'!A10</f>
        <v>110</v>
      </c>
      <c r="B6" s="594">
        <f>'[2]Alean Family Resort &amp; SPA Dovil'!AI10</f>
        <v>0</v>
      </c>
      <c r="C6" s="594">
        <f>'[2]Alean Family Resort &amp; SPA Dovil'!AI25</f>
        <v>94058.44802867384</v>
      </c>
      <c r="D6" s="594">
        <f>'[2]Alean Family Resort &amp; SPA Dovil'!AI40</f>
        <v>130085.53405017922</v>
      </c>
      <c r="E6" s="594">
        <f>'[2]Alean Family Resort &amp; SPA Dovil'!AI55</f>
        <v>73437.419354838712</v>
      </c>
      <c r="F6" s="594"/>
      <c r="G6" s="594"/>
      <c r="H6" s="594"/>
      <c r="I6" s="594"/>
      <c r="J6" s="594"/>
      <c r="K6" s="594">
        <f>'[2]Отель Movenpik resort&amp;spa'!A5</f>
        <v>80</v>
      </c>
      <c r="L6" s="594">
        <f>'[2]Отель Movenpik resort&amp;spa'!AI9</f>
        <v>49923.809523809527</v>
      </c>
      <c r="M6" s="594">
        <f>'[2]Отель Movenpik resort&amp;spa'!AI21</f>
        <v>52976.702508960567</v>
      </c>
      <c r="N6" s="594">
        <f>'[2]Отель Movenpik resort&amp;spa'!AI33</f>
        <v>66481.362007168456</v>
      </c>
      <c r="O6" s="594">
        <f>'[2]Отель Movenpik resort&amp;spa'!AI45</f>
        <v>52272.043010752684</v>
      </c>
      <c r="P6" s="594">
        <f>'[2]Отель FЮNF '!A5</f>
        <v>180</v>
      </c>
      <c r="Q6" s="594">
        <f>'[2]Отель FЮNF '!AI10</f>
        <v>257797.22734254994</v>
      </c>
      <c r="R6" s="594">
        <f>'[2]Отель FЮNF '!AI25</f>
        <v>264887.09677419352</v>
      </c>
      <c r="S6" s="594">
        <f>'[2]Отель FЮNF '!AI40</f>
        <v>271383.87096774194</v>
      </c>
      <c r="T6" s="594">
        <f>'[2]Отель FЮNF '!AI55</f>
        <v>227007.88530465952</v>
      </c>
      <c r="U6" s="594">
        <f>'[2]Radisson Collection Paradise Re'!A5</f>
        <v>125</v>
      </c>
      <c r="V6" s="594">
        <f>'[2]Radisson Collection Paradise Re'!AI10</f>
        <v>108909.37019969278</v>
      </c>
      <c r="W6" s="594">
        <f>'[2]Radisson Collection Paradise Re'!AI25</f>
        <v>133834.40860215054</v>
      </c>
      <c r="X6" s="594">
        <f>'[2]Radisson Collection Paradise Re'!AI40</f>
        <v>227605.37634408602</v>
      </c>
      <c r="Y6" s="594">
        <f>'[2]Radisson Collection Paradise Re'!AI55</f>
        <v>118949.46236559139</v>
      </c>
    </row>
    <row r="7" spans="1:25">
      <c r="A7" s="594"/>
      <c r="B7" s="594"/>
      <c r="C7" s="594"/>
      <c r="D7" s="594"/>
      <c r="E7" s="594"/>
      <c r="F7" s="594"/>
      <c r="G7" s="594"/>
      <c r="H7" s="594"/>
      <c r="I7" s="594"/>
      <c r="J7" s="594"/>
      <c r="K7" s="594"/>
      <c r="L7" s="594"/>
      <c r="M7" s="594"/>
      <c r="N7" s="594"/>
      <c r="O7" s="594"/>
      <c r="P7" s="594"/>
      <c r="Q7" s="594"/>
      <c r="R7" s="594"/>
      <c r="S7" s="594"/>
      <c r="T7" s="594"/>
      <c r="U7" s="594"/>
      <c r="V7" s="594"/>
      <c r="W7" s="594"/>
      <c r="X7" s="594"/>
      <c r="Y7" s="594"/>
    </row>
    <row r="8" spans="1:25" s="580" customFormat="1">
      <c r="A8" s="580" t="s">
        <v>1493</v>
      </c>
    </row>
    <row r="9" spans="1:25">
      <c r="A9" s="668" t="s">
        <v>1277</v>
      </c>
      <c r="B9" s="668" t="s">
        <v>1494</v>
      </c>
      <c r="C9" s="670" t="s">
        <v>1495</v>
      </c>
      <c r="D9" s="671"/>
      <c r="E9" s="671"/>
      <c r="F9" s="672"/>
      <c r="G9" s="670" t="s">
        <v>1496</v>
      </c>
      <c r="H9" s="671"/>
      <c r="I9" s="671"/>
      <c r="J9" s="672"/>
    </row>
    <row r="10" spans="1:25">
      <c r="A10" s="669"/>
      <c r="B10" s="669"/>
      <c r="C10" s="594" t="s">
        <v>1458</v>
      </c>
      <c r="D10" s="594" t="s">
        <v>1459</v>
      </c>
      <c r="E10" s="594" t="s">
        <v>1460</v>
      </c>
      <c r="F10" s="594" t="s">
        <v>1461</v>
      </c>
      <c r="G10" s="594" t="s">
        <v>1458</v>
      </c>
      <c r="H10" s="594" t="s">
        <v>1459</v>
      </c>
      <c r="I10" s="594" t="s">
        <v>1460</v>
      </c>
      <c r="J10" s="594" t="s">
        <v>1461</v>
      </c>
    </row>
    <row r="11" spans="1:25">
      <c r="A11" s="599" t="s">
        <v>1546</v>
      </c>
      <c r="B11" s="599">
        <f>Предпосылки!E122</f>
        <v>40</v>
      </c>
      <c r="C11" s="594">
        <f>AVERAGE(B4,G4,L4,Q4,V4)</f>
        <v>38368.838709677417</v>
      </c>
      <c r="D11" s="594">
        <f t="shared" ref="D11:F11" si="0">AVERAGE(C4,H4,M4,R4,W4)</f>
        <v>44145.84874551971</v>
      </c>
      <c r="E11" s="594">
        <f t="shared" si="0"/>
        <v>57333.67311827957</v>
      </c>
      <c r="F11" s="594">
        <f t="shared" si="0"/>
        <v>38010.62365591398</v>
      </c>
      <c r="G11" s="595">
        <f>C11/C11</f>
        <v>1</v>
      </c>
      <c r="H11" s="595">
        <f>D11/D11</f>
        <v>1</v>
      </c>
      <c r="I11" s="595">
        <f>E11/E11</f>
        <v>1</v>
      </c>
      <c r="J11" s="595">
        <f>F11/F11</f>
        <v>1</v>
      </c>
    </row>
    <row r="12" spans="1:25">
      <c r="A12" s="599" t="s">
        <v>1549</v>
      </c>
      <c r="B12" s="599">
        <f>Предпосылки!E123</f>
        <v>80</v>
      </c>
      <c r="C12" s="594">
        <f>AVERAGE(B5,L6,Q5,V5)</f>
        <v>48062.356950844856</v>
      </c>
      <c r="D12" s="594">
        <f t="shared" ref="D12:F12" si="1">AVERAGE(C5,M6,R5,W5)</f>
        <v>73740.815412186377</v>
      </c>
      <c r="E12" s="594">
        <f t="shared" si="1"/>
        <v>96835.019713261645</v>
      </c>
      <c r="F12" s="594">
        <f t="shared" si="1"/>
        <v>68052.249103942653</v>
      </c>
      <c r="G12" s="595">
        <f>C12/C11</f>
        <v>1.2526403864999576</v>
      </c>
      <c r="H12" s="595">
        <f>D12/D11</f>
        <v>1.6703907050755302</v>
      </c>
      <c r="I12" s="595">
        <f>E12/E11</f>
        <v>1.6889728923086902</v>
      </c>
      <c r="J12" s="595">
        <f>F12/F11</f>
        <v>1.7903481331949831</v>
      </c>
    </row>
    <row r="13" spans="1:25">
      <c r="A13" s="599" t="s">
        <v>1548</v>
      </c>
      <c r="B13" s="599">
        <f>Предпосылки!E124</f>
        <v>160</v>
      </c>
      <c r="C13" s="594">
        <f>AVERAGE(B6,G7,V6,G6,Q6)</f>
        <v>122235.53251408091</v>
      </c>
      <c r="D13" s="594">
        <f t="shared" ref="D13:F13" si="2">AVERAGE(C6,H7,W6,H6,R6)</f>
        <v>164259.9844683393</v>
      </c>
      <c r="E13" s="594">
        <f t="shared" si="2"/>
        <v>209691.5937873357</v>
      </c>
      <c r="F13" s="594">
        <f t="shared" si="2"/>
        <v>139798.25567502985</v>
      </c>
      <c r="G13" s="594">
        <f t="shared" ref="G13" si="3">AVERAGE(F6,K7,Z6,U6,K6)</f>
        <v>102.5</v>
      </c>
      <c r="H13" s="595">
        <f>D13/D11</f>
        <v>3.7208478064431771</v>
      </c>
      <c r="I13" s="595">
        <f>E13/E11</f>
        <v>3.6573898440928634</v>
      </c>
      <c r="J13" s="595">
        <f>F13/F11</f>
        <v>3.6778732425054272</v>
      </c>
    </row>
    <row r="14" spans="1:25" s="580" customFormat="1">
      <c r="A14" s="580" t="s">
        <v>1493</v>
      </c>
    </row>
    <row r="15" spans="1:25">
      <c r="C15" s="666" t="s">
        <v>1495</v>
      </c>
      <c r="D15" s="666"/>
      <c r="E15" s="666"/>
      <c r="F15" s="666"/>
      <c r="G15" s="666"/>
      <c r="H15" s="666"/>
      <c r="I15" s="666"/>
      <c r="J15" s="666"/>
    </row>
    <row r="16" spans="1:25">
      <c r="C16" s="594" t="s">
        <v>1458</v>
      </c>
      <c r="D16" s="594" t="s">
        <v>1459</v>
      </c>
      <c r="E16" s="594" t="s">
        <v>1460</v>
      </c>
      <c r="F16" s="594" t="s">
        <v>1461</v>
      </c>
      <c r="G16" s="594"/>
      <c r="H16" s="594"/>
      <c r="I16" s="594"/>
      <c r="J16" s="594"/>
    </row>
    <row r="17" spans="1:14">
      <c r="A17" s="598" t="s">
        <v>1497</v>
      </c>
      <c r="B17" s="598"/>
      <c r="C17" s="596">
        <v>7682.8333333333339</v>
      </c>
      <c r="D17" s="596">
        <v>8805.5</v>
      </c>
      <c r="E17" s="596">
        <v>10321</v>
      </c>
      <c r="F17" s="596">
        <v>7632.833333333333</v>
      </c>
      <c r="G17" s="596"/>
      <c r="H17" s="596"/>
      <c r="I17" s="596"/>
      <c r="J17" s="596"/>
    </row>
    <row r="18" spans="1:14">
      <c r="A18" s="598" t="s">
        <v>1498</v>
      </c>
      <c r="B18" s="598"/>
      <c r="C18" s="596">
        <f>C17/1.2</f>
        <v>6402.3611111111122</v>
      </c>
      <c r="D18" s="596">
        <f t="shared" ref="D18:F18" si="4">D17/1.2</f>
        <v>7337.916666666667</v>
      </c>
      <c r="E18" s="596">
        <f t="shared" si="4"/>
        <v>8600.8333333333339</v>
      </c>
      <c r="F18" s="596">
        <f t="shared" si="4"/>
        <v>6360.6944444444443</v>
      </c>
      <c r="G18" s="596"/>
      <c r="H18" s="596"/>
      <c r="I18" s="596"/>
      <c r="J18" s="596"/>
    </row>
    <row r="19" spans="1:14" s="580" customFormat="1">
      <c r="A19" s="580" t="s">
        <v>1499</v>
      </c>
    </row>
    <row r="20" spans="1:14" ht="14.45" customHeight="1">
      <c r="A20" s="666" t="s">
        <v>1277</v>
      </c>
      <c r="B20" s="666" t="s">
        <v>1494</v>
      </c>
      <c r="C20" s="594" t="s">
        <v>665</v>
      </c>
      <c r="D20" s="666" t="s">
        <v>1495</v>
      </c>
      <c r="E20" s="666"/>
      <c r="F20" s="666"/>
      <c r="G20" s="666"/>
      <c r="H20" s="666" t="s">
        <v>1500</v>
      </c>
      <c r="I20" s="666"/>
      <c r="J20" s="666"/>
      <c r="K20" s="666"/>
    </row>
    <row r="21" spans="1:14">
      <c r="A21" s="666"/>
      <c r="B21" s="666"/>
      <c r="C21" s="594"/>
      <c r="D21" s="594" t="s">
        <v>1458</v>
      </c>
      <c r="E21" s="594" t="s">
        <v>1459</v>
      </c>
      <c r="F21" s="594" t="s">
        <v>1460</v>
      </c>
      <c r="G21" s="594" t="s">
        <v>1461</v>
      </c>
      <c r="H21" s="594" t="s">
        <v>1458</v>
      </c>
      <c r="I21" s="594" t="s">
        <v>1459</v>
      </c>
      <c r="J21" s="594" t="s">
        <v>1460</v>
      </c>
      <c r="K21" s="594" t="s">
        <v>1461</v>
      </c>
    </row>
    <row r="22" spans="1:14">
      <c r="A22" s="599" t="s">
        <v>1546</v>
      </c>
      <c r="B22" s="599">
        <f>B11</f>
        <v>40</v>
      </c>
      <c r="C22" s="14">
        <v>104</v>
      </c>
      <c r="D22" s="596">
        <f>(C11-C$17*2)</f>
        <v>23003.172043010749</v>
      </c>
      <c r="E22" s="596">
        <f t="shared" ref="E22:G22" si="5">(D11-D$17*2)</f>
        <v>26534.84874551971</v>
      </c>
      <c r="F22" s="596">
        <f t="shared" si="5"/>
        <v>36691.67311827957</v>
      </c>
      <c r="G22" s="596">
        <f t="shared" si="5"/>
        <v>22744.956989247316</v>
      </c>
      <c r="H22" s="596">
        <f>(D22*$N$22*$N$26+D22*$N$23*$N$25)/1.2*'Понижающий коэффициент'!$B$7</f>
        <v>17209.966782847579</v>
      </c>
      <c r="I22" s="596">
        <f>(E22*$N$22*$N$26+E22*$N$23*$N$25)/1.2*'Понижающий коэффициент'!$B$7</f>
        <v>19852.212757632751</v>
      </c>
      <c r="J22" s="596">
        <f>(F22*$N$22*$N$26+F22*$N$23*$N$25)/1.2*'Понижающий коэффициент'!$B$7</f>
        <v>27451.104325612156</v>
      </c>
      <c r="K22" s="596">
        <f>(G22*$N$22*$N$26+G22*$N$23*$N$25)/1.2*'Понижающий коэффициент'!$B$7</f>
        <v>17016.781578224894</v>
      </c>
      <c r="L22" t="s">
        <v>1259</v>
      </c>
      <c r="N22" s="602">
        <f>'Анализ рынка'!D42</f>
        <v>0.48</v>
      </c>
    </row>
    <row r="23" spans="1:14">
      <c r="A23" s="599" t="s">
        <v>1549</v>
      </c>
      <c r="B23" s="599">
        <f t="shared" ref="B23:B24" si="6">B12</f>
        <v>80</v>
      </c>
      <c r="C23" s="14">
        <v>10</v>
      </c>
      <c r="D23" s="596">
        <f>(C12-$C$17*2)</f>
        <v>32696.690284178188</v>
      </c>
      <c r="E23" s="596">
        <f t="shared" ref="E23:G23" si="7">(D12-$C$17*2)</f>
        <v>58375.148745519706</v>
      </c>
      <c r="F23" s="596">
        <f t="shared" si="7"/>
        <v>81469.353046594973</v>
      </c>
      <c r="G23" s="596">
        <f t="shared" si="7"/>
        <v>52686.582437275982</v>
      </c>
      <c r="H23" s="596">
        <f>(D23*$N$22*$N$26+D23*$N$23*$N$25)/1.2*'Понижающий коэффициент'!$B$7</f>
        <v>24462.232975853196</v>
      </c>
      <c r="I23" s="596">
        <f>(E23*$N$22*$N$26+E23*$N$23*$N$25)/1.2*'Понижающий коэффициент'!$B$7</f>
        <v>43673.731995558737</v>
      </c>
      <c r="J23" s="596">
        <f>(F23*$N$22*$N$26+F23*$N$23*$N$25)/1.2*'Понижающий коэффициент'!$B$7</f>
        <v>60951.805130631503</v>
      </c>
      <c r="K23" s="596">
        <f>(G23*$N$22*$N$26+G23*$N$23*$N$25)/1.2*'Понижающий коэффициент'!$B$7</f>
        <v>39417.795595837451</v>
      </c>
      <c r="L23" t="s">
        <v>1260</v>
      </c>
      <c r="N23" s="602">
        <f>'Анализ рынка'!D43</f>
        <v>0.52</v>
      </c>
    </row>
    <row r="24" spans="1:14">
      <c r="A24" s="599" t="s">
        <v>1548</v>
      </c>
      <c r="B24" s="599">
        <f t="shared" si="6"/>
        <v>160</v>
      </c>
      <c r="C24" s="14">
        <v>6</v>
      </c>
      <c r="D24" s="596">
        <f>(C13-$C$17*2)</f>
        <v>106869.86584741424</v>
      </c>
      <c r="E24" s="596">
        <f t="shared" ref="E24:G24" si="8">(D13-$C$17*2)</f>
        <v>148894.31780167265</v>
      </c>
      <c r="F24" s="596">
        <f t="shared" si="8"/>
        <v>194325.92712066905</v>
      </c>
      <c r="G24" s="596">
        <f t="shared" si="8"/>
        <v>124432.58900836318</v>
      </c>
      <c r="H24" s="596">
        <f>(D24*$N$22*$N$26+D24*$N$23*$N$25)/1.2*'Понижающий коэффициент'!$B$7</f>
        <v>79955.357369080928</v>
      </c>
      <c r="I24" s="596">
        <f>(E24*$N$22*$N$26+E24*$N$23*$N$25)/1.2*'Понижающий коэффициент'!$B$7</f>
        <v>111396.21347570251</v>
      </c>
      <c r="J24" s="596">
        <f>(F24*$N$22*$N$26+F24*$N$23*$N$25)/1.2*'Понижающий коэффициент'!$B$7</f>
        <v>145386.1556371272</v>
      </c>
      <c r="K24" s="596">
        <f>(G24*$N$22*$N$26+G24*$N$23*$N$25)/1.2*'Понижающий коэффициент'!$B$7</f>
        <v>93095.018353710911</v>
      </c>
      <c r="L24" t="s">
        <v>662</v>
      </c>
    </row>
    <row r="25" spans="1:14">
      <c r="A25" s="599"/>
      <c r="B25" s="599"/>
      <c r="C25" s="594"/>
      <c r="D25" s="596"/>
      <c r="E25" s="596"/>
      <c r="F25" s="596"/>
      <c r="G25" s="596"/>
      <c r="H25" s="596"/>
      <c r="I25" s="596"/>
      <c r="J25" s="596"/>
      <c r="K25" s="596"/>
      <c r="L25" t="s">
        <v>663</v>
      </c>
      <c r="N25">
        <v>1</v>
      </c>
    </row>
    <row r="26" spans="1:14">
      <c r="A26" s="599"/>
      <c r="B26" s="599"/>
      <c r="C26" s="594"/>
      <c r="D26" s="596"/>
      <c r="E26" s="596"/>
      <c r="F26" s="596"/>
      <c r="G26" s="596"/>
      <c r="H26" s="596"/>
      <c r="I26" s="596"/>
      <c r="J26" s="596"/>
      <c r="K26" s="596"/>
      <c r="L26" t="s">
        <v>664</v>
      </c>
      <c r="N26">
        <v>0.85</v>
      </c>
    </row>
    <row r="27" spans="1:14">
      <c r="A27" s="599" t="s">
        <v>20</v>
      </c>
      <c r="B27" s="594"/>
      <c r="C27" s="599">
        <f>SUM(C22:C26)</f>
        <v>120</v>
      </c>
      <c r="D27" s="594"/>
      <c r="E27" s="665" t="s">
        <v>1501</v>
      </c>
      <c r="F27" s="665"/>
      <c r="G27" s="665"/>
      <c r="H27" s="597">
        <f>(H22*$C$22+$C$23*H23+$C$24*H24+$C$25*H25+$C$26*H26)/$C$27</f>
        <v>20951.591828243047</v>
      </c>
      <c r="I27" s="597">
        <f>(I22*$C$22+$C$23*I23+$C$24*I24+$C$25*I25+$C$26*I26)/$C$27</f>
        <v>26414.539396696739</v>
      </c>
      <c r="J27" s="597">
        <f>(J22*$C$22+$C$23*J23+$C$24*J24+$C$25*J25+$C$26*J26)/$C$27</f>
        <v>36139.581958272851</v>
      </c>
      <c r="K27" s="597">
        <f>(K22*$C$22+$C$23*K23+$C$24*K24+$C$25*K25+$C$26*K26)/$C$27</f>
        <v>22687.444585133577</v>
      </c>
    </row>
    <row r="28" spans="1:14">
      <c r="A28" s="594"/>
      <c r="B28" s="594"/>
      <c r="C28" s="594"/>
      <c r="D28" s="594"/>
      <c r="E28" s="665" t="s">
        <v>1502</v>
      </c>
      <c r="F28" s="665"/>
      <c r="G28" s="665"/>
      <c r="H28" s="597">
        <v>4712.4934752594309</v>
      </c>
      <c r="I28" s="597">
        <v>7005.1008061283574</v>
      </c>
      <c r="J28" s="597">
        <v>10109.146679730991</v>
      </c>
      <c r="K28" s="597">
        <v>5113.1578319155569</v>
      </c>
    </row>
    <row r="29" spans="1:14">
      <c r="E29" t="s">
        <v>1503</v>
      </c>
      <c r="G29">
        <f>(H28*H27+I28*I27+J27*J28+K27*K28)/SUM(H28:K28)</f>
        <v>28400.83315877194</v>
      </c>
    </row>
    <row r="32" spans="1:14" ht="33">
      <c r="A32" s="527" t="s">
        <v>1445</v>
      </c>
    </row>
    <row r="33" spans="1:15">
      <c r="A33" s="675" t="s">
        <v>1558</v>
      </c>
      <c r="B33" s="677" t="s">
        <v>22</v>
      </c>
      <c r="C33" s="673" t="s">
        <v>1521</v>
      </c>
      <c r="D33" s="673" t="s">
        <v>150</v>
      </c>
      <c r="E33" s="673" t="s">
        <v>150</v>
      </c>
      <c r="F33" s="673" t="s">
        <v>150</v>
      </c>
      <c r="G33" s="673" t="s">
        <v>150</v>
      </c>
      <c r="H33" s="673" t="s">
        <v>150</v>
      </c>
      <c r="I33" s="673" t="s">
        <v>150</v>
      </c>
      <c r="J33" s="673" t="s">
        <v>150</v>
      </c>
      <c r="K33" s="673" t="s">
        <v>150</v>
      </c>
      <c r="L33" s="673" t="s">
        <v>150</v>
      </c>
      <c r="M33" s="673" t="s">
        <v>150</v>
      </c>
      <c r="N33" s="674" t="s">
        <v>1553</v>
      </c>
      <c r="O33" s="674" t="s">
        <v>1554</v>
      </c>
    </row>
    <row r="34" spans="1:15">
      <c r="A34" s="676"/>
      <c r="B34" s="678"/>
      <c r="C34" s="648" t="s">
        <v>1522</v>
      </c>
      <c r="D34" s="648" t="s">
        <v>1523</v>
      </c>
      <c r="E34" s="648" t="s">
        <v>1524</v>
      </c>
      <c r="F34" s="648" t="s">
        <v>1525</v>
      </c>
      <c r="G34" s="648" t="s">
        <v>1526</v>
      </c>
      <c r="H34" s="648" t="s">
        <v>1527</v>
      </c>
      <c r="I34" s="648" t="s">
        <v>1528</v>
      </c>
      <c r="J34" s="648" t="s">
        <v>1529</v>
      </c>
      <c r="K34" s="648" t="s">
        <v>1508</v>
      </c>
      <c r="L34" s="648" t="s">
        <v>1530</v>
      </c>
      <c r="M34" s="648" t="s">
        <v>1531</v>
      </c>
      <c r="N34" s="674"/>
      <c r="O34" s="674"/>
    </row>
    <row r="35" spans="1:15" ht="25.5">
      <c r="A35" s="608" t="s">
        <v>1242</v>
      </c>
      <c r="B35" s="609" t="s">
        <v>1537</v>
      </c>
      <c r="C35" s="647">
        <v>3050.99</v>
      </c>
      <c r="D35" s="647">
        <v>3214.37</v>
      </c>
      <c r="E35" s="647">
        <v>3401.44</v>
      </c>
      <c r="F35" s="647">
        <v>3545.6</v>
      </c>
      <c r="G35" s="647">
        <v>3754.13</v>
      </c>
      <c r="H35" s="647">
        <v>4243.97</v>
      </c>
      <c r="I35" s="647">
        <v>4473.25</v>
      </c>
      <c r="J35" s="647">
        <v>4368.55</v>
      </c>
      <c r="K35" s="647">
        <v>4314.21</v>
      </c>
      <c r="L35" s="647">
        <v>3696.86</v>
      </c>
      <c r="M35" s="647">
        <v>3599.83</v>
      </c>
      <c r="N35" s="649">
        <f>AVERAGE(C35:M35)</f>
        <v>3787.5636363636368</v>
      </c>
      <c r="O35" s="649">
        <f>N35/1.2</f>
        <v>3156.3030303030309</v>
      </c>
    </row>
    <row r="36" spans="1:15" ht="25.5">
      <c r="A36" s="608" t="s">
        <v>1534</v>
      </c>
      <c r="B36" s="609" t="s">
        <v>1537</v>
      </c>
      <c r="C36" s="647">
        <v>3150.23</v>
      </c>
      <c r="D36" s="647">
        <v>3395.66</v>
      </c>
      <c r="E36" s="647">
        <v>3395.66</v>
      </c>
      <c r="F36" s="647">
        <v>3395.66</v>
      </c>
      <c r="G36" s="647">
        <v>3402.97</v>
      </c>
      <c r="H36" s="647">
        <v>3402.97</v>
      </c>
      <c r="I36" s="647">
        <v>3402.97</v>
      </c>
      <c r="J36" s="647">
        <v>3423.26</v>
      </c>
      <c r="K36" s="647">
        <v>3431.11</v>
      </c>
      <c r="L36" s="647">
        <v>3431.11</v>
      </c>
      <c r="M36" s="647">
        <v>3431.11</v>
      </c>
      <c r="N36" s="649">
        <f>AVERAGE(C36:M36)</f>
        <v>3387.5190909090916</v>
      </c>
      <c r="O36" s="649">
        <f>N36/1.2</f>
        <v>2822.9325757575766</v>
      </c>
    </row>
    <row r="37" spans="1:15" ht="16.5">
      <c r="A37" s="527"/>
      <c r="B37" s="480"/>
      <c r="C37" s="480"/>
      <c r="D37" s="480"/>
    </row>
    <row r="38" spans="1:15" ht="16.5">
      <c r="A38" s="527"/>
      <c r="B38" s="480"/>
      <c r="C38" s="480"/>
      <c r="D38" s="480"/>
    </row>
    <row r="39" spans="1:15" ht="66">
      <c r="A39" s="525" t="s">
        <v>1275</v>
      </c>
      <c r="B39" s="525" t="s">
        <v>1276</v>
      </c>
      <c r="C39" s="525" t="s">
        <v>1277</v>
      </c>
      <c r="D39" s="525" t="s">
        <v>1559</v>
      </c>
      <c r="E39" s="525" t="s">
        <v>1560</v>
      </c>
    </row>
    <row r="40" spans="1:15" ht="16.5">
      <c r="A40" s="663" t="s">
        <v>1280</v>
      </c>
      <c r="B40" s="663" t="s">
        <v>1279</v>
      </c>
      <c r="C40" s="663" t="s">
        <v>1278</v>
      </c>
      <c r="D40" s="520">
        <v>1800</v>
      </c>
      <c r="E40" s="520">
        <v>1800</v>
      </c>
      <c r="F40" t="s">
        <v>1555</v>
      </c>
    </row>
    <row r="41" spans="1:15" ht="16.5">
      <c r="A41" s="663"/>
      <c r="B41" s="663"/>
      <c r="C41" s="663"/>
      <c r="D41" s="520">
        <v>5000</v>
      </c>
      <c r="E41" s="520">
        <v>5000</v>
      </c>
      <c r="F41" t="s">
        <v>1556</v>
      </c>
    </row>
    <row r="42" spans="1:15" ht="16.5">
      <c r="A42" s="663"/>
      <c r="B42" s="663"/>
      <c r="C42" s="663"/>
      <c r="D42" s="520"/>
      <c r="E42" s="520"/>
    </row>
    <row r="43" spans="1:15" ht="16.5">
      <c r="A43" s="663"/>
      <c r="B43" s="663"/>
      <c r="C43" s="663"/>
      <c r="D43" s="520"/>
      <c r="E43" s="520"/>
    </row>
    <row r="44" spans="1:15" ht="16.5">
      <c r="A44" s="663"/>
      <c r="B44" s="663"/>
      <c r="C44" s="663"/>
      <c r="D44" s="520"/>
      <c r="E44" s="520"/>
    </row>
    <row r="45" spans="1:15" ht="16.5">
      <c r="A45" s="664" t="s">
        <v>1281</v>
      </c>
      <c r="B45" s="664" t="s">
        <v>1446</v>
      </c>
      <c r="C45" s="664" t="s">
        <v>1278</v>
      </c>
      <c r="D45" s="520">
        <v>2500</v>
      </c>
      <c r="E45" s="520">
        <v>2500</v>
      </c>
      <c r="F45" t="s">
        <v>1555</v>
      </c>
    </row>
    <row r="46" spans="1:15" ht="16.5">
      <c r="A46" s="664"/>
      <c r="B46" s="664"/>
      <c r="C46" s="664"/>
      <c r="D46" s="520">
        <v>2500</v>
      </c>
      <c r="E46" s="520">
        <v>2500</v>
      </c>
      <c r="F46" t="s">
        <v>1556</v>
      </c>
    </row>
    <row r="47" spans="1:15" ht="16.5">
      <c r="A47" s="664"/>
      <c r="B47" s="664"/>
      <c r="C47" s="664"/>
      <c r="D47" s="520">
        <v>2500</v>
      </c>
      <c r="E47" s="520">
        <v>2500</v>
      </c>
      <c r="F47" t="s">
        <v>1557</v>
      </c>
    </row>
  </sheetData>
  <mergeCells count="28">
    <mergeCell ref="C33:M33"/>
    <mergeCell ref="N33:N34"/>
    <mergeCell ref="O33:O34"/>
    <mergeCell ref="A33:A34"/>
    <mergeCell ref="B33:B34"/>
    <mergeCell ref="H20:K20"/>
    <mergeCell ref="C15:F15"/>
    <mergeCell ref="G15:J15"/>
    <mergeCell ref="U2:Y2"/>
    <mergeCell ref="A9:A10"/>
    <mergeCell ref="B9:B10"/>
    <mergeCell ref="C9:F9"/>
    <mergeCell ref="G9:J9"/>
    <mergeCell ref="A2:E2"/>
    <mergeCell ref="F2:J2"/>
    <mergeCell ref="K2:O2"/>
    <mergeCell ref="P2:T2"/>
    <mergeCell ref="E27:G27"/>
    <mergeCell ref="E28:G28"/>
    <mergeCell ref="A20:A21"/>
    <mergeCell ref="B20:B21"/>
    <mergeCell ref="D20:G20"/>
    <mergeCell ref="A40:A44"/>
    <mergeCell ref="B40:B44"/>
    <mergeCell ref="C40:C44"/>
    <mergeCell ref="A45:A47"/>
    <mergeCell ref="B45:B47"/>
    <mergeCell ref="C45:C4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CF5F-1F8B-4C91-B98F-7EA3AF06C05B}">
  <sheetPr>
    <pageSetUpPr fitToPage="1"/>
  </sheetPr>
  <dimension ref="A1:Z11"/>
  <sheetViews>
    <sheetView topLeftCell="D1" workbookViewId="0">
      <selection activeCell="O3" sqref="O3:Y5"/>
    </sheetView>
  </sheetViews>
  <sheetFormatPr defaultRowHeight="12.75"/>
  <cols>
    <col min="1" max="1" width="20.85546875" style="603" customWidth="1"/>
    <col min="2" max="2" width="60.85546875" style="603" customWidth="1"/>
    <col min="3" max="4" width="11.5703125" style="603" customWidth="1"/>
    <col min="5" max="6" width="11.42578125" style="603" customWidth="1"/>
    <col min="7" max="7" width="10.42578125" style="603" customWidth="1"/>
    <col min="8" max="9" width="11.42578125" style="603" customWidth="1"/>
    <col min="10" max="14" width="11.5703125" style="603" customWidth="1"/>
    <col min="15" max="15" width="10.42578125" style="603" customWidth="1"/>
    <col min="16" max="18" width="11.5703125" style="603" customWidth="1"/>
    <col min="19" max="19" width="11.42578125" style="603" customWidth="1"/>
    <col min="20" max="20" width="11.5703125" style="603" customWidth="1"/>
    <col min="21" max="22" width="11.42578125" style="603" customWidth="1"/>
    <col min="23" max="25" width="11.5703125" style="603" customWidth="1"/>
    <col min="26" max="256" width="9.140625" style="603"/>
    <col min="257" max="257" width="20.85546875" style="603" customWidth="1"/>
    <col min="258" max="258" width="60.85546875" style="603" customWidth="1"/>
    <col min="259" max="260" width="11.5703125" style="603" customWidth="1"/>
    <col min="261" max="262" width="11.42578125" style="603" customWidth="1"/>
    <col min="263" max="263" width="10.42578125" style="603" customWidth="1"/>
    <col min="264" max="265" width="11.42578125" style="603" customWidth="1"/>
    <col min="266" max="270" width="11.5703125" style="603" customWidth="1"/>
    <col min="271" max="271" width="10.42578125" style="603" customWidth="1"/>
    <col min="272" max="274" width="11.5703125" style="603" customWidth="1"/>
    <col min="275" max="275" width="11.42578125" style="603" customWidth="1"/>
    <col min="276" max="276" width="11.5703125" style="603" customWidth="1"/>
    <col min="277" max="278" width="11.42578125" style="603" customWidth="1"/>
    <col min="279" max="281" width="11.5703125" style="603" customWidth="1"/>
    <col min="282" max="512" width="9.140625" style="603"/>
    <col min="513" max="513" width="20.85546875" style="603" customWidth="1"/>
    <col min="514" max="514" width="60.85546875" style="603" customWidth="1"/>
    <col min="515" max="516" width="11.5703125" style="603" customWidth="1"/>
    <col min="517" max="518" width="11.42578125" style="603" customWidth="1"/>
    <col min="519" max="519" width="10.42578125" style="603" customWidth="1"/>
    <col min="520" max="521" width="11.42578125" style="603" customWidth="1"/>
    <col min="522" max="526" width="11.5703125" style="603" customWidth="1"/>
    <col min="527" max="527" width="10.42578125" style="603" customWidth="1"/>
    <col min="528" max="530" width="11.5703125" style="603" customWidth="1"/>
    <col min="531" max="531" width="11.42578125" style="603" customWidth="1"/>
    <col min="532" max="532" width="11.5703125" style="603" customWidth="1"/>
    <col min="533" max="534" width="11.42578125" style="603" customWidth="1"/>
    <col min="535" max="537" width="11.5703125" style="603" customWidth="1"/>
    <col min="538" max="768" width="9.140625" style="603"/>
    <col min="769" max="769" width="20.85546875" style="603" customWidth="1"/>
    <col min="770" max="770" width="60.85546875" style="603" customWidth="1"/>
    <col min="771" max="772" width="11.5703125" style="603" customWidth="1"/>
    <col min="773" max="774" width="11.42578125" style="603" customWidth="1"/>
    <col min="775" max="775" width="10.42578125" style="603" customWidth="1"/>
    <col min="776" max="777" width="11.42578125" style="603" customWidth="1"/>
    <col min="778" max="782" width="11.5703125" style="603" customWidth="1"/>
    <col min="783" max="783" width="10.42578125" style="603" customWidth="1"/>
    <col min="784" max="786" width="11.5703125" style="603" customWidth="1"/>
    <col min="787" max="787" width="11.42578125" style="603" customWidth="1"/>
    <col min="788" max="788" width="11.5703125" style="603" customWidth="1"/>
    <col min="789" max="790" width="11.42578125" style="603" customWidth="1"/>
    <col min="791" max="793" width="11.5703125" style="603" customWidth="1"/>
    <col min="794" max="1024" width="9.140625" style="603"/>
    <col min="1025" max="1025" width="20.85546875" style="603" customWidth="1"/>
    <col min="1026" max="1026" width="60.85546875" style="603" customWidth="1"/>
    <col min="1027" max="1028" width="11.5703125" style="603" customWidth="1"/>
    <col min="1029" max="1030" width="11.42578125" style="603" customWidth="1"/>
    <col min="1031" max="1031" width="10.42578125" style="603" customWidth="1"/>
    <col min="1032" max="1033" width="11.42578125" style="603" customWidth="1"/>
    <col min="1034" max="1038" width="11.5703125" style="603" customWidth="1"/>
    <col min="1039" max="1039" width="10.42578125" style="603" customWidth="1"/>
    <col min="1040" max="1042" width="11.5703125" style="603" customWidth="1"/>
    <col min="1043" max="1043" width="11.42578125" style="603" customWidth="1"/>
    <col min="1044" max="1044" width="11.5703125" style="603" customWidth="1"/>
    <col min="1045" max="1046" width="11.42578125" style="603" customWidth="1"/>
    <col min="1047" max="1049" width="11.5703125" style="603" customWidth="1"/>
    <col min="1050" max="1280" width="9.140625" style="603"/>
    <col min="1281" max="1281" width="20.85546875" style="603" customWidth="1"/>
    <col min="1282" max="1282" width="60.85546875" style="603" customWidth="1"/>
    <col min="1283" max="1284" width="11.5703125" style="603" customWidth="1"/>
    <col min="1285" max="1286" width="11.42578125" style="603" customWidth="1"/>
    <col min="1287" max="1287" width="10.42578125" style="603" customWidth="1"/>
    <col min="1288" max="1289" width="11.42578125" style="603" customWidth="1"/>
    <col min="1290" max="1294" width="11.5703125" style="603" customWidth="1"/>
    <col min="1295" max="1295" width="10.42578125" style="603" customWidth="1"/>
    <col min="1296" max="1298" width="11.5703125" style="603" customWidth="1"/>
    <col min="1299" max="1299" width="11.42578125" style="603" customWidth="1"/>
    <col min="1300" max="1300" width="11.5703125" style="603" customWidth="1"/>
    <col min="1301" max="1302" width="11.42578125" style="603" customWidth="1"/>
    <col min="1303" max="1305" width="11.5703125" style="603" customWidth="1"/>
    <col min="1306" max="1536" width="9.140625" style="603"/>
    <col min="1537" max="1537" width="20.85546875" style="603" customWidth="1"/>
    <col min="1538" max="1538" width="60.85546875" style="603" customWidth="1"/>
    <col min="1539" max="1540" width="11.5703125" style="603" customWidth="1"/>
    <col min="1541" max="1542" width="11.42578125" style="603" customWidth="1"/>
    <col min="1543" max="1543" width="10.42578125" style="603" customWidth="1"/>
    <col min="1544" max="1545" width="11.42578125" style="603" customWidth="1"/>
    <col min="1546" max="1550" width="11.5703125" style="603" customWidth="1"/>
    <col min="1551" max="1551" width="10.42578125" style="603" customWidth="1"/>
    <col min="1552" max="1554" width="11.5703125" style="603" customWidth="1"/>
    <col min="1555" max="1555" width="11.42578125" style="603" customWidth="1"/>
    <col min="1556" max="1556" width="11.5703125" style="603" customWidth="1"/>
    <col min="1557" max="1558" width="11.42578125" style="603" customWidth="1"/>
    <col min="1559" max="1561" width="11.5703125" style="603" customWidth="1"/>
    <col min="1562" max="1792" width="9.140625" style="603"/>
    <col min="1793" max="1793" width="20.85546875" style="603" customWidth="1"/>
    <col min="1794" max="1794" width="60.85546875" style="603" customWidth="1"/>
    <col min="1795" max="1796" width="11.5703125" style="603" customWidth="1"/>
    <col min="1797" max="1798" width="11.42578125" style="603" customWidth="1"/>
    <col min="1799" max="1799" width="10.42578125" style="603" customWidth="1"/>
    <col min="1800" max="1801" width="11.42578125" style="603" customWidth="1"/>
    <col min="1802" max="1806" width="11.5703125" style="603" customWidth="1"/>
    <col min="1807" max="1807" width="10.42578125" style="603" customWidth="1"/>
    <col min="1808" max="1810" width="11.5703125" style="603" customWidth="1"/>
    <col min="1811" max="1811" width="11.42578125" style="603" customWidth="1"/>
    <col min="1812" max="1812" width="11.5703125" style="603" customWidth="1"/>
    <col min="1813" max="1814" width="11.42578125" style="603" customWidth="1"/>
    <col min="1815" max="1817" width="11.5703125" style="603" customWidth="1"/>
    <col min="1818" max="2048" width="9.140625" style="603"/>
    <col min="2049" max="2049" width="20.85546875" style="603" customWidth="1"/>
    <col min="2050" max="2050" width="60.85546875" style="603" customWidth="1"/>
    <col min="2051" max="2052" width="11.5703125" style="603" customWidth="1"/>
    <col min="2053" max="2054" width="11.42578125" style="603" customWidth="1"/>
    <col min="2055" max="2055" width="10.42578125" style="603" customWidth="1"/>
    <col min="2056" max="2057" width="11.42578125" style="603" customWidth="1"/>
    <col min="2058" max="2062" width="11.5703125" style="603" customWidth="1"/>
    <col min="2063" max="2063" width="10.42578125" style="603" customWidth="1"/>
    <col min="2064" max="2066" width="11.5703125" style="603" customWidth="1"/>
    <col min="2067" max="2067" width="11.42578125" style="603" customWidth="1"/>
    <col min="2068" max="2068" width="11.5703125" style="603" customWidth="1"/>
    <col min="2069" max="2070" width="11.42578125" style="603" customWidth="1"/>
    <col min="2071" max="2073" width="11.5703125" style="603" customWidth="1"/>
    <col min="2074" max="2304" width="9.140625" style="603"/>
    <col min="2305" max="2305" width="20.85546875" style="603" customWidth="1"/>
    <col min="2306" max="2306" width="60.85546875" style="603" customWidth="1"/>
    <col min="2307" max="2308" width="11.5703125" style="603" customWidth="1"/>
    <col min="2309" max="2310" width="11.42578125" style="603" customWidth="1"/>
    <col min="2311" max="2311" width="10.42578125" style="603" customWidth="1"/>
    <col min="2312" max="2313" width="11.42578125" style="603" customWidth="1"/>
    <col min="2314" max="2318" width="11.5703125" style="603" customWidth="1"/>
    <col min="2319" max="2319" width="10.42578125" style="603" customWidth="1"/>
    <col min="2320" max="2322" width="11.5703125" style="603" customWidth="1"/>
    <col min="2323" max="2323" width="11.42578125" style="603" customWidth="1"/>
    <col min="2324" max="2324" width="11.5703125" style="603" customWidth="1"/>
    <col min="2325" max="2326" width="11.42578125" style="603" customWidth="1"/>
    <col min="2327" max="2329" width="11.5703125" style="603" customWidth="1"/>
    <col min="2330" max="2560" width="9.140625" style="603"/>
    <col min="2561" max="2561" width="20.85546875" style="603" customWidth="1"/>
    <col min="2562" max="2562" width="60.85546875" style="603" customWidth="1"/>
    <col min="2563" max="2564" width="11.5703125" style="603" customWidth="1"/>
    <col min="2565" max="2566" width="11.42578125" style="603" customWidth="1"/>
    <col min="2567" max="2567" width="10.42578125" style="603" customWidth="1"/>
    <col min="2568" max="2569" width="11.42578125" style="603" customWidth="1"/>
    <col min="2570" max="2574" width="11.5703125" style="603" customWidth="1"/>
    <col min="2575" max="2575" width="10.42578125" style="603" customWidth="1"/>
    <col min="2576" max="2578" width="11.5703125" style="603" customWidth="1"/>
    <col min="2579" max="2579" width="11.42578125" style="603" customWidth="1"/>
    <col min="2580" max="2580" width="11.5703125" style="603" customWidth="1"/>
    <col min="2581" max="2582" width="11.42578125" style="603" customWidth="1"/>
    <col min="2583" max="2585" width="11.5703125" style="603" customWidth="1"/>
    <col min="2586" max="2816" width="9.140625" style="603"/>
    <col min="2817" max="2817" width="20.85546875" style="603" customWidth="1"/>
    <col min="2818" max="2818" width="60.85546875" style="603" customWidth="1"/>
    <col min="2819" max="2820" width="11.5703125" style="603" customWidth="1"/>
    <col min="2821" max="2822" width="11.42578125" style="603" customWidth="1"/>
    <col min="2823" max="2823" width="10.42578125" style="603" customWidth="1"/>
    <col min="2824" max="2825" width="11.42578125" style="603" customWidth="1"/>
    <col min="2826" max="2830" width="11.5703125" style="603" customWidth="1"/>
    <col min="2831" max="2831" width="10.42578125" style="603" customWidth="1"/>
    <col min="2832" max="2834" width="11.5703125" style="603" customWidth="1"/>
    <col min="2835" max="2835" width="11.42578125" style="603" customWidth="1"/>
    <col min="2836" max="2836" width="11.5703125" style="603" customWidth="1"/>
    <col min="2837" max="2838" width="11.42578125" style="603" customWidth="1"/>
    <col min="2839" max="2841" width="11.5703125" style="603" customWidth="1"/>
    <col min="2842" max="3072" width="9.140625" style="603"/>
    <col min="3073" max="3073" width="20.85546875" style="603" customWidth="1"/>
    <col min="3074" max="3074" width="60.85546875" style="603" customWidth="1"/>
    <col min="3075" max="3076" width="11.5703125" style="603" customWidth="1"/>
    <col min="3077" max="3078" width="11.42578125" style="603" customWidth="1"/>
    <col min="3079" max="3079" width="10.42578125" style="603" customWidth="1"/>
    <col min="3080" max="3081" width="11.42578125" style="603" customWidth="1"/>
    <col min="3082" max="3086" width="11.5703125" style="603" customWidth="1"/>
    <col min="3087" max="3087" width="10.42578125" style="603" customWidth="1"/>
    <col min="3088" max="3090" width="11.5703125" style="603" customWidth="1"/>
    <col min="3091" max="3091" width="11.42578125" style="603" customWidth="1"/>
    <col min="3092" max="3092" width="11.5703125" style="603" customWidth="1"/>
    <col min="3093" max="3094" width="11.42578125" style="603" customWidth="1"/>
    <col min="3095" max="3097" width="11.5703125" style="603" customWidth="1"/>
    <col min="3098" max="3328" width="9.140625" style="603"/>
    <col min="3329" max="3329" width="20.85546875" style="603" customWidth="1"/>
    <col min="3330" max="3330" width="60.85546875" style="603" customWidth="1"/>
    <col min="3331" max="3332" width="11.5703125" style="603" customWidth="1"/>
    <col min="3333" max="3334" width="11.42578125" style="603" customWidth="1"/>
    <col min="3335" max="3335" width="10.42578125" style="603" customWidth="1"/>
    <col min="3336" max="3337" width="11.42578125" style="603" customWidth="1"/>
    <col min="3338" max="3342" width="11.5703125" style="603" customWidth="1"/>
    <col min="3343" max="3343" width="10.42578125" style="603" customWidth="1"/>
    <col min="3344" max="3346" width="11.5703125" style="603" customWidth="1"/>
    <col min="3347" max="3347" width="11.42578125" style="603" customWidth="1"/>
    <col min="3348" max="3348" width="11.5703125" style="603" customWidth="1"/>
    <col min="3349" max="3350" width="11.42578125" style="603" customWidth="1"/>
    <col min="3351" max="3353" width="11.5703125" style="603" customWidth="1"/>
    <col min="3354" max="3584" width="9.140625" style="603"/>
    <col min="3585" max="3585" width="20.85546875" style="603" customWidth="1"/>
    <col min="3586" max="3586" width="60.85546875" style="603" customWidth="1"/>
    <col min="3587" max="3588" width="11.5703125" style="603" customWidth="1"/>
    <col min="3589" max="3590" width="11.42578125" style="603" customWidth="1"/>
    <col min="3591" max="3591" width="10.42578125" style="603" customWidth="1"/>
    <col min="3592" max="3593" width="11.42578125" style="603" customWidth="1"/>
    <col min="3594" max="3598" width="11.5703125" style="603" customWidth="1"/>
    <col min="3599" max="3599" width="10.42578125" style="603" customWidth="1"/>
    <col min="3600" max="3602" width="11.5703125" style="603" customWidth="1"/>
    <col min="3603" max="3603" width="11.42578125" style="603" customWidth="1"/>
    <col min="3604" max="3604" width="11.5703125" style="603" customWidth="1"/>
    <col min="3605" max="3606" width="11.42578125" style="603" customWidth="1"/>
    <col min="3607" max="3609" width="11.5703125" style="603" customWidth="1"/>
    <col min="3610" max="3840" width="9.140625" style="603"/>
    <col min="3841" max="3841" width="20.85546875" style="603" customWidth="1"/>
    <col min="3842" max="3842" width="60.85546875" style="603" customWidth="1"/>
    <col min="3843" max="3844" width="11.5703125" style="603" customWidth="1"/>
    <col min="3845" max="3846" width="11.42578125" style="603" customWidth="1"/>
    <col min="3847" max="3847" width="10.42578125" style="603" customWidth="1"/>
    <col min="3848" max="3849" width="11.42578125" style="603" customWidth="1"/>
    <col min="3850" max="3854" width="11.5703125" style="603" customWidth="1"/>
    <col min="3855" max="3855" width="10.42578125" style="603" customWidth="1"/>
    <col min="3856" max="3858" width="11.5703125" style="603" customWidth="1"/>
    <col min="3859" max="3859" width="11.42578125" style="603" customWidth="1"/>
    <col min="3860" max="3860" width="11.5703125" style="603" customWidth="1"/>
    <col min="3861" max="3862" width="11.42578125" style="603" customWidth="1"/>
    <col min="3863" max="3865" width="11.5703125" style="603" customWidth="1"/>
    <col min="3866" max="4096" width="9.140625" style="603"/>
    <col min="4097" max="4097" width="20.85546875" style="603" customWidth="1"/>
    <col min="4098" max="4098" width="60.85546875" style="603" customWidth="1"/>
    <col min="4099" max="4100" width="11.5703125" style="603" customWidth="1"/>
    <col min="4101" max="4102" width="11.42578125" style="603" customWidth="1"/>
    <col min="4103" max="4103" width="10.42578125" style="603" customWidth="1"/>
    <col min="4104" max="4105" width="11.42578125" style="603" customWidth="1"/>
    <col min="4106" max="4110" width="11.5703125" style="603" customWidth="1"/>
    <col min="4111" max="4111" width="10.42578125" style="603" customWidth="1"/>
    <col min="4112" max="4114" width="11.5703125" style="603" customWidth="1"/>
    <col min="4115" max="4115" width="11.42578125" style="603" customWidth="1"/>
    <col min="4116" max="4116" width="11.5703125" style="603" customWidth="1"/>
    <col min="4117" max="4118" width="11.42578125" style="603" customWidth="1"/>
    <col min="4119" max="4121" width="11.5703125" style="603" customWidth="1"/>
    <col min="4122" max="4352" width="9.140625" style="603"/>
    <col min="4353" max="4353" width="20.85546875" style="603" customWidth="1"/>
    <col min="4354" max="4354" width="60.85546875" style="603" customWidth="1"/>
    <col min="4355" max="4356" width="11.5703125" style="603" customWidth="1"/>
    <col min="4357" max="4358" width="11.42578125" style="603" customWidth="1"/>
    <col min="4359" max="4359" width="10.42578125" style="603" customWidth="1"/>
    <col min="4360" max="4361" width="11.42578125" style="603" customWidth="1"/>
    <col min="4362" max="4366" width="11.5703125" style="603" customWidth="1"/>
    <col min="4367" max="4367" width="10.42578125" style="603" customWidth="1"/>
    <col min="4368" max="4370" width="11.5703125" style="603" customWidth="1"/>
    <col min="4371" max="4371" width="11.42578125" style="603" customWidth="1"/>
    <col min="4372" max="4372" width="11.5703125" style="603" customWidth="1"/>
    <col min="4373" max="4374" width="11.42578125" style="603" customWidth="1"/>
    <col min="4375" max="4377" width="11.5703125" style="603" customWidth="1"/>
    <col min="4378" max="4608" width="9.140625" style="603"/>
    <col min="4609" max="4609" width="20.85546875" style="603" customWidth="1"/>
    <col min="4610" max="4610" width="60.85546875" style="603" customWidth="1"/>
    <col min="4611" max="4612" width="11.5703125" style="603" customWidth="1"/>
    <col min="4613" max="4614" width="11.42578125" style="603" customWidth="1"/>
    <col min="4615" max="4615" width="10.42578125" style="603" customWidth="1"/>
    <col min="4616" max="4617" width="11.42578125" style="603" customWidth="1"/>
    <col min="4618" max="4622" width="11.5703125" style="603" customWidth="1"/>
    <col min="4623" max="4623" width="10.42578125" style="603" customWidth="1"/>
    <col min="4624" max="4626" width="11.5703125" style="603" customWidth="1"/>
    <col min="4627" max="4627" width="11.42578125" style="603" customWidth="1"/>
    <col min="4628" max="4628" width="11.5703125" style="603" customWidth="1"/>
    <col min="4629" max="4630" width="11.42578125" style="603" customWidth="1"/>
    <col min="4631" max="4633" width="11.5703125" style="603" customWidth="1"/>
    <col min="4634" max="4864" width="9.140625" style="603"/>
    <col min="4865" max="4865" width="20.85546875" style="603" customWidth="1"/>
    <col min="4866" max="4866" width="60.85546875" style="603" customWidth="1"/>
    <col min="4867" max="4868" width="11.5703125" style="603" customWidth="1"/>
    <col min="4869" max="4870" width="11.42578125" style="603" customWidth="1"/>
    <col min="4871" max="4871" width="10.42578125" style="603" customWidth="1"/>
    <col min="4872" max="4873" width="11.42578125" style="603" customWidth="1"/>
    <col min="4874" max="4878" width="11.5703125" style="603" customWidth="1"/>
    <col min="4879" max="4879" width="10.42578125" style="603" customWidth="1"/>
    <col min="4880" max="4882" width="11.5703125" style="603" customWidth="1"/>
    <col min="4883" max="4883" width="11.42578125" style="603" customWidth="1"/>
    <col min="4884" max="4884" width="11.5703125" style="603" customWidth="1"/>
    <col min="4885" max="4886" width="11.42578125" style="603" customWidth="1"/>
    <col min="4887" max="4889" width="11.5703125" style="603" customWidth="1"/>
    <col min="4890" max="5120" width="9.140625" style="603"/>
    <col min="5121" max="5121" width="20.85546875" style="603" customWidth="1"/>
    <col min="5122" max="5122" width="60.85546875" style="603" customWidth="1"/>
    <col min="5123" max="5124" width="11.5703125" style="603" customWidth="1"/>
    <col min="5125" max="5126" width="11.42578125" style="603" customWidth="1"/>
    <col min="5127" max="5127" width="10.42578125" style="603" customWidth="1"/>
    <col min="5128" max="5129" width="11.42578125" style="603" customWidth="1"/>
    <col min="5130" max="5134" width="11.5703125" style="603" customWidth="1"/>
    <col min="5135" max="5135" width="10.42578125" style="603" customWidth="1"/>
    <col min="5136" max="5138" width="11.5703125" style="603" customWidth="1"/>
    <col min="5139" max="5139" width="11.42578125" style="603" customWidth="1"/>
    <col min="5140" max="5140" width="11.5703125" style="603" customWidth="1"/>
    <col min="5141" max="5142" width="11.42578125" style="603" customWidth="1"/>
    <col min="5143" max="5145" width="11.5703125" style="603" customWidth="1"/>
    <col min="5146" max="5376" width="9.140625" style="603"/>
    <col min="5377" max="5377" width="20.85546875" style="603" customWidth="1"/>
    <col min="5378" max="5378" width="60.85546875" style="603" customWidth="1"/>
    <col min="5379" max="5380" width="11.5703125" style="603" customWidth="1"/>
    <col min="5381" max="5382" width="11.42578125" style="603" customWidth="1"/>
    <col min="5383" max="5383" width="10.42578125" style="603" customWidth="1"/>
    <col min="5384" max="5385" width="11.42578125" style="603" customWidth="1"/>
    <col min="5386" max="5390" width="11.5703125" style="603" customWidth="1"/>
    <col min="5391" max="5391" width="10.42578125" style="603" customWidth="1"/>
    <col min="5392" max="5394" width="11.5703125" style="603" customWidth="1"/>
    <col min="5395" max="5395" width="11.42578125" style="603" customWidth="1"/>
    <col min="5396" max="5396" width="11.5703125" style="603" customWidth="1"/>
    <col min="5397" max="5398" width="11.42578125" style="603" customWidth="1"/>
    <col min="5399" max="5401" width="11.5703125" style="603" customWidth="1"/>
    <col min="5402" max="5632" width="9.140625" style="603"/>
    <col min="5633" max="5633" width="20.85546875" style="603" customWidth="1"/>
    <col min="5634" max="5634" width="60.85546875" style="603" customWidth="1"/>
    <col min="5635" max="5636" width="11.5703125" style="603" customWidth="1"/>
    <col min="5637" max="5638" width="11.42578125" style="603" customWidth="1"/>
    <col min="5639" max="5639" width="10.42578125" style="603" customWidth="1"/>
    <col min="5640" max="5641" width="11.42578125" style="603" customWidth="1"/>
    <col min="5642" max="5646" width="11.5703125" style="603" customWidth="1"/>
    <col min="5647" max="5647" width="10.42578125" style="603" customWidth="1"/>
    <col min="5648" max="5650" width="11.5703125" style="603" customWidth="1"/>
    <col min="5651" max="5651" width="11.42578125" style="603" customWidth="1"/>
    <col min="5652" max="5652" width="11.5703125" style="603" customWidth="1"/>
    <col min="5653" max="5654" width="11.42578125" style="603" customWidth="1"/>
    <col min="5655" max="5657" width="11.5703125" style="603" customWidth="1"/>
    <col min="5658" max="5888" width="9.140625" style="603"/>
    <col min="5889" max="5889" width="20.85546875" style="603" customWidth="1"/>
    <col min="5890" max="5890" width="60.85546875" style="603" customWidth="1"/>
    <col min="5891" max="5892" width="11.5703125" style="603" customWidth="1"/>
    <col min="5893" max="5894" width="11.42578125" style="603" customWidth="1"/>
    <col min="5895" max="5895" width="10.42578125" style="603" customWidth="1"/>
    <col min="5896" max="5897" width="11.42578125" style="603" customWidth="1"/>
    <col min="5898" max="5902" width="11.5703125" style="603" customWidth="1"/>
    <col min="5903" max="5903" width="10.42578125" style="603" customWidth="1"/>
    <col min="5904" max="5906" width="11.5703125" style="603" customWidth="1"/>
    <col min="5907" max="5907" width="11.42578125" style="603" customWidth="1"/>
    <col min="5908" max="5908" width="11.5703125" style="603" customWidth="1"/>
    <col min="5909" max="5910" width="11.42578125" style="603" customWidth="1"/>
    <col min="5911" max="5913" width="11.5703125" style="603" customWidth="1"/>
    <col min="5914" max="6144" width="9.140625" style="603"/>
    <col min="6145" max="6145" width="20.85546875" style="603" customWidth="1"/>
    <col min="6146" max="6146" width="60.85546875" style="603" customWidth="1"/>
    <col min="6147" max="6148" width="11.5703125" style="603" customWidth="1"/>
    <col min="6149" max="6150" width="11.42578125" style="603" customWidth="1"/>
    <col min="6151" max="6151" width="10.42578125" style="603" customWidth="1"/>
    <col min="6152" max="6153" width="11.42578125" style="603" customWidth="1"/>
    <col min="6154" max="6158" width="11.5703125" style="603" customWidth="1"/>
    <col min="6159" max="6159" width="10.42578125" style="603" customWidth="1"/>
    <col min="6160" max="6162" width="11.5703125" style="603" customWidth="1"/>
    <col min="6163" max="6163" width="11.42578125" style="603" customWidth="1"/>
    <col min="6164" max="6164" width="11.5703125" style="603" customWidth="1"/>
    <col min="6165" max="6166" width="11.42578125" style="603" customWidth="1"/>
    <col min="6167" max="6169" width="11.5703125" style="603" customWidth="1"/>
    <col min="6170" max="6400" width="9.140625" style="603"/>
    <col min="6401" max="6401" width="20.85546875" style="603" customWidth="1"/>
    <col min="6402" max="6402" width="60.85546875" style="603" customWidth="1"/>
    <col min="6403" max="6404" width="11.5703125" style="603" customWidth="1"/>
    <col min="6405" max="6406" width="11.42578125" style="603" customWidth="1"/>
    <col min="6407" max="6407" width="10.42578125" style="603" customWidth="1"/>
    <col min="6408" max="6409" width="11.42578125" style="603" customWidth="1"/>
    <col min="6410" max="6414" width="11.5703125" style="603" customWidth="1"/>
    <col min="6415" max="6415" width="10.42578125" style="603" customWidth="1"/>
    <col min="6416" max="6418" width="11.5703125" style="603" customWidth="1"/>
    <col min="6419" max="6419" width="11.42578125" style="603" customWidth="1"/>
    <col min="6420" max="6420" width="11.5703125" style="603" customWidth="1"/>
    <col min="6421" max="6422" width="11.42578125" style="603" customWidth="1"/>
    <col min="6423" max="6425" width="11.5703125" style="603" customWidth="1"/>
    <col min="6426" max="6656" width="9.140625" style="603"/>
    <col min="6657" max="6657" width="20.85546875" style="603" customWidth="1"/>
    <col min="6658" max="6658" width="60.85546875" style="603" customWidth="1"/>
    <col min="6659" max="6660" width="11.5703125" style="603" customWidth="1"/>
    <col min="6661" max="6662" width="11.42578125" style="603" customWidth="1"/>
    <col min="6663" max="6663" width="10.42578125" style="603" customWidth="1"/>
    <col min="6664" max="6665" width="11.42578125" style="603" customWidth="1"/>
    <col min="6666" max="6670" width="11.5703125" style="603" customWidth="1"/>
    <col min="6671" max="6671" width="10.42578125" style="603" customWidth="1"/>
    <col min="6672" max="6674" width="11.5703125" style="603" customWidth="1"/>
    <col min="6675" max="6675" width="11.42578125" style="603" customWidth="1"/>
    <col min="6676" max="6676" width="11.5703125" style="603" customWidth="1"/>
    <col min="6677" max="6678" width="11.42578125" style="603" customWidth="1"/>
    <col min="6679" max="6681" width="11.5703125" style="603" customWidth="1"/>
    <col min="6682" max="6912" width="9.140625" style="603"/>
    <col min="6913" max="6913" width="20.85546875" style="603" customWidth="1"/>
    <col min="6914" max="6914" width="60.85546875" style="603" customWidth="1"/>
    <col min="6915" max="6916" width="11.5703125" style="603" customWidth="1"/>
    <col min="6917" max="6918" width="11.42578125" style="603" customWidth="1"/>
    <col min="6919" max="6919" width="10.42578125" style="603" customWidth="1"/>
    <col min="6920" max="6921" width="11.42578125" style="603" customWidth="1"/>
    <col min="6922" max="6926" width="11.5703125" style="603" customWidth="1"/>
    <col min="6927" max="6927" width="10.42578125" style="603" customWidth="1"/>
    <col min="6928" max="6930" width="11.5703125" style="603" customWidth="1"/>
    <col min="6931" max="6931" width="11.42578125" style="603" customWidth="1"/>
    <col min="6932" max="6932" width="11.5703125" style="603" customWidth="1"/>
    <col min="6933" max="6934" width="11.42578125" style="603" customWidth="1"/>
    <col min="6935" max="6937" width="11.5703125" style="603" customWidth="1"/>
    <col min="6938" max="7168" width="9.140625" style="603"/>
    <col min="7169" max="7169" width="20.85546875" style="603" customWidth="1"/>
    <col min="7170" max="7170" width="60.85546875" style="603" customWidth="1"/>
    <col min="7171" max="7172" width="11.5703125" style="603" customWidth="1"/>
    <col min="7173" max="7174" width="11.42578125" style="603" customWidth="1"/>
    <col min="7175" max="7175" width="10.42578125" style="603" customWidth="1"/>
    <col min="7176" max="7177" width="11.42578125" style="603" customWidth="1"/>
    <col min="7178" max="7182" width="11.5703125" style="603" customWidth="1"/>
    <col min="7183" max="7183" width="10.42578125" style="603" customWidth="1"/>
    <col min="7184" max="7186" width="11.5703125" style="603" customWidth="1"/>
    <col min="7187" max="7187" width="11.42578125" style="603" customWidth="1"/>
    <col min="7188" max="7188" width="11.5703125" style="603" customWidth="1"/>
    <col min="7189" max="7190" width="11.42578125" style="603" customWidth="1"/>
    <col min="7191" max="7193" width="11.5703125" style="603" customWidth="1"/>
    <col min="7194" max="7424" width="9.140625" style="603"/>
    <col min="7425" max="7425" width="20.85546875" style="603" customWidth="1"/>
    <col min="7426" max="7426" width="60.85546875" style="603" customWidth="1"/>
    <col min="7427" max="7428" width="11.5703125" style="603" customWidth="1"/>
    <col min="7429" max="7430" width="11.42578125" style="603" customWidth="1"/>
    <col min="7431" max="7431" width="10.42578125" style="603" customWidth="1"/>
    <col min="7432" max="7433" width="11.42578125" style="603" customWidth="1"/>
    <col min="7434" max="7438" width="11.5703125" style="603" customWidth="1"/>
    <col min="7439" max="7439" width="10.42578125" style="603" customWidth="1"/>
    <col min="7440" max="7442" width="11.5703125" style="603" customWidth="1"/>
    <col min="7443" max="7443" width="11.42578125" style="603" customWidth="1"/>
    <col min="7444" max="7444" width="11.5703125" style="603" customWidth="1"/>
    <col min="7445" max="7446" width="11.42578125" style="603" customWidth="1"/>
    <col min="7447" max="7449" width="11.5703125" style="603" customWidth="1"/>
    <col min="7450" max="7680" width="9.140625" style="603"/>
    <col min="7681" max="7681" width="20.85546875" style="603" customWidth="1"/>
    <col min="7682" max="7682" width="60.85546875" style="603" customWidth="1"/>
    <col min="7683" max="7684" width="11.5703125" style="603" customWidth="1"/>
    <col min="7685" max="7686" width="11.42578125" style="603" customWidth="1"/>
    <col min="7687" max="7687" width="10.42578125" style="603" customWidth="1"/>
    <col min="7688" max="7689" width="11.42578125" style="603" customWidth="1"/>
    <col min="7690" max="7694" width="11.5703125" style="603" customWidth="1"/>
    <col min="7695" max="7695" width="10.42578125" style="603" customWidth="1"/>
    <col min="7696" max="7698" width="11.5703125" style="603" customWidth="1"/>
    <col min="7699" max="7699" width="11.42578125" style="603" customWidth="1"/>
    <col min="7700" max="7700" width="11.5703125" style="603" customWidth="1"/>
    <col min="7701" max="7702" width="11.42578125" style="603" customWidth="1"/>
    <col min="7703" max="7705" width="11.5703125" style="603" customWidth="1"/>
    <col min="7706" max="7936" width="9.140625" style="603"/>
    <col min="7937" max="7937" width="20.85546875" style="603" customWidth="1"/>
    <col min="7938" max="7938" width="60.85546875" style="603" customWidth="1"/>
    <col min="7939" max="7940" width="11.5703125" style="603" customWidth="1"/>
    <col min="7941" max="7942" width="11.42578125" style="603" customWidth="1"/>
    <col min="7943" max="7943" width="10.42578125" style="603" customWidth="1"/>
    <col min="7944" max="7945" width="11.42578125" style="603" customWidth="1"/>
    <col min="7946" max="7950" width="11.5703125" style="603" customWidth="1"/>
    <col min="7951" max="7951" width="10.42578125" style="603" customWidth="1"/>
    <col min="7952" max="7954" width="11.5703125" style="603" customWidth="1"/>
    <col min="7955" max="7955" width="11.42578125" style="603" customWidth="1"/>
    <col min="7956" max="7956" width="11.5703125" style="603" customWidth="1"/>
    <col min="7957" max="7958" width="11.42578125" style="603" customWidth="1"/>
    <col min="7959" max="7961" width="11.5703125" style="603" customWidth="1"/>
    <col min="7962" max="8192" width="9.140625" style="603"/>
    <col min="8193" max="8193" width="20.85546875" style="603" customWidth="1"/>
    <col min="8194" max="8194" width="60.85546875" style="603" customWidth="1"/>
    <col min="8195" max="8196" width="11.5703125" style="603" customWidth="1"/>
    <col min="8197" max="8198" width="11.42578125" style="603" customWidth="1"/>
    <col min="8199" max="8199" width="10.42578125" style="603" customWidth="1"/>
    <col min="8200" max="8201" width="11.42578125" style="603" customWidth="1"/>
    <col min="8202" max="8206" width="11.5703125" style="603" customWidth="1"/>
    <col min="8207" max="8207" width="10.42578125" style="603" customWidth="1"/>
    <col min="8208" max="8210" width="11.5703125" style="603" customWidth="1"/>
    <col min="8211" max="8211" width="11.42578125" style="603" customWidth="1"/>
    <col min="8212" max="8212" width="11.5703125" style="603" customWidth="1"/>
    <col min="8213" max="8214" width="11.42578125" style="603" customWidth="1"/>
    <col min="8215" max="8217" width="11.5703125" style="603" customWidth="1"/>
    <col min="8218" max="8448" width="9.140625" style="603"/>
    <col min="8449" max="8449" width="20.85546875" style="603" customWidth="1"/>
    <col min="8450" max="8450" width="60.85546875" style="603" customWidth="1"/>
    <col min="8451" max="8452" width="11.5703125" style="603" customWidth="1"/>
    <col min="8453" max="8454" width="11.42578125" style="603" customWidth="1"/>
    <col min="8455" max="8455" width="10.42578125" style="603" customWidth="1"/>
    <col min="8456" max="8457" width="11.42578125" style="603" customWidth="1"/>
    <col min="8458" max="8462" width="11.5703125" style="603" customWidth="1"/>
    <col min="8463" max="8463" width="10.42578125" style="603" customWidth="1"/>
    <col min="8464" max="8466" width="11.5703125" style="603" customWidth="1"/>
    <col min="8467" max="8467" width="11.42578125" style="603" customWidth="1"/>
    <col min="8468" max="8468" width="11.5703125" style="603" customWidth="1"/>
    <col min="8469" max="8470" width="11.42578125" style="603" customWidth="1"/>
    <col min="8471" max="8473" width="11.5703125" style="603" customWidth="1"/>
    <col min="8474" max="8704" width="9.140625" style="603"/>
    <col min="8705" max="8705" width="20.85546875" style="603" customWidth="1"/>
    <col min="8706" max="8706" width="60.85546875" style="603" customWidth="1"/>
    <col min="8707" max="8708" width="11.5703125" style="603" customWidth="1"/>
    <col min="8709" max="8710" width="11.42578125" style="603" customWidth="1"/>
    <col min="8711" max="8711" width="10.42578125" style="603" customWidth="1"/>
    <col min="8712" max="8713" width="11.42578125" style="603" customWidth="1"/>
    <col min="8714" max="8718" width="11.5703125" style="603" customWidth="1"/>
    <col min="8719" max="8719" width="10.42578125" style="603" customWidth="1"/>
    <col min="8720" max="8722" width="11.5703125" style="603" customWidth="1"/>
    <col min="8723" max="8723" width="11.42578125" style="603" customWidth="1"/>
    <col min="8724" max="8724" width="11.5703125" style="603" customWidth="1"/>
    <col min="8725" max="8726" width="11.42578125" style="603" customWidth="1"/>
    <col min="8727" max="8729" width="11.5703125" style="603" customWidth="1"/>
    <col min="8730" max="8960" width="9.140625" style="603"/>
    <col min="8961" max="8961" width="20.85546875" style="603" customWidth="1"/>
    <col min="8962" max="8962" width="60.85546875" style="603" customWidth="1"/>
    <col min="8963" max="8964" width="11.5703125" style="603" customWidth="1"/>
    <col min="8965" max="8966" width="11.42578125" style="603" customWidth="1"/>
    <col min="8967" max="8967" width="10.42578125" style="603" customWidth="1"/>
    <col min="8968" max="8969" width="11.42578125" style="603" customWidth="1"/>
    <col min="8970" max="8974" width="11.5703125" style="603" customWidth="1"/>
    <col min="8975" max="8975" width="10.42578125" style="603" customWidth="1"/>
    <col min="8976" max="8978" width="11.5703125" style="603" customWidth="1"/>
    <col min="8979" max="8979" width="11.42578125" style="603" customWidth="1"/>
    <col min="8980" max="8980" width="11.5703125" style="603" customWidth="1"/>
    <col min="8981" max="8982" width="11.42578125" style="603" customWidth="1"/>
    <col min="8983" max="8985" width="11.5703125" style="603" customWidth="1"/>
    <col min="8986" max="9216" width="9.140625" style="603"/>
    <col min="9217" max="9217" width="20.85546875" style="603" customWidth="1"/>
    <col min="9218" max="9218" width="60.85546875" style="603" customWidth="1"/>
    <col min="9219" max="9220" width="11.5703125" style="603" customWidth="1"/>
    <col min="9221" max="9222" width="11.42578125" style="603" customWidth="1"/>
    <col min="9223" max="9223" width="10.42578125" style="603" customWidth="1"/>
    <col min="9224" max="9225" width="11.42578125" style="603" customWidth="1"/>
    <col min="9226" max="9230" width="11.5703125" style="603" customWidth="1"/>
    <col min="9231" max="9231" width="10.42578125" style="603" customWidth="1"/>
    <col min="9232" max="9234" width="11.5703125" style="603" customWidth="1"/>
    <col min="9235" max="9235" width="11.42578125" style="603" customWidth="1"/>
    <col min="9236" max="9236" width="11.5703125" style="603" customWidth="1"/>
    <col min="9237" max="9238" width="11.42578125" style="603" customWidth="1"/>
    <col min="9239" max="9241" width="11.5703125" style="603" customWidth="1"/>
    <col min="9242" max="9472" width="9.140625" style="603"/>
    <col min="9473" max="9473" width="20.85546875" style="603" customWidth="1"/>
    <col min="9474" max="9474" width="60.85546875" style="603" customWidth="1"/>
    <col min="9475" max="9476" width="11.5703125" style="603" customWidth="1"/>
    <col min="9477" max="9478" width="11.42578125" style="603" customWidth="1"/>
    <col min="9479" max="9479" width="10.42578125" style="603" customWidth="1"/>
    <col min="9480" max="9481" width="11.42578125" style="603" customWidth="1"/>
    <col min="9482" max="9486" width="11.5703125" style="603" customWidth="1"/>
    <col min="9487" max="9487" width="10.42578125" style="603" customWidth="1"/>
    <col min="9488" max="9490" width="11.5703125" style="603" customWidth="1"/>
    <col min="9491" max="9491" width="11.42578125" style="603" customWidth="1"/>
    <col min="9492" max="9492" width="11.5703125" style="603" customWidth="1"/>
    <col min="9493" max="9494" width="11.42578125" style="603" customWidth="1"/>
    <col min="9495" max="9497" width="11.5703125" style="603" customWidth="1"/>
    <col min="9498" max="9728" width="9.140625" style="603"/>
    <col min="9729" max="9729" width="20.85546875" style="603" customWidth="1"/>
    <col min="9730" max="9730" width="60.85546875" style="603" customWidth="1"/>
    <col min="9731" max="9732" width="11.5703125" style="603" customWidth="1"/>
    <col min="9733" max="9734" width="11.42578125" style="603" customWidth="1"/>
    <col min="9735" max="9735" width="10.42578125" style="603" customWidth="1"/>
    <col min="9736" max="9737" width="11.42578125" style="603" customWidth="1"/>
    <col min="9738" max="9742" width="11.5703125" style="603" customWidth="1"/>
    <col min="9743" max="9743" width="10.42578125" style="603" customWidth="1"/>
    <col min="9744" max="9746" width="11.5703125" style="603" customWidth="1"/>
    <col min="9747" max="9747" width="11.42578125" style="603" customWidth="1"/>
    <col min="9748" max="9748" width="11.5703125" style="603" customWidth="1"/>
    <col min="9749" max="9750" width="11.42578125" style="603" customWidth="1"/>
    <col min="9751" max="9753" width="11.5703125" style="603" customWidth="1"/>
    <col min="9754" max="9984" width="9.140625" style="603"/>
    <col min="9985" max="9985" width="20.85546875" style="603" customWidth="1"/>
    <col min="9986" max="9986" width="60.85546875" style="603" customWidth="1"/>
    <col min="9987" max="9988" width="11.5703125" style="603" customWidth="1"/>
    <col min="9989" max="9990" width="11.42578125" style="603" customWidth="1"/>
    <col min="9991" max="9991" width="10.42578125" style="603" customWidth="1"/>
    <col min="9992" max="9993" width="11.42578125" style="603" customWidth="1"/>
    <col min="9994" max="9998" width="11.5703125" style="603" customWidth="1"/>
    <col min="9999" max="9999" width="10.42578125" style="603" customWidth="1"/>
    <col min="10000" max="10002" width="11.5703125" style="603" customWidth="1"/>
    <col min="10003" max="10003" width="11.42578125" style="603" customWidth="1"/>
    <col min="10004" max="10004" width="11.5703125" style="603" customWidth="1"/>
    <col min="10005" max="10006" width="11.42578125" style="603" customWidth="1"/>
    <col min="10007" max="10009" width="11.5703125" style="603" customWidth="1"/>
    <col min="10010" max="10240" width="9.140625" style="603"/>
    <col min="10241" max="10241" width="20.85546875" style="603" customWidth="1"/>
    <col min="10242" max="10242" width="60.85546875" style="603" customWidth="1"/>
    <col min="10243" max="10244" width="11.5703125" style="603" customWidth="1"/>
    <col min="10245" max="10246" width="11.42578125" style="603" customWidth="1"/>
    <col min="10247" max="10247" width="10.42578125" style="603" customWidth="1"/>
    <col min="10248" max="10249" width="11.42578125" style="603" customWidth="1"/>
    <col min="10250" max="10254" width="11.5703125" style="603" customWidth="1"/>
    <col min="10255" max="10255" width="10.42578125" style="603" customWidth="1"/>
    <col min="10256" max="10258" width="11.5703125" style="603" customWidth="1"/>
    <col min="10259" max="10259" width="11.42578125" style="603" customWidth="1"/>
    <col min="10260" max="10260" width="11.5703125" style="603" customWidth="1"/>
    <col min="10261" max="10262" width="11.42578125" style="603" customWidth="1"/>
    <col min="10263" max="10265" width="11.5703125" style="603" customWidth="1"/>
    <col min="10266" max="10496" width="9.140625" style="603"/>
    <col min="10497" max="10497" width="20.85546875" style="603" customWidth="1"/>
    <col min="10498" max="10498" width="60.85546875" style="603" customWidth="1"/>
    <col min="10499" max="10500" width="11.5703125" style="603" customWidth="1"/>
    <col min="10501" max="10502" width="11.42578125" style="603" customWidth="1"/>
    <col min="10503" max="10503" width="10.42578125" style="603" customWidth="1"/>
    <col min="10504" max="10505" width="11.42578125" style="603" customWidth="1"/>
    <col min="10506" max="10510" width="11.5703125" style="603" customWidth="1"/>
    <col min="10511" max="10511" width="10.42578125" style="603" customWidth="1"/>
    <col min="10512" max="10514" width="11.5703125" style="603" customWidth="1"/>
    <col min="10515" max="10515" width="11.42578125" style="603" customWidth="1"/>
    <col min="10516" max="10516" width="11.5703125" style="603" customWidth="1"/>
    <col min="10517" max="10518" width="11.42578125" style="603" customWidth="1"/>
    <col min="10519" max="10521" width="11.5703125" style="603" customWidth="1"/>
    <col min="10522" max="10752" width="9.140625" style="603"/>
    <col min="10753" max="10753" width="20.85546875" style="603" customWidth="1"/>
    <col min="10754" max="10754" width="60.85546875" style="603" customWidth="1"/>
    <col min="10755" max="10756" width="11.5703125" style="603" customWidth="1"/>
    <col min="10757" max="10758" width="11.42578125" style="603" customWidth="1"/>
    <col min="10759" max="10759" width="10.42578125" style="603" customWidth="1"/>
    <col min="10760" max="10761" width="11.42578125" style="603" customWidth="1"/>
    <col min="10762" max="10766" width="11.5703125" style="603" customWidth="1"/>
    <col min="10767" max="10767" width="10.42578125" style="603" customWidth="1"/>
    <col min="10768" max="10770" width="11.5703125" style="603" customWidth="1"/>
    <col min="10771" max="10771" width="11.42578125" style="603" customWidth="1"/>
    <col min="10772" max="10772" width="11.5703125" style="603" customWidth="1"/>
    <col min="10773" max="10774" width="11.42578125" style="603" customWidth="1"/>
    <col min="10775" max="10777" width="11.5703125" style="603" customWidth="1"/>
    <col min="10778" max="11008" width="9.140625" style="603"/>
    <col min="11009" max="11009" width="20.85546875" style="603" customWidth="1"/>
    <col min="11010" max="11010" width="60.85546875" style="603" customWidth="1"/>
    <col min="11011" max="11012" width="11.5703125" style="603" customWidth="1"/>
    <col min="11013" max="11014" width="11.42578125" style="603" customWidth="1"/>
    <col min="11015" max="11015" width="10.42578125" style="603" customWidth="1"/>
    <col min="11016" max="11017" width="11.42578125" style="603" customWidth="1"/>
    <col min="11018" max="11022" width="11.5703125" style="603" customWidth="1"/>
    <col min="11023" max="11023" width="10.42578125" style="603" customWidth="1"/>
    <col min="11024" max="11026" width="11.5703125" style="603" customWidth="1"/>
    <col min="11027" max="11027" width="11.42578125" style="603" customWidth="1"/>
    <col min="11028" max="11028" width="11.5703125" style="603" customWidth="1"/>
    <col min="11029" max="11030" width="11.42578125" style="603" customWidth="1"/>
    <col min="11031" max="11033" width="11.5703125" style="603" customWidth="1"/>
    <col min="11034" max="11264" width="9.140625" style="603"/>
    <col min="11265" max="11265" width="20.85546875" style="603" customWidth="1"/>
    <col min="11266" max="11266" width="60.85546875" style="603" customWidth="1"/>
    <col min="11267" max="11268" width="11.5703125" style="603" customWidth="1"/>
    <col min="11269" max="11270" width="11.42578125" style="603" customWidth="1"/>
    <col min="11271" max="11271" width="10.42578125" style="603" customWidth="1"/>
    <col min="11272" max="11273" width="11.42578125" style="603" customWidth="1"/>
    <col min="11274" max="11278" width="11.5703125" style="603" customWidth="1"/>
    <col min="11279" max="11279" width="10.42578125" style="603" customWidth="1"/>
    <col min="11280" max="11282" width="11.5703125" style="603" customWidth="1"/>
    <col min="11283" max="11283" width="11.42578125" style="603" customWidth="1"/>
    <col min="11284" max="11284" width="11.5703125" style="603" customWidth="1"/>
    <col min="11285" max="11286" width="11.42578125" style="603" customWidth="1"/>
    <col min="11287" max="11289" width="11.5703125" style="603" customWidth="1"/>
    <col min="11290" max="11520" width="9.140625" style="603"/>
    <col min="11521" max="11521" width="20.85546875" style="603" customWidth="1"/>
    <col min="11522" max="11522" width="60.85546875" style="603" customWidth="1"/>
    <col min="11523" max="11524" width="11.5703125" style="603" customWidth="1"/>
    <col min="11525" max="11526" width="11.42578125" style="603" customWidth="1"/>
    <col min="11527" max="11527" width="10.42578125" style="603" customWidth="1"/>
    <col min="11528" max="11529" width="11.42578125" style="603" customWidth="1"/>
    <col min="11530" max="11534" width="11.5703125" style="603" customWidth="1"/>
    <col min="11535" max="11535" width="10.42578125" style="603" customWidth="1"/>
    <col min="11536" max="11538" width="11.5703125" style="603" customWidth="1"/>
    <col min="11539" max="11539" width="11.42578125" style="603" customWidth="1"/>
    <col min="11540" max="11540" width="11.5703125" style="603" customWidth="1"/>
    <col min="11541" max="11542" width="11.42578125" style="603" customWidth="1"/>
    <col min="11543" max="11545" width="11.5703125" style="603" customWidth="1"/>
    <col min="11546" max="11776" width="9.140625" style="603"/>
    <col min="11777" max="11777" width="20.85546875" style="603" customWidth="1"/>
    <col min="11778" max="11778" width="60.85546875" style="603" customWidth="1"/>
    <col min="11779" max="11780" width="11.5703125" style="603" customWidth="1"/>
    <col min="11781" max="11782" width="11.42578125" style="603" customWidth="1"/>
    <col min="11783" max="11783" width="10.42578125" style="603" customWidth="1"/>
    <col min="11784" max="11785" width="11.42578125" style="603" customWidth="1"/>
    <col min="11786" max="11790" width="11.5703125" style="603" customWidth="1"/>
    <col min="11791" max="11791" width="10.42578125" style="603" customWidth="1"/>
    <col min="11792" max="11794" width="11.5703125" style="603" customWidth="1"/>
    <col min="11795" max="11795" width="11.42578125" style="603" customWidth="1"/>
    <col min="11796" max="11796" width="11.5703125" style="603" customWidth="1"/>
    <col min="11797" max="11798" width="11.42578125" style="603" customWidth="1"/>
    <col min="11799" max="11801" width="11.5703125" style="603" customWidth="1"/>
    <col min="11802" max="12032" width="9.140625" style="603"/>
    <col min="12033" max="12033" width="20.85546875" style="603" customWidth="1"/>
    <col min="12034" max="12034" width="60.85546875" style="603" customWidth="1"/>
    <col min="12035" max="12036" width="11.5703125" style="603" customWidth="1"/>
    <col min="12037" max="12038" width="11.42578125" style="603" customWidth="1"/>
    <col min="12039" max="12039" width="10.42578125" style="603" customWidth="1"/>
    <col min="12040" max="12041" width="11.42578125" style="603" customWidth="1"/>
    <col min="12042" max="12046" width="11.5703125" style="603" customWidth="1"/>
    <col min="12047" max="12047" width="10.42578125" style="603" customWidth="1"/>
    <col min="12048" max="12050" width="11.5703125" style="603" customWidth="1"/>
    <col min="12051" max="12051" width="11.42578125" style="603" customWidth="1"/>
    <col min="12052" max="12052" width="11.5703125" style="603" customWidth="1"/>
    <col min="12053" max="12054" width="11.42578125" style="603" customWidth="1"/>
    <col min="12055" max="12057" width="11.5703125" style="603" customWidth="1"/>
    <col min="12058" max="12288" width="9.140625" style="603"/>
    <col min="12289" max="12289" width="20.85546875" style="603" customWidth="1"/>
    <col min="12290" max="12290" width="60.85546875" style="603" customWidth="1"/>
    <col min="12291" max="12292" width="11.5703125" style="603" customWidth="1"/>
    <col min="12293" max="12294" width="11.42578125" style="603" customWidth="1"/>
    <col min="12295" max="12295" width="10.42578125" style="603" customWidth="1"/>
    <col min="12296" max="12297" width="11.42578125" style="603" customWidth="1"/>
    <col min="12298" max="12302" width="11.5703125" style="603" customWidth="1"/>
    <col min="12303" max="12303" width="10.42578125" style="603" customWidth="1"/>
    <col min="12304" max="12306" width="11.5703125" style="603" customWidth="1"/>
    <col min="12307" max="12307" width="11.42578125" style="603" customWidth="1"/>
    <col min="12308" max="12308" width="11.5703125" style="603" customWidth="1"/>
    <col min="12309" max="12310" width="11.42578125" style="603" customWidth="1"/>
    <col min="12311" max="12313" width="11.5703125" style="603" customWidth="1"/>
    <col min="12314" max="12544" width="9.140625" style="603"/>
    <col min="12545" max="12545" width="20.85546875" style="603" customWidth="1"/>
    <col min="12546" max="12546" width="60.85546875" style="603" customWidth="1"/>
    <col min="12547" max="12548" width="11.5703125" style="603" customWidth="1"/>
    <col min="12549" max="12550" width="11.42578125" style="603" customWidth="1"/>
    <col min="12551" max="12551" width="10.42578125" style="603" customWidth="1"/>
    <col min="12552" max="12553" width="11.42578125" style="603" customWidth="1"/>
    <col min="12554" max="12558" width="11.5703125" style="603" customWidth="1"/>
    <col min="12559" max="12559" width="10.42578125" style="603" customWidth="1"/>
    <col min="12560" max="12562" width="11.5703125" style="603" customWidth="1"/>
    <col min="12563" max="12563" width="11.42578125" style="603" customWidth="1"/>
    <col min="12564" max="12564" width="11.5703125" style="603" customWidth="1"/>
    <col min="12565" max="12566" width="11.42578125" style="603" customWidth="1"/>
    <col min="12567" max="12569" width="11.5703125" style="603" customWidth="1"/>
    <col min="12570" max="12800" width="9.140625" style="603"/>
    <col min="12801" max="12801" width="20.85546875" style="603" customWidth="1"/>
    <col min="12802" max="12802" width="60.85546875" style="603" customWidth="1"/>
    <col min="12803" max="12804" width="11.5703125" style="603" customWidth="1"/>
    <col min="12805" max="12806" width="11.42578125" style="603" customWidth="1"/>
    <col min="12807" max="12807" width="10.42578125" style="603" customWidth="1"/>
    <col min="12808" max="12809" width="11.42578125" style="603" customWidth="1"/>
    <col min="12810" max="12814" width="11.5703125" style="603" customWidth="1"/>
    <col min="12815" max="12815" width="10.42578125" style="603" customWidth="1"/>
    <col min="12816" max="12818" width="11.5703125" style="603" customWidth="1"/>
    <col min="12819" max="12819" width="11.42578125" style="603" customWidth="1"/>
    <col min="12820" max="12820" width="11.5703125" style="603" customWidth="1"/>
    <col min="12821" max="12822" width="11.42578125" style="603" customWidth="1"/>
    <col min="12823" max="12825" width="11.5703125" style="603" customWidth="1"/>
    <col min="12826" max="13056" width="9.140625" style="603"/>
    <col min="13057" max="13057" width="20.85546875" style="603" customWidth="1"/>
    <col min="13058" max="13058" width="60.85546875" style="603" customWidth="1"/>
    <col min="13059" max="13060" width="11.5703125" style="603" customWidth="1"/>
    <col min="13061" max="13062" width="11.42578125" style="603" customWidth="1"/>
    <col min="13063" max="13063" width="10.42578125" style="603" customWidth="1"/>
    <col min="13064" max="13065" width="11.42578125" style="603" customWidth="1"/>
    <col min="13066" max="13070" width="11.5703125" style="603" customWidth="1"/>
    <col min="13071" max="13071" width="10.42578125" style="603" customWidth="1"/>
    <col min="13072" max="13074" width="11.5703125" style="603" customWidth="1"/>
    <col min="13075" max="13075" width="11.42578125" style="603" customWidth="1"/>
    <col min="13076" max="13076" width="11.5703125" style="603" customWidth="1"/>
    <col min="13077" max="13078" width="11.42578125" style="603" customWidth="1"/>
    <col min="13079" max="13081" width="11.5703125" style="603" customWidth="1"/>
    <col min="13082" max="13312" width="9.140625" style="603"/>
    <col min="13313" max="13313" width="20.85546875" style="603" customWidth="1"/>
    <col min="13314" max="13314" width="60.85546875" style="603" customWidth="1"/>
    <col min="13315" max="13316" width="11.5703125" style="603" customWidth="1"/>
    <col min="13317" max="13318" width="11.42578125" style="603" customWidth="1"/>
    <col min="13319" max="13319" width="10.42578125" style="603" customWidth="1"/>
    <col min="13320" max="13321" width="11.42578125" style="603" customWidth="1"/>
    <col min="13322" max="13326" width="11.5703125" style="603" customWidth="1"/>
    <col min="13327" max="13327" width="10.42578125" style="603" customWidth="1"/>
    <col min="13328" max="13330" width="11.5703125" style="603" customWidth="1"/>
    <col min="13331" max="13331" width="11.42578125" style="603" customWidth="1"/>
    <col min="13332" max="13332" width="11.5703125" style="603" customWidth="1"/>
    <col min="13333" max="13334" width="11.42578125" style="603" customWidth="1"/>
    <col min="13335" max="13337" width="11.5703125" style="603" customWidth="1"/>
    <col min="13338" max="13568" width="9.140625" style="603"/>
    <col min="13569" max="13569" width="20.85546875" style="603" customWidth="1"/>
    <col min="13570" max="13570" width="60.85546875" style="603" customWidth="1"/>
    <col min="13571" max="13572" width="11.5703125" style="603" customWidth="1"/>
    <col min="13573" max="13574" width="11.42578125" style="603" customWidth="1"/>
    <col min="13575" max="13575" width="10.42578125" style="603" customWidth="1"/>
    <col min="13576" max="13577" width="11.42578125" style="603" customWidth="1"/>
    <col min="13578" max="13582" width="11.5703125" style="603" customWidth="1"/>
    <col min="13583" max="13583" width="10.42578125" style="603" customWidth="1"/>
    <col min="13584" max="13586" width="11.5703125" style="603" customWidth="1"/>
    <col min="13587" max="13587" width="11.42578125" style="603" customWidth="1"/>
    <col min="13588" max="13588" width="11.5703125" style="603" customWidth="1"/>
    <col min="13589" max="13590" width="11.42578125" style="603" customWidth="1"/>
    <col min="13591" max="13593" width="11.5703125" style="603" customWidth="1"/>
    <col min="13594" max="13824" width="9.140625" style="603"/>
    <col min="13825" max="13825" width="20.85546875" style="603" customWidth="1"/>
    <col min="13826" max="13826" width="60.85546875" style="603" customWidth="1"/>
    <col min="13827" max="13828" width="11.5703125" style="603" customWidth="1"/>
    <col min="13829" max="13830" width="11.42578125" style="603" customWidth="1"/>
    <col min="13831" max="13831" width="10.42578125" style="603" customWidth="1"/>
    <col min="13832" max="13833" width="11.42578125" style="603" customWidth="1"/>
    <col min="13834" max="13838" width="11.5703125" style="603" customWidth="1"/>
    <col min="13839" max="13839" width="10.42578125" style="603" customWidth="1"/>
    <col min="13840" max="13842" width="11.5703125" style="603" customWidth="1"/>
    <col min="13843" max="13843" width="11.42578125" style="603" customWidth="1"/>
    <col min="13844" max="13844" width="11.5703125" style="603" customWidth="1"/>
    <col min="13845" max="13846" width="11.42578125" style="603" customWidth="1"/>
    <col min="13847" max="13849" width="11.5703125" style="603" customWidth="1"/>
    <col min="13850" max="14080" width="9.140625" style="603"/>
    <col min="14081" max="14081" width="20.85546875" style="603" customWidth="1"/>
    <col min="14082" max="14082" width="60.85546875" style="603" customWidth="1"/>
    <col min="14083" max="14084" width="11.5703125" style="603" customWidth="1"/>
    <col min="14085" max="14086" width="11.42578125" style="603" customWidth="1"/>
    <col min="14087" max="14087" width="10.42578125" style="603" customWidth="1"/>
    <col min="14088" max="14089" width="11.42578125" style="603" customWidth="1"/>
    <col min="14090" max="14094" width="11.5703125" style="603" customWidth="1"/>
    <col min="14095" max="14095" width="10.42578125" style="603" customWidth="1"/>
    <col min="14096" max="14098" width="11.5703125" style="603" customWidth="1"/>
    <col min="14099" max="14099" width="11.42578125" style="603" customWidth="1"/>
    <col min="14100" max="14100" width="11.5703125" style="603" customWidth="1"/>
    <col min="14101" max="14102" width="11.42578125" style="603" customWidth="1"/>
    <col min="14103" max="14105" width="11.5703125" style="603" customWidth="1"/>
    <col min="14106" max="14336" width="9.140625" style="603"/>
    <col min="14337" max="14337" width="20.85546875" style="603" customWidth="1"/>
    <col min="14338" max="14338" width="60.85546875" style="603" customWidth="1"/>
    <col min="14339" max="14340" width="11.5703125" style="603" customWidth="1"/>
    <col min="14341" max="14342" width="11.42578125" style="603" customWidth="1"/>
    <col min="14343" max="14343" width="10.42578125" style="603" customWidth="1"/>
    <col min="14344" max="14345" width="11.42578125" style="603" customWidth="1"/>
    <col min="14346" max="14350" width="11.5703125" style="603" customWidth="1"/>
    <col min="14351" max="14351" width="10.42578125" style="603" customWidth="1"/>
    <col min="14352" max="14354" width="11.5703125" style="603" customWidth="1"/>
    <col min="14355" max="14355" width="11.42578125" style="603" customWidth="1"/>
    <col min="14356" max="14356" width="11.5703125" style="603" customWidth="1"/>
    <col min="14357" max="14358" width="11.42578125" style="603" customWidth="1"/>
    <col min="14359" max="14361" width="11.5703125" style="603" customWidth="1"/>
    <col min="14362" max="14592" width="9.140625" style="603"/>
    <col min="14593" max="14593" width="20.85546875" style="603" customWidth="1"/>
    <col min="14594" max="14594" width="60.85546875" style="603" customWidth="1"/>
    <col min="14595" max="14596" width="11.5703125" style="603" customWidth="1"/>
    <col min="14597" max="14598" width="11.42578125" style="603" customWidth="1"/>
    <col min="14599" max="14599" width="10.42578125" style="603" customWidth="1"/>
    <col min="14600" max="14601" width="11.42578125" style="603" customWidth="1"/>
    <col min="14602" max="14606" width="11.5703125" style="603" customWidth="1"/>
    <col min="14607" max="14607" width="10.42578125" style="603" customWidth="1"/>
    <col min="14608" max="14610" width="11.5703125" style="603" customWidth="1"/>
    <col min="14611" max="14611" width="11.42578125" style="603" customWidth="1"/>
    <col min="14612" max="14612" width="11.5703125" style="603" customWidth="1"/>
    <col min="14613" max="14614" width="11.42578125" style="603" customWidth="1"/>
    <col min="14615" max="14617" width="11.5703125" style="603" customWidth="1"/>
    <col min="14618" max="14848" width="9.140625" style="603"/>
    <col min="14849" max="14849" width="20.85546875" style="603" customWidth="1"/>
    <col min="14850" max="14850" width="60.85546875" style="603" customWidth="1"/>
    <col min="14851" max="14852" width="11.5703125" style="603" customWidth="1"/>
    <col min="14853" max="14854" width="11.42578125" style="603" customWidth="1"/>
    <col min="14855" max="14855" width="10.42578125" style="603" customWidth="1"/>
    <col min="14856" max="14857" width="11.42578125" style="603" customWidth="1"/>
    <col min="14858" max="14862" width="11.5703125" style="603" customWidth="1"/>
    <col min="14863" max="14863" width="10.42578125" style="603" customWidth="1"/>
    <col min="14864" max="14866" width="11.5703125" style="603" customWidth="1"/>
    <col min="14867" max="14867" width="11.42578125" style="603" customWidth="1"/>
    <col min="14868" max="14868" width="11.5703125" style="603" customWidth="1"/>
    <col min="14869" max="14870" width="11.42578125" style="603" customWidth="1"/>
    <col min="14871" max="14873" width="11.5703125" style="603" customWidth="1"/>
    <col min="14874" max="15104" width="9.140625" style="603"/>
    <col min="15105" max="15105" width="20.85546875" style="603" customWidth="1"/>
    <col min="15106" max="15106" width="60.85546875" style="603" customWidth="1"/>
    <col min="15107" max="15108" width="11.5703125" style="603" customWidth="1"/>
    <col min="15109" max="15110" width="11.42578125" style="603" customWidth="1"/>
    <col min="15111" max="15111" width="10.42578125" style="603" customWidth="1"/>
    <col min="15112" max="15113" width="11.42578125" style="603" customWidth="1"/>
    <col min="15114" max="15118" width="11.5703125" style="603" customWidth="1"/>
    <col min="15119" max="15119" width="10.42578125" style="603" customWidth="1"/>
    <col min="15120" max="15122" width="11.5703125" style="603" customWidth="1"/>
    <col min="15123" max="15123" width="11.42578125" style="603" customWidth="1"/>
    <col min="15124" max="15124" width="11.5703125" style="603" customWidth="1"/>
    <col min="15125" max="15126" width="11.42578125" style="603" customWidth="1"/>
    <col min="15127" max="15129" width="11.5703125" style="603" customWidth="1"/>
    <col min="15130" max="15360" width="9.140625" style="603"/>
    <col min="15361" max="15361" width="20.85546875" style="603" customWidth="1"/>
    <col min="15362" max="15362" width="60.85546875" style="603" customWidth="1"/>
    <col min="15363" max="15364" width="11.5703125" style="603" customWidth="1"/>
    <col min="15365" max="15366" width="11.42578125" style="603" customWidth="1"/>
    <col min="15367" max="15367" width="10.42578125" style="603" customWidth="1"/>
    <col min="15368" max="15369" width="11.42578125" style="603" customWidth="1"/>
    <col min="15370" max="15374" width="11.5703125" style="603" customWidth="1"/>
    <col min="15375" max="15375" width="10.42578125" style="603" customWidth="1"/>
    <col min="15376" max="15378" width="11.5703125" style="603" customWidth="1"/>
    <col min="15379" max="15379" width="11.42578125" style="603" customWidth="1"/>
    <col min="15380" max="15380" width="11.5703125" style="603" customWidth="1"/>
    <col min="15381" max="15382" width="11.42578125" style="603" customWidth="1"/>
    <col min="15383" max="15385" width="11.5703125" style="603" customWidth="1"/>
    <col min="15386" max="15616" width="9.140625" style="603"/>
    <col min="15617" max="15617" width="20.85546875" style="603" customWidth="1"/>
    <col min="15618" max="15618" width="60.85546875" style="603" customWidth="1"/>
    <col min="15619" max="15620" width="11.5703125" style="603" customWidth="1"/>
    <col min="15621" max="15622" width="11.42578125" style="603" customWidth="1"/>
    <col min="15623" max="15623" width="10.42578125" style="603" customWidth="1"/>
    <col min="15624" max="15625" width="11.42578125" style="603" customWidth="1"/>
    <col min="15626" max="15630" width="11.5703125" style="603" customWidth="1"/>
    <col min="15631" max="15631" width="10.42578125" style="603" customWidth="1"/>
    <col min="15632" max="15634" width="11.5703125" style="603" customWidth="1"/>
    <col min="15635" max="15635" width="11.42578125" style="603" customWidth="1"/>
    <col min="15636" max="15636" width="11.5703125" style="603" customWidth="1"/>
    <col min="15637" max="15638" width="11.42578125" style="603" customWidth="1"/>
    <col min="15639" max="15641" width="11.5703125" style="603" customWidth="1"/>
    <col min="15642" max="15872" width="9.140625" style="603"/>
    <col min="15873" max="15873" width="20.85546875" style="603" customWidth="1"/>
    <col min="15874" max="15874" width="60.85546875" style="603" customWidth="1"/>
    <col min="15875" max="15876" width="11.5703125" style="603" customWidth="1"/>
    <col min="15877" max="15878" width="11.42578125" style="603" customWidth="1"/>
    <col min="15879" max="15879" width="10.42578125" style="603" customWidth="1"/>
    <col min="15880" max="15881" width="11.42578125" style="603" customWidth="1"/>
    <col min="15882" max="15886" width="11.5703125" style="603" customWidth="1"/>
    <col min="15887" max="15887" width="10.42578125" style="603" customWidth="1"/>
    <col min="15888" max="15890" width="11.5703125" style="603" customWidth="1"/>
    <col min="15891" max="15891" width="11.42578125" style="603" customWidth="1"/>
    <col min="15892" max="15892" width="11.5703125" style="603" customWidth="1"/>
    <col min="15893" max="15894" width="11.42578125" style="603" customWidth="1"/>
    <col min="15895" max="15897" width="11.5703125" style="603" customWidth="1"/>
    <col min="15898" max="16128" width="9.140625" style="603"/>
    <col min="16129" max="16129" width="20.85546875" style="603" customWidth="1"/>
    <col min="16130" max="16130" width="60.85546875" style="603" customWidth="1"/>
    <col min="16131" max="16132" width="11.5703125" style="603" customWidth="1"/>
    <col min="16133" max="16134" width="11.42578125" style="603" customWidth="1"/>
    <col min="16135" max="16135" width="10.42578125" style="603" customWidth="1"/>
    <col min="16136" max="16137" width="11.42578125" style="603" customWidth="1"/>
    <col min="16138" max="16142" width="11.5703125" style="603" customWidth="1"/>
    <col min="16143" max="16143" width="10.42578125" style="603" customWidth="1"/>
    <col min="16144" max="16146" width="11.5703125" style="603" customWidth="1"/>
    <col min="16147" max="16147" width="11.42578125" style="603" customWidth="1"/>
    <col min="16148" max="16148" width="11.5703125" style="603" customWidth="1"/>
    <col min="16149" max="16150" width="11.42578125" style="603" customWidth="1"/>
    <col min="16151" max="16153" width="11.5703125" style="603" customWidth="1"/>
    <col min="16154" max="16384" width="9.140625" style="603"/>
  </cols>
  <sheetData>
    <row r="1" spans="1:26" ht="12.75" customHeight="1">
      <c r="A1" s="679" t="s">
        <v>1518</v>
      </c>
      <c r="B1" s="680"/>
      <c r="C1" s="680"/>
      <c r="D1" s="680"/>
      <c r="E1" s="680"/>
      <c r="F1" s="680"/>
      <c r="G1" s="680"/>
      <c r="H1" s="680"/>
      <c r="I1" s="680"/>
      <c r="J1" s="680"/>
      <c r="K1" s="680"/>
      <c r="L1" s="680"/>
      <c r="M1" s="680"/>
      <c r="N1" s="680"/>
      <c r="O1" s="680"/>
      <c r="P1" s="680"/>
      <c r="Q1" s="680"/>
      <c r="R1" s="680"/>
      <c r="S1" s="680"/>
      <c r="T1" s="680"/>
      <c r="U1" s="680"/>
      <c r="V1" s="680"/>
      <c r="W1" s="680"/>
      <c r="X1" s="680"/>
      <c r="Y1" s="680"/>
      <c r="Z1" s="680"/>
    </row>
    <row r="2" spans="1:26" ht="12.75" customHeight="1">
      <c r="A2" s="604" t="s">
        <v>1519</v>
      </c>
    </row>
    <row r="3" spans="1:26" ht="12.75" customHeight="1">
      <c r="A3" s="681" t="s">
        <v>150</v>
      </c>
      <c r="B3" s="681" t="s">
        <v>150</v>
      </c>
      <c r="C3" s="681" t="s">
        <v>1520</v>
      </c>
      <c r="D3" s="681" t="s">
        <v>150</v>
      </c>
      <c r="E3" s="681" t="s">
        <v>150</v>
      </c>
      <c r="F3" s="681" t="s">
        <v>150</v>
      </c>
      <c r="G3" s="681" t="s">
        <v>150</v>
      </c>
      <c r="H3" s="681" t="s">
        <v>150</v>
      </c>
      <c r="I3" s="681" t="s">
        <v>150</v>
      </c>
      <c r="J3" s="681" t="s">
        <v>150</v>
      </c>
      <c r="K3" s="681" t="s">
        <v>150</v>
      </c>
      <c r="L3" s="681" t="s">
        <v>150</v>
      </c>
      <c r="M3" s="681" t="s">
        <v>150</v>
      </c>
      <c r="N3" s="681" t="s">
        <v>150</v>
      </c>
      <c r="O3" s="681" t="s">
        <v>1521</v>
      </c>
      <c r="P3" s="681" t="s">
        <v>150</v>
      </c>
      <c r="Q3" s="681" t="s">
        <v>150</v>
      </c>
      <c r="R3" s="681" t="s">
        <v>150</v>
      </c>
      <c r="S3" s="681" t="s">
        <v>150</v>
      </c>
      <c r="T3" s="681" t="s">
        <v>150</v>
      </c>
      <c r="U3" s="681" t="s">
        <v>150</v>
      </c>
      <c r="V3" s="681" t="s">
        <v>150</v>
      </c>
      <c r="W3" s="681" t="s">
        <v>150</v>
      </c>
      <c r="X3" s="681" t="s">
        <v>150</v>
      </c>
      <c r="Y3" s="681" t="s">
        <v>150</v>
      </c>
    </row>
    <row r="4" spans="1:26" ht="12.75" customHeight="1">
      <c r="A4" s="682" t="s">
        <v>150</v>
      </c>
      <c r="B4" s="682" t="s">
        <v>150</v>
      </c>
      <c r="C4" s="606" t="s">
        <v>1522</v>
      </c>
      <c r="D4" s="606" t="s">
        <v>1523</v>
      </c>
      <c r="E4" s="606" t="s">
        <v>1524</v>
      </c>
      <c r="F4" s="606" t="s">
        <v>1525</v>
      </c>
      <c r="G4" s="606" t="s">
        <v>1526</v>
      </c>
      <c r="H4" s="606" t="s">
        <v>1527</v>
      </c>
      <c r="I4" s="606" t="s">
        <v>1528</v>
      </c>
      <c r="J4" s="606" t="s">
        <v>1529</v>
      </c>
      <c r="K4" s="606" t="s">
        <v>1508</v>
      </c>
      <c r="L4" s="606" t="s">
        <v>1530</v>
      </c>
      <c r="M4" s="606" t="s">
        <v>1531</v>
      </c>
      <c r="N4" s="606" t="s">
        <v>1532</v>
      </c>
      <c r="O4" s="606" t="s">
        <v>1522</v>
      </c>
      <c r="P4" s="606" t="s">
        <v>1523</v>
      </c>
      <c r="Q4" s="606" t="s">
        <v>1524</v>
      </c>
      <c r="R4" s="606" t="s">
        <v>1525</v>
      </c>
      <c r="S4" s="606" t="s">
        <v>1526</v>
      </c>
      <c r="T4" s="606" t="s">
        <v>1527</v>
      </c>
      <c r="U4" s="606" t="s">
        <v>1528</v>
      </c>
      <c r="V4" s="606" t="s">
        <v>1529</v>
      </c>
      <c r="W4" s="606" t="s">
        <v>1508</v>
      </c>
      <c r="X4" s="606" t="s">
        <v>1530</v>
      </c>
      <c r="Y4" s="606" t="s">
        <v>1531</v>
      </c>
    </row>
    <row r="5" spans="1:26" s="605" customFormat="1" ht="37.5" customHeight="1">
      <c r="A5" s="608" t="s">
        <v>1242</v>
      </c>
      <c r="B5" s="609" t="s">
        <v>1533</v>
      </c>
      <c r="C5" s="610">
        <v>2777.12</v>
      </c>
      <c r="D5" s="610">
        <v>2892.57</v>
      </c>
      <c r="E5" s="610">
        <v>3008.4</v>
      </c>
      <c r="F5" s="610">
        <v>3269.48</v>
      </c>
      <c r="G5" s="610">
        <v>3374.62</v>
      </c>
      <c r="H5" s="610">
        <v>3800.96</v>
      </c>
      <c r="I5" s="610">
        <v>4098.8</v>
      </c>
      <c r="J5" s="610">
        <v>4010.27</v>
      </c>
      <c r="K5" s="610">
        <v>3701.19</v>
      </c>
      <c r="L5" s="610">
        <v>3354.57</v>
      </c>
      <c r="M5" s="610">
        <v>3218.8</v>
      </c>
      <c r="N5" s="610">
        <v>3174.79</v>
      </c>
      <c r="O5" s="610">
        <v>3050.99</v>
      </c>
      <c r="P5" s="610">
        <v>3214.37</v>
      </c>
      <c r="Q5" s="610">
        <v>3401.44</v>
      </c>
      <c r="R5" s="610">
        <v>3545.6</v>
      </c>
      <c r="S5" s="610">
        <v>3754.13</v>
      </c>
      <c r="T5" s="610">
        <v>4243.97</v>
      </c>
      <c r="U5" s="610">
        <v>4473.25</v>
      </c>
      <c r="V5" s="610">
        <v>4368.55</v>
      </c>
      <c r="W5" s="610">
        <v>4314.21</v>
      </c>
      <c r="X5" s="610">
        <v>3696.86</v>
      </c>
      <c r="Y5" s="610">
        <v>3599.83</v>
      </c>
    </row>
    <row r="6" spans="1:26" s="605" customFormat="1" ht="30" customHeight="1">
      <c r="A6" s="608" t="s">
        <v>1534</v>
      </c>
      <c r="B6" s="609" t="s">
        <v>1533</v>
      </c>
      <c r="C6" s="610">
        <v>3212.7</v>
      </c>
      <c r="D6" s="610">
        <v>3093.99</v>
      </c>
      <c r="E6" s="610">
        <v>3441.06</v>
      </c>
      <c r="F6" s="610">
        <v>3348.51</v>
      </c>
      <c r="G6" s="610">
        <v>3523.55</v>
      </c>
      <c r="H6" s="610">
        <v>3681.47</v>
      </c>
      <c r="I6" s="610">
        <v>3996.09</v>
      </c>
      <c r="J6" s="610">
        <v>3872.98</v>
      </c>
      <c r="K6" s="610">
        <v>3714.84</v>
      </c>
      <c r="L6" s="610">
        <v>3285.21</v>
      </c>
      <c r="M6" s="610">
        <v>2872.28</v>
      </c>
      <c r="N6" s="610">
        <v>2872.28</v>
      </c>
      <c r="O6" s="610">
        <v>2872.28</v>
      </c>
      <c r="P6" s="610">
        <v>2872.28</v>
      </c>
      <c r="Q6" s="610">
        <v>2798.23</v>
      </c>
      <c r="R6" s="610">
        <v>3921.4</v>
      </c>
      <c r="S6" s="610">
        <v>3992.18</v>
      </c>
      <c r="T6" s="610">
        <v>4071.24</v>
      </c>
      <c r="U6" s="610">
        <v>4071.24</v>
      </c>
      <c r="V6" s="610">
        <v>3945.82</v>
      </c>
      <c r="W6" s="610">
        <v>3824.26</v>
      </c>
      <c r="X6" s="610">
        <v>3102.42</v>
      </c>
      <c r="Y6" s="610">
        <v>2872.28</v>
      </c>
    </row>
    <row r="7" spans="1:26" s="605" customFormat="1" ht="48.75" customHeight="1">
      <c r="A7" s="608" t="s">
        <v>1535</v>
      </c>
      <c r="B7" s="611">
        <f>AVERAGE(C7:Y7)</f>
        <v>0.96744341823826663</v>
      </c>
      <c r="C7" s="612">
        <f>C6/C5</f>
        <v>1.156845941118857</v>
      </c>
      <c r="D7" s="612">
        <f t="shared" ref="D7:Y7" si="0">D6/D5</f>
        <v>1.0696335784440825</v>
      </c>
      <c r="E7" s="612">
        <f t="shared" si="0"/>
        <v>1.1438173115277224</v>
      </c>
      <c r="F7" s="612">
        <f t="shared" si="0"/>
        <v>1.0241720395903937</v>
      </c>
      <c r="G7" s="612">
        <f t="shared" si="0"/>
        <v>1.0441323763860821</v>
      </c>
      <c r="H7" s="612">
        <f t="shared" si="0"/>
        <v>0.96856320508503113</v>
      </c>
      <c r="I7" s="612">
        <f t="shared" si="0"/>
        <v>0.97494144627695911</v>
      </c>
      <c r="J7" s="612">
        <f t="shared" si="0"/>
        <v>0.96576539734232358</v>
      </c>
      <c r="K7" s="612">
        <f t="shared" si="0"/>
        <v>1.0036880030476685</v>
      </c>
      <c r="L7" s="612">
        <f t="shared" si="0"/>
        <v>0.9793237285255636</v>
      </c>
      <c r="M7" s="612">
        <f t="shared" si="0"/>
        <v>0.89234497328196849</v>
      </c>
      <c r="N7" s="612">
        <f t="shared" si="0"/>
        <v>0.90471495752474973</v>
      </c>
      <c r="O7" s="612">
        <f t="shared" si="0"/>
        <v>0.94142557006086558</v>
      </c>
      <c r="P7" s="612">
        <f t="shared" si="0"/>
        <v>0.89357479070548829</v>
      </c>
      <c r="Q7" s="612">
        <f t="shared" si="0"/>
        <v>0.82266040265299401</v>
      </c>
      <c r="R7" s="612">
        <f t="shared" si="0"/>
        <v>1.1059905234657039</v>
      </c>
      <c r="S7" s="612">
        <f t="shared" si="0"/>
        <v>1.0634101642724145</v>
      </c>
      <c r="T7" s="612">
        <f t="shared" si="0"/>
        <v>0.95929990080042971</v>
      </c>
      <c r="U7" s="612">
        <f t="shared" si="0"/>
        <v>0.91013021852120934</v>
      </c>
      <c r="V7" s="612">
        <f t="shared" si="0"/>
        <v>0.90323333829302632</v>
      </c>
      <c r="W7" s="612">
        <f t="shared" si="0"/>
        <v>0.88643343740800751</v>
      </c>
      <c r="X7" s="612">
        <f t="shared" si="0"/>
        <v>0.83920408130142876</v>
      </c>
      <c r="Y7" s="612">
        <f t="shared" si="0"/>
        <v>0.79789323384715394</v>
      </c>
    </row>
    <row r="8" spans="1:26" s="605" customFormat="1" ht="30" customHeight="1">
      <c r="A8" s="608" t="s">
        <v>1242</v>
      </c>
      <c r="B8" s="609" t="s">
        <v>1537</v>
      </c>
      <c r="C8" s="610">
        <v>3261.73</v>
      </c>
      <c r="D8" s="610">
        <v>3269.57</v>
      </c>
      <c r="E8" s="610">
        <v>3272.7</v>
      </c>
      <c r="F8" s="610">
        <v>3306.21</v>
      </c>
      <c r="G8" s="610">
        <v>3319.26</v>
      </c>
      <c r="H8" s="610">
        <v>3371.71</v>
      </c>
      <c r="I8" s="610">
        <v>3360.42</v>
      </c>
      <c r="J8" s="610">
        <v>3383.86</v>
      </c>
      <c r="K8" s="610">
        <v>3459.83</v>
      </c>
      <c r="L8" s="610">
        <v>3485.59</v>
      </c>
      <c r="M8" s="610">
        <v>3509.25</v>
      </c>
      <c r="N8" s="610">
        <v>3551.01</v>
      </c>
      <c r="O8" s="610">
        <v>3551.29</v>
      </c>
      <c r="P8" s="610">
        <v>3610.58</v>
      </c>
      <c r="Q8" s="610">
        <v>3616.09</v>
      </c>
      <c r="R8" s="610">
        <v>3623.81</v>
      </c>
      <c r="S8" s="610">
        <v>3690</v>
      </c>
      <c r="T8" s="610">
        <v>3714.67</v>
      </c>
      <c r="U8" s="610">
        <v>3735.76</v>
      </c>
      <c r="V8" s="610">
        <v>3757.43</v>
      </c>
      <c r="W8" s="610">
        <v>3790.41</v>
      </c>
      <c r="X8" s="610">
        <v>3795.72</v>
      </c>
      <c r="Y8" s="610">
        <v>3847.06</v>
      </c>
    </row>
    <row r="9" spans="1:26" s="605" customFormat="1" ht="30" customHeight="1">
      <c r="A9" s="608" t="s">
        <v>1534</v>
      </c>
      <c r="B9" s="609" t="s">
        <v>1537</v>
      </c>
      <c r="C9" s="610">
        <v>2952.81</v>
      </c>
      <c r="D9" s="610">
        <v>2952.81</v>
      </c>
      <c r="E9" s="610">
        <v>3053.92</v>
      </c>
      <c r="F9" s="610">
        <v>3053.92</v>
      </c>
      <c r="G9" s="610">
        <v>3046.88</v>
      </c>
      <c r="H9" s="610">
        <v>3046.88</v>
      </c>
      <c r="I9" s="610">
        <v>3046.88</v>
      </c>
      <c r="J9" s="610">
        <v>3046.88</v>
      </c>
      <c r="K9" s="610">
        <v>3046.88</v>
      </c>
      <c r="L9" s="610">
        <v>3118.5</v>
      </c>
      <c r="M9" s="610">
        <v>3118.5</v>
      </c>
      <c r="N9" s="610">
        <v>3118.5</v>
      </c>
      <c r="O9" s="610">
        <v>3150.23</v>
      </c>
      <c r="P9" s="610">
        <v>3395.66</v>
      </c>
      <c r="Q9" s="610">
        <v>3395.66</v>
      </c>
      <c r="R9" s="610">
        <v>3395.66</v>
      </c>
      <c r="S9" s="610">
        <v>3402.97</v>
      </c>
      <c r="T9" s="610">
        <v>3402.97</v>
      </c>
      <c r="U9" s="610">
        <v>3402.97</v>
      </c>
      <c r="V9" s="610">
        <v>3423.26</v>
      </c>
      <c r="W9" s="610">
        <v>3431.11</v>
      </c>
      <c r="X9" s="610">
        <v>3431.11</v>
      </c>
      <c r="Y9" s="610">
        <v>3431.11</v>
      </c>
    </row>
    <row r="10" spans="1:26" s="605" customFormat="1" ht="48.75" customHeight="1">
      <c r="A10" s="608" t="s">
        <v>1535</v>
      </c>
      <c r="B10" s="611">
        <f>AVERAGE(C10:Y10)</f>
        <v>0.9087426311394593</v>
      </c>
      <c r="C10" s="612">
        <f>C9/C8</f>
        <v>0.9052895242708624</v>
      </c>
      <c r="D10" s="612">
        <f t="shared" ref="D10:Y10" si="1">D9/D8</f>
        <v>0.90311875873585812</v>
      </c>
      <c r="E10" s="612">
        <f t="shared" si="1"/>
        <v>0.93314999847220959</v>
      </c>
      <c r="F10" s="612">
        <f t="shared" si="1"/>
        <v>0.92369208247509993</v>
      </c>
      <c r="G10" s="612">
        <f t="shared" si="1"/>
        <v>0.91793954074100848</v>
      </c>
      <c r="H10" s="612">
        <f t="shared" si="1"/>
        <v>0.90366016057134213</v>
      </c>
      <c r="I10" s="612">
        <f t="shared" si="1"/>
        <v>0.90669618678617558</v>
      </c>
      <c r="J10" s="612">
        <f t="shared" si="1"/>
        <v>0.9004155018233615</v>
      </c>
      <c r="K10" s="612">
        <f t="shared" si="1"/>
        <v>0.88064442472607041</v>
      </c>
      <c r="L10" s="612">
        <f t="shared" si="1"/>
        <v>0.89468353994589145</v>
      </c>
      <c r="M10" s="612">
        <f t="shared" si="1"/>
        <v>0.88865142124385554</v>
      </c>
      <c r="N10" s="612">
        <f t="shared" si="1"/>
        <v>0.87820084989904279</v>
      </c>
      <c r="O10" s="612">
        <f t="shared" si="1"/>
        <v>0.88706638995970477</v>
      </c>
      <c r="P10" s="612">
        <f t="shared" si="1"/>
        <v>0.94047493754466038</v>
      </c>
      <c r="Q10" s="612">
        <f t="shared" si="1"/>
        <v>0.93904189331570831</v>
      </c>
      <c r="R10" s="612">
        <f t="shared" si="1"/>
        <v>0.93704140117721402</v>
      </c>
      <c r="S10" s="612">
        <f t="shared" si="1"/>
        <v>0.92221409214092132</v>
      </c>
      <c r="T10" s="612">
        <f t="shared" si="1"/>
        <v>0.91608945074528825</v>
      </c>
      <c r="U10" s="612">
        <f t="shared" si="1"/>
        <v>0.91091772490738154</v>
      </c>
      <c r="V10" s="612">
        <f t="shared" si="1"/>
        <v>0.91106421144239558</v>
      </c>
      <c r="W10" s="612">
        <f t="shared" si="1"/>
        <v>0.90520814371004732</v>
      </c>
      <c r="X10" s="612">
        <f t="shared" si="1"/>
        <v>0.90394180814180192</v>
      </c>
      <c r="Y10" s="612">
        <f t="shared" si="1"/>
        <v>0.8918784734316596</v>
      </c>
    </row>
    <row r="11" spans="1:26" ht="51">
      <c r="B11" s="607" t="s">
        <v>1536</v>
      </c>
    </row>
  </sheetData>
  <mergeCells count="4">
    <mergeCell ref="A1:Z1"/>
    <mergeCell ref="A3:B4"/>
    <mergeCell ref="C3:N3"/>
    <mergeCell ref="O3:Y3"/>
  </mergeCells>
  <hyperlinks>
    <hyperlink ref="A2" r:id="rId1" xr:uid="{781066F3-4E0C-41B9-B471-9A81DF11250D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3E05-1D7D-4ABC-A196-2DD6481E5C6F}">
  <sheetPr codeName="Лист41"/>
  <dimension ref="A1:J1000"/>
  <sheetViews>
    <sheetView zoomScale="85" zoomScaleNormal="85" workbookViewId="0">
      <pane ySplit="2" topLeftCell="A98" activePane="bottomLeft" state="frozen"/>
      <selection pane="bottomLeft" activeCell="D119" sqref="D119"/>
    </sheetView>
  </sheetViews>
  <sheetFormatPr defaultColWidth="14.42578125" defaultRowHeight="15" customHeight="1" outlineLevelRow="1" outlineLevelCol="1"/>
  <cols>
    <col min="1" max="1" width="6" style="485" customWidth="1"/>
    <col min="2" max="2" width="20.140625" style="485" customWidth="1"/>
    <col min="3" max="3" width="26.42578125" style="485" customWidth="1" outlineLevel="1"/>
    <col min="4" max="4" width="7.42578125" style="485" customWidth="1" outlineLevel="1"/>
    <col min="5" max="5" width="8.140625" style="485" customWidth="1" outlineLevel="1"/>
    <col min="6" max="6" width="10.7109375" style="485" customWidth="1" outlineLevel="1"/>
    <col min="7" max="7" width="9.7109375" style="485" customWidth="1" outlineLevel="1"/>
    <col min="8" max="8" width="9.140625" style="485" customWidth="1" outlineLevel="1"/>
    <col min="9" max="9" width="14" style="485" bestFit="1" customWidth="1" outlineLevel="1"/>
    <col min="10" max="10" width="12.7109375" style="485" customWidth="1" outlineLevel="1"/>
    <col min="11" max="16384" width="14.42578125" style="485"/>
  </cols>
  <sheetData>
    <row r="1" spans="1:10" ht="34.5" customHeight="1">
      <c r="A1" s="562" t="s">
        <v>1302</v>
      </c>
      <c r="B1" s="563" t="s">
        <v>1303</v>
      </c>
      <c r="C1" s="562" t="s">
        <v>1304</v>
      </c>
      <c r="D1" s="564" t="s">
        <v>1305</v>
      </c>
      <c r="E1" s="540"/>
      <c r="F1" s="540"/>
      <c r="G1" s="540"/>
      <c r="H1" s="540"/>
      <c r="I1" s="540"/>
      <c r="J1" s="541"/>
    </row>
    <row r="2" spans="1:10" ht="13.9" customHeight="1">
      <c r="A2" s="565"/>
      <c r="B2" s="566"/>
      <c r="C2" s="565"/>
      <c r="D2" s="564"/>
      <c r="E2" s="542"/>
      <c r="F2" s="542"/>
      <c r="G2" s="542"/>
      <c r="H2" s="542"/>
      <c r="I2" s="542"/>
      <c r="J2" s="543"/>
    </row>
    <row r="3" spans="1:10" ht="13.9" customHeight="1">
      <c r="A3" s="565" t="s">
        <v>113</v>
      </c>
      <c r="B3" s="566"/>
      <c r="C3" s="565"/>
      <c r="D3" s="561"/>
      <c r="E3" s="544"/>
      <c r="F3" s="544"/>
      <c r="G3" s="544"/>
      <c r="H3" s="545"/>
      <c r="I3" s="545"/>
      <c r="J3" s="546"/>
    </row>
    <row r="4" spans="1:10" ht="13.9" customHeight="1" outlineLevel="1">
      <c r="A4" s="615">
        <v>1</v>
      </c>
      <c r="B4" s="616" t="s">
        <v>1307</v>
      </c>
      <c r="C4" s="617" t="s">
        <v>1308</v>
      </c>
      <c r="D4" s="618">
        <v>1</v>
      </c>
      <c r="E4" s="547"/>
      <c r="F4" s="547"/>
      <c r="G4" s="547"/>
      <c r="H4" s="547"/>
      <c r="I4" s="545"/>
      <c r="J4" s="548"/>
    </row>
    <row r="5" spans="1:10" ht="33.75" customHeight="1" outlineLevel="1">
      <c r="A5" s="615">
        <f>A4+1</f>
        <v>2</v>
      </c>
      <c r="B5" s="616" t="s">
        <v>1307</v>
      </c>
      <c r="C5" s="617" t="s">
        <v>1309</v>
      </c>
      <c r="D5" s="618">
        <v>1</v>
      </c>
      <c r="E5" s="547"/>
      <c r="F5" s="547"/>
      <c r="G5" s="547"/>
      <c r="H5" s="547"/>
      <c r="I5" s="545"/>
      <c r="J5" s="548"/>
    </row>
    <row r="6" spans="1:10" ht="12.75" customHeight="1" outlineLevel="1">
      <c r="A6" s="615">
        <v>3</v>
      </c>
      <c r="B6" s="616" t="s">
        <v>1307</v>
      </c>
      <c r="C6" s="617" t="s">
        <v>1310</v>
      </c>
      <c r="D6" s="618"/>
      <c r="E6" s="547"/>
      <c r="F6" s="547"/>
      <c r="G6" s="547"/>
      <c r="H6" s="547"/>
      <c r="I6" s="545"/>
      <c r="J6" s="548"/>
    </row>
    <row r="7" spans="1:10" ht="13.9" customHeight="1" outlineLevel="1">
      <c r="A7" s="615">
        <v>4</v>
      </c>
      <c r="B7" s="616" t="s">
        <v>1307</v>
      </c>
      <c r="C7" s="617" t="s">
        <v>1311</v>
      </c>
      <c r="D7" s="618">
        <v>1</v>
      </c>
      <c r="E7" s="547"/>
      <c r="F7" s="547"/>
      <c r="G7" s="547"/>
      <c r="H7" s="547"/>
      <c r="I7" s="545"/>
      <c r="J7" s="548"/>
    </row>
    <row r="8" spans="1:10" ht="13.9" customHeight="1" outlineLevel="1">
      <c r="A8" s="615">
        <f>A7+1</f>
        <v>5</v>
      </c>
      <c r="B8" s="616" t="s">
        <v>1307</v>
      </c>
      <c r="C8" s="617" t="s">
        <v>1312</v>
      </c>
      <c r="D8" s="618"/>
      <c r="E8" s="547"/>
      <c r="F8" s="547"/>
      <c r="G8" s="547"/>
      <c r="H8" s="547"/>
      <c r="I8" s="545"/>
      <c r="J8" s="548"/>
    </row>
    <row r="9" spans="1:10" ht="13.9" customHeight="1" outlineLevel="1">
      <c r="A9" s="615">
        <v>6</v>
      </c>
      <c r="B9" s="616" t="s">
        <v>1307</v>
      </c>
      <c r="C9" s="617" t="s">
        <v>1313</v>
      </c>
      <c r="D9" s="618">
        <v>1</v>
      </c>
      <c r="E9" s="547"/>
      <c r="F9" s="547"/>
      <c r="G9" s="547"/>
      <c r="H9" s="547"/>
      <c r="I9" s="545"/>
      <c r="J9" s="548"/>
    </row>
    <row r="10" spans="1:10" ht="23.25" customHeight="1" outlineLevel="1">
      <c r="A10" s="615">
        <v>7</v>
      </c>
      <c r="B10" s="616" t="s">
        <v>1307</v>
      </c>
      <c r="C10" s="617"/>
      <c r="D10" s="618"/>
      <c r="E10" s="547"/>
      <c r="F10" s="547"/>
      <c r="G10" s="547"/>
      <c r="H10" s="547"/>
      <c r="I10" s="545"/>
      <c r="J10" s="548"/>
    </row>
    <row r="11" spans="1:10" ht="13.9" customHeight="1">
      <c r="A11" s="619"/>
      <c r="B11" s="620" t="s">
        <v>1307</v>
      </c>
      <c r="C11" s="620"/>
      <c r="D11" s="621"/>
      <c r="E11" s="549"/>
      <c r="F11" s="549"/>
      <c r="G11" s="549"/>
      <c r="H11" s="549"/>
      <c r="I11" s="549"/>
      <c r="J11" s="550"/>
    </row>
    <row r="12" spans="1:10" ht="19.149999999999999" customHeight="1" outlineLevel="1">
      <c r="A12" s="615">
        <v>8</v>
      </c>
      <c r="B12" s="616" t="s">
        <v>1314</v>
      </c>
      <c r="C12" s="617" t="s">
        <v>1315</v>
      </c>
      <c r="D12" s="618">
        <v>1</v>
      </c>
      <c r="E12" s="547"/>
      <c r="F12" s="547"/>
      <c r="G12" s="547"/>
      <c r="H12" s="547"/>
      <c r="I12" s="545"/>
      <c r="J12" s="548"/>
    </row>
    <row r="13" spans="1:10" ht="19.149999999999999" customHeight="1" outlineLevel="1">
      <c r="A13" s="615">
        <v>9</v>
      </c>
      <c r="B13" s="616" t="s">
        <v>1314</v>
      </c>
      <c r="C13" s="617" t="s">
        <v>1316</v>
      </c>
      <c r="D13" s="618">
        <v>2</v>
      </c>
      <c r="E13" s="547"/>
      <c r="F13" s="547"/>
      <c r="G13" s="547"/>
      <c r="H13" s="547"/>
      <c r="I13" s="545"/>
      <c r="J13" s="548"/>
    </row>
    <row r="14" spans="1:10" ht="19.149999999999999" customHeight="1">
      <c r="A14" s="622"/>
      <c r="B14" s="620" t="s">
        <v>1314</v>
      </c>
      <c r="C14" s="623"/>
      <c r="D14" s="618"/>
      <c r="E14" s="551"/>
      <c r="F14" s="551"/>
      <c r="G14" s="551"/>
      <c r="H14" s="551"/>
      <c r="I14" s="545"/>
      <c r="J14" s="550"/>
    </row>
    <row r="15" spans="1:10" ht="14.25" customHeight="1" outlineLevel="1">
      <c r="A15" s="615">
        <v>10</v>
      </c>
      <c r="B15" s="616" t="s">
        <v>1317</v>
      </c>
      <c r="C15" s="616" t="s">
        <v>1318</v>
      </c>
      <c r="D15" s="618">
        <v>1</v>
      </c>
      <c r="E15" s="547"/>
      <c r="F15" s="547"/>
      <c r="G15" s="547"/>
      <c r="H15" s="547"/>
      <c r="I15" s="545"/>
      <c r="J15" s="548"/>
    </row>
    <row r="16" spans="1:10" ht="14.25" customHeight="1">
      <c r="A16" s="622"/>
      <c r="B16" s="620" t="s">
        <v>1317</v>
      </c>
      <c r="C16" s="623"/>
      <c r="D16" s="618"/>
      <c r="E16" s="551"/>
      <c r="F16" s="551"/>
      <c r="G16" s="551"/>
      <c r="H16" s="551"/>
      <c r="I16" s="545"/>
      <c r="J16" s="550"/>
    </row>
    <row r="17" spans="1:10" ht="13.9" customHeight="1" outlineLevel="1">
      <c r="A17" s="615">
        <v>11</v>
      </c>
      <c r="B17" s="616" t="s">
        <v>1319</v>
      </c>
      <c r="C17" s="617" t="s">
        <v>1320</v>
      </c>
      <c r="D17" s="624">
        <v>1</v>
      </c>
      <c r="E17" s="544"/>
      <c r="F17" s="544"/>
      <c r="G17" s="544"/>
      <c r="H17" s="544"/>
      <c r="I17" s="545"/>
      <c r="J17" s="548"/>
    </row>
    <row r="18" spans="1:10" ht="13.9" customHeight="1" outlineLevel="1">
      <c r="A18" s="615">
        <f>A17+1</f>
        <v>12</v>
      </c>
      <c r="B18" s="616" t="s">
        <v>1319</v>
      </c>
      <c r="C18" s="617" t="s">
        <v>1321</v>
      </c>
      <c r="D18" s="624">
        <v>1</v>
      </c>
      <c r="E18" s="544"/>
      <c r="F18" s="544"/>
      <c r="G18" s="544"/>
      <c r="H18" s="544"/>
      <c r="I18" s="545"/>
      <c r="J18" s="548"/>
    </row>
    <row r="19" spans="1:10" ht="13.9" customHeight="1" outlineLevel="1">
      <c r="A19" s="615">
        <f>A18+1</f>
        <v>13</v>
      </c>
      <c r="B19" s="616" t="s">
        <v>1319</v>
      </c>
      <c r="C19" s="617" t="s">
        <v>1322</v>
      </c>
      <c r="D19" s="624">
        <v>1</v>
      </c>
      <c r="E19" s="544"/>
      <c r="F19" s="544"/>
      <c r="G19" s="544"/>
      <c r="H19" s="544"/>
      <c r="I19" s="545"/>
      <c r="J19" s="548"/>
    </row>
    <row r="20" spans="1:10" ht="13.9" customHeight="1" outlineLevel="1">
      <c r="A20" s="615">
        <f>A19+1</f>
        <v>14</v>
      </c>
      <c r="B20" s="616" t="s">
        <v>1319</v>
      </c>
      <c r="C20" s="617" t="s">
        <v>1323</v>
      </c>
      <c r="D20" s="624">
        <v>1</v>
      </c>
      <c r="E20" s="544"/>
      <c r="F20" s="544"/>
      <c r="G20" s="544"/>
      <c r="H20" s="544"/>
      <c r="I20" s="545"/>
      <c r="J20" s="548"/>
    </row>
    <row r="21" spans="1:10" ht="13.9" customHeight="1" outlineLevel="1">
      <c r="A21" s="615">
        <f>A20+1</f>
        <v>15</v>
      </c>
      <c r="B21" s="616" t="s">
        <v>1319</v>
      </c>
      <c r="C21" s="617" t="s">
        <v>1324</v>
      </c>
      <c r="D21" s="624">
        <v>1</v>
      </c>
      <c r="E21" s="544"/>
      <c r="F21" s="544"/>
      <c r="G21" s="544"/>
      <c r="H21" s="544"/>
      <c r="I21" s="545"/>
      <c r="J21" s="548"/>
    </row>
    <row r="22" spans="1:10" ht="13.9" customHeight="1" outlineLevel="1">
      <c r="A22" s="615">
        <f>A21+1</f>
        <v>16</v>
      </c>
      <c r="B22" s="616" t="s">
        <v>1319</v>
      </c>
      <c r="C22" s="617" t="s">
        <v>1325</v>
      </c>
      <c r="D22" s="624">
        <v>1</v>
      </c>
      <c r="E22" s="544"/>
      <c r="F22" s="544"/>
      <c r="G22" s="544"/>
      <c r="H22" s="544"/>
      <c r="I22" s="545"/>
      <c r="J22" s="548"/>
    </row>
    <row r="23" spans="1:10" ht="13.9" customHeight="1">
      <c r="A23" s="619"/>
      <c r="B23" s="620" t="s">
        <v>1319</v>
      </c>
      <c r="C23" s="623"/>
      <c r="D23" s="624"/>
      <c r="E23" s="545"/>
      <c r="F23" s="545"/>
      <c r="G23" s="545"/>
      <c r="H23" s="545"/>
      <c r="I23" s="545"/>
      <c r="J23" s="550"/>
    </row>
    <row r="24" spans="1:10" ht="13.9" customHeight="1" outlineLevel="1">
      <c r="A24" s="615">
        <v>17</v>
      </c>
      <c r="B24" s="616" t="s">
        <v>1326</v>
      </c>
      <c r="C24" s="617" t="s">
        <v>1327</v>
      </c>
      <c r="D24" s="625">
        <v>1</v>
      </c>
      <c r="E24" s="552"/>
      <c r="F24" s="552"/>
      <c r="G24" s="552"/>
      <c r="H24" s="552"/>
      <c r="I24" s="553"/>
      <c r="J24" s="554"/>
    </row>
    <row r="25" spans="1:10" ht="13.9" customHeight="1" outlineLevel="1">
      <c r="A25" s="615">
        <v>18</v>
      </c>
      <c r="B25" s="616" t="s">
        <v>1326</v>
      </c>
      <c r="C25" s="617" t="s">
        <v>1328</v>
      </c>
      <c r="D25" s="625">
        <v>1</v>
      </c>
      <c r="E25" s="552"/>
      <c r="F25" s="552"/>
      <c r="G25" s="552"/>
      <c r="H25" s="552"/>
      <c r="I25" s="553"/>
      <c r="J25" s="554"/>
    </row>
    <row r="26" spans="1:10" ht="13.9" customHeight="1" outlineLevel="1">
      <c r="A26" s="615">
        <v>19</v>
      </c>
      <c r="B26" s="616" t="s">
        <v>1326</v>
      </c>
      <c r="C26" s="617" t="s">
        <v>1329</v>
      </c>
      <c r="D26" s="626">
        <v>1</v>
      </c>
      <c r="E26" s="552"/>
      <c r="F26" s="552"/>
      <c r="G26" s="552"/>
      <c r="H26" s="552"/>
      <c r="I26" s="553"/>
      <c r="J26" s="554"/>
    </row>
    <row r="27" spans="1:10" ht="13.9" customHeight="1">
      <c r="A27" s="619"/>
      <c r="B27" s="620" t="s">
        <v>1326</v>
      </c>
      <c r="C27" s="623"/>
      <c r="D27" s="624"/>
      <c r="E27" s="545"/>
      <c r="F27" s="545"/>
      <c r="G27" s="545"/>
      <c r="H27" s="545"/>
      <c r="I27" s="545"/>
      <c r="J27" s="550"/>
    </row>
    <row r="28" spans="1:10" ht="13.9" customHeight="1">
      <c r="A28" s="619"/>
      <c r="B28" s="616" t="s">
        <v>1330</v>
      </c>
      <c r="C28" s="617" t="s">
        <v>1331</v>
      </c>
      <c r="D28" s="626">
        <v>0</v>
      </c>
      <c r="E28" s="552"/>
      <c r="F28" s="552"/>
      <c r="G28" s="552"/>
      <c r="H28" s="552"/>
      <c r="I28" s="553"/>
      <c r="J28" s="550"/>
    </row>
    <row r="29" spans="1:10" ht="13.9" customHeight="1">
      <c r="A29" s="619"/>
      <c r="B29" s="620" t="s">
        <v>1330</v>
      </c>
      <c r="C29" s="623"/>
      <c r="D29" s="624"/>
      <c r="E29" s="545"/>
      <c r="F29" s="545"/>
      <c r="G29" s="545"/>
      <c r="H29" s="545"/>
      <c r="I29" s="545"/>
      <c r="J29" s="550"/>
    </row>
    <row r="30" spans="1:10" ht="19.149999999999999" customHeight="1" outlineLevel="1">
      <c r="A30" s="615">
        <v>19</v>
      </c>
      <c r="B30" s="616" t="s">
        <v>1332</v>
      </c>
      <c r="C30" s="617" t="s">
        <v>1333</v>
      </c>
      <c r="D30" s="624">
        <v>1</v>
      </c>
      <c r="E30" s="544"/>
      <c r="F30" s="544"/>
      <c r="G30" s="544"/>
      <c r="H30" s="544"/>
      <c r="I30" s="545"/>
      <c r="J30" s="555"/>
    </row>
    <row r="31" spans="1:10" ht="21.75" customHeight="1" outlineLevel="1">
      <c r="A31" s="615">
        <v>20</v>
      </c>
      <c r="B31" s="616" t="s">
        <v>1332</v>
      </c>
      <c r="C31" s="617" t="s">
        <v>1334</v>
      </c>
      <c r="D31" s="624">
        <v>2</v>
      </c>
      <c r="E31" s="544"/>
      <c r="F31" s="544"/>
      <c r="G31" s="544"/>
      <c r="H31" s="544"/>
      <c r="I31" s="545"/>
      <c r="J31" s="555"/>
    </row>
    <row r="32" spans="1:10" ht="13.9" customHeight="1" outlineLevel="1">
      <c r="A32" s="615">
        <v>21</v>
      </c>
      <c r="B32" s="616" t="s">
        <v>1332</v>
      </c>
      <c r="C32" s="617" t="s">
        <v>1335</v>
      </c>
      <c r="D32" s="624">
        <v>2</v>
      </c>
      <c r="E32" s="544"/>
      <c r="F32" s="544"/>
      <c r="G32" s="544"/>
      <c r="H32" s="544"/>
      <c r="I32" s="545"/>
      <c r="J32" s="555"/>
    </row>
    <row r="33" spans="1:10" ht="13.9" customHeight="1" outlineLevel="1">
      <c r="A33" s="615">
        <v>22</v>
      </c>
      <c r="B33" s="616" t="s">
        <v>1332</v>
      </c>
      <c r="C33" s="617" t="s">
        <v>1336</v>
      </c>
      <c r="D33" s="624">
        <v>2</v>
      </c>
      <c r="E33" s="544"/>
      <c r="F33" s="544"/>
      <c r="G33" s="544"/>
      <c r="H33" s="544"/>
      <c r="I33" s="545"/>
      <c r="J33" s="555"/>
    </row>
    <row r="34" spans="1:10" ht="13.9" customHeight="1">
      <c r="A34" s="619"/>
      <c r="B34" s="620" t="s">
        <v>1332</v>
      </c>
      <c r="C34" s="623"/>
      <c r="D34" s="624"/>
      <c r="E34" s="545"/>
      <c r="F34" s="545"/>
      <c r="G34" s="545"/>
      <c r="H34" s="545"/>
      <c r="I34" s="545"/>
      <c r="J34" s="550"/>
    </row>
    <row r="35" spans="1:10" ht="12.75" customHeight="1" outlineLevel="1">
      <c r="A35" s="615">
        <v>23</v>
      </c>
      <c r="B35" s="616" t="s">
        <v>1337</v>
      </c>
      <c r="C35" s="627"/>
      <c r="D35" s="628"/>
      <c r="E35" s="556"/>
      <c r="F35" s="556"/>
      <c r="G35" s="556"/>
      <c r="H35" s="557"/>
      <c r="I35" s="557"/>
      <c r="J35" s="555"/>
    </row>
    <row r="36" spans="1:10" ht="13.9" customHeight="1" outlineLevel="1">
      <c r="A36" s="615">
        <v>24</v>
      </c>
      <c r="B36" s="616" t="s">
        <v>1337</v>
      </c>
      <c r="C36" s="627" t="s">
        <v>1338</v>
      </c>
      <c r="D36" s="628">
        <v>0</v>
      </c>
      <c r="E36" s="556"/>
      <c r="F36" s="556"/>
      <c r="G36" s="556"/>
      <c r="H36" s="557"/>
      <c r="I36" s="557"/>
      <c r="J36" s="555"/>
    </row>
    <row r="37" spans="1:10" ht="13.9" customHeight="1" outlineLevel="1">
      <c r="A37" s="615">
        <v>25</v>
      </c>
      <c r="B37" s="616" t="s">
        <v>1337</v>
      </c>
      <c r="C37" s="627" t="s">
        <v>1339</v>
      </c>
      <c r="D37" s="628"/>
      <c r="E37" s="556"/>
      <c r="F37" s="556"/>
      <c r="G37" s="556"/>
      <c r="H37" s="557"/>
      <c r="I37" s="557"/>
      <c r="J37" s="555"/>
    </row>
    <row r="38" spans="1:10" ht="13.9" customHeight="1" outlineLevel="1">
      <c r="A38" s="615">
        <v>26</v>
      </c>
      <c r="B38" s="616" t="s">
        <v>1337</v>
      </c>
      <c r="C38" s="627" t="s">
        <v>1340</v>
      </c>
      <c r="D38" s="628"/>
      <c r="E38" s="556"/>
      <c r="F38" s="556"/>
      <c r="G38" s="556"/>
      <c r="H38" s="557"/>
      <c r="I38" s="557"/>
      <c r="J38" s="555"/>
    </row>
    <row r="39" spans="1:10" ht="13.9" customHeight="1">
      <c r="A39" s="619"/>
      <c r="B39" s="620" t="s">
        <v>1337</v>
      </c>
      <c r="C39" s="629"/>
      <c r="D39" s="628"/>
      <c r="E39" s="557"/>
      <c r="F39" s="557"/>
      <c r="G39" s="557"/>
      <c r="H39" s="557"/>
      <c r="I39" s="557"/>
      <c r="J39" s="550"/>
    </row>
    <row r="40" spans="1:10" ht="13.9" customHeight="1" outlineLevel="1">
      <c r="A40" s="615">
        <v>27</v>
      </c>
      <c r="B40" s="616" t="s">
        <v>1341</v>
      </c>
      <c r="C40" s="617" t="s">
        <v>1342</v>
      </c>
      <c r="D40" s="624">
        <v>1</v>
      </c>
      <c r="E40" s="544"/>
      <c r="F40" s="544"/>
      <c r="G40" s="544"/>
      <c r="H40" s="545"/>
      <c r="I40" s="545"/>
      <c r="J40" s="558"/>
    </row>
    <row r="41" spans="1:10" ht="23.25" customHeight="1" outlineLevel="1">
      <c r="A41" s="615">
        <v>28</v>
      </c>
      <c r="B41" s="616" t="s">
        <v>1341</v>
      </c>
      <c r="C41" s="617" t="s">
        <v>1343</v>
      </c>
      <c r="D41" s="624">
        <v>8</v>
      </c>
      <c r="E41" s="544"/>
      <c r="F41" s="544"/>
      <c r="G41" s="544"/>
      <c r="H41" s="545"/>
      <c r="I41" s="545"/>
      <c r="J41" s="558"/>
    </row>
    <row r="42" spans="1:10" ht="21" customHeight="1" outlineLevel="1">
      <c r="A42" s="615">
        <v>29</v>
      </c>
      <c r="B42" s="616" t="s">
        <v>1341</v>
      </c>
      <c r="C42" s="617" t="s">
        <v>1344</v>
      </c>
      <c r="D42" s="624">
        <v>1</v>
      </c>
      <c r="E42" s="544"/>
      <c r="F42" s="544"/>
      <c r="G42" s="544"/>
      <c r="H42" s="545"/>
      <c r="I42" s="545"/>
      <c r="J42" s="558"/>
    </row>
    <row r="43" spans="1:10" ht="13.9" customHeight="1">
      <c r="A43" s="615"/>
      <c r="B43" s="630" t="str">
        <f>B42</f>
        <v>СПиР</v>
      </c>
      <c r="C43" s="627"/>
      <c r="D43" s="624"/>
      <c r="E43" s="556"/>
      <c r="F43" s="556"/>
      <c r="G43" s="556"/>
      <c r="H43" s="557"/>
      <c r="I43" s="557"/>
      <c r="J43" s="550"/>
    </row>
    <row r="44" spans="1:10" ht="19.149999999999999" customHeight="1" outlineLevel="1">
      <c r="A44" s="615">
        <v>30</v>
      </c>
      <c r="B44" s="631" t="s">
        <v>1345</v>
      </c>
      <c r="C44" s="627" t="s">
        <v>1346</v>
      </c>
      <c r="D44" s="624"/>
      <c r="E44" s="556"/>
      <c r="F44" s="556"/>
      <c r="G44" s="556"/>
      <c r="H44" s="545"/>
      <c r="I44" s="545"/>
      <c r="J44" s="558"/>
    </row>
    <row r="45" spans="1:10" ht="19.149999999999999" customHeight="1" outlineLevel="1">
      <c r="A45" s="615">
        <v>31</v>
      </c>
      <c r="B45" s="631" t="s">
        <v>1345</v>
      </c>
      <c r="C45" s="627" t="s">
        <v>1347</v>
      </c>
      <c r="D45" s="624">
        <v>2</v>
      </c>
      <c r="E45" s="556"/>
      <c r="F45" s="556"/>
      <c r="G45" s="556"/>
      <c r="H45" s="545"/>
      <c r="I45" s="545"/>
      <c r="J45" s="558"/>
    </row>
    <row r="46" spans="1:10" ht="19.149999999999999" customHeight="1" outlineLevel="1">
      <c r="A46" s="615">
        <v>32</v>
      </c>
      <c r="B46" s="631" t="s">
        <v>1345</v>
      </c>
      <c r="C46" s="627" t="s">
        <v>1348</v>
      </c>
      <c r="D46" s="624"/>
      <c r="E46" s="556"/>
      <c r="F46" s="556"/>
      <c r="G46" s="556"/>
      <c r="H46" s="545"/>
      <c r="I46" s="545"/>
      <c r="J46" s="558"/>
    </row>
    <row r="47" spans="1:10" ht="21.75" customHeight="1" outlineLevel="1">
      <c r="A47" s="615">
        <v>33</v>
      </c>
      <c r="B47" s="631" t="s">
        <v>1345</v>
      </c>
      <c r="C47" s="627" t="s">
        <v>1428</v>
      </c>
      <c r="D47" s="624">
        <v>20</v>
      </c>
      <c r="E47" s="556"/>
      <c r="F47" s="556"/>
      <c r="G47" s="556"/>
      <c r="H47" s="545"/>
      <c r="I47" s="545"/>
      <c r="J47" s="558"/>
    </row>
    <row r="48" spans="1:10" ht="21.75" customHeight="1" outlineLevel="1">
      <c r="A48" s="615">
        <v>34</v>
      </c>
      <c r="B48" s="631" t="s">
        <v>1345</v>
      </c>
      <c r="C48" s="627" t="s">
        <v>1349</v>
      </c>
      <c r="D48" s="624">
        <v>1</v>
      </c>
      <c r="E48" s="556"/>
      <c r="F48" s="556"/>
      <c r="G48" s="556"/>
      <c r="H48" s="545"/>
      <c r="I48" s="545"/>
      <c r="J48" s="558"/>
    </row>
    <row r="49" spans="1:10" ht="21.75" customHeight="1" outlineLevel="1">
      <c r="A49" s="615">
        <v>35</v>
      </c>
      <c r="B49" s="631" t="s">
        <v>1345</v>
      </c>
      <c r="C49" s="627" t="s">
        <v>1350</v>
      </c>
      <c r="D49" s="624">
        <v>3</v>
      </c>
      <c r="E49" s="556"/>
      <c r="F49" s="556"/>
      <c r="G49" s="556"/>
      <c r="H49" s="545"/>
      <c r="I49" s="545"/>
      <c r="J49" s="558"/>
    </row>
    <row r="50" spans="1:10" ht="13.9" customHeight="1" outlineLevel="1">
      <c r="A50" s="615">
        <v>36</v>
      </c>
      <c r="B50" s="631" t="s">
        <v>1345</v>
      </c>
      <c r="C50" s="627" t="s">
        <v>1351</v>
      </c>
      <c r="D50" s="624">
        <v>0</v>
      </c>
      <c r="E50" s="544"/>
      <c r="F50" s="556"/>
      <c r="G50" s="556"/>
      <c r="H50" s="545"/>
      <c r="I50" s="545"/>
      <c r="J50" s="558"/>
    </row>
    <row r="51" spans="1:10" ht="26.25" customHeight="1" outlineLevel="1">
      <c r="A51" s="615">
        <v>37</v>
      </c>
      <c r="B51" s="631" t="s">
        <v>1345</v>
      </c>
      <c r="C51" s="627" t="s">
        <v>1352</v>
      </c>
      <c r="D51" s="624">
        <v>6</v>
      </c>
      <c r="E51" s="556"/>
      <c r="F51" s="556"/>
      <c r="G51" s="556"/>
      <c r="H51" s="545"/>
      <c r="I51" s="545"/>
      <c r="J51" s="555"/>
    </row>
    <row r="52" spans="1:10" ht="26.25" customHeight="1" outlineLevel="1">
      <c r="A52" s="615">
        <v>38</v>
      </c>
      <c r="B52" s="631" t="s">
        <v>1345</v>
      </c>
      <c r="C52" s="627" t="s">
        <v>1353</v>
      </c>
      <c r="D52" s="624"/>
      <c r="E52" s="556"/>
      <c r="F52" s="556"/>
      <c r="G52" s="556"/>
      <c r="H52" s="545"/>
      <c r="I52" s="545"/>
      <c r="J52" s="555"/>
    </row>
    <row r="53" spans="1:10" ht="26.25" customHeight="1" outlineLevel="1">
      <c r="A53" s="615">
        <v>39</v>
      </c>
      <c r="B53" s="631" t="s">
        <v>1345</v>
      </c>
      <c r="C53" s="627" t="s">
        <v>1354</v>
      </c>
      <c r="D53" s="624">
        <v>2</v>
      </c>
      <c r="E53" s="556"/>
      <c r="F53" s="556"/>
      <c r="G53" s="556"/>
      <c r="H53" s="545"/>
      <c r="I53" s="545"/>
      <c r="J53" s="555"/>
    </row>
    <row r="54" spans="1:10" ht="13.9" customHeight="1">
      <c r="A54" s="619"/>
      <c r="B54" s="623" t="str">
        <f>B51</f>
        <v>СГХ</v>
      </c>
      <c r="C54" s="623"/>
      <c r="D54" s="624"/>
      <c r="E54" s="545"/>
      <c r="F54" s="545"/>
      <c r="G54" s="545"/>
      <c r="H54" s="545"/>
      <c r="I54" s="545"/>
      <c r="J54" s="550"/>
    </row>
    <row r="55" spans="1:10" ht="13.9" customHeight="1" outlineLevel="1">
      <c r="A55" s="632">
        <v>40</v>
      </c>
      <c r="B55" s="627" t="s">
        <v>1355</v>
      </c>
      <c r="C55" s="627" t="s">
        <v>1356</v>
      </c>
      <c r="D55" s="624">
        <v>1</v>
      </c>
      <c r="E55" s="556"/>
      <c r="F55" s="556"/>
      <c r="G55" s="556"/>
      <c r="H55" s="545"/>
      <c r="I55" s="545"/>
      <c r="J55" s="555"/>
    </row>
    <row r="56" spans="1:10" ht="13.9" customHeight="1" outlineLevel="1">
      <c r="A56" s="632">
        <v>41</v>
      </c>
      <c r="B56" s="627" t="s">
        <v>1355</v>
      </c>
      <c r="C56" s="627" t="s">
        <v>1357</v>
      </c>
      <c r="D56" s="624">
        <v>2</v>
      </c>
      <c r="E56" s="556"/>
      <c r="F56" s="556"/>
      <c r="G56" s="556"/>
      <c r="H56" s="545"/>
      <c r="I56" s="545"/>
      <c r="J56" s="555"/>
    </row>
    <row r="57" spans="1:10" ht="13.9" customHeight="1" outlineLevel="1">
      <c r="A57" s="632">
        <v>42</v>
      </c>
      <c r="B57" s="627" t="s">
        <v>1355</v>
      </c>
      <c r="C57" s="627" t="s">
        <v>1358</v>
      </c>
      <c r="D57" s="624">
        <v>6</v>
      </c>
      <c r="E57" s="556"/>
      <c r="F57" s="556"/>
      <c r="G57" s="556"/>
      <c r="H57" s="545"/>
      <c r="I57" s="545"/>
      <c r="J57" s="558"/>
    </row>
    <row r="58" spans="1:10" ht="13.9" customHeight="1" outlineLevel="1">
      <c r="A58" s="632">
        <v>43</v>
      </c>
      <c r="B58" s="627" t="s">
        <v>1355</v>
      </c>
      <c r="C58" s="627" t="s">
        <v>1359</v>
      </c>
      <c r="D58" s="624">
        <v>2</v>
      </c>
      <c r="E58" s="556"/>
      <c r="F58" s="556"/>
      <c r="G58" s="556"/>
      <c r="H58" s="545"/>
      <c r="I58" s="545"/>
      <c r="J58" s="558"/>
    </row>
    <row r="59" spans="1:10" ht="13.9" customHeight="1" outlineLevel="1">
      <c r="A59" s="632">
        <v>44</v>
      </c>
      <c r="B59" s="627" t="s">
        <v>1355</v>
      </c>
      <c r="C59" s="627" t="s">
        <v>1360</v>
      </c>
      <c r="D59" s="624">
        <v>2</v>
      </c>
      <c r="E59" s="556"/>
      <c r="F59" s="556"/>
      <c r="G59" s="556"/>
      <c r="H59" s="545"/>
      <c r="I59" s="545"/>
      <c r="J59" s="558"/>
    </row>
    <row r="60" spans="1:10" ht="13.9" customHeight="1" outlineLevel="1">
      <c r="A60" s="632">
        <v>45</v>
      </c>
      <c r="B60" s="627" t="s">
        <v>1355</v>
      </c>
      <c r="C60" s="627" t="s">
        <v>1361</v>
      </c>
      <c r="D60" s="624">
        <v>2</v>
      </c>
      <c r="E60" s="556"/>
      <c r="F60" s="556"/>
      <c r="G60" s="556"/>
      <c r="H60" s="545"/>
      <c r="I60" s="545"/>
      <c r="J60" s="558"/>
    </row>
    <row r="61" spans="1:10" ht="13.9" customHeight="1">
      <c r="A61" s="633"/>
      <c r="B61" s="629" t="str">
        <f>B57</f>
        <v>АКВА центр и СПА</v>
      </c>
      <c r="C61" s="629"/>
      <c r="D61" s="624"/>
      <c r="E61" s="557"/>
      <c r="F61" s="557"/>
      <c r="G61" s="557"/>
      <c r="H61" s="545"/>
      <c r="I61" s="545"/>
      <c r="J61" s="550"/>
    </row>
    <row r="62" spans="1:10" ht="23.25" customHeight="1" outlineLevel="1">
      <c r="A62" s="615">
        <v>46</v>
      </c>
      <c r="B62" s="617" t="s">
        <v>1362</v>
      </c>
      <c r="C62" s="617" t="s">
        <v>1363</v>
      </c>
      <c r="D62" s="624">
        <v>1</v>
      </c>
      <c r="E62" s="544"/>
      <c r="F62" s="544"/>
      <c r="G62" s="544"/>
      <c r="H62" s="545"/>
      <c r="I62" s="545"/>
      <c r="J62" s="555"/>
    </row>
    <row r="63" spans="1:10" ht="13.9" customHeight="1" outlineLevel="1">
      <c r="A63" s="615">
        <v>47</v>
      </c>
      <c r="B63" s="617" t="s">
        <v>1362</v>
      </c>
      <c r="C63" s="617"/>
      <c r="D63" s="624"/>
      <c r="E63" s="544"/>
      <c r="F63" s="544"/>
      <c r="G63" s="544"/>
      <c r="H63" s="545"/>
      <c r="I63" s="545"/>
      <c r="J63" s="555"/>
    </row>
    <row r="64" spans="1:10" ht="13.9" customHeight="1" outlineLevel="1">
      <c r="A64" s="615">
        <v>48</v>
      </c>
      <c r="B64" s="617" t="s">
        <v>1362</v>
      </c>
      <c r="C64" s="617" t="s">
        <v>1364</v>
      </c>
      <c r="D64" s="624">
        <v>2</v>
      </c>
      <c r="E64" s="544"/>
      <c r="F64" s="544"/>
      <c r="G64" s="544"/>
      <c r="H64" s="545"/>
      <c r="I64" s="545"/>
      <c r="J64" s="555"/>
    </row>
    <row r="65" spans="1:10" ht="13.9" customHeight="1" outlineLevel="1">
      <c r="A65" s="615">
        <v>49</v>
      </c>
      <c r="B65" s="617" t="s">
        <v>1362</v>
      </c>
      <c r="C65" s="617" t="s">
        <v>1365</v>
      </c>
      <c r="D65" s="624">
        <v>1</v>
      </c>
      <c r="E65" s="544"/>
      <c r="F65" s="544"/>
      <c r="G65" s="544"/>
      <c r="H65" s="545"/>
      <c r="I65" s="545"/>
      <c r="J65" s="555"/>
    </row>
    <row r="66" spans="1:10" ht="13.9" customHeight="1" outlineLevel="1">
      <c r="A66" s="615">
        <v>50</v>
      </c>
      <c r="B66" s="617" t="s">
        <v>1362</v>
      </c>
      <c r="C66" s="617" t="s">
        <v>1366</v>
      </c>
      <c r="D66" s="624">
        <v>6</v>
      </c>
      <c r="E66" s="544"/>
      <c r="F66" s="544"/>
      <c r="G66" s="544"/>
      <c r="H66" s="545"/>
      <c r="I66" s="545"/>
      <c r="J66" s="555"/>
    </row>
    <row r="67" spans="1:10" ht="13.9" customHeight="1" outlineLevel="1">
      <c r="A67" s="615">
        <v>51</v>
      </c>
      <c r="B67" s="617" t="s">
        <v>1362</v>
      </c>
      <c r="C67" s="617" t="s">
        <v>1367</v>
      </c>
      <c r="D67" s="624">
        <v>0</v>
      </c>
      <c r="E67" s="544"/>
      <c r="F67" s="544"/>
      <c r="G67" s="544"/>
      <c r="H67" s="545"/>
      <c r="I67" s="545"/>
      <c r="J67" s="555"/>
    </row>
    <row r="68" spans="1:10" ht="13.9" customHeight="1" outlineLevel="1">
      <c r="A68" s="615">
        <v>52</v>
      </c>
      <c r="B68" s="617" t="s">
        <v>1362</v>
      </c>
      <c r="C68" s="617" t="s">
        <v>1368</v>
      </c>
      <c r="D68" s="624">
        <v>16</v>
      </c>
      <c r="E68" s="544"/>
      <c r="F68" s="544"/>
      <c r="G68" s="544"/>
      <c r="H68" s="545"/>
      <c r="I68" s="545"/>
      <c r="J68" s="555"/>
    </row>
    <row r="69" spans="1:10" ht="13.9" customHeight="1" outlineLevel="1">
      <c r="A69" s="615">
        <v>53</v>
      </c>
      <c r="B69" s="617" t="s">
        <v>1362</v>
      </c>
      <c r="C69" s="617" t="s">
        <v>1369</v>
      </c>
      <c r="D69" s="624">
        <v>2</v>
      </c>
      <c r="E69" s="544"/>
      <c r="F69" s="544"/>
      <c r="G69" s="544"/>
      <c r="H69" s="545"/>
      <c r="I69" s="545"/>
      <c r="J69" s="555"/>
    </row>
    <row r="70" spans="1:10" ht="13.9" customHeight="1" outlineLevel="1">
      <c r="A70" s="615">
        <v>54</v>
      </c>
      <c r="B70" s="617" t="s">
        <v>1362</v>
      </c>
      <c r="C70" s="617" t="s">
        <v>1370</v>
      </c>
      <c r="D70" s="624">
        <v>6</v>
      </c>
      <c r="E70" s="544"/>
      <c r="F70" s="544"/>
      <c r="G70" s="544"/>
      <c r="H70" s="545"/>
      <c r="I70" s="545"/>
      <c r="J70" s="555"/>
    </row>
    <row r="71" spans="1:10" ht="12.75" customHeight="1" outlineLevel="1">
      <c r="A71" s="615">
        <v>55</v>
      </c>
      <c r="B71" s="617" t="s">
        <v>1362</v>
      </c>
      <c r="C71" s="617" t="s">
        <v>1371</v>
      </c>
      <c r="D71" s="624">
        <v>1</v>
      </c>
      <c r="E71" s="544"/>
      <c r="F71" s="544"/>
      <c r="G71" s="544"/>
      <c r="H71" s="545"/>
      <c r="I71" s="545"/>
      <c r="J71" s="555"/>
    </row>
    <row r="72" spans="1:10" ht="13.9" customHeight="1" outlineLevel="1">
      <c r="A72" s="615">
        <v>56</v>
      </c>
      <c r="B72" s="617" t="s">
        <v>1362</v>
      </c>
      <c r="C72" s="617" t="s">
        <v>1372</v>
      </c>
      <c r="D72" s="624">
        <v>2</v>
      </c>
      <c r="E72" s="544"/>
      <c r="F72" s="544"/>
      <c r="G72" s="544"/>
      <c r="H72" s="545"/>
      <c r="I72" s="545"/>
      <c r="J72" s="555"/>
    </row>
    <row r="73" spans="1:10" ht="13.9" customHeight="1" outlineLevel="1">
      <c r="A73" s="615">
        <v>57</v>
      </c>
      <c r="B73" s="617" t="s">
        <v>1362</v>
      </c>
      <c r="C73" s="617" t="s">
        <v>1373</v>
      </c>
      <c r="D73" s="624">
        <v>1</v>
      </c>
      <c r="E73" s="544"/>
      <c r="F73" s="544"/>
      <c r="G73" s="544"/>
      <c r="H73" s="545"/>
      <c r="I73" s="545"/>
      <c r="J73" s="555"/>
    </row>
    <row r="74" spans="1:10" ht="13.9" customHeight="1" outlineLevel="1">
      <c r="A74" s="615">
        <v>58</v>
      </c>
      <c r="B74" s="617" t="s">
        <v>1362</v>
      </c>
      <c r="C74" s="617" t="s">
        <v>1374</v>
      </c>
      <c r="D74" s="624">
        <v>4</v>
      </c>
      <c r="E74" s="544"/>
      <c r="F74" s="544"/>
      <c r="G74" s="544"/>
      <c r="H74" s="545"/>
      <c r="I74" s="545"/>
      <c r="J74" s="555"/>
    </row>
    <row r="75" spans="1:10" ht="13.9" customHeight="1" outlineLevel="1">
      <c r="A75" s="615">
        <v>59</v>
      </c>
      <c r="B75" s="617" t="s">
        <v>1362</v>
      </c>
      <c r="C75" s="617" t="s">
        <v>1375</v>
      </c>
      <c r="D75" s="624">
        <v>1</v>
      </c>
      <c r="E75" s="544"/>
      <c r="F75" s="544"/>
      <c r="G75" s="544"/>
      <c r="H75" s="545"/>
      <c r="I75" s="545"/>
      <c r="J75" s="555"/>
    </row>
    <row r="76" spans="1:10" ht="13.9" customHeight="1" outlineLevel="1">
      <c r="A76" s="615">
        <v>60</v>
      </c>
      <c r="B76" s="617" t="s">
        <v>1362</v>
      </c>
      <c r="C76" s="617"/>
      <c r="D76" s="624"/>
      <c r="E76" s="544"/>
      <c r="F76" s="544"/>
      <c r="G76" s="544"/>
      <c r="H76" s="545"/>
      <c r="I76" s="545"/>
      <c r="J76" s="555"/>
    </row>
    <row r="77" spans="1:10" ht="13.9" customHeight="1" outlineLevel="1">
      <c r="A77" s="615">
        <v>61</v>
      </c>
      <c r="B77" s="617" t="s">
        <v>1362</v>
      </c>
      <c r="C77" s="617" t="s">
        <v>1376</v>
      </c>
      <c r="D77" s="624">
        <v>1</v>
      </c>
      <c r="E77" s="544"/>
      <c r="F77" s="544"/>
      <c r="G77" s="544"/>
      <c r="H77" s="545"/>
      <c r="I77" s="545"/>
      <c r="J77" s="555"/>
    </row>
    <row r="78" spans="1:10" ht="13.9" customHeight="1" outlineLevel="1">
      <c r="A78" s="615">
        <v>62</v>
      </c>
      <c r="B78" s="617" t="s">
        <v>1362</v>
      </c>
      <c r="C78" s="617" t="s">
        <v>1377</v>
      </c>
      <c r="D78" s="624">
        <v>2</v>
      </c>
      <c r="E78" s="544"/>
      <c r="F78" s="544"/>
      <c r="G78" s="544"/>
      <c r="H78" s="545"/>
      <c r="I78" s="545"/>
      <c r="J78" s="555"/>
    </row>
    <row r="79" spans="1:10" ht="13.9" customHeight="1" outlineLevel="1">
      <c r="A79" s="615">
        <v>63</v>
      </c>
      <c r="B79" s="617" t="s">
        <v>1362</v>
      </c>
      <c r="C79" s="617" t="s">
        <v>1378</v>
      </c>
      <c r="D79" s="624">
        <v>0</v>
      </c>
      <c r="E79" s="544"/>
      <c r="F79" s="544"/>
      <c r="G79" s="544"/>
      <c r="H79" s="545"/>
      <c r="I79" s="545"/>
      <c r="J79" s="555"/>
    </row>
    <row r="80" spans="1:10" ht="13.9" customHeight="1" outlineLevel="1">
      <c r="A80" s="615">
        <v>64</v>
      </c>
      <c r="B80" s="617" t="s">
        <v>1362</v>
      </c>
      <c r="C80" s="617" t="s">
        <v>1379</v>
      </c>
      <c r="D80" s="624">
        <v>4</v>
      </c>
      <c r="E80" s="544"/>
      <c r="F80" s="544"/>
      <c r="G80" s="544"/>
      <c r="H80" s="545"/>
      <c r="I80" s="545"/>
      <c r="J80" s="555"/>
    </row>
    <row r="81" spans="1:10" ht="13.9" customHeight="1" outlineLevel="1">
      <c r="A81" s="615">
        <v>65</v>
      </c>
      <c r="B81" s="617" t="s">
        <v>1362</v>
      </c>
      <c r="C81" s="617" t="s">
        <v>1380</v>
      </c>
      <c r="D81" s="624">
        <v>0</v>
      </c>
      <c r="E81" s="544"/>
      <c r="F81" s="544"/>
      <c r="G81" s="544"/>
      <c r="H81" s="545"/>
      <c r="I81" s="545"/>
      <c r="J81" s="555"/>
    </row>
    <row r="82" spans="1:10" ht="13.9" customHeight="1" outlineLevel="1">
      <c r="A82" s="615">
        <v>66</v>
      </c>
      <c r="B82" s="617" t="s">
        <v>1362</v>
      </c>
      <c r="C82" s="617" t="s">
        <v>1381</v>
      </c>
      <c r="D82" s="624">
        <v>6</v>
      </c>
      <c r="E82" s="544"/>
      <c r="F82" s="544"/>
      <c r="G82" s="544"/>
      <c r="H82" s="545"/>
      <c r="I82" s="545"/>
      <c r="J82" s="555"/>
    </row>
    <row r="83" spans="1:10" ht="13.9" customHeight="1" outlineLevel="1">
      <c r="A83" s="615">
        <v>67</v>
      </c>
      <c r="B83" s="617" t="s">
        <v>1362</v>
      </c>
      <c r="C83" s="617" t="s">
        <v>1382</v>
      </c>
      <c r="D83" s="624">
        <v>2</v>
      </c>
      <c r="E83" s="544"/>
      <c r="F83" s="544"/>
      <c r="G83" s="544"/>
      <c r="H83" s="545"/>
      <c r="I83" s="545"/>
      <c r="J83" s="555"/>
    </row>
    <row r="84" spans="1:10" ht="13.9" customHeight="1" outlineLevel="1">
      <c r="A84" s="615">
        <v>68</v>
      </c>
      <c r="B84" s="617" t="s">
        <v>1362</v>
      </c>
      <c r="C84" s="617" t="s">
        <v>1383</v>
      </c>
      <c r="D84" s="624">
        <v>0</v>
      </c>
      <c r="E84" s="544"/>
      <c r="F84" s="544"/>
      <c r="G84" s="544"/>
      <c r="H84" s="545"/>
      <c r="I84" s="545"/>
      <c r="J84" s="555"/>
    </row>
    <row r="85" spans="1:10" ht="13.9" customHeight="1" outlineLevel="1">
      <c r="A85" s="615">
        <v>69</v>
      </c>
      <c r="B85" s="617" t="s">
        <v>1362</v>
      </c>
      <c r="C85" s="617" t="s">
        <v>1384</v>
      </c>
      <c r="D85" s="624">
        <v>4</v>
      </c>
      <c r="E85" s="544"/>
      <c r="F85" s="544"/>
      <c r="G85" s="544"/>
      <c r="H85" s="545"/>
      <c r="I85" s="545"/>
      <c r="J85" s="555"/>
    </row>
    <row r="86" spans="1:10" ht="23.25" customHeight="1" outlineLevel="1">
      <c r="A86" s="615">
        <v>70</v>
      </c>
      <c r="B86" s="617" t="s">
        <v>1362</v>
      </c>
      <c r="C86" s="617" t="s">
        <v>1385</v>
      </c>
      <c r="D86" s="624">
        <v>0</v>
      </c>
      <c r="E86" s="544"/>
      <c r="F86" s="544"/>
      <c r="G86" s="544"/>
      <c r="H86" s="545"/>
      <c r="I86" s="545"/>
      <c r="J86" s="555"/>
    </row>
    <row r="87" spans="1:10" ht="13.9" customHeight="1" outlineLevel="1">
      <c r="A87" s="615">
        <v>71</v>
      </c>
      <c r="B87" s="617" t="s">
        <v>1362</v>
      </c>
      <c r="C87" s="617" t="s">
        <v>1386</v>
      </c>
      <c r="D87" s="624">
        <v>0</v>
      </c>
      <c r="E87" s="544"/>
      <c r="F87" s="544"/>
      <c r="G87" s="544"/>
      <c r="H87" s="545"/>
      <c r="I87" s="545"/>
      <c r="J87" s="555"/>
    </row>
    <row r="88" spans="1:10" ht="13.9" customHeight="1" outlineLevel="1">
      <c r="A88" s="615">
        <v>72</v>
      </c>
      <c r="B88" s="617" t="s">
        <v>1362</v>
      </c>
      <c r="C88" s="617" t="s">
        <v>1387</v>
      </c>
      <c r="D88" s="624">
        <v>8</v>
      </c>
      <c r="E88" s="544"/>
      <c r="F88" s="544"/>
      <c r="G88" s="544"/>
      <c r="H88" s="545"/>
      <c r="I88" s="545"/>
      <c r="J88" s="555"/>
    </row>
    <row r="89" spans="1:10" ht="23.25" customHeight="1" outlineLevel="1">
      <c r="A89" s="615">
        <v>73</v>
      </c>
      <c r="B89" s="617" t="s">
        <v>1362</v>
      </c>
      <c r="C89" s="617" t="s">
        <v>1388</v>
      </c>
      <c r="D89" s="624">
        <v>1</v>
      </c>
      <c r="E89" s="544"/>
      <c r="F89" s="544"/>
      <c r="G89" s="544"/>
      <c r="H89" s="545"/>
      <c r="I89" s="545"/>
      <c r="J89" s="558"/>
    </row>
    <row r="90" spans="1:10" ht="13.9" customHeight="1" outlineLevel="1">
      <c r="A90" s="615">
        <v>74</v>
      </c>
      <c r="B90" s="617" t="s">
        <v>1362</v>
      </c>
      <c r="C90" s="617" t="s">
        <v>1389</v>
      </c>
      <c r="D90" s="624">
        <v>0</v>
      </c>
      <c r="E90" s="544"/>
      <c r="F90" s="544"/>
      <c r="G90" s="544"/>
      <c r="H90" s="545"/>
      <c r="I90" s="545"/>
    </row>
    <row r="91" spans="1:10" ht="13.9" customHeight="1">
      <c r="A91" s="615"/>
      <c r="B91" s="623" t="str">
        <f>B89</f>
        <v>Служба питания и напитков</v>
      </c>
      <c r="C91" s="623"/>
      <c r="D91" s="624"/>
      <c r="E91" s="545"/>
      <c r="F91" s="545"/>
      <c r="G91" s="545"/>
      <c r="H91" s="545"/>
      <c r="I91" s="545"/>
      <c r="J91" s="555"/>
    </row>
    <row r="92" spans="1:10" ht="13.9" customHeight="1" outlineLevel="1">
      <c r="A92" s="615">
        <v>75</v>
      </c>
      <c r="B92" s="617" t="s">
        <v>1390</v>
      </c>
      <c r="C92" s="617" t="s">
        <v>1391</v>
      </c>
      <c r="D92" s="624">
        <v>1</v>
      </c>
      <c r="E92" s="544"/>
      <c r="F92" s="544"/>
      <c r="G92" s="544"/>
      <c r="H92" s="545"/>
      <c r="I92" s="545"/>
      <c r="J92" s="558"/>
    </row>
    <row r="93" spans="1:10" ht="14.25" customHeight="1" outlineLevel="1">
      <c r="A93" s="615">
        <v>76</v>
      </c>
      <c r="B93" s="617" t="s">
        <v>1390</v>
      </c>
      <c r="C93" s="617" t="s">
        <v>1392</v>
      </c>
      <c r="D93" s="624">
        <v>1</v>
      </c>
      <c r="E93" s="544"/>
      <c r="F93" s="544"/>
      <c r="G93" s="544"/>
      <c r="H93" s="545"/>
      <c r="I93" s="545"/>
      <c r="J93" s="558"/>
    </row>
    <row r="94" spans="1:10" ht="13.9" customHeight="1">
      <c r="A94" s="622"/>
      <c r="B94" s="623" t="s">
        <v>1390</v>
      </c>
      <c r="C94" s="634"/>
      <c r="D94" s="635"/>
      <c r="E94" s="487"/>
      <c r="F94" s="487"/>
      <c r="G94" s="487"/>
      <c r="H94" s="487"/>
      <c r="I94" s="487"/>
      <c r="J94" s="550"/>
    </row>
    <row r="95" spans="1:10" ht="13.9" customHeight="1">
      <c r="A95" s="622">
        <v>75</v>
      </c>
      <c r="B95" s="623" t="s">
        <v>1393</v>
      </c>
      <c r="C95" s="617" t="s">
        <v>1394</v>
      </c>
      <c r="D95" s="624">
        <v>0</v>
      </c>
      <c r="E95" s="544"/>
      <c r="F95" s="544"/>
      <c r="G95" s="544"/>
      <c r="H95" s="545"/>
      <c r="I95" s="545"/>
      <c r="J95" s="550"/>
    </row>
    <row r="96" spans="1:10" ht="13.9" customHeight="1">
      <c r="A96" s="622"/>
      <c r="B96" s="623" t="s">
        <v>1393</v>
      </c>
      <c r="C96" s="634"/>
      <c r="D96" s="635"/>
      <c r="E96" s="487"/>
      <c r="F96" s="487"/>
      <c r="G96" s="487"/>
      <c r="H96" s="487"/>
      <c r="I96" s="487"/>
      <c r="J96" s="550"/>
    </row>
    <row r="97" spans="1:10" ht="19.5" customHeight="1" outlineLevel="1">
      <c r="A97" s="615">
        <v>77</v>
      </c>
      <c r="B97" s="616" t="s">
        <v>1395</v>
      </c>
      <c r="C97" s="617" t="s">
        <v>1396</v>
      </c>
      <c r="D97" s="624">
        <v>1</v>
      </c>
      <c r="E97" s="544"/>
      <c r="F97" s="544"/>
      <c r="G97" s="544"/>
      <c r="H97" s="545"/>
      <c r="I97" s="545"/>
      <c r="J97" s="558"/>
    </row>
    <row r="98" spans="1:10" ht="13.9" customHeight="1" outlineLevel="1">
      <c r="A98" s="615">
        <v>78</v>
      </c>
      <c r="B98" s="616" t="s">
        <v>1395</v>
      </c>
      <c r="C98" s="617" t="s">
        <v>1397</v>
      </c>
      <c r="D98" s="624">
        <v>1</v>
      </c>
      <c r="E98" s="544"/>
      <c r="F98" s="544"/>
      <c r="G98" s="544"/>
      <c r="H98" s="545"/>
      <c r="I98" s="545"/>
      <c r="J98" s="558"/>
    </row>
    <row r="99" spans="1:10" ht="13.9" customHeight="1" outlineLevel="1">
      <c r="A99" s="615">
        <v>79</v>
      </c>
      <c r="B99" s="616" t="s">
        <v>1395</v>
      </c>
      <c r="C99" s="617" t="s">
        <v>1398</v>
      </c>
      <c r="D99" s="624">
        <v>1</v>
      </c>
      <c r="E99" s="544"/>
      <c r="F99" s="544"/>
      <c r="G99" s="544"/>
      <c r="H99" s="545"/>
      <c r="I99" s="545"/>
      <c r="J99" s="558"/>
    </row>
    <row r="100" spans="1:10" ht="23.25" customHeight="1" outlineLevel="1">
      <c r="A100" s="615">
        <v>80</v>
      </c>
      <c r="B100" s="616" t="s">
        <v>1395</v>
      </c>
      <c r="C100" s="617" t="s">
        <v>1399</v>
      </c>
      <c r="D100" s="624">
        <v>0</v>
      </c>
      <c r="E100" s="544"/>
      <c r="F100" s="544"/>
      <c r="G100" s="544"/>
      <c r="H100" s="545"/>
      <c r="I100" s="545"/>
      <c r="J100" s="558"/>
    </row>
    <row r="101" spans="1:10" ht="13.9" customHeight="1" outlineLevel="1">
      <c r="A101" s="615">
        <v>81</v>
      </c>
      <c r="B101" s="616" t="s">
        <v>1395</v>
      </c>
      <c r="C101" s="617" t="s">
        <v>1400</v>
      </c>
      <c r="D101" s="624">
        <v>4</v>
      </c>
      <c r="E101" s="544"/>
      <c r="F101" s="544"/>
      <c r="G101" s="544"/>
      <c r="H101" s="545"/>
      <c r="I101" s="545"/>
      <c r="J101" s="558"/>
    </row>
    <row r="102" spans="1:10" ht="13.9" customHeight="1" outlineLevel="1">
      <c r="A102" s="615">
        <v>82</v>
      </c>
      <c r="B102" s="616" t="s">
        <v>1395</v>
      </c>
      <c r="C102" s="617" t="s">
        <v>1401</v>
      </c>
      <c r="D102" s="624">
        <v>2</v>
      </c>
      <c r="E102" s="544"/>
      <c r="F102" s="544"/>
      <c r="G102" s="544"/>
      <c r="H102" s="545"/>
      <c r="I102" s="545"/>
      <c r="J102" s="558"/>
    </row>
    <row r="103" spans="1:10" ht="13.9" customHeight="1" outlineLevel="1">
      <c r="A103" s="615">
        <v>83</v>
      </c>
      <c r="B103" s="616" t="s">
        <v>1395</v>
      </c>
      <c r="C103" s="617" t="s">
        <v>1402</v>
      </c>
      <c r="D103" s="624">
        <v>0</v>
      </c>
      <c r="E103" s="544"/>
      <c r="F103" s="544"/>
      <c r="G103" s="544"/>
      <c r="H103" s="545"/>
      <c r="I103" s="545"/>
      <c r="J103" s="558"/>
    </row>
    <row r="104" spans="1:10" ht="13.9" customHeight="1" outlineLevel="1">
      <c r="A104" s="615">
        <v>84</v>
      </c>
      <c r="B104" s="616" t="s">
        <v>1395</v>
      </c>
      <c r="C104" s="617" t="s">
        <v>1403</v>
      </c>
      <c r="D104" s="624">
        <v>1</v>
      </c>
      <c r="E104" s="544"/>
      <c r="F104" s="544"/>
      <c r="G104" s="544"/>
      <c r="H104" s="545"/>
      <c r="I104" s="545"/>
      <c r="J104" s="558"/>
    </row>
    <row r="105" spans="1:10" ht="13.9" customHeight="1" outlineLevel="1">
      <c r="A105" s="615">
        <v>85</v>
      </c>
      <c r="B105" s="616" t="s">
        <v>1395</v>
      </c>
      <c r="C105" s="617" t="s">
        <v>1404</v>
      </c>
      <c r="D105" s="624">
        <v>0</v>
      </c>
      <c r="E105" s="544"/>
      <c r="F105" s="544"/>
      <c r="G105" s="544"/>
      <c r="H105" s="545"/>
      <c r="I105" s="545"/>
      <c r="J105" s="558"/>
    </row>
    <row r="106" spans="1:10" ht="13.9" customHeight="1" outlineLevel="1">
      <c r="A106" s="615">
        <v>86</v>
      </c>
      <c r="B106" s="616" t="s">
        <v>1395</v>
      </c>
      <c r="C106" s="617" t="s">
        <v>1405</v>
      </c>
      <c r="D106" s="624">
        <v>1</v>
      </c>
      <c r="E106" s="544"/>
      <c r="F106" s="544"/>
      <c r="G106" s="544"/>
      <c r="H106" s="545"/>
      <c r="I106" s="545"/>
      <c r="J106" s="558"/>
    </row>
    <row r="107" spans="1:10" ht="13.9" customHeight="1">
      <c r="A107" s="619"/>
      <c r="B107" s="620" t="str">
        <f>B106</f>
        <v>Техническая служба</v>
      </c>
      <c r="C107" s="623"/>
      <c r="D107" s="624"/>
      <c r="E107" s="545"/>
      <c r="F107" s="545"/>
      <c r="G107" s="545"/>
      <c r="H107" s="545"/>
      <c r="I107" s="545"/>
      <c r="J107" s="550"/>
    </row>
    <row r="108" spans="1:10" ht="13.9" customHeight="1" outlineLevel="1">
      <c r="A108" s="615">
        <v>87</v>
      </c>
      <c r="B108" s="616" t="s">
        <v>1406</v>
      </c>
      <c r="C108" s="617" t="s">
        <v>1407</v>
      </c>
      <c r="D108" s="624"/>
      <c r="E108" s="544"/>
      <c r="F108" s="544"/>
      <c r="G108" s="544"/>
      <c r="H108" s="545"/>
      <c r="I108" s="545"/>
      <c r="J108" s="558"/>
    </row>
    <row r="109" spans="1:10" ht="13.9" customHeight="1" outlineLevel="1">
      <c r="A109" s="615">
        <v>88</v>
      </c>
      <c r="B109" s="616" t="s">
        <v>1406</v>
      </c>
      <c r="C109" s="617" t="s">
        <v>1408</v>
      </c>
      <c r="D109" s="624">
        <v>1</v>
      </c>
      <c r="E109" s="544"/>
      <c r="F109" s="544"/>
      <c r="G109" s="544"/>
      <c r="H109" s="545"/>
      <c r="I109" s="545"/>
      <c r="J109" s="558"/>
    </row>
    <row r="110" spans="1:10" ht="13.9" customHeight="1" outlineLevel="1">
      <c r="A110" s="615">
        <v>89</v>
      </c>
      <c r="B110" s="616" t="s">
        <v>1406</v>
      </c>
      <c r="C110" s="617" t="s">
        <v>1409</v>
      </c>
      <c r="D110" s="624">
        <v>0</v>
      </c>
      <c r="E110" s="544"/>
      <c r="F110" s="544"/>
      <c r="G110" s="544"/>
      <c r="H110" s="545"/>
      <c r="I110" s="545"/>
      <c r="J110" s="558"/>
    </row>
    <row r="111" spans="1:10" ht="13.9" customHeight="1" outlineLevel="1">
      <c r="A111" s="615">
        <v>90</v>
      </c>
      <c r="B111" s="616" t="s">
        <v>1406</v>
      </c>
      <c r="C111" s="617" t="s">
        <v>1410</v>
      </c>
      <c r="D111" s="624">
        <v>2</v>
      </c>
      <c r="E111" s="544"/>
      <c r="F111" s="544"/>
      <c r="G111" s="544"/>
      <c r="H111" s="545"/>
      <c r="I111" s="545"/>
      <c r="J111" s="558"/>
    </row>
    <row r="112" spans="1:10" ht="13.9" customHeight="1" outlineLevel="1">
      <c r="A112" s="615">
        <v>91</v>
      </c>
      <c r="B112" s="616" t="s">
        <v>1406</v>
      </c>
      <c r="C112" s="617" t="s">
        <v>1411</v>
      </c>
      <c r="D112" s="624"/>
      <c r="E112" s="544"/>
      <c r="F112" s="544"/>
      <c r="G112" s="544"/>
      <c r="H112" s="545"/>
      <c r="I112" s="545"/>
      <c r="J112" s="558"/>
    </row>
    <row r="113" spans="1:10" ht="13.9" customHeight="1">
      <c r="A113" s="619"/>
      <c r="B113" s="620" t="str">
        <f>B112</f>
        <v>Транспортная служба</v>
      </c>
      <c r="C113" s="623"/>
      <c r="D113" s="624"/>
      <c r="E113" s="545"/>
      <c r="F113" s="545"/>
      <c r="G113" s="545"/>
      <c r="H113" s="545"/>
      <c r="I113" s="545"/>
      <c r="J113" s="550"/>
    </row>
    <row r="114" spans="1:10" ht="13.9" customHeight="1" outlineLevel="1">
      <c r="A114" s="615">
        <v>92</v>
      </c>
      <c r="B114" s="616" t="s">
        <v>1412</v>
      </c>
      <c r="C114" s="617" t="s">
        <v>1413</v>
      </c>
      <c r="D114" s="628">
        <v>1</v>
      </c>
      <c r="E114" s="556"/>
      <c r="F114" s="556"/>
      <c r="G114" s="556"/>
      <c r="H114" s="557"/>
      <c r="I114" s="557"/>
      <c r="J114" s="555"/>
    </row>
    <row r="115" spans="1:10" ht="13.9" customHeight="1" outlineLevel="1">
      <c r="A115" s="615">
        <v>93</v>
      </c>
      <c r="B115" s="616" t="s">
        <v>1412</v>
      </c>
      <c r="C115" s="617" t="s">
        <v>1414</v>
      </c>
      <c r="D115" s="628">
        <v>12</v>
      </c>
      <c r="E115" s="556"/>
      <c r="F115" s="556"/>
      <c r="G115" s="556"/>
      <c r="H115" s="557"/>
      <c r="I115" s="557"/>
      <c r="J115" s="555"/>
    </row>
    <row r="116" spans="1:10" ht="13.9" customHeight="1">
      <c r="A116" s="615"/>
      <c r="B116" s="620" t="str">
        <f>B115</f>
        <v>Служба внутреннего контроля</v>
      </c>
      <c r="C116" s="629"/>
      <c r="D116" s="628"/>
      <c r="E116" s="557"/>
      <c r="F116" s="557"/>
      <c r="G116" s="557"/>
      <c r="H116" s="557"/>
      <c r="I116" s="557"/>
      <c r="J116" s="550"/>
    </row>
    <row r="117" spans="1:10" ht="13.9" customHeight="1" outlineLevel="1">
      <c r="A117" s="615">
        <v>94</v>
      </c>
      <c r="B117" s="616" t="s">
        <v>1415</v>
      </c>
      <c r="C117" s="616" t="s">
        <v>1416</v>
      </c>
      <c r="D117" s="624">
        <v>0</v>
      </c>
      <c r="E117" s="544"/>
      <c r="F117" s="544"/>
      <c r="G117" s="544"/>
      <c r="H117" s="545"/>
      <c r="I117" s="545"/>
      <c r="J117" s="558"/>
    </row>
    <row r="118" spans="1:10" ht="13.9" customHeight="1" outlineLevel="1">
      <c r="A118" s="615">
        <v>95</v>
      </c>
      <c r="B118" s="616" t="s">
        <v>1415</v>
      </c>
      <c r="C118" s="616" t="s">
        <v>1417</v>
      </c>
      <c r="D118" s="624">
        <v>1</v>
      </c>
      <c r="E118" s="544"/>
      <c r="F118" s="544"/>
      <c r="G118" s="544"/>
      <c r="H118" s="545"/>
      <c r="I118" s="545"/>
      <c r="J118" s="558"/>
    </row>
    <row r="119" spans="1:10" ht="13.9" customHeight="1" outlineLevel="1">
      <c r="A119" s="615">
        <v>96</v>
      </c>
      <c r="B119" s="616" t="s">
        <v>1415</v>
      </c>
      <c r="C119" s="616" t="s">
        <v>1418</v>
      </c>
      <c r="D119" s="624">
        <v>4</v>
      </c>
      <c r="E119" s="544"/>
      <c r="F119" s="544"/>
      <c r="G119" s="544"/>
      <c r="H119" s="545"/>
      <c r="I119" s="545"/>
      <c r="J119" s="558"/>
    </row>
    <row r="120" spans="1:10" ht="13.9" customHeight="1">
      <c r="A120" s="619"/>
      <c r="B120" s="620" t="str">
        <f>B119</f>
        <v>Парковая служба</v>
      </c>
      <c r="C120" s="623"/>
      <c r="D120" s="624"/>
      <c r="E120" s="545"/>
      <c r="F120" s="545"/>
      <c r="G120" s="545"/>
      <c r="H120" s="545"/>
      <c r="I120" s="545"/>
      <c r="J120" s="550"/>
    </row>
    <row r="121" spans="1:10" ht="13.9" customHeight="1">
      <c r="A121" s="486"/>
      <c r="B121" s="488" t="s">
        <v>1306</v>
      </c>
      <c r="D121" s="512">
        <f>SUM(D2:D120)</f>
        <v>188</v>
      </c>
      <c r="E121" s="636">
        <f>D121/Предпосылки!E111</f>
        <v>1.5666666666666667</v>
      </c>
      <c r="I121" s="559"/>
      <c r="J121" s="560"/>
    </row>
    <row r="122" spans="1:10" ht="13.9" customHeight="1">
      <c r="A122" s="489"/>
      <c r="B122" s="567" t="s">
        <v>1419</v>
      </c>
      <c r="C122" s="572">
        <f>E141*12*D121</f>
        <v>162376547.52000001</v>
      </c>
      <c r="D122" s="567"/>
      <c r="E122" s="567"/>
      <c r="F122" s="567"/>
      <c r="G122" s="567"/>
      <c r="H122" s="567"/>
      <c r="I122" s="567"/>
      <c r="J122" s="489"/>
    </row>
    <row r="123" spans="1:10" ht="13.9" customHeight="1">
      <c r="A123" s="489"/>
      <c r="B123" s="567" t="s">
        <v>1420</v>
      </c>
      <c r="C123" s="572">
        <f>$C$122*0.1</f>
        <v>16237654.752000002</v>
      </c>
      <c r="D123" s="567">
        <f>I121/D121</f>
        <v>0</v>
      </c>
      <c r="E123" s="567"/>
      <c r="F123" s="567"/>
      <c r="G123" s="567"/>
      <c r="H123" s="567"/>
      <c r="I123" s="567"/>
      <c r="J123" s="489"/>
    </row>
    <row r="124" spans="1:10" ht="13.9" customHeight="1">
      <c r="A124" s="489"/>
      <c r="B124" s="567"/>
      <c r="C124" s="572">
        <f>SUM(C122:C123)</f>
        <v>178614202.27200001</v>
      </c>
      <c r="D124" s="567"/>
      <c r="E124" s="567"/>
      <c r="F124" s="567"/>
      <c r="G124" s="567"/>
      <c r="H124" s="567"/>
      <c r="I124" s="567"/>
      <c r="J124" s="489"/>
    </row>
    <row r="125" spans="1:10" ht="13.9" customHeight="1">
      <c r="A125" s="489"/>
      <c r="B125" s="570" t="s">
        <v>1454</v>
      </c>
      <c r="C125" s="571" t="s">
        <v>1421</v>
      </c>
      <c r="D125" s="570" t="s">
        <v>1422</v>
      </c>
      <c r="E125" s="570"/>
      <c r="F125" s="570" t="s">
        <v>1423</v>
      </c>
      <c r="G125" s="570" t="s">
        <v>1427</v>
      </c>
      <c r="H125" s="567"/>
      <c r="I125" s="567"/>
      <c r="J125" s="489"/>
    </row>
    <row r="126" spans="1:10" ht="13.9" customHeight="1">
      <c r="A126" s="489"/>
      <c r="B126" s="570" t="s">
        <v>1424</v>
      </c>
      <c r="C126" s="571">
        <v>49.3</v>
      </c>
      <c r="D126" s="684">
        <f>C126*$C$124/100</f>
        <v>88056801.720095992</v>
      </c>
      <c r="E126" s="684"/>
      <c r="F126" s="570">
        <f>Расчеты!E590*365</f>
        <v>1273327687.3125744</v>
      </c>
      <c r="G126" s="570">
        <f>D126*100/F126</f>
        <v>6.9154862960644916</v>
      </c>
      <c r="H126" s="567"/>
      <c r="I126" s="568"/>
      <c r="J126" s="489"/>
    </row>
    <row r="127" spans="1:10" ht="13.9" customHeight="1">
      <c r="A127" s="489"/>
      <c r="B127" s="570" t="s">
        <v>1425</v>
      </c>
      <c r="C127" s="571">
        <f>SUM(D62:D90,D24:D26)*100/D121</f>
        <v>39.361702127659576</v>
      </c>
      <c r="D127" s="684">
        <f>C127*$C$124/100</f>
        <v>70305590.256000012</v>
      </c>
      <c r="E127" s="684"/>
      <c r="F127" s="570">
        <f>Расчеты!E591*365</f>
        <v>282164563.19699997</v>
      </c>
      <c r="G127" s="570">
        <f>D127*100/F127</f>
        <v>24.916520153848829</v>
      </c>
      <c r="H127" s="567"/>
      <c r="I127" s="568"/>
      <c r="J127" s="489"/>
    </row>
    <row r="128" spans="1:10" ht="13.9" customHeight="1">
      <c r="A128" s="489"/>
      <c r="B128" s="570" t="s">
        <v>1426</v>
      </c>
      <c r="C128" s="571">
        <f>SUM(D55:D60)*100/D121</f>
        <v>7.9787234042553195</v>
      </c>
      <c r="D128" s="684">
        <f>C128*$C$124/100</f>
        <v>14251133.160000002</v>
      </c>
      <c r="E128" s="684"/>
      <c r="F128" s="570">
        <f>Расчеты!E592*365</f>
        <v>124439380.04076594</v>
      </c>
      <c r="G128" s="570">
        <f>D128*100/F128</f>
        <v>11.452269494858763</v>
      </c>
      <c r="H128" s="567"/>
      <c r="I128" s="569"/>
      <c r="J128" s="489"/>
    </row>
    <row r="129" spans="1:10" ht="13.9" customHeight="1">
      <c r="A129" s="489"/>
      <c r="B129" s="489"/>
      <c r="C129" s="490"/>
      <c r="D129" s="489"/>
      <c r="E129" s="489"/>
      <c r="F129" s="489"/>
      <c r="G129" s="489"/>
      <c r="H129" s="489"/>
      <c r="I129" s="489"/>
      <c r="J129" s="489"/>
    </row>
    <row r="130" spans="1:10" ht="13.9" customHeight="1">
      <c r="A130" s="489"/>
      <c r="B130" s="489"/>
      <c r="C130" s="489"/>
      <c r="D130" s="489"/>
      <c r="E130" s="489"/>
      <c r="F130" s="489"/>
      <c r="G130" s="489"/>
      <c r="H130" s="489"/>
      <c r="I130" s="489"/>
      <c r="J130" s="489"/>
    </row>
    <row r="131" spans="1:10" ht="13.9" customHeight="1">
      <c r="A131" s="486"/>
      <c r="B131" s="600" t="s">
        <v>1506</v>
      </c>
      <c r="C131" s="601"/>
      <c r="D131" s="601"/>
      <c r="E131" s="601"/>
      <c r="F131" s="601"/>
      <c r="G131" s="573"/>
      <c r="H131" s="573"/>
    </row>
    <row r="132" spans="1:10" ht="13.9" customHeight="1">
      <c r="A132" s="489"/>
      <c r="B132" s="601" t="s">
        <v>150</v>
      </c>
      <c r="C132" s="601"/>
      <c r="D132" s="601"/>
      <c r="E132" s="601"/>
      <c r="F132" s="601"/>
      <c r="G132" s="489"/>
      <c r="H132" s="489"/>
      <c r="I132" s="489"/>
      <c r="J132" s="489"/>
    </row>
    <row r="133" spans="1:10" ht="13.9" customHeight="1">
      <c r="A133" s="486"/>
      <c r="B133" s="683" t="s">
        <v>150</v>
      </c>
      <c r="C133" s="683" t="s">
        <v>150</v>
      </c>
      <c r="D133" s="683">
        <v>2024</v>
      </c>
      <c r="E133" s="683" t="s">
        <v>150</v>
      </c>
      <c r="F133" s="683" t="s">
        <v>150</v>
      </c>
    </row>
    <row r="134" spans="1:10" ht="13.9" customHeight="1">
      <c r="A134" s="486"/>
      <c r="B134" s="683" t="s">
        <v>150</v>
      </c>
      <c r="C134" s="683" t="s">
        <v>150</v>
      </c>
      <c r="D134" s="637" t="s">
        <v>1507</v>
      </c>
      <c r="E134" s="637" t="s">
        <v>1508</v>
      </c>
      <c r="F134" s="637" t="s">
        <v>1509</v>
      </c>
    </row>
    <row r="135" spans="1:10" ht="13.9" customHeight="1">
      <c r="A135" s="489"/>
      <c r="B135" s="683" t="s">
        <v>1510</v>
      </c>
      <c r="C135" s="637" t="s">
        <v>1511</v>
      </c>
      <c r="D135" s="638">
        <v>49453.4</v>
      </c>
      <c r="E135" s="638">
        <v>51852.1</v>
      </c>
      <c r="F135" s="638">
        <v>49723.6</v>
      </c>
      <c r="G135" s="489"/>
      <c r="H135" s="489"/>
      <c r="I135" s="489"/>
      <c r="J135" s="489"/>
    </row>
    <row r="136" spans="1:10" ht="13.9" customHeight="1">
      <c r="A136" s="486"/>
      <c r="B136" s="683" t="s">
        <v>1510</v>
      </c>
      <c r="C136" s="637" t="s">
        <v>1512</v>
      </c>
      <c r="D136" s="638">
        <v>62223.1</v>
      </c>
      <c r="E136" s="639">
        <v>63042</v>
      </c>
      <c r="F136" s="639">
        <v>62317</v>
      </c>
    </row>
    <row r="137" spans="1:10" ht="13.9" customHeight="1">
      <c r="A137" s="486"/>
      <c r="B137" s="683" t="s">
        <v>1510</v>
      </c>
      <c r="C137" s="640" t="s">
        <v>1513</v>
      </c>
      <c r="D137" s="638">
        <v>64943.3</v>
      </c>
      <c r="E137" s="641">
        <v>65432.2</v>
      </c>
      <c r="F137" s="639">
        <v>65003</v>
      </c>
    </row>
    <row r="138" spans="1:10" ht="13.9" customHeight="1">
      <c r="A138" s="486"/>
      <c r="B138" s="683" t="s">
        <v>1510</v>
      </c>
      <c r="C138" s="637" t="s">
        <v>1514</v>
      </c>
      <c r="D138" s="638">
        <v>52340.9</v>
      </c>
      <c r="E138" s="638">
        <v>49992.7</v>
      </c>
      <c r="F138" s="638">
        <v>52101.9</v>
      </c>
    </row>
    <row r="139" spans="1:10" ht="13.9" customHeight="1">
      <c r="A139" s="486"/>
      <c r="B139" s="683" t="s">
        <v>1510</v>
      </c>
      <c r="C139" s="637" t="s">
        <v>1515</v>
      </c>
      <c r="D139" s="638">
        <v>45787.7</v>
      </c>
      <c r="E139" s="638">
        <v>48622.9</v>
      </c>
      <c r="F139" s="639">
        <v>46106</v>
      </c>
    </row>
    <row r="140" spans="1:10" ht="13.9" customHeight="1">
      <c r="A140" s="493"/>
      <c r="B140" s="683" t="s">
        <v>1510</v>
      </c>
      <c r="C140" s="637" t="s">
        <v>1516</v>
      </c>
      <c r="D140" s="638">
        <v>48759.199999999997</v>
      </c>
      <c r="E140" s="639">
        <v>54102</v>
      </c>
      <c r="F140" s="638">
        <v>49335.9</v>
      </c>
      <c r="G140" s="493"/>
      <c r="H140" s="493"/>
      <c r="I140" s="493"/>
      <c r="J140" s="493"/>
    </row>
    <row r="141" spans="1:10" ht="13.9" customHeight="1">
      <c r="A141" s="486"/>
      <c r="B141" s="642"/>
      <c r="C141" s="643" t="s">
        <v>1517</v>
      </c>
      <c r="D141" s="644"/>
      <c r="E141" s="645">
        <f>E137*1.1</f>
        <v>71975.42</v>
      </c>
      <c r="F141" s="646"/>
    </row>
    <row r="142" spans="1:10" ht="13.9" customHeight="1">
      <c r="A142" s="486"/>
      <c r="B142" s="487"/>
      <c r="D142" s="492"/>
    </row>
    <row r="143" spans="1:10" ht="13.9" customHeight="1">
      <c r="A143" s="486"/>
      <c r="B143" s="487"/>
      <c r="D143" s="492"/>
    </row>
    <row r="144" spans="1:10" ht="13.9" customHeight="1">
      <c r="A144" s="486"/>
      <c r="B144" s="487"/>
      <c r="D144" s="492"/>
    </row>
    <row r="145" spans="1:4" ht="13.9" customHeight="1">
      <c r="A145" s="486"/>
      <c r="B145" s="487"/>
      <c r="D145" s="492"/>
    </row>
    <row r="146" spans="1:4" ht="13.9" customHeight="1">
      <c r="A146" s="486"/>
      <c r="B146" s="487"/>
      <c r="D146" s="492"/>
    </row>
    <row r="147" spans="1:4" ht="13.9" customHeight="1">
      <c r="A147" s="486"/>
      <c r="B147" s="487"/>
      <c r="D147" s="492"/>
    </row>
    <row r="148" spans="1:4" ht="13.9" customHeight="1">
      <c r="A148" s="486"/>
      <c r="B148" s="487"/>
      <c r="D148" s="492"/>
    </row>
    <row r="149" spans="1:4" ht="13.9" customHeight="1">
      <c r="A149" s="486"/>
      <c r="B149" s="487"/>
      <c r="D149" s="492"/>
    </row>
    <row r="150" spans="1:4" ht="13.9" customHeight="1">
      <c r="A150" s="486"/>
      <c r="B150" s="487"/>
      <c r="D150" s="492"/>
    </row>
    <row r="151" spans="1:4" ht="13.9" customHeight="1">
      <c r="A151" s="486"/>
      <c r="B151" s="487"/>
      <c r="D151" s="492"/>
    </row>
    <row r="152" spans="1:4" ht="13.9" customHeight="1">
      <c r="A152" s="486"/>
      <c r="B152" s="487"/>
      <c r="D152" s="492"/>
    </row>
    <row r="153" spans="1:4" ht="13.9" customHeight="1">
      <c r="A153" s="486"/>
      <c r="B153" s="487"/>
      <c r="D153" s="492"/>
    </row>
    <row r="154" spans="1:4" ht="13.9" customHeight="1">
      <c r="A154" s="486"/>
      <c r="B154" s="487"/>
      <c r="D154" s="492"/>
    </row>
    <row r="155" spans="1:4" ht="13.9" customHeight="1">
      <c r="A155" s="486"/>
      <c r="B155" s="487"/>
      <c r="D155" s="492"/>
    </row>
    <row r="156" spans="1:4" ht="13.9" customHeight="1">
      <c r="A156" s="486"/>
      <c r="B156" s="487"/>
      <c r="D156" s="492"/>
    </row>
    <row r="157" spans="1:4" ht="13.9" customHeight="1">
      <c r="A157" s="486"/>
      <c r="B157" s="487"/>
      <c r="D157" s="492"/>
    </row>
    <row r="158" spans="1:4" ht="13.9" customHeight="1">
      <c r="A158" s="486"/>
      <c r="B158" s="487"/>
      <c r="D158" s="492"/>
    </row>
    <row r="159" spans="1:4" ht="13.9" customHeight="1">
      <c r="A159" s="486"/>
      <c r="B159" s="487"/>
      <c r="D159" s="492"/>
    </row>
    <row r="160" spans="1:4" ht="13.9" customHeight="1">
      <c r="A160" s="486"/>
      <c r="B160" s="487"/>
      <c r="D160" s="492"/>
    </row>
    <row r="161" spans="1:10" ht="13.9" customHeight="1">
      <c r="A161" s="486"/>
      <c r="B161" s="487"/>
      <c r="D161" s="492"/>
    </row>
    <row r="162" spans="1:10" ht="13.9" customHeight="1">
      <c r="A162" s="486"/>
      <c r="B162" s="487"/>
      <c r="D162" s="492"/>
    </row>
    <row r="163" spans="1:10" ht="13.9" customHeight="1">
      <c r="A163" s="486"/>
      <c r="B163" s="487"/>
      <c r="D163" s="492"/>
    </row>
    <row r="164" spans="1:10" ht="13.9" customHeight="1">
      <c r="A164" s="486"/>
      <c r="B164" s="487"/>
      <c r="D164" s="492"/>
    </row>
    <row r="165" spans="1:10" ht="13.9" customHeight="1" thickBot="1">
      <c r="A165" s="494"/>
      <c r="B165" s="495"/>
      <c r="C165" s="496"/>
      <c r="D165" s="497"/>
      <c r="E165" s="498"/>
      <c r="F165" s="498"/>
      <c r="G165" s="498"/>
      <c r="H165" s="499"/>
      <c r="I165" s="499"/>
      <c r="J165" s="500"/>
    </row>
    <row r="166" spans="1:10" ht="13.9" customHeight="1">
      <c r="A166" s="501"/>
      <c r="B166" s="487"/>
      <c r="D166" s="492"/>
    </row>
    <row r="167" spans="1:10" ht="13.9" customHeight="1">
      <c r="A167" s="491"/>
      <c r="B167" s="487"/>
      <c r="D167" s="492"/>
    </row>
    <row r="168" spans="1:10" ht="13.9" customHeight="1">
      <c r="A168" s="491"/>
      <c r="B168" s="487"/>
      <c r="D168" s="492"/>
    </row>
    <row r="169" spans="1:10" ht="13.9" customHeight="1">
      <c r="A169" s="486"/>
      <c r="B169" s="487"/>
      <c r="D169" s="492"/>
    </row>
    <row r="170" spans="1:10" ht="13.9" customHeight="1">
      <c r="A170" s="486"/>
      <c r="B170" s="487"/>
      <c r="D170" s="492"/>
    </row>
    <row r="171" spans="1:10" ht="13.9" customHeight="1">
      <c r="A171" s="486"/>
      <c r="B171" s="487"/>
      <c r="D171" s="492"/>
    </row>
    <row r="172" spans="1:10" ht="13.9" customHeight="1">
      <c r="A172" s="486"/>
      <c r="B172" s="487"/>
      <c r="D172" s="492"/>
    </row>
    <row r="173" spans="1:10" ht="13.9" customHeight="1">
      <c r="A173" s="486"/>
      <c r="B173" s="487"/>
      <c r="D173" s="492"/>
    </row>
    <row r="174" spans="1:10" ht="13.9" customHeight="1">
      <c r="A174" s="486"/>
      <c r="B174" s="487"/>
      <c r="D174" s="492"/>
    </row>
    <row r="175" spans="1:10" ht="13.9" customHeight="1">
      <c r="A175" s="486"/>
      <c r="B175" s="487"/>
      <c r="D175" s="492"/>
    </row>
    <row r="176" spans="1:10" ht="13.9" customHeight="1">
      <c r="A176" s="486"/>
      <c r="B176" s="487"/>
      <c r="D176" s="492"/>
    </row>
    <row r="177" spans="1:4" ht="13.9" customHeight="1">
      <c r="A177" s="486"/>
      <c r="B177" s="487"/>
      <c r="D177" s="492"/>
    </row>
    <row r="178" spans="1:4" ht="13.9" customHeight="1">
      <c r="A178" s="486"/>
      <c r="B178" s="487"/>
      <c r="D178" s="492"/>
    </row>
    <row r="179" spans="1:4" ht="13.9" customHeight="1">
      <c r="A179" s="486"/>
      <c r="B179" s="487"/>
      <c r="D179" s="492"/>
    </row>
    <row r="180" spans="1:4" ht="13.9" customHeight="1">
      <c r="A180" s="486"/>
      <c r="B180" s="487"/>
      <c r="D180" s="492"/>
    </row>
    <row r="181" spans="1:4" ht="13.9" customHeight="1">
      <c r="A181" s="486"/>
      <c r="B181" s="487"/>
      <c r="D181" s="492"/>
    </row>
    <row r="182" spans="1:4" ht="13.9" customHeight="1">
      <c r="A182" s="486"/>
      <c r="B182" s="487"/>
      <c r="D182" s="492"/>
    </row>
    <row r="183" spans="1:4" ht="13.9" customHeight="1">
      <c r="A183" s="486"/>
      <c r="B183" s="487"/>
      <c r="D183" s="492"/>
    </row>
    <row r="184" spans="1:4" ht="13.9" customHeight="1">
      <c r="A184" s="486"/>
      <c r="B184" s="487"/>
      <c r="D184" s="492"/>
    </row>
    <row r="185" spans="1:4" ht="13.9" customHeight="1">
      <c r="A185" s="486"/>
      <c r="B185" s="487"/>
      <c r="D185" s="492"/>
    </row>
    <row r="186" spans="1:4" ht="13.9" customHeight="1">
      <c r="A186" s="486"/>
      <c r="B186" s="487"/>
      <c r="D186" s="492"/>
    </row>
    <row r="187" spans="1:4" ht="13.9" customHeight="1">
      <c r="A187" s="486"/>
      <c r="B187" s="487"/>
      <c r="D187" s="492"/>
    </row>
    <row r="188" spans="1:4" ht="13.9" customHeight="1">
      <c r="A188" s="486"/>
      <c r="B188" s="487"/>
      <c r="D188" s="492"/>
    </row>
    <row r="189" spans="1:4" ht="13.9" customHeight="1">
      <c r="A189" s="486"/>
      <c r="B189" s="487"/>
      <c r="D189" s="492"/>
    </row>
    <row r="190" spans="1:4" ht="13.9" customHeight="1">
      <c r="A190" s="486"/>
      <c r="B190" s="487"/>
      <c r="D190" s="492"/>
    </row>
    <row r="191" spans="1:4" ht="13.9" customHeight="1">
      <c r="A191" s="486"/>
      <c r="B191" s="487"/>
      <c r="D191" s="492"/>
    </row>
    <row r="192" spans="1:4" ht="13.9" customHeight="1">
      <c r="A192" s="486"/>
      <c r="B192" s="487"/>
      <c r="D192" s="492"/>
    </row>
    <row r="193" spans="1:9" ht="13.9" customHeight="1">
      <c r="A193" s="486"/>
      <c r="B193" s="487"/>
      <c r="D193" s="492"/>
    </row>
    <row r="194" spans="1:9" ht="13.9" customHeight="1">
      <c r="A194" s="486"/>
      <c r="B194" s="487"/>
      <c r="D194" s="492"/>
    </row>
    <row r="195" spans="1:9" ht="13.9" customHeight="1">
      <c r="A195" s="486"/>
      <c r="B195" s="487"/>
      <c r="D195" s="492"/>
    </row>
    <row r="196" spans="1:9" ht="13.9" customHeight="1">
      <c r="A196" s="486"/>
      <c r="B196" s="487"/>
      <c r="D196" s="492"/>
    </row>
    <row r="197" spans="1:9" ht="13.9" customHeight="1">
      <c r="A197" s="486"/>
      <c r="B197" s="487"/>
      <c r="D197" s="492"/>
    </row>
    <row r="198" spans="1:9" ht="13.9" customHeight="1">
      <c r="A198" s="486"/>
      <c r="B198" s="487"/>
      <c r="D198" s="492"/>
    </row>
    <row r="199" spans="1:9" ht="13.9" customHeight="1">
      <c r="A199" s="486"/>
      <c r="B199" s="487"/>
      <c r="D199" s="492"/>
    </row>
    <row r="200" spans="1:9" ht="13.9" customHeight="1">
      <c r="A200" s="486"/>
      <c r="B200" s="487"/>
      <c r="D200" s="492"/>
    </row>
    <row r="201" spans="1:9" ht="13.9" customHeight="1">
      <c r="A201" s="486"/>
      <c r="B201" s="487"/>
      <c r="D201" s="492"/>
    </row>
    <row r="202" spans="1:9" ht="13.9" customHeight="1">
      <c r="A202" s="486"/>
      <c r="B202" s="487"/>
      <c r="D202" s="492"/>
    </row>
    <row r="203" spans="1:9" ht="13.9" customHeight="1">
      <c r="A203" s="486"/>
      <c r="B203" s="487"/>
      <c r="D203" s="492"/>
    </row>
    <row r="204" spans="1:9" ht="13.9" customHeight="1">
      <c r="A204" s="486"/>
      <c r="B204" s="487"/>
      <c r="D204" s="492"/>
    </row>
    <row r="205" spans="1:9" ht="13.9" customHeight="1">
      <c r="A205" s="486"/>
      <c r="B205" s="487"/>
      <c r="D205" s="492"/>
    </row>
    <row r="206" spans="1:9" ht="13.9" customHeight="1">
      <c r="A206" s="486"/>
      <c r="B206" s="487"/>
      <c r="D206" s="492"/>
      <c r="H206" s="502" t="e">
        <f>'Штатное расписание'!#REF!</f>
        <v>#REF!</v>
      </c>
      <c r="I206" s="502"/>
    </row>
    <row r="207" spans="1:9" ht="13.9" customHeight="1">
      <c r="A207" s="486"/>
      <c r="B207" s="487"/>
      <c r="D207" s="492"/>
    </row>
    <row r="208" spans="1:9" ht="13.9" customHeight="1">
      <c r="A208" s="486"/>
      <c r="B208" s="487"/>
      <c r="D208" s="492"/>
    </row>
    <row r="209" spans="1:4" ht="13.9" customHeight="1">
      <c r="A209" s="486"/>
      <c r="B209" s="487"/>
      <c r="D209" s="492"/>
    </row>
    <row r="210" spans="1:4" ht="13.9" customHeight="1">
      <c r="A210" s="486"/>
      <c r="B210" s="487"/>
      <c r="D210" s="492"/>
    </row>
    <row r="211" spans="1:4" ht="13.9" customHeight="1">
      <c r="A211" s="486"/>
      <c r="B211" s="487"/>
      <c r="D211" s="492"/>
    </row>
    <row r="212" spans="1:4" ht="13.9" customHeight="1">
      <c r="A212" s="486"/>
      <c r="B212" s="487"/>
      <c r="D212" s="492"/>
    </row>
    <row r="213" spans="1:4" ht="13.9" customHeight="1">
      <c r="A213" s="486"/>
      <c r="B213" s="487"/>
      <c r="D213" s="492"/>
    </row>
    <row r="214" spans="1:4" ht="13.9" customHeight="1">
      <c r="A214" s="486"/>
      <c r="B214" s="487"/>
      <c r="D214" s="492"/>
    </row>
    <row r="215" spans="1:4" ht="13.9" customHeight="1">
      <c r="A215" s="486"/>
      <c r="B215" s="487"/>
      <c r="D215" s="492"/>
    </row>
    <row r="216" spans="1:4" ht="13.9" customHeight="1">
      <c r="A216" s="486"/>
      <c r="B216" s="487"/>
      <c r="D216" s="492"/>
    </row>
    <row r="217" spans="1:4" ht="13.9" customHeight="1">
      <c r="A217" s="486"/>
      <c r="B217" s="487"/>
      <c r="D217" s="492"/>
    </row>
    <row r="218" spans="1:4" ht="13.9" customHeight="1">
      <c r="A218" s="486"/>
      <c r="B218" s="487"/>
      <c r="D218" s="492"/>
    </row>
    <row r="219" spans="1:4" ht="13.9" customHeight="1">
      <c r="A219" s="486"/>
      <c r="B219" s="487"/>
      <c r="D219" s="492"/>
    </row>
    <row r="220" spans="1:4" ht="13.9" customHeight="1">
      <c r="A220" s="486"/>
      <c r="B220" s="487"/>
      <c r="D220" s="492"/>
    </row>
    <row r="221" spans="1:4" ht="13.9" customHeight="1">
      <c r="A221" s="486"/>
      <c r="B221" s="487"/>
      <c r="D221" s="492"/>
    </row>
    <row r="222" spans="1:4" ht="13.9" customHeight="1">
      <c r="A222" s="486"/>
      <c r="B222" s="487"/>
      <c r="D222" s="492"/>
    </row>
    <row r="223" spans="1:4" ht="13.9" customHeight="1">
      <c r="A223" s="486"/>
      <c r="B223" s="487"/>
      <c r="D223" s="492"/>
    </row>
    <row r="224" spans="1:4" ht="13.9" customHeight="1">
      <c r="A224" s="486"/>
      <c r="B224" s="487"/>
      <c r="D224" s="492"/>
    </row>
    <row r="225" spans="1:4" ht="13.9" customHeight="1">
      <c r="A225" s="486"/>
      <c r="B225" s="487"/>
      <c r="D225" s="492"/>
    </row>
    <row r="226" spans="1:4" ht="13.9" customHeight="1">
      <c r="A226" s="486"/>
      <c r="B226" s="487"/>
      <c r="D226" s="492"/>
    </row>
    <row r="227" spans="1:4" ht="13.9" customHeight="1">
      <c r="A227" s="486"/>
      <c r="B227" s="487"/>
      <c r="D227" s="492"/>
    </row>
    <row r="228" spans="1:4" ht="13.9" customHeight="1">
      <c r="A228" s="486"/>
      <c r="B228" s="487"/>
      <c r="D228" s="492"/>
    </row>
    <row r="229" spans="1:4" ht="13.9" customHeight="1">
      <c r="A229" s="486"/>
      <c r="B229" s="487"/>
      <c r="D229" s="492"/>
    </row>
    <row r="230" spans="1:4" ht="13.9" customHeight="1">
      <c r="A230" s="486"/>
      <c r="B230" s="487"/>
      <c r="D230" s="492"/>
    </row>
    <row r="231" spans="1:4" ht="13.9" customHeight="1">
      <c r="A231" s="486"/>
      <c r="B231" s="487"/>
      <c r="D231" s="492"/>
    </row>
    <row r="232" spans="1:4" ht="13.9" customHeight="1">
      <c r="A232" s="486"/>
      <c r="B232" s="487"/>
      <c r="D232" s="492"/>
    </row>
    <row r="233" spans="1:4" ht="13.9" customHeight="1">
      <c r="A233" s="486"/>
      <c r="B233" s="487"/>
      <c r="D233" s="492"/>
    </row>
    <row r="234" spans="1:4" ht="13.9" customHeight="1">
      <c r="A234" s="486"/>
      <c r="B234" s="487"/>
      <c r="D234" s="492"/>
    </row>
    <row r="235" spans="1:4" ht="13.9" customHeight="1">
      <c r="A235" s="486"/>
      <c r="B235" s="487"/>
      <c r="D235" s="492"/>
    </row>
    <row r="236" spans="1:4" ht="13.9" customHeight="1">
      <c r="A236" s="486"/>
      <c r="B236" s="487"/>
      <c r="D236" s="492"/>
    </row>
    <row r="237" spans="1:4" ht="13.9" customHeight="1">
      <c r="A237" s="486"/>
      <c r="B237" s="487"/>
      <c r="D237" s="492"/>
    </row>
    <row r="238" spans="1:4" ht="13.9" customHeight="1">
      <c r="A238" s="486"/>
      <c r="B238" s="487"/>
      <c r="D238" s="492"/>
    </row>
    <row r="239" spans="1:4" ht="13.9" customHeight="1">
      <c r="A239" s="486"/>
      <c r="B239" s="487"/>
      <c r="D239" s="492"/>
    </row>
    <row r="240" spans="1:4" ht="13.9" customHeight="1">
      <c r="A240" s="486"/>
      <c r="B240" s="487"/>
      <c r="D240" s="492"/>
    </row>
    <row r="241" spans="1:4" ht="13.9" customHeight="1">
      <c r="A241" s="486"/>
      <c r="B241" s="487"/>
      <c r="D241" s="492"/>
    </row>
    <row r="242" spans="1:4" ht="13.9" customHeight="1">
      <c r="A242" s="486"/>
      <c r="B242" s="487"/>
      <c r="D242" s="492"/>
    </row>
    <row r="243" spans="1:4" ht="13.9" customHeight="1">
      <c r="A243" s="486"/>
      <c r="B243" s="487"/>
      <c r="D243" s="492"/>
    </row>
    <row r="244" spans="1:4" ht="13.9" customHeight="1">
      <c r="A244" s="486"/>
      <c r="B244" s="487"/>
      <c r="D244" s="492"/>
    </row>
    <row r="245" spans="1:4" ht="13.9" customHeight="1">
      <c r="A245" s="486"/>
      <c r="B245" s="487"/>
      <c r="D245" s="492"/>
    </row>
    <row r="246" spans="1:4" ht="13.9" customHeight="1">
      <c r="A246" s="486"/>
      <c r="B246" s="487"/>
      <c r="D246" s="492"/>
    </row>
    <row r="247" spans="1:4" ht="13.9" customHeight="1">
      <c r="A247" s="486"/>
      <c r="B247" s="487"/>
      <c r="D247" s="492"/>
    </row>
    <row r="248" spans="1:4" ht="13.9" customHeight="1">
      <c r="A248" s="486"/>
      <c r="B248" s="487"/>
      <c r="D248" s="492"/>
    </row>
    <row r="249" spans="1:4" ht="13.9" customHeight="1">
      <c r="A249" s="486"/>
      <c r="B249" s="487"/>
      <c r="D249" s="492"/>
    </row>
    <row r="250" spans="1:4" ht="13.9" customHeight="1">
      <c r="A250" s="486"/>
      <c r="B250" s="487"/>
      <c r="D250" s="492"/>
    </row>
    <row r="251" spans="1:4" ht="13.9" customHeight="1">
      <c r="A251" s="486"/>
      <c r="B251" s="487"/>
      <c r="D251" s="492"/>
    </row>
    <row r="252" spans="1:4" ht="13.9" customHeight="1">
      <c r="A252" s="486"/>
      <c r="B252" s="487"/>
      <c r="D252" s="492"/>
    </row>
    <row r="253" spans="1:4" ht="13.9" customHeight="1">
      <c r="A253" s="486"/>
      <c r="B253" s="487"/>
      <c r="D253" s="492"/>
    </row>
    <row r="254" spans="1:4" ht="13.9" customHeight="1">
      <c r="A254" s="486"/>
      <c r="B254" s="487"/>
      <c r="D254" s="492"/>
    </row>
    <row r="255" spans="1:4" ht="13.9" customHeight="1">
      <c r="A255" s="486"/>
      <c r="B255" s="487"/>
      <c r="D255" s="492"/>
    </row>
    <row r="256" spans="1:4" ht="13.9" customHeight="1">
      <c r="A256" s="486"/>
      <c r="B256" s="487"/>
      <c r="D256" s="492"/>
    </row>
    <row r="257" spans="1:4" ht="13.9" customHeight="1">
      <c r="A257" s="486"/>
      <c r="B257" s="487"/>
      <c r="D257" s="492"/>
    </row>
    <row r="258" spans="1:4" ht="13.9" customHeight="1">
      <c r="A258" s="486"/>
      <c r="B258" s="487"/>
      <c r="D258" s="492"/>
    </row>
    <row r="259" spans="1:4" ht="13.9" customHeight="1">
      <c r="A259" s="486"/>
      <c r="B259" s="487"/>
      <c r="D259" s="492"/>
    </row>
    <row r="260" spans="1:4" ht="13.9" customHeight="1">
      <c r="A260" s="486"/>
      <c r="B260" s="487"/>
      <c r="D260" s="492"/>
    </row>
    <row r="261" spans="1:4" ht="13.9" customHeight="1">
      <c r="A261" s="486"/>
      <c r="B261" s="487"/>
      <c r="D261" s="492"/>
    </row>
    <row r="262" spans="1:4" ht="13.9" customHeight="1">
      <c r="A262" s="486"/>
      <c r="B262" s="487"/>
      <c r="D262" s="492"/>
    </row>
    <row r="263" spans="1:4" ht="13.9" customHeight="1">
      <c r="A263" s="486"/>
      <c r="B263" s="487"/>
      <c r="D263" s="492"/>
    </row>
    <row r="264" spans="1:4" ht="13.9" customHeight="1">
      <c r="A264" s="486"/>
      <c r="B264" s="487"/>
      <c r="D264" s="492"/>
    </row>
    <row r="265" spans="1:4" ht="13.9" customHeight="1">
      <c r="A265" s="486"/>
      <c r="B265" s="487"/>
      <c r="D265" s="492"/>
    </row>
    <row r="266" spans="1:4" ht="13.9" customHeight="1">
      <c r="A266" s="486"/>
      <c r="B266" s="487"/>
      <c r="D266" s="492"/>
    </row>
    <row r="267" spans="1:4" ht="13.9" customHeight="1">
      <c r="A267" s="486"/>
      <c r="B267" s="487"/>
      <c r="D267" s="492"/>
    </row>
    <row r="268" spans="1:4" ht="13.9" customHeight="1">
      <c r="A268" s="486"/>
      <c r="B268" s="487"/>
      <c r="D268" s="492"/>
    </row>
    <row r="269" spans="1:4" ht="13.9" customHeight="1">
      <c r="A269" s="486"/>
      <c r="B269" s="487"/>
      <c r="D269" s="492"/>
    </row>
    <row r="270" spans="1:4" ht="13.9" customHeight="1">
      <c r="A270" s="486"/>
      <c r="B270" s="487"/>
      <c r="D270" s="492"/>
    </row>
    <row r="271" spans="1:4" ht="13.9" customHeight="1">
      <c r="A271" s="486"/>
      <c r="B271" s="487"/>
      <c r="D271" s="492"/>
    </row>
    <row r="272" spans="1:4" ht="13.9" customHeight="1">
      <c r="A272" s="486"/>
      <c r="B272" s="487"/>
      <c r="D272" s="492"/>
    </row>
    <row r="273" spans="1:4" ht="13.9" customHeight="1">
      <c r="A273" s="486"/>
      <c r="B273" s="487"/>
      <c r="D273" s="492"/>
    </row>
    <row r="274" spans="1:4" ht="13.9" customHeight="1">
      <c r="A274" s="486"/>
      <c r="B274" s="487"/>
      <c r="D274" s="492"/>
    </row>
    <row r="275" spans="1:4" ht="13.9" customHeight="1">
      <c r="A275" s="486"/>
      <c r="B275" s="487"/>
      <c r="D275" s="492"/>
    </row>
    <row r="276" spans="1:4" ht="13.9" customHeight="1">
      <c r="A276" s="486"/>
      <c r="B276" s="487"/>
      <c r="D276" s="492"/>
    </row>
    <row r="277" spans="1:4" ht="13.9" customHeight="1">
      <c r="A277" s="486"/>
      <c r="B277" s="487"/>
      <c r="D277" s="492"/>
    </row>
    <row r="278" spans="1:4" ht="13.9" customHeight="1">
      <c r="A278" s="486"/>
      <c r="B278" s="487"/>
      <c r="D278" s="492"/>
    </row>
    <row r="279" spans="1:4" ht="13.9" customHeight="1">
      <c r="A279" s="486"/>
      <c r="B279" s="487"/>
      <c r="D279" s="492"/>
    </row>
    <row r="280" spans="1:4" ht="13.9" customHeight="1">
      <c r="A280" s="486"/>
      <c r="B280" s="487"/>
      <c r="D280" s="492"/>
    </row>
    <row r="281" spans="1:4" ht="13.9" customHeight="1">
      <c r="A281" s="486"/>
      <c r="B281" s="487"/>
      <c r="D281" s="492"/>
    </row>
    <row r="282" spans="1:4" ht="13.9" customHeight="1">
      <c r="A282" s="486"/>
      <c r="B282" s="487"/>
      <c r="D282" s="492"/>
    </row>
    <row r="283" spans="1:4" ht="13.9" customHeight="1">
      <c r="A283" s="486"/>
      <c r="B283" s="487"/>
      <c r="D283" s="492"/>
    </row>
    <row r="284" spans="1:4" ht="13.9" customHeight="1">
      <c r="A284" s="486"/>
      <c r="B284" s="487"/>
      <c r="D284" s="492"/>
    </row>
    <row r="285" spans="1:4" ht="13.9" customHeight="1">
      <c r="A285" s="486"/>
      <c r="B285" s="487"/>
      <c r="D285" s="492"/>
    </row>
    <row r="286" spans="1:4" ht="13.9" customHeight="1">
      <c r="A286" s="486"/>
      <c r="B286" s="487"/>
      <c r="D286" s="492"/>
    </row>
    <row r="287" spans="1:4" ht="13.9" customHeight="1">
      <c r="A287" s="486"/>
      <c r="B287" s="487"/>
      <c r="D287" s="492"/>
    </row>
    <row r="288" spans="1:4" ht="13.9" customHeight="1">
      <c r="A288" s="486"/>
      <c r="B288" s="487"/>
      <c r="D288" s="492"/>
    </row>
    <row r="289" spans="1:4" ht="13.9" customHeight="1">
      <c r="A289" s="486"/>
      <c r="B289" s="487"/>
      <c r="D289" s="492"/>
    </row>
    <row r="290" spans="1:4" ht="13.9" customHeight="1">
      <c r="A290" s="486"/>
      <c r="B290" s="487"/>
      <c r="D290" s="492"/>
    </row>
    <row r="291" spans="1:4" ht="13.9" customHeight="1">
      <c r="A291" s="486"/>
      <c r="B291" s="487"/>
      <c r="D291" s="492"/>
    </row>
    <row r="292" spans="1:4" ht="13.9" customHeight="1">
      <c r="A292" s="486"/>
      <c r="B292" s="487"/>
      <c r="D292" s="492"/>
    </row>
    <row r="293" spans="1:4" ht="13.9" customHeight="1">
      <c r="A293" s="486"/>
      <c r="B293" s="487"/>
      <c r="D293" s="492"/>
    </row>
    <row r="294" spans="1:4" ht="13.9" customHeight="1">
      <c r="A294" s="486"/>
      <c r="B294" s="487"/>
      <c r="D294" s="492"/>
    </row>
    <row r="295" spans="1:4" ht="13.9" customHeight="1">
      <c r="A295" s="486"/>
      <c r="B295" s="487"/>
      <c r="D295" s="492"/>
    </row>
    <row r="296" spans="1:4" ht="13.9" customHeight="1">
      <c r="A296" s="486"/>
      <c r="B296" s="487"/>
      <c r="D296" s="492"/>
    </row>
    <row r="297" spans="1:4" ht="13.9" customHeight="1">
      <c r="A297" s="486"/>
      <c r="B297" s="487"/>
      <c r="D297" s="492"/>
    </row>
    <row r="298" spans="1:4" ht="13.9" customHeight="1">
      <c r="A298" s="486"/>
      <c r="B298" s="487"/>
      <c r="D298" s="492"/>
    </row>
    <row r="299" spans="1:4" ht="13.9" customHeight="1">
      <c r="A299" s="486"/>
      <c r="B299" s="487"/>
      <c r="D299" s="492"/>
    </row>
    <row r="300" spans="1:4" ht="13.9" customHeight="1">
      <c r="A300" s="486"/>
      <c r="B300" s="487"/>
      <c r="D300" s="492"/>
    </row>
    <row r="301" spans="1:4" ht="13.9" customHeight="1">
      <c r="A301" s="486"/>
      <c r="B301" s="487"/>
      <c r="D301" s="492"/>
    </row>
    <row r="302" spans="1:4" ht="13.9" customHeight="1">
      <c r="A302" s="486"/>
      <c r="B302" s="487"/>
      <c r="D302" s="492"/>
    </row>
    <row r="303" spans="1:4" ht="13.9" customHeight="1">
      <c r="A303" s="486"/>
      <c r="B303" s="487"/>
      <c r="D303" s="492"/>
    </row>
    <row r="304" spans="1:4" ht="13.9" customHeight="1">
      <c r="A304" s="486"/>
      <c r="B304" s="487"/>
      <c r="D304" s="492"/>
    </row>
    <row r="305" spans="1:4" ht="13.9" customHeight="1">
      <c r="A305" s="486"/>
      <c r="B305" s="487"/>
      <c r="D305" s="492"/>
    </row>
    <row r="306" spans="1:4" ht="13.9" customHeight="1">
      <c r="A306" s="486"/>
      <c r="B306" s="487"/>
      <c r="D306" s="492"/>
    </row>
    <row r="307" spans="1:4" ht="13.9" customHeight="1">
      <c r="A307" s="486"/>
      <c r="B307" s="487"/>
      <c r="D307" s="492"/>
    </row>
    <row r="308" spans="1:4" ht="13.9" customHeight="1">
      <c r="A308" s="486"/>
      <c r="B308" s="487"/>
      <c r="D308" s="492"/>
    </row>
    <row r="309" spans="1:4" ht="13.9" customHeight="1">
      <c r="A309" s="486"/>
      <c r="B309" s="487"/>
      <c r="D309" s="492"/>
    </row>
    <row r="310" spans="1:4" ht="13.9" customHeight="1">
      <c r="A310" s="486"/>
      <c r="B310" s="487"/>
      <c r="D310" s="492"/>
    </row>
    <row r="311" spans="1:4" ht="13.9" customHeight="1">
      <c r="A311" s="486"/>
      <c r="B311" s="487"/>
      <c r="D311" s="492"/>
    </row>
    <row r="312" spans="1:4" ht="13.9" customHeight="1">
      <c r="A312" s="486"/>
      <c r="B312" s="487"/>
      <c r="D312" s="492"/>
    </row>
    <row r="313" spans="1:4" ht="13.9" customHeight="1">
      <c r="A313" s="486"/>
      <c r="B313" s="487"/>
      <c r="D313" s="492"/>
    </row>
    <row r="314" spans="1:4" ht="13.9" customHeight="1">
      <c r="A314" s="486"/>
      <c r="B314" s="487"/>
      <c r="D314" s="492"/>
    </row>
    <row r="315" spans="1:4" ht="13.9" customHeight="1">
      <c r="A315" s="486"/>
      <c r="B315" s="487"/>
      <c r="D315" s="492"/>
    </row>
    <row r="316" spans="1:4" ht="13.9" customHeight="1">
      <c r="A316" s="486"/>
      <c r="B316" s="487"/>
      <c r="D316" s="492"/>
    </row>
    <row r="317" spans="1:4" ht="13.9" customHeight="1">
      <c r="A317" s="486"/>
      <c r="B317" s="487"/>
      <c r="D317" s="492"/>
    </row>
    <row r="318" spans="1:4" ht="13.9" customHeight="1">
      <c r="A318" s="486"/>
      <c r="B318" s="487"/>
      <c r="D318" s="492"/>
    </row>
    <row r="319" spans="1:4" ht="13.9" customHeight="1">
      <c r="A319" s="486"/>
      <c r="B319" s="487"/>
      <c r="D319" s="492"/>
    </row>
    <row r="320" spans="1:4" ht="13.9" customHeight="1">
      <c r="A320" s="486"/>
      <c r="B320" s="487"/>
      <c r="D320" s="492"/>
    </row>
    <row r="321" spans="1:4" ht="13.9" customHeight="1">
      <c r="A321" s="486"/>
      <c r="B321" s="487"/>
      <c r="D321" s="492"/>
    </row>
    <row r="322" spans="1:4" ht="13.9" customHeight="1">
      <c r="A322" s="486"/>
      <c r="B322" s="487"/>
      <c r="D322" s="492"/>
    </row>
    <row r="323" spans="1:4" ht="13.9" customHeight="1">
      <c r="A323" s="486"/>
      <c r="B323" s="487"/>
      <c r="D323" s="492"/>
    </row>
    <row r="324" spans="1:4" ht="13.9" customHeight="1">
      <c r="A324" s="486"/>
      <c r="B324" s="487"/>
      <c r="D324" s="492"/>
    </row>
    <row r="325" spans="1:4" ht="13.9" customHeight="1">
      <c r="A325" s="486"/>
      <c r="B325" s="487"/>
      <c r="D325" s="492"/>
    </row>
    <row r="326" spans="1:4" ht="13.9" customHeight="1">
      <c r="A326" s="486"/>
      <c r="B326" s="487"/>
      <c r="D326" s="492"/>
    </row>
    <row r="327" spans="1:4" ht="13.9" customHeight="1">
      <c r="A327" s="486"/>
      <c r="B327" s="487"/>
      <c r="D327" s="492"/>
    </row>
    <row r="328" spans="1:4" ht="13.9" customHeight="1">
      <c r="A328" s="486"/>
      <c r="B328" s="487"/>
      <c r="D328" s="492"/>
    </row>
    <row r="329" spans="1:4" ht="13.9" customHeight="1">
      <c r="A329" s="486"/>
      <c r="B329" s="487"/>
      <c r="D329" s="492"/>
    </row>
    <row r="330" spans="1:4" ht="13.9" customHeight="1">
      <c r="A330" s="486"/>
      <c r="B330" s="487"/>
      <c r="D330" s="492"/>
    </row>
    <row r="331" spans="1:4" ht="13.9" customHeight="1">
      <c r="A331" s="486"/>
      <c r="B331" s="487"/>
      <c r="D331" s="492"/>
    </row>
    <row r="332" spans="1:4" ht="13.9" customHeight="1">
      <c r="A332" s="486"/>
      <c r="B332" s="487"/>
      <c r="D332" s="492"/>
    </row>
    <row r="333" spans="1:4" ht="13.9" customHeight="1">
      <c r="A333" s="486"/>
      <c r="B333" s="487"/>
      <c r="D333" s="492"/>
    </row>
    <row r="334" spans="1:4" ht="13.9" customHeight="1">
      <c r="A334" s="486"/>
      <c r="B334" s="487"/>
      <c r="D334" s="492"/>
    </row>
    <row r="335" spans="1:4" ht="13.9" customHeight="1">
      <c r="A335" s="486"/>
      <c r="B335" s="487"/>
      <c r="D335" s="492"/>
    </row>
    <row r="336" spans="1:4" ht="13.9" customHeight="1">
      <c r="A336" s="486"/>
      <c r="B336" s="487"/>
      <c r="D336" s="492"/>
    </row>
    <row r="337" spans="1:4" ht="13.9" customHeight="1">
      <c r="A337" s="486"/>
      <c r="B337" s="487"/>
      <c r="D337" s="492"/>
    </row>
    <row r="338" spans="1:4" ht="13.9" customHeight="1">
      <c r="A338" s="486"/>
      <c r="B338" s="487"/>
      <c r="D338" s="492"/>
    </row>
    <row r="339" spans="1:4" ht="13.9" customHeight="1">
      <c r="A339" s="486"/>
      <c r="B339" s="487"/>
      <c r="D339" s="492"/>
    </row>
    <row r="340" spans="1:4" ht="13.9" customHeight="1">
      <c r="A340" s="486"/>
      <c r="B340" s="487"/>
      <c r="D340" s="492"/>
    </row>
    <row r="341" spans="1:4" ht="13.9" customHeight="1">
      <c r="A341" s="486"/>
      <c r="B341" s="487"/>
      <c r="D341" s="492"/>
    </row>
    <row r="342" spans="1:4" ht="13.9" customHeight="1">
      <c r="A342" s="486"/>
      <c r="B342" s="487"/>
      <c r="D342" s="492"/>
    </row>
    <row r="343" spans="1:4" ht="13.9" customHeight="1">
      <c r="A343" s="486"/>
      <c r="B343" s="487"/>
      <c r="D343" s="492"/>
    </row>
    <row r="344" spans="1:4" ht="13.9" customHeight="1">
      <c r="A344" s="486"/>
      <c r="B344" s="487"/>
      <c r="D344" s="492"/>
    </row>
    <row r="345" spans="1:4" ht="13.9" customHeight="1">
      <c r="A345" s="486"/>
      <c r="B345" s="487"/>
      <c r="D345" s="492"/>
    </row>
    <row r="346" spans="1:4" ht="13.9" customHeight="1">
      <c r="A346" s="486"/>
      <c r="B346" s="487"/>
      <c r="D346" s="492"/>
    </row>
    <row r="347" spans="1:4" ht="13.9" customHeight="1">
      <c r="A347" s="486"/>
      <c r="B347" s="487"/>
      <c r="D347" s="492"/>
    </row>
    <row r="348" spans="1:4" ht="13.9" customHeight="1">
      <c r="A348" s="486"/>
      <c r="B348" s="487"/>
      <c r="D348" s="492"/>
    </row>
    <row r="349" spans="1:4" ht="13.9" customHeight="1">
      <c r="A349" s="486"/>
      <c r="B349" s="487"/>
      <c r="D349" s="492"/>
    </row>
    <row r="350" spans="1:4" ht="13.9" customHeight="1">
      <c r="A350" s="486"/>
      <c r="B350" s="487"/>
      <c r="D350" s="492"/>
    </row>
    <row r="351" spans="1:4" ht="13.9" customHeight="1">
      <c r="A351" s="486"/>
      <c r="B351" s="487"/>
      <c r="D351" s="492"/>
    </row>
    <row r="352" spans="1:4" ht="13.9" customHeight="1">
      <c r="A352" s="486"/>
      <c r="B352" s="487"/>
      <c r="D352" s="492"/>
    </row>
    <row r="353" spans="1:4" ht="13.9" customHeight="1">
      <c r="A353" s="486"/>
      <c r="B353" s="487"/>
      <c r="D353" s="492"/>
    </row>
    <row r="354" spans="1:4" ht="13.9" customHeight="1">
      <c r="A354" s="486"/>
      <c r="B354" s="487"/>
      <c r="D354" s="492"/>
    </row>
    <row r="355" spans="1:4" ht="13.9" customHeight="1">
      <c r="A355" s="486"/>
      <c r="B355" s="487"/>
      <c r="D355" s="492"/>
    </row>
    <row r="356" spans="1:4" ht="13.9" customHeight="1">
      <c r="A356" s="486"/>
      <c r="B356" s="487"/>
      <c r="D356" s="492"/>
    </row>
    <row r="357" spans="1:4" ht="13.9" customHeight="1">
      <c r="A357" s="486"/>
      <c r="B357" s="487"/>
      <c r="D357" s="492"/>
    </row>
    <row r="358" spans="1:4" ht="13.9" customHeight="1">
      <c r="A358" s="486"/>
      <c r="B358" s="487"/>
      <c r="D358" s="492"/>
    </row>
    <row r="359" spans="1:4" ht="13.9" customHeight="1">
      <c r="A359" s="486"/>
      <c r="B359" s="487"/>
      <c r="D359" s="492"/>
    </row>
    <row r="360" spans="1:4" ht="13.9" customHeight="1">
      <c r="A360" s="486"/>
      <c r="B360" s="487"/>
      <c r="D360" s="492"/>
    </row>
    <row r="361" spans="1:4" ht="13.9" customHeight="1">
      <c r="A361" s="486"/>
      <c r="B361" s="487"/>
      <c r="D361" s="492"/>
    </row>
    <row r="362" spans="1:4" ht="13.9" customHeight="1">
      <c r="A362" s="486"/>
      <c r="B362" s="487"/>
      <c r="D362" s="492"/>
    </row>
    <row r="363" spans="1:4" ht="13.9" customHeight="1">
      <c r="A363" s="486"/>
      <c r="B363" s="487"/>
      <c r="D363" s="492"/>
    </row>
    <row r="364" spans="1:4" ht="13.9" customHeight="1">
      <c r="A364" s="486"/>
      <c r="B364" s="487"/>
      <c r="D364" s="492"/>
    </row>
    <row r="365" spans="1:4" ht="13.9" customHeight="1">
      <c r="A365" s="486"/>
      <c r="B365" s="487"/>
      <c r="D365" s="492"/>
    </row>
    <row r="366" spans="1:4" ht="13.9" customHeight="1">
      <c r="A366" s="486"/>
      <c r="B366" s="487"/>
      <c r="D366" s="492"/>
    </row>
    <row r="367" spans="1:4" ht="13.9" customHeight="1">
      <c r="A367" s="486"/>
      <c r="B367" s="487"/>
      <c r="D367" s="492"/>
    </row>
    <row r="368" spans="1:4" ht="13.9" customHeight="1">
      <c r="A368" s="486"/>
      <c r="B368" s="487"/>
      <c r="D368" s="492"/>
    </row>
    <row r="369" spans="1:4" ht="13.9" customHeight="1">
      <c r="A369" s="486"/>
      <c r="B369" s="487"/>
      <c r="D369" s="492"/>
    </row>
    <row r="370" spans="1:4" ht="13.9" customHeight="1">
      <c r="A370" s="486"/>
      <c r="B370" s="487"/>
      <c r="D370" s="492"/>
    </row>
    <row r="371" spans="1:4" ht="13.9" customHeight="1">
      <c r="A371" s="486"/>
      <c r="B371" s="487"/>
      <c r="D371" s="492"/>
    </row>
    <row r="372" spans="1:4" ht="13.9" customHeight="1">
      <c r="A372" s="486"/>
      <c r="B372" s="487"/>
      <c r="D372" s="492"/>
    </row>
    <row r="373" spans="1:4" ht="13.9" customHeight="1">
      <c r="A373" s="486"/>
      <c r="B373" s="487"/>
      <c r="D373" s="492"/>
    </row>
    <row r="374" spans="1:4" ht="13.9" customHeight="1">
      <c r="A374" s="486"/>
      <c r="B374" s="487"/>
      <c r="D374" s="492"/>
    </row>
    <row r="375" spans="1:4" ht="13.9" customHeight="1">
      <c r="A375" s="486"/>
      <c r="B375" s="487"/>
      <c r="D375" s="492"/>
    </row>
    <row r="376" spans="1:4" ht="13.9" customHeight="1">
      <c r="A376" s="486"/>
      <c r="B376" s="487"/>
      <c r="D376" s="492"/>
    </row>
    <row r="377" spans="1:4" ht="13.9" customHeight="1">
      <c r="A377" s="486"/>
      <c r="B377" s="487"/>
      <c r="D377" s="492"/>
    </row>
    <row r="378" spans="1:4" ht="13.9" customHeight="1">
      <c r="A378" s="486"/>
      <c r="B378" s="487"/>
      <c r="D378" s="492"/>
    </row>
    <row r="379" spans="1:4" ht="13.9" customHeight="1">
      <c r="A379" s="486"/>
      <c r="B379" s="487"/>
      <c r="D379" s="492"/>
    </row>
    <row r="380" spans="1:4" ht="13.9" customHeight="1">
      <c r="A380" s="486"/>
      <c r="B380" s="487"/>
      <c r="D380" s="492"/>
    </row>
    <row r="381" spans="1:4" ht="13.9" customHeight="1">
      <c r="A381" s="486"/>
      <c r="B381" s="487"/>
      <c r="D381" s="492"/>
    </row>
    <row r="382" spans="1:4" ht="13.9" customHeight="1">
      <c r="A382" s="486"/>
      <c r="B382" s="487"/>
      <c r="D382" s="492"/>
    </row>
    <row r="383" spans="1:4" ht="13.9" customHeight="1">
      <c r="A383" s="486"/>
      <c r="B383" s="487"/>
      <c r="D383" s="492"/>
    </row>
    <row r="384" spans="1:4" ht="13.9" customHeight="1">
      <c r="A384" s="486"/>
      <c r="B384" s="487"/>
      <c r="D384" s="492"/>
    </row>
    <row r="385" spans="1:4" ht="13.9" customHeight="1">
      <c r="A385" s="486"/>
      <c r="B385" s="487"/>
      <c r="D385" s="492"/>
    </row>
    <row r="386" spans="1:4" ht="13.9" customHeight="1">
      <c r="A386" s="486"/>
      <c r="B386" s="487"/>
      <c r="D386" s="492"/>
    </row>
    <row r="387" spans="1:4" ht="13.9" customHeight="1">
      <c r="A387" s="486"/>
      <c r="B387" s="487"/>
      <c r="D387" s="492"/>
    </row>
    <row r="388" spans="1:4" ht="13.9" customHeight="1">
      <c r="A388" s="486"/>
      <c r="B388" s="487"/>
      <c r="D388" s="492"/>
    </row>
    <row r="389" spans="1:4" ht="13.9" customHeight="1">
      <c r="A389" s="486"/>
      <c r="B389" s="487"/>
      <c r="D389" s="492"/>
    </row>
    <row r="390" spans="1:4" ht="13.9" customHeight="1">
      <c r="A390" s="486"/>
      <c r="B390" s="487"/>
      <c r="D390" s="492"/>
    </row>
    <row r="391" spans="1:4" ht="13.9" customHeight="1">
      <c r="A391" s="486"/>
      <c r="B391" s="487"/>
      <c r="D391" s="492"/>
    </row>
    <row r="392" spans="1:4" ht="13.9" customHeight="1">
      <c r="A392" s="486"/>
      <c r="B392" s="487"/>
      <c r="D392" s="492"/>
    </row>
    <row r="393" spans="1:4" ht="13.9" customHeight="1">
      <c r="A393" s="486"/>
      <c r="B393" s="487"/>
      <c r="D393" s="492"/>
    </row>
    <row r="394" spans="1:4" ht="13.9" customHeight="1">
      <c r="A394" s="486"/>
      <c r="B394" s="487"/>
      <c r="D394" s="492"/>
    </row>
    <row r="395" spans="1:4" ht="13.9" customHeight="1">
      <c r="A395" s="486"/>
      <c r="B395" s="487"/>
      <c r="D395" s="492"/>
    </row>
    <row r="396" spans="1:4" ht="13.9" customHeight="1">
      <c r="A396" s="486"/>
      <c r="B396" s="487"/>
      <c r="D396" s="492"/>
    </row>
    <row r="397" spans="1:4" ht="13.9" customHeight="1">
      <c r="A397" s="486"/>
      <c r="B397" s="487"/>
      <c r="D397" s="492"/>
    </row>
    <row r="398" spans="1:4" ht="13.9" customHeight="1">
      <c r="A398" s="486"/>
      <c r="B398" s="487"/>
      <c r="D398" s="492"/>
    </row>
    <row r="399" spans="1:4" ht="13.9" customHeight="1">
      <c r="A399" s="486"/>
      <c r="B399" s="487"/>
      <c r="D399" s="492"/>
    </row>
    <row r="400" spans="1:4" ht="13.9" customHeight="1">
      <c r="A400" s="486"/>
      <c r="B400" s="487"/>
      <c r="D400" s="492"/>
    </row>
    <row r="401" spans="1:4" ht="13.9" customHeight="1">
      <c r="A401" s="486"/>
      <c r="B401" s="487"/>
      <c r="D401" s="492"/>
    </row>
    <row r="402" spans="1:4" ht="13.9" customHeight="1">
      <c r="A402" s="486"/>
      <c r="B402" s="487"/>
      <c r="D402" s="492"/>
    </row>
    <row r="403" spans="1:4" ht="13.9" customHeight="1">
      <c r="A403" s="486"/>
      <c r="B403" s="487"/>
      <c r="D403" s="492"/>
    </row>
    <row r="404" spans="1:4" ht="13.9" customHeight="1">
      <c r="A404" s="486"/>
      <c r="B404" s="487"/>
      <c r="D404" s="492"/>
    </row>
    <row r="405" spans="1:4" ht="13.9" customHeight="1">
      <c r="A405" s="486"/>
      <c r="B405" s="487"/>
      <c r="D405" s="492"/>
    </row>
    <row r="406" spans="1:4" ht="13.9" customHeight="1">
      <c r="A406" s="486"/>
      <c r="B406" s="487"/>
      <c r="D406" s="492"/>
    </row>
    <row r="407" spans="1:4" ht="13.9" customHeight="1">
      <c r="A407" s="486"/>
      <c r="B407" s="487"/>
      <c r="D407" s="492"/>
    </row>
    <row r="408" spans="1:4" ht="13.9" customHeight="1">
      <c r="A408" s="486"/>
      <c r="B408" s="487"/>
      <c r="D408" s="492"/>
    </row>
    <row r="409" spans="1:4" ht="13.9" customHeight="1">
      <c r="A409" s="486"/>
      <c r="B409" s="487"/>
      <c r="D409" s="492"/>
    </row>
    <row r="410" spans="1:4" ht="13.9" customHeight="1">
      <c r="A410" s="486"/>
      <c r="B410" s="487"/>
      <c r="D410" s="492"/>
    </row>
    <row r="411" spans="1:4" ht="13.9" customHeight="1">
      <c r="A411" s="486"/>
      <c r="B411" s="487"/>
      <c r="D411" s="492"/>
    </row>
    <row r="412" spans="1:4" ht="13.9" customHeight="1">
      <c r="A412" s="486"/>
      <c r="B412" s="487"/>
      <c r="D412" s="492"/>
    </row>
    <row r="413" spans="1:4" ht="13.9" customHeight="1">
      <c r="A413" s="486"/>
      <c r="B413" s="487"/>
      <c r="D413" s="492"/>
    </row>
    <row r="414" spans="1:4" ht="13.9" customHeight="1">
      <c r="A414" s="486"/>
      <c r="B414" s="487"/>
      <c r="D414" s="492"/>
    </row>
    <row r="415" spans="1:4" ht="13.9" customHeight="1">
      <c r="A415" s="486"/>
      <c r="B415" s="487"/>
      <c r="D415" s="492"/>
    </row>
    <row r="416" spans="1:4" ht="13.9" customHeight="1">
      <c r="A416" s="486"/>
      <c r="B416" s="487"/>
      <c r="D416" s="492"/>
    </row>
    <row r="417" spans="1:4" ht="13.9" customHeight="1">
      <c r="A417" s="486"/>
      <c r="B417" s="487"/>
      <c r="D417" s="492"/>
    </row>
    <row r="418" spans="1:4" ht="13.9" customHeight="1">
      <c r="A418" s="486"/>
      <c r="B418" s="487"/>
      <c r="D418" s="492"/>
    </row>
    <row r="419" spans="1:4" ht="13.9" customHeight="1">
      <c r="A419" s="486"/>
      <c r="B419" s="487"/>
      <c r="D419" s="492"/>
    </row>
    <row r="420" spans="1:4" ht="13.9" customHeight="1">
      <c r="A420" s="486"/>
      <c r="B420" s="487"/>
      <c r="D420" s="492"/>
    </row>
    <row r="421" spans="1:4" ht="13.9" customHeight="1">
      <c r="A421" s="486"/>
      <c r="B421" s="487"/>
      <c r="D421" s="492"/>
    </row>
    <row r="422" spans="1:4" ht="13.9" customHeight="1">
      <c r="A422" s="486"/>
      <c r="B422" s="487"/>
      <c r="D422" s="492"/>
    </row>
    <row r="423" spans="1:4" ht="13.9" customHeight="1">
      <c r="A423" s="486"/>
      <c r="B423" s="487"/>
      <c r="D423" s="492"/>
    </row>
    <row r="424" spans="1:4" ht="13.9" customHeight="1">
      <c r="A424" s="486"/>
      <c r="B424" s="487"/>
      <c r="D424" s="492"/>
    </row>
    <row r="425" spans="1:4" ht="13.9" customHeight="1">
      <c r="A425" s="486"/>
      <c r="B425" s="487"/>
      <c r="D425" s="492"/>
    </row>
    <row r="426" spans="1:4" ht="13.9" customHeight="1">
      <c r="A426" s="486"/>
      <c r="B426" s="487"/>
      <c r="D426" s="492"/>
    </row>
    <row r="427" spans="1:4" ht="13.9" customHeight="1">
      <c r="A427" s="486"/>
      <c r="B427" s="487"/>
      <c r="D427" s="492"/>
    </row>
    <row r="428" spans="1:4" ht="13.9" customHeight="1">
      <c r="A428" s="486"/>
      <c r="B428" s="487"/>
      <c r="D428" s="492"/>
    </row>
    <row r="429" spans="1:4" ht="13.9" customHeight="1">
      <c r="A429" s="486"/>
      <c r="B429" s="487"/>
      <c r="D429" s="492"/>
    </row>
    <row r="430" spans="1:4" ht="13.9" customHeight="1">
      <c r="A430" s="486"/>
      <c r="B430" s="487"/>
      <c r="D430" s="492"/>
    </row>
    <row r="431" spans="1:4" ht="13.9" customHeight="1">
      <c r="A431" s="486"/>
      <c r="B431" s="487"/>
      <c r="D431" s="492"/>
    </row>
    <row r="432" spans="1:4" ht="13.9" customHeight="1">
      <c r="A432" s="486"/>
      <c r="B432" s="487"/>
      <c r="D432" s="492"/>
    </row>
    <row r="433" spans="1:4" ht="13.9" customHeight="1">
      <c r="A433" s="486"/>
      <c r="B433" s="487"/>
      <c r="D433" s="492"/>
    </row>
    <row r="434" spans="1:4" ht="13.9" customHeight="1">
      <c r="A434" s="486"/>
      <c r="B434" s="487"/>
      <c r="D434" s="492"/>
    </row>
    <row r="435" spans="1:4" ht="13.9" customHeight="1">
      <c r="A435" s="486"/>
      <c r="B435" s="487"/>
      <c r="D435" s="492"/>
    </row>
    <row r="436" spans="1:4" ht="13.9" customHeight="1">
      <c r="A436" s="486"/>
      <c r="B436" s="487"/>
      <c r="D436" s="492"/>
    </row>
    <row r="437" spans="1:4" ht="13.9" customHeight="1">
      <c r="A437" s="486"/>
      <c r="B437" s="487"/>
      <c r="D437" s="492"/>
    </row>
    <row r="438" spans="1:4" ht="13.9" customHeight="1">
      <c r="A438" s="486"/>
      <c r="B438" s="487"/>
      <c r="D438" s="492"/>
    </row>
    <row r="439" spans="1:4" ht="13.9" customHeight="1">
      <c r="A439" s="486"/>
      <c r="B439" s="487"/>
      <c r="D439" s="492"/>
    </row>
    <row r="440" spans="1:4" ht="13.9" customHeight="1">
      <c r="A440" s="486"/>
      <c r="B440" s="487"/>
      <c r="D440" s="492"/>
    </row>
    <row r="441" spans="1:4" ht="13.9" customHeight="1">
      <c r="A441" s="486"/>
      <c r="B441" s="487"/>
      <c r="D441" s="492"/>
    </row>
    <row r="442" spans="1:4" ht="13.9" customHeight="1">
      <c r="A442" s="486"/>
      <c r="B442" s="487"/>
      <c r="D442" s="492"/>
    </row>
    <row r="443" spans="1:4" ht="13.9" customHeight="1">
      <c r="A443" s="486"/>
      <c r="B443" s="487"/>
      <c r="D443" s="492"/>
    </row>
    <row r="444" spans="1:4" ht="13.9" customHeight="1">
      <c r="A444" s="486"/>
      <c r="B444" s="487"/>
      <c r="D444" s="492"/>
    </row>
    <row r="445" spans="1:4" ht="13.9" customHeight="1">
      <c r="A445" s="486"/>
      <c r="B445" s="487"/>
      <c r="D445" s="492"/>
    </row>
    <row r="446" spans="1:4" ht="13.9" customHeight="1">
      <c r="A446" s="486"/>
      <c r="B446" s="487"/>
      <c r="D446" s="492"/>
    </row>
    <row r="447" spans="1:4" ht="13.9" customHeight="1">
      <c r="A447" s="486"/>
      <c r="B447" s="487"/>
      <c r="D447" s="492"/>
    </row>
    <row r="448" spans="1:4" ht="13.9" customHeight="1">
      <c r="A448" s="486"/>
      <c r="B448" s="487"/>
      <c r="D448" s="492"/>
    </row>
    <row r="449" spans="1:4" ht="13.9" customHeight="1">
      <c r="A449" s="486"/>
      <c r="B449" s="487"/>
      <c r="D449" s="492"/>
    </row>
    <row r="450" spans="1:4" ht="13.9" customHeight="1">
      <c r="A450" s="486"/>
      <c r="B450" s="487"/>
      <c r="D450" s="492"/>
    </row>
    <row r="451" spans="1:4" ht="13.9" customHeight="1">
      <c r="A451" s="486"/>
      <c r="B451" s="487"/>
      <c r="D451" s="492"/>
    </row>
    <row r="452" spans="1:4" ht="13.9" customHeight="1">
      <c r="A452" s="486"/>
      <c r="B452" s="487"/>
      <c r="D452" s="492"/>
    </row>
    <row r="453" spans="1:4" ht="13.9" customHeight="1">
      <c r="A453" s="486"/>
      <c r="B453" s="487"/>
      <c r="D453" s="492"/>
    </row>
    <row r="454" spans="1:4" ht="13.9" customHeight="1">
      <c r="A454" s="486"/>
      <c r="B454" s="487"/>
      <c r="D454" s="492"/>
    </row>
    <row r="455" spans="1:4" ht="13.9" customHeight="1">
      <c r="A455" s="486"/>
      <c r="B455" s="487"/>
      <c r="D455" s="492"/>
    </row>
    <row r="456" spans="1:4" ht="13.9" customHeight="1">
      <c r="A456" s="486"/>
      <c r="B456" s="487"/>
      <c r="D456" s="492"/>
    </row>
    <row r="457" spans="1:4" ht="13.9" customHeight="1">
      <c r="A457" s="486"/>
      <c r="B457" s="487"/>
      <c r="D457" s="492"/>
    </row>
    <row r="458" spans="1:4" ht="13.9" customHeight="1">
      <c r="A458" s="486"/>
      <c r="B458" s="487"/>
      <c r="D458" s="492"/>
    </row>
    <row r="459" spans="1:4" ht="13.9" customHeight="1">
      <c r="A459" s="486"/>
      <c r="B459" s="487"/>
      <c r="D459" s="492"/>
    </row>
    <row r="460" spans="1:4" ht="13.9" customHeight="1">
      <c r="A460" s="486"/>
      <c r="B460" s="487"/>
      <c r="D460" s="492"/>
    </row>
    <row r="461" spans="1:4" ht="13.9" customHeight="1">
      <c r="A461" s="486"/>
      <c r="B461" s="487"/>
      <c r="D461" s="492"/>
    </row>
    <row r="462" spans="1:4" ht="13.9" customHeight="1">
      <c r="A462" s="486"/>
      <c r="B462" s="487"/>
      <c r="D462" s="492"/>
    </row>
    <row r="463" spans="1:4" ht="13.9" customHeight="1">
      <c r="A463" s="486"/>
      <c r="B463" s="487"/>
      <c r="D463" s="492"/>
    </row>
    <row r="464" spans="1:4" ht="13.9" customHeight="1">
      <c r="A464" s="486"/>
      <c r="B464" s="487"/>
      <c r="D464" s="492"/>
    </row>
    <row r="465" spans="1:4" ht="13.9" customHeight="1">
      <c r="A465" s="486"/>
      <c r="B465" s="487"/>
      <c r="D465" s="492"/>
    </row>
    <row r="466" spans="1:4" ht="13.9" customHeight="1">
      <c r="A466" s="486"/>
      <c r="B466" s="487"/>
      <c r="D466" s="492"/>
    </row>
    <row r="467" spans="1:4" ht="13.9" customHeight="1">
      <c r="A467" s="486"/>
      <c r="B467" s="487"/>
      <c r="D467" s="492"/>
    </row>
    <row r="468" spans="1:4" ht="13.9" customHeight="1">
      <c r="A468" s="486"/>
      <c r="B468" s="487"/>
      <c r="D468" s="492"/>
    </row>
    <row r="469" spans="1:4" ht="13.9" customHeight="1">
      <c r="A469" s="486"/>
      <c r="B469" s="487"/>
      <c r="D469" s="492"/>
    </row>
    <row r="470" spans="1:4" ht="13.9" customHeight="1">
      <c r="A470" s="486"/>
      <c r="B470" s="487"/>
      <c r="D470" s="492"/>
    </row>
    <row r="471" spans="1:4" ht="13.9" customHeight="1">
      <c r="A471" s="486"/>
      <c r="B471" s="487"/>
      <c r="D471" s="492"/>
    </row>
    <row r="472" spans="1:4" ht="13.9" customHeight="1">
      <c r="A472" s="486"/>
      <c r="B472" s="487"/>
      <c r="D472" s="492"/>
    </row>
    <row r="473" spans="1:4" ht="13.9" customHeight="1">
      <c r="A473" s="486"/>
      <c r="B473" s="487"/>
      <c r="D473" s="492"/>
    </row>
    <row r="474" spans="1:4" ht="13.9" customHeight="1">
      <c r="A474" s="486"/>
      <c r="B474" s="487"/>
      <c r="D474" s="492"/>
    </row>
    <row r="475" spans="1:4" ht="13.9" customHeight="1">
      <c r="A475" s="486"/>
      <c r="B475" s="487"/>
      <c r="D475" s="492"/>
    </row>
    <row r="476" spans="1:4" ht="13.9" customHeight="1">
      <c r="A476" s="486"/>
      <c r="B476" s="487"/>
      <c r="D476" s="492"/>
    </row>
    <row r="477" spans="1:4" ht="13.9" customHeight="1">
      <c r="A477" s="486"/>
      <c r="B477" s="487"/>
      <c r="D477" s="492"/>
    </row>
    <row r="478" spans="1:4" ht="13.9" customHeight="1">
      <c r="A478" s="486"/>
      <c r="B478" s="487"/>
      <c r="D478" s="492"/>
    </row>
    <row r="479" spans="1:4" ht="13.9" customHeight="1">
      <c r="A479" s="486"/>
      <c r="B479" s="487"/>
      <c r="D479" s="492"/>
    </row>
    <row r="480" spans="1:4" ht="13.9" customHeight="1">
      <c r="A480" s="486"/>
      <c r="B480" s="487"/>
      <c r="D480" s="492"/>
    </row>
    <row r="481" spans="1:4" ht="13.9" customHeight="1">
      <c r="A481" s="486"/>
      <c r="B481" s="487"/>
      <c r="D481" s="492"/>
    </row>
    <row r="482" spans="1:4" ht="13.9" customHeight="1">
      <c r="A482" s="486"/>
      <c r="B482" s="487"/>
      <c r="D482" s="492"/>
    </row>
    <row r="483" spans="1:4" ht="13.9" customHeight="1">
      <c r="A483" s="486"/>
      <c r="B483" s="487"/>
      <c r="D483" s="492"/>
    </row>
    <row r="484" spans="1:4" ht="13.9" customHeight="1">
      <c r="A484" s="486"/>
      <c r="B484" s="487"/>
      <c r="D484" s="492"/>
    </row>
    <row r="485" spans="1:4" ht="13.9" customHeight="1">
      <c r="A485" s="486"/>
      <c r="B485" s="487"/>
      <c r="D485" s="492"/>
    </row>
    <row r="486" spans="1:4" ht="13.9" customHeight="1">
      <c r="A486" s="486"/>
      <c r="B486" s="487"/>
      <c r="D486" s="492"/>
    </row>
    <row r="487" spans="1:4" ht="13.9" customHeight="1">
      <c r="A487" s="486"/>
      <c r="B487" s="487"/>
      <c r="D487" s="492"/>
    </row>
    <row r="488" spans="1:4" ht="13.9" customHeight="1">
      <c r="A488" s="486"/>
      <c r="B488" s="487"/>
      <c r="D488" s="492"/>
    </row>
    <row r="489" spans="1:4" ht="13.9" customHeight="1">
      <c r="A489" s="486"/>
      <c r="B489" s="487"/>
      <c r="D489" s="492"/>
    </row>
    <row r="490" spans="1:4" ht="13.9" customHeight="1">
      <c r="A490" s="486"/>
      <c r="B490" s="487"/>
      <c r="D490" s="492"/>
    </row>
    <row r="491" spans="1:4" ht="13.9" customHeight="1">
      <c r="A491" s="486"/>
      <c r="B491" s="487"/>
      <c r="D491" s="492"/>
    </row>
    <row r="492" spans="1:4" ht="13.9" customHeight="1">
      <c r="A492" s="486"/>
      <c r="B492" s="487"/>
      <c r="D492" s="492"/>
    </row>
    <row r="493" spans="1:4" ht="13.9" customHeight="1">
      <c r="A493" s="486"/>
      <c r="B493" s="487"/>
      <c r="D493" s="492"/>
    </row>
    <row r="494" spans="1:4" ht="13.9" customHeight="1">
      <c r="A494" s="486"/>
      <c r="B494" s="487"/>
      <c r="D494" s="492"/>
    </row>
    <row r="495" spans="1:4" ht="13.9" customHeight="1">
      <c r="A495" s="486"/>
      <c r="B495" s="487"/>
      <c r="D495" s="492"/>
    </row>
    <row r="496" spans="1:4" ht="13.9" customHeight="1">
      <c r="A496" s="486"/>
      <c r="B496" s="487"/>
      <c r="D496" s="492"/>
    </row>
    <row r="497" spans="1:4" ht="13.9" customHeight="1">
      <c r="A497" s="486"/>
      <c r="B497" s="487"/>
      <c r="D497" s="492"/>
    </row>
    <row r="498" spans="1:4" ht="13.9" customHeight="1">
      <c r="A498" s="486"/>
      <c r="B498" s="487"/>
      <c r="D498" s="492"/>
    </row>
    <row r="499" spans="1:4" ht="13.9" customHeight="1">
      <c r="A499" s="486"/>
      <c r="B499" s="487"/>
      <c r="D499" s="492"/>
    </row>
    <row r="500" spans="1:4" ht="13.9" customHeight="1">
      <c r="A500" s="486"/>
      <c r="B500" s="487"/>
      <c r="D500" s="492"/>
    </row>
    <row r="501" spans="1:4" ht="13.9" customHeight="1">
      <c r="A501" s="486"/>
      <c r="B501" s="487"/>
      <c r="D501" s="492"/>
    </row>
    <row r="502" spans="1:4" ht="13.9" customHeight="1">
      <c r="A502" s="486"/>
      <c r="B502" s="487"/>
      <c r="D502" s="492"/>
    </row>
    <row r="503" spans="1:4" ht="13.9" customHeight="1">
      <c r="A503" s="486"/>
      <c r="B503" s="487"/>
      <c r="D503" s="492"/>
    </row>
    <row r="504" spans="1:4" ht="13.9" customHeight="1">
      <c r="A504" s="486"/>
      <c r="B504" s="487"/>
      <c r="D504" s="492"/>
    </row>
    <row r="505" spans="1:4" ht="13.9" customHeight="1">
      <c r="A505" s="486"/>
      <c r="B505" s="487"/>
      <c r="D505" s="492"/>
    </row>
    <row r="506" spans="1:4" ht="13.9" customHeight="1">
      <c r="A506" s="486"/>
      <c r="B506" s="487"/>
      <c r="D506" s="492"/>
    </row>
    <row r="507" spans="1:4" ht="13.9" customHeight="1">
      <c r="A507" s="486"/>
      <c r="B507" s="487"/>
      <c r="D507" s="492"/>
    </row>
    <row r="508" spans="1:4" ht="13.9" customHeight="1">
      <c r="A508" s="486"/>
      <c r="B508" s="487"/>
      <c r="D508" s="492"/>
    </row>
    <row r="509" spans="1:4" ht="13.9" customHeight="1">
      <c r="A509" s="486"/>
      <c r="B509" s="487"/>
      <c r="D509" s="492"/>
    </row>
    <row r="510" spans="1:4" ht="13.9" customHeight="1">
      <c r="A510" s="486"/>
      <c r="B510" s="487"/>
      <c r="D510" s="492"/>
    </row>
    <row r="511" spans="1:4" ht="13.9" customHeight="1">
      <c r="A511" s="486"/>
      <c r="B511" s="487"/>
      <c r="D511" s="492"/>
    </row>
    <row r="512" spans="1:4" ht="13.9" customHeight="1">
      <c r="A512" s="486"/>
      <c r="B512" s="487"/>
      <c r="D512" s="492"/>
    </row>
    <row r="513" spans="1:4" ht="13.9" customHeight="1">
      <c r="A513" s="486"/>
      <c r="B513" s="487"/>
      <c r="D513" s="492"/>
    </row>
    <row r="514" spans="1:4" ht="13.9" customHeight="1">
      <c r="A514" s="486"/>
      <c r="B514" s="487"/>
      <c r="D514" s="492"/>
    </row>
    <row r="515" spans="1:4" ht="13.9" customHeight="1">
      <c r="A515" s="486"/>
      <c r="B515" s="487"/>
      <c r="D515" s="492"/>
    </row>
    <row r="516" spans="1:4" ht="13.9" customHeight="1">
      <c r="A516" s="486"/>
      <c r="B516" s="487"/>
      <c r="D516" s="492"/>
    </row>
    <row r="517" spans="1:4" ht="13.9" customHeight="1">
      <c r="A517" s="486"/>
      <c r="B517" s="487"/>
      <c r="D517" s="492"/>
    </row>
    <row r="518" spans="1:4" ht="13.9" customHeight="1">
      <c r="A518" s="486"/>
      <c r="B518" s="487"/>
      <c r="D518" s="492"/>
    </row>
    <row r="519" spans="1:4" ht="13.9" customHeight="1">
      <c r="A519" s="486"/>
      <c r="B519" s="487"/>
      <c r="D519" s="492"/>
    </row>
    <row r="520" spans="1:4" ht="13.9" customHeight="1">
      <c r="A520" s="486"/>
      <c r="B520" s="487"/>
      <c r="D520" s="492"/>
    </row>
    <row r="521" spans="1:4" ht="13.9" customHeight="1">
      <c r="A521" s="486"/>
      <c r="B521" s="487"/>
      <c r="D521" s="492"/>
    </row>
    <row r="522" spans="1:4" ht="13.9" customHeight="1">
      <c r="A522" s="486"/>
      <c r="B522" s="487"/>
      <c r="D522" s="492"/>
    </row>
    <row r="523" spans="1:4" ht="13.9" customHeight="1">
      <c r="A523" s="486"/>
      <c r="B523" s="487"/>
      <c r="D523" s="492"/>
    </row>
    <row r="524" spans="1:4" ht="13.9" customHeight="1">
      <c r="A524" s="486"/>
      <c r="B524" s="487"/>
      <c r="D524" s="492"/>
    </row>
    <row r="525" spans="1:4" ht="13.9" customHeight="1">
      <c r="A525" s="486"/>
      <c r="B525" s="487"/>
      <c r="D525" s="492"/>
    </row>
    <row r="526" spans="1:4" ht="13.9" customHeight="1">
      <c r="A526" s="486"/>
      <c r="B526" s="487"/>
      <c r="D526" s="492"/>
    </row>
    <row r="527" spans="1:4" ht="13.9" customHeight="1">
      <c r="A527" s="486"/>
      <c r="B527" s="487"/>
      <c r="D527" s="492"/>
    </row>
    <row r="528" spans="1:4" ht="13.9" customHeight="1">
      <c r="A528" s="486"/>
      <c r="B528" s="487"/>
      <c r="D528" s="492"/>
    </row>
    <row r="529" spans="1:4" ht="13.9" customHeight="1">
      <c r="A529" s="486"/>
      <c r="B529" s="487"/>
      <c r="D529" s="492"/>
    </row>
    <row r="530" spans="1:4" ht="13.9" customHeight="1">
      <c r="A530" s="486"/>
      <c r="B530" s="487"/>
      <c r="D530" s="492"/>
    </row>
    <row r="531" spans="1:4" ht="13.9" customHeight="1">
      <c r="A531" s="486"/>
      <c r="B531" s="487"/>
      <c r="D531" s="492"/>
    </row>
    <row r="532" spans="1:4" ht="13.9" customHeight="1">
      <c r="A532" s="486"/>
      <c r="B532" s="487"/>
      <c r="D532" s="492"/>
    </row>
    <row r="533" spans="1:4" ht="13.9" customHeight="1">
      <c r="A533" s="486"/>
      <c r="B533" s="487"/>
      <c r="D533" s="492"/>
    </row>
    <row r="534" spans="1:4" ht="13.9" customHeight="1">
      <c r="A534" s="486"/>
      <c r="B534" s="487"/>
      <c r="D534" s="492"/>
    </row>
    <row r="535" spans="1:4" ht="13.9" customHeight="1">
      <c r="A535" s="486"/>
      <c r="B535" s="487"/>
      <c r="D535" s="492"/>
    </row>
    <row r="536" spans="1:4" ht="13.9" customHeight="1">
      <c r="A536" s="486"/>
      <c r="B536" s="487"/>
      <c r="D536" s="492"/>
    </row>
    <row r="537" spans="1:4" ht="13.9" customHeight="1">
      <c r="A537" s="486"/>
      <c r="B537" s="487"/>
      <c r="D537" s="492"/>
    </row>
    <row r="538" spans="1:4" ht="13.9" customHeight="1">
      <c r="A538" s="486"/>
      <c r="B538" s="487"/>
      <c r="D538" s="492"/>
    </row>
    <row r="539" spans="1:4" ht="13.9" customHeight="1">
      <c r="A539" s="486"/>
      <c r="B539" s="487"/>
      <c r="D539" s="492"/>
    </row>
    <row r="540" spans="1:4" ht="13.9" customHeight="1">
      <c r="A540" s="486"/>
      <c r="B540" s="487"/>
      <c r="D540" s="492"/>
    </row>
    <row r="541" spans="1:4" ht="13.9" customHeight="1">
      <c r="A541" s="486"/>
      <c r="B541" s="487"/>
      <c r="D541" s="492"/>
    </row>
    <row r="542" spans="1:4" ht="13.9" customHeight="1">
      <c r="A542" s="486"/>
      <c r="B542" s="487"/>
      <c r="D542" s="492"/>
    </row>
    <row r="543" spans="1:4" ht="13.9" customHeight="1">
      <c r="A543" s="486"/>
      <c r="B543" s="487"/>
      <c r="D543" s="492"/>
    </row>
    <row r="544" spans="1:4" ht="13.9" customHeight="1">
      <c r="A544" s="486"/>
      <c r="B544" s="487"/>
      <c r="D544" s="492"/>
    </row>
    <row r="545" spans="1:4" ht="13.9" customHeight="1">
      <c r="A545" s="486"/>
      <c r="B545" s="487"/>
      <c r="D545" s="492"/>
    </row>
    <row r="546" spans="1:4" ht="13.9" customHeight="1">
      <c r="A546" s="486"/>
      <c r="B546" s="487"/>
      <c r="D546" s="492"/>
    </row>
    <row r="547" spans="1:4" ht="13.9" customHeight="1">
      <c r="A547" s="486"/>
      <c r="B547" s="487"/>
      <c r="D547" s="492"/>
    </row>
    <row r="548" spans="1:4" ht="13.9" customHeight="1">
      <c r="A548" s="486"/>
      <c r="B548" s="487"/>
      <c r="D548" s="492"/>
    </row>
    <row r="549" spans="1:4" ht="13.9" customHeight="1">
      <c r="A549" s="486"/>
      <c r="B549" s="487"/>
      <c r="D549" s="492"/>
    </row>
    <row r="550" spans="1:4" ht="13.9" customHeight="1">
      <c r="A550" s="486"/>
      <c r="B550" s="487"/>
      <c r="D550" s="492"/>
    </row>
    <row r="551" spans="1:4" ht="13.9" customHeight="1">
      <c r="A551" s="486"/>
      <c r="B551" s="487"/>
      <c r="D551" s="492"/>
    </row>
    <row r="552" spans="1:4" ht="13.9" customHeight="1">
      <c r="A552" s="486"/>
      <c r="B552" s="487"/>
      <c r="D552" s="492"/>
    </row>
    <row r="553" spans="1:4" ht="13.9" customHeight="1">
      <c r="A553" s="486"/>
      <c r="B553" s="487"/>
      <c r="D553" s="492"/>
    </row>
    <row r="554" spans="1:4" ht="13.9" customHeight="1">
      <c r="A554" s="486"/>
      <c r="B554" s="487"/>
      <c r="D554" s="492"/>
    </row>
    <row r="555" spans="1:4" ht="13.9" customHeight="1">
      <c r="A555" s="486"/>
      <c r="B555" s="487"/>
      <c r="D555" s="492"/>
    </row>
    <row r="556" spans="1:4" ht="13.9" customHeight="1">
      <c r="A556" s="486"/>
      <c r="B556" s="487"/>
      <c r="D556" s="492"/>
    </row>
    <row r="557" spans="1:4" ht="13.9" customHeight="1">
      <c r="A557" s="486"/>
      <c r="B557" s="487"/>
      <c r="D557" s="492"/>
    </row>
    <row r="558" spans="1:4" ht="13.9" customHeight="1">
      <c r="A558" s="486"/>
      <c r="B558" s="487"/>
      <c r="D558" s="492"/>
    </row>
    <row r="559" spans="1:4" ht="13.9" customHeight="1">
      <c r="A559" s="486"/>
      <c r="B559" s="487"/>
      <c r="D559" s="492"/>
    </row>
    <row r="560" spans="1:4" ht="13.9" customHeight="1">
      <c r="A560" s="486"/>
      <c r="B560" s="487"/>
      <c r="D560" s="492"/>
    </row>
    <row r="561" spans="1:4" ht="13.9" customHeight="1">
      <c r="A561" s="486"/>
      <c r="B561" s="487"/>
      <c r="D561" s="492"/>
    </row>
    <row r="562" spans="1:4" ht="13.9" customHeight="1">
      <c r="A562" s="486"/>
      <c r="B562" s="487"/>
      <c r="D562" s="492"/>
    </row>
    <row r="563" spans="1:4" ht="13.9" customHeight="1">
      <c r="A563" s="486"/>
      <c r="B563" s="487"/>
      <c r="D563" s="492"/>
    </row>
    <row r="564" spans="1:4" ht="13.9" customHeight="1">
      <c r="A564" s="486"/>
      <c r="B564" s="487"/>
      <c r="D564" s="492"/>
    </row>
    <row r="565" spans="1:4" ht="13.9" customHeight="1">
      <c r="A565" s="486"/>
      <c r="B565" s="487"/>
      <c r="D565" s="492"/>
    </row>
    <row r="566" spans="1:4" ht="13.9" customHeight="1">
      <c r="A566" s="486"/>
      <c r="B566" s="487"/>
      <c r="D566" s="492"/>
    </row>
    <row r="567" spans="1:4" ht="13.9" customHeight="1">
      <c r="A567" s="486"/>
      <c r="B567" s="487"/>
      <c r="D567" s="492"/>
    </row>
    <row r="568" spans="1:4" ht="13.9" customHeight="1">
      <c r="A568" s="486"/>
      <c r="B568" s="487"/>
      <c r="D568" s="492"/>
    </row>
    <row r="569" spans="1:4" ht="13.9" customHeight="1">
      <c r="A569" s="486"/>
      <c r="B569" s="487"/>
      <c r="D569" s="492"/>
    </row>
    <row r="570" spans="1:4" ht="13.9" customHeight="1">
      <c r="A570" s="486"/>
      <c r="B570" s="487"/>
      <c r="D570" s="492"/>
    </row>
    <row r="571" spans="1:4" ht="13.9" customHeight="1">
      <c r="A571" s="486"/>
      <c r="B571" s="487"/>
      <c r="D571" s="492"/>
    </row>
    <row r="572" spans="1:4" ht="13.9" customHeight="1">
      <c r="A572" s="486"/>
      <c r="B572" s="487"/>
      <c r="D572" s="492"/>
    </row>
    <row r="573" spans="1:4" ht="13.9" customHeight="1">
      <c r="A573" s="486"/>
      <c r="B573" s="487"/>
      <c r="D573" s="492"/>
    </row>
    <row r="574" spans="1:4" ht="13.9" customHeight="1">
      <c r="A574" s="486"/>
      <c r="B574" s="487"/>
      <c r="D574" s="492"/>
    </row>
    <row r="575" spans="1:4" ht="13.9" customHeight="1">
      <c r="A575" s="486"/>
      <c r="B575" s="487"/>
      <c r="D575" s="492"/>
    </row>
    <row r="576" spans="1:4" ht="13.9" customHeight="1">
      <c r="A576" s="486"/>
      <c r="B576" s="487"/>
      <c r="D576" s="492"/>
    </row>
    <row r="577" spans="1:4" ht="13.9" customHeight="1">
      <c r="A577" s="486"/>
      <c r="B577" s="487"/>
      <c r="D577" s="492"/>
    </row>
    <row r="578" spans="1:4" ht="13.9" customHeight="1">
      <c r="A578" s="486"/>
      <c r="B578" s="487"/>
      <c r="D578" s="492"/>
    </row>
    <row r="579" spans="1:4" ht="13.9" customHeight="1">
      <c r="A579" s="486"/>
      <c r="B579" s="487"/>
      <c r="D579" s="492"/>
    </row>
    <row r="580" spans="1:4" ht="13.9" customHeight="1">
      <c r="A580" s="486"/>
      <c r="B580" s="487"/>
      <c r="D580" s="492"/>
    </row>
    <row r="581" spans="1:4" ht="13.9" customHeight="1">
      <c r="A581" s="486"/>
      <c r="B581" s="487"/>
      <c r="D581" s="492"/>
    </row>
    <row r="582" spans="1:4" ht="13.9" customHeight="1">
      <c r="A582" s="486"/>
      <c r="B582" s="487"/>
      <c r="D582" s="492"/>
    </row>
    <row r="583" spans="1:4" ht="13.9" customHeight="1">
      <c r="A583" s="486"/>
      <c r="B583" s="487"/>
      <c r="D583" s="492"/>
    </row>
    <row r="584" spans="1:4" ht="13.9" customHeight="1">
      <c r="A584" s="486"/>
      <c r="B584" s="487"/>
      <c r="D584" s="492"/>
    </row>
    <row r="585" spans="1:4" ht="13.9" customHeight="1">
      <c r="A585" s="486"/>
      <c r="B585" s="487"/>
      <c r="D585" s="492"/>
    </row>
    <row r="586" spans="1:4" ht="13.9" customHeight="1">
      <c r="A586" s="486"/>
      <c r="B586" s="487"/>
      <c r="D586" s="492"/>
    </row>
    <row r="587" spans="1:4" ht="13.9" customHeight="1">
      <c r="A587" s="486"/>
      <c r="B587" s="487"/>
      <c r="D587" s="492"/>
    </row>
    <row r="588" spans="1:4" ht="13.9" customHeight="1">
      <c r="A588" s="486"/>
      <c r="B588" s="487"/>
      <c r="D588" s="492"/>
    </row>
    <row r="589" spans="1:4" ht="13.9" customHeight="1">
      <c r="A589" s="486"/>
      <c r="B589" s="487"/>
      <c r="D589" s="492"/>
    </row>
    <row r="590" spans="1:4" ht="13.9" customHeight="1">
      <c r="A590" s="486"/>
      <c r="B590" s="487"/>
      <c r="D590" s="492"/>
    </row>
    <row r="591" spans="1:4" ht="13.9" customHeight="1">
      <c r="A591" s="486"/>
      <c r="B591" s="487"/>
      <c r="D591" s="492"/>
    </row>
    <row r="592" spans="1:4" ht="13.9" customHeight="1">
      <c r="A592" s="486"/>
      <c r="B592" s="487"/>
      <c r="D592" s="492"/>
    </row>
    <row r="593" spans="1:4" ht="13.9" customHeight="1">
      <c r="A593" s="486"/>
      <c r="B593" s="487"/>
      <c r="D593" s="492"/>
    </row>
    <row r="594" spans="1:4" ht="13.9" customHeight="1">
      <c r="A594" s="486"/>
      <c r="B594" s="487"/>
      <c r="D594" s="492"/>
    </row>
    <row r="595" spans="1:4" ht="13.9" customHeight="1">
      <c r="A595" s="486"/>
      <c r="B595" s="487"/>
      <c r="D595" s="492"/>
    </row>
    <row r="596" spans="1:4" ht="13.9" customHeight="1">
      <c r="A596" s="486"/>
      <c r="B596" s="487"/>
      <c r="D596" s="492"/>
    </row>
    <row r="597" spans="1:4" ht="13.9" customHeight="1">
      <c r="A597" s="486"/>
      <c r="B597" s="487"/>
      <c r="D597" s="492"/>
    </row>
    <row r="598" spans="1:4" ht="13.9" customHeight="1">
      <c r="A598" s="486"/>
      <c r="B598" s="487"/>
      <c r="D598" s="492"/>
    </row>
    <row r="599" spans="1:4" ht="13.9" customHeight="1">
      <c r="A599" s="486"/>
      <c r="B599" s="487"/>
      <c r="D599" s="492"/>
    </row>
    <row r="600" spans="1:4" ht="13.9" customHeight="1">
      <c r="A600" s="486"/>
      <c r="B600" s="487"/>
      <c r="D600" s="492"/>
    </row>
    <row r="601" spans="1:4" ht="13.9" customHeight="1">
      <c r="A601" s="486"/>
      <c r="B601" s="487"/>
      <c r="D601" s="492"/>
    </row>
    <row r="602" spans="1:4" ht="13.9" customHeight="1">
      <c r="A602" s="486"/>
      <c r="B602" s="487"/>
      <c r="D602" s="492"/>
    </row>
    <row r="603" spans="1:4" ht="13.9" customHeight="1">
      <c r="A603" s="486"/>
      <c r="B603" s="487"/>
      <c r="D603" s="492"/>
    </row>
    <row r="604" spans="1:4" ht="13.9" customHeight="1">
      <c r="A604" s="486"/>
      <c r="B604" s="487"/>
      <c r="D604" s="492"/>
    </row>
    <row r="605" spans="1:4" ht="13.9" customHeight="1">
      <c r="A605" s="486"/>
      <c r="B605" s="487"/>
      <c r="D605" s="492"/>
    </row>
    <row r="606" spans="1:4" ht="13.9" customHeight="1">
      <c r="A606" s="486"/>
      <c r="B606" s="487"/>
      <c r="D606" s="492"/>
    </row>
    <row r="607" spans="1:4" ht="13.9" customHeight="1">
      <c r="A607" s="486"/>
      <c r="B607" s="487"/>
      <c r="D607" s="492"/>
    </row>
    <row r="608" spans="1:4" ht="13.9" customHeight="1">
      <c r="A608" s="486"/>
      <c r="B608" s="487"/>
      <c r="D608" s="492"/>
    </row>
    <row r="609" spans="1:4" ht="13.9" customHeight="1">
      <c r="A609" s="486"/>
      <c r="B609" s="487"/>
      <c r="D609" s="492"/>
    </row>
    <row r="610" spans="1:4" ht="13.9" customHeight="1">
      <c r="A610" s="486"/>
      <c r="B610" s="487"/>
      <c r="D610" s="492"/>
    </row>
    <row r="611" spans="1:4" ht="13.9" customHeight="1">
      <c r="A611" s="486"/>
      <c r="B611" s="487"/>
      <c r="D611" s="492"/>
    </row>
    <row r="612" spans="1:4" ht="13.9" customHeight="1">
      <c r="A612" s="486"/>
      <c r="B612" s="487"/>
      <c r="D612" s="492"/>
    </row>
    <row r="613" spans="1:4" ht="13.9" customHeight="1">
      <c r="A613" s="486"/>
      <c r="B613" s="487"/>
      <c r="D613" s="492"/>
    </row>
    <row r="614" spans="1:4" ht="13.9" customHeight="1">
      <c r="A614" s="486"/>
      <c r="B614" s="487"/>
      <c r="D614" s="492"/>
    </row>
    <row r="615" spans="1:4" ht="13.9" customHeight="1">
      <c r="A615" s="486"/>
      <c r="B615" s="487"/>
      <c r="D615" s="492"/>
    </row>
    <row r="616" spans="1:4" ht="13.9" customHeight="1">
      <c r="A616" s="486"/>
      <c r="B616" s="487"/>
      <c r="D616" s="492"/>
    </row>
    <row r="617" spans="1:4" ht="13.9" customHeight="1">
      <c r="A617" s="486"/>
      <c r="B617" s="487"/>
      <c r="D617" s="492"/>
    </row>
    <row r="618" spans="1:4" ht="13.9" customHeight="1">
      <c r="A618" s="486"/>
      <c r="B618" s="487"/>
      <c r="D618" s="492"/>
    </row>
    <row r="619" spans="1:4" ht="13.9" customHeight="1">
      <c r="A619" s="486"/>
      <c r="B619" s="487"/>
      <c r="D619" s="492"/>
    </row>
    <row r="620" spans="1:4" ht="13.9" customHeight="1">
      <c r="A620" s="486"/>
      <c r="B620" s="487"/>
      <c r="D620" s="492"/>
    </row>
    <row r="621" spans="1:4" ht="13.9" customHeight="1">
      <c r="A621" s="486"/>
      <c r="B621" s="487"/>
      <c r="D621" s="492"/>
    </row>
    <row r="622" spans="1:4" ht="13.9" customHeight="1">
      <c r="A622" s="486"/>
      <c r="B622" s="487"/>
      <c r="D622" s="492"/>
    </row>
    <row r="623" spans="1:4" ht="13.9" customHeight="1">
      <c r="A623" s="486"/>
      <c r="B623" s="487"/>
      <c r="D623" s="492"/>
    </row>
    <row r="624" spans="1:4" ht="13.9" customHeight="1">
      <c r="A624" s="486"/>
      <c r="B624" s="487"/>
      <c r="D624" s="492"/>
    </row>
    <row r="625" spans="1:4" ht="13.9" customHeight="1">
      <c r="A625" s="486"/>
      <c r="B625" s="487"/>
      <c r="D625" s="492"/>
    </row>
    <row r="626" spans="1:4" ht="13.9" customHeight="1">
      <c r="A626" s="486"/>
      <c r="B626" s="487"/>
      <c r="D626" s="492"/>
    </row>
    <row r="627" spans="1:4" ht="13.9" customHeight="1">
      <c r="A627" s="486"/>
      <c r="B627" s="487"/>
      <c r="D627" s="492"/>
    </row>
    <row r="628" spans="1:4" ht="13.9" customHeight="1">
      <c r="A628" s="486"/>
      <c r="B628" s="487"/>
      <c r="D628" s="492"/>
    </row>
    <row r="629" spans="1:4" ht="13.9" customHeight="1">
      <c r="A629" s="486"/>
      <c r="B629" s="487"/>
      <c r="D629" s="492"/>
    </row>
    <row r="630" spans="1:4" ht="13.9" customHeight="1">
      <c r="A630" s="486"/>
      <c r="B630" s="487"/>
      <c r="D630" s="492"/>
    </row>
    <row r="631" spans="1:4" ht="13.9" customHeight="1">
      <c r="A631" s="486"/>
      <c r="B631" s="487"/>
      <c r="D631" s="492"/>
    </row>
    <row r="632" spans="1:4" ht="13.9" customHeight="1">
      <c r="A632" s="486"/>
      <c r="B632" s="487"/>
      <c r="D632" s="492"/>
    </row>
    <row r="633" spans="1:4" ht="13.9" customHeight="1">
      <c r="A633" s="486"/>
      <c r="B633" s="487"/>
      <c r="D633" s="492"/>
    </row>
    <row r="634" spans="1:4" ht="13.9" customHeight="1">
      <c r="A634" s="486"/>
      <c r="B634" s="487"/>
      <c r="D634" s="492"/>
    </row>
    <row r="635" spans="1:4" ht="13.9" customHeight="1">
      <c r="A635" s="486"/>
      <c r="B635" s="487"/>
      <c r="D635" s="492"/>
    </row>
    <row r="636" spans="1:4" ht="13.9" customHeight="1">
      <c r="A636" s="486"/>
      <c r="B636" s="487"/>
      <c r="D636" s="492"/>
    </row>
    <row r="637" spans="1:4" ht="13.9" customHeight="1">
      <c r="A637" s="486"/>
      <c r="B637" s="487"/>
      <c r="D637" s="492"/>
    </row>
    <row r="638" spans="1:4" ht="13.9" customHeight="1">
      <c r="A638" s="486"/>
      <c r="B638" s="487"/>
      <c r="D638" s="492"/>
    </row>
    <row r="639" spans="1:4" ht="13.9" customHeight="1">
      <c r="A639" s="486"/>
      <c r="B639" s="487"/>
      <c r="D639" s="492"/>
    </row>
    <row r="640" spans="1:4" ht="13.9" customHeight="1">
      <c r="A640" s="486"/>
      <c r="B640" s="487"/>
      <c r="D640" s="492"/>
    </row>
    <row r="641" spans="1:4" ht="13.9" customHeight="1">
      <c r="A641" s="486"/>
      <c r="B641" s="487"/>
      <c r="D641" s="492"/>
    </row>
    <row r="642" spans="1:4" ht="13.9" customHeight="1">
      <c r="A642" s="486"/>
      <c r="B642" s="487"/>
      <c r="D642" s="492"/>
    </row>
    <row r="643" spans="1:4" ht="13.9" customHeight="1">
      <c r="A643" s="486"/>
      <c r="B643" s="487"/>
      <c r="D643" s="492"/>
    </row>
    <row r="644" spans="1:4" ht="13.9" customHeight="1">
      <c r="A644" s="486"/>
      <c r="B644" s="487"/>
      <c r="D644" s="492"/>
    </row>
    <row r="645" spans="1:4" ht="13.9" customHeight="1">
      <c r="A645" s="486"/>
      <c r="B645" s="487"/>
      <c r="D645" s="492"/>
    </row>
    <row r="646" spans="1:4" ht="13.9" customHeight="1">
      <c r="A646" s="486"/>
      <c r="B646" s="487"/>
      <c r="D646" s="492"/>
    </row>
    <row r="647" spans="1:4" ht="13.9" customHeight="1">
      <c r="A647" s="486"/>
      <c r="B647" s="487"/>
      <c r="D647" s="492"/>
    </row>
    <row r="648" spans="1:4" ht="13.9" customHeight="1">
      <c r="A648" s="486"/>
      <c r="B648" s="487"/>
      <c r="D648" s="492"/>
    </row>
    <row r="649" spans="1:4" ht="13.9" customHeight="1">
      <c r="A649" s="486"/>
      <c r="B649" s="487"/>
      <c r="D649" s="492"/>
    </row>
    <row r="650" spans="1:4" ht="13.9" customHeight="1">
      <c r="A650" s="486"/>
      <c r="B650" s="487"/>
      <c r="D650" s="492"/>
    </row>
    <row r="651" spans="1:4" ht="13.9" customHeight="1">
      <c r="A651" s="486"/>
      <c r="B651" s="487"/>
      <c r="D651" s="492"/>
    </row>
    <row r="652" spans="1:4" ht="13.9" customHeight="1">
      <c r="A652" s="486"/>
      <c r="B652" s="487"/>
      <c r="D652" s="492"/>
    </row>
    <row r="653" spans="1:4" ht="13.9" customHeight="1">
      <c r="A653" s="486"/>
      <c r="B653" s="487"/>
      <c r="D653" s="492"/>
    </row>
    <row r="654" spans="1:4" ht="13.9" customHeight="1">
      <c r="A654" s="486"/>
      <c r="B654" s="487"/>
      <c r="D654" s="492"/>
    </row>
    <row r="655" spans="1:4" ht="13.9" customHeight="1">
      <c r="A655" s="486"/>
      <c r="B655" s="487"/>
      <c r="D655" s="492"/>
    </row>
    <row r="656" spans="1:4" ht="13.9" customHeight="1">
      <c r="A656" s="486"/>
      <c r="B656" s="487"/>
      <c r="D656" s="492"/>
    </row>
    <row r="657" spans="1:4" ht="13.9" customHeight="1">
      <c r="A657" s="486"/>
      <c r="B657" s="487"/>
      <c r="D657" s="492"/>
    </row>
    <row r="658" spans="1:4" ht="13.9" customHeight="1">
      <c r="A658" s="486"/>
      <c r="B658" s="487"/>
      <c r="D658" s="492"/>
    </row>
    <row r="659" spans="1:4" ht="13.9" customHeight="1">
      <c r="A659" s="486"/>
      <c r="B659" s="487"/>
      <c r="D659" s="492"/>
    </row>
    <row r="660" spans="1:4" ht="13.9" customHeight="1">
      <c r="A660" s="486"/>
      <c r="B660" s="487"/>
      <c r="D660" s="492"/>
    </row>
    <row r="661" spans="1:4" ht="13.9" customHeight="1">
      <c r="A661" s="486"/>
      <c r="B661" s="487"/>
      <c r="D661" s="492"/>
    </row>
    <row r="662" spans="1:4" ht="13.9" customHeight="1">
      <c r="A662" s="486"/>
      <c r="B662" s="487"/>
      <c r="D662" s="492"/>
    </row>
    <row r="663" spans="1:4" ht="13.9" customHeight="1">
      <c r="A663" s="486"/>
      <c r="B663" s="487"/>
      <c r="D663" s="492"/>
    </row>
    <row r="664" spans="1:4" ht="13.9" customHeight="1">
      <c r="A664" s="486"/>
      <c r="B664" s="487"/>
      <c r="D664" s="492"/>
    </row>
    <row r="665" spans="1:4" ht="13.9" customHeight="1">
      <c r="A665" s="486"/>
      <c r="B665" s="487"/>
      <c r="D665" s="492"/>
    </row>
    <row r="666" spans="1:4" ht="13.9" customHeight="1">
      <c r="A666" s="486"/>
      <c r="B666" s="487"/>
      <c r="D666" s="492"/>
    </row>
    <row r="667" spans="1:4" ht="13.9" customHeight="1">
      <c r="A667" s="486"/>
      <c r="B667" s="487"/>
      <c r="D667" s="492"/>
    </row>
    <row r="668" spans="1:4" ht="13.9" customHeight="1">
      <c r="A668" s="486"/>
      <c r="B668" s="487"/>
      <c r="D668" s="492"/>
    </row>
    <row r="669" spans="1:4" ht="13.9" customHeight="1">
      <c r="A669" s="486"/>
      <c r="B669" s="487"/>
      <c r="D669" s="492"/>
    </row>
    <row r="670" spans="1:4" ht="13.9" customHeight="1">
      <c r="A670" s="486"/>
      <c r="B670" s="487"/>
      <c r="D670" s="492"/>
    </row>
    <row r="671" spans="1:4" ht="13.9" customHeight="1">
      <c r="A671" s="486"/>
      <c r="B671" s="487"/>
      <c r="D671" s="492"/>
    </row>
    <row r="672" spans="1:4" ht="13.9" customHeight="1">
      <c r="A672" s="486"/>
      <c r="B672" s="487"/>
      <c r="D672" s="492"/>
    </row>
    <row r="673" spans="1:4" ht="13.9" customHeight="1">
      <c r="A673" s="486"/>
      <c r="B673" s="487"/>
      <c r="D673" s="492"/>
    </row>
    <row r="674" spans="1:4" ht="13.9" customHeight="1">
      <c r="A674" s="486"/>
      <c r="B674" s="487"/>
      <c r="D674" s="492"/>
    </row>
    <row r="675" spans="1:4" ht="13.9" customHeight="1">
      <c r="A675" s="486"/>
      <c r="B675" s="487"/>
      <c r="D675" s="492"/>
    </row>
    <row r="676" spans="1:4" ht="13.9" customHeight="1">
      <c r="A676" s="486"/>
      <c r="B676" s="487"/>
      <c r="D676" s="492"/>
    </row>
    <row r="677" spans="1:4" ht="13.9" customHeight="1">
      <c r="A677" s="486"/>
      <c r="B677" s="487"/>
      <c r="D677" s="492"/>
    </row>
    <row r="678" spans="1:4" ht="13.9" customHeight="1">
      <c r="A678" s="486"/>
      <c r="B678" s="487"/>
      <c r="D678" s="492"/>
    </row>
    <row r="679" spans="1:4" ht="13.9" customHeight="1">
      <c r="A679" s="486"/>
      <c r="B679" s="487"/>
      <c r="D679" s="492"/>
    </row>
    <row r="680" spans="1:4" ht="13.9" customHeight="1">
      <c r="A680" s="486"/>
      <c r="B680" s="487"/>
      <c r="D680" s="492"/>
    </row>
    <row r="681" spans="1:4" ht="13.9" customHeight="1">
      <c r="A681" s="486"/>
      <c r="B681" s="487"/>
      <c r="D681" s="492"/>
    </row>
    <row r="682" spans="1:4" ht="13.9" customHeight="1">
      <c r="A682" s="486"/>
      <c r="B682" s="487"/>
      <c r="D682" s="492"/>
    </row>
    <row r="683" spans="1:4" ht="13.9" customHeight="1">
      <c r="A683" s="486"/>
      <c r="B683" s="487"/>
      <c r="D683" s="492"/>
    </row>
    <row r="684" spans="1:4" ht="13.9" customHeight="1">
      <c r="A684" s="486"/>
      <c r="B684" s="487"/>
      <c r="D684" s="492"/>
    </row>
    <row r="685" spans="1:4" ht="13.9" customHeight="1">
      <c r="A685" s="486"/>
      <c r="B685" s="487"/>
      <c r="D685" s="492"/>
    </row>
    <row r="686" spans="1:4" ht="13.9" customHeight="1">
      <c r="A686" s="486"/>
      <c r="B686" s="487"/>
      <c r="D686" s="492"/>
    </row>
    <row r="687" spans="1:4" ht="13.9" customHeight="1">
      <c r="A687" s="486"/>
      <c r="B687" s="487"/>
      <c r="D687" s="492"/>
    </row>
    <row r="688" spans="1:4" ht="13.9" customHeight="1">
      <c r="A688" s="486"/>
      <c r="B688" s="487"/>
      <c r="D688" s="492"/>
    </row>
    <row r="689" spans="1:4" ht="13.9" customHeight="1">
      <c r="A689" s="486"/>
      <c r="B689" s="487"/>
      <c r="D689" s="492"/>
    </row>
    <row r="690" spans="1:4" ht="13.9" customHeight="1">
      <c r="A690" s="486"/>
      <c r="B690" s="487"/>
      <c r="D690" s="492"/>
    </row>
    <row r="691" spans="1:4" ht="13.9" customHeight="1">
      <c r="A691" s="486"/>
      <c r="B691" s="487"/>
      <c r="D691" s="492"/>
    </row>
    <row r="692" spans="1:4" ht="13.9" customHeight="1">
      <c r="A692" s="486"/>
      <c r="B692" s="487"/>
      <c r="D692" s="492"/>
    </row>
    <row r="693" spans="1:4" ht="13.9" customHeight="1">
      <c r="A693" s="486"/>
      <c r="B693" s="487"/>
      <c r="D693" s="492"/>
    </row>
    <row r="694" spans="1:4" ht="13.9" customHeight="1">
      <c r="A694" s="486"/>
      <c r="B694" s="487"/>
      <c r="D694" s="492"/>
    </row>
    <row r="695" spans="1:4" ht="13.9" customHeight="1">
      <c r="A695" s="486"/>
      <c r="B695" s="487"/>
      <c r="D695" s="492"/>
    </row>
    <row r="696" spans="1:4" ht="13.9" customHeight="1">
      <c r="A696" s="486"/>
      <c r="B696" s="487"/>
      <c r="D696" s="492"/>
    </row>
    <row r="697" spans="1:4" ht="13.9" customHeight="1">
      <c r="A697" s="486"/>
      <c r="B697" s="487"/>
      <c r="D697" s="492"/>
    </row>
    <row r="698" spans="1:4" ht="13.9" customHeight="1">
      <c r="A698" s="486"/>
      <c r="B698" s="487"/>
      <c r="D698" s="492"/>
    </row>
    <row r="699" spans="1:4" ht="13.9" customHeight="1">
      <c r="A699" s="486"/>
      <c r="B699" s="487"/>
      <c r="D699" s="492"/>
    </row>
    <row r="700" spans="1:4" ht="13.9" customHeight="1">
      <c r="A700" s="486"/>
      <c r="B700" s="487"/>
      <c r="D700" s="492"/>
    </row>
    <row r="701" spans="1:4" ht="13.9" customHeight="1">
      <c r="A701" s="486"/>
      <c r="B701" s="487"/>
      <c r="D701" s="492"/>
    </row>
    <row r="702" spans="1:4" ht="13.9" customHeight="1">
      <c r="A702" s="486"/>
      <c r="B702" s="487"/>
      <c r="D702" s="492"/>
    </row>
    <row r="703" spans="1:4" ht="13.9" customHeight="1">
      <c r="A703" s="486"/>
      <c r="B703" s="487"/>
      <c r="D703" s="492"/>
    </row>
    <row r="704" spans="1:4" ht="13.9" customHeight="1">
      <c r="A704" s="486"/>
      <c r="B704" s="487"/>
      <c r="D704" s="492"/>
    </row>
    <row r="705" spans="1:4" ht="13.9" customHeight="1">
      <c r="A705" s="486"/>
      <c r="B705" s="487"/>
      <c r="D705" s="492"/>
    </row>
    <row r="706" spans="1:4" ht="13.9" customHeight="1">
      <c r="A706" s="486"/>
      <c r="B706" s="487"/>
      <c r="D706" s="492"/>
    </row>
    <row r="707" spans="1:4" ht="13.9" customHeight="1">
      <c r="A707" s="486"/>
      <c r="B707" s="487"/>
      <c r="D707" s="492"/>
    </row>
    <row r="708" spans="1:4" ht="13.9" customHeight="1">
      <c r="A708" s="486"/>
      <c r="B708" s="487"/>
      <c r="D708" s="492"/>
    </row>
    <row r="709" spans="1:4" ht="13.9" customHeight="1">
      <c r="A709" s="486"/>
      <c r="B709" s="487"/>
      <c r="D709" s="492"/>
    </row>
    <row r="710" spans="1:4" ht="13.9" customHeight="1">
      <c r="A710" s="486"/>
      <c r="B710" s="487"/>
      <c r="D710" s="492"/>
    </row>
    <row r="711" spans="1:4" ht="13.9" customHeight="1">
      <c r="A711" s="486"/>
      <c r="B711" s="487"/>
      <c r="D711" s="492"/>
    </row>
    <row r="712" spans="1:4" ht="13.9" customHeight="1">
      <c r="A712" s="486"/>
      <c r="B712" s="487"/>
      <c r="D712" s="492"/>
    </row>
    <row r="713" spans="1:4" ht="13.9" customHeight="1">
      <c r="A713" s="486"/>
      <c r="B713" s="487"/>
      <c r="D713" s="492"/>
    </row>
    <row r="714" spans="1:4" ht="13.9" customHeight="1">
      <c r="A714" s="486"/>
      <c r="B714" s="487"/>
      <c r="D714" s="492"/>
    </row>
    <row r="715" spans="1:4" ht="13.9" customHeight="1">
      <c r="A715" s="486"/>
      <c r="B715" s="487"/>
      <c r="D715" s="492"/>
    </row>
    <row r="716" spans="1:4" ht="13.9" customHeight="1">
      <c r="A716" s="486"/>
      <c r="B716" s="487"/>
      <c r="D716" s="492"/>
    </row>
    <row r="717" spans="1:4" ht="13.9" customHeight="1">
      <c r="A717" s="486"/>
      <c r="B717" s="487"/>
      <c r="D717" s="492"/>
    </row>
    <row r="718" spans="1:4" ht="13.9" customHeight="1">
      <c r="A718" s="486"/>
      <c r="B718" s="487"/>
      <c r="D718" s="492"/>
    </row>
    <row r="719" spans="1:4" ht="13.9" customHeight="1">
      <c r="A719" s="486"/>
      <c r="B719" s="487"/>
      <c r="D719" s="492"/>
    </row>
    <row r="720" spans="1:4" ht="13.9" customHeight="1">
      <c r="A720" s="486"/>
      <c r="B720" s="487"/>
      <c r="D720" s="492"/>
    </row>
    <row r="721" spans="1:4" ht="13.9" customHeight="1">
      <c r="A721" s="486"/>
      <c r="B721" s="487"/>
      <c r="D721" s="492"/>
    </row>
    <row r="722" spans="1:4" ht="13.9" customHeight="1">
      <c r="A722" s="486"/>
      <c r="B722" s="487"/>
      <c r="D722" s="492"/>
    </row>
    <row r="723" spans="1:4" ht="13.9" customHeight="1">
      <c r="A723" s="486"/>
      <c r="B723" s="487"/>
      <c r="D723" s="492"/>
    </row>
    <row r="724" spans="1:4" ht="13.9" customHeight="1">
      <c r="A724" s="486"/>
      <c r="B724" s="487"/>
      <c r="D724" s="492"/>
    </row>
    <row r="725" spans="1:4" ht="13.9" customHeight="1">
      <c r="A725" s="486"/>
      <c r="B725" s="487"/>
      <c r="D725" s="492"/>
    </row>
    <row r="726" spans="1:4" ht="13.9" customHeight="1">
      <c r="A726" s="486"/>
      <c r="B726" s="487"/>
      <c r="D726" s="492"/>
    </row>
    <row r="727" spans="1:4" ht="13.9" customHeight="1">
      <c r="A727" s="486"/>
      <c r="B727" s="487"/>
      <c r="D727" s="492"/>
    </row>
    <row r="728" spans="1:4" ht="13.9" customHeight="1">
      <c r="A728" s="486"/>
      <c r="B728" s="487"/>
      <c r="D728" s="492"/>
    </row>
    <row r="729" spans="1:4" ht="13.9" customHeight="1">
      <c r="A729" s="486"/>
      <c r="B729" s="487"/>
      <c r="D729" s="492"/>
    </row>
    <row r="730" spans="1:4" ht="13.9" customHeight="1">
      <c r="A730" s="486"/>
      <c r="B730" s="487"/>
      <c r="D730" s="492"/>
    </row>
    <row r="731" spans="1:4" ht="13.9" customHeight="1">
      <c r="A731" s="486"/>
      <c r="B731" s="487"/>
      <c r="D731" s="492"/>
    </row>
    <row r="732" spans="1:4" ht="13.9" customHeight="1">
      <c r="A732" s="486"/>
      <c r="B732" s="487"/>
      <c r="D732" s="492"/>
    </row>
    <row r="733" spans="1:4" ht="13.9" customHeight="1">
      <c r="A733" s="486"/>
      <c r="B733" s="487"/>
      <c r="D733" s="492"/>
    </row>
    <row r="734" spans="1:4" ht="13.9" customHeight="1">
      <c r="A734" s="486"/>
      <c r="B734" s="487"/>
      <c r="D734" s="492"/>
    </row>
    <row r="735" spans="1:4" ht="13.9" customHeight="1">
      <c r="A735" s="486"/>
      <c r="B735" s="487"/>
      <c r="D735" s="492"/>
    </row>
    <row r="736" spans="1:4" ht="13.9" customHeight="1">
      <c r="A736" s="486"/>
      <c r="B736" s="487"/>
      <c r="D736" s="492"/>
    </row>
    <row r="737" spans="1:4" ht="13.9" customHeight="1">
      <c r="A737" s="486"/>
      <c r="B737" s="487"/>
      <c r="D737" s="492"/>
    </row>
    <row r="738" spans="1:4" ht="13.9" customHeight="1">
      <c r="A738" s="486"/>
      <c r="B738" s="487"/>
      <c r="D738" s="492"/>
    </row>
    <row r="739" spans="1:4" ht="13.9" customHeight="1">
      <c r="A739" s="486"/>
      <c r="B739" s="487"/>
      <c r="D739" s="492"/>
    </row>
    <row r="740" spans="1:4" ht="13.9" customHeight="1">
      <c r="A740" s="486"/>
      <c r="B740" s="487"/>
      <c r="D740" s="492"/>
    </row>
    <row r="741" spans="1:4" ht="13.9" customHeight="1">
      <c r="A741" s="486"/>
      <c r="B741" s="487"/>
      <c r="D741" s="492"/>
    </row>
    <row r="742" spans="1:4" ht="13.9" customHeight="1">
      <c r="A742" s="486"/>
      <c r="B742" s="487"/>
      <c r="D742" s="492"/>
    </row>
    <row r="743" spans="1:4" ht="13.9" customHeight="1">
      <c r="A743" s="486"/>
      <c r="B743" s="487"/>
      <c r="D743" s="492"/>
    </row>
    <row r="744" spans="1:4" ht="13.9" customHeight="1">
      <c r="A744" s="486"/>
      <c r="B744" s="487"/>
      <c r="D744" s="492"/>
    </row>
    <row r="745" spans="1:4" ht="13.9" customHeight="1">
      <c r="A745" s="486"/>
      <c r="B745" s="487"/>
      <c r="D745" s="492"/>
    </row>
    <row r="746" spans="1:4" ht="13.9" customHeight="1">
      <c r="A746" s="486"/>
      <c r="B746" s="487"/>
      <c r="D746" s="492"/>
    </row>
    <row r="747" spans="1:4" ht="13.9" customHeight="1">
      <c r="A747" s="486"/>
      <c r="B747" s="487"/>
      <c r="D747" s="492"/>
    </row>
    <row r="748" spans="1:4" ht="13.9" customHeight="1">
      <c r="A748" s="486"/>
      <c r="B748" s="487"/>
      <c r="D748" s="492"/>
    </row>
    <row r="749" spans="1:4" ht="13.9" customHeight="1">
      <c r="A749" s="486"/>
      <c r="B749" s="487"/>
      <c r="D749" s="492"/>
    </row>
    <row r="750" spans="1:4" ht="13.9" customHeight="1">
      <c r="A750" s="486"/>
      <c r="B750" s="487"/>
      <c r="D750" s="492"/>
    </row>
    <row r="751" spans="1:4" ht="13.9" customHeight="1">
      <c r="A751" s="486"/>
      <c r="B751" s="487"/>
      <c r="D751" s="492"/>
    </row>
    <row r="752" spans="1:4" ht="13.9" customHeight="1">
      <c r="A752" s="486"/>
      <c r="B752" s="487"/>
      <c r="D752" s="492"/>
    </row>
    <row r="753" spans="1:4" ht="13.9" customHeight="1">
      <c r="A753" s="486"/>
      <c r="B753" s="487"/>
      <c r="D753" s="492"/>
    </row>
    <row r="754" spans="1:4" ht="13.9" customHeight="1">
      <c r="A754" s="486"/>
      <c r="B754" s="487"/>
      <c r="D754" s="492"/>
    </row>
    <row r="755" spans="1:4" ht="13.9" customHeight="1">
      <c r="A755" s="486"/>
      <c r="B755" s="487"/>
      <c r="D755" s="492"/>
    </row>
    <row r="756" spans="1:4" ht="13.9" customHeight="1">
      <c r="A756" s="486"/>
      <c r="B756" s="487"/>
      <c r="D756" s="492"/>
    </row>
    <row r="757" spans="1:4" ht="13.9" customHeight="1">
      <c r="A757" s="486"/>
      <c r="B757" s="487"/>
      <c r="D757" s="492"/>
    </row>
    <row r="758" spans="1:4" ht="13.9" customHeight="1">
      <c r="A758" s="486"/>
      <c r="B758" s="487"/>
      <c r="D758" s="492"/>
    </row>
    <row r="759" spans="1:4" ht="13.9" customHeight="1">
      <c r="A759" s="486"/>
      <c r="B759" s="487"/>
      <c r="D759" s="492"/>
    </row>
    <row r="760" spans="1:4" ht="13.9" customHeight="1">
      <c r="A760" s="486"/>
      <c r="B760" s="487"/>
      <c r="D760" s="492"/>
    </row>
    <row r="761" spans="1:4" ht="13.9" customHeight="1">
      <c r="A761" s="486"/>
      <c r="B761" s="487"/>
      <c r="D761" s="492"/>
    </row>
    <row r="762" spans="1:4" ht="13.9" customHeight="1">
      <c r="A762" s="486"/>
      <c r="B762" s="487"/>
      <c r="D762" s="492"/>
    </row>
    <row r="763" spans="1:4" ht="13.9" customHeight="1">
      <c r="A763" s="486"/>
      <c r="B763" s="487"/>
      <c r="D763" s="492"/>
    </row>
    <row r="764" spans="1:4" ht="13.9" customHeight="1">
      <c r="A764" s="486"/>
      <c r="B764" s="487"/>
      <c r="D764" s="492"/>
    </row>
    <row r="765" spans="1:4" ht="13.9" customHeight="1">
      <c r="A765" s="486"/>
      <c r="B765" s="487"/>
      <c r="D765" s="492"/>
    </row>
    <row r="766" spans="1:4" ht="13.9" customHeight="1">
      <c r="A766" s="486"/>
      <c r="B766" s="487"/>
      <c r="D766" s="492"/>
    </row>
    <row r="767" spans="1:4" ht="13.9" customHeight="1">
      <c r="A767" s="486"/>
      <c r="B767" s="487"/>
      <c r="D767" s="492"/>
    </row>
    <row r="768" spans="1:4" ht="13.9" customHeight="1">
      <c r="A768" s="486"/>
      <c r="B768" s="487"/>
      <c r="D768" s="492"/>
    </row>
    <row r="769" spans="1:4" ht="13.9" customHeight="1">
      <c r="A769" s="486"/>
      <c r="B769" s="487"/>
      <c r="D769" s="492"/>
    </row>
    <row r="770" spans="1:4" ht="13.9" customHeight="1">
      <c r="A770" s="486"/>
      <c r="B770" s="487"/>
      <c r="D770" s="492"/>
    </row>
    <row r="771" spans="1:4" ht="13.9" customHeight="1">
      <c r="A771" s="486"/>
      <c r="B771" s="487"/>
      <c r="D771" s="492"/>
    </row>
    <row r="772" spans="1:4" ht="13.9" customHeight="1">
      <c r="A772" s="486"/>
      <c r="B772" s="487"/>
      <c r="D772" s="492"/>
    </row>
    <row r="773" spans="1:4" ht="13.9" customHeight="1">
      <c r="A773" s="486"/>
      <c r="B773" s="487"/>
      <c r="D773" s="492"/>
    </row>
    <row r="774" spans="1:4" ht="13.9" customHeight="1">
      <c r="A774" s="486"/>
      <c r="B774" s="487"/>
      <c r="D774" s="492"/>
    </row>
    <row r="775" spans="1:4" ht="13.9" customHeight="1">
      <c r="A775" s="486"/>
      <c r="B775" s="487"/>
      <c r="D775" s="492"/>
    </row>
    <row r="776" spans="1:4" ht="13.9" customHeight="1">
      <c r="A776" s="486"/>
      <c r="B776" s="487"/>
      <c r="D776" s="492"/>
    </row>
    <row r="777" spans="1:4" ht="13.9" customHeight="1">
      <c r="A777" s="486"/>
      <c r="B777" s="487"/>
      <c r="D777" s="492"/>
    </row>
    <row r="778" spans="1:4" ht="13.9" customHeight="1">
      <c r="A778" s="486"/>
      <c r="B778" s="487"/>
      <c r="D778" s="492"/>
    </row>
    <row r="779" spans="1:4" ht="13.9" customHeight="1">
      <c r="A779" s="486"/>
      <c r="B779" s="487"/>
      <c r="D779" s="492"/>
    </row>
    <row r="780" spans="1:4" ht="13.9" customHeight="1">
      <c r="A780" s="486"/>
      <c r="B780" s="487"/>
      <c r="D780" s="492"/>
    </row>
    <row r="781" spans="1:4" ht="13.9" customHeight="1">
      <c r="A781" s="486"/>
      <c r="B781" s="487"/>
      <c r="D781" s="492"/>
    </row>
    <row r="782" spans="1:4" ht="13.9" customHeight="1">
      <c r="A782" s="486"/>
      <c r="B782" s="487"/>
      <c r="D782" s="492"/>
    </row>
    <row r="783" spans="1:4" ht="13.9" customHeight="1">
      <c r="A783" s="486"/>
      <c r="B783" s="487"/>
      <c r="D783" s="492"/>
    </row>
    <row r="784" spans="1:4" ht="13.9" customHeight="1">
      <c r="A784" s="486"/>
      <c r="B784" s="487"/>
      <c r="D784" s="492"/>
    </row>
    <row r="785" spans="1:4" ht="13.9" customHeight="1">
      <c r="A785" s="486"/>
      <c r="B785" s="487"/>
      <c r="D785" s="492"/>
    </row>
    <row r="786" spans="1:4" ht="13.9" customHeight="1">
      <c r="A786" s="486"/>
      <c r="B786" s="487"/>
      <c r="D786" s="492"/>
    </row>
    <row r="787" spans="1:4" ht="13.9" customHeight="1">
      <c r="A787" s="486"/>
      <c r="B787" s="487"/>
      <c r="D787" s="492"/>
    </row>
    <row r="788" spans="1:4" ht="13.9" customHeight="1">
      <c r="A788" s="486"/>
      <c r="B788" s="487"/>
      <c r="D788" s="492"/>
    </row>
    <row r="789" spans="1:4" ht="13.9" customHeight="1">
      <c r="A789" s="486"/>
      <c r="B789" s="487"/>
      <c r="D789" s="492"/>
    </row>
    <row r="790" spans="1:4" ht="13.9" customHeight="1">
      <c r="A790" s="486"/>
      <c r="B790" s="487"/>
      <c r="D790" s="492"/>
    </row>
    <row r="791" spans="1:4" ht="13.9" customHeight="1">
      <c r="A791" s="486"/>
      <c r="B791" s="487"/>
      <c r="D791" s="492"/>
    </row>
    <row r="792" spans="1:4" ht="13.9" customHeight="1">
      <c r="A792" s="486"/>
      <c r="B792" s="487"/>
      <c r="D792" s="492"/>
    </row>
    <row r="793" spans="1:4" ht="13.9" customHeight="1">
      <c r="A793" s="486"/>
      <c r="B793" s="487"/>
      <c r="D793" s="492"/>
    </row>
    <row r="794" spans="1:4" ht="13.9" customHeight="1">
      <c r="A794" s="486"/>
      <c r="B794" s="487"/>
      <c r="D794" s="492"/>
    </row>
    <row r="795" spans="1:4" ht="13.9" customHeight="1">
      <c r="A795" s="486"/>
      <c r="B795" s="487"/>
      <c r="D795" s="492"/>
    </row>
    <row r="796" spans="1:4" ht="13.9" customHeight="1">
      <c r="A796" s="486"/>
      <c r="B796" s="487"/>
      <c r="D796" s="492"/>
    </row>
    <row r="797" spans="1:4" ht="13.9" customHeight="1">
      <c r="A797" s="486"/>
      <c r="B797" s="487"/>
      <c r="D797" s="492"/>
    </row>
    <row r="798" spans="1:4" ht="13.9" customHeight="1">
      <c r="A798" s="486"/>
      <c r="B798" s="487"/>
      <c r="D798" s="492"/>
    </row>
    <row r="799" spans="1:4" ht="13.9" customHeight="1">
      <c r="A799" s="486"/>
      <c r="B799" s="487"/>
      <c r="D799" s="492"/>
    </row>
    <row r="800" spans="1:4" ht="13.9" customHeight="1">
      <c r="A800" s="486"/>
      <c r="B800" s="487"/>
      <c r="D800" s="492"/>
    </row>
    <row r="801" spans="1:4" ht="13.9" customHeight="1">
      <c r="A801" s="486"/>
      <c r="B801" s="487"/>
      <c r="D801" s="492"/>
    </row>
    <row r="802" spans="1:4" ht="13.9" customHeight="1">
      <c r="A802" s="486"/>
      <c r="B802" s="487"/>
      <c r="D802" s="492"/>
    </row>
    <row r="803" spans="1:4" ht="13.9" customHeight="1">
      <c r="A803" s="486"/>
      <c r="B803" s="487"/>
      <c r="D803" s="492"/>
    </row>
    <row r="804" spans="1:4" ht="13.9" customHeight="1">
      <c r="A804" s="486"/>
      <c r="B804" s="487"/>
      <c r="D804" s="492"/>
    </row>
    <row r="805" spans="1:4" ht="13.9" customHeight="1">
      <c r="A805" s="486"/>
      <c r="B805" s="487"/>
      <c r="D805" s="492"/>
    </row>
    <row r="806" spans="1:4" ht="13.9" customHeight="1">
      <c r="A806" s="486"/>
      <c r="B806" s="487"/>
      <c r="D806" s="492"/>
    </row>
    <row r="807" spans="1:4" ht="13.9" customHeight="1">
      <c r="A807" s="486"/>
      <c r="B807" s="487"/>
      <c r="D807" s="492"/>
    </row>
    <row r="808" spans="1:4" ht="13.9" customHeight="1">
      <c r="A808" s="486"/>
      <c r="B808" s="487"/>
      <c r="D808" s="492"/>
    </row>
    <row r="809" spans="1:4" ht="13.9" customHeight="1">
      <c r="A809" s="486"/>
      <c r="B809" s="487"/>
      <c r="D809" s="492"/>
    </row>
    <row r="810" spans="1:4" ht="13.9" customHeight="1">
      <c r="A810" s="486"/>
      <c r="B810" s="487"/>
      <c r="D810" s="492"/>
    </row>
    <row r="811" spans="1:4" ht="13.9" customHeight="1">
      <c r="A811" s="486"/>
      <c r="B811" s="487"/>
      <c r="D811" s="492"/>
    </row>
    <row r="812" spans="1:4" ht="13.9" customHeight="1">
      <c r="A812" s="486"/>
      <c r="B812" s="487"/>
      <c r="D812" s="492"/>
    </row>
    <row r="813" spans="1:4" ht="13.9" customHeight="1">
      <c r="A813" s="486"/>
      <c r="B813" s="487"/>
      <c r="D813" s="492"/>
    </row>
    <row r="814" spans="1:4" ht="13.9" customHeight="1">
      <c r="A814" s="486"/>
      <c r="B814" s="487"/>
      <c r="D814" s="492"/>
    </row>
    <row r="815" spans="1:4" ht="13.9" customHeight="1">
      <c r="A815" s="486"/>
      <c r="B815" s="487"/>
      <c r="D815" s="492"/>
    </row>
    <row r="816" spans="1:4" ht="13.9" customHeight="1">
      <c r="A816" s="486"/>
      <c r="B816" s="487"/>
      <c r="D816" s="492"/>
    </row>
    <row r="817" spans="1:4" ht="13.9" customHeight="1">
      <c r="A817" s="486"/>
      <c r="B817" s="487"/>
      <c r="D817" s="492"/>
    </row>
    <row r="818" spans="1:4" ht="13.9" customHeight="1">
      <c r="A818" s="486"/>
      <c r="B818" s="487"/>
      <c r="D818" s="492"/>
    </row>
    <row r="819" spans="1:4" ht="13.9" customHeight="1">
      <c r="A819" s="486"/>
      <c r="B819" s="487"/>
      <c r="D819" s="492"/>
    </row>
    <row r="820" spans="1:4" ht="13.9" customHeight="1">
      <c r="A820" s="486"/>
      <c r="B820" s="487"/>
      <c r="D820" s="492"/>
    </row>
    <row r="821" spans="1:4" ht="13.9" customHeight="1">
      <c r="A821" s="486"/>
      <c r="B821" s="487"/>
      <c r="D821" s="492"/>
    </row>
    <row r="822" spans="1:4" ht="13.9" customHeight="1">
      <c r="A822" s="486"/>
      <c r="B822" s="487"/>
      <c r="D822" s="492"/>
    </row>
    <row r="823" spans="1:4" ht="13.9" customHeight="1">
      <c r="A823" s="486"/>
      <c r="B823" s="487"/>
      <c r="D823" s="492"/>
    </row>
    <row r="824" spans="1:4" ht="13.9" customHeight="1">
      <c r="A824" s="486"/>
      <c r="B824" s="487"/>
      <c r="D824" s="492"/>
    </row>
    <row r="825" spans="1:4" ht="13.9" customHeight="1">
      <c r="A825" s="486"/>
      <c r="B825" s="487"/>
      <c r="D825" s="492"/>
    </row>
    <row r="826" spans="1:4" ht="13.9" customHeight="1">
      <c r="A826" s="486"/>
      <c r="B826" s="487"/>
      <c r="D826" s="492"/>
    </row>
    <row r="827" spans="1:4" ht="13.9" customHeight="1">
      <c r="A827" s="486"/>
      <c r="B827" s="487"/>
      <c r="D827" s="492"/>
    </row>
    <row r="828" spans="1:4" ht="13.9" customHeight="1">
      <c r="A828" s="486"/>
      <c r="B828" s="487"/>
      <c r="D828" s="492"/>
    </row>
    <row r="829" spans="1:4" ht="13.9" customHeight="1">
      <c r="A829" s="486"/>
      <c r="B829" s="487"/>
      <c r="D829" s="492"/>
    </row>
    <row r="830" spans="1:4" ht="13.9" customHeight="1">
      <c r="A830" s="486"/>
      <c r="B830" s="487"/>
      <c r="D830" s="492"/>
    </row>
    <row r="831" spans="1:4" ht="13.9" customHeight="1">
      <c r="A831" s="486"/>
      <c r="B831" s="487"/>
      <c r="D831" s="492"/>
    </row>
    <row r="832" spans="1:4" ht="13.9" customHeight="1">
      <c r="A832" s="486"/>
      <c r="B832" s="487"/>
      <c r="D832" s="492"/>
    </row>
    <row r="833" spans="1:4" ht="13.9" customHeight="1">
      <c r="A833" s="486"/>
      <c r="B833" s="487"/>
      <c r="D833" s="492"/>
    </row>
    <row r="834" spans="1:4" ht="13.9" customHeight="1">
      <c r="A834" s="486"/>
      <c r="B834" s="487"/>
      <c r="D834" s="492"/>
    </row>
    <row r="835" spans="1:4" ht="13.9" customHeight="1">
      <c r="A835" s="486"/>
      <c r="B835" s="487"/>
      <c r="D835" s="492"/>
    </row>
    <row r="836" spans="1:4" ht="13.9" customHeight="1">
      <c r="A836" s="486"/>
      <c r="B836" s="487"/>
      <c r="D836" s="492"/>
    </row>
    <row r="837" spans="1:4" ht="13.9" customHeight="1">
      <c r="A837" s="486"/>
      <c r="B837" s="487"/>
      <c r="D837" s="492"/>
    </row>
    <row r="838" spans="1:4" ht="13.9" customHeight="1">
      <c r="A838" s="486"/>
      <c r="B838" s="487"/>
      <c r="D838" s="492"/>
    </row>
    <row r="839" spans="1:4" ht="13.9" customHeight="1">
      <c r="A839" s="486"/>
      <c r="B839" s="487"/>
      <c r="D839" s="492"/>
    </row>
    <row r="840" spans="1:4" ht="13.9" customHeight="1">
      <c r="A840" s="486"/>
      <c r="B840" s="487"/>
      <c r="D840" s="492"/>
    </row>
    <row r="841" spans="1:4" ht="13.9" customHeight="1">
      <c r="A841" s="486"/>
      <c r="B841" s="487"/>
      <c r="D841" s="492"/>
    </row>
    <row r="842" spans="1:4" ht="13.9" customHeight="1">
      <c r="A842" s="486"/>
      <c r="B842" s="487"/>
      <c r="D842" s="492"/>
    </row>
    <row r="843" spans="1:4" ht="13.9" customHeight="1">
      <c r="A843" s="486"/>
      <c r="B843" s="487"/>
      <c r="D843" s="492"/>
    </row>
    <row r="844" spans="1:4" ht="13.9" customHeight="1">
      <c r="A844" s="486"/>
      <c r="B844" s="487"/>
      <c r="D844" s="492"/>
    </row>
    <row r="845" spans="1:4" ht="13.9" customHeight="1">
      <c r="A845" s="486"/>
      <c r="B845" s="487"/>
      <c r="D845" s="492"/>
    </row>
    <row r="846" spans="1:4" ht="13.9" customHeight="1">
      <c r="A846" s="486"/>
      <c r="B846" s="487"/>
      <c r="D846" s="492"/>
    </row>
    <row r="847" spans="1:4" ht="13.9" customHeight="1">
      <c r="A847" s="486"/>
      <c r="B847" s="487"/>
      <c r="D847" s="492"/>
    </row>
    <row r="848" spans="1:4" ht="13.9" customHeight="1">
      <c r="A848" s="486"/>
      <c r="B848" s="487"/>
      <c r="D848" s="492"/>
    </row>
    <row r="849" spans="1:4" ht="13.9" customHeight="1">
      <c r="A849" s="486"/>
      <c r="B849" s="487"/>
      <c r="D849" s="492"/>
    </row>
    <row r="850" spans="1:4" ht="13.9" customHeight="1">
      <c r="A850" s="486"/>
      <c r="B850" s="487"/>
      <c r="D850" s="492"/>
    </row>
    <row r="851" spans="1:4" ht="13.9" customHeight="1">
      <c r="A851" s="486"/>
      <c r="B851" s="487"/>
      <c r="D851" s="492"/>
    </row>
    <row r="852" spans="1:4" ht="13.9" customHeight="1">
      <c r="A852" s="486"/>
      <c r="B852" s="487"/>
      <c r="D852" s="492"/>
    </row>
    <row r="853" spans="1:4" ht="13.9" customHeight="1">
      <c r="A853" s="486"/>
      <c r="B853" s="487"/>
      <c r="D853" s="492"/>
    </row>
    <row r="854" spans="1:4" ht="13.9" customHeight="1">
      <c r="A854" s="486"/>
      <c r="B854" s="487"/>
      <c r="D854" s="492"/>
    </row>
    <row r="855" spans="1:4" ht="13.9" customHeight="1">
      <c r="A855" s="486"/>
      <c r="B855" s="487"/>
      <c r="D855" s="492"/>
    </row>
    <row r="856" spans="1:4" ht="13.9" customHeight="1">
      <c r="A856" s="486"/>
      <c r="B856" s="487"/>
      <c r="D856" s="492"/>
    </row>
    <row r="857" spans="1:4" ht="13.9" customHeight="1">
      <c r="A857" s="486"/>
      <c r="B857" s="487"/>
      <c r="D857" s="492"/>
    </row>
    <row r="858" spans="1:4" ht="13.9" customHeight="1">
      <c r="A858" s="486"/>
      <c r="B858" s="487"/>
      <c r="D858" s="492"/>
    </row>
    <row r="859" spans="1:4" ht="13.9" customHeight="1">
      <c r="A859" s="486"/>
      <c r="B859" s="487"/>
      <c r="D859" s="492"/>
    </row>
    <row r="860" spans="1:4" ht="13.9" customHeight="1">
      <c r="A860" s="486"/>
      <c r="B860" s="487"/>
      <c r="D860" s="492"/>
    </row>
    <row r="861" spans="1:4" ht="13.9" customHeight="1">
      <c r="A861" s="486"/>
      <c r="B861" s="487"/>
      <c r="D861" s="492"/>
    </row>
    <row r="862" spans="1:4" ht="13.9" customHeight="1">
      <c r="A862" s="486"/>
      <c r="B862" s="487"/>
      <c r="D862" s="492"/>
    </row>
    <row r="863" spans="1:4" ht="13.9" customHeight="1">
      <c r="A863" s="486"/>
      <c r="B863" s="487"/>
      <c r="D863" s="492"/>
    </row>
    <row r="864" spans="1:4" ht="13.9" customHeight="1">
      <c r="A864" s="486"/>
      <c r="B864" s="487"/>
      <c r="D864" s="492"/>
    </row>
    <row r="865" spans="1:4" ht="13.9" customHeight="1">
      <c r="A865" s="486"/>
      <c r="B865" s="487"/>
      <c r="D865" s="492"/>
    </row>
    <row r="866" spans="1:4" ht="13.9" customHeight="1">
      <c r="A866" s="486"/>
      <c r="B866" s="487"/>
      <c r="D866" s="492"/>
    </row>
    <row r="867" spans="1:4" ht="13.9" customHeight="1">
      <c r="A867" s="486"/>
      <c r="B867" s="487"/>
      <c r="D867" s="492"/>
    </row>
    <row r="868" spans="1:4" ht="13.9" customHeight="1">
      <c r="A868" s="486"/>
      <c r="B868" s="487"/>
      <c r="D868" s="492"/>
    </row>
    <row r="869" spans="1:4" ht="13.9" customHeight="1">
      <c r="A869" s="486"/>
      <c r="B869" s="487"/>
      <c r="D869" s="492"/>
    </row>
    <row r="870" spans="1:4" ht="13.9" customHeight="1">
      <c r="A870" s="486"/>
      <c r="B870" s="487"/>
      <c r="D870" s="492"/>
    </row>
    <row r="871" spans="1:4" ht="13.9" customHeight="1">
      <c r="A871" s="486"/>
      <c r="B871" s="487"/>
      <c r="D871" s="492"/>
    </row>
    <row r="872" spans="1:4" ht="13.9" customHeight="1">
      <c r="A872" s="486"/>
      <c r="B872" s="487"/>
      <c r="D872" s="492"/>
    </row>
    <row r="873" spans="1:4" ht="13.9" customHeight="1">
      <c r="A873" s="486"/>
      <c r="B873" s="487"/>
      <c r="D873" s="492"/>
    </row>
    <row r="874" spans="1:4" ht="13.9" customHeight="1">
      <c r="A874" s="486"/>
      <c r="B874" s="487"/>
      <c r="D874" s="492"/>
    </row>
    <row r="875" spans="1:4" ht="13.9" customHeight="1">
      <c r="A875" s="486"/>
      <c r="B875" s="487"/>
      <c r="D875" s="492"/>
    </row>
    <row r="876" spans="1:4" ht="13.9" customHeight="1">
      <c r="A876" s="486"/>
      <c r="B876" s="487"/>
      <c r="D876" s="492"/>
    </row>
    <row r="877" spans="1:4" ht="13.9" customHeight="1">
      <c r="A877" s="486"/>
      <c r="B877" s="487"/>
      <c r="D877" s="492"/>
    </row>
    <row r="878" spans="1:4" ht="13.9" customHeight="1">
      <c r="A878" s="486"/>
      <c r="B878" s="487"/>
      <c r="D878" s="492"/>
    </row>
    <row r="879" spans="1:4" ht="13.9" customHeight="1">
      <c r="A879" s="486"/>
      <c r="B879" s="487"/>
      <c r="D879" s="492"/>
    </row>
    <row r="880" spans="1:4" ht="13.9" customHeight="1">
      <c r="A880" s="486"/>
      <c r="B880" s="487"/>
      <c r="D880" s="492"/>
    </row>
    <row r="881" spans="1:4" ht="13.9" customHeight="1">
      <c r="A881" s="486"/>
      <c r="B881" s="487"/>
      <c r="D881" s="492"/>
    </row>
    <row r="882" spans="1:4" ht="13.9" customHeight="1">
      <c r="A882" s="486"/>
      <c r="B882" s="487"/>
      <c r="D882" s="492"/>
    </row>
    <row r="883" spans="1:4" ht="13.9" customHeight="1">
      <c r="A883" s="486"/>
      <c r="B883" s="487"/>
      <c r="D883" s="492"/>
    </row>
    <row r="884" spans="1:4" ht="13.9" customHeight="1">
      <c r="A884" s="486"/>
      <c r="B884" s="487"/>
      <c r="D884" s="492"/>
    </row>
    <row r="885" spans="1:4" ht="13.9" customHeight="1">
      <c r="A885" s="486"/>
      <c r="B885" s="487"/>
      <c r="D885" s="492"/>
    </row>
    <row r="886" spans="1:4" ht="13.9" customHeight="1">
      <c r="A886" s="486"/>
      <c r="B886" s="487"/>
      <c r="D886" s="492"/>
    </row>
    <row r="887" spans="1:4" ht="13.9" customHeight="1">
      <c r="A887" s="486"/>
      <c r="B887" s="487"/>
      <c r="D887" s="492"/>
    </row>
    <row r="888" spans="1:4" ht="13.9" customHeight="1">
      <c r="A888" s="486"/>
      <c r="B888" s="487"/>
      <c r="D888" s="492"/>
    </row>
    <row r="889" spans="1:4" ht="13.9" customHeight="1">
      <c r="A889" s="486"/>
      <c r="B889" s="487"/>
      <c r="D889" s="492"/>
    </row>
    <row r="890" spans="1:4" ht="13.9" customHeight="1">
      <c r="A890" s="486"/>
      <c r="B890" s="487"/>
      <c r="D890" s="492"/>
    </row>
    <row r="891" spans="1:4" ht="13.9" customHeight="1">
      <c r="A891" s="486"/>
      <c r="B891" s="487"/>
      <c r="D891" s="492"/>
    </row>
    <row r="892" spans="1:4" ht="13.9" customHeight="1">
      <c r="A892" s="486"/>
      <c r="B892" s="487"/>
      <c r="D892" s="492"/>
    </row>
    <row r="893" spans="1:4" ht="13.9" customHeight="1">
      <c r="A893" s="486"/>
      <c r="B893" s="487"/>
      <c r="D893" s="492"/>
    </row>
    <row r="894" spans="1:4" ht="13.9" customHeight="1">
      <c r="A894" s="486"/>
      <c r="B894" s="487"/>
      <c r="D894" s="492"/>
    </row>
    <row r="895" spans="1:4" ht="13.9" customHeight="1">
      <c r="A895" s="486"/>
      <c r="B895" s="487"/>
      <c r="D895" s="492"/>
    </row>
    <row r="896" spans="1:4" ht="13.9" customHeight="1">
      <c r="A896" s="486"/>
      <c r="B896" s="487"/>
      <c r="D896" s="492"/>
    </row>
    <row r="897" spans="1:4" ht="13.9" customHeight="1">
      <c r="A897" s="486"/>
      <c r="B897" s="487"/>
      <c r="D897" s="492"/>
    </row>
    <row r="898" spans="1:4" ht="13.9" customHeight="1">
      <c r="A898" s="486"/>
      <c r="B898" s="487"/>
      <c r="D898" s="492"/>
    </row>
    <row r="899" spans="1:4" ht="13.9" customHeight="1">
      <c r="A899" s="486"/>
      <c r="B899" s="487"/>
      <c r="D899" s="492"/>
    </row>
    <row r="900" spans="1:4" ht="13.9" customHeight="1">
      <c r="A900" s="486"/>
      <c r="B900" s="487"/>
      <c r="D900" s="492"/>
    </row>
    <row r="901" spans="1:4" ht="13.9" customHeight="1">
      <c r="A901" s="486"/>
      <c r="B901" s="487"/>
      <c r="D901" s="492"/>
    </row>
    <row r="902" spans="1:4" ht="13.9" customHeight="1">
      <c r="A902" s="486"/>
      <c r="B902" s="487"/>
      <c r="D902" s="492"/>
    </row>
    <row r="903" spans="1:4" ht="13.9" customHeight="1">
      <c r="A903" s="486"/>
      <c r="B903" s="487"/>
      <c r="D903" s="492"/>
    </row>
    <row r="904" spans="1:4" ht="13.9" customHeight="1">
      <c r="A904" s="486"/>
      <c r="B904" s="487"/>
      <c r="D904" s="492"/>
    </row>
    <row r="905" spans="1:4" ht="13.9" customHeight="1">
      <c r="A905" s="486"/>
      <c r="B905" s="487"/>
      <c r="D905" s="492"/>
    </row>
    <row r="906" spans="1:4" ht="13.9" customHeight="1">
      <c r="A906" s="486"/>
      <c r="B906" s="487"/>
      <c r="D906" s="492"/>
    </row>
    <row r="907" spans="1:4" ht="13.9" customHeight="1">
      <c r="A907" s="486"/>
      <c r="B907" s="487"/>
      <c r="D907" s="492"/>
    </row>
    <row r="908" spans="1:4" ht="13.9" customHeight="1">
      <c r="A908" s="486"/>
      <c r="B908" s="487"/>
      <c r="D908" s="492"/>
    </row>
    <row r="909" spans="1:4" ht="13.9" customHeight="1">
      <c r="A909" s="486"/>
      <c r="B909" s="487"/>
      <c r="D909" s="492"/>
    </row>
    <row r="910" spans="1:4" ht="13.9" customHeight="1">
      <c r="A910" s="486"/>
      <c r="B910" s="487"/>
      <c r="D910" s="492"/>
    </row>
    <row r="911" spans="1:4" ht="13.9" customHeight="1">
      <c r="A911" s="486"/>
      <c r="B911" s="487"/>
      <c r="D911" s="492"/>
    </row>
    <row r="912" spans="1:4" ht="13.9" customHeight="1">
      <c r="A912" s="486"/>
      <c r="B912" s="487"/>
      <c r="D912" s="492"/>
    </row>
    <row r="913" spans="1:4" ht="13.9" customHeight="1">
      <c r="A913" s="486"/>
      <c r="B913" s="487"/>
      <c r="D913" s="492"/>
    </row>
    <row r="914" spans="1:4" ht="13.9" customHeight="1">
      <c r="A914" s="486"/>
      <c r="B914" s="487"/>
      <c r="D914" s="492"/>
    </row>
    <row r="915" spans="1:4" ht="13.9" customHeight="1">
      <c r="A915" s="486"/>
      <c r="B915" s="487"/>
      <c r="D915" s="492"/>
    </row>
    <row r="916" spans="1:4" ht="13.9" customHeight="1">
      <c r="A916" s="486"/>
      <c r="B916" s="487"/>
      <c r="D916" s="492"/>
    </row>
    <row r="917" spans="1:4" ht="13.9" customHeight="1">
      <c r="A917" s="486"/>
      <c r="B917" s="487"/>
      <c r="D917" s="492"/>
    </row>
    <row r="918" spans="1:4" ht="13.9" customHeight="1">
      <c r="A918" s="486"/>
      <c r="B918" s="487"/>
      <c r="D918" s="492"/>
    </row>
    <row r="919" spans="1:4" ht="13.9" customHeight="1">
      <c r="A919" s="486"/>
      <c r="B919" s="487"/>
      <c r="D919" s="492"/>
    </row>
    <row r="920" spans="1:4" ht="13.9" customHeight="1">
      <c r="A920" s="486"/>
      <c r="B920" s="487"/>
      <c r="D920" s="492"/>
    </row>
    <row r="921" spans="1:4" ht="13.9" customHeight="1">
      <c r="A921" s="486"/>
      <c r="B921" s="487"/>
      <c r="D921" s="492"/>
    </row>
    <row r="922" spans="1:4" ht="13.9" customHeight="1">
      <c r="A922" s="486"/>
      <c r="B922" s="487"/>
      <c r="D922" s="492"/>
    </row>
    <row r="923" spans="1:4" ht="13.9" customHeight="1">
      <c r="A923" s="486"/>
      <c r="B923" s="487"/>
      <c r="D923" s="492"/>
    </row>
    <row r="924" spans="1:4" ht="13.9" customHeight="1">
      <c r="A924" s="486"/>
      <c r="B924" s="487"/>
      <c r="D924" s="492"/>
    </row>
    <row r="925" spans="1:4" ht="13.9" customHeight="1">
      <c r="A925" s="486"/>
      <c r="B925" s="487"/>
      <c r="D925" s="492"/>
    </row>
    <row r="926" spans="1:4" ht="13.9" customHeight="1">
      <c r="A926" s="486"/>
      <c r="B926" s="487"/>
      <c r="D926" s="492"/>
    </row>
    <row r="927" spans="1:4" ht="13.9" customHeight="1">
      <c r="A927" s="486"/>
      <c r="B927" s="487"/>
      <c r="D927" s="492"/>
    </row>
    <row r="928" spans="1:4" ht="13.9" customHeight="1">
      <c r="A928" s="486"/>
      <c r="B928" s="487"/>
      <c r="D928" s="492"/>
    </row>
    <row r="929" spans="1:4" ht="13.9" customHeight="1">
      <c r="A929" s="486"/>
      <c r="B929" s="487"/>
      <c r="D929" s="492"/>
    </row>
    <row r="930" spans="1:4" ht="13.9" customHeight="1">
      <c r="A930" s="486"/>
      <c r="B930" s="487"/>
      <c r="D930" s="492"/>
    </row>
    <row r="931" spans="1:4" ht="13.9" customHeight="1">
      <c r="A931" s="486"/>
      <c r="B931" s="487"/>
      <c r="D931" s="492"/>
    </row>
    <row r="932" spans="1:4" ht="13.9" customHeight="1">
      <c r="A932" s="486"/>
      <c r="B932" s="487"/>
      <c r="D932" s="492"/>
    </row>
    <row r="933" spans="1:4" ht="13.9" customHeight="1">
      <c r="A933" s="486"/>
      <c r="B933" s="487"/>
      <c r="D933" s="492"/>
    </row>
    <row r="934" spans="1:4" ht="13.9" customHeight="1">
      <c r="A934" s="486"/>
      <c r="B934" s="487"/>
      <c r="D934" s="492"/>
    </row>
    <row r="935" spans="1:4" ht="13.9" customHeight="1">
      <c r="A935" s="486"/>
      <c r="B935" s="487"/>
      <c r="D935" s="492"/>
    </row>
    <row r="936" spans="1:4" ht="13.9" customHeight="1">
      <c r="A936" s="486"/>
      <c r="B936" s="487"/>
      <c r="D936" s="492"/>
    </row>
    <row r="937" spans="1:4" ht="13.9" customHeight="1">
      <c r="A937" s="486"/>
      <c r="B937" s="487"/>
      <c r="D937" s="492"/>
    </row>
    <row r="938" spans="1:4" ht="13.9" customHeight="1">
      <c r="A938" s="486"/>
      <c r="B938" s="487"/>
      <c r="D938" s="492"/>
    </row>
    <row r="939" spans="1:4" ht="13.9" customHeight="1">
      <c r="A939" s="486"/>
      <c r="B939" s="487"/>
      <c r="D939" s="492"/>
    </row>
    <row r="940" spans="1:4" ht="13.9" customHeight="1">
      <c r="A940" s="486"/>
      <c r="B940" s="487"/>
      <c r="D940" s="492"/>
    </row>
    <row r="941" spans="1:4" ht="13.9" customHeight="1">
      <c r="A941" s="486"/>
      <c r="B941" s="487"/>
      <c r="D941" s="492"/>
    </row>
    <row r="942" spans="1:4" ht="13.9" customHeight="1">
      <c r="A942" s="486"/>
      <c r="B942" s="487"/>
      <c r="D942" s="492"/>
    </row>
    <row r="943" spans="1:4" ht="13.9" customHeight="1">
      <c r="A943" s="486"/>
      <c r="B943" s="487"/>
      <c r="D943" s="492"/>
    </row>
    <row r="944" spans="1:4" ht="13.9" customHeight="1">
      <c r="A944" s="486"/>
      <c r="B944" s="487"/>
      <c r="D944" s="492"/>
    </row>
    <row r="945" spans="1:4" ht="13.9" customHeight="1">
      <c r="A945" s="486"/>
      <c r="B945" s="487"/>
      <c r="D945" s="492"/>
    </row>
    <row r="946" spans="1:4" ht="13.9" customHeight="1">
      <c r="A946" s="486"/>
      <c r="B946" s="487"/>
      <c r="D946" s="492"/>
    </row>
    <row r="947" spans="1:4" ht="13.9" customHeight="1">
      <c r="A947" s="486"/>
      <c r="B947" s="487"/>
      <c r="D947" s="492"/>
    </row>
    <row r="948" spans="1:4" ht="13.9" customHeight="1">
      <c r="A948" s="486"/>
      <c r="B948" s="487"/>
      <c r="D948" s="492"/>
    </row>
    <row r="949" spans="1:4" ht="13.9" customHeight="1">
      <c r="A949" s="486"/>
      <c r="B949" s="487"/>
      <c r="D949" s="492"/>
    </row>
    <row r="950" spans="1:4" ht="13.9" customHeight="1">
      <c r="A950" s="486"/>
      <c r="B950" s="487"/>
      <c r="D950" s="492"/>
    </row>
    <row r="951" spans="1:4" ht="13.9" customHeight="1">
      <c r="A951" s="486"/>
      <c r="B951" s="487"/>
      <c r="D951" s="492"/>
    </row>
    <row r="952" spans="1:4" ht="13.9" customHeight="1">
      <c r="A952" s="486"/>
      <c r="B952" s="487"/>
      <c r="D952" s="492"/>
    </row>
    <row r="953" spans="1:4" ht="13.9" customHeight="1">
      <c r="A953" s="486"/>
      <c r="B953" s="487"/>
      <c r="D953" s="492"/>
    </row>
    <row r="954" spans="1:4" ht="13.9" customHeight="1">
      <c r="A954" s="486"/>
      <c r="B954" s="487"/>
      <c r="D954" s="492"/>
    </row>
    <row r="955" spans="1:4" ht="13.9" customHeight="1">
      <c r="A955" s="486"/>
      <c r="B955" s="487"/>
      <c r="D955" s="492"/>
    </row>
    <row r="956" spans="1:4" ht="13.9" customHeight="1">
      <c r="A956" s="486"/>
      <c r="B956" s="487"/>
      <c r="D956" s="492"/>
    </row>
    <row r="957" spans="1:4" ht="13.9" customHeight="1">
      <c r="A957" s="486"/>
      <c r="B957" s="487"/>
      <c r="D957" s="492"/>
    </row>
    <row r="958" spans="1:4" ht="13.9" customHeight="1">
      <c r="A958" s="486"/>
      <c r="B958" s="487"/>
      <c r="D958" s="492"/>
    </row>
    <row r="959" spans="1:4" ht="13.9" customHeight="1">
      <c r="A959" s="486"/>
      <c r="B959" s="487"/>
      <c r="D959" s="492"/>
    </row>
    <row r="960" spans="1:4" ht="13.9" customHeight="1">
      <c r="A960" s="486"/>
      <c r="B960" s="487"/>
      <c r="D960" s="492"/>
    </row>
    <row r="961" spans="1:4" ht="13.9" customHeight="1">
      <c r="A961" s="486"/>
      <c r="B961" s="487"/>
      <c r="D961" s="492"/>
    </row>
    <row r="962" spans="1:4" ht="13.9" customHeight="1">
      <c r="A962" s="486"/>
      <c r="B962" s="487"/>
      <c r="D962" s="492"/>
    </row>
    <row r="963" spans="1:4" ht="13.9" customHeight="1">
      <c r="A963" s="486"/>
      <c r="B963" s="487"/>
      <c r="D963" s="492"/>
    </row>
    <row r="964" spans="1:4" ht="13.9" customHeight="1">
      <c r="A964" s="486"/>
      <c r="B964" s="487"/>
      <c r="D964" s="492"/>
    </row>
    <row r="965" spans="1:4" ht="13.9" customHeight="1">
      <c r="A965" s="486"/>
      <c r="B965" s="487"/>
      <c r="D965" s="492"/>
    </row>
    <row r="966" spans="1:4" ht="13.9" customHeight="1">
      <c r="A966" s="486"/>
      <c r="B966" s="487"/>
      <c r="D966" s="492"/>
    </row>
    <row r="967" spans="1:4" ht="13.9" customHeight="1">
      <c r="A967" s="486"/>
      <c r="B967" s="487"/>
      <c r="D967" s="492"/>
    </row>
    <row r="968" spans="1:4" ht="13.9" customHeight="1">
      <c r="A968" s="486"/>
      <c r="B968" s="487"/>
      <c r="D968" s="492"/>
    </row>
    <row r="969" spans="1:4" ht="13.9" customHeight="1">
      <c r="A969" s="486"/>
      <c r="B969" s="487"/>
      <c r="D969" s="492"/>
    </row>
    <row r="970" spans="1:4" ht="13.9" customHeight="1">
      <c r="A970" s="486"/>
      <c r="B970" s="487"/>
      <c r="D970" s="492"/>
    </row>
    <row r="971" spans="1:4" ht="13.9" customHeight="1">
      <c r="A971" s="486"/>
      <c r="B971" s="487"/>
      <c r="D971" s="492"/>
    </row>
    <row r="972" spans="1:4" ht="13.9" customHeight="1">
      <c r="A972" s="486"/>
      <c r="B972" s="487"/>
      <c r="D972" s="492"/>
    </row>
    <row r="973" spans="1:4" ht="13.9" customHeight="1">
      <c r="A973" s="486"/>
      <c r="B973" s="487"/>
      <c r="D973" s="492"/>
    </row>
    <row r="974" spans="1:4" ht="13.9" customHeight="1">
      <c r="A974" s="486"/>
      <c r="B974" s="487"/>
      <c r="D974" s="492"/>
    </row>
    <row r="975" spans="1:4" ht="13.9" customHeight="1">
      <c r="A975" s="486"/>
      <c r="B975" s="487"/>
      <c r="D975" s="492"/>
    </row>
    <row r="976" spans="1:4" ht="13.9" customHeight="1">
      <c r="A976" s="486"/>
      <c r="B976" s="487"/>
      <c r="D976" s="492"/>
    </row>
    <row r="977" spans="1:4" ht="13.9" customHeight="1">
      <c r="A977" s="486"/>
      <c r="B977" s="487"/>
      <c r="D977" s="492"/>
    </row>
    <row r="978" spans="1:4" ht="13.9" customHeight="1">
      <c r="A978" s="486"/>
      <c r="B978" s="487"/>
      <c r="D978" s="492"/>
    </row>
    <row r="979" spans="1:4" ht="13.9" customHeight="1">
      <c r="A979" s="486"/>
      <c r="B979" s="487"/>
      <c r="D979" s="492"/>
    </row>
    <row r="980" spans="1:4" ht="13.9" customHeight="1">
      <c r="A980" s="486"/>
      <c r="B980" s="487"/>
      <c r="D980" s="492"/>
    </row>
    <row r="981" spans="1:4" ht="13.9" customHeight="1">
      <c r="A981" s="486"/>
      <c r="B981" s="487"/>
      <c r="D981" s="492"/>
    </row>
    <row r="982" spans="1:4" ht="13.9" customHeight="1">
      <c r="A982" s="486"/>
      <c r="B982" s="487"/>
      <c r="D982" s="492"/>
    </row>
    <row r="983" spans="1:4" ht="13.9" customHeight="1">
      <c r="A983" s="486"/>
      <c r="B983" s="487"/>
      <c r="D983" s="492"/>
    </row>
    <row r="984" spans="1:4" ht="13.9" customHeight="1">
      <c r="A984" s="486"/>
      <c r="B984" s="487"/>
      <c r="D984" s="492"/>
    </row>
    <row r="985" spans="1:4" ht="13.9" customHeight="1">
      <c r="A985" s="486"/>
      <c r="B985" s="487"/>
      <c r="D985" s="492"/>
    </row>
    <row r="986" spans="1:4" ht="13.9" customHeight="1">
      <c r="A986" s="486"/>
      <c r="B986" s="487"/>
      <c r="D986" s="492"/>
    </row>
    <row r="987" spans="1:4" ht="13.9" customHeight="1">
      <c r="A987" s="486"/>
      <c r="B987" s="487"/>
      <c r="D987" s="492"/>
    </row>
    <row r="988" spans="1:4" ht="13.9" customHeight="1">
      <c r="A988" s="486"/>
      <c r="B988" s="487"/>
      <c r="D988" s="492"/>
    </row>
    <row r="989" spans="1:4" ht="13.9" customHeight="1">
      <c r="A989" s="486"/>
      <c r="B989" s="487"/>
      <c r="D989" s="492"/>
    </row>
    <row r="990" spans="1:4" ht="13.9" customHeight="1">
      <c r="A990" s="486"/>
      <c r="B990" s="487"/>
      <c r="D990" s="492"/>
    </row>
    <row r="991" spans="1:4" ht="13.9" customHeight="1">
      <c r="A991" s="486"/>
      <c r="B991" s="487"/>
      <c r="D991" s="492"/>
    </row>
    <row r="992" spans="1:4" ht="13.9" customHeight="1">
      <c r="A992" s="486"/>
      <c r="B992" s="487"/>
      <c r="D992" s="492"/>
    </row>
    <row r="993" spans="1:4" ht="13.9" customHeight="1">
      <c r="A993" s="486"/>
      <c r="B993" s="487"/>
      <c r="D993" s="492"/>
    </row>
    <row r="994" spans="1:4" ht="13.9" customHeight="1">
      <c r="A994" s="486"/>
      <c r="B994" s="487"/>
      <c r="D994" s="492"/>
    </row>
    <row r="995" spans="1:4" ht="13.9" customHeight="1">
      <c r="A995" s="486"/>
      <c r="B995" s="487"/>
      <c r="D995" s="492"/>
    </row>
    <row r="996" spans="1:4" ht="13.9" customHeight="1">
      <c r="A996" s="486"/>
      <c r="B996" s="487"/>
      <c r="D996" s="492"/>
    </row>
    <row r="997" spans="1:4" ht="13.9" customHeight="1">
      <c r="A997" s="486"/>
      <c r="B997" s="487"/>
      <c r="D997" s="492"/>
    </row>
    <row r="998" spans="1:4" ht="13.9" customHeight="1">
      <c r="A998" s="486"/>
      <c r="B998" s="487"/>
      <c r="D998" s="492"/>
    </row>
    <row r="999" spans="1:4" ht="13.9" customHeight="1">
      <c r="A999" s="486"/>
      <c r="B999" s="487"/>
      <c r="D999" s="492"/>
    </row>
    <row r="1000" spans="1:4" ht="13.9" customHeight="1">
      <c r="A1000" s="486"/>
      <c r="B1000" s="487"/>
      <c r="D1000" s="492"/>
    </row>
  </sheetData>
  <mergeCells count="6">
    <mergeCell ref="B135:B140"/>
    <mergeCell ref="D126:E126"/>
    <mergeCell ref="D127:E127"/>
    <mergeCell ref="D128:E128"/>
    <mergeCell ref="B133:C134"/>
    <mergeCell ref="D133:F133"/>
  </mergeCells>
  <pageMargins left="0.7" right="0.7" top="0.75" bottom="0.75" header="0" footer="0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5"/>
    <pageSetUpPr fitToPage="1"/>
  </sheetPr>
  <dimension ref="A1:EB3818"/>
  <sheetViews>
    <sheetView view="pageBreakPreview" zoomScale="60" zoomScaleNormal="85" workbookViewId="0">
      <pane xSplit="10" ySplit="9" topLeftCell="K389" activePane="bottomRight" state="frozen"/>
      <selection pane="topRight" activeCell="K1" sqref="K1"/>
      <selection pane="bottomLeft" activeCell="A10" sqref="A10"/>
      <selection pane="bottomRight" activeCell="C407" sqref="C407"/>
    </sheetView>
  </sheetViews>
  <sheetFormatPr defaultColWidth="0" defaultRowHeight="15" zeroHeight="1"/>
  <cols>
    <col min="1" max="1" width="1.7109375" style="3" customWidth="1"/>
    <col min="2" max="2" width="2.42578125" customWidth="1"/>
    <col min="3" max="3" width="72" customWidth="1"/>
    <col min="4" max="4" width="1.7109375" customWidth="1"/>
    <col min="5" max="5" width="17.7109375" customWidth="1"/>
    <col min="6" max="6" width="1.7109375" customWidth="1"/>
    <col min="7" max="7" width="17.7109375" style="206" customWidth="1"/>
    <col min="8" max="8" width="14.7109375" customWidth="1"/>
    <col min="9" max="9" width="12.7109375" customWidth="1"/>
    <col min="10" max="11" width="1.7109375" customWidth="1"/>
    <col min="12" max="93" width="12.42578125" customWidth="1"/>
    <col min="94" max="94" width="1.7109375" style="3" customWidth="1"/>
    <col min="95" max="130" width="0" hidden="1" customWidth="1"/>
    <col min="131" max="16384" width="8.7109375" hidden="1"/>
  </cols>
  <sheetData>
    <row r="1" spans="1:94">
      <c r="B1" s="3"/>
      <c r="C1" s="3"/>
      <c r="D1" s="3"/>
      <c r="E1" s="3"/>
      <c r="F1" s="3"/>
      <c r="G1" s="202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4" ht="22.5" customHeight="1"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4" ht="15" customHeight="1">
      <c r="B3" s="3"/>
      <c r="C3" s="3"/>
      <c r="D3" s="3"/>
      <c r="E3" s="85" t="s">
        <v>17</v>
      </c>
      <c r="F3" s="10"/>
      <c r="G3" s="142"/>
      <c r="H3" s="10"/>
      <c r="I3" s="10"/>
      <c r="J3" s="10"/>
      <c r="K3" s="10"/>
      <c r="L3" s="10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</row>
    <row r="4" spans="1:94" ht="15" customHeight="1">
      <c r="B4" s="99"/>
      <c r="C4" s="99" t="s">
        <v>475</v>
      </c>
      <c r="D4" s="197"/>
      <c r="E4" s="65" t="b">
        <f ca="1">IF((Overall_Check=TRUE),TRUE,FALSE)</f>
        <v>1</v>
      </c>
      <c r="F4" s="10"/>
      <c r="G4" s="142"/>
      <c r="H4" s="10"/>
      <c r="I4" s="10"/>
      <c r="J4" s="10"/>
      <c r="K4" s="10"/>
      <c r="L4" s="10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</row>
    <row r="5" spans="1:94" ht="15" customHeight="1">
      <c r="B5" s="3"/>
      <c r="C5" s="3"/>
      <c r="D5" s="3"/>
      <c r="E5" s="3"/>
      <c r="F5" s="10"/>
      <c r="G5" s="142"/>
      <c r="H5" s="10"/>
      <c r="I5" s="10"/>
      <c r="J5" s="10"/>
      <c r="K5" s="10"/>
      <c r="L5" s="10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</row>
    <row r="6" spans="1:94" ht="22.5" customHeight="1">
      <c r="A6" s="8"/>
      <c r="B6" s="5" t="s">
        <v>21</v>
      </c>
      <c r="C6" s="5"/>
      <c r="D6" s="5"/>
      <c r="E6" s="5" t="s">
        <v>22</v>
      </c>
      <c r="F6" s="5"/>
      <c r="G6" s="6" t="s">
        <v>23</v>
      </c>
      <c r="H6" s="5" t="s">
        <v>24</v>
      </c>
      <c r="I6" s="5"/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  <c r="CP6" s="8"/>
    </row>
    <row r="7" spans="1:94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AQ7" si="1">IF(K7="",Date_Model_Start,K8+1)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ref="AR7:BW7" si="2">IF(AQ7="",Date_Model_Start,AQ8+1)</f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ref="BX7:CO7" si="3">IF(BW7="",Date_Model_Start,BW8+1)</f>
        <v>51502</v>
      </c>
      <c r="BY7" s="113">
        <f t="shared" si="3"/>
        <v>51592</v>
      </c>
      <c r="BZ7" s="113">
        <f t="shared" si="3"/>
        <v>51683</v>
      </c>
      <c r="CA7" s="113">
        <f t="shared" si="3"/>
        <v>51775</v>
      </c>
      <c r="CB7" s="113">
        <f t="shared" si="3"/>
        <v>51867</v>
      </c>
      <c r="CC7" s="113">
        <f t="shared" si="3"/>
        <v>51957</v>
      </c>
      <c r="CD7" s="113">
        <f t="shared" si="3"/>
        <v>52048</v>
      </c>
      <c r="CE7" s="113">
        <f t="shared" si="3"/>
        <v>52140</v>
      </c>
      <c r="CF7" s="113">
        <f t="shared" si="3"/>
        <v>52232</v>
      </c>
      <c r="CG7" s="113">
        <f t="shared" si="3"/>
        <v>52322</v>
      </c>
      <c r="CH7" s="113">
        <f t="shared" si="3"/>
        <v>52413</v>
      </c>
      <c r="CI7" s="113">
        <f t="shared" si="3"/>
        <v>52505</v>
      </c>
      <c r="CJ7" s="113">
        <f t="shared" si="3"/>
        <v>52597</v>
      </c>
      <c r="CK7" s="113">
        <f t="shared" si="3"/>
        <v>52688</v>
      </c>
      <c r="CL7" s="113">
        <f t="shared" si="3"/>
        <v>52779</v>
      </c>
      <c r="CM7" s="113">
        <f t="shared" si="3"/>
        <v>52871</v>
      </c>
      <c r="CN7" s="113">
        <f t="shared" si="3"/>
        <v>52963</v>
      </c>
      <c r="CO7" s="113">
        <f t="shared" si="3"/>
        <v>53053</v>
      </c>
      <c r="CP7" s="9"/>
    </row>
    <row r="8" spans="1:94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4">EOMONTH(L$7,Months_in_Period-1)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si="4"/>
        <v>51591</v>
      </c>
      <c r="BY8" s="113">
        <f t="shared" si="4"/>
        <v>51682</v>
      </c>
      <c r="BZ8" s="113">
        <f t="shared" si="4"/>
        <v>51774</v>
      </c>
      <c r="CA8" s="113">
        <f t="shared" si="4"/>
        <v>51866</v>
      </c>
      <c r="CB8" s="113">
        <f t="shared" si="4"/>
        <v>51956</v>
      </c>
      <c r="CC8" s="113">
        <f t="shared" si="4"/>
        <v>52047</v>
      </c>
      <c r="CD8" s="113">
        <f t="shared" si="4"/>
        <v>52139</v>
      </c>
      <c r="CE8" s="113">
        <f t="shared" si="4"/>
        <v>52231</v>
      </c>
      <c r="CF8" s="113">
        <f t="shared" si="4"/>
        <v>52321</v>
      </c>
      <c r="CG8" s="113">
        <f t="shared" si="4"/>
        <v>52412</v>
      </c>
      <c r="CH8" s="113">
        <f t="shared" si="4"/>
        <v>52504</v>
      </c>
      <c r="CI8" s="113">
        <f t="shared" si="4"/>
        <v>52596</v>
      </c>
      <c r="CJ8" s="113">
        <f t="shared" si="4"/>
        <v>52687</v>
      </c>
      <c r="CK8" s="113">
        <f t="shared" si="4"/>
        <v>52778</v>
      </c>
      <c r="CL8" s="113">
        <f t="shared" si="4"/>
        <v>52870</v>
      </c>
      <c r="CM8" s="113">
        <f t="shared" si="4"/>
        <v>52962</v>
      </c>
      <c r="CN8" s="113">
        <f t="shared" si="4"/>
        <v>53052</v>
      </c>
      <c r="CO8" s="113">
        <f t="shared" si="4"/>
        <v>53143</v>
      </c>
      <c r="CP8" s="9"/>
    </row>
    <row r="9" spans="1:94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5">IF(Flag_Construction,1,2)*Flag_Financial_Model</f>
        <v>1</v>
      </c>
      <c r="M9" s="152">
        <f t="shared" si="5"/>
        <v>1</v>
      </c>
      <c r="N9" s="152">
        <f t="shared" si="5"/>
        <v>1</v>
      </c>
      <c r="O9" s="152">
        <f t="shared" si="5"/>
        <v>1</v>
      </c>
      <c r="P9" s="152">
        <f t="shared" si="5"/>
        <v>1</v>
      </c>
      <c r="Q9" s="152">
        <f t="shared" si="5"/>
        <v>1</v>
      </c>
      <c r="R9" s="152">
        <f t="shared" si="5"/>
        <v>1</v>
      </c>
      <c r="S9" s="152">
        <f t="shared" si="5"/>
        <v>1</v>
      </c>
      <c r="T9" s="152">
        <f t="shared" si="5"/>
        <v>1</v>
      </c>
      <c r="U9" s="152">
        <f t="shared" si="5"/>
        <v>1</v>
      </c>
      <c r="V9" s="152">
        <f t="shared" si="5"/>
        <v>1</v>
      </c>
      <c r="W9" s="152">
        <f t="shared" si="5"/>
        <v>1</v>
      </c>
      <c r="X9" s="152">
        <f t="shared" si="5"/>
        <v>1</v>
      </c>
      <c r="Y9" s="152">
        <f t="shared" si="5"/>
        <v>1</v>
      </c>
      <c r="Z9" s="152">
        <f t="shared" si="5"/>
        <v>1</v>
      </c>
      <c r="AA9" s="152">
        <f t="shared" si="5"/>
        <v>1</v>
      </c>
      <c r="AB9" s="152">
        <f t="shared" si="5"/>
        <v>1</v>
      </c>
      <c r="AC9" s="152">
        <f t="shared" si="5"/>
        <v>2</v>
      </c>
      <c r="AD9" s="152">
        <f t="shared" si="5"/>
        <v>2</v>
      </c>
      <c r="AE9" s="152">
        <f t="shared" si="5"/>
        <v>2</v>
      </c>
      <c r="AF9" s="152">
        <f t="shared" si="5"/>
        <v>2</v>
      </c>
      <c r="AG9" s="152">
        <f t="shared" si="5"/>
        <v>2</v>
      </c>
      <c r="AH9" s="152">
        <f t="shared" si="5"/>
        <v>2</v>
      </c>
      <c r="AI9" s="152">
        <f t="shared" si="5"/>
        <v>2</v>
      </c>
      <c r="AJ9" s="152">
        <f t="shared" si="5"/>
        <v>2</v>
      </c>
      <c r="AK9" s="152">
        <f t="shared" si="5"/>
        <v>2</v>
      </c>
      <c r="AL9" s="152">
        <f t="shared" si="5"/>
        <v>2</v>
      </c>
      <c r="AM9" s="152">
        <f t="shared" si="5"/>
        <v>2</v>
      </c>
      <c r="AN9" s="152">
        <f t="shared" si="5"/>
        <v>2</v>
      </c>
      <c r="AO9" s="152">
        <f t="shared" si="5"/>
        <v>2</v>
      </c>
      <c r="AP9" s="152">
        <f t="shared" si="5"/>
        <v>2</v>
      </c>
      <c r="AQ9" s="152">
        <f t="shared" si="5"/>
        <v>2</v>
      </c>
      <c r="AR9" s="152">
        <f t="shared" si="5"/>
        <v>2</v>
      </c>
      <c r="AS9" s="152">
        <f t="shared" si="5"/>
        <v>2</v>
      </c>
      <c r="AT9" s="152">
        <f t="shared" si="5"/>
        <v>2</v>
      </c>
      <c r="AU9" s="152">
        <f t="shared" si="5"/>
        <v>2</v>
      </c>
      <c r="AV9" s="152">
        <f t="shared" si="5"/>
        <v>2</v>
      </c>
      <c r="AW9" s="152">
        <f t="shared" si="5"/>
        <v>2</v>
      </c>
      <c r="AX9" s="152">
        <f t="shared" si="5"/>
        <v>2</v>
      </c>
      <c r="AY9" s="152">
        <f t="shared" si="5"/>
        <v>2</v>
      </c>
      <c r="AZ9" s="152">
        <f t="shared" si="5"/>
        <v>2</v>
      </c>
      <c r="BA9" s="152">
        <f t="shared" si="5"/>
        <v>2</v>
      </c>
      <c r="BB9" s="152">
        <f t="shared" si="5"/>
        <v>2</v>
      </c>
      <c r="BC9" s="152">
        <f t="shared" si="5"/>
        <v>2</v>
      </c>
      <c r="BD9" s="152">
        <f t="shared" si="5"/>
        <v>2</v>
      </c>
      <c r="BE9" s="152">
        <f t="shared" si="5"/>
        <v>2</v>
      </c>
      <c r="BF9" s="152">
        <f t="shared" si="5"/>
        <v>2</v>
      </c>
      <c r="BG9" s="152">
        <f t="shared" si="5"/>
        <v>2</v>
      </c>
      <c r="BH9" s="152">
        <f t="shared" si="5"/>
        <v>2</v>
      </c>
      <c r="BI9" s="152">
        <f t="shared" si="5"/>
        <v>2</v>
      </c>
      <c r="BJ9" s="152">
        <f t="shared" si="5"/>
        <v>2</v>
      </c>
      <c r="BK9" s="152">
        <f t="shared" si="5"/>
        <v>2</v>
      </c>
      <c r="BL9" s="152">
        <f t="shared" si="5"/>
        <v>2</v>
      </c>
      <c r="BM9" s="152">
        <f t="shared" si="5"/>
        <v>2</v>
      </c>
      <c r="BN9" s="152">
        <f t="shared" si="5"/>
        <v>2</v>
      </c>
      <c r="BO9" s="152">
        <f t="shared" si="5"/>
        <v>2</v>
      </c>
      <c r="BP9" s="152">
        <f t="shared" si="5"/>
        <v>2</v>
      </c>
      <c r="BQ9" s="152">
        <f t="shared" si="5"/>
        <v>2</v>
      </c>
      <c r="BR9" s="152">
        <f t="shared" si="5"/>
        <v>2</v>
      </c>
      <c r="BS9" s="152">
        <f t="shared" si="5"/>
        <v>2</v>
      </c>
      <c r="BT9" s="152">
        <f t="shared" si="5"/>
        <v>2</v>
      </c>
      <c r="BU9" s="152">
        <f t="shared" si="5"/>
        <v>2</v>
      </c>
      <c r="BV9" s="152">
        <f t="shared" si="5"/>
        <v>2</v>
      </c>
      <c r="BW9" s="152">
        <f t="shared" si="5"/>
        <v>2</v>
      </c>
      <c r="BX9" s="152">
        <f t="shared" ref="BX9:CO9" si="6">IF(Flag_Construction,1,2)*Flag_Financial_Model</f>
        <v>2</v>
      </c>
      <c r="BY9" s="152">
        <f t="shared" si="6"/>
        <v>2</v>
      </c>
      <c r="BZ9" s="152">
        <f t="shared" si="6"/>
        <v>2</v>
      </c>
      <c r="CA9" s="152">
        <f t="shared" si="6"/>
        <v>2</v>
      </c>
      <c r="CB9" s="152">
        <f t="shared" si="6"/>
        <v>2</v>
      </c>
      <c r="CC9" s="152">
        <f t="shared" si="6"/>
        <v>2</v>
      </c>
      <c r="CD9" s="152">
        <f t="shared" si="6"/>
        <v>2</v>
      </c>
      <c r="CE9" s="152">
        <f t="shared" si="6"/>
        <v>2</v>
      </c>
      <c r="CF9" s="152">
        <f t="shared" si="6"/>
        <v>2</v>
      </c>
      <c r="CG9" s="152">
        <f t="shared" si="6"/>
        <v>2</v>
      </c>
      <c r="CH9" s="152">
        <f t="shared" si="6"/>
        <v>2</v>
      </c>
      <c r="CI9" s="152">
        <f t="shared" si="6"/>
        <v>2</v>
      </c>
      <c r="CJ9" s="152">
        <f t="shared" si="6"/>
        <v>2</v>
      </c>
      <c r="CK9" s="152">
        <f t="shared" si="6"/>
        <v>2</v>
      </c>
      <c r="CL9" s="152">
        <f t="shared" si="6"/>
        <v>2</v>
      </c>
      <c r="CM9" s="152">
        <f t="shared" si="6"/>
        <v>2</v>
      </c>
      <c r="CN9" s="152">
        <f t="shared" si="6"/>
        <v>2</v>
      </c>
      <c r="CO9" s="152">
        <f t="shared" si="6"/>
        <v>2</v>
      </c>
      <c r="CP9" s="9"/>
    </row>
    <row r="10" spans="1:94" ht="15" customHeight="1">
      <c r="B10" s="3"/>
      <c r="C10" s="3"/>
      <c r="D10" s="3"/>
      <c r="E10" s="3"/>
      <c r="F10" s="3"/>
      <c r="G10" s="203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4" ht="22.5" customHeight="1">
      <c r="B11" s="5" t="s">
        <v>439</v>
      </c>
      <c r="C11" s="5"/>
      <c r="D11" s="5"/>
      <c r="E11" s="5"/>
      <c r="F11" s="5"/>
      <c r="G11" s="6"/>
      <c r="H11" s="5"/>
      <c r="I11" s="5"/>
      <c r="J11" s="5"/>
      <c r="K11" s="5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4" ht="15" customHeight="1">
      <c r="A12" s="10"/>
      <c r="B12" s="10"/>
      <c r="C12" s="10"/>
      <c r="D12" s="10"/>
      <c r="E12" s="10"/>
      <c r="F12" s="10"/>
      <c r="G12" s="11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</row>
    <row r="13" spans="1:94" ht="15" customHeight="1">
      <c r="A13" s="10"/>
      <c r="B13" s="10"/>
      <c r="C13" s="10" t="s">
        <v>305</v>
      </c>
      <c r="D13" s="10"/>
      <c r="E13" s="685" t="s">
        <v>1538</v>
      </c>
      <c r="F13" s="686"/>
      <c r="G13" s="686"/>
      <c r="H13" s="686"/>
      <c r="I13" s="686"/>
      <c r="J13" s="687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</row>
    <row r="14" spans="1:94" ht="15" customHeight="1">
      <c r="A14" s="10"/>
      <c r="B14" s="10"/>
      <c r="C14" s="10" t="s">
        <v>566</v>
      </c>
      <c r="D14" s="3"/>
      <c r="E14" s="396">
        <v>1</v>
      </c>
      <c r="F14" s="10"/>
      <c r="G14" s="11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</row>
    <row r="15" spans="1:94" ht="15" customHeight="1">
      <c r="B15" s="3"/>
      <c r="C15" s="10" t="s">
        <v>567</v>
      </c>
      <c r="D15" s="3"/>
      <c r="E15" s="71">
        <v>45505</v>
      </c>
      <c r="F15" s="10"/>
      <c r="G15" s="11" t="s">
        <v>31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4" ht="15" customHeight="1">
      <c r="B16" s="3"/>
      <c r="C16" s="10" t="s">
        <v>25</v>
      </c>
      <c r="D16" s="3"/>
      <c r="E16" s="33" t="s">
        <v>26</v>
      </c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4" ht="15" customHeight="1">
      <c r="B17" s="3"/>
      <c r="C17" s="10"/>
      <c r="D17" s="10"/>
      <c r="E17" s="10"/>
      <c r="F17" s="10"/>
      <c r="G17" s="11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4">
      <c r="A18" s="10"/>
      <c r="B18" s="10"/>
      <c r="C18" s="10" t="s">
        <v>30</v>
      </c>
      <c r="D18" s="10"/>
      <c r="E18" s="71">
        <v>45658</v>
      </c>
      <c r="F18" s="10"/>
      <c r="G18" s="11" t="s">
        <v>31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</row>
    <row r="19" spans="1:94">
      <c r="A19" s="10"/>
      <c r="B19" s="10"/>
      <c r="C19" s="10" t="s">
        <v>565</v>
      </c>
      <c r="D19" s="10"/>
      <c r="E19" s="71">
        <v>45658</v>
      </c>
      <c r="F19" s="10"/>
      <c r="G19" s="11" t="s">
        <v>31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</row>
    <row r="20" spans="1:94">
      <c r="A20" s="10"/>
      <c r="B20" s="10"/>
      <c r="C20" s="10" t="s">
        <v>604</v>
      </c>
      <c r="D20" s="10"/>
      <c r="E20" s="14">
        <v>20</v>
      </c>
      <c r="F20" s="10"/>
      <c r="G20" s="11" t="s">
        <v>123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</row>
    <row r="21" spans="1:94">
      <c r="A21" s="10"/>
      <c r="B21" s="10"/>
      <c r="C21" s="10"/>
      <c r="D21" s="10"/>
      <c r="E21" s="10"/>
      <c r="F21" s="10"/>
      <c r="G21" s="11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</row>
    <row r="22" spans="1:94">
      <c r="A22" s="10"/>
      <c r="B22" s="10"/>
      <c r="C22" s="10" t="s">
        <v>839</v>
      </c>
      <c r="D22" s="10"/>
      <c r="E22" s="71">
        <f>Date_Forecast_Start</f>
        <v>45658</v>
      </c>
      <c r="F22" s="10"/>
      <c r="G22" s="11" t="s">
        <v>31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</row>
    <row r="23" spans="1:94">
      <c r="A23" s="10"/>
      <c r="B23" s="10"/>
      <c r="C23" s="10" t="s">
        <v>840</v>
      </c>
      <c r="D23" s="10"/>
      <c r="E23" s="71">
        <f>MAX(IF(Расчеты!I95,MAX(G296:G301),0),IF(Расчеты!I96,MAX(G329:G331),0),IF(Расчеты!I97,MAX(G355:G357),0))</f>
        <v>47208</v>
      </c>
      <c r="F23" s="10"/>
      <c r="G23" s="11" t="s">
        <v>31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</row>
    <row r="24" spans="1:94">
      <c r="A24" s="10"/>
      <c r="B24" s="10"/>
      <c r="C24" s="10" t="s">
        <v>603</v>
      </c>
      <c r="D24" s="10"/>
      <c r="E24" s="71">
        <f xml:space="preserve"> Date_Construction_End + 1</f>
        <v>47209</v>
      </c>
      <c r="F24" s="10"/>
      <c r="G24" s="11" t="s">
        <v>31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</row>
    <row r="25" spans="1:94">
      <c r="A25" s="10"/>
      <c r="B25" s="10"/>
      <c r="C25" s="10" t="s">
        <v>564</v>
      </c>
      <c r="D25" s="10"/>
      <c r="E25" s="71">
        <f>EOMONTH(Date_Operations_Start,Months_in_Year*E20-1)</f>
        <v>54513</v>
      </c>
      <c r="F25" s="10"/>
      <c r="G25" s="11" t="s">
        <v>31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</row>
    <row r="26" spans="1:94">
      <c r="A26" s="10"/>
      <c r="B26" s="10"/>
      <c r="C26" s="10"/>
      <c r="D26" s="10"/>
      <c r="E26" s="3"/>
      <c r="F26" s="10"/>
      <c r="G26" s="11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</row>
    <row r="27" spans="1:94">
      <c r="A27" s="10"/>
      <c r="B27" s="10"/>
      <c r="C27" s="10" t="s">
        <v>32</v>
      </c>
      <c r="D27" s="10"/>
      <c r="E27" s="14">
        <v>365</v>
      </c>
      <c r="F27" s="10"/>
      <c r="G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</row>
    <row r="28" spans="1:94">
      <c r="A28" s="10"/>
      <c r="B28" s="10"/>
      <c r="C28" s="10" t="s">
        <v>33</v>
      </c>
      <c r="D28" s="10"/>
      <c r="E28" s="14">
        <v>12</v>
      </c>
      <c r="F28" s="10"/>
      <c r="G28" s="11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</row>
    <row r="29" spans="1:94">
      <c r="A29" s="10"/>
      <c r="B29" s="10"/>
      <c r="C29" s="10" t="s">
        <v>34</v>
      </c>
      <c r="D29" s="10"/>
      <c r="E29" s="14">
        <f xml:space="preserve"> Months_in_Year / Months_in_Period</f>
        <v>4</v>
      </c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</row>
    <row r="30" spans="1:94">
      <c r="A30" s="10"/>
      <c r="B30" s="10"/>
      <c r="C30" s="10" t="s">
        <v>35</v>
      </c>
      <c r="D30" s="10"/>
      <c r="E30" s="14">
        <v>3</v>
      </c>
      <c r="F30" s="10"/>
      <c r="G30" s="11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</row>
    <row r="31" spans="1:94">
      <c r="A31" s="10"/>
      <c r="B31" s="10"/>
      <c r="C31" s="10" t="s">
        <v>338</v>
      </c>
      <c r="D31" s="10"/>
      <c r="E31" s="418">
        <v>1E-3</v>
      </c>
      <c r="F31" s="10"/>
      <c r="G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</row>
    <row r="32" spans="1:94">
      <c r="A32" s="10"/>
      <c r="B32" s="10"/>
      <c r="C32" s="10"/>
      <c r="D32" s="10"/>
      <c r="E32" s="3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</row>
    <row r="33" spans="1:94">
      <c r="A33" s="10"/>
      <c r="B33" s="10"/>
      <c r="C33" s="10" t="s">
        <v>36</v>
      </c>
      <c r="D33" s="10"/>
      <c r="E33" s="14">
        <v>1000000</v>
      </c>
      <c r="F33" s="10"/>
      <c r="G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</row>
    <row r="34" spans="1:94">
      <c r="A34" s="10"/>
      <c r="B34" s="10"/>
      <c r="C34" s="10" t="s">
        <v>37</v>
      </c>
      <c r="D34" s="10"/>
      <c r="E34" s="14">
        <v>1000</v>
      </c>
      <c r="F34" s="10"/>
      <c r="G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</row>
    <row r="35" spans="1:94">
      <c r="A35" s="10"/>
      <c r="B35" s="10"/>
      <c r="C35" s="10" t="s">
        <v>38</v>
      </c>
      <c r="D35" s="10"/>
      <c r="E35" s="14">
        <v>100</v>
      </c>
      <c r="F35" s="10"/>
      <c r="G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</row>
    <row r="36" spans="1:94">
      <c r="A36" s="10"/>
      <c r="B36" s="10"/>
      <c r="C36" s="10" t="s">
        <v>437</v>
      </c>
      <c r="D36" s="10"/>
      <c r="E36" s="381">
        <f>10^-9</f>
        <v>1.0000000000000001E-9</v>
      </c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</row>
    <row r="37" spans="1:94" ht="15" customHeight="1">
      <c r="A37" s="10"/>
      <c r="B37" s="10"/>
      <c r="C37" s="10"/>
      <c r="D37" s="3"/>
      <c r="E37" s="3"/>
      <c r="F37" s="10"/>
      <c r="G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</row>
    <row r="38" spans="1:94" ht="22.5" customHeight="1">
      <c r="B38" s="5" t="s">
        <v>27</v>
      </c>
      <c r="C38" s="5"/>
      <c r="D38" s="5"/>
      <c r="E38" s="5"/>
      <c r="F38" s="5"/>
      <c r="G38" s="6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</row>
    <row r="39" spans="1:94" ht="15" customHeight="1">
      <c r="B39" s="3"/>
      <c r="C39" s="10"/>
      <c r="D39" s="3"/>
      <c r="E39" s="3"/>
      <c r="F39" s="3"/>
      <c r="G39" s="203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</row>
    <row r="40" spans="1:94" ht="15" customHeight="1" thickBot="1">
      <c r="A40" s="10"/>
      <c r="B40" s="3"/>
      <c r="C40" s="12" t="s">
        <v>444</v>
      </c>
      <c r="D40" s="12"/>
      <c r="E40" s="12"/>
      <c r="F40" s="12"/>
      <c r="G40" s="12"/>
      <c r="H40" s="12"/>
      <c r="I40" s="12"/>
      <c r="J40" s="10"/>
      <c r="K40" s="10"/>
      <c r="L40" s="60">
        <v>2024</v>
      </c>
      <c r="M40" s="60">
        <f t="shared" ref="M40:AA40" si="7">L40+1</f>
        <v>2025</v>
      </c>
      <c r="N40" s="60">
        <f t="shared" si="7"/>
        <v>2026</v>
      </c>
      <c r="O40" s="60">
        <f t="shared" si="7"/>
        <v>2027</v>
      </c>
      <c r="P40" s="60">
        <f t="shared" si="7"/>
        <v>2028</v>
      </c>
      <c r="Q40" s="60">
        <f t="shared" si="7"/>
        <v>2029</v>
      </c>
      <c r="R40" s="60">
        <f t="shared" si="7"/>
        <v>2030</v>
      </c>
      <c r="S40" s="60">
        <f t="shared" si="7"/>
        <v>2031</v>
      </c>
      <c r="T40" s="60">
        <f t="shared" si="7"/>
        <v>2032</v>
      </c>
      <c r="U40" s="60">
        <f t="shared" si="7"/>
        <v>2033</v>
      </c>
      <c r="V40" s="60">
        <f t="shared" si="7"/>
        <v>2034</v>
      </c>
      <c r="W40" s="60">
        <f t="shared" si="7"/>
        <v>2035</v>
      </c>
      <c r="X40" s="60">
        <f t="shared" si="7"/>
        <v>2036</v>
      </c>
      <c r="Y40" s="60">
        <f t="shared" si="7"/>
        <v>2037</v>
      </c>
      <c r="Z40" s="60">
        <f t="shared" si="7"/>
        <v>2038</v>
      </c>
      <c r="AA40" s="60">
        <f t="shared" si="7"/>
        <v>2039</v>
      </c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10"/>
    </row>
    <row r="41" spans="1:94" ht="15" customHeight="1">
      <c r="A41" s="10"/>
      <c r="B41" s="3"/>
      <c r="C41" s="10"/>
      <c r="D41" s="10"/>
      <c r="E41" s="10"/>
      <c r="F41" s="10"/>
      <c r="G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10"/>
    </row>
    <row r="42" spans="1:94" ht="15" customHeight="1">
      <c r="A42" s="10"/>
      <c r="B42" s="10"/>
      <c r="C42" s="41" t="s">
        <v>440</v>
      </c>
      <c r="D42" s="10"/>
      <c r="E42" s="10"/>
      <c r="F42" s="10"/>
      <c r="G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10"/>
    </row>
    <row r="43" spans="1:94" ht="15" customHeight="1">
      <c r="A43" s="10"/>
      <c r="B43" s="3"/>
      <c r="C43" s="17" t="s">
        <v>40</v>
      </c>
      <c r="D43" s="10"/>
      <c r="E43" s="10"/>
      <c r="F43" s="10"/>
      <c r="G43" s="142" t="s">
        <v>28</v>
      </c>
      <c r="H43" s="10" t="s">
        <v>1203</v>
      </c>
      <c r="I43" s="10"/>
      <c r="J43" s="10"/>
      <c r="K43" s="10"/>
      <c r="L43" s="80">
        <v>0.08</v>
      </c>
      <c r="M43" s="80">
        <v>5.8000000000000003E-2</v>
      </c>
      <c r="N43" s="80">
        <v>0.04</v>
      </c>
      <c r="O43" s="80">
        <v>0.04</v>
      </c>
      <c r="P43" s="80">
        <v>0.04</v>
      </c>
      <c r="Q43" s="80">
        <v>0.04</v>
      </c>
      <c r="R43" s="80">
        <v>0.04</v>
      </c>
      <c r="S43" s="80">
        <v>0.04</v>
      </c>
      <c r="T43" s="80">
        <v>0.04</v>
      </c>
      <c r="U43" s="80">
        <v>0.04</v>
      </c>
      <c r="V43" s="80">
        <v>0.04</v>
      </c>
      <c r="W43" s="80">
        <v>0.04</v>
      </c>
      <c r="X43" s="80">
        <v>0.04</v>
      </c>
      <c r="Y43" s="80">
        <v>0.04</v>
      </c>
      <c r="Z43" s="80">
        <v>0.04</v>
      </c>
      <c r="AA43" s="80">
        <v>0.04</v>
      </c>
      <c r="AB43" s="80">
        <v>0.04</v>
      </c>
      <c r="AC43" s="80">
        <v>0.04</v>
      </c>
      <c r="AD43" s="80">
        <v>0.04</v>
      </c>
      <c r="AE43" s="80">
        <v>0.04</v>
      </c>
      <c r="AF43" s="80">
        <v>0.04</v>
      </c>
      <c r="AG43" s="80">
        <v>0.04</v>
      </c>
      <c r="AH43" s="80">
        <v>0.04</v>
      </c>
      <c r="AI43" s="80">
        <v>0.04</v>
      </c>
      <c r="AJ43" s="80">
        <v>0.04</v>
      </c>
      <c r="AK43" s="80">
        <v>0.04</v>
      </c>
      <c r="AL43" s="80">
        <v>0.04</v>
      </c>
      <c r="AM43" s="80">
        <v>0.04</v>
      </c>
      <c r="AN43" s="80">
        <v>0.04</v>
      </c>
      <c r="AO43" s="80">
        <v>0.04</v>
      </c>
      <c r="AP43" s="80">
        <v>0.04</v>
      </c>
      <c r="AQ43" s="80">
        <v>0.04</v>
      </c>
      <c r="AR43" s="80">
        <v>0.04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10"/>
    </row>
    <row r="44" spans="1:94" ht="15" customHeight="1">
      <c r="A44" s="10"/>
      <c r="B44" s="3"/>
      <c r="C44" s="17" t="s">
        <v>39</v>
      </c>
      <c r="D44" s="10"/>
      <c r="E44" s="10"/>
      <c r="F44" s="10"/>
      <c r="G44" s="142" t="s">
        <v>28</v>
      </c>
      <c r="H44" s="10" t="s">
        <v>1203</v>
      </c>
      <c r="I44" s="10"/>
      <c r="J44" s="10"/>
      <c r="K44" s="10"/>
      <c r="L44" s="80">
        <v>0.08</v>
      </c>
      <c r="M44" s="80">
        <v>6.6000000000000003E-2</v>
      </c>
      <c r="N44" s="80">
        <v>4.4999999999999998E-2</v>
      </c>
      <c r="O44" s="80">
        <v>4.2000000000000003E-2</v>
      </c>
      <c r="P44" s="80">
        <v>4.2000000000000003E-2</v>
      </c>
      <c r="Q44" s="80">
        <v>4.2000000000000003E-2</v>
      </c>
      <c r="R44" s="80">
        <v>4.2000000000000003E-2</v>
      </c>
      <c r="S44" s="80">
        <v>4.2000000000000003E-2</v>
      </c>
      <c r="T44" s="80">
        <v>4.2000000000000003E-2</v>
      </c>
      <c r="U44" s="80">
        <v>4.2000000000000003E-2</v>
      </c>
      <c r="V44" s="80">
        <v>4.2000000000000003E-2</v>
      </c>
      <c r="W44" s="80">
        <v>4.2000000000000003E-2</v>
      </c>
      <c r="X44" s="80">
        <v>4.2000000000000003E-2</v>
      </c>
      <c r="Y44" s="80">
        <v>4.2000000000000003E-2</v>
      </c>
      <c r="Z44" s="80">
        <v>4.2000000000000003E-2</v>
      </c>
      <c r="AA44" s="80">
        <v>4.2000000000000003E-2</v>
      </c>
      <c r="AB44" s="80">
        <v>4.2000000000000003E-2</v>
      </c>
      <c r="AC44" s="80">
        <v>4.2000000000000003E-2</v>
      </c>
      <c r="AD44" s="80">
        <v>4.2000000000000003E-2</v>
      </c>
      <c r="AE44" s="80">
        <v>4.2000000000000003E-2</v>
      </c>
      <c r="AF44" s="80">
        <v>4.2000000000000003E-2</v>
      </c>
      <c r="AG44" s="80">
        <v>4.2000000000000003E-2</v>
      </c>
      <c r="AH44" s="80">
        <v>4.2000000000000003E-2</v>
      </c>
      <c r="AI44" s="80">
        <v>4.2000000000000003E-2</v>
      </c>
      <c r="AJ44" s="80">
        <v>4.2000000000000003E-2</v>
      </c>
      <c r="AK44" s="80">
        <v>4.2000000000000003E-2</v>
      </c>
      <c r="AL44" s="80">
        <v>4.2000000000000003E-2</v>
      </c>
      <c r="AM44" s="80">
        <v>4.2000000000000003E-2</v>
      </c>
      <c r="AN44" s="80">
        <v>4.2000000000000003E-2</v>
      </c>
      <c r="AO44" s="80">
        <v>4.2000000000000003E-2</v>
      </c>
      <c r="AP44" s="80">
        <v>4.2000000000000003E-2</v>
      </c>
      <c r="AQ44" s="80">
        <v>4.2000000000000003E-2</v>
      </c>
      <c r="AR44" s="80">
        <v>4.2000000000000003E-2</v>
      </c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10"/>
    </row>
    <row r="45" spans="1:94" ht="15" customHeight="1">
      <c r="A45" s="10"/>
      <c r="B45" s="3"/>
      <c r="C45" s="17" t="s">
        <v>160</v>
      </c>
      <c r="D45" s="10"/>
      <c r="E45" s="10"/>
      <c r="F45" s="10"/>
      <c r="G45" s="142" t="s">
        <v>28</v>
      </c>
      <c r="H45" s="10"/>
      <c r="I45" s="10"/>
      <c r="J45" s="10"/>
      <c r="K45" s="10"/>
      <c r="L45" s="80">
        <v>0</v>
      </c>
      <c r="M45" s="80">
        <v>0</v>
      </c>
      <c r="N45" s="80">
        <v>0</v>
      </c>
      <c r="O45" s="80">
        <v>0</v>
      </c>
      <c r="P45" s="80">
        <v>0</v>
      </c>
      <c r="Q45" s="80">
        <v>0</v>
      </c>
      <c r="R45" s="80">
        <v>0</v>
      </c>
      <c r="S45" s="80">
        <v>0</v>
      </c>
      <c r="T45" s="80">
        <v>0</v>
      </c>
      <c r="U45" s="80">
        <v>0</v>
      </c>
      <c r="V45" s="80">
        <v>0</v>
      </c>
      <c r="W45" s="80">
        <v>0</v>
      </c>
      <c r="X45" s="80">
        <v>0</v>
      </c>
      <c r="Y45" s="80">
        <v>0</v>
      </c>
      <c r="Z45" s="80">
        <v>0</v>
      </c>
      <c r="AA45" s="80">
        <f>Z45</f>
        <v>0</v>
      </c>
      <c r="AB45" s="80">
        <f t="shared" ref="AB45:AH45" si="8">AA45</f>
        <v>0</v>
      </c>
      <c r="AC45" s="80">
        <f t="shared" si="8"/>
        <v>0</v>
      </c>
      <c r="AD45" s="476">
        <f t="shared" si="8"/>
        <v>0</v>
      </c>
      <c r="AE45" s="476">
        <f t="shared" si="8"/>
        <v>0</v>
      </c>
      <c r="AF45" s="476">
        <f t="shared" si="8"/>
        <v>0</v>
      </c>
      <c r="AG45" s="476">
        <f t="shared" si="8"/>
        <v>0</v>
      </c>
      <c r="AH45" s="476">
        <f t="shared" si="8"/>
        <v>0</v>
      </c>
      <c r="AI45" s="476">
        <f>AH45</f>
        <v>0</v>
      </c>
      <c r="AJ45" s="476">
        <f t="shared" ref="AJ45:AO45" si="9">AI45</f>
        <v>0</v>
      </c>
      <c r="AK45" s="476">
        <f t="shared" si="9"/>
        <v>0</v>
      </c>
      <c r="AL45" s="476">
        <f t="shared" si="9"/>
        <v>0</v>
      </c>
      <c r="AM45" s="392">
        <f t="shared" si="9"/>
        <v>0</v>
      </c>
      <c r="AN45" s="392">
        <f t="shared" si="9"/>
        <v>0</v>
      </c>
      <c r="AO45" s="392">
        <f t="shared" si="9"/>
        <v>0</v>
      </c>
      <c r="AP45" s="392">
        <f>AO45</f>
        <v>0</v>
      </c>
      <c r="AQ45" s="392">
        <f>AP45</f>
        <v>0</v>
      </c>
      <c r="AR45" s="392">
        <f>AQ45</f>
        <v>0</v>
      </c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10"/>
    </row>
    <row r="46" spans="1:94" ht="15" customHeight="1">
      <c r="A46" s="10"/>
      <c r="B46" s="3"/>
      <c r="C46" s="10"/>
      <c r="D46" s="17"/>
      <c r="E46" s="17"/>
      <c r="F46" s="17"/>
      <c r="G46" s="11"/>
      <c r="H46" s="10"/>
      <c r="I46" s="10"/>
      <c r="J46" s="10"/>
      <c r="K46" s="10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10"/>
    </row>
    <row r="47" spans="1:94" ht="15" customHeight="1">
      <c r="A47" s="10"/>
      <c r="B47" s="3"/>
      <c r="C47" s="41" t="s">
        <v>441</v>
      </c>
      <c r="D47" s="10"/>
      <c r="E47" s="10"/>
      <c r="F47" s="10"/>
      <c r="G47" s="142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10"/>
    </row>
    <row r="48" spans="1:94" ht="15" customHeight="1">
      <c r="A48" s="10"/>
      <c r="B48" s="3"/>
      <c r="C48" s="17" t="s">
        <v>40</v>
      </c>
      <c r="D48" s="10"/>
      <c r="E48" s="10"/>
      <c r="F48" s="10"/>
      <c r="G48" s="142" t="s">
        <v>28</v>
      </c>
      <c r="H48" s="10" t="s">
        <v>1203</v>
      </c>
      <c r="I48" s="10"/>
      <c r="J48" s="10"/>
      <c r="K48" s="10"/>
      <c r="L48" s="80">
        <v>0.08</v>
      </c>
      <c r="M48" s="80">
        <v>5.8000000000000003E-2</v>
      </c>
      <c r="N48" s="80">
        <v>0.04</v>
      </c>
      <c r="O48" s="80">
        <v>0.04</v>
      </c>
      <c r="P48" s="80">
        <v>0.04</v>
      </c>
      <c r="Q48" s="80">
        <v>0.04</v>
      </c>
      <c r="R48" s="80">
        <v>0.04</v>
      </c>
      <c r="S48" s="80">
        <v>4.0300646272306583E-2</v>
      </c>
      <c r="T48" s="80">
        <v>4.0300646272306583E-2</v>
      </c>
      <c r="U48" s="80">
        <v>4.0300646272306583E-2</v>
      </c>
      <c r="V48" s="80">
        <v>4.0300646272306583E-2</v>
      </c>
      <c r="W48" s="80">
        <v>4.0300646272306583E-2</v>
      </c>
      <c r="X48" s="80">
        <v>4.0300646272306583E-2</v>
      </c>
      <c r="Y48" s="80">
        <v>4.0300646272306583E-2</v>
      </c>
      <c r="Z48" s="80">
        <v>4.0300646272306583E-2</v>
      </c>
      <c r="AA48" s="80">
        <v>4.0300646272306583E-2</v>
      </c>
      <c r="AB48" s="80">
        <v>4.0300646272306583E-2</v>
      </c>
      <c r="AC48" s="80">
        <f t="shared" ref="AC48:AH50" si="10">AB48</f>
        <v>4.0300646272306583E-2</v>
      </c>
      <c r="AD48" s="80">
        <f t="shared" si="10"/>
        <v>4.0300646272306583E-2</v>
      </c>
      <c r="AE48" s="80">
        <f t="shared" si="10"/>
        <v>4.0300646272306583E-2</v>
      </c>
      <c r="AF48" s="80">
        <f t="shared" si="10"/>
        <v>4.0300646272306583E-2</v>
      </c>
      <c r="AG48" s="80">
        <f t="shared" si="10"/>
        <v>4.0300646272306583E-2</v>
      </c>
      <c r="AH48" s="80">
        <f t="shared" si="10"/>
        <v>4.0300646272306583E-2</v>
      </c>
      <c r="AI48" s="80">
        <f>AH48</f>
        <v>4.0300646272306583E-2</v>
      </c>
      <c r="AJ48" s="80">
        <f t="shared" ref="AJ48:AO50" si="11">AI48</f>
        <v>4.0300646272306583E-2</v>
      </c>
      <c r="AK48" s="80">
        <f t="shared" si="11"/>
        <v>4.0300646272306583E-2</v>
      </c>
      <c r="AL48" s="80">
        <f t="shared" si="11"/>
        <v>4.0300646272306583E-2</v>
      </c>
      <c r="AM48" s="392">
        <f t="shared" si="11"/>
        <v>4.0300646272306583E-2</v>
      </c>
      <c r="AN48" s="392">
        <f t="shared" si="11"/>
        <v>4.0300646272306583E-2</v>
      </c>
      <c r="AO48" s="392">
        <f t="shared" si="11"/>
        <v>4.0300646272306583E-2</v>
      </c>
      <c r="AP48" s="392">
        <f t="shared" ref="AP48:AR50" si="12">AO48</f>
        <v>4.0300646272306583E-2</v>
      </c>
      <c r="AQ48" s="392">
        <f t="shared" si="12"/>
        <v>4.0300646272306583E-2</v>
      </c>
      <c r="AR48" s="392">
        <f t="shared" si="12"/>
        <v>4.0300646272306583E-2</v>
      </c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10"/>
    </row>
    <row r="49" spans="1:94" ht="15" customHeight="1">
      <c r="A49" s="10"/>
      <c r="B49" s="3"/>
      <c r="C49" s="17" t="s">
        <v>39</v>
      </c>
      <c r="D49" s="10"/>
      <c r="E49" s="10"/>
      <c r="F49" s="10"/>
      <c r="G49" s="142" t="s">
        <v>28</v>
      </c>
      <c r="H49" s="10" t="s">
        <v>1203</v>
      </c>
      <c r="I49" s="10"/>
      <c r="J49" s="10"/>
      <c r="K49" s="10"/>
      <c r="L49" s="80">
        <v>0.08</v>
      </c>
      <c r="M49" s="80">
        <v>6.6000000000000003E-2</v>
      </c>
      <c r="N49" s="80">
        <v>4.4999999999999998E-2</v>
      </c>
      <c r="O49" s="80">
        <v>4.2000000000000003E-2</v>
      </c>
      <c r="P49" s="80">
        <v>4.2000000000000003E-2</v>
      </c>
      <c r="Q49" s="80">
        <v>4.2000000000000003E-2</v>
      </c>
      <c r="R49" s="80">
        <v>4.2000000000000003E-2</v>
      </c>
      <c r="S49" s="80">
        <v>4.0300646272306583E-2</v>
      </c>
      <c r="T49" s="80">
        <v>4.0300646272306583E-2</v>
      </c>
      <c r="U49" s="80">
        <v>4.0300646272306583E-2</v>
      </c>
      <c r="V49" s="80">
        <v>4.0300646272306583E-2</v>
      </c>
      <c r="W49" s="80">
        <v>4.0300646272306583E-2</v>
      </c>
      <c r="X49" s="80">
        <v>4.0300646272306583E-2</v>
      </c>
      <c r="Y49" s="80">
        <v>4.0300646272306583E-2</v>
      </c>
      <c r="Z49" s="80">
        <v>4.0300646272306583E-2</v>
      </c>
      <c r="AA49" s="80">
        <v>4.0300646272306583E-2</v>
      </c>
      <c r="AB49" s="80">
        <v>4.0300646272306583E-2</v>
      </c>
      <c r="AC49" s="80">
        <f t="shared" si="10"/>
        <v>4.0300646272306583E-2</v>
      </c>
      <c r="AD49" s="80">
        <f t="shared" si="10"/>
        <v>4.0300646272306583E-2</v>
      </c>
      <c r="AE49" s="80">
        <f t="shared" si="10"/>
        <v>4.0300646272306583E-2</v>
      </c>
      <c r="AF49" s="80">
        <f t="shared" si="10"/>
        <v>4.0300646272306583E-2</v>
      </c>
      <c r="AG49" s="80">
        <f t="shared" si="10"/>
        <v>4.0300646272306583E-2</v>
      </c>
      <c r="AH49" s="80">
        <f t="shared" si="10"/>
        <v>4.0300646272306583E-2</v>
      </c>
      <c r="AI49" s="80">
        <f>AH49</f>
        <v>4.0300646272306583E-2</v>
      </c>
      <c r="AJ49" s="80">
        <f t="shared" si="11"/>
        <v>4.0300646272306583E-2</v>
      </c>
      <c r="AK49" s="80">
        <f t="shared" si="11"/>
        <v>4.0300646272306583E-2</v>
      </c>
      <c r="AL49" s="80">
        <f t="shared" si="11"/>
        <v>4.0300646272306583E-2</v>
      </c>
      <c r="AM49" s="392">
        <f t="shared" si="11"/>
        <v>4.0300646272306583E-2</v>
      </c>
      <c r="AN49" s="392">
        <f t="shared" si="11"/>
        <v>4.0300646272306583E-2</v>
      </c>
      <c r="AO49" s="392">
        <f t="shared" si="11"/>
        <v>4.0300646272306583E-2</v>
      </c>
      <c r="AP49" s="392">
        <f t="shared" si="12"/>
        <v>4.0300646272306583E-2</v>
      </c>
      <c r="AQ49" s="392">
        <f t="shared" si="12"/>
        <v>4.0300646272306583E-2</v>
      </c>
      <c r="AR49" s="392">
        <f t="shared" si="12"/>
        <v>4.0300646272306583E-2</v>
      </c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10"/>
    </row>
    <row r="50" spans="1:94" ht="15" customHeight="1">
      <c r="A50" s="10"/>
      <c r="B50" s="3"/>
      <c r="C50" s="17" t="s">
        <v>160</v>
      </c>
      <c r="D50" s="10"/>
      <c r="E50" s="10"/>
      <c r="F50" s="10"/>
      <c r="G50" s="142" t="s">
        <v>28</v>
      </c>
      <c r="H50" s="10"/>
      <c r="I50" s="10"/>
      <c r="J50" s="10"/>
      <c r="K50" s="10"/>
      <c r="L50" s="80">
        <v>0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 s="80">
        <v>0</v>
      </c>
      <c r="V50" s="80">
        <v>0</v>
      </c>
      <c r="W50" s="80">
        <v>0</v>
      </c>
      <c r="X50" s="80">
        <f>W50</f>
        <v>0</v>
      </c>
      <c r="Y50" s="80">
        <f>X50</f>
        <v>0</v>
      </c>
      <c r="Z50" s="80">
        <f>Y50</f>
        <v>0</v>
      </c>
      <c r="AA50" s="80">
        <f>Z50</f>
        <v>0</v>
      </c>
      <c r="AB50" s="80">
        <f>AA50</f>
        <v>0</v>
      </c>
      <c r="AC50" s="80">
        <f t="shared" si="10"/>
        <v>0</v>
      </c>
      <c r="AD50" s="80">
        <f t="shared" si="10"/>
        <v>0</v>
      </c>
      <c r="AE50" s="80">
        <f t="shared" si="10"/>
        <v>0</v>
      </c>
      <c r="AF50" s="80">
        <f t="shared" si="10"/>
        <v>0</v>
      </c>
      <c r="AG50" s="80">
        <f t="shared" si="10"/>
        <v>0</v>
      </c>
      <c r="AH50" s="80">
        <f t="shared" si="10"/>
        <v>0</v>
      </c>
      <c r="AI50" s="80">
        <f>AH50</f>
        <v>0</v>
      </c>
      <c r="AJ50" s="80">
        <f t="shared" si="11"/>
        <v>0</v>
      </c>
      <c r="AK50" s="80">
        <f t="shared" si="11"/>
        <v>0</v>
      </c>
      <c r="AL50" s="80">
        <f t="shared" si="11"/>
        <v>0</v>
      </c>
      <c r="AM50" s="392">
        <f t="shared" si="11"/>
        <v>0</v>
      </c>
      <c r="AN50" s="392">
        <f t="shared" si="11"/>
        <v>0</v>
      </c>
      <c r="AO50" s="392">
        <f t="shared" si="11"/>
        <v>0</v>
      </c>
      <c r="AP50" s="392">
        <f t="shared" si="12"/>
        <v>0</v>
      </c>
      <c r="AQ50" s="392">
        <f t="shared" si="12"/>
        <v>0</v>
      </c>
      <c r="AR50" s="392">
        <f t="shared" si="12"/>
        <v>0</v>
      </c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10"/>
    </row>
    <row r="51" spans="1:94" ht="15" customHeight="1">
      <c r="A51" s="10"/>
      <c r="B51" s="3"/>
      <c r="C51" s="17"/>
      <c r="D51" s="10"/>
      <c r="E51" s="10"/>
      <c r="F51" s="10"/>
      <c r="G51" s="142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10"/>
    </row>
    <row r="52" spans="1:94" ht="15" customHeight="1">
      <c r="A52" s="10"/>
      <c r="B52" s="3"/>
      <c r="C52" s="41" t="s">
        <v>294</v>
      </c>
      <c r="D52" s="10"/>
      <c r="E52" s="10"/>
      <c r="F52" s="10"/>
      <c r="G52" s="142"/>
      <c r="H52" s="10" t="s">
        <v>1436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10"/>
    </row>
    <row r="53" spans="1:94" ht="15" customHeight="1">
      <c r="A53" s="10"/>
      <c r="B53" s="3"/>
      <c r="C53" s="17" t="s">
        <v>1209</v>
      </c>
      <c r="D53" s="10"/>
      <c r="E53" s="10"/>
      <c r="F53" s="10"/>
      <c r="G53" s="142" t="s">
        <v>28</v>
      </c>
      <c r="I53" s="10"/>
      <c r="J53" s="10"/>
      <c r="K53" s="10"/>
      <c r="L53" s="80">
        <v>0.17399999999999999</v>
      </c>
      <c r="M53" s="80">
        <v>0.16</v>
      </c>
      <c r="N53" s="80">
        <v>0.11</v>
      </c>
      <c r="O53" s="80">
        <v>8.5000000000000006E-2</v>
      </c>
      <c r="P53" s="80">
        <v>8.5000000000000006E-2</v>
      </c>
      <c r="Q53" s="80">
        <v>8.5000000000000006E-2</v>
      </c>
      <c r="R53" s="80">
        <v>8.5000000000000006E-2</v>
      </c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10"/>
    </row>
    <row r="54" spans="1:94" ht="15" customHeight="1">
      <c r="A54" s="10"/>
      <c r="B54" s="3"/>
      <c r="C54" s="17"/>
      <c r="D54" s="10"/>
      <c r="E54" s="10"/>
      <c r="F54" s="10"/>
      <c r="G54" s="142"/>
      <c r="H54" s="10"/>
      <c r="I54" s="10"/>
      <c r="J54" s="10"/>
      <c r="K54" s="10"/>
      <c r="L54" s="80"/>
      <c r="M54" s="80"/>
      <c r="N54" s="80"/>
      <c r="O54" s="80"/>
      <c r="P54" s="80"/>
      <c r="Q54" s="80"/>
      <c r="R54" s="80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10"/>
    </row>
    <row r="55" spans="1:94" ht="15" customHeight="1">
      <c r="A55" s="10"/>
      <c r="B55" s="3"/>
      <c r="C55" s="10"/>
      <c r="D55" s="10"/>
      <c r="E55" s="10"/>
      <c r="F55" s="10"/>
      <c r="G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10"/>
    </row>
    <row r="56" spans="1:94" ht="15" customHeight="1">
      <c r="A56" s="10"/>
      <c r="B56" s="3"/>
      <c r="C56" s="474" t="s">
        <v>110</v>
      </c>
      <c r="D56" s="474"/>
      <c r="E56" s="474"/>
      <c r="F56" s="474"/>
      <c r="G56" s="474"/>
      <c r="H56" s="474"/>
      <c r="I56" s="474"/>
      <c r="J56" s="10"/>
      <c r="K56" s="10"/>
      <c r="L56" s="473">
        <f t="shared" ref="L56:AQ56" si="13">Year_Unic</f>
        <v>2025</v>
      </c>
      <c r="M56" s="473">
        <f t="shared" si="13"/>
        <v>2026</v>
      </c>
      <c r="N56" s="473">
        <f t="shared" si="13"/>
        <v>2027</v>
      </c>
      <c r="O56" s="473">
        <f t="shared" si="13"/>
        <v>2028</v>
      </c>
      <c r="P56" s="473">
        <f t="shared" si="13"/>
        <v>2029</v>
      </c>
      <c r="Q56" s="473">
        <f t="shared" si="13"/>
        <v>2030</v>
      </c>
      <c r="R56" s="473">
        <f t="shared" si="13"/>
        <v>2031</v>
      </c>
      <c r="S56" s="473">
        <f t="shared" si="13"/>
        <v>2032</v>
      </c>
      <c r="T56" s="473">
        <f t="shared" si="13"/>
        <v>2033</v>
      </c>
      <c r="U56" s="473">
        <f t="shared" si="13"/>
        <v>2034</v>
      </c>
      <c r="V56" s="473">
        <f t="shared" si="13"/>
        <v>2035</v>
      </c>
      <c r="W56" s="473">
        <f t="shared" si="13"/>
        <v>2036</v>
      </c>
      <c r="X56" s="473">
        <f t="shared" si="13"/>
        <v>2037</v>
      </c>
      <c r="Y56" s="473">
        <f t="shared" si="13"/>
        <v>2038</v>
      </c>
      <c r="Z56" s="473">
        <f t="shared" si="13"/>
        <v>2039</v>
      </c>
      <c r="AA56" s="473">
        <f t="shared" si="13"/>
        <v>2040</v>
      </c>
      <c r="AB56" s="473">
        <f t="shared" si="13"/>
        <v>2041</v>
      </c>
      <c r="AC56" s="473">
        <f t="shared" si="13"/>
        <v>2042</v>
      </c>
      <c r="AD56" s="473">
        <f t="shared" si="13"/>
        <v>2043</v>
      </c>
      <c r="AE56" s="473">
        <f t="shared" si="13"/>
        <v>2044</v>
      </c>
      <c r="AF56" s="473">
        <f t="shared" si="13"/>
        <v>2045</v>
      </c>
      <c r="AG56" s="473">
        <f t="shared" si="13"/>
        <v>2046</v>
      </c>
      <c r="AH56" s="473">
        <f t="shared" si="13"/>
        <v>2047</v>
      </c>
      <c r="AI56" s="473">
        <f t="shared" si="13"/>
        <v>2048</v>
      </c>
      <c r="AJ56" s="473">
        <f t="shared" si="13"/>
        <v>2049</v>
      </c>
      <c r="AK56" s="473" t="str">
        <f t="shared" si="13"/>
        <v/>
      </c>
      <c r="AL56" s="473" t="str">
        <f t="shared" si="13"/>
        <v/>
      </c>
      <c r="AM56" s="473" t="str">
        <f t="shared" si="13"/>
        <v/>
      </c>
      <c r="AN56" s="473" t="str">
        <f t="shared" si="13"/>
        <v/>
      </c>
      <c r="AO56" s="473" t="str">
        <f t="shared" si="13"/>
        <v/>
      </c>
      <c r="AP56" s="473" t="str">
        <f t="shared" si="13"/>
        <v/>
      </c>
      <c r="AQ56" s="473" t="str">
        <f t="shared" si="13"/>
        <v/>
      </c>
      <c r="AR56" s="473" t="str">
        <f t="shared" ref="AR56:BW56" si="14">Year_Unic</f>
        <v/>
      </c>
      <c r="AS56" s="473" t="str">
        <f t="shared" si="14"/>
        <v/>
      </c>
      <c r="AT56" s="473" t="str">
        <f t="shared" si="14"/>
        <v/>
      </c>
      <c r="AU56" s="473" t="str">
        <f t="shared" si="14"/>
        <v/>
      </c>
      <c r="AV56" s="473" t="str">
        <f t="shared" si="14"/>
        <v/>
      </c>
      <c r="AW56" s="473" t="str">
        <f t="shared" si="14"/>
        <v/>
      </c>
      <c r="AX56" s="473" t="str">
        <f t="shared" si="14"/>
        <v/>
      </c>
      <c r="AY56" s="473" t="str">
        <f t="shared" si="14"/>
        <v/>
      </c>
      <c r="AZ56" s="473" t="str">
        <f t="shared" si="14"/>
        <v/>
      </c>
      <c r="BA56" s="473" t="str">
        <f t="shared" si="14"/>
        <v/>
      </c>
      <c r="BB56" s="473" t="str">
        <f t="shared" si="14"/>
        <v/>
      </c>
      <c r="BC56" s="473" t="str">
        <f t="shared" si="14"/>
        <v/>
      </c>
      <c r="BD56" s="473" t="str">
        <f t="shared" si="14"/>
        <v/>
      </c>
      <c r="BE56" s="473" t="str">
        <f t="shared" si="14"/>
        <v/>
      </c>
      <c r="BF56" s="473" t="str">
        <f t="shared" si="14"/>
        <v/>
      </c>
      <c r="BG56" s="473" t="str">
        <f t="shared" si="14"/>
        <v/>
      </c>
      <c r="BH56" s="473" t="str">
        <f t="shared" si="14"/>
        <v/>
      </c>
      <c r="BI56" s="473" t="str">
        <f t="shared" si="14"/>
        <v/>
      </c>
      <c r="BJ56" s="473" t="str">
        <f t="shared" si="14"/>
        <v/>
      </c>
      <c r="BK56" s="473" t="str">
        <f t="shared" si="14"/>
        <v/>
      </c>
      <c r="BL56" s="473" t="str">
        <f t="shared" si="14"/>
        <v/>
      </c>
      <c r="BM56" s="473" t="str">
        <f t="shared" si="14"/>
        <v/>
      </c>
      <c r="BN56" s="473" t="str">
        <f t="shared" si="14"/>
        <v/>
      </c>
      <c r="BO56" s="473" t="str">
        <f t="shared" si="14"/>
        <v/>
      </c>
      <c r="BP56" s="473" t="str">
        <f t="shared" si="14"/>
        <v/>
      </c>
      <c r="BQ56" s="473" t="str">
        <f t="shared" si="14"/>
        <v/>
      </c>
      <c r="BR56" s="473" t="str">
        <f t="shared" si="14"/>
        <v/>
      </c>
      <c r="BS56" s="473" t="str">
        <f t="shared" si="14"/>
        <v/>
      </c>
      <c r="BT56" s="473" t="str">
        <f t="shared" si="14"/>
        <v/>
      </c>
      <c r="BU56" s="473" t="str">
        <f t="shared" si="14"/>
        <v/>
      </c>
      <c r="BV56" s="473" t="str">
        <f t="shared" si="14"/>
        <v/>
      </c>
      <c r="BW56" s="473" t="str">
        <f t="shared" si="14"/>
        <v/>
      </c>
      <c r="BX56" s="473" t="str">
        <f t="shared" ref="BX56:CO56" si="15">Year_Unic</f>
        <v/>
      </c>
      <c r="BY56" s="473" t="str">
        <f t="shared" si="15"/>
        <v/>
      </c>
      <c r="BZ56" s="473" t="str">
        <f t="shared" si="15"/>
        <v/>
      </c>
      <c r="CA56" s="473" t="str">
        <f t="shared" si="15"/>
        <v/>
      </c>
      <c r="CB56" s="473" t="str">
        <f t="shared" si="15"/>
        <v/>
      </c>
      <c r="CC56" s="473" t="str">
        <f t="shared" si="15"/>
        <v/>
      </c>
      <c r="CD56" s="473" t="str">
        <f t="shared" si="15"/>
        <v/>
      </c>
      <c r="CE56" s="473" t="str">
        <f t="shared" si="15"/>
        <v/>
      </c>
      <c r="CF56" s="473" t="str">
        <f t="shared" si="15"/>
        <v/>
      </c>
      <c r="CG56" s="473" t="str">
        <f t="shared" si="15"/>
        <v/>
      </c>
      <c r="CH56" s="473" t="str">
        <f t="shared" si="15"/>
        <v/>
      </c>
      <c r="CI56" s="473" t="str">
        <f t="shared" si="15"/>
        <v/>
      </c>
      <c r="CJ56" s="473" t="str">
        <f t="shared" si="15"/>
        <v/>
      </c>
      <c r="CK56" s="473" t="str">
        <f t="shared" si="15"/>
        <v/>
      </c>
      <c r="CL56" s="473" t="str">
        <f t="shared" si="15"/>
        <v/>
      </c>
      <c r="CM56" s="473" t="str">
        <f t="shared" si="15"/>
        <v/>
      </c>
      <c r="CN56" s="473" t="str">
        <f t="shared" si="15"/>
        <v/>
      </c>
      <c r="CO56" s="473" t="str">
        <f t="shared" si="15"/>
        <v/>
      </c>
      <c r="CP56" s="10"/>
    </row>
    <row r="57" spans="1:94" ht="15" customHeight="1">
      <c r="A57" s="10"/>
      <c r="B57" s="10"/>
      <c r="C57" s="10"/>
      <c r="D57" s="10"/>
      <c r="E57" s="110" t="s">
        <v>443</v>
      </c>
      <c r="F57" s="10"/>
      <c r="G57" s="11"/>
      <c r="H57" s="10"/>
      <c r="I57" s="10"/>
      <c r="J57" s="10"/>
      <c r="K57" s="10"/>
      <c r="L57" s="10"/>
      <c r="M57" s="10"/>
      <c r="N57" s="157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10"/>
    </row>
    <row r="58" spans="1:94" ht="15" customHeight="1">
      <c r="A58" s="10"/>
      <c r="B58" s="3"/>
      <c r="C58" s="17" t="s">
        <v>29</v>
      </c>
      <c r="D58" s="10"/>
      <c r="E58" s="66">
        <v>1</v>
      </c>
      <c r="F58" s="10"/>
      <c r="G58" s="11" t="s">
        <v>28</v>
      </c>
      <c r="H58" s="10"/>
      <c r="I58" s="10"/>
      <c r="J58" s="10"/>
      <c r="K58" s="10"/>
      <c r="L58" s="43">
        <f t="shared" ref="L58:BW58" si="16">IFERROR(HLOOKUP(Year_Unic,$L$40:$AA$54,3+$E58),"")</f>
        <v>5.8000000000000003E-2</v>
      </c>
      <c r="M58" s="43">
        <f t="shared" si="16"/>
        <v>0.04</v>
      </c>
      <c r="N58" s="43">
        <f t="shared" si="16"/>
        <v>0.04</v>
      </c>
      <c r="O58" s="43">
        <f t="shared" si="16"/>
        <v>0.04</v>
      </c>
      <c r="P58" s="43">
        <f t="shared" si="16"/>
        <v>0.04</v>
      </c>
      <c r="Q58" s="43">
        <f t="shared" si="16"/>
        <v>0.04</v>
      </c>
      <c r="R58" s="43">
        <f t="shared" si="16"/>
        <v>0.04</v>
      </c>
      <c r="S58" s="43">
        <f t="shared" si="16"/>
        <v>0.04</v>
      </c>
      <c r="T58" s="43">
        <f t="shared" si="16"/>
        <v>0.04</v>
      </c>
      <c r="U58" s="43">
        <f t="shared" si="16"/>
        <v>0.04</v>
      </c>
      <c r="V58" s="43">
        <f t="shared" si="16"/>
        <v>0.04</v>
      </c>
      <c r="W58" s="43">
        <f t="shared" si="16"/>
        <v>0.04</v>
      </c>
      <c r="X58" s="43">
        <f t="shared" si="16"/>
        <v>0.04</v>
      </c>
      <c r="Y58" s="43">
        <f t="shared" si="16"/>
        <v>0.04</v>
      </c>
      <c r="Z58" s="43">
        <f t="shared" si="16"/>
        <v>0.04</v>
      </c>
      <c r="AA58" s="43">
        <f t="shared" si="16"/>
        <v>0.04</v>
      </c>
      <c r="AB58" s="43">
        <f t="shared" si="16"/>
        <v>0.04</v>
      </c>
      <c r="AC58" s="43">
        <f t="shared" si="16"/>
        <v>0.04</v>
      </c>
      <c r="AD58" s="43">
        <f t="shared" si="16"/>
        <v>0.04</v>
      </c>
      <c r="AE58" s="43">
        <f t="shared" si="16"/>
        <v>0.04</v>
      </c>
      <c r="AF58" s="43">
        <f t="shared" si="16"/>
        <v>0.04</v>
      </c>
      <c r="AG58" s="43">
        <f t="shared" si="16"/>
        <v>0.04</v>
      </c>
      <c r="AH58" s="43">
        <f t="shared" si="16"/>
        <v>0.04</v>
      </c>
      <c r="AI58" s="43">
        <f t="shared" si="16"/>
        <v>0.04</v>
      </c>
      <c r="AJ58" s="43">
        <f t="shared" si="16"/>
        <v>0.04</v>
      </c>
      <c r="AK58" s="43" t="str">
        <f t="shared" si="16"/>
        <v/>
      </c>
      <c r="AL58" s="43"/>
      <c r="AM58" s="43" t="str">
        <f t="shared" si="16"/>
        <v/>
      </c>
      <c r="AN58" s="43" t="str">
        <f t="shared" si="16"/>
        <v/>
      </c>
      <c r="AO58" s="43" t="str">
        <f t="shared" si="16"/>
        <v/>
      </c>
      <c r="AP58" s="43" t="str">
        <f t="shared" si="16"/>
        <v/>
      </c>
      <c r="AQ58" s="43" t="str">
        <f t="shared" si="16"/>
        <v/>
      </c>
      <c r="AR58" s="43" t="str">
        <f t="shared" si="16"/>
        <v/>
      </c>
      <c r="AS58" s="43" t="str">
        <f t="shared" si="16"/>
        <v/>
      </c>
      <c r="AT58" s="43" t="str">
        <f t="shared" si="16"/>
        <v/>
      </c>
      <c r="AU58" s="43" t="str">
        <f t="shared" si="16"/>
        <v/>
      </c>
      <c r="AV58" s="43" t="str">
        <f t="shared" si="16"/>
        <v/>
      </c>
      <c r="AW58" s="43" t="str">
        <f t="shared" si="16"/>
        <v/>
      </c>
      <c r="AX58" s="43" t="str">
        <f t="shared" si="16"/>
        <v/>
      </c>
      <c r="AY58" s="43" t="str">
        <f t="shared" si="16"/>
        <v/>
      </c>
      <c r="AZ58" s="43" t="str">
        <f t="shared" si="16"/>
        <v/>
      </c>
      <c r="BA58" s="43" t="str">
        <f t="shared" si="16"/>
        <v/>
      </c>
      <c r="BB58" s="43" t="str">
        <f t="shared" si="16"/>
        <v/>
      </c>
      <c r="BC58" s="43" t="str">
        <f t="shared" si="16"/>
        <v/>
      </c>
      <c r="BD58" s="43" t="str">
        <f t="shared" si="16"/>
        <v/>
      </c>
      <c r="BE58" s="43" t="str">
        <f t="shared" si="16"/>
        <v/>
      </c>
      <c r="BF58" s="43" t="str">
        <f t="shared" si="16"/>
        <v/>
      </c>
      <c r="BG58" s="43" t="str">
        <f t="shared" si="16"/>
        <v/>
      </c>
      <c r="BH58" s="43" t="str">
        <f t="shared" si="16"/>
        <v/>
      </c>
      <c r="BI58" s="43" t="str">
        <f t="shared" si="16"/>
        <v/>
      </c>
      <c r="BJ58" s="43" t="str">
        <f t="shared" si="16"/>
        <v/>
      </c>
      <c r="BK58" s="43" t="str">
        <f t="shared" si="16"/>
        <v/>
      </c>
      <c r="BL58" s="43" t="str">
        <f t="shared" si="16"/>
        <v/>
      </c>
      <c r="BM58" s="43" t="str">
        <f t="shared" si="16"/>
        <v/>
      </c>
      <c r="BN58" s="43" t="str">
        <f t="shared" si="16"/>
        <v/>
      </c>
      <c r="BO58" s="43" t="str">
        <f t="shared" si="16"/>
        <v/>
      </c>
      <c r="BP58" s="43" t="str">
        <f t="shared" si="16"/>
        <v/>
      </c>
      <c r="BQ58" s="43" t="str">
        <f t="shared" si="16"/>
        <v/>
      </c>
      <c r="BR58" s="43" t="str">
        <f t="shared" si="16"/>
        <v/>
      </c>
      <c r="BS58" s="43" t="str">
        <f t="shared" si="16"/>
        <v/>
      </c>
      <c r="BT58" s="43" t="str">
        <f t="shared" si="16"/>
        <v/>
      </c>
      <c r="BU58" s="43" t="str">
        <f t="shared" si="16"/>
        <v/>
      </c>
      <c r="BV58" s="43" t="str">
        <f t="shared" si="16"/>
        <v/>
      </c>
      <c r="BW58" s="43" t="str">
        <f t="shared" si="16"/>
        <v/>
      </c>
      <c r="BX58" s="43" t="str">
        <f t="shared" ref="BX58:CO58" si="17">IFERROR(HLOOKUP(Year_Unic,$L$40:$AA$54,3+$E58),"")</f>
        <v/>
      </c>
      <c r="BY58" s="43" t="str">
        <f t="shared" si="17"/>
        <v/>
      </c>
      <c r="BZ58" s="43" t="str">
        <f t="shared" si="17"/>
        <v/>
      </c>
      <c r="CA58" s="43" t="str">
        <f t="shared" si="17"/>
        <v/>
      </c>
      <c r="CB58" s="43" t="str">
        <f t="shared" si="17"/>
        <v/>
      </c>
      <c r="CC58" s="43" t="str">
        <f t="shared" si="17"/>
        <v/>
      </c>
      <c r="CD58" s="43" t="str">
        <f t="shared" si="17"/>
        <v/>
      </c>
      <c r="CE58" s="43" t="str">
        <f t="shared" si="17"/>
        <v/>
      </c>
      <c r="CF58" s="43" t="str">
        <f t="shared" si="17"/>
        <v/>
      </c>
      <c r="CG58" s="43" t="str">
        <f t="shared" si="17"/>
        <v/>
      </c>
      <c r="CH58" s="43" t="str">
        <f t="shared" si="17"/>
        <v/>
      </c>
      <c r="CI58" s="43" t="str">
        <f t="shared" si="17"/>
        <v/>
      </c>
      <c r="CJ58" s="43" t="str">
        <f t="shared" si="17"/>
        <v/>
      </c>
      <c r="CK58" s="43" t="str">
        <f t="shared" si="17"/>
        <v/>
      </c>
      <c r="CL58" s="43" t="str">
        <f t="shared" si="17"/>
        <v/>
      </c>
      <c r="CM58" s="43" t="str">
        <f t="shared" si="17"/>
        <v/>
      </c>
      <c r="CN58" s="43" t="str">
        <f t="shared" si="17"/>
        <v/>
      </c>
      <c r="CO58" s="43" t="str">
        <f t="shared" si="17"/>
        <v/>
      </c>
      <c r="CP58" s="10"/>
    </row>
    <row r="59" spans="1:94" ht="15" customHeight="1">
      <c r="A59" s="10"/>
      <c r="B59" s="3"/>
      <c r="C59" s="17" t="s">
        <v>442</v>
      </c>
      <c r="D59" s="10"/>
      <c r="E59" s="66">
        <v>1</v>
      </c>
      <c r="F59" s="10"/>
      <c r="G59" s="11" t="s">
        <v>28</v>
      </c>
      <c r="H59" s="10"/>
      <c r="I59" s="375"/>
      <c r="J59" s="10"/>
      <c r="K59" s="10"/>
      <c r="L59" s="43">
        <f t="shared" ref="L59:BW59" si="18">IFERROR(HLOOKUP(Year_Unic,$L$40:$AA$54,8+$E59),"")</f>
        <v>5.8000000000000003E-2</v>
      </c>
      <c r="M59" s="43">
        <f t="shared" si="18"/>
        <v>0.04</v>
      </c>
      <c r="N59" s="43">
        <f t="shared" si="18"/>
        <v>0.04</v>
      </c>
      <c r="O59" s="43">
        <f t="shared" si="18"/>
        <v>0.04</v>
      </c>
      <c r="P59" s="43">
        <f t="shared" si="18"/>
        <v>0.04</v>
      </c>
      <c r="Q59" s="43">
        <f t="shared" si="18"/>
        <v>0.04</v>
      </c>
      <c r="R59" s="43">
        <f t="shared" si="18"/>
        <v>4.0300646272306583E-2</v>
      </c>
      <c r="S59" s="43">
        <f t="shared" si="18"/>
        <v>4.0300646272306583E-2</v>
      </c>
      <c r="T59" s="43">
        <f t="shared" si="18"/>
        <v>4.0300646272306583E-2</v>
      </c>
      <c r="U59" s="43">
        <f t="shared" si="18"/>
        <v>4.0300646272306583E-2</v>
      </c>
      <c r="V59" s="43">
        <f t="shared" si="18"/>
        <v>4.0300646272306583E-2</v>
      </c>
      <c r="W59" s="43">
        <f t="shared" si="18"/>
        <v>4.0300646272306583E-2</v>
      </c>
      <c r="X59" s="43">
        <f t="shared" si="18"/>
        <v>4.0300646272306583E-2</v>
      </c>
      <c r="Y59" s="43">
        <f t="shared" si="18"/>
        <v>4.0300646272306583E-2</v>
      </c>
      <c r="Z59" s="43">
        <f t="shared" si="18"/>
        <v>4.0300646272306583E-2</v>
      </c>
      <c r="AA59" s="43">
        <f t="shared" si="18"/>
        <v>4.0300646272306583E-2</v>
      </c>
      <c r="AB59" s="43">
        <f t="shared" si="18"/>
        <v>4.0300646272306583E-2</v>
      </c>
      <c r="AC59" s="43">
        <f t="shared" si="18"/>
        <v>4.0300646272306583E-2</v>
      </c>
      <c r="AD59" s="43">
        <f t="shared" si="18"/>
        <v>4.0300646272306583E-2</v>
      </c>
      <c r="AE59" s="43">
        <f t="shared" si="18"/>
        <v>4.0300646272306583E-2</v>
      </c>
      <c r="AF59" s="43">
        <f t="shared" si="18"/>
        <v>4.0300646272306583E-2</v>
      </c>
      <c r="AG59" s="43">
        <f t="shared" si="18"/>
        <v>4.0300646272306583E-2</v>
      </c>
      <c r="AH59" s="43">
        <f t="shared" si="18"/>
        <v>4.0300646272306583E-2</v>
      </c>
      <c r="AI59" s="43">
        <f t="shared" si="18"/>
        <v>4.0300646272306583E-2</v>
      </c>
      <c r="AJ59" s="43">
        <f t="shared" si="18"/>
        <v>4.0300646272306583E-2</v>
      </c>
      <c r="AK59" s="43" t="str">
        <f t="shared" si="18"/>
        <v/>
      </c>
      <c r="AL59" s="43" t="str">
        <f t="shared" si="18"/>
        <v/>
      </c>
      <c r="AM59" s="43" t="str">
        <f t="shared" si="18"/>
        <v/>
      </c>
      <c r="AN59" s="43" t="str">
        <f t="shared" si="18"/>
        <v/>
      </c>
      <c r="AO59" s="43" t="str">
        <f t="shared" si="18"/>
        <v/>
      </c>
      <c r="AP59" s="43" t="str">
        <f t="shared" si="18"/>
        <v/>
      </c>
      <c r="AQ59" s="43" t="str">
        <f t="shared" si="18"/>
        <v/>
      </c>
      <c r="AR59" s="43" t="str">
        <f t="shared" si="18"/>
        <v/>
      </c>
      <c r="AS59" s="43" t="str">
        <f t="shared" si="18"/>
        <v/>
      </c>
      <c r="AT59" s="43" t="str">
        <f t="shared" si="18"/>
        <v/>
      </c>
      <c r="AU59" s="43" t="str">
        <f t="shared" si="18"/>
        <v/>
      </c>
      <c r="AV59" s="43" t="str">
        <f t="shared" si="18"/>
        <v/>
      </c>
      <c r="AW59" s="43" t="str">
        <f t="shared" si="18"/>
        <v/>
      </c>
      <c r="AX59" s="43" t="str">
        <f t="shared" si="18"/>
        <v/>
      </c>
      <c r="AY59" s="43" t="str">
        <f t="shared" si="18"/>
        <v/>
      </c>
      <c r="AZ59" s="43" t="str">
        <f t="shared" si="18"/>
        <v/>
      </c>
      <c r="BA59" s="43" t="str">
        <f t="shared" si="18"/>
        <v/>
      </c>
      <c r="BB59" s="43" t="str">
        <f t="shared" si="18"/>
        <v/>
      </c>
      <c r="BC59" s="43" t="str">
        <f t="shared" si="18"/>
        <v/>
      </c>
      <c r="BD59" s="43" t="str">
        <f t="shared" si="18"/>
        <v/>
      </c>
      <c r="BE59" s="43" t="str">
        <f t="shared" si="18"/>
        <v/>
      </c>
      <c r="BF59" s="43" t="str">
        <f t="shared" si="18"/>
        <v/>
      </c>
      <c r="BG59" s="43" t="str">
        <f t="shared" si="18"/>
        <v/>
      </c>
      <c r="BH59" s="43" t="str">
        <f t="shared" si="18"/>
        <v/>
      </c>
      <c r="BI59" s="43" t="str">
        <f t="shared" si="18"/>
        <v/>
      </c>
      <c r="BJ59" s="43" t="str">
        <f t="shared" si="18"/>
        <v/>
      </c>
      <c r="BK59" s="43" t="str">
        <f t="shared" si="18"/>
        <v/>
      </c>
      <c r="BL59" s="43" t="str">
        <f t="shared" si="18"/>
        <v/>
      </c>
      <c r="BM59" s="43" t="str">
        <f t="shared" si="18"/>
        <v/>
      </c>
      <c r="BN59" s="43" t="str">
        <f t="shared" si="18"/>
        <v/>
      </c>
      <c r="BO59" s="43" t="str">
        <f t="shared" si="18"/>
        <v/>
      </c>
      <c r="BP59" s="43" t="str">
        <f t="shared" si="18"/>
        <v/>
      </c>
      <c r="BQ59" s="43" t="str">
        <f t="shared" si="18"/>
        <v/>
      </c>
      <c r="BR59" s="43" t="str">
        <f t="shared" si="18"/>
        <v/>
      </c>
      <c r="BS59" s="43" t="str">
        <f t="shared" si="18"/>
        <v/>
      </c>
      <c r="BT59" s="43" t="str">
        <f t="shared" si="18"/>
        <v/>
      </c>
      <c r="BU59" s="43" t="str">
        <f t="shared" si="18"/>
        <v/>
      </c>
      <c r="BV59" s="43" t="str">
        <f t="shared" si="18"/>
        <v/>
      </c>
      <c r="BW59" s="43" t="str">
        <f t="shared" si="18"/>
        <v/>
      </c>
      <c r="BX59" s="43" t="str">
        <f t="shared" ref="BX59:CO59" si="19">IFERROR(HLOOKUP(Year_Unic,$L$40:$AA$54,8+$E59),"")</f>
        <v/>
      </c>
      <c r="BY59" s="43" t="str">
        <f t="shared" si="19"/>
        <v/>
      </c>
      <c r="BZ59" s="43" t="str">
        <f t="shared" si="19"/>
        <v/>
      </c>
      <c r="CA59" s="43" t="str">
        <f t="shared" si="19"/>
        <v/>
      </c>
      <c r="CB59" s="43" t="str">
        <f t="shared" si="19"/>
        <v/>
      </c>
      <c r="CC59" s="43" t="str">
        <f t="shared" si="19"/>
        <v/>
      </c>
      <c r="CD59" s="43" t="str">
        <f t="shared" si="19"/>
        <v/>
      </c>
      <c r="CE59" s="43" t="str">
        <f t="shared" si="19"/>
        <v/>
      </c>
      <c r="CF59" s="43" t="str">
        <f t="shared" si="19"/>
        <v/>
      </c>
      <c r="CG59" s="43" t="str">
        <f t="shared" si="19"/>
        <v/>
      </c>
      <c r="CH59" s="43" t="str">
        <f t="shared" si="19"/>
        <v/>
      </c>
      <c r="CI59" s="43" t="str">
        <f t="shared" si="19"/>
        <v/>
      </c>
      <c r="CJ59" s="43" t="str">
        <f t="shared" si="19"/>
        <v/>
      </c>
      <c r="CK59" s="43" t="str">
        <f t="shared" si="19"/>
        <v/>
      </c>
      <c r="CL59" s="43" t="str">
        <f t="shared" si="19"/>
        <v/>
      </c>
      <c r="CM59" s="43" t="str">
        <f t="shared" si="19"/>
        <v/>
      </c>
      <c r="CN59" s="43" t="str">
        <f t="shared" si="19"/>
        <v/>
      </c>
      <c r="CO59" s="43" t="str">
        <f t="shared" si="19"/>
        <v/>
      </c>
      <c r="CP59" s="10"/>
    </row>
    <row r="60" spans="1:94" ht="15" customHeight="1">
      <c r="A60" s="10"/>
      <c r="B60" s="3"/>
      <c r="C60" s="17" t="s">
        <v>1210</v>
      </c>
      <c r="D60" s="10"/>
      <c r="E60" s="66">
        <v>1</v>
      </c>
      <c r="F60" s="10"/>
      <c r="G60" s="11" t="s">
        <v>28</v>
      </c>
      <c r="H60" s="10"/>
      <c r="I60" s="375"/>
      <c r="J60" s="10"/>
      <c r="K60" s="10"/>
      <c r="L60" s="43">
        <f>IFERROR(HLOOKUP(Year_Unic,$L$40:$R$54,13+$E60),"")</f>
        <v>0.16</v>
      </c>
      <c r="M60" s="43">
        <f t="shared" ref="M60:BW60" si="20">IFERROR(HLOOKUP(Year_Unic,$L$40:$Q$54,13+$E60),"")</f>
        <v>0.11</v>
      </c>
      <c r="N60" s="43">
        <f t="shared" si="20"/>
        <v>8.5000000000000006E-2</v>
      </c>
      <c r="O60" s="43">
        <f t="shared" si="20"/>
        <v>8.5000000000000006E-2</v>
      </c>
      <c r="P60" s="43">
        <f t="shared" si="20"/>
        <v>8.5000000000000006E-2</v>
      </c>
      <c r="Q60" s="43">
        <f t="shared" si="20"/>
        <v>8.5000000000000006E-2</v>
      </c>
      <c r="R60" s="43">
        <f>IFERROR(HLOOKUP(Year_Unic,$L$40:$R$54,13+$E60),"")</f>
        <v>8.5000000000000006E-2</v>
      </c>
      <c r="S60" s="43">
        <f t="shared" si="20"/>
        <v>8.5000000000000006E-2</v>
      </c>
      <c r="T60" s="43">
        <f t="shared" si="20"/>
        <v>8.5000000000000006E-2</v>
      </c>
      <c r="U60" s="43">
        <f t="shared" si="20"/>
        <v>8.5000000000000006E-2</v>
      </c>
      <c r="V60" s="43">
        <f t="shared" si="20"/>
        <v>8.5000000000000006E-2</v>
      </c>
      <c r="W60" s="43">
        <f t="shared" si="20"/>
        <v>8.5000000000000006E-2</v>
      </c>
      <c r="X60" s="43">
        <f t="shared" si="20"/>
        <v>8.5000000000000006E-2</v>
      </c>
      <c r="Y60" s="43">
        <f t="shared" si="20"/>
        <v>8.5000000000000006E-2</v>
      </c>
      <c r="Z60" s="43">
        <f t="shared" si="20"/>
        <v>8.5000000000000006E-2</v>
      </c>
      <c r="AA60" s="43">
        <f t="shared" si="20"/>
        <v>8.5000000000000006E-2</v>
      </c>
      <c r="AB60" s="43">
        <f t="shared" si="20"/>
        <v>8.5000000000000006E-2</v>
      </c>
      <c r="AC60" s="43">
        <f t="shared" si="20"/>
        <v>8.5000000000000006E-2</v>
      </c>
      <c r="AD60" s="43">
        <f t="shared" si="20"/>
        <v>8.5000000000000006E-2</v>
      </c>
      <c r="AE60" s="43">
        <f t="shared" si="20"/>
        <v>8.5000000000000006E-2</v>
      </c>
      <c r="AF60" s="43">
        <f t="shared" si="20"/>
        <v>8.5000000000000006E-2</v>
      </c>
      <c r="AG60" s="43">
        <f t="shared" si="20"/>
        <v>8.5000000000000006E-2</v>
      </c>
      <c r="AH60" s="43">
        <f t="shared" si="20"/>
        <v>8.5000000000000006E-2</v>
      </c>
      <c r="AI60" s="43">
        <f t="shared" si="20"/>
        <v>8.5000000000000006E-2</v>
      </c>
      <c r="AJ60" s="43">
        <f t="shared" si="20"/>
        <v>8.5000000000000006E-2</v>
      </c>
      <c r="AK60" s="43" t="str">
        <f t="shared" si="20"/>
        <v/>
      </c>
      <c r="AL60" s="43" t="str">
        <f t="shared" si="20"/>
        <v/>
      </c>
      <c r="AM60" s="43" t="str">
        <f t="shared" si="20"/>
        <v/>
      </c>
      <c r="AN60" s="43" t="str">
        <f t="shared" si="20"/>
        <v/>
      </c>
      <c r="AO60" s="43" t="str">
        <f t="shared" si="20"/>
        <v/>
      </c>
      <c r="AP60" s="43" t="str">
        <f t="shared" si="20"/>
        <v/>
      </c>
      <c r="AQ60" s="43" t="str">
        <f t="shared" si="20"/>
        <v/>
      </c>
      <c r="AR60" s="43" t="str">
        <f t="shared" si="20"/>
        <v/>
      </c>
      <c r="AS60" s="43" t="str">
        <f t="shared" si="20"/>
        <v/>
      </c>
      <c r="AT60" s="43" t="str">
        <f t="shared" si="20"/>
        <v/>
      </c>
      <c r="AU60" s="43" t="str">
        <f t="shared" si="20"/>
        <v/>
      </c>
      <c r="AV60" s="43" t="str">
        <f t="shared" si="20"/>
        <v/>
      </c>
      <c r="AW60" s="43" t="str">
        <f t="shared" si="20"/>
        <v/>
      </c>
      <c r="AX60" s="43" t="str">
        <f t="shared" si="20"/>
        <v/>
      </c>
      <c r="AY60" s="43" t="str">
        <f t="shared" si="20"/>
        <v/>
      </c>
      <c r="AZ60" s="43" t="str">
        <f t="shared" si="20"/>
        <v/>
      </c>
      <c r="BA60" s="43" t="str">
        <f t="shared" si="20"/>
        <v/>
      </c>
      <c r="BB60" s="43" t="str">
        <f t="shared" si="20"/>
        <v/>
      </c>
      <c r="BC60" s="43" t="str">
        <f t="shared" si="20"/>
        <v/>
      </c>
      <c r="BD60" s="43" t="str">
        <f t="shared" si="20"/>
        <v/>
      </c>
      <c r="BE60" s="43" t="str">
        <f t="shared" si="20"/>
        <v/>
      </c>
      <c r="BF60" s="43" t="str">
        <f t="shared" si="20"/>
        <v/>
      </c>
      <c r="BG60" s="43" t="str">
        <f t="shared" si="20"/>
        <v/>
      </c>
      <c r="BH60" s="43" t="str">
        <f t="shared" si="20"/>
        <v/>
      </c>
      <c r="BI60" s="43" t="str">
        <f t="shared" si="20"/>
        <v/>
      </c>
      <c r="BJ60" s="43" t="str">
        <f t="shared" si="20"/>
        <v/>
      </c>
      <c r="BK60" s="43" t="str">
        <f t="shared" si="20"/>
        <v/>
      </c>
      <c r="BL60" s="43" t="str">
        <f t="shared" si="20"/>
        <v/>
      </c>
      <c r="BM60" s="43" t="str">
        <f t="shared" si="20"/>
        <v/>
      </c>
      <c r="BN60" s="43" t="str">
        <f t="shared" si="20"/>
        <v/>
      </c>
      <c r="BO60" s="43" t="str">
        <f t="shared" si="20"/>
        <v/>
      </c>
      <c r="BP60" s="43" t="str">
        <f t="shared" si="20"/>
        <v/>
      </c>
      <c r="BQ60" s="43" t="str">
        <f t="shared" si="20"/>
        <v/>
      </c>
      <c r="BR60" s="43" t="str">
        <f t="shared" si="20"/>
        <v/>
      </c>
      <c r="BS60" s="43" t="str">
        <f t="shared" si="20"/>
        <v/>
      </c>
      <c r="BT60" s="43" t="str">
        <f t="shared" si="20"/>
        <v/>
      </c>
      <c r="BU60" s="43" t="str">
        <f t="shared" si="20"/>
        <v/>
      </c>
      <c r="BV60" s="43" t="str">
        <f t="shared" si="20"/>
        <v/>
      </c>
      <c r="BW60" s="43" t="str">
        <f t="shared" si="20"/>
        <v/>
      </c>
      <c r="BX60" s="43" t="str">
        <f t="shared" ref="BX60:CO60" si="21">IFERROR(HLOOKUP(Year_Unic,$L$40:$Q$54,13+$E60),"")</f>
        <v/>
      </c>
      <c r="BY60" s="43" t="str">
        <f t="shared" si="21"/>
        <v/>
      </c>
      <c r="BZ60" s="43" t="str">
        <f t="shared" si="21"/>
        <v/>
      </c>
      <c r="CA60" s="43" t="str">
        <f t="shared" si="21"/>
        <v/>
      </c>
      <c r="CB60" s="43" t="str">
        <f t="shared" si="21"/>
        <v/>
      </c>
      <c r="CC60" s="43" t="str">
        <f t="shared" si="21"/>
        <v/>
      </c>
      <c r="CD60" s="43" t="str">
        <f t="shared" si="21"/>
        <v/>
      </c>
      <c r="CE60" s="43" t="str">
        <f t="shared" si="21"/>
        <v/>
      </c>
      <c r="CF60" s="43" t="str">
        <f t="shared" si="21"/>
        <v/>
      </c>
      <c r="CG60" s="43" t="str">
        <f t="shared" si="21"/>
        <v/>
      </c>
      <c r="CH60" s="43" t="str">
        <f t="shared" si="21"/>
        <v/>
      </c>
      <c r="CI60" s="43" t="str">
        <f t="shared" si="21"/>
        <v/>
      </c>
      <c r="CJ60" s="43" t="str">
        <f t="shared" si="21"/>
        <v/>
      </c>
      <c r="CK60" s="43" t="str">
        <f t="shared" si="21"/>
        <v/>
      </c>
      <c r="CL60" s="43" t="str">
        <f t="shared" si="21"/>
        <v/>
      </c>
      <c r="CM60" s="43" t="str">
        <f t="shared" si="21"/>
        <v/>
      </c>
      <c r="CN60" s="43" t="str">
        <f t="shared" si="21"/>
        <v/>
      </c>
      <c r="CO60" s="43" t="str">
        <f t="shared" si="21"/>
        <v/>
      </c>
      <c r="CP60" s="10"/>
    </row>
    <row r="61" spans="1:94" ht="15" customHeight="1">
      <c r="A61" s="10"/>
      <c r="B61" s="3"/>
      <c r="C61" s="17"/>
      <c r="D61" s="10"/>
      <c r="E61" s="10"/>
      <c r="F61" s="10"/>
      <c r="G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</row>
    <row r="62" spans="1:94" ht="22.5" customHeight="1">
      <c r="B62" s="5" t="s">
        <v>607</v>
      </c>
      <c r="C62" s="5"/>
      <c r="D62" s="5"/>
      <c r="E62" s="5"/>
      <c r="F62" s="5"/>
      <c r="G62" s="6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</row>
    <row r="63" spans="1:94" ht="15" customHeight="1">
      <c r="A63" s="10"/>
      <c r="B63" s="3"/>
      <c r="C63" s="17"/>
      <c r="D63" s="10"/>
      <c r="E63" s="10"/>
      <c r="F63" s="10"/>
      <c r="G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</row>
    <row r="64" spans="1:94" ht="15" customHeight="1">
      <c r="A64" s="10"/>
      <c r="B64" s="3"/>
      <c r="C64" s="436" t="s">
        <v>1106</v>
      </c>
      <c r="D64" s="437"/>
      <c r="E64" s="438"/>
      <c r="F64" s="271"/>
      <c r="G64" s="272"/>
      <c r="H64" s="271"/>
      <c r="I64" s="271"/>
      <c r="J64" s="271"/>
      <c r="K64" s="271"/>
      <c r="L64" s="271"/>
      <c r="M64" s="271"/>
      <c r="N64" s="271"/>
      <c r="O64" s="271"/>
      <c r="P64" s="271"/>
      <c r="Q64" s="271"/>
      <c r="R64" s="271"/>
      <c r="S64" s="271"/>
      <c r="T64" s="271"/>
      <c r="U64" s="271"/>
      <c r="V64" s="271"/>
      <c r="W64" s="271"/>
      <c r="X64" s="271"/>
      <c r="Y64" s="271"/>
      <c r="Z64" s="271"/>
      <c r="AA64" s="271"/>
      <c r="AB64" s="271"/>
      <c r="AC64" s="271"/>
      <c r="AD64" s="271"/>
      <c r="AE64" s="271"/>
      <c r="AF64" s="271"/>
      <c r="AG64" s="271"/>
      <c r="AH64" s="271"/>
      <c r="AI64" s="271"/>
      <c r="AJ64" s="271"/>
      <c r="AK64" s="271"/>
      <c r="AL64" s="271"/>
      <c r="AM64" s="271"/>
      <c r="AN64" s="271"/>
      <c r="AO64" s="271"/>
      <c r="AP64" s="271"/>
      <c r="AQ64" s="271"/>
      <c r="AR64" s="271"/>
      <c r="AS64" s="271"/>
      <c r="AT64" s="271"/>
      <c r="AU64" s="271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  <c r="CA64" s="271"/>
      <c r="CB64" s="271"/>
      <c r="CC64" s="271"/>
      <c r="CD64" s="271"/>
      <c r="CE64" s="271"/>
      <c r="CF64" s="271"/>
      <c r="CG64" s="271"/>
      <c r="CH64" s="271"/>
      <c r="CI64" s="271"/>
      <c r="CJ64" s="271"/>
      <c r="CK64" s="271"/>
      <c r="CL64" s="271"/>
      <c r="CM64" s="271"/>
      <c r="CN64" s="271"/>
      <c r="CO64" s="271"/>
      <c r="CP64" s="10"/>
    </row>
    <row r="65" spans="1:94" ht="15" customHeight="1">
      <c r="A65" s="10"/>
      <c r="B65" s="3"/>
      <c r="C65" s="17"/>
      <c r="D65" s="10"/>
      <c r="E65" s="10"/>
      <c r="F65" s="10"/>
      <c r="G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</row>
    <row r="66" spans="1:94" ht="15" customHeight="1" thickBot="1">
      <c r="A66" s="10"/>
      <c r="B66" s="3"/>
      <c r="C66" s="447" t="s">
        <v>1101</v>
      </c>
      <c r="D66" s="445"/>
      <c r="E66" s="446"/>
      <c r="F66" s="12"/>
      <c r="G66" s="12"/>
      <c r="H66" s="12"/>
      <c r="I66" s="12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</row>
    <row r="67" spans="1:94" ht="15" customHeight="1">
      <c r="A67" s="10"/>
      <c r="B67" s="3"/>
      <c r="C67" s="17"/>
      <c r="D67" s="10"/>
      <c r="E67" s="10"/>
      <c r="F67" s="10"/>
      <c r="G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</row>
    <row r="68" spans="1:94" ht="15" customHeight="1">
      <c r="A68" s="10"/>
      <c r="B68" s="3"/>
      <c r="C68" s="17" t="s">
        <v>786</v>
      </c>
      <c r="D68" s="10"/>
      <c r="E68" s="14">
        <v>0</v>
      </c>
      <c r="F68" s="10"/>
      <c r="G68" s="11" t="s">
        <v>790</v>
      </c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</row>
    <row r="69" spans="1:94" ht="15" customHeight="1">
      <c r="A69" s="10"/>
      <c r="B69" s="3"/>
      <c r="C69" s="17" t="s">
        <v>787</v>
      </c>
      <c r="D69" s="10"/>
      <c r="E69" s="14">
        <v>1</v>
      </c>
      <c r="F69" s="10"/>
      <c r="G69" s="11" t="s">
        <v>790</v>
      </c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</row>
    <row r="70" spans="1:94" ht="15" customHeight="1">
      <c r="A70" s="10"/>
      <c r="B70" s="3"/>
      <c r="C70" s="17" t="s">
        <v>788</v>
      </c>
      <c r="D70" s="10"/>
      <c r="E70" s="14">
        <v>2</v>
      </c>
      <c r="F70" s="10"/>
      <c r="G70" s="11" t="s">
        <v>791</v>
      </c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</row>
    <row r="71" spans="1:94" ht="15" customHeight="1">
      <c r="A71" s="10"/>
      <c r="B71" s="3"/>
      <c r="C71" s="17"/>
      <c r="D71" s="10"/>
      <c r="E71" s="10"/>
      <c r="F71" s="10"/>
      <c r="G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</row>
    <row r="72" spans="1:94" ht="15" customHeight="1" thickBot="1">
      <c r="A72" s="10"/>
      <c r="B72" s="3"/>
      <c r="C72" s="447" t="s">
        <v>1102</v>
      </c>
      <c r="D72" s="445"/>
      <c r="E72" s="446"/>
      <c r="F72" s="12"/>
      <c r="G72" s="12"/>
      <c r="H72" s="12"/>
      <c r="I72" s="12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</row>
    <row r="73" spans="1:94" ht="15" customHeight="1">
      <c r="A73" s="10"/>
      <c r="B73" s="3"/>
      <c r="C73" s="17"/>
      <c r="D73" s="10"/>
      <c r="E73" s="10"/>
      <c r="F73" s="10"/>
      <c r="G73" s="11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</row>
    <row r="74" spans="1:94" ht="15" customHeight="1">
      <c r="A74" s="10"/>
      <c r="B74" s="3"/>
      <c r="C74" s="17" t="s">
        <v>798</v>
      </c>
      <c r="D74" s="10"/>
      <c r="E74" s="14">
        <v>0</v>
      </c>
      <c r="F74" s="10"/>
      <c r="G74" s="11" t="s">
        <v>790</v>
      </c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</row>
    <row r="75" spans="1:94" ht="15" customHeight="1">
      <c r="A75" s="10"/>
      <c r="B75" s="3"/>
      <c r="C75" s="17" t="s">
        <v>799</v>
      </c>
      <c r="D75" s="10"/>
      <c r="E75" s="14">
        <v>0</v>
      </c>
      <c r="F75" s="10"/>
      <c r="G75" s="11" t="s">
        <v>790</v>
      </c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</row>
    <row r="76" spans="1:94" ht="15" customHeight="1">
      <c r="A76" s="10"/>
      <c r="B76" s="3"/>
      <c r="C76" s="17" t="s">
        <v>800</v>
      </c>
      <c r="D76" s="10"/>
      <c r="E76" s="14">
        <v>0</v>
      </c>
      <c r="F76" s="10"/>
      <c r="G76" s="11" t="s">
        <v>790</v>
      </c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</row>
    <row r="77" spans="1:94" ht="15" customHeight="1">
      <c r="A77" s="10"/>
      <c r="B77" s="3"/>
      <c r="C77" s="17" t="s">
        <v>801</v>
      </c>
      <c r="D77" s="10"/>
      <c r="E77" s="14">
        <v>0</v>
      </c>
      <c r="F77" s="10"/>
      <c r="G77" s="11" t="s">
        <v>790</v>
      </c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</row>
    <row r="78" spans="1:94" ht="15" customHeight="1">
      <c r="A78" s="10"/>
      <c r="B78" s="3"/>
      <c r="C78" s="17" t="s">
        <v>802</v>
      </c>
      <c r="D78" s="10"/>
      <c r="E78" s="14">
        <v>0</v>
      </c>
      <c r="F78" s="10"/>
      <c r="G78" s="11" t="s">
        <v>790</v>
      </c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</row>
    <row r="79" spans="1:94" ht="15" customHeight="1">
      <c r="A79" s="10"/>
      <c r="B79" s="3"/>
      <c r="C79" s="17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</row>
    <row r="80" spans="1:94" ht="15" customHeight="1" thickBot="1">
      <c r="A80" s="10"/>
      <c r="B80" s="3"/>
      <c r="C80" s="447" t="s">
        <v>1103</v>
      </c>
      <c r="D80" s="445"/>
      <c r="E80" s="446"/>
      <c r="F80" s="12"/>
      <c r="G80" s="12"/>
      <c r="H80" s="12"/>
      <c r="I80" s="12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</row>
    <row r="81" spans="1:94" ht="15" customHeight="1">
      <c r="A81" s="10"/>
      <c r="B81" s="3"/>
      <c r="C81" s="17"/>
      <c r="D81" s="10"/>
      <c r="E81" s="10"/>
      <c r="F81" s="10"/>
      <c r="G81" s="11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</row>
    <row r="82" spans="1:94" ht="15" customHeight="1">
      <c r="A82" s="10"/>
      <c r="B82" s="3"/>
      <c r="C82" s="17" t="s">
        <v>812</v>
      </c>
      <c r="D82" s="10"/>
      <c r="E82" s="14">
        <v>0</v>
      </c>
      <c r="F82" s="10"/>
      <c r="G82" s="11" t="s">
        <v>790</v>
      </c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</row>
    <row r="83" spans="1:94" ht="15" customHeight="1">
      <c r="A83" s="10"/>
      <c r="B83" s="3"/>
      <c r="C83" s="17"/>
      <c r="D83" s="10"/>
      <c r="E83" s="10"/>
      <c r="F83" s="10"/>
      <c r="G83" s="11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</row>
    <row r="84" spans="1:94" ht="15" customHeight="1">
      <c r="A84" s="10"/>
      <c r="B84" s="3"/>
      <c r="C84" s="439" t="s">
        <v>1100</v>
      </c>
      <c r="D84" s="437"/>
      <c r="E84" s="438"/>
      <c r="F84" s="271"/>
      <c r="G84" s="272"/>
      <c r="H84" s="271"/>
      <c r="I84" s="271"/>
      <c r="J84" s="271"/>
      <c r="K84" s="271"/>
      <c r="L84" s="271"/>
      <c r="M84" s="271"/>
      <c r="N84" s="271"/>
      <c r="O84" s="271"/>
      <c r="P84" s="271"/>
      <c r="Q84" s="271"/>
      <c r="R84" s="271"/>
      <c r="S84" s="271"/>
      <c r="T84" s="271"/>
      <c r="U84" s="271"/>
      <c r="V84" s="271"/>
      <c r="W84" s="271"/>
      <c r="X84" s="271"/>
      <c r="Y84" s="271"/>
      <c r="Z84" s="271"/>
      <c r="AA84" s="271"/>
      <c r="AB84" s="271"/>
      <c r="AC84" s="271"/>
      <c r="AD84" s="271"/>
      <c r="AE84" s="271"/>
      <c r="AF84" s="271"/>
      <c r="AG84" s="271"/>
      <c r="AH84" s="271"/>
      <c r="AI84" s="271"/>
      <c r="AJ84" s="271"/>
      <c r="AK84" s="271"/>
      <c r="AL84" s="271"/>
      <c r="AM84" s="271"/>
      <c r="AN84" s="271"/>
      <c r="AO84" s="271"/>
      <c r="AP84" s="271"/>
      <c r="AQ84" s="271"/>
      <c r="AR84" s="271"/>
      <c r="AS84" s="271"/>
      <c r="AT84" s="271"/>
      <c r="AU84" s="271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  <c r="CA84" s="271"/>
      <c r="CB84" s="271"/>
      <c r="CC84" s="271"/>
      <c r="CD84" s="271"/>
      <c r="CE84" s="271"/>
      <c r="CF84" s="271"/>
      <c r="CG84" s="271"/>
      <c r="CH84" s="271"/>
      <c r="CI84" s="271"/>
      <c r="CJ84" s="271"/>
      <c r="CK84" s="271"/>
      <c r="CL84" s="271"/>
      <c r="CM84" s="271"/>
      <c r="CN84" s="271"/>
      <c r="CO84" s="271"/>
      <c r="CP84" s="10"/>
    </row>
    <row r="85" spans="1:94" ht="15" customHeight="1">
      <c r="A85" s="10"/>
      <c r="B85" s="3"/>
      <c r="C85" s="17"/>
      <c r="D85" s="10"/>
      <c r="E85" s="10"/>
      <c r="F85" s="10"/>
      <c r="G85" s="11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</row>
    <row r="86" spans="1:94" ht="15" customHeight="1" thickBot="1">
      <c r="A86" s="10"/>
      <c r="B86" s="3"/>
      <c r="C86" s="12" t="s">
        <v>608</v>
      </c>
      <c r="D86" s="12"/>
      <c r="E86" s="12"/>
      <c r="F86" s="12"/>
      <c r="G86" s="12"/>
      <c r="H86" s="12"/>
      <c r="I86" s="12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</row>
    <row r="87" spans="1:94" ht="15" customHeight="1">
      <c r="A87" s="10"/>
      <c r="B87" s="3"/>
      <c r="C87" s="17"/>
      <c r="D87" s="10"/>
      <c r="E87" s="10"/>
      <c r="F87" s="10"/>
      <c r="G87" s="11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</row>
    <row r="88" spans="1:94" ht="15" customHeight="1">
      <c r="A88" s="10"/>
      <c r="B88" s="3"/>
      <c r="C88" s="17" t="s">
        <v>609</v>
      </c>
      <c r="D88" s="10"/>
      <c r="E88" s="14">
        <v>58600</v>
      </c>
      <c r="F88" s="10"/>
      <c r="G88" s="11" t="s">
        <v>614</v>
      </c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</row>
    <row r="89" spans="1:94" ht="15" customHeight="1">
      <c r="A89" s="10"/>
      <c r="B89" s="3"/>
      <c r="C89" s="17"/>
      <c r="D89" s="10"/>
      <c r="E89" s="17"/>
      <c r="F89" s="10"/>
      <c r="G89" s="11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</row>
    <row r="90" spans="1:94" ht="15" customHeight="1">
      <c r="A90" s="10"/>
      <c r="B90" s="3"/>
      <c r="C90" s="17" t="s">
        <v>613</v>
      </c>
      <c r="D90" s="10"/>
      <c r="E90" s="225">
        <f xml:space="preserve"> E98</f>
        <v>11979.8</v>
      </c>
      <c r="F90" s="10"/>
      <c r="G90" s="11" t="s">
        <v>614</v>
      </c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</row>
    <row r="91" spans="1:94" ht="15" customHeight="1">
      <c r="A91" s="10"/>
      <c r="B91" s="3"/>
      <c r="C91" s="17" t="s">
        <v>1189</v>
      </c>
      <c r="D91" s="10"/>
      <c r="E91" s="167">
        <v>0.9</v>
      </c>
      <c r="F91" s="10"/>
      <c r="G91" s="11" t="s">
        <v>28</v>
      </c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</row>
    <row r="92" spans="1:94" ht="15" customHeight="1">
      <c r="A92" s="10"/>
      <c r="B92" s="3"/>
      <c r="C92" s="17" t="s">
        <v>612</v>
      </c>
      <c r="D92" s="10"/>
      <c r="E92" s="225">
        <f xml:space="preserve"> E90/E91</f>
        <v>13310.888888888887</v>
      </c>
      <c r="F92" s="10"/>
      <c r="G92" s="11" t="s">
        <v>614</v>
      </c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</row>
    <row r="93" spans="1:94" ht="15" customHeight="1">
      <c r="A93" s="10"/>
      <c r="B93" s="3"/>
      <c r="C93" s="17" t="s">
        <v>611</v>
      </c>
      <c r="D93" s="10"/>
      <c r="E93" s="225">
        <f xml:space="preserve"> E92 / E109</f>
        <v>4436.9629629629626</v>
      </c>
      <c r="F93" s="10"/>
      <c r="G93" s="11" t="s">
        <v>614</v>
      </c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</row>
    <row r="94" spans="1:94" ht="15" customHeight="1">
      <c r="A94" s="10"/>
      <c r="B94" s="3"/>
      <c r="C94" s="17" t="s">
        <v>610</v>
      </c>
      <c r="D94" s="10"/>
      <c r="E94" s="225">
        <v>25143</v>
      </c>
      <c r="F94" s="10"/>
      <c r="G94" s="11" t="s">
        <v>614</v>
      </c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</row>
    <row r="95" spans="1:94" ht="15" customHeight="1">
      <c r="A95" s="10"/>
      <c r="B95" s="3"/>
      <c r="C95" s="17"/>
      <c r="D95" s="10"/>
      <c r="E95" s="226"/>
      <c r="F95" s="10"/>
      <c r="G95" s="11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</row>
    <row r="96" spans="1:94" ht="15" customHeight="1" thickBot="1">
      <c r="A96" s="10"/>
      <c r="B96" s="3"/>
      <c r="C96" s="12" t="s">
        <v>785</v>
      </c>
      <c r="D96" s="12"/>
      <c r="E96" s="12"/>
      <c r="F96" s="12"/>
      <c r="G96" s="12"/>
      <c r="H96" s="12"/>
      <c r="I96" s="12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</row>
    <row r="97" spans="1:94" ht="15" customHeight="1">
      <c r="A97" s="10"/>
      <c r="B97" s="3"/>
      <c r="C97" s="17"/>
      <c r="D97" s="10"/>
      <c r="E97" s="225"/>
      <c r="F97" s="10"/>
      <c r="G97" s="11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</row>
    <row r="98" spans="1:94" ht="15" customHeight="1">
      <c r="A98" s="10"/>
      <c r="B98" s="3"/>
      <c r="C98" s="17" t="s">
        <v>615</v>
      </c>
      <c r="D98" s="10"/>
      <c r="E98" s="225">
        <f xml:space="preserve"> SUM(E100:E107)</f>
        <v>11979.8</v>
      </c>
      <c r="F98" s="10"/>
      <c r="G98" s="11" t="s">
        <v>614</v>
      </c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</row>
    <row r="99" spans="1:94" ht="15" customHeight="1">
      <c r="A99" s="10"/>
      <c r="B99" s="3"/>
      <c r="C99" s="17"/>
      <c r="D99" s="10"/>
      <c r="E99" s="225"/>
      <c r="F99" s="10"/>
      <c r="G99" s="1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</row>
    <row r="100" spans="1:94" ht="15" customHeight="1">
      <c r="A100" s="10"/>
      <c r="B100" s="3"/>
      <c r="C100" s="17" t="s">
        <v>620</v>
      </c>
      <c r="D100" s="10"/>
      <c r="E100" s="225">
        <f xml:space="preserve"> E112 * E122 + E113 * E123 + E114 * E124+E115*E125+E116*E126+E117*E127+E118*E128+E119*E129+E130*E120</f>
        <v>5920</v>
      </c>
      <c r="F100" s="10"/>
      <c r="G100" s="11" t="s">
        <v>614</v>
      </c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</row>
    <row r="101" spans="1:94" ht="15" customHeight="1">
      <c r="A101" s="10"/>
      <c r="B101" s="3"/>
      <c r="C101" s="17" t="s">
        <v>1539</v>
      </c>
      <c r="D101" s="10"/>
      <c r="E101" s="14">
        <v>1279</v>
      </c>
      <c r="F101" s="10"/>
      <c r="G101" s="11" t="s">
        <v>614</v>
      </c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</row>
    <row r="102" spans="1:94" ht="15" customHeight="1">
      <c r="A102" s="10"/>
      <c r="B102" s="3"/>
      <c r="C102" s="17" t="s">
        <v>1540</v>
      </c>
      <c r="D102" s="10"/>
      <c r="E102" s="14">
        <v>325</v>
      </c>
      <c r="F102" s="10"/>
      <c r="G102" s="11" t="s">
        <v>614</v>
      </c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</row>
    <row r="103" spans="1:94" ht="15" customHeight="1">
      <c r="A103" s="10"/>
      <c r="B103" s="3"/>
      <c r="C103" s="17" t="s">
        <v>1541</v>
      </c>
      <c r="D103" s="10"/>
      <c r="E103" s="14">
        <v>242</v>
      </c>
      <c r="F103" s="10"/>
      <c r="G103" s="11" t="s">
        <v>614</v>
      </c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</row>
    <row r="104" spans="1:94" ht="15" customHeight="1">
      <c r="A104" s="10"/>
      <c r="B104" s="3"/>
      <c r="C104" s="17" t="s">
        <v>1542</v>
      </c>
      <c r="D104" s="10"/>
      <c r="E104" s="14">
        <f>144+263+253</f>
        <v>660</v>
      </c>
      <c r="F104" s="10"/>
      <c r="G104" s="11" t="s">
        <v>614</v>
      </c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</row>
    <row r="105" spans="1:94" ht="15" customHeight="1">
      <c r="A105" s="10"/>
      <c r="B105" s="3"/>
      <c r="C105" s="17" t="s">
        <v>1543</v>
      </c>
      <c r="D105" s="10"/>
      <c r="E105" s="14">
        <v>470</v>
      </c>
      <c r="F105" s="10"/>
      <c r="G105" s="11" t="s">
        <v>614</v>
      </c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</row>
    <row r="106" spans="1:94" ht="15" customHeight="1">
      <c r="A106" s="10"/>
      <c r="B106" s="3"/>
      <c r="C106" s="17" t="s">
        <v>1544</v>
      </c>
      <c r="D106" s="10"/>
      <c r="E106" s="225">
        <f>891+5.8*2*3+5.8*2*5</f>
        <v>983.8</v>
      </c>
      <c r="F106" s="10"/>
      <c r="G106" s="11" t="s">
        <v>614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</row>
    <row r="107" spans="1:94" ht="15" customHeight="1">
      <c r="A107" s="10"/>
      <c r="B107" s="3"/>
      <c r="C107" s="17" t="s">
        <v>1545</v>
      </c>
      <c r="D107" s="10"/>
      <c r="E107" s="14">
        <v>2100</v>
      </c>
      <c r="F107" s="10"/>
      <c r="G107" s="11" t="s">
        <v>614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</row>
    <row r="108" spans="1:94" ht="15" customHeight="1">
      <c r="A108" s="10"/>
      <c r="B108" s="3"/>
      <c r="C108" s="17"/>
      <c r="D108" s="10"/>
      <c r="E108" s="225"/>
      <c r="F108" s="10"/>
      <c r="G108" s="11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</row>
    <row r="109" spans="1:94" ht="15" customHeight="1">
      <c r="A109" s="10"/>
      <c r="B109" s="3"/>
      <c r="C109" s="17" t="s">
        <v>616</v>
      </c>
      <c r="D109" s="10"/>
      <c r="E109" s="14">
        <v>3</v>
      </c>
      <c r="F109" s="10"/>
      <c r="G109" s="11" t="s">
        <v>829</v>
      </c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</row>
    <row r="110" spans="1:94" ht="15" customHeight="1">
      <c r="A110" s="10"/>
      <c r="B110" s="3"/>
      <c r="C110" s="17"/>
      <c r="D110" s="10"/>
      <c r="E110" s="225"/>
      <c r="F110" s="10"/>
      <c r="G110" s="11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</row>
    <row r="111" spans="1:94" ht="15" customHeight="1">
      <c r="A111" s="10"/>
      <c r="B111" s="3"/>
      <c r="C111" s="17" t="s">
        <v>617</v>
      </c>
      <c r="D111" s="10"/>
      <c r="E111" s="225">
        <f>SUM(E112:E120)</f>
        <v>120</v>
      </c>
      <c r="F111" s="10"/>
      <c r="G111" s="11" t="s">
        <v>641</v>
      </c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</row>
    <row r="112" spans="1:94" ht="15" customHeight="1">
      <c r="A112" s="10"/>
      <c r="B112" s="3"/>
      <c r="C112" s="21" t="s">
        <v>1546</v>
      </c>
      <c r="D112" s="10"/>
      <c r="E112" s="14">
        <v>104</v>
      </c>
      <c r="F112" s="10"/>
      <c r="G112" s="11" t="s">
        <v>641</v>
      </c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</row>
    <row r="113" spans="1:94" ht="15" customHeight="1">
      <c r="A113" s="10"/>
      <c r="B113" s="3"/>
      <c r="C113" s="21" t="s">
        <v>1547</v>
      </c>
      <c r="D113" s="10"/>
      <c r="E113" s="14">
        <v>10</v>
      </c>
      <c r="F113" s="10"/>
      <c r="G113" s="11" t="s">
        <v>641</v>
      </c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</row>
    <row r="114" spans="1:94" ht="15" customHeight="1">
      <c r="A114" s="10"/>
      <c r="B114" s="3"/>
      <c r="C114" s="21" t="s">
        <v>1548</v>
      </c>
      <c r="D114" s="10"/>
      <c r="E114" s="14">
        <v>6</v>
      </c>
      <c r="F114" s="10"/>
      <c r="G114" s="11" t="s">
        <v>641</v>
      </c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</row>
    <row r="115" spans="1:94" ht="15" customHeight="1">
      <c r="A115" s="10"/>
      <c r="B115" s="3"/>
      <c r="C115" s="21" t="s">
        <v>1225</v>
      </c>
      <c r="D115" s="10"/>
      <c r="E115" s="14"/>
      <c r="F115" s="10"/>
      <c r="G115" s="11" t="s">
        <v>641</v>
      </c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</row>
    <row r="116" spans="1:94" ht="15" customHeight="1">
      <c r="A116" s="10"/>
      <c r="B116" s="3"/>
      <c r="C116" s="21" t="s">
        <v>1213</v>
      </c>
      <c r="D116" s="10"/>
      <c r="E116" s="14"/>
      <c r="F116" s="10"/>
      <c r="G116" s="11" t="s">
        <v>641</v>
      </c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</row>
    <row r="117" spans="1:94" ht="15" customHeight="1">
      <c r="A117" s="10"/>
      <c r="B117" s="3"/>
      <c r="C117" s="21" t="s">
        <v>1438</v>
      </c>
      <c r="D117" s="10"/>
      <c r="E117" s="14"/>
      <c r="F117" s="10"/>
      <c r="G117" s="11" t="s">
        <v>641</v>
      </c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</row>
    <row r="118" spans="1:94" ht="15" customHeight="1">
      <c r="A118" s="10"/>
      <c r="B118" s="3"/>
      <c r="C118" s="21" t="s">
        <v>1226</v>
      </c>
      <c r="D118" s="10"/>
      <c r="E118" s="14"/>
      <c r="F118" s="10"/>
      <c r="G118" s="11" t="s">
        <v>641</v>
      </c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</row>
    <row r="119" spans="1:94" ht="15" customHeight="1">
      <c r="A119" s="10"/>
      <c r="B119" s="3"/>
      <c r="C119" s="21" t="s">
        <v>1227</v>
      </c>
      <c r="D119" s="10"/>
      <c r="E119" s="14"/>
      <c r="F119" s="10"/>
      <c r="G119" s="11" t="s">
        <v>641</v>
      </c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</row>
    <row r="120" spans="1:94" ht="15" customHeight="1">
      <c r="A120" s="10"/>
      <c r="B120" s="3"/>
      <c r="C120" s="21" t="s">
        <v>1294</v>
      </c>
      <c r="D120" s="10"/>
      <c r="E120" s="14">
        <v>0</v>
      </c>
      <c r="F120" s="10"/>
      <c r="G120" s="11" t="s">
        <v>641</v>
      </c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</row>
    <row r="121" spans="1:94" ht="15" customHeight="1">
      <c r="A121" s="10"/>
      <c r="B121" s="3"/>
      <c r="C121" s="17" t="s">
        <v>1163</v>
      </c>
      <c r="D121" s="10"/>
      <c r="E121" s="225"/>
      <c r="F121" s="10"/>
      <c r="G121" s="11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</row>
    <row r="122" spans="1:94" ht="15" customHeight="1">
      <c r="A122" s="10"/>
      <c r="B122" s="3"/>
      <c r="C122" s="21" t="s">
        <v>1546</v>
      </c>
      <c r="D122" s="10"/>
      <c r="E122" s="14">
        <v>40</v>
      </c>
      <c r="F122" s="10"/>
      <c r="G122" s="11" t="s">
        <v>619</v>
      </c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</row>
    <row r="123" spans="1:94" ht="15" customHeight="1">
      <c r="A123" s="10"/>
      <c r="B123" s="3"/>
      <c r="C123" s="21" t="s">
        <v>1549</v>
      </c>
      <c r="D123" s="10"/>
      <c r="E123" s="14">
        <v>80</v>
      </c>
      <c r="F123" s="10"/>
      <c r="G123" s="11" t="s">
        <v>619</v>
      </c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</row>
    <row r="124" spans="1:94" ht="15" customHeight="1">
      <c r="A124" s="10"/>
      <c r="B124" s="3"/>
      <c r="C124" s="21" t="s">
        <v>1548</v>
      </c>
      <c r="D124" s="10"/>
      <c r="E124" s="14">
        <v>160</v>
      </c>
      <c r="F124" s="10"/>
      <c r="G124" s="11" t="s">
        <v>619</v>
      </c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</row>
    <row r="125" spans="1:94" ht="15" customHeight="1">
      <c r="A125" s="10"/>
      <c r="B125" s="3"/>
      <c r="C125" s="21" t="s">
        <v>1225</v>
      </c>
      <c r="D125" s="10"/>
      <c r="E125" s="14"/>
      <c r="F125" s="10"/>
      <c r="G125" s="11" t="s">
        <v>619</v>
      </c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</row>
    <row r="126" spans="1:94" ht="14.25" customHeight="1">
      <c r="A126" s="10"/>
      <c r="B126" s="3"/>
      <c r="C126" s="21" t="s">
        <v>1213</v>
      </c>
      <c r="D126" s="10"/>
      <c r="E126" s="14"/>
      <c r="F126" s="10"/>
      <c r="G126" s="11" t="s">
        <v>619</v>
      </c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</row>
    <row r="127" spans="1:94" ht="14.25" customHeight="1">
      <c r="A127" s="10"/>
      <c r="B127" s="3"/>
      <c r="C127" s="21" t="s">
        <v>1296</v>
      </c>
      <c r="D127" s="10"/>
      <c r="E127" s="14"/>
      <c r="F127" s="10"/>
      <c r="G127" s="11" t="s">
        <v>619</v>
      </c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</row>
    <row r="128" spans="1:94" ht="14.25" customHeight="1">
      <c r="A128" s="10"/>
      <c r="B128" s="3"/>
      <c r="C128" s="21" t="s">
        <v>1226</v>
      </c>
      <c r="D128" s="10"/>
      <c r="E128" s="14"/>
      <c r="F128" s="10"/>
      <c r="G128" s="11" t="s">
        <v>619</v>
      </c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</row>
    <row r="129" spans="1:94" ht="14.25" customHeight="1">
      <c r="A129" s="10"/>
      <c r="B129" s="3"/>
      <c r="C129" s="21" t="s">
        <v>1227</v>
      </c>
      <c r="D129" s="10"/>
      <c r="E129" s="14"/>
      <c r="F129" s="10"/>
      <c r="G129" s="11" t="s">
        <v>619</v>
      </c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</row>
    <row r="130" spans="1:94" ht="15" customHeight="1">
      <c r="A130" s="10"/>
      <c r="B130" s="3"/>
      <c r="C130" s="17" t="s">
        <v>1294</v>
      </c>
      <c r="D130" s="10"/>
      <c r="E130" s="14"/>
      <c r="F130" s="10"/>
      <c r="G130" s="11" t="s">
        <v>619</v>
      </c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</row>
    <row r="131" spans="1:94" ht="15" customHeight="1">
      <c r="A131" s="10"/>
      <c r="B131" s="3"/>
      <c r="C131" s="17" t="s">
        <v>622</v>
      </c>
      <c r="D131" s="10"/>
      <c r="E131" s="167"/>
      <c r="F131" s="10"/>
      <c r="G131" s="11" t="s">
        <v>28</v>
      </c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</row>
    <row r="132" spans="1:94" ht="15" customHeight="1">
      <c r="A132" s="10"/>
      <c r="B132" s="3"/>
      <c r="C132" s="17"/>
      <c r="D132" s="10"/>
      <c r="E132" s="10"/>
      <c r="F132" s="10"/>
      <c r="G132" s="11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</row>
    <row r="133" spans="1:94" ht="15" customHeight="1">
      <c r="A133" s="10"/>
      <c r="B133" s="3"/>
      <c r="C133" s="17"/>
      <c r="D133" s="10"/>
      <c r="E133" s="10"/>
      <c r="F133" s="10"/>
      <c r="G133" s="11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</row>
    <row r="134" spans="1:94" ht="15" customHeight="1">
      <c r="A134" s="10"/>
      <c r="B134" s="3"/>
      <c r="C134" s="440" t="s">
        <v>1218</v>
      </c>
      <c r="D134" s="437"/>
      <c r="E134" s="438"/>
      <c r="F134" s="271"/>
      <c r="G134" s="272"/>
      <c r="H134" s="271"/>
      <c r="I134" s="271"/>
      <c r="J134" s="271"/>
      <c r="K134" s="271"/>
      <c r="L134" s="271"/>
      <c r="M134" s="271"/>
      <c r="N134" s="271"/>
      <c r="O134" s="271"/>
      <c r="P134" s="271"/>
      <c r="Q134" s="271"/>
      <c r="R134" s="271"/>
      <c r="S134" s="271"/>
      <c r="T134" s="271"/>
      <c r="U134" s="271"/>
      <c r="V134" s="271"/>
      <c r="W134" s="271"/>
      <c r="X134" s="271"/>
      <c r="Y134" s="271"/>
      <c r="Z134" s="271"/>
      <c r="AA134" s="271"/>
      <c r="AB134" s="271"/>
      <c r="AC134" s="271"/>
      <c r="AD134" s="271"/>
      <c r="AE134" s="271"/>
      <c r="AF134" s="271"/>
      <c r="AG134" s="271"/>
      <c r="AH134" s="271"/>
      <c r="AI134" s="271"/>
      <c r="AJ134" s="271"/>
      <c r="AK134" s="271"/>
      <c r="AL134" s="271"/>
      <c r="AM134" s="271"/>
      <c r="AN134" s="271"/>
      <c r="AO134" s="271"/>
      <c r="AP134" s="271"/>
      <c r="AQ134" s="271"/>
      <c r="AR134" s="271"/>
      <c r="AS134" s="271"/>
      <c r="AT134" s="271"/>
      <c r="AU134" s="271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  <c r="CA134" s="271"/>
      <c r="CB134" s="271"/>
      <c r="CC134" s="271"/>
      <c r="CD134" s="271"/>
      <c r="CE134" s="271"/>
      <c r="CF134" s="271"/>
      <c r="CG134" s="271"/>
      <c r="CH134" s="271"/>
      <c r="CI134" s="271"/>
      <c r="CJ134" s="271"/>
      <c r="CK134" s="271"/>
      <c r="CL134" s="271"/>
      <c r="CM134" s="271"/>
      <c r="CN134" s="271"/>
      <c r="CO134" s="271"/>
      <c r="CP134" s="10"/>
    </row>
    <row r="135" spans="1:94" ht="15" customHeight="1">
      <c r="A135" s="10"/>
      <c r="B135" s="3"/>
      <c r="C135" s="17"/>
      <c r="D135" s="10"/>
      <c r="E135" s="10"/>
      <c r="F135" s="10"/>
      <c r="G135" s="11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</row>
    <row r="136" spans="1:94" ht="15" customHeight="1" thickBot="1">
      <c r="A136" s="10"/>
      <c r="B136" s="3"/>
      <c r="C136" s="12" t="s">
        <v>956</v>
      </c>
      <c r="D136" s="12"/>
      <c r="E136" s="12"/>
      <c r="F136" s="12"/>
      <c r="G136" s="12"/>
      <c r="H136" s="12"/>
      <c r="I136" s="12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</row>
    <row r="137" spans="1:94" ht="15" customHeight="1">
      <c r="A137" s="10"/>
      <c r="B137" s="3"/>
      <c r="C137" s="17"/>
      <c r="D137" s="10"/>
      <c r="E137" s="10"/>
      <c r="F137" s="10"/>
      <c r="G137" s="11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</row>
    <row r="138" spans="1:94" ht="15" customHeight="1">
      <c r="A138" s="10"/>
      <c r="B138" s="3"/>
      <c r="C138" s="17" t="s">
        <v>1215</v>
      </c>
      <c r="D138" s="10"/>
      <c r="E138" s="14"/>
      <c r="F138" s="10"/>
      <c r="G138" s="11" t="s">
        <v>614</v>
      </c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</row>
    <row r="139" spans="1:94" ht="15" customHeight="1">
      <c r="A139" s="10"/>
      <c r="B139" s="3"/>
      <c r="C139" s="17" t="s">
        <v>1228</v>
      </c>
      <c r="D139" s="10"/>
      <c r="E139" s="14"/>
      <c r="F139" s="10"/>
      <c r="G139" s="11" t="s">
        <v>789</v>
      </c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</row>
    <row r="140" spans="1:94" ht="15" customHeight="1">
      <c r="A140" s="10"/>
      <c r="B140" s="3"/>
      <c r="C140" s="17" t="s">
        <v>1216</v>
      </c>
      <c r="D140" s="10"/>
      <c r="E140" s="14"/>
      <c r="F140" s="10"/>
      <c r="G140" s="11" t="s">
        <v>829</v>
      </c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</row>
    <row r="141" spans="1:94" ht="15" customHeight="1">
      <c r="A141" s="10"/>
      <c r="B141" s="3"/>
      <c r="C141" s="17"/>
      <c r="D141" s="10"/>
      <c r="E141" s="10"/>
      <c r="F141" s="10"/>
      <c r="G141" s="11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</row>
    <row r="142" spans="1:94" ht="15" customHeight="1">
      <c r="A142" s="10"/>
      <c r="B142" s="3"/>
      <c r="C142" s="441" t="s">
        <v>1229</v>
      </c>
      <c r="D142" s="437"/>
      <c r="E142" s="438"/>
      <c r="F142" s="271"/>
      <c r="G142" s="272"/>
      <c r="H142" s="271"/>
      <c r="I142" s="271"/>
      <c r="J142" s="271"/>
      <c r="K142" s="271"/>
      <c r="L142" s="271"/>
      <c r="M142" s="271"/>
      <c r="N142" s="271"/>
      <c r="O142" s="271"/>
      <c r="P142" s="271"/>
      <c r="Q142" s="271"/>
      <c r="R142" s="271"/>
      <c r="S142" s="271"/>
      <c r="T142" s="271"/>
      <c r="U142" s="271"/>
      <c r="V142" s="271"/>
      <c r="W142" s="271"/>
      <c r="X142" s="271"/>
      <c r="Y142" s="271"/>
      <c r="Z142" s="271"/>
      <c r="AA142" s="271"/>
      <c r="AB142" s="271"/>
      <c r="AC142" s="271"/>
      <c r="AD142" s="271"/>
      <c r="AE142" s="271"/>
      <c r="AF142" s="271"/>
      <c r="AG142" s="271"/>
      <c r="AH142" s="271"/>
      <c r="AI142" s="271"/>
      <c r="AJ142" s="271"/>
      <c r="AK142" s="271"/>
      <c r="AL142" s="271"/>
      <c r="AM142" s="271"/>
      <c r="AN142" s="271"/>
      <c r="AO142" s="271"/>
      <c r="AP142" s="271"/>
      <c r="AQ142" s="271"/>
      <c r="AR142" s="271"/>
      <c r="AS142" s="271"/>
      <c r="AT142" s="271"/>
      <c r="AU142" s="271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  <c r="CA142" s="271"/>
      <c r="CB142" s="271"/>
      <c r="CC142" s="271"/>
      <c r="CD142" s="271"/>
      <c r="CE142" s="271"/>
      <c r="CF142" s="271"/>
      <c r="CG142" s="271"/>
      <c r="CH142" s="271"/>
      <c r="CI142" s="271"/>
      <c r="CJ142" s="271"/>
      <c r="CK142" s="271"/>
      <c r="CL142" s="271"/>
      <c r="CM142" s="271"/>
      <c r="CN142" s="271"/>
      <c r="CO142" s="271"/>
      <c r="CP142" s="10"/>
    </row>
    <row r="143" spans="1:94" ht="15" customHeight="1">
      <c r="A143" s="10"/>
      <c r="B143" s="3"/>
      <c r="C143" s="17"/>
      <c r="D143" s="10"/>
      <c r="E143" s="10"/>
      <c r="F143" s="10"/>
      <c r="G143" s="11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</row>
    <row r="144" spans="1:94" ht="15" customHeight="1" thickBot="1">
      <c r="A144" s="10"/>
      <c r="B144" s="3"/>
      <c r="C144" s="12" t="s">
        <v>956</v>
      </c>
      <c r="D144" s="12"/>
      <c r="E144" s="12"/>
      <c r="F144" s="12"/>
      <c r="G144" s="12"/>
      <c r="H144" s="12"/>
      <c r="I144" s="12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</row>
    <row r="145" spans="1:94" ht="15" customHeight="1">
      <c r="A145" s="10"/>
      <c r="B145" s="3"/>
      <c r="C145" s="17"/>
      <c r="D145" s="10"/>
      <c r="E145" s="10"/>
      <c r="F145" s="10"/>
      <c r="G145" s="11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</row>
    <row r="146" spans="1:94" ht="15" customHeight="1">
      <c r="A146" s="10"/>
      <c r="B146" s="3"/>
      <c r="C146" s="17" t="s">
        <v>1214</v>
      </c>
      <c r="D146" s="10"/>
      <c r="E146" s="14">
        <v>0</v>
      </c>
      <c r="F146" s="10"/>
      <c r="G146" s="11" t="s">
        <v>614</v>
      </c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</row>
    <row r="147" spans="1:94" ht="15" customHeight="1">
      <c r="A147" s="10"/>
      <c r="B147" s="3"/>
      <c r="C147" s="17"/>
      <c r="D147" s="10"/>
      <c r="E147" s="10"/>
      <c r="F147" s="10"/>
      <c r="G147" s="11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</row>
    <row r="148" spans="1:94" ht="22.5" customHeight="1">
      <c r="B148" s="5" t="s">
        <v>574</v>
      </c>
      <c r="C148" s="5"/>
      <c r="D148" s="5"/>
      <c r="E148" s="5"/>
      <c r="F148" s="5"/>
      <c r="G148" s="6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  <c r="CJ148" s="31"/>
      <c r="CK148" s="31"/>
      <c r="CL148" s="31"/>
      <c r="CM148" s="31"/>
      <c r="CN148" s="31"/>
      <c r="CO148" s="31"/>
    </row>
    <row r="149" spans="1:94" ht="15" customHeight="1">
      <c r="A149" s="10"/>
      <c r="B149" s="3"/>
      <c r="C149" s="17"/>
      <c r="D149" s="10"/>
      <c r="E149" s="10"/>
      <c r="F149" s="10"/>
      <c r="G149" s="11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</row>
    <row r="150" spans="1:94" ht="15" customHeight="1">
      <c r="A150" s="10"/>
      <c r="B150" s="3"/>
      <c r="C150" s="382" t="s">
        <v>1080</v>
      </c>
      <c r="D150" s="271"/>
      <c r="E150" s="271"/>
      <c r="F150" s="271"/>
      <c r="G150" s="272"/>
      <c r="H150" s="271"/>
      <c r="I150" s="271"/>
      <c r="J150" s="271"/>
      <c r="K150" s="271"/>
      <c r="L150" s="271"/>
      <c r="M150" s="271"/>
      <c r="N150" s="271"/>
      <c r="O150" s="271"/>
      <c r="P150" s="271"/>
      <c r="Q150" s="271"/>
      <c r="R150" s="271"/>
      <c r="S150" s="271"/>
      <c r="T150" s="271"/>
      <c r="U150" s="271"/>
      <c r="V150" s="271"/>
      <c r="W150" s="271"/>
      <c r="X150" s="271"/>
      <c r="Y150" s="271"/>
      <c r="Z150" s="271"/>
      <c r="AA150" s="271"/>
      <c r="AB150" s="271"/>
      <c r="AC150" s="271"/>
      <c r="AD150" s="271"/>
      <c r="AE150" s="271"/>
      <c r="AF150" s="271"/>
      <c r="AG150" s="271"/>
      <c r="AH150" s="271"/>
      <c r="AI150" s="271"/>
      <c r="AJ150" s="271"/>
      <c r="AK150" s="271"/>
      <c r="AL150" s="271"/>
      <c r="AM150" s="271"/>
      <c r="AN150" s="271"/>
      <c r="AO150" s="271"/>
      <c r="AP150" s="271"/>
      <c r="AQ150" s="271"/>
      <c r="AR150" s="271"/>
      <c r="AS150" s="271"/>
      <c r="AT150" s="271"/>
      <c r="AU150" s="271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  <c r="CA150" s="271"/>
      <c r="CB150" s="271"/>
      <c r="CC150" s="271"/>
      <c r="CD150" s="271"/>
      <c r="CE150" s="271"/>
      <c r="CF150" s="271"/>
      <c r="CG150" s="271"/>
      <c r="CH150" s="271"/>
      <c r="CI150" s="271"/>
      <c r="CJ150" s="271"/>
      <c r="CK150" s="271"/>
      <c r="CL150" s="271"/>
      <c r="CM150" s="271"/>
      <c r="CN150" s="271"/>
      <c r="CO150" s="271"/>
      <c r="CP150" s="10"/>
    </row>
    <row r="151" spans="1:94" ht="15" customHeight="1">
      <c r="A151" s="10"/>
      <c r="B151" s="3"/>
      <c r="C151" s="17"/>
      <c r="D151" s="10"/>
      <c r="E151" s="10"/>
      <c r="F151" s="10"/>
      <c r="G151" s="11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</row>
    <row r="152" spans="1:94" ht="15" customHeight="1">
      <c r="A152" s="10"/>
      <c r="B152" s="3"/>
      <c r="C152" s="17" t="s">
        <v>1094</v>
      </c>
      <c r="D152" s="10"/>
      <c r="E152" s="383"/>
      <c r="F152" s="10"/>
      <c r="G152" s="11" t="str">
        <f>Monetary_Unit</f>
        <v>тыс. руб.</v>
      </c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</row>
    <row r="153" spans="1:94" ht="15" customHeight="1">
      <c r="A153" s="10"/>
      <c r="B153" s="3"/>
      <c r="C153" s="17" t="s">
        <v>1093</v>
      </c>
      <c r="D153" s="10"/>
      <c r="E153" s="383"/>
      <c r="F153" s="10"/>
      <c r="G153" s="11" t="str">
        <f>Monetary_Unit</f>
        <v>тыс. руб.</v>
      </c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</row>
    <row r="154" spans="1:94" ht="15" customHeight="1">
      <c r="A154" s="10"/>
      <c r="B154" s="3"/>
      <c r="C154" s="17" t="s">
        <v>1081</v>
      </c>
      <c r="D154" s="10"/>
      <c r="E154" s="383"/>
      <c r="F154" s="10"/>
      <c r="G154" s="11" t="str">
        <f>Monetary_Unit</f>
        <v>тыс. руб.</v>
      </c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</row>
    <row r="155" spans="1:94" ht="15" customHeight="1">
      <c r="A155" s="10"/>
      <c r="B155" s="3"/>
      <c r="C155" s="17"/>
      <c r="D155" s="17"/>
      <c r="E155" s="17"/>
      <c r="F155" s="17"/>
      <c r="G155" s="17"/>
      <c r="H155" s="17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</row>
    <row r="156" spans="1:94" ht="15" customHeight="1">
      <c r="A156" s="10"/>
      <c r="B156" s="3"/>
      <c r="C156" s="17" t="s">
        <v>1096</v>
      </c>
      <c r="D156" s="10"/>
      <c r="E156" s="71">
        <v>44834</v>
      </c>
      <c r="F156" s="10"/>
      <c r="G156" s="11" t="s">
        <v>31</v>
      </c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</row>
    <row r="157" spans="1:94" ht="15" customHeight="1">
      <c r="A157" s="10"/>
      <c r="B157" s="3"/>
      <c r="C157" s="17"/>
      <c r="D157" s="10"/>
      <c r="E157" s="10"/>
      <c r="F157" s="10"/>
      <c r="G157" s="11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</row>
    <row r="158" spans="1:94" ht="15" customHeight="1">
      <c r="A158" s="10"/>
      <c r="B158" s="3"/>
      <c r="C158" s="382" t="str">
        <f xml:space="preserve"> "Сегмент 0: " &amp; C64</f>
        <v>Сегмент 0: Общая поддерживающая инфраструктура</v>
      </c>
      <c r="D158" s="271"/>
      <c r="E158" s="271"/>
      <c r="F158" s="271"/>
      <c r="G158" s="272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  <c r="CA158" s="271"/>
      <c r="CB158" s="271"/>
      <c r="CC158" s="271"/>
      <c r="CD158" s="271"/>
      <c r="CE158" s="271"/>
      <c r="CF158" s="271"/>
      <c r="CG158" s="271"/>
      <c r="CH158" s="271"/>
      <c r="CI158" s="271"/>
      <c r="CJ158" s="271"/>
      <c r="CK158" s="271"/>
      <c r="CL158" s="271"/>
      <c r="CM158" s="271"/>
      <c r="CN158" s="271"/>
      <c r="CO158" s="271"/>
      <c r="CP158" s="10"/>
    </row>
    <row r="159" spans="1:94" ht="15" customHeight="1">
      <c r="A159" s="10"/>
      <c r="B159" s="3"/>
      <c r="C159" s="17"/>
      <c r="D159" s="10"/>
      <c r="E159" s="10"/>
      <c r="F159" s="10"/>
      <c r="G159" s="11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</row>
    <row r="160" spans="1:94" ht="15" customHeight="1" thickBot="1">
      <c r="A160" s="10"/>
      <c r="B160" s="3"/>
      <c r="C160" s="12" t="str">
        <f xml:space="preserve"> "Расходы на создание " &amp; Контр_панель!C42 &amp; " (в базовых ценах, без НДС)"</f>
        <v>Расходы на создание Транспортная инфраструктура (в базовых ценах, без НДС)</v>
      </c>
      <c r="D160" s="12"/>
      <c r="E160" s="12"/>
      <c r="F160" s="12"/>
      <c r="G160" s="12"/>
      <c r="H160" s="12"/>
      <c r="I160" s="12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</row>
    <row r="161" spans="1:94" ht="15" customHeight="1">
      <c r="A161" s="10"/>
      <c r="B161" s="3"/>
      <c r="C161" s="17"/>
      <c r="D161" s="10"/>
      <c r="E161" s="10"/>
      <c r="F161" s="10"/>
      <c r="G161" s="11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</row>
    <row r="162" spans="1:94" ht="15" customHeight="1">
      <c r="A162" s="10"/>
      <c r="B162" s="3"/>
      <c r="C162" s="67" t="s">
        <v>823</v>
      </c>
      <c r="D162" s="10"/>
      <c r="E162" s="10"/>
      <c r="F162" s="10"/>
      <c r="G162" s="11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</row>
    <row r="163" spans="1:94" ht="15" customHeight="1">
      <c r="A163" s="10"/>
      <c r="B163" s="3"/>
      <c r="C163" s="17" t="s">
        <v>792</v>
      </c>
      <c r="D163" s="10"/>
      <c r="E163" s="14">
        <v>0</v>
      </c>
      <c r="F163" s="10"/>
      <c r="G163" s="11" t="s">
        <v>793</v>
      </c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</row>
    <row r="164" spans="1:94" ht="15" customHeight="1">
      <c r="A164" s="10"/>
      <c r="B164" s="3"/>
      <c r="C164" s="17" t="s">
        <v>786</v>
      </c>
      <c r="D164" s="10"/>
      <c r="E164" s="225">
        <f xml:space="preserve"> E68</f>
        <v>0</v>
      </c>
      <c r="F164" s="10"/>
      <c r="G164" s="11" t="s">
        <v>790</v>
      </c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</row>
    <row r="165" spans="1:94" ht="15" customHeight="1">
      <c r="A165" s="10"/>
      <c r="B165" s="3"/>
      <c r="C165" s="17" t="s">
        <v>794</v>
      </c>
      <c r="D165" s="10"/>
      <c r="E165" s="14">
        <v>15310</v>
      </c>
      <c r="F165" s="10"/>
      <c r="G165" s="11" t="s">
        <v>793</v>
      </c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</row>
    <row r="166" spans="1:94" ht="15" customHeight="1">
      <c r="A166" s="10"/>
      <c r="B166" s="3"/>
      <c r="C166" s="17" t="s">
        <v>787</v>
      </c>
      <c r="D166" s="10"/>
      <c r="E166" s="225">
        <f xml:space="preserve"> E69</f>
        <v>1</v>
      </c>
      <c r="F166" s="10"/>
      <c r="G166" s="11" t="s">
        <v>790</v>
      </c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</row>
    <row r="167" spans="1:94" ht="15" customHeight="1">
      <c r="A167" s="10"/>
      <c r="B167" s="3"/>
      <c r="C167" s="17" t="s">
        <v>795</v>
      </c>
      <c r="D167" s="10"/>
      <c r="E167" s="14">
        <v>3828</v>
      </c>
      <c r="F167" s="10"/>
      <c r="G167" s="11" t="s">
        <v>906</v>
      </c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</row>
    <row r="168" spans="1:94" ht="15" customHeight="1">
      <c r="A168" s="10"/>
      <c r="B168" s="3"/>
      <c r="C168" s="17" t="s">
        <v>788</v>
      </c>
      <c r="D168" s="10"/>
      <c r="E168" s="225">
        <f>E70</f>
        <v>2</v>
      </c>
      <c r="F168" s="10"/>
      <c r="G168" s="11" t="s">
        <v>791</v>
      </c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</row>
    <row r="169" spans="1:94" ht="15" customHeight="1">
      <c r="A169" s="10"/>
      <c r="B169" s="3"/>
      <c r="C169" s="248" t="s">
        <v>818</v>
      </c>
      <c r="D169" s="228"/>
      <c r="E169" s="229">
        <f xml:space="preserve"> E163 * E164 + E165 * E166 + E167 * E168</f>
        <v>22966</v>
      </c>
      <c r="F169" s="228"/>
      <c r="G169" s="230" t="str">
        <f>Monetary_Unit</f>
        <v>тыс. руб.</v>
      </c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</row>
    <row r="170" spans="1:94" ht="15" customHeight="1">
      <c r="A170" s="10"/>
      <c r="B170" s="3"/>
      <c r="C170" s="17"/>
      <c r="D170" s="10"/>
      <c r="E170" s="10"/>
      <c r="F170" s="10"/>
      <c r="G170" s="11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</row>
    <row r="171" spans="1:94" ht="15" customHeight="1">
      <c r="A171" s="10"/>
      <c r="B171" s="3"/>
      <c r="C171" s="67" t="s">
        <v>810</v>
      </c>
      <c r="D171" s="10"/>
      <c r="E171" s="10"/>
      <c r="F171" s="10"/>
      <c r="G171" s="11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</row>
    <row r="172" spans="1:94" ht="15" customHeight="1">
      <c r="A172" s="10"/>
      <c r="B172" s="3"/>
      <c r="C172" s="17" t="s">
        <v>815</v>
      </c>
      <c r="D172" s="10"/>
      <c r="E172" s="167">
        <v>0.04</v>
      </c>
      <c r="F172" s="10"/>
      <c r="G172" s="11" t="s">
        <v>625</v>
      </c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</row>
    <row r="173" spans="1:94" ht="15" customHeight="1">
      <c r="A173" s="10"/>
      <c r="B173" s="3"/>
      <c r="C173" s="17" t="s">
        <v>910</v>
      </c>
      <c r="D173" s="10"/>
      <c r="E173" s="167">
        <v>0</v>
      </c>
      <c r="F173" s="10"/>
      <c r="G173" s="11" t="s">
        <v>625</v>
      </c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</row>
    <row r="174" spans="1:94" ht="15" customHeight="1">
      <c r="A174" s="10"/>
      <c r="B174" s="3"/>
      <c r="C174" s="17" t="s">
        <v>797</v>
      </c>
      <c r="D174" s="10"/>
      <c r="E174" s="167">
        <v>0.03</v>
      </c>
      <c r="F174" s="10"/>
      <c r="G174" s="11" t="s">
        <v>625</v>
      </c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</row>
    <row r="175" spans="1:94" ht="15" customHeight="1">
      <c r="A175" s="10"/>
      <c r="B175" s="3"/>
      <c r="C175" s="17"/>
      <c r="D175" s="10"/>
      <c r="E175" s="10"/>
      <c r="F175" s="10"/>
      <c r="G175" s="11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</row>
    <row r="176" spans="1:94" ht="15" customHeight="1">
      <c r="A176" s="10"/>
      <c r="B176" s="3"/>
      <c r="C176" s="67" t="s">
        <v>824</v>
      </c>
      <c r="D176" s="10"/>
      <c r="E176" s="10" t="str">
        <f>"текушие цены на " &amp; TEXT(Расчеты!$E$85-1,"ДД.ММ.ГГГГ")</f>
        <v>текушие цены на 31.12.2024</v>
      </c>
      <c r="F176" s="10"/>
      <c r="G176" s="11"/>
      <c r="H176" s="10" t="s">
        <v>1176</v>
      </c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</row>
    <row r="177" spans="1:94" ht="15" customHeight="1">
      <c r="A177" s="10"/>
      <c r="B177" s="3"/>
      <c r="C177" s="17" t="s">
        <v>630</v>
      </c>
      <c r="D177" s="10"/>
      <c r="E177" s="225">
        <f xml:space="preserve"> E169 * E172</f>
        <v>918.64</v>
      </c>
      <c r="F177" s="10"/>
      <c r="G177" s="11" t="str">
        <f>Monetary_Unit</f>
        <v>тыс. руб.</v>
      </c>
      <c r="H177" s="10">
        <f ca="1">E177*SUMPRODUCT(L184:CO184,CAPEX_Accumulated_From_Date)</f>
        <v>951.70602513843335</v>
      </c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</row>
    <row r="178" spans="1:94" ht="15" customHeight="1">
      <c r="A178" s="10"/>
      <c r="B178" s="3"/>
      <c r="C178" s="17" t="s">
        <v>632</v>
      </c>
      <c r="D178" s="10"/>
      <c r="E178" s="225">
        <f xml:space="preserve"> E169 * E173</f>
        <v>0</v>
      </c>
      <c r="F178" s="10"/>
      <c r="G178" s="11" t="str">
        <f>Monetary_Unit</f>
        <v>тыс. руб.</v>
      </c>
      <c r="H178" s="10">
        <f ca="1">E178*SUMPRODUCT(L185:CO185,CAPEX_Accumulated_From_Date)</f>
        <v>0</v>
      </c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</row>
    <row r="179" spans="1:94" ht="15" customHeight="1">
      <c r="A179" s="10"/>
      <c r="B179" s="3"/>
      <c r="C179" s="17" t="s">
        <v>821</v>
      </c>
      <c r="D179" s="10"/>
      <c r="E179" s="225">
        <f>E169</f>
        <v>22966</v>
      </c>
      <c r="F179" s="10"/>
      <c r="G179" s="11" t="str">
        <f>Monetary_Unit</f>
        <v>тыс. руб.</v>
      </c>
      <c r="H179" s="10">
        <f ca="1">E179*SUMPRODUCT(L186:CO186,CAPEX_Accumulated_From_Date)</f>
        <v>26041.836522187514</v>
      </c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</row>
    <row r="180" spans="1:94" ht="15" customHeight="1">
      <c r="A180" s="10"/>
      <c r="B180" s="3"/>
      <c r="C180" s="17" t="s">
        <v>797</v>
      </c>
      <c r="D180" s="10"/>
      <c r="E180" s="225">
        <f xml:space="preserve"> E179 * E174</f>
        <v>688.98</v>
      </c>
      <c r="F180" s="10"/>
      <c r="G180" s="11" t="str">
        <f>Monetary_Unit</f>
        <v>тыс. руб.</v>
      </c>
      <c r="H180" s="225">
        <f ca="1" xml:space="preserve"> H179 * E174</f>
        <v>781.25509566562539</v>
      </c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</row>
    <row r="181" spans="1:94" ht="15" customHeight="1">
      <c r="A181" s="10"/>
      <c r="B181" s="3"/>
      <c r="C181" s="248" t="s">
        <v>827</v>
      </c>
      <c r="D181" s="228"/>
      <c r="E181" s="229">
        <f>SUM(E177:E180)</f>
        <v>24573.62</v>
      </c>
      <c r="F181" s="228"/>
      <c r="G181" s="230" t="str">
        <f>Monetary_Unit</f>
        <v>тыс. руб.</v>
      </c>
      <c r="H181" s="229">
        <f ca="1">SUM(H177:H180)</f>
        <v>27774.797642991573</v>
      </c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</row>
    <row r="182" spans="1:94" ht="15" customHeight="1">
      <c r="A182" s="10"/>
      <c r="B182" s="3"/>
      <c r="C182" s="17"/>
      <c r="D182" s="10"/>
      <c r="E182" s="10"/>
      <c r="F182" s="10"/>
      <c r="G182" s="11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</row>
    <row r="183" spans="1:94" ht="15" customHeight="1">
      <c r="A183" s="10"/>
      <c r="B183" s="3"/>
      <c r="C183" s="67" t="s">
        <v>826</v>
      </c>
      <c r="D183" s="10"/>
      <c r="E183" s="10" t="s">
        <v>635</v>
      </c>
      <c r="F183" s="10"/>
      <c r="G183" s="11" t="s">
        <v>636</v>
      </c>
      <c r="H183" s="62" t="s">
        <v>648</v>
      </c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</row>
    <row r="184" spans="1:94" ht="15" customHeight="1">
      <c r="A184" s="10"/>
      <c r="B184" s="3"/>
      <c r="C184" s="17" t="s">
        <v>630</v>
      </c>
      <c r="D184" s="10"/>
      <c r="E184" s="71">
        <v>45658</v>
      </c>
      <c r="F184" s="10"/>
      <c r="G184" s="477">
        <v>46022</v>
      </c>
      <c r="H184" s="149">
        <f xml:space="preserve"> IFERROR((DATEDIF(E184,G184,"m") + 1) / Months_in_Period,0)</f>
        <v>4</v>
      </c>
      <c r="I184" s="231">
        <f>IF(SUM(L184:CO184)=0,1,SUM(L184:CO184))</f>
        <v>1</v>
      </c>
      <c r="J184" s="10"/>
      <c r="K184" s="10"/>
      <c r="L184" s="231">
        <f xml:space="preserve"> IFERROR(($E184&gt;0)*($E184 &lt;=End_of_period) * ($G184 &gt;=Beginning_of_period) * (1-SUM($K184:K184)) /  IFERROR((DATEDIF(Beginning_of_period,$G184,"m") + 1) / Months_in_Period,0),0)</f>
        <v>0.25</v>
      </c>
      <c r="M184" s="231">
        <f xml:space="preserve"> IFERROR(($E184&gt;0)*($E184 &lt;=End_of_period) * ($G184 &gt;=Beginning_of_period) * (1-SUM($K184:L184)) /  IFERROR((DATEDIF(Beginning_of_period,$G184,"m") + 1) / Months_in_Period,0),0)</f>
        <v>0.25</v>
      </c>
      <c r="N184" s="231">
        <f xml:space="preserve"> IFERROR(($E184&gt;0)*($E184 &lt;=End_of_period) * ($G184 &gt;=Beginning_of_period) * (1-SUM($K184:M184)) /  IFERROR((DATEDIF(Beginning_of_period,$G184,"m") + 1) / Months_in_Period,0),0)</f>
        <v>0.25</v>
      </c>
      <c r="O184" s="231">
        <f xml:space="preserve"> IFERROR(($E184&gt;0)*($E184 &lt;=End_of_period) * ($G184 &gt;=Beginning_of_period) * (1-SUM($K184:N184)) /  IFERROR((DATEDIF(Beginning_of_period,$G184,"m") + 1) / Months_in_Period,0),0)</f>
        <v>0.25</v>
      </c>
      <c r="P184" s="231">
        <f xml:space="preserve"> IFERROR(($E184&gt;0)*($E184 &lt;=End_of_period) * ($G184 &gt;=Beginning_of_period) * (1-SUM($K184:O184)) /  IFERROR((DATEDIF(Beginning_of_period,$G184,"m") + 1) / Months_in_Period,0),0)</f>
        <v>0</v>
      </c>
      <c r="Q184" s="231">
        <f xml:space="preserve"> IFERROR(($E184&gt;0)*($E184 &lt;=End_of_period) * ($G184 &gt;=Beginning_of_period) * (1-SUM($K184:P184)) /  IFERROR((DATEDIF(Beginning_of_period,$G184,"m") + 1) / Months_in_Period,0),0)</f>
        <v>0</v>
      </c>
      <c r="R184" s="231">
        <f xml:space="preserve"> IFERROR(($E184&gt;0)*($E184 &lt;=End_of_period) * ($G184 &gt;=Beginning_of_period) * (1-SUM($K184:Q184)) /  IFERROR((DATEDIF(Beginning_of_period,$G184,"m") + 1) / Months_in_Period,0),0)</f>
        <v>0</v>
      </c>
      <c r="S184" s="231">
        <f xml:space="preserve"> IFERROR(($E184&gt;0)*($E184 &lt;=End_of_period) * ($G184 &gt;=Beginning_of_period) * (1-SUM($K184:R184)) /  IFERROR((DATEDIF(Beginning_of_period,$G184,"m") + 1) / Months_in_Period,0),0)</f>
        <v>0</v>
      </c>
      <c r="T184" s="231">
        <f xml:space="preserve"> IFERROR(($E184&gt;0)*($E184 &lt;=End_of_period) * ($G184 &gt;=Beginning_of_period) * (1-SUM($K184:S184)) /  IFERROR((DATEDIF(Beginning_of_period,$G184,"m") + 1) / Months_in_Period,0),0)</f>
        <v>0</v>
      </c>
      <c r="U184" s="231">
        <f xml:space="preserve"> IFERROR(($E184&gt;0)*($E184 &lt;=End_of_period) * ($G184 &gt;=Beginning_of_period) * (1-SUM($K184:T184)) /  IFERROR((DATEDIF(Beginning_of_period,$G184,"m") + 1) / Months_in_Period,0),0)</f>
        <v>0</v>
      </c>
      <c r="V184" s="231">
        <f xml:space="preserve"> IFERROR(($E184&gt;0)*($E184 &lt;=End_of_period) * ($G184 &gt;=Beginning_of_period) * (1-SUM($K184:U184)) /  IFERROR((DATEDIF(Beginning_of_period,$G184,"m") + 1) / Months_in_Period,0),0)</f>
        <v>0</v>
      </c>
      <c r="W184" s="231">
        <f xml:space="preserve"> IFERROR(($E184&gt;0)*($E184 &lt;=End_of_period) * ($G184 &gt;=Beginning_of_period) * (1-SUM($K184:V184)) /  IFERROR((DATEDIF(Beginning_of_period,$G184,"m") + 1) / Months_in_Period,0),0)</f>
        <v>0</v>
      </c>
      <c r="X184" s="231">
        <f xml:space="preserve"> IFERROR(($E184&gt;0)*($E184 &lt;=End_of_period) * ($G184 &gt;=Beginning_of_period) * (1-SUM($K184:W184)) /  IFERROR((DATEDIF(Beginning_of_period,$G184,"m") + 1) / Months_in_Period,0),0)</f>
        <v>0</v>
      </c>
      <c r="Y184" s="231">
        <f xml:space="preserve"> IFERROR(($E184&gt;0)*($E184 &lt;=End_of_period) * ($G184 &gt;=Beginning_of_period) * (1-SUM($K184:X184)) /  IFERROR((DATEDIF(Beginning_of_period,$G184,"m") + 1) / Months_in_Period,0),0)</f>
        <v>0</v>
      </c>
      <c r="Z184" s="231">
        <f xml:space="preserve"> IFERROR(($E184&gt;0)*($E184 &lt;=End_of_period) * ($G184 &gt;=Beginning_of_period) * (1-SUM($K184:Y184)) /  IFERROR((DATEDIF(Beginning_of_period,$G184,"m") + 1) / Months_in_Period,0),0)</f>
        <v>0</v>
      </c>
      <c r="AA184" s="231">
        <f xml:space="preserve"> IFERROR(($E184&gt;0)*($E184 &lt;=End_of_period) * ($G184 &gt;=Beginning_of_period) * (1-SUM($K184:Z184)) /  IFERROR((DATEDIF(Beginning_of_period,$G184,"m") + 1) / Months_in_Period,0),0)</f>
        <v>0</v>
      </c>
      <c r="AB184" s="231">
        <f xml:space="preserve"> IFERROR(($E184&gt;0)*($E184 &lt;=End_of_period) * ($G184 &gt;=Beginning_of_period) * (1-SUM($K184:AA184)) /  IFERROR((DATEDIF(Beginning_of_period,$G184,"m") + 1) / Months_in_Period,0),0)</f>
        <v>0</v>
      </c>
      <c r="AC184" s="231">
        <f xml:space="preserve"> IFERROR(($E184&gt;0)*($E184 &lt;=End_of_period) * ($G184 &gt;=Beginning_of_period) * (1-SUM($K184:AB184)) /  IFERROR((DATEDIF(Beginning_of_period,$G184,"m") + 1) / Months_in_Period,0),0)</f>
        <v>0</v>
      </c>
      <c r="AD184" s="231">
        <f xml:space="preserve"> IFERROR(($E184&gt;0)*($E184 &lt;=End_of_period) * ($G184 &gt;=Beginning_of_period) * (1-SUM($K184:AC184)) /  IFERROR((DATEDIF(Beginning_of_period,$G184,"m") + 1) / Months_in_Period,0),0)</f>
        <v>0</v>
      </c>
      <c r="AE184" s="231">
        <f xml:space="preserve"> IFERROR(($E184&gt;0)*($E184 &lt;=End_of_period) * ($G184 &gt;=Beginning_of_period) * (1-SUM($K184:AD184)) /  IFERROR((DATEDIF(Beginning_of_period,$G184,"m") + 1) / Months_in_Period,0),0)</f>
        <v>0</v>
      </c>
      <c r="AF184" s="231">
        <f xml:space="preserve"> IFERROR(($E184&gt;0)*($E184 &lt;=End_of_period) * ($G184 &gt;=Beginning_of_period) * (1-SUM($K184:AE184)) /  IFERROR((DATEDIF(Beginning_of_period,$G184,"m") + 1) / Months_in_Period,0),0)</f>
        <v>0</v>
      </c>
      <c r="AG184" s="231">
        <f xml:space="preserve"> IFERROR(($E184&gt;0)*($E184 &lt;=End_of_period) * ($G184 &gt;=Beginning_of_period) * (1-SUM($K184:AF184)) /  IFERROR((DATEDIF(Beginning_of_period,$G184,"m") + 1) / Months_in_Period,0),0)</f>
        <v>0</v>
      </c>
      <c r="AH184" s="231">
        <f xml:space="preserve"> IFERROR(($E184&gt;0)*($E184 &lt;=End_of_period) * ($G184 &gt;=Beginning_of_period) * (1-SUM($K184:AG184)) /  IFERROR((DATEDIF(Beginning_of_period,$G184,"m") + 1) / Months_in_Period,0),0)</f>
        <v>0</v>
      </c>
      <c r="AI184" s="231">
        <f xml:space="preserve"> IFERROR(($E184&gt;0)*($E184 &lt;=End_of_period) * ($G184 &gt;=Beginning_of_period) * (1-SUM($K184:AH184)) /  IFERROR((DATEDIF(Beginning_of_period,$G184,"m") + 1) / Months_in_Period,0),0)</f>
        <v>0</v>
      </c>
      <c r="AJ184" s="231">
        <f xml:space="preserve"> IFERROR(($E184&gt;0)*($E184 &lt;=End_of_period) * ($G184 &gt;=Beginning_of_period) * (1-SUM($K184:AI184)) /  IFERROR((DATEDIF(Beginning_of_period,$G184,"m") + 1) / Months_in_Period,0),0)</f>
        <v>0</v>
      </c>
      <c r="AK184" s="231">
        <f xml:space="preserve"> IFERROR(($E184&gt;0)*($E184 &lt;=End_of_period) * ($G184 &gt;=Beginning_of_period) * (1-SUM($K184:AJ184)) /  IFERROR((DATEDIF(Beginning_of_period,$G184,"m") + 1) / Months_in_Period,0),0)</f>
        <v>0</v>
      </c>
      <c r="AL184" s="231">
        <f xml:space="preserve"> IFERROR(($E184&gt;0)*($E184 &lt;=End_of_period) * ($G184 &gt;=Beginning_of_period) * (1-SUM($K184:AK184)) /  IFERROR((DATEDIF(Beginning_of_period,$G184,"m") + 1) / Months_in_Period,0),0)</f>
        <v>0</v>
      </c>
      <c r="AM184" s="231">
        <f xml:space="preserve"> IFERROR(($E184&gt;0)*($E184 &lt;=End_of_period) * ($G184 &gt;=Beginning_of_period) * (1-SUM($K184:AL184)) /  IFERROR((DATEDIF(Beginning_of_period,$G184,"m") + 1) / Months_in_Period,0),0)</f>
        <v>0</v>
      </c>
      <c r="AN184" s="231">
        <f xml:space="preserve"> IFERROR(($E184&gt;0)*($E184 &lt;=End_of_period) * ($G184 &gt;=Beginning_of_period) * (1-SUM($K184:AM184)) /  IFERROR((DATEDIF(Beginning_of_period,$G184,"m") + 1) / Months_in_Period,0),0)</f>
        <v>0</v>
      </c>
      <c r="AO184" s="231">
        <f xml:space="preserve"> IFERROR(($E184&gt;0)*($E184 &lt;=End_of_period) * ($G184 &gt;=Beginning_of_period) * (1-SUM($K184:AN184)) /  IFERROR((DATEDIF(Beginning_of_period,$G184,"m") + 1) / Months_in_Period,0),0)</f>
        <v>0</v>
      </c>
      <c r="AP184" s="231">
        <f xml:space="preserve"> IFERROR(($E184&gt;0)*($E184 &lt;=End_of_period) * ($G184 &gt;=Beginning_of_period) * (1-SUM($K184:AO184)) /  IFERROR((DATEDIF(Beginning_of_period,$G184,"m") + 1) / Months_in_Period,0),0)</f>
        <v>0</v>
      </c>
      <c r="AQ184" s="231">
        <f xml:space="preserve"> IFERROR(($E184&gt;0)*($E184 &lt;=End_of_period) * ($G184 &gt;=Beginning_of_period) * (1-SUM($K184:AP184)) /  IFERROR((DATEDIF(Beginning_of_period,$G184,"m") + 1) / Months_in_Period,0),0)</f>
        <v>0</v>
      </c>
      <c r="AR184" s="231">
        <f xml:space="preserve"> IFERROR(($E184&gt;0)*($E184 &lt;=End_of_period) * ($G184 &gt;=Beginning_of_period) * (1-SUM($K184:AQ184)) /  IFERROR((DATEDIF(Beginning_of_period,$G184,"m") + 1) / Months_in_Period,0),0)</f>
        <v>0</v>
      </c>
      <c r="AS184" s="231">
        <f xml:space="preserve"> IFERROR(($E184&gt;0)*($E184 &lt;=End_of_period) * ($G184 &gt;=Beginning_of_period) * (1-SUM($K184:AR184)) /  IFERROR((DATEDIF(Beginning_of_period,$G184,"m") + 1) / Months_in_Period,0),0)</f>
        <v>0</v>
      </c>
      <c r="AT184" s="231">
        <f xml:space="preserve"> IFERROR(($E184&gt;0)*($E184 &lt;=End_of_period) * ($G184 &gt;=Beginning_of_period) * (1-SUM($K184:AS184)) /  IFERROR((DATEDIF(Beginning_of_period,$G184,"m") + 1) / Months_in_Period,0),0)</f>
        <v>0</v>
      </c>
      <c r="AU184" s="231">
        <f xml:space="preserve"> IFERROR(($E184&gt;0)*($E184 &lt;=End_of_period) * ($G184 &gt;=Beginning_of_period) * (1-SUM($K184:AT184)) /  IFERROR((DATEDIF(Beginning_of_period,$G184,"m") + 1) / Months_in_Period,0),0)</f>
        <v>0</v>
      </c>
      <c r="AV184" s="231">
        <f xml:space="preserve"> IFERROR(($E184&gt;0)*($E184 &lt;=End_of_period) * ($G184 &gt;=Beginning_of_period) * (1-SUM($K184:AU184)) /  IFERROR((DATEDIF(Beginning_of_period,$G184,"m") + 1) / Months_in_Period,0),0)</f>
        <v>0</v>
      </c>
      <c r="AW184" s="231">
        <f xml:space="preserve"> IFERROR(($E184&gt;0)*($E184 &lt;=End_of_period) * ($G184 &gt;=Beginning_of_period) * (1-SUM($K184:AV184)) /  IFERROR((DATEDIF(Beginning_of_period,$G184,"m") + 1) / Months_in_Period,0),0)</f>
        <v>0</v>
      </c>
      <c r="AX184" s="231">
        <f xml:space="preserve"> IFERROR(($E184&gt;0)*($E184 &lt;=End_of_period) * ($G184 &gt;=Beginning_of_period) * (1-SUM($K184:AW184)) /  IFERROR((DATEDIF(Beginning_of_period,$G184,"m") + 1) / Months_in_Period,0),0)</f>
        <v>0</v>
      </c>
      <c r="AY184" s="231">
        <f xml:space="preserve"> IFERROR(($E184&gt;0)*($E184 &lt;=End_of_period) * ($G184 &gt;=Beginning_of_period) * (1-SUM($K184:AX184)) /  IFERROR((DATEDIF(Beginning_of_period,$G184,"m") + 1) / Months_in_Period,0),0)</f>
        <v>0</v>
      </c>
      <c r="AZ184" s="231">
        <f xml:space="preserve"> IFERROR(($E184&gt;0)*($E184 &lt;=End_of_period) * ($G184 &gt;=Beginning_of_period) * (1-SUM($K184:AY184)) /  IFERROR((DATEDIF(Beginning_of_period,$G184,"m") + 1) / Months_in_Period,0),0)</f>
        <v>0</v>
      </c>
      <c r="BA184" s="231">
        <f xml:space="preserve"> IFERROR(($E184&gt;0)*($E184 &lt;=End_of_period) * ($G184 &gt;=Beginning_of_period) * (1-SUM($K184:AZ184)) /  IFERROR((DATEDIF(Beginning_of_period,$G184,"m") + 1) / Months_in_Period,0),0)</f>
        <v>0</v>
      </c>
      <c r="BB184" s="231">
        <f xml:space="preserve"> IFERROR(($E184&gt;0)*($E184 &lt;=End_of_period) * ($G184 &gt;=Beginning_of_period) * (1-SUM($K184:BA184)) /  IFERROR((DATEDIF(Beginning_of_period,$G184,"m") + 1) / Months_in_Period,0),0)</f>
        <v>0</v>
      </c>
      <c r="BC184" s="231">
        <f xml:space="preserve"> IFERROR(($E184&gt;0)*($E184 &lt;=End_of_period) * ($G184 &gt;=Beginning_of_period) * (1-SUM($K184:BB184)) /  IFERROR((DATEDIF(Beginning_of_period,$G184,"m") + 1) / Months_in_Period,0),0)</f>
        <v>0</v>
      </c>
      <c r="BD184" s="231">
        <f xml:space="preserve"> IFERROR(($E184&gt;0)*($E184 &lt;=End_of_period) * ($G184 &gt;=Beginning_of_period) * (1-SUM($K184:BC184)) /  IFERROR((DATEDIF(Beginning_of_period,$G184,"m") + 1) / Months_in_Period,0),0)</f>
        <v>0</v>
      </c>
      <c r="BE184" s="231">
        <f xml:space="preserve"> IFERROR(($E184&gt;0)*($E184 &lt;=End_of_period) * ($G184 &gt;=Beginning_of_period) * (1-SUM($K184:BD184)) /  IFERROR((DATEDIF(Beginning_of_period,$G184,"m") + 1) / Months_in_Period,0),0)</f>
        <v>0</v>
      </c>
      <c r="BF184" s="231">
        <f xml:space="preserve"> IFERROR(($E184&gt;0)*($E184 &lt;=End_of_period) * ($G184 &gt;=Beginning_of_period) * (1-SUM($K184:BE184)) /  IFERROR((DATEDIF(Beginning_of_period,$G184,"m") + 1) / Months_in_Period,0),0)</f>
        <v>0</v>
      </c>
      <c r="BG184" s="231">
        <f xml:space="preserve"> IFERROR(($E184&gt;0)*($E184 &lt;=End_of_period) * ($G184 &gt;=Beginning_of_period) * (1-SUM($K184:BF184)) /  IFERROR((DATEDIF(Beginning_of_period,$G184,"m") + 1) / Months_in_Period,0),0)</f>
        <v>0</v>
      </c>
      <c r="BH184" s="231">
        <f xml:space="preserve"> IFERROR(($E184&gt;0)*($E184 &lt;=End_of_period) * ($G184 &gt;=Beginning_of_period) * (1-SUM($K184:BG184)) /  IFERROR((DATEDIF(Beginning_of_period,$G184,"m") + 1) / Months_in_Period,0),0)</f>
        <v>0</v>
      </c>
      <c r="BI184" s="231">
        <f xml:space="preserve"> IFERROR(($E184&gt;0)*($E184 &lt;=End_of_period) * ($G184 &gt;=Beginning_of_period) * (1-SUM($K184:BH184)) /  IFERROR((DATEDIF(Beginning_of_period,$G184,"m") + 1) / Months_in_Period,0),0)</f>
        <v>0</v>
      </c>
      <c r="BJ184" s="231">
        <f xml:space="preserve"> IFERROR(($E184&gt;0)*($E184 &lt;=End_of_period) * ($G184 &gt;=Beginning_of_period) * (1-SUM($K184:BI184)) /  IFERROR((DATEDIF(Beginning_of_period,$G184,"m") + 1) / Months_in_Period,0),0)</f>
        <v>0</v>
      </c>
      <c r="BK184" s="231">
        <f xml:space="preserve"> IFERROR(($E184&gt;0)*($E184 &lt;=End_of_period) * ($G184 &gt;=Beginning_of_period) * (1-SUM($K184:BJ184)) /  IFERROR((DATEDIF(Beginning_of_period,$G184,"m") + 1) / Months_in_Period,0),0)</f>
        <v>0</v>
      </c>
      <c r="BL184" s="231">
        <f xml:space="preserve"> IFERROR(($E184&gt;0)*($E184 &lt;=End_of_period) * ($G184 &gt;=Beginning_of_period) * (1-SUM($K184:BK184)) /  IFERROR((DATEDIF(Beginning_of_period,$G184,"m") + 1) / Months_in_Period,0),0)</f>
        <v>0</v>
      </c>
      <c r="BM184" s="231">
        <f xml:space="preserve"> IFERROR(($E184&gt;0)*($E184 &lt;=End_of_period) * ($G184 &gt;=Beginning_of_period) * (1-SUM($K184:BL184)) /  IFERROR((DATEDIF(Beginning_of_period,$G184,"m") + 1) / Months_in_Period,0),0)</f>
        <v>0</v>
      </c>
      <c r="BN184" s="231">
        <f xml:space="preserve"> IFERROR(($E184&gt;0)*($E184 &lt;=End_of_period) * ($G184 &gt;=Beginning_of_period) * (1-SUM($K184:BM184)) /  IFERROR((DATEDIF(Beginning_of_period,$G184,"m") + 1) / Months_in_Period,0),0)</f>
        <v>0</v>
      </c>
      <c r="BO184" s="231">
        <f xml:space="preserve"> IFERROR(($E184&gt;0)*($E184 &lt;=End_of_period) * ($G184 &gt;=Beginning_of_period) * (1-SUM($K184:BN184)) /  IFERROR((DATEDIF(Beginning_of_period,$G184,"m") + 1) / Months_in_Period,0),0)</f>
        <v>0</v>
      </c>
      <c r="BP184" s="231">
        <f xml:space="preserve"> IFERROR(($E184&gt;0)*($E184 &lt;=End_of_period) * ($G184 &gt;=Beginning_of_period) * (1-SUM($K184:BO184)) /  IFERROR((DATEDIF(Beginning_of_period,$G184,"m") + 1) / Months_in_Period,0),0)</f>
        <v>0</v>
      </c>
      <c r="BQ184" s="231">
        <f xml:space="preserve"> IFERROR(($E184&gt;0)*($E184 &lt;=End_of_period) * ($G184 &gt;=Beginning_of_period) * (1-SUM($K184:BP184)) /  IFERROR((DATEDIF(Beginning_of_period,$G184,"m") + 1) / Months_in_Period,0),0)</f>
        <v>0</v>
      </c>
      <c r="BR184" s="231">
        <f xml:space="preserve"> IFERROR(($E184&gt;0)*($E184 &lt;=End_of_period) * ($G184 &gt;=Beginning_of_period) * (1-SUM($K184:BQ184)) /  IFERROR((DATEDIF(Beginning_of_period,$G184,"m") + 1) / Months_in_Period,0),0)</f>
        <v>0</v>
      </c>
      <c r="BS184" s="231">
        <f xml:space="preserve"> IFERROR(($E184&gt;0)*($E184 &lt;=End_of_period) * ($G184 &gt;=Beginning_of_period) * (1-SUM($K184:BR184)) /  IFERROR((DATEDIF(Beginning_of_period,$G184,"m") + 1) / Months_in_Period,0),0)</f>
        <v>0</v>
      </c>
      <c r="BT184" s="231">
        <f xml:space="preserve"> IFERROR(($E184&gt;0)*($E184 &lt;=End_of_period) * ($G184 &gt;=Beginning_of_period) * (1-SUM($K184:BS184)) /  IFERROR((DATEDIF(Beginning_of_period,$G184,"m") + 1) / Months_in_Period,0),0)</f>
        <v>0</v>
      </c>
      <c r="BU184" s="231">
        <f xml:space="preserve"> IFERROR(($E184&gt;0)*($E184 &lt;=End_of_period) * ($G184 &gt;=Beginning_of_period) * (1-SUM($K184:BT184)) /  IFERROR((DATEDIF(Beginning_of_period,$G184,"m") + 1) / Months_in_Period,0),0)</f>
        <v>0</v>
      </c>
      <c r="BV184" s="231">
        <f xml:space="preserve"> IFERROR(($E184&gt;0)*($E184 &lt;=End_of_period) * ($G184 &gt;=Beginning_of_period) * (1-SUM($K184:BU184)) /  IFERROR((DATEDIF(Beginning_of_period,$G184,"m") + 1) / Months_in_Period,0),0)</f>
        <v>0</v>
      </c>
      <c r="BW184" s="231">
        <f xml:space="preserve"> IFERROR(($E184&gt;0)*($E184 &lt;=End_of_period) * ($G184 &gt;=Beginning_of_period) * (1-SUM($K184:BV184)) /  IFERROR((DATEDIF(Beginning_of_period,$G184,"m") + 1) / Months_in_Period,0),0)</f>
        <v>0</v>
      </c>
      <c r="BX184" s="231">
        <f xml:space="preserve"> IFERROR(($E184&gt;0)*($E184 &lt;=End_of_period) * ($G184 &gt;=Beginning_of_period) * (1-SUM($K184:BW184)) /  IFERROR((DATEDIF(Beginning_of_period,$G184,"m") + 1) / Months_in_Period,0),0)</f>
        <v>0</v>
      </c>
      <c r="BY184" s="231">
        <f xml:space="preserve"> IFERROR(($E184&gt;0)*($E184 &lt;=End_of_period) * ($G184 &gt;=Beginning_of_period) * (1-SUM($K184:BX184)) /  IFERROR((DATEDIF(Beginning_of_period,$G184,"m") + 1) / Months_in_Period,0),0)</f>
        <v>0</v>
      </c>
      <c r="BZ184" s="231">
        <f xml:space="preserve"> IFERROR(($E184&gt;0)*($E184 &lt;=End_of_period) * ($G184 &gt;=Beginning_of_period) * (1-SUM($K184:BY184)) /  IFERROR((DATEDIF(Beginning_of_period,$G184,"m") + 1) / Months_in_Period,0),0)</f>
        <v>0</v>
      </c>
      <c r="CA184" s="231">
        <f xml:space="preserve"> IFERROR(($E184&gt;0)*($E184 &lt;=End_of_period) * ($G184 &gt;=Beginning_of_period) * (1-SUM($K184:BZ184)) /  IFERROR((DATEDIF(Beginning_of_period,$G184,"m") + 1) / Months_in_Period,0),0)</f>
        <v>0</v>
      </c>
      <c r="CB184" s="231">
        <f xml:space="preserve"> IFERROR(($E184&gt;0)*($E184 &lt;=End_of_period) * ($G184 &gt;=Beginning_of_period) * (1-SUM($K184:CA184)) /  IFERROR((DATEDIF(Beginning_of_period,$G184,"m") + 1) / Months_in_Period,0),0)</f>
        <v>0</v>
      </c>
      <c r="CC184" s="231">
        <f xml:space="preserve"> IFERROR(($E184&gt;0)*($E184 &lt;=End_of_period) * ($G184 &gt;=Beginning_of_period) * (1-SUM($K184:CB184)) /  IFERROR((DATEDIF(Beginning_of_period,$G184,"m") + 1) / Months_in_Period,0),0)</f>
        <v>0</v>
      </c>
      <c r="CD184" s="231">
        <f xml:space="preserve"> IFERROR(($E184&gt;0)*($E184 &lt;=End_of_period) * ($G184 &gt;=Beginning_of_period) * (1-SUM($K184:CC184)) /  IFERROR((DATEDIF(Beginning_of_period,$G184,"m") + 1) / Months_in_Period,0),0)</f>
        <v>0</v>
      </c>
      <c r="CE184" s="231">
        <f xml:space="preserve"> IFERROR(($E184&gt;0)*($E184 &lt;=End_of_period) * ($G184 &gt;=Beginning_of_period) * (1-SUM($K184:CD184)) /  IFERROR((DATEDIF(Beginning_of_period,$G184,"m") + 1) / Months_in_Period,0),0)</f>
        <v>0</v>
      </c>
      <c r="CF184" s="231">
        <f xml:space="preserve"> IFERROR(($E184&gt;0)*($E184 &lt;=End_of_period) * ($G184 &gt;=Beginning_of_period) * (1-SUM($K184:CE184)) /  IFERROR((DATEDIF(Beginning_of_period,$G184,"m") + 1) / Months_in_Period,0),0)</f>
        <v>0</v>
      </c>
      <c r="CG184" s="231">
        <f xml:space="preserve"> IFERROR(($E184&gt;0)*($E184 &lt;=End_of_period) * ($G184 &gt;=Beginning_of_period) * (1-SUM($K184:CF184)) /  IFERROR((DATEDIF(Beginning_of_period,$G184,"m") + 1) / Months_in_Period,0),0)</f>
        <v>0</v>
      </c>
      <c r="CH184" s="231">
        <f xml:space="preserve"> IFERROR(($E184&gt;0)*($E184 &lt;=End_of_period) * ($G184 &gt;=Beginning_of_period) * (1-SUM($K184:CG184)) /  IFERROR((DATEDIF(Beginning_of_period,$G184,"m") + 1) / Months_in_Period,0),0)</f>
        <v>0</v>
      </c>
      <c r="CI184" s="231">
        <f xml:space="preserve"> IFERROR(($E184&gt;0)*($E184 &lt;=End_of_period) * ($G184 &gt;=Beginning_of_period) * (1-SUM($K184:CH184)) /  IFERROR((DATEDIF(Beginning_of_period,$G184,"m") + 1) / Months_in_Period,0),0)</f>
        <v>0</v>
      </c>
      <c r="CJ184" s="231">
        <f xml:space="preserve"> IFERROR(($E184&gt;0)*($E184 &lt;=End_of_period) * ($G184 &gt;=Beginning_of_period) * (1-SUM($K184:CI184)) /  IFERROR((DATEDIF(Beginning_of_period,$G184,"m") + 1) / Months_in_Period,0),0)</f>
        <v>0</v>
      </c>
      <c r="CK184" s="231">
        <f xml:space="preserve"> IFERROR(($E184&gt;0)*($E184 &lt;=End_of_period) * ($G184 &gt;=Beginning_of_period) * (1-SUM($K184:CJ184)) /  IFERROR((DATEDIF(Beginning_of_period,$G184,"m") + 1) / Months_in_Period,0),0)</f>
        <v>0</v>
      </c>
      <c r="CL184" s="231">
        <f xml:space="preserve"> IFERROR(($E184&gt;0)*($E184 &lt;=End_of_period) * ($G184 &gt;=Beginning_of_period) * (1-SUM($K184:CK184)) /  IFERROR((DATEDIF(Beginning_of_period,$G184,"m") + 1) / Months_in_Period,0),0)</f>
        <v>0</v>
      </c>
      <c r="CM184" s="231">
        <f xml:space="preserve"> IFERROR(($E184&gt;0)*($E184 &lt;=End_of_period) * ($G184 &gt;=Beginning_of_period) * (1-SUM($K184:CL184)) /  IFERROR((DATEDIF(Beginning_of_period,$G184,"m") + 1) / Months_in_Period,0),0)</f>
        <v>0</v>
      </c>
      <c r="CN184" s="231">
        <f xml:space="preserve"> IFERROR(($E184&gt;0)*($E184 &lt;=End_of_period) * ($G184 &gt;=Beginning_of_period) * (1-SUM($K184:CM184)) /  IFERROR((DATEDIF(Beginning_of_period,$G184,"m") + 1) / Months_in_Period,0),0)</f>
        <v>0</v>
      </c>
      <c r="CO184" s="231">
        <f xml:space="preserve"> IFERROR(($E184&gt;0)*($E184 &lt;=End_of_period) * ($G184 &gt;=Beginning_of_period) * (1-SUM($K184:CN184)) /  IFERROR((DATEDIF(Beginning_of_period,$G184,"m") + 1) / Months_in_Period,0),0)</f>
        <v>0</v>
      </c>
      <c r="CP184" s="10"/>
    </row>
    <row r="185" spans="1:94" ht="15" customHeight="1">
      <c r="A185" s="10"/>
      <c r="B185" s="3"/>
      <c r="C185" s="17" t="s">
        <v>632</v>
      </c>
      <c r="D185" s="10"/>
      <c r="E185" s="71">
        <v>45658</v>
      </c>
      <c r="F185" s="10"/>
      <c r="G185" s="477">
        <v>46022</v>
      </c>
      <c r="H185" s="149">
        <f xml:space="preserve"> IFERROR((DATEDIF(E185,G185,"m") + 1) / Months_in_Period,0)</f>
        <v>4</v>
      </c>
      <c r="I185" s="231">
        <f>IF(SUM(L185:CO185)=0,1,SUM(L185:CO185))</f>
        <v>1</v>
      </c>
      <c r="J185" s="10"/>
      <c r="K185" s="10"/>
      <c r="L185" s="231">
        <f xml:space="preserve"> IFERROR(($E185&gt;0)*($E185 &lt;=End_of_period) * ($G185 &gt;=Beginning_of_period) * (1-SUM($K185:K185)) /  IFERROR((DATEDIF(Beginning_of_period,$G185,"m") + 1) / Months_in_Period,0),0)</f>
        <v>0.25</v>
      </c>
      <c r="M185" s="231">
        <f xml:space="preserve"> IFERROR(($E185&gt;0)*($E185 &lt;=End_of_period) * ($G185 &gt;=Beginning_of_period) * (1-SUM($K185:L185)) /  IFERROR((DATEDIF(Beginning_of_period,$G185,"m") + 1) / Months_in_Period,0),0)</f>
        <v>0.25</v>
      </c>
      <c r="N185" s="231">
        <f xml:space="preserve"> IFERROR(($E185&gt;0)*($E185 &lt;=End_of_period) * ($G185 &gt;=Beginning_of_period) * (1-SUM($K185:M185)) /  IFERROR((DATEDIF(Beginning_of_period,$G185,"m") + 1) / Months_in_Period,0),0)</f>
        <v>0.25</v>
      </c>
      <c r="O185" s="231">
        <f xml:space="preserve"> IFERROR(($E185&gt;0)*($E185 &lt;=End_of_period) * ($G185 &gt;=Beginning_of_period) * (1-SUM($K185:N185)) /  IFERROR((DATEDIF(Beginning_of_period,$G185,"m") + 1) / Months_in_Period,0),0)</f>
        <v>0.25</v>
      </c>
      <c r="P185" s="231">
        <f xml:space="preserve"> IFERROR(($E185&gt;0)*($E185 &lt;=End_of_period) * ($G185 &gt;=Beginning_of_period) * (1-SUM($K185:O185)) /  IFERROR((DATEDIF(Beginning_of_period,$G185,"m") + 1) / Months_in_Period,0),0)</f>
        <v>0</v>
      </c>
      <c r="Q185" s="231">
        <f xml:space="preserve"> IFERROR(($E185&gt;0)*($E185 &lt;=End_of_period) * ($G185 &gt;=Beginning_of_period) * (1-SUM($K185:P185)) /  IFERROR((DATEDIF(Beginning_of_period,$G185,"m") + 1) / Months_in_Period,0),0)</f>
        <v>0</v>
      </c>
      <c r="R185" s="231">
        <f xml:space="preserve"> IFERROR(($E185&gt;0)*($E185 &lt;=End_of_period) * ($G185 &gt;=Beginning_of_period) * (1-SUM($K185:Q185)) /  IFERROR((DATEDIF(Beginning_of_period,$G185,"m") + 1) / Months_in_Period,0),0)</f>
        <v>0</v>
      </c>
      <c r="S185" s="231">
        <f xml:space="preserve"> IFERROR(($E185&gt;0)*($E185 &lt;=End_of_period) * ($G185 &gt;=Beginning_of_period) * (1-SUM($K185:R185)) /  IFERROR((DATEDIF(Beginning_of_period,$G185,"m") + 1) / Months_in_Period,0),0)</f>
        <v>0</v>
      </c>
      <c r="T185" s="231">
        <f xml:space="preserve"> IFERROR(($E185&gt;0)*($E185 &lt;=End_of_period) * ($G185 &gt;=Beginning_of_period) * (1-SUM($K185:S185)) /  IFERROR((DATEDIF(Beginning_of_period,$G185,"m") + 1) / Months_in_Period,0),0)</f>
        <v>0</v>
      </c>
      <c r="U185" s="231">
        <f xml:space="preserve"> IFERROR(($E185&gt;0)*($E185 &lt;=End_of_period) * ($G185 &gt;=Beginning_of_period) * (1-SUM($K185:T185)) /  IFERROR((DATEDIF(Beginning_of_period,$G185,"m") + 1) / Months_in_Period,0),0)</f>
        <v>0</v>
      </c>
      <c r="V185" s="231">
        <f xml:space="preserve"> IFERROR(($E185&gt;0)*($E185 &lt;=End_of_period) * ($G185 &gt;=Beginning_of_period) * (1-SUM($K185:U185)) /  IFERROR((DATEDIF(Beginning_of_period,$G185,"m") + 1) / Months_in_Period,0),0)</f>
        <v>0</v>
      </c>
      <c r="W185" s="231">
        <f xml:space="preserve"> IFERROR(($E185&gt;0)*($E185 &lt;=End_of_period) * ($G185 &gt;=Beginning_of_period) * (1-SUM($K185:V185)) /  IFERROR((DATEDIF(Beginning_of_period,$G185,"m") + 1) / Months_in_Period,0),0)</f>
        <v>0</v>
      </c>
      <c r="X185" s="231">
        <f xml:space="preserve"> IFERROR(($E185&gt;0)*($E185 &lt;=End_of_period) * ($G185 &gt;=Beginning_of_period) * (1-SUM($K185:W185)) /  IFERROR((DATEDIF(Beginning_of_period,$G185,"m") + 1) / Months_in_Period,0),0)</f>
        <v>0</v>
      </c>
      <c r="Y185" s="231">
        <f xml:space="preserve"> IFERROR(($E185&gt;0)*($E185 &lt;=End_of_period) * ($G185 &gt;=Beginning_of_period) * (1-SUM($K185:X185)) /  IFERROR((DATEDIF(Beginning_of_period,$G185,"m") + 1) / Months_in_Period,0),0)</f>
        <v>0</v>
      </c>
      <c r="Z185" s="231">
        <f xml:space="preserve"> IFERROR(($E185&gt;0)*($E185 &lt;=End_of_period) * ($G185 &gt;=Beginning_of_period) * (1-SUM($K185:Y185)) /  IFERROR((DATEDIF(Beginning_of_period,$G185,"m") + 1) / Months_in_Period,0),0)</f>
        <v>0</v>
      </c>
      <c r="AA185" s="231">
        <f xml:space="preserve"> IFERROR(($E185&gt;0)*($E185 &lt;=End_of_period) * ($G185 &gt;=Beginning_of_period) * (1-SUM($K185:Z185)) /  IFERROR((DATEDIF(Beginning_of_period,$G185,"m") + 1) / Months_in_Period,0),0)</f>
        <v>0</v>
      </c>
      <c r="AB185" s="231">
        <f xml:space="preserve"> IFERROR(($E185&gt;0)*($E185 &lt;=End_of_period) * ($G185 &gt;=Beginning_of_period) * (1-SUM($K185:AA185)) /  IFERROR((DATEDIF(Beginning_of_period,$G185,"m") + 1) / Months_in_Period,0),0)</f>
        <v>0</v>
      </c>
      <c r="AC185" s="231">
        <f xml:space="preserve"> IFERROR(($E185&gt;0)*($E185 &lt;=End_of_period) * ($G185 &gt;=Beginning_of_period) * (1-SUM($K185:AB185)) /  IFERROR((DATEDIF(Beginning_of_period,$G185,"m") + 1) / Months_in_Period,0),0)</f>
        <v>0</v>
      </c>
      <c r="AD185" s="231">
        <f xml:space="preserve"> IFERROR(($E185&gt;0)*($E185 &lt;=End_of_period) * ($G185 &gt;=Beginning_of_period) * (1-SUM($K185:AC185)) /  IFERROR((DATEDIF(Beginning_of_period,$G185,"m") + 1) / Months_in_Period,0),0)</f>
        <v>0</v>
      </c>
      <c r="AE185" s="231">
        <f xml:space="preserve"> IFERROR(($E185&gt;0)*($E185 &lt;=End_of_period) * ($G185 &gt;=Beginning_of_period) * (1-SUM($K185:AD185)) /  IFERROR((DATEDIF(Beginning_of_period,$G185,"m") + 1) / Months_in_Period,0),0)</f>
        <v>0</v>
      </c>
      <c r="AF185" s="231">
        <f xml:space="preserve"> IFERROR(($E185&gt;0)*($E185 &lt;=End_of_period) * ($G185 &gt;=Beginning_of_period) * (1-SUM($K185:AE185)) /  IFERROR((DATEDIF(Beginning_of_period,$G185,"m") + 1) / Months_in_Period,0),0)</f>
        <v>0</v>
      </c>
      <c r="AG185" s="231">
        <f xml:space="preserve"> IFERROR(($E185&gt;0)*($E185 &lt;=End_of_period) * ($G185 &gt;=Beginning_of_period) * (1-SUM($K185:AF185)) /  IFERROR((DATEDIF(Beginning_of_period,$G185,"m") + 1) / Months_in_Period,0),0)</f>
        <v>0</v>
      </c>
      <c r="AH185" s="231">
        <f xml:space="preserve"> IFERROR(($E185&gt;0)*($E185 &lt;=End_of_period) * ($G185 &gt;=Beginning_of_period) * (1-SUM($K185:AG185)) /  IFERROR((DATEDIF(Beginning_of_period,$G185,"m") + 1) / Months_in_Period,0),0)</f>
        <v>0</v>
      </c>
      <c r="AI185" s="231">
        <f xml:space="preserve"> IFERROR(($E185&gt;0)*($E185 &lt;=End_of_period) * ($G185 &gt;=Beginning_of_period) * (1-SUM($K185:AH185)) /  IFERROR((DATEDIF(Beginning_of_period,$G185,"m") + 1) / Months_in_Period,0),0)</f>
        <v>0</v>
      </c>
      <c r="AJ185" s="231">
        <f xml:space="preserve"> IFERROR(($E185&gt;0)*($E185 &lt;=End_of_period) * ($G185 &gt;=Beginning_of_period) * (1-SUM($K185:AI185)) /  IFERROR((DATEDIF(Beginning_of_period,$G185,"m") + 1) / Months_in_Period,0),0)</f>
        <v>0</v>
      </c>
      <c r="AK185" s="231">
        <f xml:space="preserve"> IFERROR(($E185&gt;0)*($E185 &lt;=End_of_period) * ($G185 &gt;=Beginning_of_period) * (1-SUM($K185:AJ185)) /  IFERROR((DATEDIF(Beginning_of_period,$G185,"m") + 1) / Months_in_Period,0),0)</f>
        <v>0</v>
      </c>
      <c r="AL185" s="231">
        <f xml:space="preserve"> IFERROR(($E185&gt;0)*($E185 &lt;=End_of_period) * ($G185 &gt;=Beginning_of_period) * (1-SUM($K185:AK185)) /  IFERROR((DATEDIF(Beginning_of_period,$G185,"m") + 1) / Months_in_Period,0),0)</f>
        <v>0</v>
      </c>
      <c r="AM185" s="231">
        <f xml:space="preserve"> IFERROR(($E185&gt;0)*($E185 &lt;=End_of_period) * ($G185 &gt;=Beginning_of_period) * (1-SUM($K185:AL185)) /  IFERROR((DATEDIF(Beginning_of_period,$G185,"m") + 1) / Months_in_Period,0),0)</f>
        <v>0</v>
      </c>
      <c r="AN185" s="231">
        <f xml:space="preserve"> IFERROR(($E185&gt;0)*($E185 &lt;=End_of_period) * ($G185 &gt;=Beginning_of_period) * (1-SUM($K185:AM185)) /  IFERROR((DATEDIF(Beginning_of_period,$G185,"m") + 1) / Months_in_Period,0),0)</f>
        <v>0</v>
      </c>
      <c r="AO185" s="231">
        <f xml:space="preserve"> IFERROR(($E185&gt;0)*($E185 &lt;=End_of_period) * ($G185 &gt;=Beginning_of_period) * (1-SUM($K185:AN185)) /  IFERROR((DATEDIF(Beginning_of_period,$G185,"m") + 1) / Months_in_Period,0),0)</f>
        <v>0</v>
      </c>
      <c r="AP185" s="231">
        <f xml:space="preserve"> IFERROR(($E185&gt;0)*($E185 &lt;=End_of_period) * ($G185 &gt;=Beginning_of_period) * (1-SUM($K185:AO185)) /  IFERROR((DATEDIF(Beginning_of_period,$G185,"m") + 1) / Months_in_Period,0),0)</f>
        <v>0</v>
      </c>
      <c r="AQ185" s="231">
        <f xml:space="preserve"> IFERROR(($E185&gt;0)*($E185 &lt;=End_of_period) * ($G185 &gt;=Beginning_of_period) * (1-SUM($K185:AP185)) /  IFERROR((DATEDIF(Beginning_of_period,$G185,"m") + 1) / Months_in_Period,0),0)</f>
        <v>0</v>
      </c>
      <c r="AR185" s="231">
        <f xml:space="preserve"> IFERROR(($E185&gt;0)*($E185 &lt;=End_of_period) * ($G185 &gt;=Beginning_of_period) * (1-SUM($K185:AQ185)) /  IFERROR((DATEDIF(Beginning_of_period,$G185,"m") + 1) / Months_in_Period,0),0)</f>
        <v>0</v>
      </c>
      <c r="AS185" s="231">
        <f xml:space="preserve"> IFERROR(($E185&gt;0)*($E185 &lt;=End_of_period) * ($G185 &gt;=Beginning_of_period) * (1-SUM($K185:AR185)) /  IFERROR((DATEDIF(Beginning_of_period,$G185,"m") + 1) / Months_in_Period,0),0)</f>
        <v>0</v>
      </c>
      <c r="AT185" s="231">
        <f xml:space="preserve"> IFERROR(($E185&gt;0)*($E185 &lt;=End_of_period) * ($G185 &gt;=Beginning_of_period) * (1-SUM($K185:AS185)) /  IFERROR((DATEDIF(Beginning_of_period,$G185,"m") + 1) / Months_in_Period,0),0)</f>
        <v>0</v>
      </c>
      <c r="AU185" s="231">
        <f xml:space="preserve"> IFERROR(($E185&gt;0)*($E185 &lt;=End_of_period) * ($G185 &gt;=Beginning_of_period) * (1-SUM($K185:AT185)) /  IFERROR((DATEDIF(Beginning_of_period,$G185,"m") + 1) / Months_in_Period,0),0)</f>
        <v>0</v>
      </c>
      <c r="AV185" s="231">
        <f xml:space="preserve"> IFERROR(($E185&gt;0)*($E185 &lt;=End_of_period) * ($G185 &gt;=Beginning_of_period) * (1-SUM($K185:AU185)) /  IFERROR((DATEDIF(Beginning_of_period,$G185,"m") + 1) / Months_in_Period,0),0)</f>
        <v>0</v>
      </c>
      <c r="AW185" s="231">
        <f xml:space="preserve"> IFERROR(($E185&gt;0)*($E185 &lt;=End_of_period) * ($G185 &gt;=Beginning_of_period) * (1-SUM($K185:AV185)) /  IFERROR((DATEDIF(Beginning_of_period,$G185,"m") + 1) / Months_in_Period,0),0)</f>
        <v>0</v>
      </c>
      <c r="AX185" s="231">
        <f xml:space="preserve"> IFERROR(($E185&gt;0)*($E185 &lt;=End_of_period) * ($G185 &gt;=Beginning_of_period) * (1-SUM($K185:AW185)) /  IFERROR((DATEDIF(Beginning_of_period,$G185,"m") + 1) / Months_in_Period,0),0)</f>
        <v>0</v>
      </c>
      <c r="AY185" s="231">
        <f xml:space="preserve"> IFERROR(($E185&gt;0)*($E185 &lt;=End_of_period) * ($G185 &gt;=Beginning_of_period) * (1-SUM($K185:AX185)) /  IFERROR((DATEDIF(Beginning_of_period,$G185,"m") + 1) / Months_in_Period,0),0)</f>
        <v>0</v>
      </c>
      <c r="AZ185" s="231">
        <f xml:space="preserve"> IFERROR(($E185&gt;0)*($E185 &lt;=End_of_period) * ($G185 &gt;=Beginning_of_period) * (1-SUM($K185:AY185)) /  IFERROR((DATEDIF(Beginning_of_period,$G185,"m") + 1) / Months_in_Period,0),0)</f>
        <v>0</v>
      </c>
      <c r="BA185" s="231">
        <f xml:space="preserve"> IFERROR(($E185&gt;0)*($E185 &lt;=End_of_period) * ($G185 &gt;=Beginning_of_period) * (1-SUM($K185:AZ185)) /  IFERROR((DATEDIF(Beginning_of_period,$G185,"m") + 1) / Months_in_Period,0),0)</f>
        <v>0</v>
      </c>
      <c r="BB185" s="231">
        <f xml:space="preserve"> IFERROR(($E185&gt;0)*($E185 &lt;=End_of_period) * ($G185 &gt;=Beginning_of_period) * (1-SUM($K185:BA185)) /  IFERROR((DATEDIF(Beginning_of_period,$G185,"m") + 1) / Months_in_Period,0),0)</f>
        <v>0</v>
      </c>
      <c r="BC185" s="231">
        <f xml:space="preserve"> IFERROR(($E185&gt;0)*($E185 &lt;=End_of_period) * ($G185 &gt;=Beginning_of_period) * (1-SUM($K185:BB185)) /  IFERROR((DATEDIF(Beginning_of_period,$G185,"m") + 1) / Months_in_Period,0),0)</f>
        <v>0</v>
      </c>
      <c r="BD185" s="231">
        <f xml:space="preserve"> IFERROR(($E185&gt;0)*($E185 &lt;=End_of_period) * ($G185 &gt;=Beginning_of_period) * (1-SUM($K185:BC185)) /  IFERROR((DATEDIF(Beginning_of_period,$G185,"m") + 1) / Months_in_Period,0),0)</f>
        <v>0</v>
      </c>
      <c r="BE185" s="231">
        <f xml:space="preserve"> IFERROR(($E185&gt;0)*($E185 &lt;=End_of_period) * ($G185 &gt;=Beginning_of_period) * (1-SUM($K185:BD185)) /  IFERROR((DATEDIF(Beginning_of_period,$G185,"m") + 1) / Months_in_Period,0),0)</f>
        <v>0</v>
      </c>
      <c r="BF185" s="231">
        <f xml:space="preserve"> IFERROR(($E185&gt;0)*($E185 &lt;=End_of_period) * ($G185 &gt;=Beginning_of_period) * (1-SUM($K185:BE185)) /  IFERROR((DATEDIF(Beginning_of_period,$G185,"m") + 1) / Months_in_Period,0),0)</f>
        <v>0</v>
      </c>
      <c r="BG185" s="231">
        <f xml:space="preserve"> IFERROR(($E185&gt;0)*($E185 &lt;=End_of_period) * ($G185 &gt;=Beginning_of_period) * (1-SUM($K185:BF185)) /  IFERROR((DATEDIF(Beginning_of_period,$G185,"m") + 1) / Months_in_Period,0),0)</f>
        <v>0</v>
      </c>
      <c r="BH185" s="231">
        <f xml:space="preserve"> IFERROR(($E185&gt;0)*($E185 &lt;=End_of_period) * ($G185 &gt;=Beginning_of_period) * (1-SUM($K185:BG185)) /  IFERROR((DATEDIF(Beginning_of_period,$G185,"m") + 1) / Months_in_Period,0),0)</f>
        <v>0</v>
      </c>
      <c r="BI185" s="231">
        <f xml:space="preserve"> IFERROR(($E185&gt;0)*($E185 &lt;=End_of_period) * ($G185 &gt;=Beginning_of_period) * (1-SUM($K185:BH185)) /  IFERROR((DATEDIF(Beginning_of_period,$G185,"m") + 1) / Months_in_Period,0),0)</f>
        <v>0</v>
      </c>
      <c r="BJ185" s="231">
        <f xml:space="preserve"> IFERROR(($E185&gt;0)*($E185 &lt;=End_of_period) * ($G185 &gt;=Beginning_of_period) * (1-SUM($K185:BI185)) /  IFERROR((DATEDIF(Beginning_of_period,$G185,"m") + 1) / Months_in_Period,0),0)</f>
        <v>0</v>
      </c>
      <c r="BK185" s="231">
        <f xml:space="preserve"> IFERROR(($E185&gt;0)*($E185 &lt;=End_of_period) * ($G185 &gt;=Beginning_of_period) * (1-SUM($K185:BJ185)) /  IFERROR((DATEDIF(Beginning_of_period,$G185,"m") + 1) / Months_in_Period,0),0)</f>
        <v>0</v>
      </c>
      <c r="BL185" s="231">
        <f xml:space="preserve"> IFERROR(($E185&gt;0)*($E185 &lt;=End_of_period) * ($G185 &gt;=Beginning_of_period) * (1-SUM($K185:BK185)) /  IFERROR((DATEDIF(Beginning_of_period,$G185,"m") + 1) / Months_in_Period,0),0)</f>
        <v>0</v>
      </c>
      <c r="BM185" s="231">
        <f xml:space="preserve"> IFERROR(($E185&gt;0)*($E185 &lt;=End_of_period) * ($G185 &gt;=Beginning_of_period) * (1-SUM($K185:BL185)) /  IFERROR((DATEDIF(Beginning_of_period,$G185,"m") + 1) / Months_in_Period,0),0)</f>
        <v>0</v>
      </c>
      <c r="BN185" s="231">
        <f xml:space="preserve"> IFERROR(($E185&gt;0)*($E185 &lt;=End_of_period) * ($G185 &gt;=Beginning_of_period) * (1-SUM($K185:BM185)) /  IFERROR((DATEDIF(Beginning_of_period,$G185,"m") + 1) / Months_in_Period,0),0)</f>
        <v>0</v>
      </c>
      <c r="BO185" s="231">
        <f xml:space="preserve"> IFERROR(($E185&gt;0)*($E185 &lt;=End_of_period) * ($G185 &gt;=Beginning_of_period) * (1-SUM($K185:BN185)) /  IFERROR((DATEDIF(Beginning_of_period,$G185,"m") + 1) / Months_in_Period,0),0)</f>
        <v>0</v>
      </c>
      <c r="BP185" s="231">
        <f xml:space="preserve"> IFERROR(($E185&gt;0)*($E185 &lt;=End_of_period) * ($G185 &gt;=Beginning_of_period) * (1-SUM($K185:BO185)) /  IFERROR((DATEDIF(Beginning_of_period,$G185,"m") + 1) / Months_in_Period,0),0)</f>
        <v>0</v>
      </c>
      <c r="BQ185" s="231">
        <f xml:space="preserve"> IFERROR(($E185&gt;0)*($E185 &lt;=End_of_period) * ($G185 &gt;=Beginning_of_period) * (1-SUM($K185:BP185)) /  IFERROR((DATEDIF(Beginning_of_period,$G185,"m") + 1) / Months_in_Period,0),0)</f>
        <v>0</v>
      </c>
      <c r="BR185" s="231">
        <f xml:space="preserve"> IFERROR(($E185&gt;0)*($E185 &lt;=End_of_period) * ($G185 &gt;=Beginning_of_period) * (1-SUM($K185:BQ185)) /  IFERROR((DATEDIF(Beginning_of_period,$G185,"m") + 1) / Months_in_Period,0),0)</f>
        <v>0</v>
      </c>
      <c r="BS185" s="231">
        <f xml:space="preserve"> IFERROR(($E185&gt;0)*($E185 &lt;=End_of_period) * ($G185 &gt;=Beginning_of_period) * (1-SUM($K185:BR185)) /  IFERROR((DATEDIF(Beginning_of_period,$G185,"m") + 1) / Months_in_Period,0),0)</f>
        <v>0</v>
      </c>
      <c r="BT185" s="231">
        <f xml:space="preserve"> IFERROR(($E185&gt;0)*($E185 &lt;=End_of_period) * ($G185 &gt;=Beginning_of_period) * (1-SUM($K185:BS185)) /  IFERROR((DATEDIF(Beginning_of_period,$G185,"m") + 1) / Months_in_Period,0),0)</f>
        <v>0</v>
      </c>
      <c r="BU185" s="231">
        <f xml:space="preserve"> IFERROR(($E185&gt;0)*($E185 &lt;=End_of_period) * ($G185 &gt;=Beginning_of_period) * (1-SUM($K185:BT185)) /  IFERROR((DATEDIF(Beginning_of_period,$G185,"m") + 1) / Months_in_Period,0),0)</f>
        <v>0</v>
      </c>
      <c r="BV185" s="231">
        <f xml:space="preserve"> IFERROR(($E185&gt;0)*($E185 &lt;=End_of_period) * ($G185 &gt;=Beginning_of_period) * (1-SUM($K185:BU185)) /  IFERROR((DATEDIF(Beginning_of_period,$G185,"m") + 1) / Months_in_Period,0),0)</f>
        <v>0</v>
      </c>
      <c r="BW185" s="231">
        <f xml:space="preserve"> IFERROR(($E185&gt;0)*($E185 &lt;=End_of_period) * ($G185 &gt;=Beginning_of_period) * (1-SUM($K185:BV185)) /  IFERROR((DATEDIF(Beginning_of_period,$G185,"m") + 1) / Months_in_Period,0),0)</f>
        <v>0</v>
      </c>
      <c r="BX185" s="231">
        <f xml:space="preserve"> IFERROR(($E185&gt;0)*($E185 &lt;=End_of_period) * ($G185 &gt;=Beginning_of_period) * (1-SUM($K185:BW185)) /  IFERROR((DATEDIF(Beginning_of_period,$G185,"m") + 1) / Months_in_Period,0),0)</f>
        <v>0</v>
      </c>
      <c r="BY185" s="231">
        <f xml:space="preserve"> IFERROR(($E185&gt;0)*($E185 &lt;=End_of_period) * ($G185 &gt;=Beginning_of_period) * (1-SUM($K185:BX185)) /  IFERROR((DATEDIF(Beginning_of_period,$G185,"m") + 1) / Months_in_Period,0),0)</f>
        <v>0</v>
      </c>
      <c r="BZ185" s="231">
        <f xml:space="preserve"> IFERROR(($E185&gt;0)*($E185 &lt;=End_of_period) * ($G185 &gt;=Beginning_of_period) * (1-SUM($K185:BY185)) /  IFERROR((DATEDIF(Beginning_of_period,$G185,"m") + 1) / Months_in_Period,0),0)</f>
        <v>0</v>
      </c>
      <c r="CA185" s="231">
        <f xml:space="preserve"> IFERROR(($E185&gt;0)*($E185 &lt;=End_of_period) * ($G185 &gt;=Beginning_of_period) * (1-SUM($K185:BZ185)) /  IFERROR((DATEDIF(Beginning_of_period,$G185,"m") + 1) / Months_in_Period,0),0)</f>
        <v>0</v>
      </c>
      <c r="CB185" s="231">
        <f xml:space="preserve"> IFERROR(($E185&gt;0)*($E185 &lt;=End_of_period) * ($G185 &gt;=Beginning_of_period) * (1-SUM($K185:CA185)) /  IFERROR((DATEDIF(Beginning_of_period,$G185,"m") + 1) / Months_in_Period,0),0)</f>
        <v>0</v>
      </c>
      <c r="CC185" s="231">
        <f xml:space="preserve"> IFERROR(($E185&gt;0)*($E185 &lt;=End_of_period) * ($G185 &gt;=Beginning_of_period) * (1-SUM($K185:CB185)) /  IFERROR((DATEDIF(Beginning_of_period,$G185,"m") + 1) / Months_in_Period,0),0)</f>
        <v>0</v>
      </c>
      <c r="CD185" s="231">
        <f xml:space="preserve"> IFERROR(($E185&gt;0)*($E185 &lt;=End_of_period) * ($G185 &gt;=Beginning_of_period) * (1-SUM($K185:CC185)) /  IFERROR((DATEDIF(Beginning_of_period,$G185,"m") + 1) / Months_in_Period,0),0)</f>
        <v>0</v>
      </c>
      <c r="CE185" s="231">
        <f xml:space="preserve"> IFERROR(($E185&gt;0)*($E185 &lt;=End_of_period) * ($G185 &gt;=Beginning_of_period) * (1-SUM($K185:CD185)) /  IFERROR((DATEDIF(Beginning_of_period,$G185,"m") + 1) / Months_in_Period,0),0)</f>
        <v>0</v>
      </c>
      <c r="CF185" s="231">
        <f xml:space="preserve"> IFERROR(($E185&gt;0)*($E185 &lt;=End_of_period) * ($G185 &gt;=Beginning_of_period) * (1-SUM($K185:CE185)) /  IFERROR((DATEDIF(Beginning_of_period,$G185,"m") + 1) / Months_in_Period,0),0)</f>
        <v>0</v>
      </c>
      <c r="CG185" s="231">
        <f xml:space="preserve"> IFERROR(($E185&gt;0)*($E185 &lt;=End_of_period) * ($G185 &gt;=Beginning_of_period) * (1-SUM($K185:CF185)) /  IFERROR((DATEDIF(Beginning_of_period,$G185,"m") + 1) / Months_in_Period,0),0)</f>
        <v>0</v>
      </c>
      <c r="CH185" s="231">
        <f xml:space="preserve"> IFERROR(($E185&gt;0)*($E185 &lt;=End_of_period) * ($G185 &gt;=Beginning_of_period) * (1-SUM($K185:CG185)) /  IFERROR((DATEDIF(Beginning_of_period,$G185,"m") + 1) / Months_in_Period,0),0)</f>
        <v>0</v>
      </c>
      <c r="CI185" s="231">
        <f xml:space="preserve"> IFERROR(($E185&gt;0)*($E185 &lt;=End_of_period) * ($G185 &gt;=Beginning_of_period) * (1-SUM($K185:CH185)) /  IFERROR((DATEDIF(Beginning_of_period,$G185,"m") + 1) / Months_in_Period,0),0)</f>
        <v>0</v>
      </c>
      <c r="CJ185" s="231">
        <f xml:space="preserve"> IFERROR(($E185&gt;0)*($E185 &lt;=End_of_period) * ($G185 &gt;=Beginning_of_period) * (1-SUM($K185:CI185)) /  IFERROR((DATEDIF(Beginning_of_period,$G185,"m") + 1) / Months_in_Period,0),0)</f>
        <v>0</v>
      </c>
      <c r="CK185" s="231">
        <f xml:space="preserve"> IFERROR(($E185&gt;0)*($E185 &lt;=End_of_period) * ($G185 &gt;=Beginning_of_period) * (1-SUM($K185:CJ185)) /  IFERROR((DATEDIF(Beginning_of_period,$G185,"m") + 1) / Months_in_Period,0),0)</f>
        <v>0</v>
      </c>
      <c r="CL185" s="231">
        <f xml:space="preserve"> IFERROR(($E185&gt;0)*($E185 &lt;=End_of_period) * ($G185 &gt;=Beginning_of_period) * (1-SUM($K185:CK185)) /  IFERROR((DATEDIF(Beginning_of_period,$G185,"m") + 1) / Months_in_Period,0),0)</f>
        <v>0</v>
      </c>
      <c r="CM185" s="231">
        <f xml:space="preserve"> IFERROR(($E185&gt;0)*($E185 &lt;=End_of_period) * ($G185 &gt;=Beginning_of_period) * (1-SUM($K185:CL185)) /  IFERROR((DATEDIF(Beginning_of_period,$G185,"m") + 1) / Months_in_Period,0),0)</f>
        <v>0</v>
      </c>
      <c r="CN185" s="231">
        <f xml:space="preserve"> IFERROR(($E185&gt;0)*($E185 &lt;=End_of_period) * ($G185 &gt;=Beginning_of_period) * (1-SUM($K185:CM185)) /  IFERROR((DATEDIF(Beginning_of_period,$G185,"m") + 1) / Months_in_Period,0),0)</f>
        <v>0</v>
      </c>
      <c r="CO185" s="231">
        <f xml:space="preserve"> IFERROR(($E185&gt;0)*($E185 &lt;=End_of_period) * ($G185 &gt;=Beginning_of_period) * (1-SUM($K185:CN185)) /  IFERROR((DATEDIF(Beginning_of_period,$G185,"m") + 1) / Months_in_Period,0),0)</f>
        <v>0</v>
      </c>
      <c r="CP185" s="10"/>
    </row>
    <row r="186" spans="1:94" ht="15" customHeight="1">
      <c r="A186" s="10"/>
      <c r="B186" s="3"/>
      <c r="C186" s="17" t="s">
        <v>821</v>
      </c>
      <c r="D186" s="10"/>
      <c r="E186" s="71">
        <v>46023</v>
      </c>
      <c r="F186" s="10"/>
      <c r="G186" s="477">
        <v>47208</v>
      </c>
      <c r="H186" s="149">
        <f xml:space="preserve"> IFERROR((DATEDIF(E186,G186,"m") + 1) / Months_in_Period,0)</f>
        <v>13</v>
      </c>
      <c r="I186" s="231">
        <f>IF(SUM(L186:CO186)=0,1,SUM(L186:CO186))</f>
        <v>1</v>
      </c>
      <c r="J186" s="10"/>
      <c r="K186" s="10"/>
      <c r="L186" s="231">
        <f xml:space="preserve"> IFERROR(($E186&gt;0)*($E186 &lt;=End_of_period) * ($G186 &gt;=Beginning_of_period) * (1-SUM($K186:K186)) /  IFERROR((DATEDIF(Beginning_of_period,$G186,"m") + 1) / Months_in_Period,0),0)</f>
        <v>0</v>
      </c>
      <c r="M186" s="231">
        <f xml:space="preserve"> IFERROR(($E186&gt;0)*($E186 &lt;=End_of_period) * ($G186 &gt;=Beginning_of_period) * (1-SUM($K186:L186)) /  IFERROR((DATEDIF(Beginning_of_period,$G186,"m") + 1) / Months_in_Period,0),0)</f>
        <v>0</v>
      </c>
      <c r="N186" s="231">
        <f xml:space="preserve"> IFERROR(($E186&gt;0)*($E186 &lt;=End_of_period) * ($G186 &gt;=Beginning_of_period) * (1-SUM($K186:M186)) /  IFERROR((DATEDIF(Beginning_of_period,$G186,"m") + 1) / Months_in_Period,0),0)</f>
        <v>0</v>
      </c>
      <c r="O186" s="231">
        <f xml:space="preserve"> IFERROR(($E186&gt;0)*($E186 &lt;=End_of_period) * ($G186 &gt;=Beginning_of_period) * (1-SUM($K186:N186)) /  IFERROR((DATEDIF(Beginning_of_period,$G186,"m") + 1) / Months_in_Period,0),0)</f>
        <v>0</v>
      </c>
      <c r="P186" s="231">
        <f xml:space="preserve"> IFERROR(($E186&gt;0)*($E186 &lt;=End_of_period) * ($G186 &gt;=Beginning_of_period) * (1-SUM($K186:O186)) /  IFERROR((DATEDIF(Beginning_of_period,$G186,"m") + 1) / Months_in_Period,0),0)</f>
        <v>7.6923076923076927E-2</v>
      </c>
      <c r="Q186" s="231">
        <f xml:space="preserve"> IFERROR(($E186&gt;0)*($E186 &lt;=End_of_period) * ($G186 &gt;=Beginning_of_period) * (1-SUM($K186:P186)) /  IFERROR((DATEDIF(Beginning_of_period,$G186,"m") + 1) / Months_in_Period,0),0)</f>
        <v>7.6923076923076927E-2</v>
      </c>
      <c r="R186" s="231">
        <f xml:space="preserve"> IFERROR(($E186&gt;0)*($E186 &lt;=End_of_period) * ($G186 &gt;=Beginning_of_period) * (1-SUM($K186:Q186)) /  IFERROR((DATEDIF(Beginning_of_period,$G186,"m") + 1) / Months_in_Period,0),0)</f>
        <v>7.6923076923076927E-2</v>
      </c>
      <c r="S186" s="231">
        <f xml:space="preserve"> IFERROR(($E186&gt;0)*($E186 &lt;=End_of_period) * ($G186 &gt;=Beginning_of_period) * (1-SUM($K186:R186)) /  IFERROR((DATEDIF(Beginning_of_period,$G186,"m") + 1) / Months_in_Period,0),0)</f>
        <v>7.6923076923076913E-2</v>
      </c>
      <c r="T186" s="231">
        <f xml:space="preserve"> IFERROR(($E186&gt;0)*($E186 &lt;=End_of_period) * ($G186 &gt;=Beginning_of_period) * (1-SUM($K186:S186)) /  IFERROR((DATEDIF(Beginning_of_period,$G186,"m") + 1) / Months_in_Period,0),0)</f>
        <v>7.6923076923076927E-2</v>
      </c>
      <c r="U186" s="231">
        <f xml:space="preserve"> IFERROR(($E186&gt;0)*($E186 &lt;=End_of_period) * ($G186 &gt;=Beginning_of_period) * (1-SUM($K186:T186)) /  IFERROR((DATEDIF(Beginning_of_period,$G186,"m") + 1) / Months_in_Period,0),0)</f>
        <v>7.6923076923076927E-2</v>
      </c>
      <c r="V186" s="231">
        <f xml:space="preserve"> IFERROR(($E186&gt;0)*($E186 &lt;=End_of_period) * ($G186 &gt;=Beginning_of_period) * (1-SUM($K186:U186)) /  IFERROR((DATEDIF(Beginning_of_period,$G186,"m") + 1) / Months_in_Period,0),0)</f>
        <v>7.6923076923076913E-2</v>
      </c>
      <c r="W186" s="231">
        <f xml:space="preserve"> IFERROR(($E186&gt;0)*($E186 &lt;=End_of_period) * ($G186 &gt;=Beginning_of_period) * (1-SUM($K186:V186)) /  IFERROR((DATEDIF(Beginning_of_period,$G186,"m") + 1) / Months_in_Period,0),0)</f>
        <v>7.6923076923076927E-2</v>
      </c>
      <c r="X186" s="231">
        <f xml:space="preserve"> IFERROR(($E186&gt;0)*($E186 &lt;=End_of_period) * ($G186 &gt;=Beginning_of_period) * (1-SUM($K186:W186)) /  IFERROR((DATEDIF(Beginning_of_period,$G186,"m") + 1) / Months_in_Period,0),0)</f>
        <v>7.6923076923076913E-2</v>
      </c>
      <c r="Y186" s="231">
        <f xml:space="preserve"> IFERROR(($E186&gt;0)*($E186 &lt;=End_of_period) * ($G186 &gt;=Beginning_of_period) * (1-SUM($K186:X186)) /  IFERROR((DATEDIF(Beginning_of_period,$G186,"m") + 1) / Months_in_Period,0),0)</f>
        <v>7.6923076923076927E-2</v>
      </c>
      <c r="Z186" s="231">
        <f xml:space="preserve"> IFERROR(($E186&gt;0)*($E186 &lt;=End_of_period) * ($G186 &gt;=Beginning_of_period) * (1-SUM($K186:Y186)) /  IFERROR((DATEDIF(Beginning_of_period,$G186,"m") + 1) / Months_in_Period,0),0)</f>
        <v>7.6923076923076941E-2</v>
      </c>
      <c r="AA186" s="231">
        <f xml:space="preserve"> IFERROR(($E186&gt;0)*($E186 &lt;=End_of_period) * ($G186 &gt;=Beginning_of_period) * (1-SUM($K186:Z186)) /  IFERROR((DATEDIF(Beginning_of_period,$G186,"m") + 1) / Months_in_Period,0),0)</f>
        <v>7.6923076923076927E-2</v>
      </c>
      <c r="AB186" s="231">
        <f xml:space="preserve"> IFERROR(($E186&gt;0)*($E186 &lt;=End_of_period) * ($G186 &gt;=Beginning_of_period) * (1-SUM($K186:AA186)) /  IFERROR((DATEDIF(Beginning_of_period,$G186,"m") + 1) / Months_in_Period,0),0)</f>
        <v>7.6923076923076872E-2</v>
      </c>
      <c r="AC186" s="231">
        <f xml:space="preserve"> IFERROR(($E186&gt;0)*($E186 &lt;=End_of_period) * ($G186 &gt;=Beginning_of_period) * (1-SUM($K186:AB186)) /  IFERROR((DATEDIF(Beginning_of_period,$G186,"m") + 1) / Months_in_Period,0),0)</f>
        <v>0</v>
      </c>
      <c r="AD186" s="231">
        <f xml:space="preserve"> IFERROR(($E186&gt;0)*($E186 &lt;=End_of_period) * ($G186 &gt;=Beginning_of_period) * (1-SUM($K186:AC186)) /  IFERROR((DATEDIF(Beginning_of_period,$G186,"m") + 1) / Months_in_Period,0),0)</f>
        <v>0</v>
      </c>
      <c r="AE186" s="231">
        <f xml:space="preserve"> IFERROR(($E186&gt;0)*($E186 &lt;=End_of_period) * ($G186 &gt;=Beginning_of_period) * (1-SUM($K186:AD186)) /  IFERROR((DATEDIF(Beginning_of_period,$G186,"m") + 1) / Months_in_Period,0),0)</f>
        <v>0</v>
      </c>
      <c r="AF186" s="231">
        <f xml:space="preserve"> IFERROR(($E186&gt;0)*($E186 &lt;=End_of_period) * ($G186 &gt;=Beginning_of_period) * (1-SUM($K186:AE186)) /  IFERROR((DATEDIF(Beginning_of_period,$G186,"m") + 1) / Months_in_Period,0),0)</f>
        <v>0</v>
      </c>
      <c r="AG186" s="231">
        <f xml:space="preserve"> IFERROR(($E186&gt;0)*($E186 &lt;=End_of_period) * ($G186 &gt;=Beginning_of_period) * (1-SUM($K186:AF186)) /  IFERROR((DATEDIF(Beginning_of_period,$G186,"m") + 1) / Months_in_Period,0),0)</f>
        <v>0</v>
      </c>
      <c r="AH186" s="231">
        <f xml:space="preserve"> IFERROR(($E186&gt;0)*($E186 &lt;=End_of_period) * ($G186 &gt;=Beginning_of_period) * (1-SUM($K186:AG186)) /  IFERROR((DATEDIF(Beginning_of_period,$G186,"m") + 1) / Months_in_Period,0),0)</f>
        <v>0</v>
      </c>
      <c r="AI186" s="231">
        <f xml:space="preserve"> IFERROR(($E186&gt;0)*($E186 &lt;=End_of_period) * ($G186 &gt;=Beginning_of_period) * (1-SUM($K186:AH186)) /  IFERROR((DATEDIF(Beginning_of_period,$G186,"m") + 1) / Months_in_Period,0),0)</f>
        <v>0</v>
      </c>
      <c r="AJ186" s="231">
        <f xml:space="preserve"> IFERROR(($E186&gt;0)*($E186 &lt;=End_of_period) * ($G186 &gt;=Beginning_of_period) * (1-SUM($K186:AI186)) /  IFERROR((DATEDIF(Beginning_of_period,$G186,"m") + 1) / Months_in_Period,0),0)</f>
        <v>0</v>
      </c>
      <c r="AK186" s="231">
        <f xml:space="preserve"> IFERROR(($E186&gt;0)*($E186 &lt;=End_of_period) * ($G186 &gt;=Beginning_of_period) * (1-SUM($K186:AJ186)) /  IFERROR((DATEDIF(Beginning_of_period,$G186,"m") + 1) / Months_in_Period,0),0)</f>
        <v>0</v>
      </c>
      <c r="AL186" s="231">
        <f xml:space="preserve"> IFERROR(($E186&gt;0)*($E186 &lt;=End_of_period) * ($G186 &gt;=Beginning_of_period) * (1-SUM($K186:AK186)) /  IFERROR((DATEDIF(Beginning_of_period,$G186,"m") + 1) / Months_in_Period,0),0)</f>
        <v>0</v>
      </c>
      <c r="AM186" s="231">
        <f xml:space="preserve"> IFERROR(($E186&gt;0)*($E186 &lt;=End_of_period) * ($G186 &gt;=Beginning_of_period) * (1-SUM($K186:AL186)) /  IFERROR((DATEDIF(Beginning_of_period,$G186,"m") + 1) / Months_in_Period,0),0)</f>
        <v>0</v>
      </c>
      <c r="AN186" s="231">
        <f xml:space="preserve"> IFERROR(($E186&gt;0)*($E186 &lt;=End_of_period) * ($G186 &gt;=Beginning_of_period) * (1-SUM($K186:AM186)) /  IFERROR((DATEDIF(Beginning_of_period,$G186,"m") + 1) / Months_in_Period,0),0)</f>
        <v>0</v>
      </c>
      <c r="AO186" s="231">
        <f xml:space="preserve"> IFERROR(($E186&gt;0)*($E186 &lt;=End_of_period) * ($G186 &gt;=Beginning_of_period) * (1-SUM($K186:AN186)) /  IFERROR((DATEDIF(Beginning_of_period,$G186,"m") + 1) / Months_in_Period,0),0)</f>
        <v>0</v>
      </c>
      <c r="AP186" s="231">
        <f xml:space="preserve"> IFERROR(($E186&gt;0)*($E186 &lt;=End_of_period) * ($G186 &gt;=Beginning_of_period) * (1-SUM($K186:AO186)) /  IFERROR((DATEDIF(Beginning_of_period,$G186,"m") + 1) / Months_in_Period,0),0)</f>
        <v>0</v>
      </c>
      <c r="AQ186" s="231">
        <f xml:space="preserve"> IFERROR(($E186&gt;0)*($E186 &lt;=End_of_period) * ($G186 &gt;=Beginning_of_period) * (1-SUM($K186:AP186)) /  IFERROR((DATEDIF(Beginning_of_period,$G186,"m") + 1) / Months_in_Period,0),0)</f>
        <v>0</v>
      </c>
      <c r="AR186" s="231">
        <f xml:space="preserve"> IFERROR(($E186&gt;0)*($E186 &lt;=End_of_period) * ($G186 &gt;=Beginning_of_period) * (1-SUM($K186:AQ186)) /  IFERROR((DATEDIF(Beginning_of_period,$G186,"m") + 1) / Months_in_Period,0),0)</f>
        <v>0</v>
      </c>
      <c r="AS186" s="231">
        <f xml:space="preserve"> IFERROR(($E186&gt;0)*($E186 &lt;=End_of_period) * ($G186 &gt;=Beginning_of_period) * (1-SUM($K186:AR186)) /  IFERROR((DATEDIF(Beginning_of_period,$G186,"m") + 1) / Months_in_Period,0),0)</f>
        <v>0</v>
      </c>
      <c r="AT186" s="231">
        <f xml:space="preserve"> IFERROR(($E186&gt;0)*($E186 &lt;=End_of_period) * ($G186 &gt;=Beginning_of_period) * (1-SUM($K186:AS186)) /  IFERROR((DATEDIF(Beginning_of_period,$G186,"m") + 1) / Months_in_Period,0),0)</f>
        <v>0</v>
      </c>
      <c r="AU186" s="231">
        <f xml:space="preserve"> IFERROR(($E186&gt;0)*($E186 &lt;=End_of_period) * ($G186 &gt;=Beginning_of_period) * (1-SUM($K186:AT186)) /  IFERROR((DATEDIF(Beginning_of_period,$G186,"m") + 1) / Months_in_Period,0),0)</f>
        <v>0</v>
      </c>
      <c r="AV186" s="231">
        <f xml:space="preserve"> IFERROR(($E186&gt;0)*($E186 &lt;=End_of_period) * ($G186 &gt;=Beginning_of_period) * (1-SUM($K186:AU186)) /  IFERROR((DATEDIF(Beginning_of_period,$G186,"m") + 1) / Months_in_Period,0),0)</f>
        <v>0</v>
      </c>
      <c r="AW186" s="231">
        <f xml:space="preserve"> IFERROR(($E186&gt;0)*($E186 &lt;=End_of_period) * ($G186 &gt;=Beginning_of_period) * (1-SUM($K186:AV186)) /  IFERROR((DATEDIF(Beginning_of_period,$G186,"m") + 1) / Months_in_Period,0),0)</f>
        <v>0</v>
      </c>
      <c r="AX186" s="231">
        <f xml:space="preserve"> IFERROR(($E186&gt;0)*($E186 &lt;=End_of_period) * ($G186 &gt;=Beginning_of_period) * (1-SUM($K186:AW186)) /  IFERROR((DATEDIF(Beginning_of_period,$G186,"m") + 1) / Months_in_Period,0),0)</f>
        <v>0</v>
      </c>
      <c r="AY186" s="231">
        <f xml:space="preserve"> IFERROR(($E186&gt;0)*($E186 &lt;=End_of_period) * ($G186 &gt;=Beginning_of_period) * (1-SUM($K186:AX186)) /  IFERROR((DATEDIF(Beginning_of_period,$G186,"m") + 1) / Months_in_Period,0),0)</f>
        <v>0</v>
      </c>
      <c r="AZ186" s="231">
        <f xml:space="preserve"> IFERROR(($E186&gt;0)*($E186 &lt;=End_of_period) * ($G186 &gt;=Beginning_of_period) * (1-SUM($K186:AY186)) /  IFERROR((DATEDIF(Beginning_of_period,$G186,"m") + 1) / Months_in_Period,0),0)</f>
        <v>0</v>
      </c>
      <c r="BA186" s="231">
        <f xml:space="preserve"> IFERROR(($E186&gt;0)*($E186 &lt;=End_of_period) * ($G186 &gt;=Beginning_of_period) * (1-SUM($K186:AZ186)) /  IFERROR((DATEDIF(Beginning_of_period,$G186,"m") + 1) / Months_in_Period,0),0)</f>
        <v>0</v>
      </c>
      <c r="BB186" s="231">
        <f xml:space="preserve"> IFERROR(($E186&gt;0)*($E186 &lt;=End_of_period) * ($G186 &gt;=Beginning_of_period) * (1-SUM($K186:BA186)) /  IFERROR((DATEDIF(Beginning_of_period,$G186,"m") + 1) / Months_in_Period,0),0)</f>
        <v>0</v>
      </c>
      <c r="BC186" s="231">
        <f xml:space="preserve"> IFERROR(($E186&gt;0)*($E186 &lt;=End_of_period) * ($G186 &gt;=Beginning_of_period) * (1-SUM($K186:BB186)) /  IFERROR((DATEDIF(Beginning_of_period,$G186,"m") + 1) / Months_in_Period,0),0)</f>
        <v>0</v>
      </c>
      <c r="BD186" s="231">
        <f xml:space="preserve"> IFERROR(($E186&gt;0)*($E186 &lt;=End_of_period) * ($G186 &gt;=Beginning_of_period) * (1-SUM($K186:BC186)) /  IFERROR((DATEDIF(Beginning_of_period,$G186,"m") + 1) / Months_in_Period,0),0)</f>
        <v>0</v>
      </c>
      <c r="BE186" s="231">
        <f xml:space="preserve"> IFERROR(($E186&gt;0)*($E186 &lt;=End_of_period) * ($G186 &gt;=Beginning_of_period) * (1-SUM($K186:BD186)) /  IFERROR((DATEDIF(Beginning_of_period,$G186,"m") + 1) / Months_in_Period,0),0)</f>
        <v>0</v>
      </c>
      <c r="BF186" s="231">
        <f xml:space="preserve"> IFERROR(($E186&gt;0)*($E186 &lt;=End_of_period) * ($G186 &gt;=Beginning_of_period) * (1-SUM($K186:BE186)) /  IFERROR((DATEDIF(Beginning_of_period,$G186,"m") + 1) / Months_in_Period,0),0)</f>
        <v>0</v>
      </c>
      <c r="BG186" s="231">
        <f xml:space="preserve"> IFERROR(($E186&gt;0)*($E186 &lt;=End_of_period) * ($G186 &gt;=Beginning_of_period) * (1-SUM($K186:BF186)) /  IFERROR((DATEDIF(Beginning_of_period,$G186,"m") + 1) / Months_in_Period,0),0)</f>
        <v>0</v>
      </c>
      <c r="BH186" s="231">
        <f xml:space="preserve"> IFERROR(($E186&gt;0)*($E186 &lt;=End_of_period) * ($G186 &gt;=Beginning_of_period) * (1-SUM($K186:BG186)) /  IFERROR((DATEDIF(Beginning_of_period,$G186,"m") + 1) / Months_in_Period,0),0)</f>
        <v>0</v>
      </c>
      <c r="BI186" s="231">
        <f xml:space="preserve"> IFERROR(($E186&gt;0)*($E186 &lt;=End_of_period) * ($G186 &gt;=Beginning_of_period) * (1-SUM($K186:BH186)) /  IFERROR((DATEDIF(Beginning_of_period,$G186,"m") + 1) / Months_in_Period,0),0)</f>
        <v>0</v>
      </c>
      <c r="BJ186" s="231">
        <f xml:space="preserve"> IFERROR(($E186&gt;0)*($E186 &lt;=End_of_period) * ($G186 &gt;=Beginning_of_period) * (1-SUM($K186:BI186)) /  IFERROR((DATEDIF(Beginning_of_period,$G186,"m") + 1) / Months_in_Period,0),0)</f>
        <v>0</v>
      </c>
      <c r="BK186" s="231">
        <f xml:space="preserve"> IFERROR(($E186&gt;0)*($E186 &lt;=End_of_period) * ($G186 &gt;=Beginning_of_period) * (1-SUM($K186:BJ186)) /  IFERROR((DATEDIF(Beginning_of_period,$G186,"m") + 1) / Months_in_Period,0),0)</f>
        <v>0</v>
      </c>
      <c r="BL186" s="231">
        <f xml:space="preserve"> IFERROR(($E186&gt;0)*($E186 &lt;=End_of_period) * ($G186 &gt;=Beginning_of_period) * (1-SUM($K186:BK186)) /  IFERROR((DATEDIF(Beginning_of_period,$G186,"m") + 1) / Months_in_Period,0),0)</f>
        <v>0</v>
      </c>
      <c r="BM186" s="231">
        <f xml:space="preserve"> IFERROR(($E186&gt;0)*($E186 &lt;=End_of_period) * ($G186 &gt;=Beginning_of_period) * (1-SUM($K186:BL186)) /  IFERROR((DATEDIF(Beginning_of_period,$G186,"m") + 1) / Months_in_Period,0),0)</f>
        <v>0</v>
      </c>
      <c r="BN186" s="231">
        <f xml:space="preserve"> IFERROR(($E186&gt;0)*($E186 &lt;=End_of_period) * ($G186 &gt;=Beginning_of_period) * (1-SUM($K186:BM186)) /  IFERROR((DATEDIF(Beginning_of_period,$G186,"m") + 1) / Months_in_Period,0),0)</f>
        <v>0</v>
      </c>
      <c r="BO186" s="231">
        <f xml:space="preserve"> IFERROR(($E186&gt;0)*($E186 &lt;=End_of_period) * ($G186 &gt;=Beginning_of_period) * (1-SUM($K186:BN186)) /  IFERROR((DATEDIF(Beginning_of_period,$G186,"m") + 1) / Months_in_Period,0),0)</f>
        <v>0</v>
      </c>
      <c r="BP186" s="231">
        <f xml:space="preserve"> IFERROR(($E186&gt;0)*($E186 &lt;=End_of_period) * ($G186 &gt;=Beginning_of_period) * (1-SUM($K186:BO186)) /  IFERROR((DATEDIF(Beginning_of_period,$G186,"m") + 1) / Months_in_Period,0),0)</f>
        <v>0</v>
      </c>
      <c r="BQ186" s="231">
        <f xml:space="preserve"> IFERROR(($E186&gt;0)*($E186 &lt;=End_of_period) * ($G186 &gt;=Beginning_of_period) * (1-SUM($K186:BP186)) /  IFERROR((DATEDIF(Beginning_of_period,$G186,"m") + 1) / Months_in_Period,0),0)</f>
        <v>0</v>
      </c>
      <c r="BR186" s="231">
        <f xml:space="preserve"> IFERROR(($E186&gt;0)*($E186 &lt;=End_of_period) * ($G186 &gt;=Beginning_of_period) * (1-SUM($K186:BQ186)) /  IFERROR((DATEDIF(Beginning_of_period,$G186,"m") + 1) / Months_in_Period,0),0)</f>
        <v>0</v>
      </c>
      <c r="BS186" s="231">
        <f xml:space="preserve"> IFERROR(($E186&gt;0)*($E186 &lt;=End_of_period) * ($G186 &gt;=Beginning_of_period) * (1-SUM($K186:BR186)) /  IFERROR((DATEDIF(Beginning_of_period,$G186,"m") + 1) / Months_in_Period,0),0)</f>
        <v>0</v>
      </c>
      <c r="BT186" s="231">
        <f xml:space="preserve"> IFERROR(($E186&gt;0)*($E186 &lt;=End_of_period) * ($G186 &gt;=Beginning_of_period) * (1-SUM($K186:BS186)) /  IFERROR((DATEDIF(Beginning_of_period,$G186,"m") + 1) / Months_in_Period,0),0)</f>
        <v>0</v>
      </c>
      <c r="BU186" s="231">
        <f xml:space="preserve"> IFERROR(($E186&gt;0)*($E186 &lt;=End_of_period) * ($G186 &gt;=Beginning_of_period) * (1-SUM($K186:BT186)) /  IFERROR((DATEDIF(Beginning_of_period,$G186,"m") + 1) / Months_in_Period,0),0)</f>
        <v>0</v>
      </c>
      <c r="BV186" s="231">
        <f xml:space="preserve"> IFERROR(($E186&gt;0)*($E186 &lt;=End_of_period) * ($G186 &gt;=Beginning_of_period) * (1-SUM($K186:BU186)) /  IFERROR((DATEDIF(Beginning_of_period,$G186,"m") + 1) / Months_in_Period,0),0)</f>
        <v>0</v>
      </c>
      <c r="BW186" s="231">
        <f xml:space="preserve"> IFERROR(($E186&gt;0)*($E186 &lt;=End_of_period) * ($G186 &gt;=Beginning_of_period) * (1-SUM($K186:BV186)) /  IFERROR((DATEDIF(Beginning_of_period,$G186,"m") + 1) / Months_in_Period,0),0)</f>
        <v>0</v>
      </c>
      <c r="BX186" s="231">
        <f xml:space="preserve"> IFERROR(($E186&gt;0)*($E186 &lt;=End_of_period) * ($G186 &gt;=Beginning_of_period) * (1-SUM($K186:BW186)) /  IFERROR((DATEDIF(Beginning_of_period,$G186,"m") + 1) / Months_in_Period,0),0)</f>
        <v>0</v>
      </c>
      <c r="BY186" s="231">
        <f xml:space="preserve"> IFERROR(($E186&gt;0)*($E186 &lt;=End_of_period) * ($G186 &gt;=Beginning_of_period) * (1-SUM($K186:BX186)) /  IFERROR((DATEDIF(Beginning_of_period,$G186,"m") + 1) / Months_in_Period,0),0)</f>
        <v>0</v>
      </c>
      <c r="BZ186" s="231">
        <f xml:space="preserve"> IFERROR(($E186&gt;0)*($E186 &lt;=End_of_period) * ($G186 &gt;=Beginning_of_period) * (1-SUM($K186:BY186)) /  IFERROR((DATEDIF(Beginning_of_period,$G186,"m") + 1) / Months_in_Period,0),0)</f>
        <v>0</v>
      </c>
      <c r="CA186" s="231">
        <f xml:space="preserve"> IFERROR(($E186&gt;0)*($E186 &lt;=End_of_period) * ($G186 &gt;=Beginning_of_period) * (1-SUM($K186:BZ186)) /  IFERROR((DATEDIF(Beginning_of_period,$G186,"m") + 1) / Months_in_Period,0),0)</f>
        <v>0</v>
      </c>
      <c r="CB186" s="231">
        <f xml:space="preserve"> IFERROR(($E186&gt;0)*($E186 &lt;=End_of_period) * ($G186 &gt;=Beginning_of_period) * (1-SUM($K186:CA186)) /  IFERROR((DATEDIF(Beginning_of_period,$G186,"m") + 1) / Months_in_Period,0),0)</f>
        <v>0</v>
      </c>
      <c r="CC186" s="231">
        <f xml:space="preserve"> IFERROR(($E186&gt;0)*($E186 &lt;=End_of_period) * ($G186 &gt;=Beginning_of_period) * (1-SUM($K186:CB186)) /  IFERROR((DATEDIF(Beginning_of_period,$G186,"m") + 1) / Months_in_Period,0),0)</f>
        <v>0</v>
      </c>
      <c r="CD186" s="231">
        <f xml:space="preserve"> IFERROR(($E186&gt;0)*($E186 &lt;=End_of_period) * ($G186 &gt;=Beginning_of_period) * (1-SUM($K186:CC186)) /  IFERROR((DATEDIF(Beginning_of_period,$G186,"m") + 1) / Months_in_Period,0),0)</f>
        <v>0</v>
      </c>
      <c r="CE186" s="231">
        <f xml:space="preserve"> IFERROR(($E186&gt;0)*($E186 &lt;=End_of_period) * ($G186 &gt;=Beginning_of_period) * (1-SUM($K186:CD186)) /  IFERROR((DATEDIF(Beginning_of_period,$G186,"m") + 1) / Months_in_Period,0),0)</f>
        <v>0</v>
      </c>
      <c r="CF186" s="231">
        <f xml:space="preserve"> IFERROR(($E186&gt;0)*($E186 &lt;=End_of_period) * ($G186 &gt;=Beginning_of_period) * (1-SUM($K186:CE186)) /  IFERROR((DATEDIF(Beginning_of_period,$G186,"m") + 1) / Months_in_Period,0),0)</f>
        <v>0</v>
      </c>
      <c r="CG186" s="231">
        <f xml:space="preserve"> IFERROR(($E186&gt;0)*($E186 &lt;=End_of_period) * ($G186 &gt;=Beginning_of_period) * (1-SUM($K186:CF186)) /  IFERROR((DATEDIF(Beginning_of_period,$G186,"m") + 1) / Months_in_Period,0),0)</f>
        <v>0</v>
      </c>
      <c r="CH186" s="231">
        <f xml:space="preserve"> IFERROR(($E186&gt;0)*($E186 &lt;=End_of_period) * ($G186 &gt;=Beginning_of_period) * (1-SUM($K186:CG186)) /  IFERROR((DATEDIF(Beginning_of_period,$G186,"m") + 1) / Months_in_Period,0),0)</f>
        <v>0</v>
      </c>
      <c r="CI186" s="231">
        <f xml:space="preserve"> IFERROR(($E186&gt;0)*($E186 &lt;=End_of_period) * ($G186 &gt;=Beginning_of_period) * (1-SUM($K186:CH186)) /  IFERROR((DATEDIF(Beginning_of_period,$G186,"m") + 1) / Months_in_Period,0),0)</f>
        <v>0</v>
      </c>
      <c r="CJ186" s="231">
        <f xml:space="preserve"> IFERROR(($E186&gt;0)*($E186 &lt;=End_of_period) * ($G186 &gt;=Beginning_of_period) * (1-SUM($K186:CI186)) /  IFERROR((DATEDIF(Beginning_of_period,$G186,"m") + 1) / Months_in_Period,0),0)</f>
        <v>0</v>
      </c>
      <c r="CK186" s="231">
        <f xml:space="preserve"> IFERROR(($E186&gt;0)*($E186 &lt;=End_of_period) * ($G186 &gt;=Beginning_of_period) * (1-SUM($K186:CJ186)) /  IFERROR((DATEDIF(Beginning_of_period,$G186,"m") + 1) / Months_in_Period,0),0)</f>
        <v>0</v>
      </c>
      <c r="CL186" s="231">
        <f xml:space="preserve"> IFERROR(($E186&gt;0)*($E186 &lt;=End_of_period) * ($G186 &gt;=Beginning_of_period) * (1-SUM($K186:CK186)) /  IFERROR((DATEDIF(Beginning_of_period,$G186,"m") + 1) / Months_in_Period,0),0)</f>
        <v>0</v>
      </c>
      <c r="CM186" s="231">
        <f xml:space="preserve"> IFERROR(($E186&gt;0)*($E186 &lt;=End_of_period) * ($G186 &gt;=Beginning_of_period) * (1-SUM($K186:CL186)) /  IFERROR((DATEDIF(Beginning_of_period,$G186,"m") + 1) / Months_in_Period,0),0)</f>
        <v>0</v>
      </c>
      <c r="CN186" s="231">
        <f xml:space="preserve"> IFERROR(($E186&gt;0)*($E186 &lt;=End_of_period) * ($G186 &gt;=Beginning_of_period) * (1-SUM($K186:CM186)) /  IFERROR((DATEDIF(Beginning_of_period,$G186,"m") + 1) / Months_in_Period,0),0)</f>
        <v>0</v>
      </c>
      <c r="CO186" s="231">
        <f xml:space="preserve"> IFERROR(($E186&gt;0)*($E186 &lt;=End_of_period) * ($G186 &gt;=Beginning_of_period) * (1-SUM($K186:CN186)) /  IFERROR((DATEDIF(Beginning_of_period,$G186,"m") + 1) / Months_in_Period,0),0)</f>
        <v>0</v>
      </c>
      <c r="CP186" s="10"/>
    </row>
    <row r="187" spans="1:94" ht="15" customHeight="1">
      <c r="A187" s="10"/>
      <c r="B187" s="3"/>
      <c r="C187" s="17"/>
      <c r="D187" s="10"/>
      <c r="E187" s="10"/>
      <c r="F187" s="10"/>
      <c r="G187" s="471" t="str">
        <f>IF(MAX(G184:G186)&gt;Date_Construction_End,"Не рекомендуется продолжать финансирование инфраструктуры после окончания основного строительства","")</f>
        <v/>
      </c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</row>
    <row r="188" spans="1:94" ht="15" hidden="1" customHeight="1" thickBot="1">
      <c r="A188" s="10"/>
      <c r="B188" s="3"/>
      <c r="C188" s="12" t="str">
        <f xml:space="preserve"> "Расходы на создание " &amp; Контр_панель!C43 &amp; " (в базовых ценах, без НДС)"</f>
        <v>Расходы на создание Коммунальная инфраструктура (в базовых ценах, без НДС)</v>
      </c>
      <c r="D188" s="12"/>
      <c r="E188" s="12"/>
      <c r="F188" s="12"/>
      <c r="G188" s="12"/>
      <c r="H188" s="12"/>
      <c r="I188" s="12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</row>
    <row r="189" spans="1:94" ht="15" hidden="1" customHeight="1">
      <c r="A189" s="10"/>
      <c r="B189" s="3"/>
      <c r="C189" s="17"/>
      <c r="D189" s="10"/>
      <c r="E189" s="10"/>
      <c r="F189" s="10"/>
      <c r="G189" s="11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</row>
    <row r="190" spans="1:94" ht="15" hidden="1" customHeight="1">
      <c r="A190" s="10"/>
      <c r="B190" s="3"/>
      <c r="C190" s="67" t="s">
        <v>823</v>
      </c>
      <c r="D190" s="10"/>
      <c r="E190" s="10"/>
      <c r="F190" s="10"/>
      <c r="G190" s="11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</row>
    <row r="191" spans="1:94" ht="15" hidden="1" customHeight="1">
      <c r="A191" s="10"/>
      <c r="B191" s="3"/>
      <c r="C191" s="17" t="s">
        <v>803</v>
      </c>
      <c r="D191" s="10"/>
      <c r="E191" s="14">
        <v>0</v>
      </c>
      <c r="F191" s="10"/>
      <c r="G191" s="11" t="s">
        <v>793</v>
      </c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</row>
    <row r="192" spans="1:94" ht="15" hidden="1" customHeight="1">
      <c r="A192" s="10"/>
      <c r="B192" s="3"/>
      <c r="C192" s="17" t="s">
        <v>798</v>
      </c>
      <c r="D192" s="10"/>
      <c r="E192" s="225">
        <f xml:space="preserve"> E74</f>
        <v>0</v>
      </c>
      <c r="F192" s="10"/>
      <c r="G192" s="11" t="s">
        <v>790</v>
      </c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</row>
    <row r="193" spans="1:94" ht="15" hidden="1" customHeight="1">
      <c r="A193" s="10"/>
      <c r="B193" s="3"/>
      <c r="C193" s="17" t="s">
        <v>804</v>
      </c>
      <c r="D193" s="10"/>
      <c r="E193" s="14">
        <v>0</v>
      </c>
      <c r="F193" s="10"/>
      <c r="G193" s="11" t="s">
        <v>793</v>
      </c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</row>
    <row r="194" spans="1:94" ht="15" hidden="1" customHeight="1">
      <c r="A194" s="10"/>
      <c r="B194" s="3"/>
      <c r="C194" s="17" t="s">
        <v>799</v>
      </c>
      <c r="D194" s="10"/>
      <c r="E194" s="225">
        <f xml:space="preserve"> E75</f>
        <v>0</v>
      </c>
      <c r="F194" s="10"/>
      <c r="G194" s="11" t="s">
        <v>790</v>
      </c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</row>
    <row r="195" spans="1:94" ht="15" hidden="1" customHeight="1">
      <c r="A195" s="10"/>
      <c r="B195" s="3"/>
      <c r="C195" s="17" t="s">
        <v>805</v>
      </c>
      <c r="D195" s="10"/>
      <c r="E195" s="14">
        <v>0</v>
      </c>
      <c r="F195" s="10"/>
      <c r="G195" s="11" t="s">
        <v>793</v>
      </c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</row>
    <row r="196" spans="1:94" ht="15" hidden="1" customHeight="1">
      <c r="A196" s="10"/>
      <c r="B196" s="3"/>
      <c r="C196" s="17" t="s">
        <v>800</v>
      </c>
      <c r="D196" s="10"/>
      <c r="E196" s="225">
        <f xml:space="preserve"> E76</f>
        <v>0</v>
      </c>
      <c r="F196" s="10"/>
      <c r="G196" s="11" t="s">
        <v>790</v>
      </c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</row>
    <row r="197" spans="1:94" ht="15" hidden="1" customHeight="1">
      <c r="A197" s="10"/>
      <c r="B197" s="3"/>
      <c r="C197" s="17" t="s">
        <v>806</v>
      </c>
      <c r="D197" s="10"/>
      <c r="E197" s="14">
        <v>0</v>
      </c>
      <c r="F197" s="10"/>
      <c r="G197" s="11" t="s">
        <v>793</v>
      </c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</row>
    <row r="198" spans="1:94" ht="15" hidden="1" customHeight="1">
      <c r="A198" s="10"/>
      <c r="B198" s="3"/>
      <c r="C198" s="17" t="s">
        <v>801</v>
      </c>
      <c r="D198" s="10"/>
      <c r="E198" s="225">
        <f xml:space="preserve"> E77</f>
        <v>0</v>
      </c>
      <c r="F198" s="10"/>
      <c r="G198" s="11" t="s">
        <v>790</v>
      </c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</row>
    <row r="199" spans="1:94" ht="15" hidden="1" customHeight="1">
      <c r="A199" s="10"/>
      <c r="B199" s="3"/>
      <c r="C199" s="17" t="s">
        <v>807</v>
      </c>
      <c r="D199" s="10"/>
      <c r="E199" s="14">
        <v>0</v>
      </c>
      <c r="F199" s="10"/>
      <c r="G199" s="11" t="s">
        <v>793</v>
      </c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</row>
    <row r="200" spans="1:94" ht="15" hidden="1" customHeight="1">
      <c r="A200" s="10"/>
      <c r="B200" s="3"/>
      <c r="C200" s="17" t="s">
        <v>802</v>
      </c>
      <c r="D200" s="10"/>
      <c r="E200" s="225">
        <f xml:space="preserve"> E78</f>
        <v>0</v>
      </c>
      <c r="F200" s="10"/>
      <c r="G200" s="11" t="s">
        <v>790</v>
      </c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</row>
    <row r="201" spans="1:94" ht="15" hidden="1" customHeight="1">
      <c r="A201" s="10"/>
      <c r="B201" s="3"/>
      <c r="C201" s="248" t="s">
        <v>818</v>
      </c>
      <c r="D201" s="228"/>
      <c r="E201" s="229">
        <f xml:space="preserve"> E191*E192 + E193 * E194 + E195 * E196 + E197 * E198 + E199 * E200</f>
        <v>0</v>
      </c>
      <c r="F201" s="228"/>
      <c r="G201" s="230" t="str">
        <f>Monetary_Unit</f>
        <v>тыс. руб.</v>
      </c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</row>
    <row r="202" spans="1:94" ht="15" hidden="1" customHeight="1">
      <c r="A202" s="10"/>
      <c r="B202" s="3"/>
      <c r="C202" s="17"/>
      <c r="D202" s="10"/>
      <c r="E202" s="10"/>
      <c r="F202" s="10"/>
      <c r="G202" s="11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</row>
    <row r="203" spans="1:94" ht="15" hidden="1" customHeight="1">
      <c r="A203" s="10"/>
      <c r="B203" s="3"/>
      <c r="C203" s="67" t="s">
        <v>810</v>
      </c>
      <c r="D203" s="10"/>
      <c r="E203" s="10"/>
      <c r="F203" s="10"/>
      <c r="G203" s="11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</row>
    <row r="204" spans="1:94" ht="15" hidden="1" customHeight="1">
      <c r="A204" s="10"/>
      <c r="B204" s="3"/>
      <c r="C204" s="17" t="s">
        <v>815</v>
      </c>
      <c r="D204" s="10"/>
      <c r="E204" s="167"/>
      <c r="F204" s="10"/>
      <c r="G204" s="11" t="s">
        <v>625</v>
      </c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</row>
    <row r="205" spans="1:94" ht="15" hidden="1" customHeight="1">
      <c r="A205" s="10"/>
      <c r="B205" s="3"/>
      <c r="C205" s="17" t="s">
        <v>822</v>
      </c>
      <c r="D205" s="10"/>
      <c r="E205" s="167"/>
      <c r="F205" s="10"/>
      <c r="G205" s="11" t="s">
        <v>625</v>
      </c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</row>
    <row r="206" spans="1:94" ht="15" hidden="1" customHeight="1">
      <c r="A206" s="10"/>
      <c r="B206" s="3"/>
      <c r="C206" s="17" t="s">
        <v>797</v>
      </c>
      <c r="D206" s="10"/>
      <c r="E206" s="167"/>
      <c r="F206" s="10"/>
      <c r="G206" s="11" t="s">
        <v>629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</row>
    <row r="207" spans="1:94" ht="15" hidden="1" customHeight="1">
      <c r="A207" s="10"/>
      <c r="B207" s="3"/>
      <c r="C207" s="17"/>
      <c r="D207" s="10"/>
      <c r="E207" s="10"/>
      <c r="F207" s="10"/>
      <c r="G207" s="11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</row>
    <row r="208" spans="1:94" ht="15" hidden="1" customHeight="1">
      <c r="A208" s="10"/>
      <c r="B208" s="3"/>
      <c r="C208" s="67" t="s">
        <v>811</v>
      </c>
      <c r="D208" s="10"/>
      <c r="E208" s="10" t="str">
        <f>"текушие цены на " &amp; TEXT(Расчеты!$E$85-1,"ДД.ММ.ГГГГ")</f>
        <v>текушие цены на 31.12.2024</v>
      </c>
      <c r="F208" s="10"/>
      <c r="G208" s="11"/>
      <c r="H208" s="10" t="s">
        <v>1176</v>
      </c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</row>
    <row r="209" spans="1:94" ht="15" hidden="1" customHeight="1">
      <c r="A209" s="10"/>
      <c r="B209" s="3"/>
      <c r="C209" s="17" t="s">
        <v>630</v>
      </c>
      <c r="D209" s="10"/>
      <c r="E209" s="225">
        <f xml:space="preserve"> E201 * E204</f>
        <v>0</v>
      </c>
      <c r="F209" s="10"/>
      <c r="G209" s="11" t="str">
        <f>Monetary_Unit</f>
        <v>тыс. руб.</v>
      </c>
      <c r="H209" s="10">
        <f ca="1">E209*SUMPRODUCT(L216:CO216,CAPEX_Accumulated_From_Date)</f>
        <v>0</v>
      </c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</row>
    <row r="210" spans="1:94" ht="15" hidden="1" customHeight="1">
      <c r="A210" s="10"/>
      <c r="B210" s="3"/>
      <c r="C210" s="17" t="s">
        <v>632</v>
      </c>
      <c r="D210" s="10"/>
      <c r="E210" s="225">
        <f xml:space="preserve"> E201 * E205</f>
        <v>0</v>
      </c>
      <c r="F210" s="10"/>
      <c r="G210" s="11" t="str">
        <f>Monetary_Unit</f>
        <v>тыс. руб.</v>
      </c>
      <c r="H210" s="10">
        <f ca="1">E210*SUMPRODUCT(L217:CO217,CAPEX_Accumulated_From_Date)</f>
        <v>0</v>
      </c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</row>
    <row r="211" spans="1:94" ht="15" hidden="1" customHeight="1">
      <c r="A211" s="10"/>
      <c r="B211" s="3"/>
      <c r="C211" s="17" t="s">
        <v>821</v>
      </c>
      <c r="D211" s="10"/>
      <c r="E211" s="225">
        <f xml:space="preserve"> E191*E192 + E193 * E194 + E195 * E196 + E197 * E198 + E199 * E200</f>
        <v>0</v>
      </c>
      <c r="F211" s="10"/>
      <c r="G211" s="11" t="str">
        <f>Monetary_Unit</f>
        <v>тыс. руб.</v>
      </c>
      <c r="H211" s="10">
        <f ca="1">E211*SUMPRODUCT(L218:CO218,CAPEX_Accumulated_From_Date)</f>
        <v>0</v>
      </c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</row>
    <row r="212" spans="1:94" ht="15" hidden="1" customHeight="1">
      <c r="A212" s="10"/>
      <c r="B212" s="3"/>
      <c r="C212" s="17" t="s">
        <v>797</v>
      </c>
      <c r="D212" s="10"/>
      <c r="E212" s="225">
        <f xml:space="preserve"> E201 * E206</f>
        <v>0</v>
      </c>
      <c r="F212" s="10"/>
      <c r="G212" s="11" t="str">
        <f>Monetary_Unit</f>
        <v>тыс. руб.</v>
      </c>
      <c r="H212" s="225">
        <f ca="1" xml:space="preserve"> H211 * E206</f>
        <v>0</v>
      </c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</row>
    <row r="213" spans="1:94" ht="15" hidden="1" customHeight="1">
      <c r="A213" s="10"/>
      <c r="B213" s="3"/>
      <c r="C213" s="248" t="s">
        <v>828</v>
      </c>
      <c r="D213" s="228"/>
      <c r="E213" s="229">
        <f>SUM(E209:E212)</f>
        <v>0</v>
      </c>
      <c r="F213" s="228"/>
      <c r="G213" s="230" t="str">
        <f>Monetary_Unit</f>
        <v>тыс. руб.</v>
      </c>
      <c r="H213" s="229">
        <f ca="1">SUM(H209:H212)</f>
        <v>0</v>
      </c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</row>
    <row r="214" spans="1:94" ht="15" hidden="1" customHeight="1">
      <c r="A214" s="10"/>
      <c r="B214" s="3"/>
      <c r="C214" s="17"/>
      <c r="D214" s="10"/>
      <c r="E214" s="10"/>
      <c r="F214" s="10"/>
      <c r="G214" s="11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</row>
    <row r="215" spans="1:94" ht="15" hidden="1" customHeight="1">
      <c r="A215" s="10"/>
      <c r="B215" s="3"/>
      <c r="C215" s="67" t="s">
        <v>825</v>
      </c>
      <c r="D215" s="10"/>
      <c r="E215" s="10" t="s">
        <v>635</v>
      </c>
      <c r="F215" s="10"/>
      <c r="G215" s="11" t="s">
        <v>636</v>
      </c>
      <c r="H215" s="62" t="s">
        <v>648</v>
      </c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</row>
    <row r="216" spans="1:94" ht="15" hidden="1" customHeight="1">
      <c r="A216" s="10"/>
      <c r="B216" s="3"/>
      <c r="C216" s="17" t="s">
        <v>630</v>
      </c>
      <c r="D216" s="10"/>
      <c r="E216" s="71"/>
      <c r="F216" s="10"/>
      <c r="G216" s="71"/>
      <c r="H216" s="149">
        <f xml:space="preserve"> IFERROR((DATEDIF(E216,G216,"m") + 1) / Months_in_Period,0)</f>
        <v>0.33333333333333331</v>
      </c>
      <c r="I216" s="231">
        <f>IF(SUM(L216:CO216)=0,1,SUM(L216:CO216))</f>
        <v>1</v>
      </c>
      <c r="J216" s="10"/>
      <c r="K216" s="10"/>
      <c r="L216" s="231">
        <f xml:space="preserve"> IFERROR(($E216&gt;0)*($E216 &lt;=End_of_period) * ($G216 &gt;=Beginning_of_period) * (1-SUM($K216:K216)) /  IFERROR((DATEDIF(Beginning_of_period,$G216,"m") + 1) / Months_in_Period,0),0)</f>
        <v>0</v>
      </c>
      <c r="M216" s="231">
        <f xml:space="preserve"> IFERROR(($E216&gt;0)*($E216 &lt;=End_of_period) * ($G216 &gt;=Beginning_of_period) * (1-SUM($K216:L216)) /  IFERROR((DATEDIF(Beginning_of_period,$G216,"m") + 1) / Months_in_Period,0),0)</f>
        <v>0</v>
      </c>
      <c r="N216" s="231">
        <f xml:space="preserve"> IFERROR(($E216&gt;0)*($E216 &lt;=End_of_period) * ($G216 &gt;=Beginning_of_period) * (1-SUM($K216:M216)) /  IFERROR((DATEDIF(Beginning_of_period,$G216,"m") + 1) / Months_in_Period,0),0)</f>
        <v>0</v>
      </c>
      <c r="O216" s="231">
        <f xml:space="preserve"> IFERROR(($E216&gt;0)*($E216 &lt;=End_of_period) * ($G216 &gt;=Beginning_of_period) * (1-SUM($K216:N216)) /  IFERROR((DATEDIF(Beginning_of_period,$G216,"m") + 1) / Months_in_Period,0),0)</f>
        <v>0</v>
      </c>
      <c r="P216" s="231">
        <f xml:space="preserve"> IFERROR(($E216&gt;0)*($E216 &lt;=End_of_period) * ($G216 &gt;=Beginning_of_period) * (1-SUM($K216:O216)) /  IFERROR((DATEDIF(Beginning_of_period,$G216,"m") + 1) / Months_in_Period,0),0)</f>
        <v>0</v>
      </c>
      <c r="Q216" s="231">
        <f xml:space="preserve"> IFERROR(($E216&gt;0)*($E216 &lt;=End_of_period) * ($G216 &gt;=Beginning_of_period) * (1-SUM($K216:P216)) /  IFERROR((DATEDIF(Beginning_of_period,$G216,"m") + 1) / Months_in_Period,0),0)</f>
        <v>0</v>
      </c>
      <c r="R216" s="231">
        <f xml:space="preserve"> IFERROR(($E216&gt;0)*($E216 &lt;=End_of_period) * ($G216 &gt;=Beginning_of_period) * (1-SUM($K216:Q216)) /  IFERROR((DATEDIF(Beginning_of_period,$G216,"m") + 1) / Months_in_Period,0),0)</f>
        <v>0</v>
      </c>
      <c r="S216" s="231">
        <f xml:space="preserve"> IFERROR(($E216&gt;0)*($E216 &lt;=End_of_period) * ($G216 &gt;=Beginning_of_period) * (1-SUM($K216:R216)) /  IFERROR((DATEDIF(Beginning_of_period,$G216,"m") + 1) / Months_in_Period,0),0)</f>
        <v>0</v>
      </c>
      <c r="T216" s="231">
        <f xml:space="preserve"> IFERROR(($E216&gt;0)*($E216 &lt;=End_of_period) * ($G216 &gt;=Beginning_of_period) * (1-SUM($K216:S216)) /  IFERROR((DATEDIF(Beginning_of_period,$G216,"m") + 1) / Months_in_Period,0),0)</f>
        <v>0</v>
      </c>
      <c r="U216" s="231">
        <f xml:space="preserve"> IFERROR(($E216&gt;0)*($E216 &lt;=End_of_period) * ($G216 &gt;=Beginning_of_period) * (1-SUM($K216:T216)) /  IFERROR((DATEDIF(Beginning_of_period,$G216,"m") + 1) / Months_in_Period,0),0)</f>
        <v>0</v>
      </c>
      <c r="V216" s="231">
        <f xml:space="preserve"> IFERROR(($E216&gt;0)*($E216 &lt;=End_of_period) * ($G216 &gt;=Beginning_of_period) * (1-SUM($K216:U216)) /  IFERROR((DATEDIF(Beginning_of_period,$G216,"m") + 1) / Months_in_Period,0),0)</f>
        <v>0</v>
      </c>
      <c r="W216" s="231">
        <f xml:space="preserve"> IFERROR(($E216&gt;0)*($E216 &lt;=End_of_period) * ($G216 &gt;=Beginning_of_period) * (1-SUM($K216:V216)) /  IFERROR((DATEDIF(Beginning_of_period,$G216,"m") + 1) / Months_in_Period,0),0)</f>
        <v>0</v>
      </c>
      <c r="X216" s="231">
        <f xml:space="preserve"> IFERROR(($E216&gt;0)*($E216 &lt;=End_of_period) * ($G216 &gt;=Beginning_of_period) * (1-SUM($K216:W216)) /  IFERROR((DATEDIF(Beginning_of_period,$G216,"m") + 1) / Months_in_Period,0),0)</f>
        <v>0</v>
      </c>
      <c r="Y216" s="231">
        <f xml:space="preserve"> IFERROR(($E216&gt;0)*($E216 &lt;=End_of_period) * ($G216 &gt;=Beginning_of_period) * (1-SUM($K216:X216)) /  IFERROR((DATEDIF(Beginning_of_period,$G216,"m") + 1) / Months_in_Period,0),0)</f>
        <v>0</v>
      </c>
      <c r="Z216" s="231">
        <f xml:space="preserve"> IFERROR(($E216&gt;0)*($E216 &lt;=End_of_period) * ($G216 &gt;=Beginning_of_period) * (1-SUM($K216:Y216)) /  IFERROR((DATEDIF(Beginning_of_period,$G216,"m") + 1) / Months_in_Period,0),0)</f>
        <v>0</v>
      </c>
      <c r="AA216" s="231">
        <f xml:space="preserve"> IFERROR(($E216&gt;0)*($E216 &lt;=End_of_period) * ($G216 &gt;=Beginning_of_period) * (1-SUM($K216:Z216)) /  IFERROR((DATEDIF(Beginning_of_period,$G216,"m") + 1) / Months_in_Period,0),0)</f>
        <v>0</v>
      </c>
      <c r="AB216" s="231">
        <f xml:space="preserve"> IFERROR(($E216&gt;0)*($E216 &lt;=End_of_period) * ($G216 &gt;=Beginning_of_period) * (1-SUM($K216:AA216)) /  IFERROR((DATEDIF(Beginning_of_period,$G216,"m") + 1) / Months_in_Period,0),0)</f>
        <v>0</v>
      </c>
      <c r="AC216" s="231">
        <f xml:space="preserve"> IFERROR(($E216&gt;0)*($E216 &lt;=End_of_period) * ($G216 &gt;=Beginning_of_period) * (1-SUM($K216:AB216)) /  IFERROR((DATEDIF(Beginning_of_period,$G216,"m") + 1) / Months_in_Period,0),0)</f>
        <v>0</v>
      </c>
      <c r="AD216" s="231">
        <f xml:space="preserve"> IFERROR(($E216&gt;0)*($E216 &lt;=End_of_period) * ($G216 &gt;=Beginning_of_period) * (1-SUM($K216:AC216)) /  IFERROR((DATEDIF(Beginning_of_period,$G216,"m") + 1) / Months_in_Period,0),0)</f>
        <v>0</v>
      </c>
      <c r="AE216" s="231">
        <f xml:space="preserve"> IFERROR(($E216&gt;0)*($E216 &lt;=End_of_period) * ($G216 &gt;=Beginning_of_period) * (1-SUM($K216:AD216)) /  IFERROR((DATEDIF(Beginning_of_period,$G216,"m") + 1) / Months_in_Period,0),0)</f>
        <v>0</v>
      </c>
      <c r="AF216" s="231">
        <f xml:space="preserve"> IFERROR(($E216&gt;0)*($E216 &lt;=End_of_period) * ($G216 &gt;=Beginning_of_period) * (1-SUM($K216:AE216)) /  IFERROR((DATEDIF(Beginning_of_period,$G216,"m") + 1) / Months_in_Period,0),0)</f>
        <v>0</v>
      </c>
      <c r="AG216" s="231">
        <f xml:space="preserve"> IFERROR(($E216&gt;0)*($E216 &lt;=End_of_period) * ($G216 &gt;=Beginning_of_period) * (1-SUM($K216:AF216)) /  IFERROR((DATEDIF(Beginning_of_period,$G216,"m") + 1) / Months_in_Period,0),0)</f>
        <v>0</v>
      </c>
      <c r="AH216" s="231">
        <f xml:space="preserve"> IFERROR(($E216&gt;0)*($E216 &lt;=End_of_period) * ($G216 &gt;=Beginning_of_period) * (1-SUM($K216:AG216)) /  IFERROR((DATEDIF(Beginning_of_period,$G216,"m") + 1) / Months_in_Period,0),0)</f>
        <v>0</v>
      </c>
      <c r="AI216" s="231">
        <f xml:space="preserve"> IFERROR(($E216&gt;0)*($E216 &lt;=End_of_period) * ($G216 &gt;=Beginning_of_period) * (1-SUM($K216:AH216)) /  IFERROR((DATEDIF(Beginning_of_period,$G216,"m") + 1) / Months_in_Period,0),0)</f>
        <v>0</v>
      </c>
      <c r="AJ216" s="231">
        <f xml:space="preserve"> IFERROR(($E216&gt;0)*($E216 &lt;=End_of_period) * ($G216 &gt;=Beginning_of_period) * (1-SUM($K216:AI216)) /  IFERROR((DATEDIF(Beginning_of_period,$G216,"m") + 1) / Months_in_Period,0),0)</f>
        <v>0</v>
      </c>
      <c r="AK216" s="231">
        <f xml:space="preserve"> IFERROR(($E216&gt;0)*($E216 &lt;=End_of_period) * ($G216 &gt;=Beginning_of_period) * (1-SUM($K216:AJ216)) /  IFERROR((DATEDIF(Beginning_of_period,$G216,"m") + 1) / Months_in_Period,0),0)</f>
        <v>0</v>
      </c>
      <c r="AL216" s="231">
        <f xml:space="preserve"> IFERROR(($E216&gt;0)*($E216 &lt;=End_of_period) * ($G216 &gt;=Beginning_of_period) * (1-SUM($K216:AK216)) /  IFERROR((DATEDIF(Beginning_of_period,$G216,"m") + 1) / Months_in_Period,0),0)</f>
        <v>0</v>
      </c>
      <c r="AM216" s="231">
        <f xml:space="preserve"> IFERROR(($E216&gt;0)*($E216 &lt;=End_of_period) * ($G216 &gt;=Beginning_of_period) * (1-SUM($K216:AL216)) /  IFERROR((DATEDIF(Beginning_of_period,$G216,"m") + 1) / Months_in_Period,0),0)</f>
        <v>0</v>
      </c>
      <c r="AN216" s="231">
        <f xml:space="preserve"> IFERROR(($E216&gt;0)*($E216 &lt;=End_of_period) * ($G216 &gt;=Beginning_of_period) * (1-SUM($K216:AM216)) /  IFERROR((DATEDIF(Beginning_of_period,$G216,"m") + 1) / Months_in_Period,0),0)</f>
        <v>0</v>
      </c>
      <c r="AO216" s="231">
        <f xml:space="preserve"> IFERROR(($E216&gt;0)*($E216 &lt;=End_of_period) * ($G216 &gt;=Beginning_of_period) * (1-SUM($K216:AN216)) /  IFERROR((DATEDIF(Beginning_of_period,$G216,"m") + 1) / Months_in_Period,0),0)</f>
        <v>0</v>
      </c>
      <c r="AP216" s="231">
        <f xml:space="preserve"> IFERROR(($E216&gt;0)*($E216 &lt;=End_of_period) * ($G216 &gt;=Beginning_of_period) * (1-SUM($K216:AO216)) /  IFERROR((DATEDIF(Beginning_of_period,$G216,"m") + 1) / Months_in_Period,0),0)</f>
        <v>0</v>
      </c>
      <c r="AQ216" s="231">
        <f xml:space="preserve"> IFERROR(($E216&gt;0)*($E216 &lt;=End_of_period) * ($G216 &gt;=Beginning_of_period) * (1-SUM($K216:AP216)) /  IFERROR((DATEDIF(Beginning_of_period,$G216,"m") + 1) / Months_in_Period,0),0)</f>
        <v>0</v>
      </c>
      <c r="AR216" s="231">
        <f xml:space="preserve"> IFERROR(($E216&gt;0)*($E216 &lt;=End_of_period) * ($G216 &gt;=Beginning_of_period) * (1-SUM($K216:AQ216)) /  IFERROR((DATEDIF(Beginning_of_period,$G216,"m") + 1) / Months_in_Period,0),0)</f>
        <v>0</v>
      </c>
      <c r="AS216" s="231">
        <f xml:space="preserve"> IFERROR(($E216&gt;0)*($E216 &lt;=End_of_period) * ($G216 &gt;=Beginning_of_period) * (1-SUM($K216:AR216)) /  IFERROR((DATEDIF(Beginning_of_period,$G216,"m") + 1) / Months_in_Period,0),0)</f>
        <v>0</v>
      </c>
      <c r="AT216" s="231">
        <f xml:space="preserve"> IFERROR(($E216&gt;0)*($E216 &lt;=End_of_period) * ($G216 &gt;=Beginning_of_period) * (1-SUM($K216:AS216)) /  IFERROR((DATEDIF(Beginning_of_period,$G216,"m") + 1) / Months_in_Period,0),0)</f>
        <v>0</v>
      </c>
      <c r="AU216" s="231">
        <f xml:space="preserve"> IFERROR(($E216&gt;0)*($E216 &lt;=End_of_period) * ($G216 &gt;=Beginning_of_period) * (1-SUM($K216:AT216)) /  IFERROR((DATEDIF(Beginning_of_period,$G216,"m") + 1) / Months_in_Period,0),0)</f>
        <v>0</v>
      </c>
      <c r="AV216" s="231">
        <f xml:space="preserve"> IFERROR(($E216&gt;0)*($E216 &lt;=End_of_period) * ($G216 &gt;=Beginning_of_period) * (1-SUM($K216:AU216)) /  IFERROR((DATEDIF(Beginning_of_period,$G216,"m") + 1) / Months_in_Period,0),0)</f>
        <v>0</v>
      </c>
      <c r="AW216" s="231">
        <f xml:space="preserve"> IFERROR(($E216&gt;0)*($E216 &lt;=End_of_period) * ($G216 &gt;=Beginning_of_period) * (1-SUM($K216:AV216)) /  IFERROR((DATEDIF(Beginning_of_period,$G216,"m") + 1) / Months_in_Period,0),0)</f>
        <v>0</v>
      </c>
      <c r="AX216" s="231">
        <f xml:space="preserve"> IFERROR(($E216&gt;0)*($E216 &lt;=End_of_period) * ($G216 &gt;=Beginning_of_period) * (1-SUM($K216:AW216)) /  IFERROR((DATEDIF(Beginning_of_period,$G216,"m") + 1) / Months_in_Period,0),0)</f>
        <v>0</v>
      </c>
      <c r="AY216" s="231">
        <f xml:space="preserve"> IFERROR(($E216&gt;0)*($E216 &lt;=End_of_period) * ($G216 &gt;=Beginning_of_period) * (1-SUM($K216:AX216)) /  IFERROR((DATEDIF(Beginning_of_period,$G216,"m") + 1) / Months_in_Period,0),0)</f>
        <v>0</v>
      </c>
      <c r="AZ216" s="231">
        <f xml:space="preserve"> IFERROR(($E216&gt;0)*($E216 &lt;=End_of_period) * ($G216 &gt;=Beginning_of_period) * (1-SUM($K216:AY216)) /  IFERROR((DATEDIF(Beginning_of_period,$G216,"m") + 1) / Months_in_Period,0),0)</f>
        <v>0</v>
      </c>
      <c r="BA216" s="231">
        <f xml:space="preserve"> IFERROR(($E216&gt;0)*($E216 &lt;=End_of_period) * ($G216 &gt;=Beginning_of_period) * (1-SUM($K216:AZ216)) /  IFERROR((DATEDIF(Beginning_of_period,$G216,"m") + 1) / Months_in_Period,0),0)</f>
        <v>0</v>
      </c>
      <c r="BB216" s="231">
        <f xml:space="preserve"> IFERROR(($E216&gt;0)*($E216 &lt;=End_of_period) * ($G216 &gt;=Beginning_of_period) * (1-SUM($K216:BA216)) /  IFERROR((DATEDIF(Beginning_of_period,$G216,"m") + 1) / Months_in_Period,0),0)</f>
        <v>0</v>
      </c>
      <c r="BC216" s="231">
        <f xml:space="preserve"> IFERROR(($E216&gt;0)*($E216 &lt;=End_of_period) * ($G216 &gt;=Beginning_of_period) * (1-SUM($K216:BB216)) /  IFERROR((DATEDIF(Beginning_of_period,$G216,"m") + 1) / Months_in_Period,0),0)</f>
        <v>0</v>
      </c>
      <c r="BD216" s="231">
        <f xml:space="preserve"> IFERROR(($E216&gt;0)*($E216 &lt;=End_of_period) * ($G216 &gt;=Beginning_of_period) * (1-SUM($K216:BC216)) /  IFERROR((DATEDIF(Beginning_of_period,$G216,"m") + 1) / Months_in_Period,0),0)</f>
        <v>0</v>
      </c>
      <c r="BE216" s="231">
        <f xml:space="preserve"> IFERROR(($E216&gt;0)*($E216 &lt;=End_of_period) * ($G216 &gt;=Beginning_of_period) * (1-SUM($K216:BD216)) /  IFERROR((DATEDIF(Beginning_of_period,$G216,"m") + 1) / Months_in_Period,0),0)</f>
        <v>0</v>
      </c>
      <c r="BF216" s="231">
        <f xml:space="preserve"> IFERROR(($E216&gt;0)*($E216 &lt;=End_of_period) * ($G216 &gt;=Beginning_of_period) * (1-SUM($K216:BE216)) /  IFERROR((DATEDIF(Beginning_of_period,$G216,"m") + 1) / Months_in_Period,0),0)</f>
        <v>0</v>
      </c>
      <c r="BG216" s="231">
        <f xml:space="preserve"> IFERROR(($E216&gt;0)*($E216 &lt;=End_of_period) * ($G216 &gt;=Beginning_of_period) * (1-SUM($K216:BF216)) /  IFERROR((DATEDIF(Beginning_of_period,$G216,"m") + 1) / Months_in_Period,0),0)</f>
        <v>0</v>
      </c>
      <c r="BH216" s="231">
        <f xml:space="preserve"> IFERROR(($E216&gt;0)*($E216 &lt;=End_of_period) * ($G216 &gt;=Beginning_of_period) * (1-SUM($K216:BG216)) /  IFERROR((DATEDIF(Beginning_of_period,$G216,"m") + 1) / Months_in_Period,0),0)</f>
        <v>0</v>
      </c>
      <c r="BI216" s="231">
        <f xml:space="preserve"> IFERROR(($E216&gt;0)*($E216 &lt;=End_of_period) * ($G216 &gt;=Beginning_of_period) * (1-SUM($K216:BH216)) /  IFERROR((DATEDIF(Beginning_of_period,$G216,"m") + 1) / Months_in_Period,0),0)</f>
        <v>0</v>
      </c>
      <c r="BJ216" s="231">
        <f xml:space="preserve"> IFERROR(($E216&gt;0)*($E216 &lt;=End_of_period) * ($G216 &gt;=Beginning_of_period) * (1-SUM($K216:BI216)) /  IFERROR((DATEDIF(Beginning_of_period,$G216,"m") + 1) / Months_in_Period,0),0)</f>
        <v>0</v>
      </c>
      <c r="BK216" s="231">
        <f xml:space="preserve"> IFERROR(($E216&gt;0)*($E216 &lt;=End_of_period) * ($G216 &gt;=Beginning_of_period) * (1-SUM($K216:BJ216)) /  IFERROR((DATEDIF(Beginning_of_period,$G216,"m") + 1) / Months_in_Period,0),0)</f>
        <v>0</v>
      </c>
      <c r="BL216" s="231">
        <f xml:space="preserve"> IFERROR(($E216&gt;0)*($E216 &lt;=End_of_period) * ($G216 &gt;=Beginning_of_period) * (1-SUM($K216:BK216)) /  IFERROR((DATEDIF(Beginning_of_period,$G216,"m") + 1) / Months_in_Period,0),0)</f>
        <v>0</v>
      </c>
      <c r="BM216" s="231">
        <f xml:space="preserve"> IFERROR(($E216&gt;0)*($E216 &lt;=End_of_period) * ($G216 &gt;=Beginning_of_period) * (1-SUM($K216:BL216)) /  IFERROR((DATEDIF(Beginning_of_period,$G216,"m") + 1) / Months_in_Period,0),0)</f>
        <v>0</v>
      </c>
      <c r="BN216" s="231">
        <f xml:space="preserve"> IFERROR(($E216&gt;0)*($E216 &lt;=End_of_period) * ($G216 &gt;=Beginning_of_period) * (1-SUM($K216:BM216)) /  IFERROR((DATEDIF(Beginning_of_period,$G216,"m") + 1) / Months_in_Period,0),0)</f>
        <v>0</v>
      </c>
      <c r="BO216" s="231">
        <f xml:space="preserve"> IFERROR(($E216&gt;0)*($E216 &lt;=End_of_period) * ($G216 &gt;=Beginning_of_period) * (1-SUM($K216:BN216)) /  IFERROR((DATEDIF(Beginning_of_period,$G216,"m") + 1) / Months_in_Period,0),0)</f>
        <v>0</v>
      </c>
      <c r="BP216" s="231">
        <f xml:space="preserve"> IFERROR(($E216&gt;0)*($E216 &lt;=End_of_period) * ($G216 &gt;=Beginning_of_period) * (1-SUM($K216:BO216)) /  IFERROR((DATEDIF(Beginning_of_period,$G216,"m") + 1) / Months_in_Period,0),0)</f>
        <v>0</v>
      </c>
      <c r="BQ216" s="231">
        <f xml:space="preserve"> IFERROR(($E216&gt;0)*($E216 &lt;=End_of_period) * ($G216 &gt;=Beginning_of_period) * (1-SUM($K216:BP216)) /  IFERROR((DATEDIF(Beginning_of_period,$G216,"m") + 1) / Months_in_Period,0),0)</f>
        <v>0</v>
      </c>
      <c r="BR216" s="231">
        <f xml:space="preserve"> IFERROR(($E216&gt;0)*($E216 &lt;=End_of_period) * ($G216 &gt;=Beginning_of_period) * (1-SUM($K216:BQ216)) /  IFERROR((DATEDIF(Beginning_of_period,$G216,"m") + 1) / Months_in_Period,0),0)</f>
        <v>0</v>
      </c>
      <c r="BS216" s="231">
        <f xml:space="preserve"> IFERROR(($E216&gt;0)*($E216 &lt;=End_of_period) * ($G216 &gt;=Beginning_of_period) * (1-SUM($K216:BR216)) /  IFERROR((DATEDIF(Beginning_of_period,$G216,"m") + 1) / Months_in_Period,0),0)</f>
        <v>0</v>
      </c>
      <c r="BT216" s="231">
        <f xml:space="preserve"> IFERROR(($E216&gt;0)*($E216 &lt;=End_of_period) * ($G216 &gt;=Beginning_of_period) * (1-SUM($K216:BS216)) /  IFERROR((DATEDIF(Beginning_of_period,$G216,"m") + 1) / Months_in_Period,0),0)</f>
        <v>0</v>
      </c>
      <c r="BU216" s="231">
        <f xml:space="preserve"> IFERROR(($E216&gt;0)*($E216 &lt;=End_of_period) * ($G216 &gt;=Beginning_of_period) * (1-SUM($K216:BT216)) /  IFERROR((DATEDIF(Beginning_of_period,$G216,"m") + 1) / Months_in_Period,0),0)</f>
        <v>0</v>
      </c>
      <c r="BV216" s="231">
        <f xml:space="preserve"> IFERROR(($E216&gt;0)*($E216 &lt;=End_of_period) * ($G216 &gt;=Beginning_of_period) * (1-SUM($K216:BU216)) /  IFERROR((DATEDIF(Beginning_of_period,$G216,"m") + 1) / Months_in_Period,0),0)</f>
        <v>0</v>
      </c>
      <c r="BW216" s="231">
        <f xml:space="preserve"> IFERROR(($E216&gt;0)*($E216 &lt;=End_of_period) * ($G216 &gt;=Beginning_of_period) * (1-SUM($K216:BV216)) /  IFERROR((DATEDIF(Beginning_of_period,$G216,"m") + 1) / Months_in_Period,0),0)</f>
        <v>0</v>
      </c>
      <c r="BX216" s="231">
        <f xml:space="preserve"> IFERROR(($E216&gt;0)*($E216 &lt;=End_of_period) * ($G216 &gt;=Beginning_of_period) * (1-SUM($K216:BW216)) /  IFERROR((DATEDIF(Beginning_of_period,$G216,"m") + 1) / Months_in_Period,0),0)</f>
        <v>0</v>
      </c>
      <c r="BY216" s="231">
        <f xml:space="preserve"> IFERROR(($E216&gt;0)*($E216 &lt;=End_of_period) * ($G216 &gt;=Beginning_of_period) * (1-SUM($K216:BX216)) /  IFERROR((DATEDIF(Beginning_of_period,$G216,"m") + 1) / Months_in_Period,0),0)</f>
        <v>0</v>
      </c>
      <c r="BZ216" s="231">
        <f xml:space="preserve"> IFERROR(($E216&gt;0)*($E216 &lt;=End_of_period) * ($G216 &gt;=Beginning_of_period) * (1-SUM($K216:BY216)) /  IFERROR((DATEDIF(Beginning_of_period,$G216,"m") + 1) / Months_in_Period,0),0)</f>
        <v>0</v>
      </c>
      <c r="CA216" s="231">
        <f xml:space="preserve"> IFERROR(($E216&gt;0)*($E216 &lt;=End_of_period) * ($G216 &gt;=Beginning_of_period) * (1-SUM($K216:BZ216)) /  IFERROR((DATEDIF(Beginning_of_period,$G216,"m") + 1) / Months_in_Period,0),0)</f>
        <v>0</v>
      </c>
      <c r="CB216" s="231">
        <f xml:space="preserve"> IFERROR(($E216&gt;0)*($E216 &lt;=End_of_period) * ($G216 &gt;=Beginning_of_period) * (1-SUM($K216:CA216)) /  IFERROR((DATEDIF(Beginning_of_period,$G216,"m") + 1) / Months_in_Period,0),0)</f>
        <v>0</v>
      </c>
      <c r="CC216" s="231">
        <f xml:space="preserve"> IFERROR(($E216&gt;0)*($E216 &lt;=End_of_period) * ($G216 &gt;=Beginning_of_period) * (1-SUM($K216:CB216)) /  IFERROR((DATEDIF(Beginning_of_period,$G216,"m") + 1) / Months_in_Period,0),0)</f>
        <v>0</v>
      </c>
      <c r="CD216" s="231">
        <f xml:space="preserve"> IFERROR(($E216&gt;0)*($E216 &lt;=End_of_period) * ($G216 &gt;=Beginning_of_period) * (1-SUM($K216:CC216)) /  IFERROR((DATEDIF(Beginning_of_period,$G216,"m") + 1) / Months_in_Period,0),0)</f>
        <v>0</v>
      </c>
      <c r="CE216" s="231">
        <f xml:space="preserve"> IFERROR(($E216&gt;0)*($E216 &lt;=End_of_period) * ($G216 &gt;=Beginning_of_period) * (1-SUM($K216:CD216)) /  IFERROR((DATEDIF(Beginning_of_period,$G216,"m") + 1) / Months_in_Period,0),0)</f>
        <v>0</v>
      </c>
      <c r="CF216" s="231">
        <f xml:space="preserve"> IFERROR(($E216&gt;0)*($E216 &lt;=End_of_period) * ($G216 &gt;=Beginning_of_period) * (1-SUM($K216:CE216)) /  IFERROR((DATEDIF(Beginning_of_period,$G216,"m") + 1) / Months_in_Period,0),0)</f>
        <v>0</v>
      </c>
      <c r="CG216" s="231">
        <f xml:space="preserve"> IFERROR(($E216&gt;0)*($E216 &lt;=End_of_period) * ($G216 &gt;=Beginning_of_period) * (1-SUM($K216:CF216)) /  IFERROR((DATEDIF(Beginning_of_period,$G216,"m") + 1) / Months_in_Period,0),0)</f>
        <v>0</v>
      </c>
      <c r="CH216" s="231">
        <f xml:space="preserve"> IFERROR(($E216&gt;0)*($E216 &lt;=End_of_period) * ($G216 &gt;=Beginning_of_period) * (1-SUM($K216:CG216)) /  IFERROR((DATEDIF(Beginning_of_period,$G216,"m") + 1) / Months_in_Period,0),0)</f>
        <v>0</v>
      </c>
      <c r="CI216" s="231">
        <f xml:space="preserve"> IFERROR(($E216&gt;0)*($E216 &lt;=End_of_period) * ($G216 &gt;=Beginning_of_period) * (1-SUM($K216:CH216)) /  IFERROR((DATEDIF(Beginning_of_period,$G216,"m") + 1) / Months_in_Period,0),0)</f>
        <v>0</v>
      </c>
      <c r="CJ216" s="231">
        <f xml:space="preserve"> IFERROR(($E216&gt;0)*($E216 &lt;=End_of_period) * ($G216 &gt;=Beginning_of_period) * (1-SUM($K216:CI216)) /  IFERROR((DATEDIF(Beginning_of_period,$G216,"m") + 1) / Months_in_Period,0),0)</f>
        <v>0</v>
      </c>
      <c r="CK216" s="231">
        <f xml:space="preserve"> IFERROR(($E216&gt;0)*($E216 &lt;=End_of_period) * ($G216 &gt;=Beginning_of_period) * (1-SUM($K216:CJ216)) /  IFERROR((DATEDIF(Beginning_of_period,$G216,"m") + 1) / Months_in_Period,0),0)</f>
        <v>0</v>
      </c>
      <c r="CL216" s="231">
        <f xml:space="preserve"> IFERROR(($E216&gt;0)*($E216 &lt;=End_of_period) * ($G216 &gt;=Beginning_of_period) * (1-SUM($K216:CK216)) /  IFERROR((DATEDIF(Beginning_of_period,$G216,"m") + 1) / Months_in_Period,0),0)</f>
        <v>0</v>
      </c>
      <c r="CM216" s="231">
        <f xml:space="preserve"> IFERROR(($E216&gt;0)*($E216 &lt;=End_of_period) * ($G216 &gt;=Beginning_of_period) * (1-SUM($K216:CL216)) /  IFERROR((DATEDIF(Beginning_of_period,$G216,"m") + 1) / Months_in_Period,0),0)</f>
        <v>0</v>
      </c>
      <c r="CN216" s="231">
        <f xml:space="preserve"> IFERROR(($E216&gt;0)*($E216 &lt;=End_of_period) * ($G216 &gt;=Beginning_of_period) * (1-SUM($K216:CM216)) /  IFERROR((DATEDIF(Beginning_of_period,$G216,"m") + 1) / Months_in_Period,0),0)</f>
        <v>0</v>
      </c>
      <c r="CO216" s="231">
        <f xml:space="preserve"> IFERROR(($E216&gt;0)*($E216 &lt;=End_of_period) * ($G216 &gt;=Beginning_of_period) * (1-SUM($K216:CN216)) /  IFERROR((DATEDIF(Beginning_of_period,$G216,"m") + 1) / Months_in_Period,0),0)</f>
        <v>0</v>
      </c>
      <c r="CP216" s="10"/>
    </row>
    <row r="217" spans="1:94" ht="15" hidden="1" customHeight="1">
      <c r="A217" s="10"/>
      <c r="B217" s="3"/>
      <c r="C217" s="17" t="s">
        <v>632</v>
      </c>
      <c r="D217" s="10"/>
      <c r="E217" s="71"/>
      <c r="F217" s="10"/>
      <c r="G217" s="71"/>
      <c r="H217" s="149">
        <f xml:space="preserve"> IFERROR((DATEDIF(E217,G217,"m") + 1) / Months_in_Period,0)</f>
        <v>0.33333333333333331</v>
      </c>
      <c r="I217" s="231">
        <f>IF(SUM(L217:CO217)=0,1,SUM(L217:CO217))</f>
        <v>1</v>
      </c>
      <c r="J217" s="10"/>
      <c r="K217" s="10"/>
      <c r="L217" s="231">
        <f xml:space="preserve"> IFERROR(($E217&gt;0)*($E217 &lt;=End_of_period) * ($G217 &gt;=Beginning_of_period) * (1-SUM($K217:K217)) /  IFERROR((DATEDIF(Beginning_of_period,$G217,"m") + 1) / Months_in_Period,0),0)</f>
        <v>0</v>
      </c>
      <c r="M217" s="231">
        <f xml:space="preserve"> IFERROR(($E217&gt;0)*($E217 &lt;=End_of_period) * ($G217 &gt;=Beginning_of_period) * (1-SUM($K217:L217)) /  IFERROR((DATEDIF(Beginning_of_period,$G217,"m") + 1) / Months_in_Period,0),0)</f>
        <v>0</v>
      </c>
      <c r="N217" s="231">
        <f xml:space="preserve"> IFERROR(($E217&gt;0)*($E217 &lt;=End_of_period) * ($G217 &gt;=Beginning_of_period) * (1-SUM($K217:M217)) /  IFERROR((DATEDIF(Beginning_of_period,$G217,"m") + 1) / Months_in_Period,0),0)</f>
        <v>0</v>
      </c>
      <c r="O217" s="231">
        <f xml:space="preserve"> IFERROR(($E217&gt;0)*($E217 &lt;=End_of_period) * ($G217 &gt;=Beginning_of_period) * (1-SUM($K217:N217)) /  IFERROR((DATEDIF(Beginning_of_period,$G217,"m") + 1) / Months_in_Period,0),0)</f>
        <v>0</v>
      </c>
      <c r="P217" s="231">
        <f xml:space="preserve"> IFERROR(($E217&gt;0)*($E217 &lt;=End_of_period) * ($G217 &gt;=Beginning_of_period) * (1-SUM($K217:O217)) /  IFERROR((DATEDIF(Beginning_of_period,$G217,"m") + 1) / Months_in_Period,0),0)</f>
        <v>0</v>
      </c>
      <c r="Q217" s="231">
        <f xml:space="preserve"> IFERROR(($E217&gt;0)*($E217 &lt;=End_of_period) * ($G217 &gt;=Beginning_of_period) * (1-SUM($K217:P217)) /  IFERROR((DATEDIF(Beginning_of_period,$G217,"m") + 1) / Months_in_Period,0),0)</f>
        <v>0</v>
      </c>
      <c r="R217" s="231">
        <f xml:space="preserve"> IFERROR(($E217&gt;0)*($E217 &lt;=End_of_period) * ($G217 &gt;=Beginning_of_period) * (1-SUM($K217:Q217)) /  IFERROR((DATEDIF(Beginning_of_period,$G217,"m") + 1) / Months_in_Period,0),0)</f>
        <v>0</v>
      </c>
      <c r="S217" s="231">
        <f xml:space="preserve"> IFERROR(($E217&gt;0)*($E217 &lt;=End_of_period) * ($G217 &gt;=Beginning_of_period) * (1-SUM($K217:R217)) /  IFERROR((DATEDIF(Beginning_of_period,$G217,"m") + 1) / Months_in_Period,0),0)</f>
        <v>0</v>
      </c>
      <c r="T217" s="231">
        <f xml:space="preserve"> IFERROR(($E217&gt;0)*($E217 &lt;=End_of_period) * ($G217 &gt;=Beginning_of_period) * (1-SUM($K217:S217)) /  IFERROR((DATEDIF(Beginning_of_period,$G217,"m") + 1) / Months_in_Period,0),0)</f>
        <v>0</v>
      </c>
      <c r="U217" s="231">
        <f xml:space="preserve"> IFERROR(($E217&gt;0)*($E217 &lt;=End_of_period) * ($G217 &gt;=Beginning_of_period) * (1-SUM($K217:T217)) /  IFERROR((DATEDIF(Beginning_of_period,$G217,"m") + 1) / Months_in_Period,0),0)</f>
        <v>0</v>
      </c>
      <c r="V217" s="231">
        <f xml:space="preserve"> IFERROR(($E217&gt;0)*($E217 &lt;=End_of_period) * ($G217 &gt;=Beginning_of_period) * (1-SUM($K217:U217)) /  IFERROR((DATEDIF(Beginning_of_period,$G217,"m") + 1) / Months_in_Period,0),0)</f>
        <v>0</v>
      </c>
      <c r="W217" s="231">
        <f xml:space="preserve"> IFERROR(($E217&gt;0)*($E217 &lt;=End_of_period) * ($G217 &gt;=Beginning_of_period) * (1-SUM($K217:V217)) /  IFERROR((DATEDIF(Beginning_of_period,$G217,"m") + 1) / Months_in_Period,0),0)</f>
        <v>0</v>
      </c>
      <c r="X217" s="231">
        <f xml:space="preserve"> IFERROR(($E217&gt;0)*($E217 &lt;=End_of_period) * ($G217 &gt;=Beginning_of_period) * (1-SUM($K217:W217)) /  IFERROR((DATEDIF(Beginning_of_period,$G217,"m") + 1) / Months_in_Period,0),0)</f>
        <v>0</v>
      </c>
      <c r="Y217" s="231">
        <f xml:space="preserve"> IFERROR(($E217&gt;0)*($E217 &lt;=End_of_period) * ($G217 &gt;=Beginning_of_period) * (1-SUM($K217:X217)) /  IFERROR((DATEDIF(Beginning_of_period,$G217,"m") + 1) / Months_in_Period,0),0)</f>
        <v>0</v>
      </c>
      <c r="Z217" s="231">
        <f xml:space="preserve"> IFERROR(($E217&gt;0)*($E217 &lt;=End_of_period) * ($G217 &gt;=Beginning_of_period) * (1-SUM($K217:Y217)) /  IFERROR((DATEDIF(Beginning_of_period,$G217,"m") + 1) / Months_in_Period,0),0)</f>
        <v>0</v>
      </c>
      <c r="AA217" s="231">
        <f xml:space="preserve"> IFERROR(($E217&gt;0)*($E217 &lt;=End_of_period) * ($G217 &gt;=Beginning_of_period) * (1-SUM($K217:Z217)) /  IFERROR((DATEDIF(Beginning_of_period,$G217,"m") + 1) / Months_in_Period,0),0)</f>
        <v>0</v>
      </c>
      <c r="AB217" s="231">
        <f xml:space="preserve"> IFERROR(($E217&gt;0)*($E217 &lt;=End_of_period) * ($G217 &gt;=Beginning_of_period) * (1-SUM($K217:AA217)) /  IFERROR((DATEDIF(Beginning_of_period,$G217,"m") + 1) / Months_in_Period,0),0)</f>
        <v>0</v>
      </c>
      <c r="AC217" s="231">
        <f xml:space="preserve"> IFERROR(($E217&gt;0)*($E217 &lt;=End_of_period) * ($G217 &gt;=Beginning_of_period) * (1-SUM($K217:AB217)) /  IFERROR((DATEDIF(Beginning_of_period,$G217,"m") + 1) / Months_in_Period,0),0)</f>
        <v>0</v>
      </c>
      <c r="AD217" s="231">
        <f xml:space="preserve"> IFERROR(($E217&gt;0)*($E217 &lt;=End_of_period) * ($G217 &gt;=Beginning_of_period) * (1-SUM($K217:AC217)) /  IFERROR((DATEDIF(Beginning_of_period,$G217,"m") + 1) / Months_in_Period,0),0)</f>
        <v>0</v>
      </c>
      <c r="AE217" s="231">
        <f xml:space="preserve"> IFERROR(($E217&gt;0)*($E217 &lt;=End_of_period) * ($G217 &gt;=Beginning_of_period) * (1-SUM($K217:AD217)) /  IFERROR((DATEDIF(Beginning_of_period,$G217,"m") + 1) / Months_in_Period,0),0)</f>
        <v>0</v>
      </c>
      <c r="AF217" s="231">
        <f xml:space="preserve"> IFERROR(($E217&gt;0)*($E217 &lt;=End_of_period) * ($G217 &gt;=Beginning_of_period) * (1-SUM($K217:AE217)) /  IFERROR((DATEDIF(Beginning_of_period,$G217,"m") + 1) / Months_in_Period,0),0)</f>
        <v>0</v>
      </c>
      <c r="AG217" s="231">
        <f xml:space="preserve"> IFERROR(($E217&gt;0)*($E217 &lt;=End_of_period) * ($G217 &gt;=Beginning_of_period) * (1-SUM($K217:AF217)) /  IFERROR((DATEDIF(Beginning_of_period,$G217,"m") + 1) / Months_in_Period,0),0)</f>
        <v>0</v>
      </c>
      <c r="AH217" s="231">
        <f xml:space="preserve"> IFERROR(($E217&gt;0)*($E217 &lt;=End_of_period) * ($G217 &gt;=Beginning_of_period) * (1-SUM($K217:AG217)) /  IFERROR((DATEDIF(Beginning_of_period,$G217,"m") + 1) / Months_in_Period,0),0)</f>
        <v>0</v>
      </c>
      <c r="AI217" s="231">
        <f xml:space="preserve"> IFERROR(($E217&gt;0)*($E217 &lt;=End_of_period) * ($G217 &gt;=Beginning_of_period) * (1-SUM($K217:AH217)) /  IFERROR((DATEDIF(Beginning_of_period,$G217,"m") + 1) / Months_in_Period,0),0)</f>
        <v>0</v>
      </c>
      <c r="AJ217" s="231">
        <f xml:space="preserve"> IFERROR(($E217&gt;0)*($E217 &lt;=End_of_period) * ($G217 &gt;=Beginning_of_period) * (1-SUM($K217:AI217)) /  IFERROR((DATEDIF(Beginning_of_period,$G217,"m") + 1) / Months_in_Period,0),0)</f>
        <v>0</v>
      </c>
      <c r="AK217" s="231">
        <f xml:space="preserve"> IFERROR(($E217&gt;0)*($E217 &lt;=End_of_period) * ($G217 &gt;=Beginning_of_period) * (1-SUM($K217:AJ217)) /  IFERROR((DATEDIF(Beginning_of_period,$G217,"m") + 1) / Months_in_Period,0),0)</f>
        <v>0</v>
      </c>
      <c r="AL217" s="231">
        <f xml:space="preserve"> IFERROR(($E217&gt;0)*($E217 &lt;=End_of_period) * ($G217 &gt;=Beginning_of_period) * (1-SUM($K217:AK217)) /  IFERROR((DATEDIF(Beginning_of_period,$G217,"m") + 1) / Months_in_Period,0),0)</f>
        <v>0</v>
      </c>
      <c r="AM217" s="231">
        <f xml:space="preserve"> IFERROR(($E217&gt;0)*($E217 &lt;=End_of_period) * ($G217 &gt;=Beginning_of_period) * (1-SUM($K217:AL217)) /  IFERROR((DATEDIF(Beginning_of_period,$G217,"m") + 1) / Months_in_Period,0),0)</f>
        <v>0</v>
      </c>
      <c r="AN217" s="231">
        <f xml:space="preserve"> IFERROR(($E217&gt;0)*($E217 &lt;=End_of_period) * ($G217 &gt;=Beginning_of_period) * (1-SUM($K217:AM217)) /  IFERROR((DATEDIF(Beginning_of_period,$G217,"m") + 1) / Months_in_Period,0),0)</f>
        <v>0</v>
      </c>
      <c r="AO217" s="231">
        <f xml:space="preserve"> IFERROR(($E217&gt;0)*($E217 &lt;=End_of_period) * ($G217 &gt;=Beginning_of_period) * (1-SUM($K217:AN217)) /  IFERROR((DATEDIF(Beginning_of_period,$G217,"m") + 1) / Months_in_Period,0),0)</f>
        <v>0</v>
      </c>
      <c r="AP217" s="231">
        <f xml:space="preserve"> IFERROR(($E217&gt;0)*($E217 &lt;=End_of_period) * ($G217 &gt;=Beginning_of_period) * (1-SUM($K217:AO217)) /  IFERROR((DATEDIF(Beginning_of_period,$G217,"m") + 1) / Months_in_Period,0),0)</f>
        <v>0</v>
      </c>
      <c r="AQ217" s="231">
        <f xml:space="preserve"> IFERROR(($E217&gt;0)*($E217 &lt;=End_of_period) * ($G217 &gt;=Beginning_of_period) * (1-SUM($K217:AP217)) /  IFERROR((DATEDIF(Beginning_of_period,$G217,"m") + 1) / Months_in_Period,0),0)</f>
        <v>0</v>
      </c>
      <c r="AR217" s="231">
        <f xml:space="preserve"> IFERROR(($E217&gt;0)*($E217 &lt;=End_of_period) * ($G217 &gt;=Beginning_of_period) * (1-SUM($K217:AQ217)) /  IFERROR((DATEDIF(Beginning_of_period,$G217,"m") + 1) / Months_in_Period,0),0)</f>
        <v>0</v>
      </c>
      <c r="AS217" s="231">
        <f xml:space="preserve"> IFERROR(($E217&gt;0)*($E217 &lt;=End_of_period) * ($G217 &gt;=Beginning_of_period) * (1-SUM($K217:AR217)) /  IFERROR((DATEDIF(Beginning_of_period,$G217,"m") + 1) / Months_in_Period,0),0)</f>
        <v>0</v>
      </c>
      <c r="AT217" s="231">
        <f xml:space="preserve"> IFERROR(($E217&gt;0)*($E217 &lt;=End_of_period) * ($G217 &gt;=Beginning_of_period) * (1-SUM($K217:AS217)) /  IFERROR((DATEDIF(Beginning_of_period,$G217,"m") + 1) / Months_in_Period,0),0)</f>
        <v>0</v>
      </c>
      <c r="AU217" s="231">
        <f xml:space="preserve"> IFERROR(($E217&gt;0)*($E217 &lt;=End_of_period) * ($G217 &gt;=Beginning_of_period) * (1-SUM($K217:AT217)) /  IFERROR((DATEDIF(Beginning_of_period,$G217,"m") + 1) / Months_in_Period,0),0)</f>
        <v>0</v>
      </c>
      <c r="AV217" s="231">
        <f xml:space="preserve"> IFERROR(($E217&gt;0)*($E217 &lt;=End_of_period) * ($G217 &gt;=Beginning_of_period) * (1-SUM($K217:AU217)) /  IFERROR((DATEDIF(Beginning_of_period,$G217,"m") + 1) / Months_in_Period,0),0)</f>
        <v>0</v>
      </c>
      <c r="AW217" s="231">
        <f xml:space="preserve"> IFERROR(($E217&gt;0)*($E217 &lt;=End_of_period) * ($G217 &gt;=Beginning_of_period) * (1-SUM($K217:AV217)) /  IFERROR((DATEDIF(Beginning_of_period,$G217,"m") + 1) / Months_in_Period,0),0)</f>
        <v>0</v>
      </c>
      <c r="AX217" s="231">
        <f xml:space="preserve"> IFERROR(($E217&gt;0)*($E217 &lt;=End_of_period) * ($G217 &gt;=Beginning_of_period) * (1-SUM($K217:AW217)) /  IFERROR((DATEDIF(Beginning_of_period,$G217,"m") + 1) / Months_in_Period,0),0)</f>
        <v>0</v>
      </c>
      <c r="AY217" s="231">
        <f xml:space="preserve"> IFERROR(($E217&gt;0)*($E217 &lt;=End_of_period) * ($G217 &gt;=Beginning_of_period) * (1-SUM($K217:AX217)) /  IFERROR((DATEDIF(Beginning_of_period,$G217,"m") + 1) / Months_in_Period,0),0)</f>
        <v>0</v>
      </c>
      <c r="AZ217" s="231">
        <f xml:space="preserve"> IFERROR(($E217&gt;0)*($E217 &lt;=End_of_period) * ($G217 &gt;=Beginning_of_period) * (1-SUM($K217:AY217)) /  IFERROR((DATEDIF(Beginning_of_period,$G217,"m") + 1) / Months_in_Period,0),0)</f>
        <v>0</v>
      </c>
      <c r="BA217" s="231">
        <f xml:space="preserve"> IFERROR(($E217&gt;0)*($E217 &lt;=End_of_period) * ($G217 &gt;=Beginning_of_period) * (1-SUM($K217:AZ217)) /  IFERROR((DATEDIF(Beginning_of_period,$G217,"m") + 1) / Months_in_Period,0),0)</f>
        <v>0</v>
      </c>
      <c r="BB217" s="231">
        <f xml:space="preserve"> IFERROR(($E217&gt;0)*($E217 &lt;=End_of_period) * ($G217 &gt;=Beginning_of_period) * (1-SUM($K217:BA217)) /  IFERROR((DATEDIF(Beginning_of_period,$G217,"m") + 1) / Months_in_Period,0),0)</f>
        <v>0</v>
      </c>
      <c r="BC217" s="231">
        <f xml:space="preserve"> IFERROR(($E217&gt;0)*($E217 &lt;=End_of_period) * ($G217 &gt;=Beginning_of_period) * (1-SUM($K217:BB217)) /  IFERROR((DATEDIF(Beginning_of_period,$G217,"m") + 1) / Months_in_Period,0),0)</f>
        <v>0</v>
      </c>
      <c r="BD217" s="231">
        <f xml:space="preserve"> IFERROR(($E217&gt;0)*($E217 &lt;=End_of_period) * ($G217 &gt;=Beginning_of_period) * (1-SUM($K217:BC217)) /  IFERROR((DATEDIF(Beginning_of_period,$G217,"m") + 1) / Months_in_Period,0),0)</f>
        <v>0</v>
      </c>
      <c r="BE217" s="231">
        <f xml:space="preserve"> IFERROR(($E217&gt;0)*($E217 &lt;=End_of_period) * ($G217 &gt;=Beginning_of_period) * (1-SUM($K217:BD217)) /  IFERROR((DATEDIF(Beginning_of_period,$G217,"m") + 1) / Months_in_Period,0),0)</f>
        <v>0</v>
      </c>
      <c r="BF217" s="231">
        <f xml:space="preserve"> IFERROR(($E217&gt;0)*($E217 &lt;=End_of_period) * ($G217 &gt;=Beginning_of_period) * (1-SUM($K217:BE217)) /  IFERROR((DATEDIF(Beginning_of_period,$G217,"m") + 1) / Months_in_Period,0),0)</f>
        <v>0</v>
      </c>
      <c r="BG217" s="231">
        <f xml:space="preserve"> IFERROR(($E217&gt;0)*($E217 &lt;=End_of_period) * ($G217 &gt;=Beginning_of_period) * (1-SUM($K217:BF217)) /  IFERROR((DATEDIF(Beginning_of_period,$G217,"m") + 1) / Months_in_Period,0),0)</f>
        <v>0</v>
      </c>
      <c r="BH217" s="231">
        <f xml:space="preserve"> IFERROR(($E217&gt;0)*($E217 &lt;=End_of_period) * ($G217 &gt;=Beginning_of_period) * (1-SUM($K217:BG217)) /  IFERROR((DATEDIF(Beginning_of_period,$G217,"m") + 1) / Months_in_Period,0),0)</f>
        <v>0</v>
      </c>
      <c r="BI217" s="231">
        <f xml:space="preserve"> IFERROR(($E217&gt;0)*($E217 &lt;=End_of_period) * ($G217 &gt;=Beginning_of_period) * (1-SUM($K217:BH217)) /  IFERROR((DATEDIF(Beginning_of_period,$G217,"m") + 1) / Months_in_Period,0),0)</f>
        <v>0</v>
      </c>
      <c r="BJ217" s="231">
        <f xml:space="preserve"> IFERROR(($E217&gt;0)*($E217 &lt;=End_of_period) * ($G217 &gt;=Beginning_of_period) * (1-SUM($K217:BI217)) /  IFERROR((DATEDIF(Beginning_of_period,$G217,"m") + 1) / Months_in_Period,0),0)</f>
        <v>0</v>
      </c>
      <c r="BK217" s="231">
        <f xml:space="preserve"> IFERROR(($E217&gt;0)*($E217 &lt;=End_of_period) * ($G217 &gt;=Beginning_of_period) * (1-SUM($K217:BJ217)) /  IFERROR((DATEDIF(Beginning_of_period,$G217,"m") + 1) / Months_in_Period,0),0)</f>
        <v>0</v>
      </c>
      <c r="BL217" s="231">
        <f xml:space="preserve"> IFERROR(($E217&gt;0)*($E217 &lt;=End_of_period) * ($G217 &gt;=Beginning_of_period) * (1-SUM($K217:BK217)) /  IFERROR((DATEDIF(Beginning_of_period,$G217,"m") + 1) / Months_in_Period,0),0)</f>
        <v>0</v>
      </c>
      <c r="BM217" s="231">
        <f xml:space="preserve"> IFERROR(($E217&gt;0)*($E217 &lt;=End_of_period) * ($G217 &gt;=Beginning_of_period) * (1-SUM($K217:BL217)) /  IFERROR((DATEDIF(Beginning_of_period,$G217,"m") + 1) / Months_in_Period,0),0)</f>
        <v>0</v>
      </c>
      <c r="BN217" s="231">
        <f xml:space="preserve"> IFERROR(($E217&gt;0)*($E217 &lt;=End_of_period) * ($G217 &gt;=Beginning_of_period) * (1-SUM($K217:BM217)) /  IFERROR((DATEDIF(Beginning_of_period,$G217,"m") + 1) / Months_in_Period,0),0)</f>
        <v>0</v>
      </c>
      <c r="BO217" s="231">
        <f xml:space="preserve"> IFERROR(($E217&gt;0)*($E217 &lt;=End_of_period) * ($G217 &gt;=Beginning_of_period) * (1-SUM($K217:BN217)) /  IFERROR((DATEDIF(Beginning_of_period,$G217,"m") + 1) / Months_in_Period,0),0)</f>
        <v>0</v>
      </c>
      <c r="BP217" s="231">
        <f xml:space="preserve"> IFERROR(($E217&gt;0)*($E217 &lt;=End_of_period) * ($G217 &gt;=Beginning_of_period) * (1-SUM($K217:BO217)) /  IFERROR((DATEDIF(Beginning_of_period,$G217,"m") + 1) / Months_in_Period,0),0)</f>
        <v>0</v>
      </c>
      <c r="BQ217" s="231">
        <f xml:space="preserve"> IFERROR(($E217&gt;0)*($E217 &lt;=End_of_period) * ($G217 &gt;=Beginning_of_period) * (1-SUM($K217:BP217)) /  IFERROR((DATEDIF(Beginning_of_period,$G217,"m") + 1) / Months_in_Period,0),0)</f>
        <v>0</v>
      </c>
      <c r="BR217" s="231">
        <f xml:space="preserve"> IFERROR(($E217&gt;0)*($E217 &lt;=End_of_period) * ($G217 &gt;=Beginning_of_period) * (1-SUM($K217:BQ217)) /  IFERROR((DATEDIF(Beginning_of_period,$G217,"m") + 1) / Months_in_Period,0),0)</f>
        <v>0</v>
      </c>
      <c r="BS217" s="231">
        <f xml:space="preserve"> IFERROR(($E217&gt;0)*($E217 &lt;=End_of_period) * ($G217 &gt;=Beginning_of_period) * (1-SUM($K217:BR217)) /  IFERROR((DATEDIF(Beginning_of_period,$G217,"m") + 1) / Months_in_Period,0),0)</f>
        <v>0</v>
      </c>
      <c r="BT217" s="231">
        <f xml:space="preserve"> IFERROR(($E217&gt;0)*($E217 &lt;=End_of_period) * ($G217 &gt;=Beginning_of_period) * (1-SUM($K217:BS217)) /  IFERROR((DATEDIF(Beginning_of_period,$G217,"m") + 1) / Months_in_Period,0),0)</f>
        <v>0</v>
      </c>
      <c r="BU217" s="231">
        <f xml:space="preserve"> IFERROR(($E217&gt;0)*($E217 &lt;=End_of_period) * ($G217 &gt;=Beginning_of_period) * (1-SUM($K217:BT217)) /  IFERROR((DATEDIF(Beginning_of_period,$G217,"m") + 1) / Months_in_Period,0),0)</f>
        <v>0</v>
      </c>
      <c r="BV217" s="231">
        <f xml:space="preserve"> IFERROR(($E217&gt;0)*($E217 &lt;=End_of_period) * ($G217 &gt;=Beginning_of_period) * (1-SUM($K217:BU217)) /  IFERROR((DATEDIF(Beginning_of_period,$G217,"m") + 1) / Months_in_Period,0),0)</f>
        <v>0</v>
      </c>
      <c r="BW217" s="231">
        <f xml:space="preserve"> IFERROR(($E217&gt;0)*($E217 &lt;=End_of_period) * ($G217 &gt;=Beginning_of_period) * (1-SUM($K217:BV217)) /  IFERROR((DATEDIF(Beginning_of_period,$G217,"m") + 1) / Months_in_Period,0),0)</f>
        <v>0</v>
      </c>
      <c r="BX217" s="231">
        <f xml:space="preserve"> IFERROR(($E217&gt;0)*($E217 &lt;=End_of_period) * ($G217 &gt;=Beginning_of_period) * (1-SUM($K217:BW217)) /  IFERROR((DATEDIF(Beginning_of_period,$G217,"m") + 1) / Months_in_Period,0),0)</f>
        <v>0</v>
      </c>
      <c r="BY217" s="231">
        <f xml:space="preserve"> IFERROR(($E217&gt;0)*($E217 &lt;=End_of_period) * ($G217 &gt;=Beginning_of_period) * (1-SUM($K217:BX217)) /  IFERROR((DATEDIF(Beginning_of_period,$G217,"m") + 1) / Months_in_Period,0),0)</f>
        <v>0</v>
      </c>
      <c r="BZ217" s="231">
        <f xml:space="preserve"> IFERROR(($E217&gt;0)*($E217 &lt;=End_of_period) * ($G217 &gt;=Beginning_of_period) * (1-SUM($K217:BY217)) /  IFERROR((DATEDIF(Beginning_of_period,$G217,"m") + 1) / Months_in_Period,0),0)</f>
        <v>0</v>
      </c>
      <c r="CA217" s="231">
        <f xml:space="preserve"> IFERROR(($E217&gt;0)*($E217 &lt;=End_of_period) * ($G217 &gt;=Beginning_of_period) * (1-SUM($K217:BZ217)) /  IFERROR((DATEDIF(Beginning_of_period,$G217,"m") + 1) / Months_in_Period,0),0)</f>
        <v>0</v>
      </c>
      <c r="CB217" s="231">
        <f xml:space="preserve"> IFERROR(($E217&gt;0)*($E217 &lt;=End_of_period) * ($G217 &gt;=Beginning_of_period) * (1-SUM($K217:CA217)) /  IFERROR((DATEDIF(Beginning_of_period,$G217,"m") + 1) / Months_in_Period,0),0)</f>
        <v>0</v>
      </c>
      <c r="CC217" s="231">
        <f xml:space="preserve"> IFERROR(($E217&gt;0)*($E217 &lt;=End_of_period) * ($G217 &gt;=Beginning_of_period) * (1-SUM($K217:CB217)) /  IFERROR((DATEDIF(Beginning_of_period,$G217,"m") + 1) / Months_in_Period,0),0)</f>
        <v>0</v>
      </c>
      <c r="CD217" s="231">
        <f xml:space="preserve"> IFERROR(($E217&gt;0)*($E217 &lt;=End_of_period) * ($G217 &gt;=Beginning_of_period) * (1-SUM($K217:CC217)) /  IFERROR((DATEDIF(Beginning_of_period,$G217,"m") + 1) / Months_in_Period,0),0)</f>
        <v>0</v>
      </c>
      <c r="CE217" s="231">
        <f xml:space="preserve"> IFERROR(($E217&gt;0)*($E217 &lt;=End_of_period) * ($G217 &gt;=Beginning_of_period) * (1-SUM($K217:CD217)) /  IFERROR((DATEDIF(Beginning_of_period,$G217,"m") + 1) / Months_in_Period,0),0)</f>
        <v>0</v>
      </c>
      <c r="CF217" s="231">
        <f xml:space="preserve"> IFERROR(($E217&gt;0)*($E217 &lt;=End_of_period) * ($G217 &gt;=Beginning_of_period) * (1-SUM($K217:CE217)) /  IFERROR((DATEDIF(Beginning_of_period,$G217,"m") + 1) / Months_in_Period,0),0)</f>
        <v>0</v>
      </c>
      <c r="CG217" s="231">
        <f xml:space="preserve"> IFERROR(($E217&gt;0)*($E217 &lt;=End_of_period) * ($G217 &gt;=Beginning_of_period) * (1-SUM($K217:CF217)) /  IFERROR((DATEDIF(Beginning_of_period,$G217,"m") + 1) / Months_in_Period,0),0)</f>
        <v>0</v>
      </c>
      <c r="CH217" s="231">
        <f xml:space="preserve"> IFERROR(($E217&gt;0)*($E217 &lt;=End_of_period) * ($G217 &gt;=Beginning_of_period) * (1-SUM($K217:CG217)) /  IFERROR((DATEDIF(Beginning_of_period,$G217,"m") + 1) / Months_in_Period,0),0)</f>
        <v>0</v>
      </c>
      <c r="CI217" s="231">
        <f xml:space="preserve"> IFERROR(($E217&gt;0)*($E217 &lt;=End_of_period) * ($G217 &gt;=Beginning_of_period) * (1-SUM($K217:CH217)) /  IFERROR((DATEDIF(Beginning_of_period,$G217,"m") + 1) / Months_in_Period,0),0)</f>
        <v>0</v>
      </c>
      <c r="CJ217" s="231">
        <f xml:space="preserve"> IFERROR(($E217&gt;0)*($E217 &lt;=End_of_period) * ($G217 &gt;=Beginning_of_period) * (1-SUM($K217:CI217)) /  IFERROR((DATEDIF(Beginning_of_period,$G217,"m") + 1) / Months_in_Period,0),0)</f>
        <v>0</v>
      </c>
      <c r="CK217" s="231">
        <f xml:space="preserve"> IFERROR(($E217&gt;0)*($E217 &lt;=End_of_period) * ($G217 &gt;=Beginning_of_period) * (1-SUM($K217:CJ217)) /  IFERROR((DATEDIF(Beginning_of_period,$G217,"m") + 1) / Months_in_Period,0),0)</f>
        <v>0</v>
      </c>
      <c r="CL217" s="231">
        <f xml:space="preserve"> IFERROR(($E217&gt;0)*($E217 &lt;=End_of_period) * ($G217 &gt;=Beginning_of_period) * (1-SUM($K217:CK217)) /  IFERROR((DATEDIF(Beginning_of_period,$G217,"m") + 1) / Months_in_Period,0),0)</f>
        <v>0</v>
      </c>
      <c r="CM217" s="231">
        <f xml:space="preserve"> IFERROR(($E217&gt;0)*($E217 &lt;=End_of_period) * ($G217 &gt;=Beginning_of_period) * (1-SUM($K217:CL217)) /  IFERROR((DATEDIF(Beginning_of_period,$G217,"m") + 1) / Months_in_Period,0),0)</f>
        <v>0</v>
      </c>
      <c r="CN217" s="231">
        <f xml:space="preserve"> IFERROR(($E217&gt;0)*($E217 &lt;=End_of_period) * ($G217 &gt;=Beginning_of_period) * (1-SUM($K217:CM217)) /  IFERROR((DATEDIF(Beginning_of_period,$G217,"m") + 1) / Months_in_Period,0),0)</f>
        <v>0</v>
      </c>
      <c r="CO217" s="231">
        <f xml:space="preserve"> IFERROR(($E217&gt;0)*($E217 &lt;=End_of_period) * ($G217 &gt;=Beginning_of_period) * (1-SUM($K217:CN217)) /  IFERROR((DATEDIF(Beginning_of_period,$G217,"m") + 1) / Months_in_Period,0),0)</f>
        <v>0</v>
      </c>
      <c r="CP217" s="10"/>
    </row>
    <row r="218" spans="1:94" ht="15" hidden="1" customHeight="1">
      <c r="A218" s="10"/>
      <c r="B218" s="3"/>
      <c r="C218" s="17" t="s">
        <v>821</v>
      </c>
      <c r="D218" s="10"/>
      <c r="E218" s="71"/>
      <c r="F218" s="10"/>
      <c r="G218" s="71"/>
      <c r="H218" s="149">
        <f xml:space="preserve"> IFERROR((DATEDIF(E218,G218,"m") + 1) / Months_in_Period,0)</f>
        <v>0.33333333333333331</v>
      </c>
      <c r="I218" s="231">
        <f>IF(SUM(L218:CO218)=0,1,SUM(L218:CO218))</f>
        <v>1</v>
      </c>
      <c r="J218" s="10"/>
      <c r="K218" s="10"/>
      <c r="L218" s="231">
        <f xml:space="preserve"> IFERROR(($E218&gt;0)*($E218 &lt;=End_of_period) * ($G218 &gt;=Beginning_of_period) * (1-SUM($K218:K218)) /  IFERROR((DATEDIF(Beginning_of_period,$G218,"m") + 1) / Months_in_Period,0),0)</f>
        <v>0</v>
      </c>
      <c r="M218" s="231">
        <f xml:space="preserve"> IFERROR(($E218&gt;0)*($E218 &lt;=End_of_period) * ($G218 &gt;=Beginning_of_period) * (1-SUM($K218:L218)) /  IFERROR((DATEDIF(Beginning_of_period,$G218,"m") + 1) / Months_in_Period,0),0)</f>
        <v>0</v>
      </c>
      <c r="N218" s="231">
        <f xml:space="preserve"> IFERROR(($E218&gt;0)*($E218 &lt;=End_of_period) * ($G218 &gt;=Beginning_of_period) * (1-SUM($K218:M218)) /  IFERROR((DATEDIF(Beginning_of_period,$G218,"m") + 1) / Months_in_Period,0),0)</f>
        <v>0</v>
      </c>
      <c r="O218" s="231">
        <f xml:space="preserve"> IFERROR(($E218&gt;0)*($E218 &lt;=End_of_period) * ($G218 &gt;=Beginning_of_period) * (1-SUM($K218:N218)) /  IFERROR((DATEDIF(Beginning_of_period,$G218,"m") + 1) / Months_in_Period,0),0)</f>
        <v>0</v>
      </c>
      <c r="P218" s="231">
        <f xml:space="preserve"> IFERROR(($E218&gt;0)*($E218 &lt;=End_of_period) * ($G218 &gt;=Beginning_of_period) * (1-SUM($K218:O218)) /  IFERROR((DATEDIF(Beginning_of_period,$G218,"m") + 1) / Months_in_Period,0),0)</f>
        <v>0</v>
      </c>
      <c r="Q218" s="231">
        <f xml:space="preserve"> IFERROR(($E218&gt;0)*($E218 &lt;=End_of_period) * ($G218 &gt;=Beginning_of_period) * (1-SUM($K218:P218)) /  IFERROR((DATEDIF(Beginning_of_period,$G218,"m") + 1) / Months_in_Period,0),0)</f>
        <v>0</v>
      </c>
      <c r="R218" s="231">
        <f xml:space="preserve"> IFERROR(($E218&gt;0)*($E218 &lt;=End_of_period) * ($G218 &gt;=Beginning_of_period) * (1-SUM($K218:Q218)) /  IFERROR((DATEDIF(Beginning_of_period,$G218,"m") + 1) / Months_in_Period,0),0)</f>
        <v>0</v>
      </c>
      <c r="S218" s="231">
        <f xml:space="preserve"> IFERROR(($E218&gt;0)*($E218 &lt;=End_of_period) * ($G218 &gt;=Beginning_of_period) * (1-SUM($K218:R218)) /  IFERROR((DATEDIF(Beginning_of_period,$G218,"m") + 1) / Months_in_Period,0),0)</f>
        <v>0</v>
      </c>
      <c r="T218" s="231">
        <f xml:space="preserve"> IFERROR(($E218&gt;0)*($E218 &lt;=End_of_period) * ($G218 &gt;=Beginning_of_period) * (1-SUM($K218:S218)) /  IFERROR((DATEDIF(Beginning_of_period,$G218,"m") + 1) / Months_in_Period,0),0)</f>
        <v>0</v>
      </c>
      <c r="U218" s="231">
        <f xml:space="preserve"> IFERROR(($E218&gt;0)*($E218 &lt;=End_of_period) * ($G218 &gt;=Beginning_of_period) * (1-SUM($K218:T218)) /  IFERROR((DATEDIF(Beginning_of_period,$G218,"m") + 1) / Months_in_Period,0),0)</f>
        <v>0</v>
      </c>
      <c r="V218" s="231">
        <f xml:space="preserve"> IFERROR(($E218&gt;0)*($E218 &lt;=End_of_period) * ($G218 &gt;=Beginning_of_period) * (1-SUM($K218:U218)) /  IFERROR((DATEDIF(Beginning_of_period,$G218,"m") + 1) / Months_in_Period,0),0)</f>
        <v>0</v>
      </c>
      <c r="W218" s="231">
        <f xml:space="preserve"> IFERROR(($E218&gt;0)*($E218 &lt;=End_of_period) * ($G218 &gt;=Beginning_of_period) * (1-SUM($K218:V218)) /  IFERROR((DATEDIF(Beginning_of_period,$G218,"m") + 1) / Months_in_Period,0),0)</f>
        <v>0</v>
      </c>
      <c r="X218" s="231">
        <f xml:space="preserve"> IFERROR(($E218&gt;0)*($E218 &lt;=End_of_period) * ($G218 &gt;=Beginning_of_period) * (1-SUM($K218:W218)) /  IFERROR((DATEDIF(Beginning_of_period,$G218,"m") + 1) / Months_in_Period,0),0)</f>
        <v>0</v>
      </c>
      <c r="Y218" s="231">
        <f xml:space="preserve"> IFERROR(($E218&gt;0)*($E218 &lt;=End_of_period) * ($G218 &gt;=Beginning_of_period) * (1-SUM($K218:X218)) /  IFERROR((DATEDIF(Beginning_of_period,$G218,"m") + 1) / Months_in_Period,0),0)</f>
        <v>0</v>
      </c>
      <c r="Z218" s="231">
        <f xml:space="preserve"> IFERROR(($E218&gt;0)*($E218 &lt;=End_of_period) * ($G218 &gt;=Beginning_of_period) * (1-SUM($K218:Y218)) /  IFERROR((DATEDIF(Beginning_of_period,$G218,"m") + 1) / Months_in_Period,0),0)</f>
        <v>0</v>
      </c>
      <c r="AA218" s="231">
        <f xml:space="preserve"> IFERROR(($E218&gt;0)*($E218 &lt;=End_of_period) * ($G218 &gt;=Beginning_of_period) * (1-SUM($K218:Z218)) /  IFERROR((DATEDIF(Beginning_of_period,$G218,"m") + 1) / Months_in_Period,0),0)</f>
        <v>0</v>
      </c>
      <c r="AB218" s="231">
        <f xml:space="preserve"> IFERROR(($E218&gt;0)*($E218 &lt;=End_of_period) * ($G218 &gt;=Beginning_of_period) * (1-SUM($K218:AA218)) /  IFERROR((DATEDIF(Beginning_of_period,$G218,"m") + 1) / Months_in_Period,0),0)</f>
        <v>0</v>
      </c>
      <c r="AC218" s="231">
        <f xml:space="preserve"> IFERROR(($E218&gt;0)*($E218 &lt;=End_of_period) * ($G218 &gt;=Beginning_of_period) * (1-SUM($K218:AB218)) /  IFERROR((DATEDIF(Beginning_of_period,$G218,"m") + 1) / Months_in_Period,0),0)</f>
        <v>0</v>
      </c>
      <c r="AD218" s="231">
        <f xml:space="preserve"> IFERROR(($E218&gt;0)*($E218 &lt;=End_of_period) * ($G218 &gt;=Beginning_of_period) * (1-SUM($K218:AC218)) /  IFERROR((DATEDIF(Beginning_of_period,$G218,"m") + 1) / Months_in_Period,0),0)</f>
        <v>0</v>
      </c>
      <c r="AE218" s="231">
        <f xml:space="preserve"> IFERROR(($E218&gt;0)*($E218 &lt;=End_of_period) * ($G218 &gt;=Beginning_of_period) * (1-SUM($K218:AD218)) /  IFERROR((DATEDIF(Beginning_of_period,$G218,"m") + 1) / Months_in_Period,0),0)</f>
        <v>0</v>
      </c>
      <c r="AF218" s="231">
        <f xml:space="preserve"> IFERROR(($E218&gt;0)*($E218 &lt;=End_of_period) * ($G218 &gt;=Beginning_of_period) * (1-SUM($K218:AE218)) /  IFERROR((DATEDIF(Beginning_of_period,$G218,"m") + 1) / Months_in_Period,0),0)</f>
        <v>0</v>
      </c>
      <c r="AG218" s="231">
        <f xml:space="preserve"> IFERROR(($E218&gt;0)*($E218 &lt;=End_of_period) * ($G218 &gt;=Beginning_of_period) * (1-SUM($K218:AF218)) /  IFERROR((DATEDIF(Beginning_of_period,$G218,"m") + 1) / Months_in_Period,0),0)</f>
        <v>0</v>
      </c>
      <c r="AH218" s="231">
        <f xml:space="preserve"> IFERROR(($E218&gt;0)*($E218 &lt;=End_of_period) * ($G218 &gt;=Beginning_of_period) * (1-SUM($K218:AG218)) /  IFERROR((DATEDIF(Beginning_of_period,$G218,"m") + 1) / Months_in_Period,0),0)</f>
        <v>0</v>
      </c>
      <c r="AI218" s="231">
        <f xml:space="preserve"> IFERROR(($E218&gt;0)*($E218 &lt;=End_of_period) * ($G218 &gt;=Beginning_of_period) * (1-SUM($K218:AH218)) /  IFERROR((DATEDIF(Beginning_of_period,$G218,"m") + 1) / Months_in_Period,0),0)</f>
        <v>0</v>
      </c>
      <c r="AJ218" s="231">
        <f xml:space="preserve"> IFERROR(($E218&gt;0)*($E218 &lt;=End_of_period) * ($G218 &gt;=Beginning_of_period) * (1-SUM($K218:AI218)) /  IFERROR((DATEDIF(Beginning_of_period,$G218,"m") + 1) / Months_in_Period,0),0)</f>
        <v>0</v>
      </c>
      <c r="AK218" s="231">
        <f xml:space="preserve"> IFERROR(($E218&gt;0)*($E218 &lt;=End_of_period) * ($G218 &gt;=Beginning_of_period) * (1-SUM($K218:AJ218)) /  IFERROR((DATEDIF(Beginning_of_period,$G218,"m") + 1) / Months_in_Period,0),0)</f>
        <v>0</v>
      </c>
      <c r="AL218" s="231">
        <f xml:space="preserve"> IFERROR(($E218&gt;0)*($E218 &lt;=End_of_period) * ($G218 &gt;=Beginning_of_period) * (1-SUM($K218:AK218)) /  IFERROR((DATEDIF(Beginning_of_period,$G218,"m") + 1) / Months_in_Period,0),0)</f>
        <v>0</v>
      </c>
      <c r="AM218" s="231">
        <f xml:space="preserve"> IFERROR(($E218&gt;0)*($E218 &lt;=End_of_period) * ($G218 &gt;=Beginning_of_period) * (1-SUM($K218:AL218)) /  IFERROR((DATEDIF(Beginning_of_period,$G218,"m") + 1) / Months_in_Period,0),0)</f>
        <v>0</v>
      </c>
      <c r="AN218" s="231">
        <f xml:space="preserve"> IFERROR(($E218&gt;0)*($E218 &lt;=End_of_period) * ($G218 &gt;=Beginning_of_period) * (1-SUM($K218:AM218)) /  IFERROR((DATEDIF(Beginning_of_period,$G218,"m") + 1) / Months_in_Period,0),0)</f>
        <v>0</v>
      </c>
      <c r="AO218" s="231">
        <f xml:space="preserve"> IFERROR(($E218&gt;0)*($E218 &lt;=End_of_period) * ($G218 &gt;=Beginning_of_period) * (1-SUM($K218:AN218)) /  IFERROR((DATEDIF(Beginning_of_period,$G218,"m") + 1) / Months_in_Period,0),0)</f>
        <v>0</v>
      </c>
      <c r="AP218" s="231">
        <f xml:space="preserve"> IFERROR(($E218&gt;0)*($E218 &lt;=End_of_period) * ($G218 &gt;=Beginning_of_period) * (1-SUM($K218:AO218)) /  IFERROR((DATEDIF(Beginning_of_period,$G218,"m") + 1) / Months_in_Period,0),0)</f>
        <v>0</v>
      </c>
      <c r="AQ218" s="231">
        <f xml:space="preserve"> IFERROR(($E218&gt;0)*($E218 &lt;=End_of_period) * ($G218 &gt;=Beginning_of_period) * (1-SUM($K218:AP218)) /  IFERROR((DATEDIF(Beginning_of_period,$G218,"m") + 1) / Months_in_Period,0),0)</f>
        <v>0</v>
      </c>
      <c r="AR218" s="231">
        <f xml:space="preserve"> IFERROR(($E218&gt;0)*($E218 &lt;=End_of_period) * ($G218 &gt;=Beginning_of_period) * (1-SUM($K218:AQ218)) /  IFERROR((DATEDIF(Beginning_of_period,$G218,"m") + 1) / Months_in_Period,0),0)</f>
        <v>0</v>
      </c>
      <c r="AS218" s="231">
        <f xml:space="preserve"> IFERROR(($E218&gt;0)*($E218 &lt;=End_of_period) * ($G218 &gt;=Beginning_of_period) * (1-SUM($K218:AR218)) /  IFERROR((DATEDIF(Beginning_of_period,$G218,"m") + 1) / Months_in_Period,0),0)</f>
        <v>0</v>
      </c>
      <c r="AT218" s="231">
        <f xml:space="preserve"> IFERROR(($E218&gt;0)*($E218 &lt;=End_of_period) * ($G218 &gt;=Beginning_of_period) * (1-SUM($K218:AS218)) /  IFERROR((DATEDIF(Beginning_of_period,$G218,"m") + 1) / Months_in_Period,0),0)</f>
        <v>0</v>
      </c>
      <c r="AU218" s="231">
        <f xml:space="preserve"> IFERROR(($E218&gt;0)*($E218 &lt;=End_of_period) * ($G218 &gt;=Beginning_of_period) * (1-SUM($K218:AT218)) /  IFERROR((DATEDIF(Beginning_of_period,$G218,"m") + 1) / Months_in_Period,0),0)</f>
        <v>0</v>
      </c>
      <c r="AV218" s="231">
        <f xml:space="preserve"> IFERROR(($E218&gt;0)*($E218 &lt;=End_of_period) * ($G218 &gt;=Beginning_of_period) * (1-SUM($K218:AU218)) /  IFERROR((DATEDIF(Beginning_of_period,$G218,"m") + 1) / Months_in_Period,0),0)</f>
        <v>0</v>
      </c>
      <c r="AW218" s="231">
        <f xml:space="preserve"> IFERROR(($E218&gt;0)*($E218 &lt;=End_of_period) * ($G218 &gt;=Beginning_of_period) * (1-SUM($K218:AV218)) /  IFERROR((DATEDIF(Beginning_of_period,$G218,"m") + 1) / Months_in_Period,0),0)</f>
        <v>0</v>
      </c>
      <c r="AX218" s="231">
        <f xml:space="preserve"> IFERROR(($E218&gt;0)*($E218 &lt;=End_of_period) * ($G218 &gt;=Beginning_of_period) * (1-SUM($K218:AW218)) /  IFERROR((DATEDIF(Beginning_of_period,$G218,"m") + 1) / Months_in_Period,0),0)</f>
        <v>0</v>
      </c>
      <c r="AY218" s="231">
        <f xml:space="preserve"> IFERROR(($E218&gt;0)*($E218 &lt;=End_of_period) * ($G218 &gt;=Beginning_of_period) * (1-SUM($K218:AX218)) /  IFERROR((DATEDIF(Beginning_of_period,$G218,"m") + 1) / Months_in_Period,0),0)</f>
        <v>0</v>
      </c>
      <c r="AZ218" s="231">
        <f xml:space="preserve"> IFERROR(($E218&gt;0)*($E218 &lt;=End_of_period) * ($G218 &gt;=Beginning_of_period) * (1-SUM($K218:AY218)) /  IFERROR((DATEDIF(Beginning_of_period,$G218,"m") + 1) / Months_in_Period,0),0)</f>
        <v>0</v>
      </c>
      <c r="BA218" s="231">
        <f xml:space="preserve"> IFERROR(($E218&gt;0)*($E218 &lt;=End_of_period) * ($G218 &gt;=Beginning_of_period) * (1-SUM($K218:AZ218)) /  IFERROR((DATEDIF(Beginning_of_period,$G218,"m") + 1) / Months_in_Period,0),0)</f>
        <v>0</v>
      </c>
      <c r="BB218" s="231">
        <f xml:space="preserve"> IFERROR(($E218&gt;0)*($E218 &lt;=End_of_period) * ($G218 &gt;=Beginning_of_period) * (1-SUM($K218:BA218)) /  IFERROR((DATEDIF(Beginning_of_period,$G218,"m") + 1) / Months_in_Period,0),0)</f>
        <v>0</v>
      </c>
      <c r="BC218" s="231">
        <f xml:space="preserve"> IFERROR(($E218&gt;0)*($E218 &lt;=End_of_period) * ($G218 &gt;=Beginning_of_period) * (1-SUM($K218:BB218)) /  IFERROR((DATEDIF(Beginning_of_period,$G218,"m") + 1) / Months_in_Period,0),0)</f>
        <v>0</v>
      </c>
      <c r="BD218" s="231">
        <f xml:space="preserve"> IFERROR(($E218&gt;0)*($E218 &lt;=End_of_period) * ($G218 &gt;=Beginning_of_period) * (1-SUM($K218:BC218)) /  IFERROR((DATEDIF(Beginning_of_period,$G218,"m") + 1) / Months_in_Period,0),0)</f>
        <v>0</v>
      </c>
      <c r="BE218" s="231">
        <f xml:space="preserve"> IFERROR(($E218&gt;0)*($E218 &lt;=End_of_period) * ($G218 &gt;=Beginning_of_period) * (1-SUM($K218:BD218)) /  IFERROR((DATEDIF(Beginning_of_period,$G218,"m") + 1) / Months_in_Period,0),0)</f>
        <v>0</v>
      </c>
      <c r="BF218" s="231">
        <f xml:space="preserve"> IFERROR(($E218&gt;0)*($E218 &lt;=End_of_period) * ($G218 &gt;=Beginning_of_period) * (1-SUM($K218:BE218)) /  IFERROR((DATEDIF(Beginning_of_period,$G218,"m") + 1) / Months_in_Period,0),0)</f>
        <v>0</v>
      </c>
      <c r="BG218" s="231">
        <f xml:space="preserve"> IFERROR(($E218&gt;0)*($E218 &lt;=End_of_period) * ($G218 &gt;=Beginning_of_period) * (1-SUM($K218:BF218)) /  IFERROR((DATEDIF(Beginning_of_period,$G218,"m") + 1) / Months_in_Period,0),0)</f>
        <v>0</v>
      </c>
      <c r="BH218" s="231">
        <f xml:space="preserve"> IFERROR(($E218&gt;0)*($E218 &lt;=End_of_period) * ($G218 &gt;=Beginning_of_period) * (1-SUM($K218:BG218)) /  IFERROR((DATEDIF(Beginning_of_period,$G218,"m") + 1) / Months_in_Period,0),0)</f>
        <v>0</v>
      </c>
      <c r="BI218" s="231">
        <f xml:space="preserve"> IFERROR(($E218&gt;0)*($E218 &lt;=End_of_period) * ($G218 &gt;=Beginning_of_period) * (1-SUM($K218:BH218)) /  IFERROR((DATEDIF(Beginning_of_period,$G218,"m") + 1) / Months_in_Period,0),0)</f>
        <v>0</v>
      </c>
      <c r="BJ218" s="231">
        <f xml:space="preserve"> IFERROR(($E218&gt;0)*($E218 &lt;=End_of_period) * ($G218 &gt;=Beginning_of_period) * (1-SUM($K218:BI218)) /  IFERROR((DATEDIF(Beginning_of_period,$G218,"m") + 1) / Months_in_Period,0),0)</f>
        <v>0</v>
      </c>
      <c r="BK218" s="231">
        <f xml:space="preserve"> IFERROR(($E218&gt;0)*($E218 &lt;=End_of_period) * ($G218 &gt;=Beginning_of_period) * (1-SUM($K218:BJ218)) /  IFERROR((DATEDIF(Beginning_of_period,$G218,"m") + 1) / Months_in_Period,0),0)</f>
        <v>0</v>
      </c>
      <c r="BL218" s="231">
        <f xml:space="preserve"> IFERROR(($E218&gt;0)*($E218 &lt;=End_of_period) * ($G218 &gt;=Beginning_of_period) * (1-SUM($K218:BK218)) /  IFERROR((DATEDIF(Beginning_of_period,$G218,"m") + 1) / Months_in_Period,0),0)</f>
        <v>0</v>
      </c>
      <c r="BM218" s="231">
        <f xml:space="preserve"> IFERROR(($E218&gt;0)*($E218 &lt;=End_of_period) * ($G218 &gt;=Beginning_of_period) * (1-SUM($K218:BL218)) /  IFERROR((DATEDIF(Beginning_of_period,$G218,"m") + 1) / Months_in_Period,0),0)</f>
        <v>0</v>
      </c>
      <c r="BN218" s="231">
        <f xml:space="preserve"> IFERROR(($E218&gt;0)*($E218 &lt;=End_of_period) * ($G218 &gt;=Beginning_of_period) * (1-SUM($K218:BM218)) /  IFERROR((DATEDIF(Beginning_of_period,$G218,"m") + 1) / Months_in_Period,0),0)</f>
        <v>0</v>
      </c>
      <c r="BO218" s="231">
        <f xml:space="preserve"> IFERROR(($E218&gt;0)*($E218 &lt;=End_of_period) * ($G218 &gt;=Beginning_of_period) * (1-SUM($K218:BN218)) /  IFERROR((DATEDIF(Beginning_of_period,$G218,"m") + 1) / Months_in_Period,0),0)</f>
        <v>0</v>
      </c>
      <c r="BP218" s="231">
        <f xml:space="preserve"> IFERROR(($E218&gt;0)*($E218 &lt;=End_of_period) * ($G218 &gt;=Beginning_of_period) * (1-SUM($K218:BO218)) /  IFERROR((DATEDIF(Beginning_of_period,$G218,"m") + 1) / Months_in_Period,0),0)</f>
        <v>0</v>
      </c>
      <c r="BQ218" s="231">
        <f xml:space="preserve"> IFERROR(($E218&gt;0)*($E218 &lt;=End_of_period) * ($G218 &gt;=Beginning_of_period) * (1-SUM($K218:BP218)) /  IFERROR((DATEDIF(Beginning_of_period,$G218,"m") + 1) / Months_in_Period,0),0)</f>
        <v>0</v>
      </c>
      <c r="BR218" s="231">
        <f xml:space="preserve"> IFERROR(($E218&gt;0)*($E218 &lt;=End_of_period) * ($G218 &gt;=Beginning_of_period) * (1-SUM($K218:BQ218)) /  IFERROR((DATEDIF(Beginning_of_period,$G218,"m") + 1) / Months_in_Period,0),0)</f>
        <v>0</v>
      </c>
      <c r="BS218" s="231">
        <f xml:space="preserve"> IFERROR(($E218&gt;0)*($E218 &lt;=End_of_period) * ($G218 &gt;=Beginning_of_period) * (1-SUM($K218:BR218)) /  IFERROR((DATEDIF(Beginning_of_period,$G218,"m") + 1) / Months_in_Period,0),0)</f>
        <v>0</v>
      </c>
      <c r="BT218" s="231">
        <f xml:space="preserve"> IFERROR(($E218&gt;0)*($E218 &lt;=End_of_period) * ($G218 &gt;=Beginning_of_period) * (1-SUM($K218:BS218)) /  IFERROR((DATEDIF(Beginning_of_period,$G218,"m") + 1) / Months_in_Period,0),0)</f>
        <v>0</v>
      </c>
      <c r="BU218" s="231">
        <f xml:space="preserve"> IFERROR(($E218&gt;0)*($E218 &lt;=End_of_period) * ($G218 &gt;=Beginning_of_period) * (1-SUM($K218:BT218)) /  IFERROR((DATEDIF(Beginning_of_period,$G218,"m") + 1) / Months_in_Period,0),0)</f>
        <v>0</v>
      </c>
      <c r="BV218" s="231">
        <f xml:space="preserve"> IFERROR(($E218&gt;0)*($E218 &lt;=End_of_period) * ($G218 &gt;=Beginning_of_period) * (1-SUM($K218:BU218)) /  IFERROR((DATEDIF(Beginning_of_period,$G218,"m") + 1) / Months_in_Period,0),0)</f>
        <v>0</v>
      </c>
      <c r="BW218" s="231">
        <f xml:space="preserve"> IFERROR(($E218&gt;0)*($E218 &lt;=End_of_period) * ($G218 &gt;=Beginning_of_period) * (1-SUM($K218:BV218)) /  IFERROR((DATEDIF(Beginning_of_period,$G218,"m") + 1) / Months_in_Period,0),0)</f>
        <v>0</v>
      </c>
      <c r="BX218" s="231">
        <f xml:space="preserve"> IFERROR(($E218&gt;0)*($E218 &lt;=End_of_period) * ($G218 &gt;=Beginning_of_period) * (1-SUM($K218:BW218)) /  IFERROR((DATEDIF(Beginning_of_period,$G218,"m") + 1) / Months_in_Period,0),0)</f>
        <v>0</v>
      </c>
      <c r="BY218" s="231">
        <f xml:space="preserve"> IFERROR(($E218&gt;0)*($E218 &lt;=End_of_period) * ($G218 &gt;=Beginning_of_period) * (1-SUM($K218:BX218)) /  IFERROR((DATEDIF(Beginning_of_period,$G218,"m") + 1) / Months_in_Period,0),0)</f>
        <v>0</v>
      </c>
      <c r="BZ218" s="231">
        <f xml:space="preserve"> IFERROR(($E218&gt;0)*($E218 &lt;=End_of_period) * ($G218 &gt;=Beginning_of_period) * (1-SUM($K218:BY218)) /  IFERROR((DATEDIF(Beginning_of_period,$G218,"m") + 1) / Months_in_Period,0),0)</f>
        <v>0</v>
      </c>
      <c r="CA218" s="231">
        <f xml:space="preserve"> IFERROR(($E218&gt;0)*($E218 &lt;=End_of_period) * ($G218 &gt;=Beginning_of_period) * (1-SUM($K218:BZ218)) /  IFERROR((DATEDIF(Beginning_of_period,$G218,"m") + 1) / Months_in_Period,0),0)</f>
        <v>0</v>
      </c>
      <c r="CB218" s="231">
        <f xml:space="preserve"> IFERROR(($E218&gt;0)*($E218 &lt;=End_of_period) * ($G218 &gt;=Beginning_of_period) * (1-SUM($K218:CA218)) /  IFERROR((DATEDIF(Beginning_of_period,$G218,"m") + 1) / Months_in_Period,0),0)</f>
        <v>0</v>
      </c>
      <c r="CC218" s="231">
        <f xml:space="preserve"> IFERROR(($E218&gt;0)*($E218 &lt;=End_of_period) * ($G218 &gt;=Beginning_of_period) * (1-SUM($K218:CB218)) /  IFERROR((DATEDIF(Beginning_of_period,$G218,"m") + 1) / Months_in_Period,0),0)</f>
        <v>0</v>
      </c>
      <c r="CD218" s="231">
        <f xml:space="preserve"> IFERROR(($E218&gt;0)*($E218 &lt;=End_of_period) * ($G218 &gt;=Beginning_of_period) * (1-SUM($K218:CC218)) /  IFERROR((DATEDIF(Beginning_of_period,$G218,"m") + 1) / Months_in_Period,0),0)</f>
        <v>0</v>
      </c>
      <c r="CE218" s="231">
        <f xml:space="preserve"> IFERROR(($E218&gt;0)*($E218 &lt;=End_of_period) * ($G218 &gt;=Beginning_of_period) * (1-SUM($K218:CD218)) /  IFERROR((DATEDIF(Beginning_of_period,$G218,"m") + 1) / Months_in_Period,0),0)</f>
        <v>0</v>
      </c>
      <c r="CF218" s="231">
        <f xml:space="preserve"> IFERROR(($E218&gt;0)*($E218 &lt;=End_of_period) * ($G218 &gt;=Beginning_of_period) * (1-SUM($K218:CE218)) /  IFERROR((DATEDIF(Beginning_of_period,$G218,"m") + 1) / Months_in_Period,0),0)</f>
        <v>0</v>
      </c>
      <c r="CG218" s="231">
        <f xml:space="preserve"> IFERROR(($E218&gt;0)*($E218 &lt;=End_of_period) * ($G218 &gt;=Beginning_of_period) * (1-SUM($K218:CF218)) /  IFERROR((DATEDIF(Beginning_of_period,$G218,"m") + 1) / Months_in_Period,0),0)</f>
        <v>0</v>
      </c>
      <c r="CH218" s="231">
        <f xml:space="preserve"> IFERROR(($E218&gt;0)*($E218 &lt;=End_of_period) * ($G218 &gt;=Beginning_of_period) * (1-SUM($K218:CG218)) /  IFERROR((DATEDIF(Beginning_of_period,$G218,"m") + 1) / Months_in_Period,0),0)</f>
        <v>0</v>
      </c>
      <c r="CI218" s="231">
        <f xml:space="preserve"> IFERROR(($E218&gt;0)*($E218 &lt;=End_of_period) * ($G218 &gt;=Beginning_of_period) * (1-SUM($K218:CH218)) /  IFERROR((DATEDIF(Beginning_of_period,$G218,"m") + 1) / Months_in_Period,0),0)</f>
        <v>0</v>
      </c>
      <c r="CJ218" s="231">
        <f xml:space="preserve"> IFERROR(($E218&gt;0)*($E218 &lt;=End_of_period) * ($G218 &gt;=Beginning_of_period) * (1-SUM($K218:CI218)) /  IFERROR((DATEDIF(Beginning_of_period,$G218,"m") + 1) / Months_in_Period,0),0)</f>
        <v>0</v>
      </c>
      <c r="CK218" s="231">
        <f xml:space="preserve"> IFERROR(($E218&gt;0)*($E218 &lt;=End_of_period) * ($G218 &gt;=Beginning_of_period) * (1-SUM($K218:CJ218)) /  IFERROR((DATEDIF(Beginning_of_period,$G218,"m") + 1) / Months_in_Period,0),0)</f>
        <v>0</v>
      </c>
      <c r="CL218" s="231">
        <f xml:space="preserve"> IFERROR(($E218&gt;0)*($E218 &lt;=End_of_period) * ($G218 &gt;=Beginning_of_period) * (1-SUM($K218:CK218)) /  IFERROR((DATEDIF(Beginning_of_period,$G218,"m") + 1) / Months_in_Period,0),0)</f>
        <v>0</v>
      </c>
      <c r="CM218" s="231">
        <f xml:space="preserve"> IFERROR(($E218&gt;0)*($E218 &lt;=End_of_period) * ($G218 &gt;=Beginning_of_period) * (1-SUM($K218:CL218)) /  IFERROR((DATEDIF(Beginning_of_period,$G218,"m") + 1) / Months_in_Period,0),0)</f>
        <v>0</v>
      </c>
      <c r="CN218" s="231">
        <f xml:space="preserve"> IFERROR(($E218&gt;0)*($E218 &lt;=End_of_period) * ($G218 &gt;=Beginning_of_period) * (1-SUM($K218:CM218)) /  IFERROR((DATEDIF(Beginning_of_period,$G218,"m") + 1) / Months_in_Period,0),0)</f>
        <v>0</v>
      </c>
      <c r="CO218" s="231">
        <f xml:space="preserve"> IFERROR(($E218&gt;0)*($E218 &lt;=End_of_period) * ($G218 &gt;=Beginning_of_period) * (1-SUM($K218:CN218)) /  IFERROR((DATEDIF(Beginning_of_period,$G218,"m") + 1) / Months_in_Period,0),0)</f>
        <v>0</v>
      </c>
      <c r="CP218" s="10"/>
    </row>
    <row r="219" spans="1:94" ht="15" hidden="1" customHeight="1">
      <c r="A219" s="10"/>
      <c r="B219" s="3"/>
      <c r="C219" s="17"/>
      <c r="D219" s="10"/>
      <c r="E219" s="10"/>
      <c r="F219" s="10"/>
      <c r="G219" s="471" t="str">
        <f>IF(MAX(G216:G218)&gt;Date_Construction_End,"Не рекомендуется продолжать финансирование инфраструктуры после окончания основного строительства","")</f>
        <v/>
      </c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</row>
    <row r="220" spans="1:94" ht="15" hidden="1" customHeight="1" thickBot="1">
      <c r="A220" s="10"/>
      <c r="B220" s="3"/>
      <c r="C220" s="12" t="str">
        <f xml:space="preserve"> "Расходы на создание " &amp; Контр_панель!C44 &amp; " (в базовых ценах, без НДС)"</f>
        <v>Расходы на создание Прочая обеспечивающая инфраструктура (в базовых ценах, без НДС)</v>
      </c>
      <c r="D220" s="12"/>
      <c r="E220" s="12"/>
      <c r="F220" s="12"/>
      <c r="G220" s="12"/>
      <c r="H220" s="12"/>
      <c r="I220" s="12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</row>
    <row r="221" spans="1:94" ht="15" hidden="1" customHeight="1">
      <c r="A221" s="10"/>
      <c r="B221" s="3"/>
      <c r="C221" s="17"/>
      <c r="D221" s="10"/>
      <c r="E221" s="10"/>
      <c r="F221" s="10"/>
      <c r="G221" s="11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</row>
    <row r="222" spans="1:94" ht="15" hidden="1" customHeight="1">
      <c r="A222" s="10"/>
      <c r="B222" s="3"/>
      <c r="C222" s="67" t="s">
        <v>809</v>
      </c>
      <c r="D222" s="10"/>
      <c r="E222" s="10"/>
      <c r="F222" s="10"/>
      <c r="G222" s="11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</row>
    <row r="223" spans="1:94" ht="15" hidden="1" customHeight="1">
      <c r="A223" s="10"/>
      <c r="B223" s="3"/>
      <c r="C223" s="17" t="s">
        <v>813</v>
      </c>
      <c r="D223" s="10"/>
      <c r="E223" s="14">
        <v>0</v>
      </c>
      <c r="F223" s="10"/>
      <c r="G223" s="11" t="s">
        <v>793</v>
      </c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</row>
    <row r="224" spans="1:94" ht="15" hidden="1" customHeight="1">
      <c r="A224" s="10"/>
      <c r="B224" s="3"/>
      <c r="C224" s="17" t="s">
        <v>812</v>
      </c>
      <c r="D224" s="10"/>
      <c r="E224" s="225">
        <f xml:space="preserve"> E82</f>
        <v>0</v>
      </c>
      <c r="F224" s="10"/>
      <c r="G224" s="11" t="s">
        <v>790</v>
      </c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</row>
    <row r="225" spans="1:94" ht="15" hidden="1" customHeight="1">
      <c r="A225" s="10"/>
      <c r="B225" s="3"/>
      <c r="C225" s="17" t="s">
        <v>814</v>
      </c>
      <c r="D225" s="10"/>
      <c r="E225" s="14">
        <v>0</v>
      </c>
      <c r="F225" s="10"/>
      <c r="G225" s="11" t="s">
        <v>26</v>
      </c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</row>
    <row r="226" spans="1:94" ht="15" hidden="1" customHeight="1">
      <c r="A226" s="10"/>
      <c r="B226" s="3"/>
      <c r="C226" s="248" t="s">
        <v>818</v>
      </c>
      <c r="D226" s="228"/>
      <c r="E226" s="229">
        <f>E223*E224+E225</f>
        <v>0</v>
      </c>
      <c r="F226" s="228"/>
      <c r="G226" s="230" t="str">
        <f>Monetary_Unit</f>
        <v>тыс. руб.</v>
      </c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</row>
    <row r="227" spans="1:94" ht="15" hidden="1" customHeight="1">
      <c r="A227" s="10"/>
      <c r="B227" s="3"/>
      <c r="C227" s="17"/>
      <c r="D227" s="10"/>
      <c r="E227" s="225"/>
      <c r="F227" s="10"/>
      <c r="G227" s="11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</row>
    <row r="228" spans="1:94" ht="15" hidden="1" customHeight="1">
      <c r="A228" s="10"/>
      <c r="B228" s="3"/>
      <c r="C228" s="67" t="s">
        <v>810</v>
      </c>
      <c r="D228" s="10"/>
      <c r="E228" s="10"/>
      <c r="F228" s="10"/>
      <c r="G228" s="11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</row>
    <row r="229" spans="1:94" ht="15" hidden="1" customHeight="1">
      <c r="A229" s="10"/>
      <c r="B229" s="3"/>
      <c r="C229" s="17" t="s">
        <v>815</v>
      </c>
      <c r="D229" s="10"/>
      <c r="E229" s="167">
        <v>0</v>
      </c>
      <c r="F229" s="10"/>
      <c r="G229" s="11" t="s">
        <v>625</v>
      </c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</row>
    <row r="230" spans="1:94" ht="15" hidden="1" customHeight="1">
      <c r="A230" s="10"/>
      <c r="B230" s="3"/>
      <c r="C230" s="17" t="s">
        <v>797</v>
      </c>
      <c r="D230" s="10"/>
      <c r="E230" s="167">
        <v>0</v>
      </c>
      <c r="F230" s="10"/>
      <c r="G230" s="11" t="s">
        <v>629</v>
      </c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</row>
    <row r="231" spans="1:94" ht="15" hidden="1" customHeight="1">
      <c r="A231" s="10"/>
      <c r="B231" s="3"/>
      <c r="C231" s="17"/>
      <c r="D231" s="10"/>
      <c r="E231" s="10"/>
      <c r="F231" s="10"/>
      <c r="G231" s="11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</row>
    <row r="232" spans="1:94" ht="15" hidden="1" customHeight="1">
      <c r="A232" s="10"/>
      <c r="B232" s="3"/>
      <c r="C232" s="67" t="s">
        <v>811</v>
      </c>
      <c r="D232" s="10"/>
      <c r="E232" s="10" t="str">
        <f>"текушие цены на " &amp; TEXT(Расчеты!$E$85-1,"ДД.ММ.ГГГГ")</f>
        <v>текушие цены на 31.12.2024</v>
      </c>
      <c r="F232" s="10"/>
      <c r="G232" s="11"/>
      <c r="H232" s="10" t="s">
        <v>1176</v>
      </c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</row>
    <row r="233" spans="1:94" ht="15" hidden="1" customHeight="1">
      <c r="A233" s="10"/>
      <c r="B233" s="3"/>
      <c r="C233" s="17" t="s">
        <v>630</v>
      </c>
      <c r="D233" s="10"/>
      <c r="E233" s="225">
        <f xml:space="preserve"> E226 * E229</f>
        <v>0</v>
      </c>
      <c r="F233" s="10"/>
      <c r="G233" s="11" t="str">
        <f>Monetary_Unit</f>
        <v>тыс. руб.</v>
      </c>
      <c r="H233" s="10">
        <f ca="1">E233*SUMPRODUCT(L240:CO240,CAPEX_Accumulated_From_Date)</f>
        <v>0</v>
      </c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</row>
    <row r="234" spans="1:94" ht="15" hidden="1" customHeight="1">
      <c r="A234" s="10"/>
      <c r="B234" s="3"/>
      <c r="C234" s="17" t="s">
        <v>632</v>
      </c>
      <c r="D234" s="10"/>
      <c r="E234" s="225">
        <v>0</v>
      </c>
      <c r="F234" s="10"/>
      <c r="G234" s="11" t="str">
        <f>Monetary_Unit</f>
        <v>тыс. руб.</v>
      </c>
      <c r="H234" s="10">
        <f ca="1">E234*SUMPRODUCT(L241:CO241,CAPEX_Accumulated_From_Date)</f>
        <v>0</v>
      </c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</row>
    <row r="235" spans="1:94" ht="15" hidden="1" customHeight="1">
      <c r="A235" s="10"/>
      <c r="B235" s="3"/>
      <c r="C235" s="17" t="s">
        <v>821</v>
      </c>
      <c r="D235" s="10"/>
      <c r="E235" s="225">
        <f>E223*E224+E225</f>
        <v>0</v>
      </c>
      <c r="F235" s="10"/>
      <c r="G235" s="11" t="str">
        <f>Monetary_Unit</f>
        <v>тыс. руб.</v>
      </c>
      <c r="H235" s="10">
        <f ca="1">E235*SUMPRODUCT(L242:CO242,CAPEX_Accumulated_From_Date)</f>
        <v>0</v>
      </c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</row>
    <row r="236" spans="1:94" ht="15" hidden="1" customHeight="1">
      <c r="A236" s="10"/>
      <c r="B236" s="3"/>
      <c r="C236" s="17" t="s">
        <v>797</v>
      </c>
      <c r="D236" s="10"/>
      <c r="E236" s="225">
        <f xml:space="preserve"> SUM(E233:E235) * E230</f>
        <v>0</v>
      </c>
      <c r="F236" s="10"/>
      <c r="G236" s="11" t="str">
        <f>Monetary_Unit</f>
        <v>тыс. руб.</v>
      </c>
      <c r="H236" s="225">
        <f ca="1" xml:space="preserve"> SUM(H233:H235) * E230</f>
        <v>0</v>
      </c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</row>
    <row r="237" spans="1:94" ht="15" hidden="1" customHeight="1">
      <c r="A237" s="10"/>
      <c r="B237" s="3"/>
      <c r="C237" s="248" t="s">
        <v>808</v>
      </c>
      <c r="D237" s="228"/>
      <c r="E237" s="229">
        <f>SUM(E233:E236)</f>
        <v>0</v>
      </c>
      <c r="F237" s="228"/>
      <c r="G237" s="230" t="str">
        <f>Monetary_Unit</f>
        <v>тыс. руб.</v>
      </c>
      <c r="H237" s="229">
        <f ca="1">SUM(H233:H236)</f>
        <v>0</v>
      </c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</row>
    <row r="238" spans="1:94" ht="15" hidden="1" customHeight="1">
      <c r="A238" s="10"/>
      <c r="B238" s="3"/>
      <c r="C238" s="17"/>
      <c r="D238" s="10"/>
      <c r="E238" s="225"/>
      <c r="F238" s="10"/>
      <c r="G238" s="11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</row>
    <row r="239" spans="1:94" ht="15" hidden="1" customHeight="1">
      <c r="A239" s="10"/>
      <c r="B239" s="3"/>
      <c r="C239" s="67" t="s">
        <v>825</v>
      </c>
      <c r="D239" s="10"/>
      <c r="E239" s="10" t="s">
        <v>635</v>
      </c>
      <c r="F239" s="10"/>
      <c r="G239" s="11" t="s">
        <v>636</v>
      </c>
      <c r="H239" s="62" t="s">
        <v>648</v>
      </c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</row>
    <row r="240" spans="1:94" ht="15" hidden="1" customHeight="1">
      <c r="A240" s="10"/>
      <c r="B240" s="3"/>
      <c r="C240" s="17" t="s">
        <v>630</v>
      </c>
      <c r="D240" s="10"/>
      <c r="E240" s="71"/>
      <c r="F240" s="10"/>
      <c r="G240" s="71"/>
      <c r="H240" s="149">
        <f xml:space="preserve"> IFERROR((DATEDIF(E240,G240,"m") + 1) / Months_in_Period,0)</f>
        <v>0.33333333333333331</v>
      </c>
      <c r="I240" s="231">
        <f>IF(SUM(L240:CO240)=0,1,SUM(L240:CO240))</f>
        <v>1</v>
      </c>
      <c r="J240" s="10"/>
      <c r="K240" s="10"/>
      <c r="L240" s="231">
        <f xml:space="preserve"> IFERROR(($E240&gt;0)*($E240 &lt;=End_of_period) * ($G240 &gt;=Beginning_of_period) * (1-SUM($K240:K240)) /  IFERROR((DATEDIF(Beginning_of_period,$G240,"m") + 1) / Months_in_Period,0),0)</f>
        <v>0</v>
      </c>
      <c r="M240" s="231">
        <f xml:space="preserve"> IFERROR(($E240&gt;0)*($E240 &lt;=End_of_period) * ($G240 &gt;=Beginning_of_period) * (1-SUM($K240:L240)) /  IFERROR((DATEDIF(Beginning_of_period,$G240,"m") + 1) / Months_in_Period,0),0)</f>
        <v>0</v>
      </c>
      <c r="N240" s="231">
        <f xml:space="preserve"> IFERROR(($E240&gt;0)*($E240 &lt;=End_of_period) * ($G240 &gt;=Beginning_of_period) * (1-SUM($K240:M240)) /  IFERROR((DATEDIF(Beginning_of_period,$G240,"m") + 1) / Months_in_Period,0),0)</f>
        <v>0</v>
      </c>
      <c r="O240" s="231">
        <f xml:space="preserve"> IFERROR(($E240&gt;0)*($E240 &lt;=End_of_period) * ($G240 &gt;=Beginning_of_period) * (1-SUM($K240:N240)) /  IFERROR((DATEDIF(Beginning_of_period,$G240,"m") + 1) / Months_in_Period,0),0)</f>
        <v>0</v>
      </c>
      <c r="P240" s="231">
        <f xml:space="preserve"> IFERROR(($E240&gt;0)*($E240 &lt;=End_of_period) * ($G240 &gt;=Beginning_of_period) * (1-SUM($K240:O240)) /  IFERROR((DATEDIF(Beginning_of_period,$G240,"m") + 1) / Months_in_Period,0),0)</f>
        <v>0</v>
      </c>
      <c r="Q240" s="231">
        <f xml:space="preserve"> IFERROR(($E240&gt;0)*($E240 &lt;=End_of_period) * ($G240 &gt;=Beginning_of_period) * (1-SUM($K240:P240)) /  IFERROR((DATEDIF(Beginning_of_period,$G240,"m") + 1) / Months_in_Period,0),0)</f>
        <v>0</v>
      </c>
      <c r="R240" s="231">
        <f xml:space="preserve"> IFERROR(($E240&gt;0)*($E240 &lt;=End_of_period) * ($G240 &gt;=Beginning_of_period) * (1-SUM($K240:Q240)) /  IFERROR((DATEDIF(Beginning_of_period,$G240,"m") + 1) / Months_in_Period,0),0)</f>
        <v>0</v>
      </c>
      <c r="S240" s="231">
        <f xml:space="preserve"> IFERROR(($E240&gt;0)*($E240 &lt;=End_of_period) * ($G240 &gt;=Beginning_of_period) * (1-SUM($K240:R240)) /  IFERROR((DATEDIF(Beginning_of_period,$G240,"m") + 1) / Months_in_Period,0),0)</f>
        <v>0</v>
      </c>
      <c r="T240" s="231">
        <f xml:space="preserve"> IFERROR(($E240&gt;0)*($E240 &lt;=End_of_period) * ($G240 &gt;=Beginning_of_period) * (1-SUM($K240:S240)) /  IFERROR((DATEDIF(Beginning_of_period,$G240,"m") + 1) / Months_in_Period,0),0)</f>
        <v>0</v>
      </c>
      <c r="U240" s="231">
        <f xml:space="preserve"> IFERROR(($E240&gt;0)*($E240 &lt;=End_of_period) * ($G240 &gt;=Beginning_of_period) * (1-SUM($K240:T240)) /  IFERROR((DATEDIF(Beginning_of_period,$G240,"m") + 1) / Months_in_Period,0),0)</f>
        <v>0</v>
      </c>
      <c r="V240" s="231">
        <f xml:space="preserve"> IFERROR(($E240&gt;0)*($E240 &lt;=End_of_period) * ($G240 &gt;=Beginning_of_period) * (1-SUM($K240:U240)) /  IFERROR((DATEDIF(Beginning_of_period,$G240,"m") + 1) / Months_in_Period,0),0)</f>
        <v>0</v>
      </c>
      <c r="W240" s="231">
        <f xml:space="preserve"> IFERROR(($E240&gt;0)*($E240 &lt;=End_of_period) * ($G240 &gt;=Beginning_of_period) * (1-SUM($K240:V240)) /  IFERROR((DATEDIF(Beginning_of_period,$G240,"m") + 1) / Months_in_Period,0),0)</f>
        <v>0</v>
      </c>
      <c r="X240" s="231">
        <f xml:space="preserve"> IFERROR(($E240&gt;0)*($E240 &lt;=End_of_period) * ($G240 &gt;=Beginning_of_period) * (1-SUM($K240:W240)) /  IFERROR((DATEDIF(Beginning_of_period,$G240,"m") + 1) / Months_in_Period,0),0)</f>
        <v>0</v>
      </c>
      <c r="Y240" s="231">
        <f xml:space="preserve"> IFERROR(($E240&gt;0)*($E240 &lt;=End_of_period) * ($G240 &gt;=Beginning_of_period) * (1-SUM($K240:X240)) /  IFERROR((DATEDIF(Beginning_of_period,$G240,"m") + 1) / Months_in_Period,0),0)</f>
        <v>0</v>
      </c>
      <c r="Z240" s="231">
        <f xml:space="preserve"> IFERROR(($E240&gt;0)*($E240 &lt;=End_of_period) * ($G240 &gt;=Beginning_of_period) * (1-SUM($K240:Y240)) /  IFERROR((DATEDIF(Beginning_of_period,$G240,"m") + 1) / Months_in_Period,0),0)</f>
        <v>0</v>
      </c>
      <c r="AA240" s="231">
        <f xml:space="preserve"> IFERROR(($E240&gt;0)*($E240 &lt;=End_of_period) * ($G240 &gt;=Beginning_of_period) * (1-SUM($K240:Z240)) /  IFERROR((DATEDIF(Beginning_of_period,$G240,"m") + 1) / Months_in_Period,0),0)</f>
        <v>0</v>
      </c>
      <c r="AB240" s="231">
        <f xml:space="preserve"> IFERROR(($E240&gt;0)*($E240 &lt;=End_of_period) * ($G240 &gt;=Beginning_of_period) * (1-SUM($K240:AA240)) /  IFERROR((DATEDIF(Beginning_of_period,$G240,"m") + 1) / Months_in_Period,0),0)</f>
        <v>0</v>
      </c>
      <c r="AC240" s="231">
        <f xml:space="preserve"> IFERROR(($E240&gt;0)*($E240 &lt;=End_of_period) * ($G240 &gt;=Beginning_of_period) * (1-SUM($K240:AB240)) /  IFERROR((DATEDIF(Beginning_of_period,$G240,"m") + 1) / Months_in_Period,0),0)</f>
        <v>0</v>
      </c>
      <c r="AD240" s="231">
        <f xml:space="preserve"> IFERROR(($E240&gt;0)*($E240 &lt;=End_of_period) * ($G240 &gt;=Beginning_of_period) * (1-SUM($K240:AC240)) /  IFERROR((DATEDIF(Beginning_of_period,$G240,"m") + 1) / Months_in_Period,0),0)</f>
        <v>0</v>
      </c>
      <c r="AE240" s="231">
        <f xml:space="preserve"> IFERROR(($E240&gt;0)*($E240 &lt;=End_of_period) * ($G240 &gt;=Beginning_of_period) * (1-SUM($K240:AD240)) /  IFERROR((DATEDIF(Beginning_of_period,$G240,"m") + 1) / Months_in_Period,0),0)</f>
        <v>0</v>
      </c>
      <c r="AF240" s="231">
        <f xml:space="preserve"> IFERROR(($E240&gt;0)*($E240 &lt;=End_of_period) * ($G240 &gt;=Beginning_of_period) * (1-SUM($K240:AE240)) /  IFERROR((DATEDIF(Beginning_of_period,$G240,"m") + 1) / Months_in_Period,0),0)</f>
        <v>0</v>
      </c>
      <c r="AG240" s="231">
        <f xml:space="preserve"> IFERROR(($E240&gt;0)*($E240 &lt;=End_of_period) * ($G240 &gt;=Beginning_of_period) * (1-SUM($K240:AF240)) /  IFERROR((DATEDIF(Beginning_of_period,$G240,"m") + 1) / Months_in_Period,0),0)</f>
        <v>0</v>
      </c>
      <c r="AH240" s="231">
        <f xml:space="preserve"> IFERROR(($E240&gt;0)*($E240 &lt;=End_of_period) * ($G240 &gt;=Beginning_of_period) * (1-SUM($K240:AG240)) /  IFERROR((DATEDIF(Beginning_of_period,$G240,"m") + 1) / Months_in_Period,0),0)</f>
        <v>0</v>
      </c>
      <c r="AI240" s="231">
        <f xml:space="preserve"> IFERROR(($E240&gt;0)*($E240 &lt;=End_of_period) * ($G240 &gt;=Beginning_of_period) * (1-SUM($K240:AH240)) /  IFERROR((DATEDIF(Beginning_of_period,$G240,"m") + 1) / Months_in_Period,0),0)</f>
        <v>0</v>
      </c>
      <c r="AJ240" s="231">
        <f xml:space="preserve"> IFERROR(($E240&gt;0)*($E240 &lt;=End_of_period) * ($G240 &gt;=Beginning_of_period) * (1-SUM($K240:AI240)) /  IFERROR((DATEDIF(Beginning_of_period,$G240,"m") + 1) / Months_in_Period,0),0)</f>
        <v>0</v>
      </c>
      <c r="AK240" s="231">
        <f xml:space="preserve"> IFERROR(($E240&gt;0)*($E240 &lt;=End_of_period) * ($G240 &gt;=Beginning_of_period) * (1-SUM($K240:AJ240)) /  IFERROR((DATEDIF(Beginning_of_period,$G240,"m") + 1) / Months_in_Period,0),0)</f>
        <v>0</v>
      </c>
      <c r="AL240" s="231">
        <f xml:space="preserve"> IFERROR(($E240&gt;0)*($E240 &lt;=End_of_period) * ($G240 &gt;=Beginning_of_period) * (1-SUM($K240:AK240)) /  IFERROR((DATEDIF(Beginning_of_period,$G240,"m") + 1) / Months_in_Period,0),0)</f>
        <v>0</v>
      </c>
      <c r="AM240" s="231">
        <f xml:space="preserve"> IFERROR(($E240&gt;0)*($E240 &lt;=End_of_period) * ($G240 &gt;=Beginning_of_period) * (1-SUM($K240:AL240)) /  IFERROR((DATEDIF(Beginning_of_period,$G240,"m") + 1) / Months_in_Period,0),0)</f>
        <v>0</v>
      </c>
      <c r="AN240" s="231">
        <f xml:space="preserve"> IFERROR(($E240&gt;0)*($E240 &lt;=End_of_period) * ($G240 &gt;=Beginning_of_period) * (1-SUM($K240:AM240)) /  IFERROR((DATEDIF(Beginning_of_period,$G240,"m") + 1) / Months_in_Period,0),0)</f>
        <v>0</v>
      </c>
      <c r="AO240" s="231">
        <f xml:space="preserve"> IFERROR(($E240&gt;0)*($E240 &lt;=End_of_period) * ($G240 &gt;=Beginning_of_period) * (1-SUM($K240:AN240)) /  IFERROR((DATEDIF(Beginning_of_period,$G240,"m") + 1) / Months_in_Period,0),0)</f>
        <v>0</v>
      </c>
      <c r="AP240" s="231">
        <f xml:space="preserve"> IFERROR(($E240&gt;0)*($E240 &lt;=End_of_period) * ($G240 &gt;=Beginning_of_period) * (1-SUM($K240:AO240)) /  IFERROR((DATEDIF(Beginning_of_period,$G240,"m") + 1) / Months_in_Period,0),0)</f>
        <v>0</v>
      </c>
      <c r="AQ240" s="231">
        <f xml:space="preserve"> IFERROR(($E240&gt;0)*($E240 &lt;=End_of_period) * ($G240 &gt;=Beginning_of_period) * (1-SUM($K240:AP240)) /  IFERROR((DATEDIF(Beginning_of_period,$G240,"m") + 1) / Months_in_Period,0),0)</f>
        <v>0</v>
      </c>
      <c r="AR240" s="231">
        <f xml:space="preserve"> IFERROR(($E240&gt;0)*($E240 &lt;=End_of_period) * ($G240 &gt;=Beginning_of_period) * (1-SUM($K240:AQ240)) /  IFERROR((DATEDIF(Beginning_of_period,$G240,"m") + 1) / Months_in_Period,0),0)</f>
        <v>0</v>
      </c>
      <c r="AS240" s="231">
        <f xml:space="preserve"> IFERROR(($E240&gt;0)*($E240 &lt;=End_of_period) * ($G240 &gt;=Beginning_of_period) * (1-SUM($K240:AR240)) /  IFERROR((DATEDIF(Beginning_of_period,$G240,"m") + 1) / Months_in_Period,0),0)</f>
        <v>0</v>
      </c>
      <c r="AT240" s="231">
        <f xml:space="preserve"> IFERROR(($E240&gt;0)*($E240 &lt;=End_of_period) * ($G240 &gt;=Beginning_of_period) * (1-SUM($K240:AS240)) /  IFERROR((DATEDIF(Beginning_of_period,$G240,"m") + 1) / Months_in_Period,0),0)</f>
        <v>0</v>
      </c>
      <c r="AU240" s="231">
        <f xml:space="preserve"> IFERROR(($E240&gt;0)*($E240 &lt;=End_of_period) * ($G240 &gt;=Beginning_of_period) * (1-SUM($K240:AT240)) /  IFERROR((DATEDIF(Beginning_of_period,$G240,"m") + 1) / Months_in_Period,0),0)</f>
        <v>0</v>
      </c>
      <c r="AV240" s="231">
        <f xml:space="preserve"> IFERROR(($E240&gt;0)*($E240 &lt;=End_of_period) * ($G240 &gt;=Beginning_of_period) * (1-SUM($K240:AU240)) /  IFERROR((DATEDIF(Beginning_of_period,$G240,"m") + 1) / Months_in_Period,0),0)</f>
        <v>0</v>
      </c>
      <c r="AW240" s="231">
        <f xml:space="preserve"> IFERROR(($E240&gt;0)*($E240 &lt;=End_of_period) * ($G240 &gt;=Beginning_of_period) * (1-SUM($K240:AV240)) /  IFERROR((DATEDIF(Beginning_of_period,$G240,"m") + 1) / Months_in_Period,0),0)</f>
        <v>0</v>
      </c>
      <c r="AX240" s="231">
        <f xml:space="preserve"> IFERROR(($E240&gt;0)*($E240 &lt;=End_of_period) * ($G240 &gt;=Beginning_of_period) * (1-SUM($K240:AW240)) /  IFERROR((DATEDIF(Beginning_of_period,$G240,"m") + 1) / Months_in_Period,0),0)</f>
        <v>0</v>
      </c>
      <c r="AY240" s="231">
        <f xml:space="preserve"> IFERROR(($E240&gt;0)*($E240 &lt;=End_of_period) * ($G240 &gt;=Beginning_of_period) * (1-SUM($K240:AX240)) /  IFERROR((DATEDIF(Beginning_of_period,$G240,"m") + 1) / Months_in_Period,0),0)</f>
        <v>0</v>
      </c>
      <c r="AZ240" s="231">
        <f xml:space="preserve"> IFERROR(($E240&gt;0)*($E240 &lt;=End_of_period) * ($G240 &gt;=Beginning_of_period) * (1-SUM($K240:AY240)) /  IFERROR((DATEDIF(Beginning_of_period,$G240,"m") + 1) / Months_in_Period,0),0)</f>
        <v>0</v>
      </c>
      <c r="BA240" s="231">
        <f xml:space="preserve"> IFERROR(($E240&gt;0)*($E240 &lt;=End_of_period) * ($G240 &gt;=Beginning_of_period) * (1-SUM($K240:AZ240)) /  IFERROR((DATEDIF(Beginning_of_period,$G240,"m") + 1) / Months_in_Period,0),0)</f>
        <v>0</v>
      </c>
      <c r="BB240" s="231">
        <f xml:space="preserve"> IFERROR(($E240&gt;0)*($E240 &lt;=End_of_period) * ($G240 &gt;=Beginning_of_period) * (1-SUM($K240:BA240)) /  IFERROR((DATEDIF(Beginning_of_period,$G240,"m") + 1) / Months_in_Period,0),0)</f>
        <v>0</v>
      </c>
      <c r="BC240" s="231">
        <f xml:space="preserve"> IFERROR(($E240&gt;0)*($E240 &lt;=End_of_period) * ($G240 &gt;=Beginning_of_period) * (1-SUM($K240:BB240)) /  IFERROR((DATEDIF(Beginning_of_period,$G240,"m") + 1) / Months_in_Period,0),0)</f>
        <v>0</v>
      </c>
      <c r="BD240" s="231">
        <f xml:space="preserve"> IFERROR(($E240&gt;0)*($E240 &lt;=End_of_period) * ($G240 &gt;=Beginning_of_period) * (1-SUM($K240:BC240)) /  IFERROR((DATEDIF(Beginning_of_period,$G240,"m") + 1) / Months_in_Period,0),0)</f>
        <v>0</v>
      </c>
      <c r="BE240" s="231">
        <f xml:space="preserve"> IFERROR(($E240&gt;0)*($E240 &lt;=End_of_period) * ($G240 &gt;=Beginning_of_period) * (1-SUM($K240:BD240)) /  IFERROR((DATEDIF(Beginning_of_period,$G240,"m") + 1) / Months_in_Period,0),0)</f>
        <v>0</v>
      </c>
      <c r="BF240" s="231">
        <f xml:space="preserve"> IFERROR(($E240&gt;0)*($E240 &lt;=End_of_period) * ($G240 &gt;=Beginning_of_period) * (1-SUM($K240:BE240)) /  IFERROR((DATEDIF(Beginning_of_period,$G240,"m") + 1) / Months_in_Period,0),0)</f>
        <v>0</v>
      </c>
      <c r="BG240" s="231">
        <f xml:space="preserve"> IFERROR(($E240&gt;0)*($E240 &lt;=End_of_period) * ($G240 &gt;=Beginning_of_period) * (1-SUM($K240:BF240)) /  IFERROR((DATEDIF(Beginning_of_period,$G240,"m") + 1) / Months_in_Period,0),0)</f>
        <v>0</v>
      </c>
      <c r="BH240" s="231">
        <f xml:space="preserve"> IFERROR(($E240&gt;0)*($E240 &lt;=End_of_period) * ($G240 &gt;=Beginning_of_period) * (1-SUM($K240:BG240)) /  IFERROR((DATEDIF(Beginning_of_period,$G240,"m") + 1) / Months_in_Period,0),0)</f>
        <v>0</v>
      </c>
      <c r="BI240" s="231">
        <f xml:space="preserve"> IFERROR(($E240&gt;0)*($E240 &lt;=End_of_period) * ($G240 &gt;=Beginning_of_period) * (1-SUM($K240:BH240)) /  IFERROR((DATEDIF(Beginning_of_period,$G240,"m") + 1) / Months_in_Period,0),0)</f>
        <v>0</v>
      </c>
      <c r="BJ240" s="231">
        <f xml:space="preserve"> IFERROR(($E240&gt;0)*($E240 &lt;=End_of_period) * ($G240 &gt;=Beginning_of_period) * (1-SUM($K240:BI240)) /  IFERROR((DATEDIF(Beginning_of_period,$G240,"m") + 1) / Months_in_Period,0),0)</f>
        <v>0</v>
      </c>
      <c r="BK240" s="231">
        <f xml:space="preserve"> IFERROR(($E240&gt;0)*($E240 &lt;=End_of_period) * ($G240 &gt;=Beginning_of_period) * (1-SUM($K240:BJ240)) /  IFERROR((DATEDIF(Beginning_of_period,$G240,"m") + 1) / Months_in_Period,0),0)</f>
        <v>0</v>
      </c>
      <c r="BL240" s="231">
        <f xml:space="preserve"> IFERROR(($E240&gt;0)*($E240 &lt;=End_of_period) * ($G240 &gt;=Beginning_of_period) * (1-SUM($K240:BK240)) /  IFERROR((DATEDIF(Beginning_of_period,$G240,"m") + 1) / Months_in_Period,0),0)</f>
        <v>0</v>
      </c>
      <c r="BM240" s="231">
        <f xml:space="preserve"> IFERROR(($E240&gt;0)*($E240 &lt;=End_of_period) * ($G240 &gt;=Beginning_of_period) * (1-SUM($K240:BL240)) /  IFERROR((DATEDIF(Beginning_of_period,$G240,"m") + 1) / Months_in_Period,0),0)</f>
        <v>0</v>
      </c>
      <c r="BN240" s="231">
        <f xml:space="preserve"> IFERROR(($E240&gt;0)*($E240 &lt;=End_of_period) * ($G240 &gt;=Beginning_of_period) * (1-SUM($K240:BM240)) /  IFERROR((DATEDIF(Beginning_of_period,$G240,"m") + 1) / Months_in_Period,0),0)</f>
        <v>0</v>
      </c>
      <c r="BO240" s="231">
        <f xml:space="preserve"> IFERROR(($E240&gt;0)*($E240 &lt;=End_of_period) * ($G240 &gt;=Beginning_of_period) * (1-SUM($K240:BN240)) /  IFERROR((DATEDIF(Beginning_of_period,$G240,"m") + 1) / Months_in_Period,0),0)</f>
        <v>0</v>
      </c>
      <c r="BP240" s="231">
        <f xml:space="preserve"> IFERROR(($E240&gt;0)*($E240 &lt;=End_of_period) * ($G240 &gt;=Beginning_of_period) * (1-SUM($K240:BO240)) /  IFERROR((DATEDIF(Beginning_of_period,$G240,"m") + 1) / Months_in_Period,0),0)</f>
        <v>0</v>
      </c>
      <c r="BQ240" s="231">
        <f xml:space="preserve"> IFERROR(($E240&gt;0)*($E240 &lt;=End_of_period) * ($G240 &gt;=Beginning_of_period) * (1-SUM($K240:BP240)) /  IFERROR((DATEDIF(Beginning_of_period,$G240,"m") + 1) / Months_in_Period,0),0)</f>
        <v>0</v>
      </c>
      <c r="BR240" s="231">
        <f xml:space="preserve"> IFERROR(($E240&gt;0)*($E240 &lt;=End_of_period) * ($G240 &gt;=Beginning_of_period) * (1-SUM($K240:BQ240)) /  IFERROR((DATEDIF(Beginning_of_period,$G240,"m") + 1) / Months_in_Period,0),0)</f>
        <v>0</v>
      </c>
      <c r="BS240" s="231">
        <f xml:space="preserve"> IFERROR(($E240&gt;0)*($E240 &lt;=End_of_period) * ($G240 &gt;=Beginning_of_period) * (1-SUM($K240:BR240)) /  IFERROR((DATEDIF(Beginning_of_period,$G240,"m") + 1) / Months_in_Period,0),0)</f>
        <v>0</v>
      </c>
      <c r="BT240" s="231">
        <f xml:space="preserve"> IFERROR(($E240&gt;0)*($E240 &lt;=End_of_period) * ($G240 &gt;=Beginning_of_period) * (1-SUM($K240:BS240)) /  IFERROR((DATEDIF(Beginning_of_period,$G240,"m") + 1) / Months_in_Period,0),0)</f>
        <v>0</v>
      </c>
      <c r="BU240" s="231">
        <f xml:space="preserve"> IFERROR(($E240&gt;0)*($E240 &lt;=End_of_period) * ($G240 &gt;=Beginning_of_period) * (1-SUM($K240:BT240)) /  IFERROR((DATEDIF(Beginning_of_period,$G240,"m") + 1) / Months_in_Period,0),0)</f>
        <v>0</v>
      </c>
      <c r="BV240" s="231">
        <f xml:space="preserve"> IFERROR(($E240&gt;0)*($E240 &lt;=End_of_period) * ($G240 &gt;=Beginning_of_period) * (1-SUM($K240:BU240)) /  IFERROR((DATEDIF(Beginning_of_period,$G240,"m") + 1) / Months_in_Period,0),0)</f>
        <v>0</v>
      </c>
      <c r="BW240" s="231">
        <f xml:space="preserve"> IFERROR(($E240&gt;0)*($E240 &lt;=End_of_period) * ($G240 &gt;=Beginning_of_period) * (1-SUM($K240:BV240)) /  IFERROR((DATEDIF(Beginning_of_period,$G240,"m") + 1) / Months_in_Period,0),0)</f>
        <v>0</v>
      </c>
      <c r="BX240" s="231">
        <f xml:space="preserve"> IFERROR(($E240&gt;0)*($E240 &lt;=End_of_period) * ($G240 &gt;=Beginning_of_period) * (1-SUM($K240:BW240)) /  IFERROR((DATEDIF(Beginning_of_period,$G240,"m") + 1) / Months_in_Period,0),0)</f>
        <v>0</v>
      </c>
      <c r="BY240" s="231">
        <f xml:space="preserve"> IFERROR(($E240&gt;0)*($E240 &lt;=End_of_period) * ($G240 &gt;=Beginning_of_period) * (1-SUM($K240:BX240)) /  IFERROR((DATEDIF(Beginning_of_period,$G240,"m") + 1) / Months_in_Period,0),0)</f>
        <v>0</v>
      </c>
      <c r="BZ240" s="231">
        <f xml:space="preserve"> IFERROR(($E240&gt;0)*($E240 &lt;=End_of_period) * ($G240 &gt;=Beginning_of_period) * (1-SUM($K240:BY240)) /  IFERROR((DATEDIF(Beginning_of_period,$G240,"m") + 1) / Months_in_Period,0),0)</f>
        <v>0</v>
      </c>
      <c r="CA240" s="231">
        <f xml:space="preserve"> IFERROR(($E240&gt;0)*($E240 &lt;=End_of_period) * ($G240 &gt;=Beginning_of_period) * (1-SUM($K240:BZ240)) /  IFERROR((DATEDIF(Beginning_of_period,$G240,"m") + 1) / Months_in_Period,0),0)</f>
        <v>0</v>
      </c>
      <c r="CB240" s="231">
        <f xml:space="preserve"> IFERROR(($E240&gt;0)*($E240 &lt;=End_of_period) * ($G240 &gt;=Beginning_of_period) * (1-SUM($K240:CA240)) /  IFERROR((DATEDIF(Beginning_of_period,$G240,"m") + 1) / Months_in_Period,0),0)</f>
        <v>0</v>
      </c>
      <c r="CC240" s="231">
        <f xml:space="preserve"> IFERROR(($E240&gt;0)*($E240 &lt;=End_of_period) * ($G240 &gt;=Beginning_of_period) * (1-SUM($K240:CB240)) /  IFERROR((DATEDIF(Beginning_of_period,$G240,"m") + 1) / Months_in_Period,0),0)</f>
        <v>0</v>
      </c>
      <c r="CD240" s="231">
        <f xml:space="preserve"> IFERROR(($E240&gt;0)*($E240 &lt;=End_of_period) * ($G240 &gt;=Beginning_of_period) * (1-SUM($K240:CC240)) /  IFERROR((DATEDIF(Beginning_of_period,$G240,"m") + 1) / Months_in_Period,0),0)</f>
        <v>0</v>
      </c>
      <c r="CE240" s="231">
        <f xml:space="preserve"> IFERROR(($E240&gt;0)*($E240 &lt;=End_of_period) * ($G240 &gt;=Beginning_of_period) * (1-SUM($K240:CD240)) /  IFERROR((DATEDIF(Beginning_of_period,$G240,"m") + 1) / Months_in_Period,0),0)</f>
        <v>0</v>
      </c>
      <c r="CF240" s="231">
        <f xml:space="preserve"> IFERROR(($E240&gt;0)*($E240 &lt;=End_of_period) * ($G240 &gt;=Beginning_of_period) * (1-SUM($K240:CE240)) /  IFERROR((DATEDIF(Beginning_of_period,$G240,"m") + 1) / Months_in_Period,0),0)</f>
        <v>0</v>
      </c>
      <c r="CG240" s="231">
        <f xml:space="preserve"> IFERROR(($E240&gt;0)*($E240 &lt;=End_of_period) * ($G240 &gt;=Beginning_of_period) * (1-SUM($K240:CF240)) /  IFERROR((DATEDIF(Beginning_of_period,$G240,"m") + 1) / Months_in_Period,0),0)</f>
        <v>0</v>
      </c>
      <c r="CH240" s="231">
        <f xml:space="preserve"> IFERROR(($E240&gt;0)*($E240 &lt;=End_of_period) * ($G240 &gt;=Beginning_of_period) * (1-SUM($K240:CG240)) /  IFERROR((DATEDIF(Beginning_of_period,$G240,"m") + 1) / Months_in_Period,0),0)</f>
        <v>0</v>
      </c>
      <c r="CI240" s="231">
        <f xml:space="preserve"> IFERROR(($E240&gt;0)*($E240 &lt;=End_of_period) * ($G240 &gt;=Beginning_of_period) * (1-SUM($K240:CH240)) /  IFERROR((DATEDIF(Beginning_of_period,$G240,"m") + 1) / Months_in_Period,0),0)</f>
        <v>0</v>
      </c>
      <c r="CJ240" s="231">
        <f xml:space="preserve"> IFERROR(($E240&gt;0)*($E240 &lt;=End_of_period) * ($G240 &gt;=Beginning_of_period) * (1-SUM($K240:CI240)) /  IFERROR((DATEDIF(Beginning_of_period,$G240,"m") + 1) / Months_in_Period,0),0)</f>
        <v>0</v>
      </c>
      <c r="CK240" s="231">
        <f xml:space="preserve"> IFERROR(($E240&gt;0)*($E240 &lt;=End_of_period) * ($G240 &gt;=Beginning_of_period) * (1-SUM($K240:CJ240)) /  IFERROR((DATEDIF(Beginning_of_period,$G240,"m") + 1) / Months_in_Period,0),0)</f>
        <v>0</v>
      </c>
      <c r="CL240" s="231">
        <f xml:space="preserve"> IFERROR(($E240&gt;0)*($E240 &lt;=End_of_period) * ($G240 &gt;=Beginning_of_period) * (1-SUM($K240:CK240)) /  IFERROR((DATEDIF(Beginning_of_period,$G240,"m") + 1) / Months_in_Period,0),0)</f>
        <v>0</v>
      </c>
      <c r="CM240" s="231">
        <f xml:space="preserve"> IFERROR(($E240&gt;0)*($E240 &lt;=End_of_period) * ($G240 &gt;=Beginning_of_period) * (1-SUM($K240:CL240)) /  IFERROR((DATEDIF(Beginning_of_period,$G240,"m") + 1) / Months_in_Period,0),0)</f>
        <v>0</v>
      </c>
      <c r="CN240" s="231">
        <f xml:space="preserve"> IFERROR(($E240&gt;0)*($E240 &lt;=End_of_period) * ($G240 &gt;=Beginning_of_period) * (1-SUM($K240:CM240)) /  IFERROR((DATEDIF(Beginning_of_period,$G240,"m") + 1) / Months_in_Period,0),0)</f>
        <v>0</v>
      </c>
      <c r="CO240" s="231">
        <f xml:space="preserve"> IFERROR(($E240&gt;0)*($E240 &lt;=End_of_period) * ($G240 &gt;=Beginning_of_period) * (1-SUM($K240:CN240)) /  IFERROR((DATEDIF(Beginning_of_period,$G240,"m") + 1) / Months_in_Period,0),0)</f>
        <v>0</v>
      </c>
      <c r="CP240" s="10"/>
    </row>
    <row r="241" spans="1:94" ht="15" hidden="1" customHeight="1">
      <c r="A241" s="10"/>
      <c r="B241" s="3"/>
      <c r="C241" s="17" t="s">
        <v>632</v>
      </c>
      <c r="D241" s="10"/>
      <c r="E241" s="71"/>
      <c r="F241" s="10"/>
      <c r="G241" s="71"/>
      <c r="H241" s="149">
        <f xml:space="preserve"> IFERROR((DATEDIF(E241,G241,"m") + 1) / Months_in_Period,0)</f>
        <v>0.33333333333333331</v>
      </c>
      <c r="I241" s="231">
        <f>IF(SUM(L241:CO241)=0,1,SUM(L241:CO241))</f>
        <v>1</v>
      </c>
      <c r="J241" s="10"/>
      <c r="K241" s="10"/>
      <c r="L241" s="231">
        <f xml:space="preserve"> IFERROR(($E241&gt;0)*($E241 &lt;=End_of_period) * ($G241 &gt;=Beginning_of_period) * (1-SUM($K241:K241)) /  IFERROR((DATEDIF(Beginning_of_period,$G241,"m") + 1) / Months_in_Period,0),0)</f>
        <v>0</v>
      </c>
      <c r="M241" s="231">
        <f xml:space="preserve"> IFERROR(($E241&gt;0)*($E241 &lt;=End_of_period) * ($G241 &gt;=Beginning_of_period) * (1-SUM($K241:L241)) /  IFERROR((DATEDIF(Beginning_of_period,$G241,"m") + 1) / Months_in_Period,0),0)</f>
        <v>0</v>
      </c>
      <c r="N241" s="231">
        <f xml:space="preserve"> IFERROR(($E241&gt;0)*($E241 &lt;=End_of_period) * ($G241 &gt;=Beginning_of_period) * (1-SUM($K241:M241)) /  IFERROR((DATEDIF(Beginning_of_period,$G241,"m") + 1) / Months_in_Period,0),0)</f>
        <v>0</v>
      </c>
      <c r="O241" s="231">
        <f xml:space="preserve"> IFERROR(($E241&gt;0)*($E241 &lt;=End_of_period) * ($G241 &gt;=Beginning_of_period) * (1-SUM($K241:N241)) /  IFERROR((DATEDIF(Beginning_of_period,$G241,"m") + 1) / Months_in_Period,0),0)</f>
        <v>0</v>
      </c>
      <c r="P241" s="231">
        <f xml:space="preserve"> IFERROR(($E241&gt;0)*($E241 &lt;=End_of_period) * ($G241 &gt;=Beginning_of_period) * (1-SUM($K241:O241)) /  IFERROR((DATEDIF(Beginning_of_period,$G241,"m") + 1) / Months_in_Period,0),0)</f>
        <v>0</v>
      </c>
      <c r="Q241" s="231">
        <f xml:space="preserve"> IFERROR(($E241&gt;0)*($E241 &lt;=End_of_period) * ($G241 &gt;=Beginning_of_period) * (1-SUM($K241:P241)) /  IFERROR((DATEDIF(Beginning_of_period,$G241,"m") + 1) / Months_in_Period,0),0)</f>
        <v>0</v>
      </c>
      <c r="R241" s="231">
        <f xml:space="preserve"> IFERROR(($E241&gt;0)*($E241 &lt;=End_of_period) * ($G241 &gt;=Beginning_of_period) * (1-SUM($K241:Q241)) /  IFERROR((DATEDIF(Beginning_of_period,$G241,"m") + 1) / Months_in_Period,0),0)</f>
        <v>0</v>
      </c>
      <c r="S241" s="231">
        <f xml:space="preserve"> IFERROR(($E241&gt;0)*($E241 &lt;=End_of_period) * ($G241 &gt;=Beginning_of_period) * (1-SUM($K241:R241)) /  IFERROR((DATEDIF(Beginning_of_period,$G241,"m") + 1) / Months_in_Period,0),0)</f>
        <v>0</v>
      </c>
      <c r="T241" s="231">
        <f xml:space="preserve"> IFERROR(($E241&gt;0)*($E241 &lt;=End_of_period) * ($G241 &gt;=Beginning_of_period) * (1-SUM($K241:S241)) /  IFERROR((DATEDIF(Beginning_of_period,$G241,"m") + 1) / Months_in_Period,0),0)</f>
        <v>0</v>
      </c>
      <c r="U241" s="231">
        <f xml:space="preserve"> IFERROR(($E241&gt;0)*($E241 &lt;=End_of_period) * ($G241 &gt;=Beginning_of_period) * (1-SUM($K241:T241)) /  IFERROR((DATEDIF(Beginning_of_period,$G241,"m") + 1) / Months_in_Period,0),0)</f>
        <v>0</v>
      </c>
      <c r="V241" s="231">
        <f xml:space="preserve"> IFERROR(($E241&gt;0)*($E241 &lt;=End_of_period) * ($G241 &gt;=Beginning_of_period) * (1-SUM($K241:U241)) /  IFERROR((DATEDIF(Beginning_of_period,$G241,"m") + 1) / Months_in_Period,0),0)</f>
        <v>0</v>
      </c>
      <c r="W241" s="231">
        <f xml:space="preserve"> IFERROR(($E241&gt;0)*($E241 &lt;=End_of_period) * ($G241 &gt;=Beginning_of_period) * (1-SUM($K241:V241)) /  IFERROR((DATEDIF(Beginning_of_period,$G241,"m") + 1) / Months_in_Period,0),0)</f>
        <v>0</v>
      </c>
      <c r="X241" s="231">
        <f xml:space="preserve"> IFERROR(($E241&gt;0)*($E241 &lt;=End_of_period) * ($G241 &gt;=Beginning_of_period) * (1-SUM($K241:W241)) /  IFERROR((DATEDIF(Beginning_of_period,$G241,"m") + 1) / Months_in_Period,0),0)</f>
        <v>0</v>
      </c>
      <c r="Y241" s="231">
        <f xml:space="preserve"> IFERROR(($E241&gt;0)*($E241 &lt;=End_of_period) * ($G241 &gt;=Beginning_of_period) * (1-SUM($K241:X241)) /  IFERROR((DATEDIF(Beginning_of_period,$G241,"m") + 1) / Months_in_Period,0),0)</f>
        <v>0</v>
      </c>
      <c r="Z241" s="231">
        <f xml:space="preserve"> IFERROR(($E241&gt;0)*($E241 &lt;=End_of_period) * ($G241 &gt;=Beginning_of_period) * (1-SUM($K241:Y241)) /  IFERROR((DATEDIF(Beginning_of_period,$G241,"m") + 1) / Months_in_Period,0),0)</f>
        <v>0</v>
      </c>
      <c r="AA241" s="231">
        <f xml:space="preserve"> IFERROR(($E241&gt;0)*($E241 &lt;=End_of_period) * ($G241 &gt;=Beginning_of_period) * (1-SUM($K241:Z241)) /  IFERROR((DATEDIF(Beginning_of_period,$G241,"m") + 1) / Months_in_Period,0),0)</f>
        <v>0</v>
      </c>
      <c r="AB241" s="231">
        <f xml:space="preserve"> IFERROR(($E241&gt;0)*($E241 &lt;=End_of_period) * ($G241 &gt;=Beginning_of_period) * (1-SUM($K241:AA241)) /  IFERROR((DATEDIF(Beginning_of_period,$G241,"m") + 1) / Months_in_Period,0),0)</f>
        <v>0</v>
      </c>
      <c r="AC241" s="231">
        <f xml:space="preserve"> IFERROR(($E241&gt;0)*($E241 &lt;=End_of_period) * ($G241 &gt;=Beginning_of_period) * (1-SUM($K241:AB241)) /  IFERROR((DATEDIF(Beginning_of_period,$G241,"m") + 1) / Months_in_Period,0),0)</f>
        <v>0</v>
      </c>
      <c r="AD241" s="231">
        <f xml:space="preserve"> IFERROR(($E241&gt;0)*($E241 &lt;=End_of_period) * ($G241 &gt;=Beginning_of_period) * (1-SUM($K241:AC241)) /  IFERROR((DATEDIF(Beginning_of_period,$G241,"m") + 1) / Months_in_Period,0),0)</f>
        <v>0</v>
      </c>
      <c r="AE241" s="231">
        <f xml:space="preserve"> IFERROR(($E241&gt;0)*($E241 &lt;=End_of_period) * ($G241 &gt;=Beginning_of_period) * (1-SUM($K241:AD241)) /  IFERROR((DATEDIF(Beginning_of_period,$G241,"m") + 1) / Months_in_Period,0),0)</f>
        <v>0</v>
      </c>
      <c r="AF241" s="231">
        <f xml:space="preserve"> IFERROR(($E241&gt;0)*($E241 &lt;=End_of_period) * ($G241 &gt;=Beginning_of_period) * (1-SUM($K241:AE241)) /  IFERROR((DATEDIF(Beginning_of_period,$G241,"m") + 1) / Months_in_Period,0),0)</f>
        <v>0</v>
      </c>
      <c r="AG241" s="231">
        <f xml:space="preserve"> IFERROR(($E241&gt;0)*($E241 &lt;=End_of_period) * ($G241 &gt;=Beginning_of_period) * (1-SUM($K241:AF241)) /  IFERROR((DATEDIF(Beginning_of_period,$G241,"m") + 1) / Months_in_Period,0),0)</f>
        <v>0</v>
      </c>
      <c r="AH241" s="231">
        <f xml:space="preserve"> IFERROR(($E241&gt;0)*($E241 &lt;=End_of_period) * ($G241 &gt;=Beginning_of_period) * (1-SUM($K241:AG241)) /  IFERROR((DATEDIF(Beginning_of_period,$G241,"m") + 1) / Months_in_Period,0),0)</f>
        <v>0</v>
      </c>
      <c r="AI241" s="231">
        <f xml:space="preserve"> IFERROR(($E241&gt;0)*($E241 &lt;=End_of_period) * ($G241 &gt;=Beginning_of_period) * (1-SUM($K241:AH241)) /  IFERROR((DATEDIF(Beginning_of_period,$G241,"m") + 1) / Months_in_Period,0),0)</f>
        <v>0</v>
      </c>
      <c r="AJ241" s="231">
        <f xml:space="preserve"> IFERROR(($E241&gt;0)*($E241 &lt;=End_of_period) * ($G241 &gt;=Beginning_of_period) * (1-SUM($K241:AI241)) /  IFERROR((DATEDIF(Beginning_of_period,$G241,"m") + 1) / Months_in_Period,0),0)</f>
        <v>0</v>
      </c>
      <c r="AK241" s="231">
        <f xml:space="preserve"> IFERROR(($E241&gt;0)*($E241 &lt;=End_of_period) * ($G241 &gt;=Beginning_of_period) * (1-SUM($K241:AJ241)) /  IFERROR((DATEDIF(Beginning_of_period,$G241,"m") + 1) / Months_in_Period,0),0)</f>
        <v>0</v>
      </c>
      <c r="AL241" s="231">
        <f xml:space="preserve"> IFERROR(($E241&gt;0)*($E241 &lt;=End_of_period) * ($G241 &gt;=Beginning_of_period) * (1-SUM($K241:AK241)) /  IFERROR((DATEDIF(Beginning_of_period,$G241,"m") + 1) / Months_in_Period,0),0)</f>
        <v>0</v>
      </c>
      <c r="AM241" s="231">
        <f xml:space="preserve"> IFERROR(($E241&gt;0)*($E241 &lt;=End_of_period) * ($G241 &gt;=Beginning_of_period) * (1-SUM($K241:AL241)) /  IFERROR((DATEDIF(Beginning_of_period,$G241,"m") + 1) / Months_in_Period,0),0)</f>
        <v>0</v>
      </c>
      <c r="AN241" s="231">
        <f xml:space="preserve"> IFERROR(($E241&gt;0)*($E241 &lt;=End_of_period) * ($G241 &gt;=Beginning_of_period) * (1-SUM($K241:AM241)) /  IFERROR((DATEDIF(Beginning_of_period,$G241,"m") + 1) / Months_in_Period,0),0)</f>
        <v>0</v>
      </c>
      <c r="AO241" s="231">
        <f xml:space="preserve"> IFERROR(($E241&gt;0)*($E241 &lt;=End_of_period) * ($G241 &gt;=Beginning_of_period) * (1-SUM($K241:AN241)) /  IFERROR((DATEDIF(Beginning_of_period,$G241,"m") + 1) / Months_in_Period,0),0)</f>
        <v>0</v>
      </c>
      <c r="AP241" s="231">
        <f xml:space="preserve"> IFERROR(($E241&gt;0)*($E241 &lt;=End_of_period) * ($G241 &gt;=Beginning_of_period) * (1-SUM($K241:AO241)) /  IFERROR((DATEDIF(Beginning_of_period,$G241,"m") + 1) / Months_in_Period,0),0)</f>
        <v>0</v>
      </c>
      <c r="AQ241" s="231">
        <f xml:space="preserve"> IFERROR(($E241&gt;0)*($E241 &lt;=End_of_period) * ($G241 &gt;=Beginning_of_period) * (1-SUM($K241:AP241)) /  IFERROR((DATEDIF(Beginning_of_period,$G241,"m") + 1) / Months_in_Period,0),0)</f>
        <v>0</v>
      </c>
      <c r="AR241" s="231">
        <f xml:space="preserve"> IFERROR(($E241&gt;0)*($E241 &lt;=End_of_period) * ($G241 &gt;=Beginning_of_period) * (1-SUM($K241:AQ241)) /  IFERROR((DATEDIF(Beginning_of_period,$G241,"m") + 1) / Months_in_Period,0),0)</f>
        <v>0</v>
      </c>
      <c r="AS241" s="231">
        <f xml:space="preserve"> IFERROR(($E241&gt;0)*($E241 &lt;=End_of_period) * ($G241 &gt;=Beginning_of_period) * (1-SUM($K241:AR241)) /  IFERROR((DATEDIF(Beginning_of_period,$G241,"m") + 1) / Months_in_Period,0),0)</f>
        <v>0</v>
      </c>
      <c r="AT241" s="231">
        <f xml:space="preserve"> IFERROR(($E241&gt;0)*($E241 &lt;=End_of_period) * ($G241 &gt;=Beginning_of_period) * (1-SUM($K241:AS241)) /  IFERROR((DATEDIF(Beginning_of_period,$G241,"m") + 1) / Months_in_Period,0),0)</f>
        <v>0</v>
      </c>
      <c r="AU241" s="231">
        <f xml:space="preserve"> IFERROR(($E241&gt;0)*($E241 &lt;=End_of_period) * ($G241 &gt;=Beginning_of_period) * (1-SUM($K241:AT241)) /  IFERROR((DATEDIF(Beginning_of_period,$G241,"m") + 1) / Months_in_Period,0),0)</f>
        <v>0</v>
      </c>
      <c r="AV241" s="231">
        <f xml:space="preserve"> IFERROR(($E241&gt;0)*($E241 &lt;=End_of_period) * ($G241 &gt;=Beginning_of_period) * (1-SUM($K241:AU241)) /  IFERROR((DATEDIF(Beginning_of_period,$G241,"m") + 1) / Months_in_Period,0),0)</f>
        <v>0</v>
      </c>
      <c r="AW241" s="231">
        <f xml:space="preserve"> IFERROR(($E241&gt;0)*($E241 &lt;=End_of_period) * ($G241 &gt;=Beginning_of_period) * (1-SUM($K241:AV241)) /  IFERROR((DATEDIF(Beginning_of_period,$G241,"m") + 1) / Months_in_Period,0),0)</f>
        <v>0</v>
      </c>
      <c r="AX241" s="231">
        <f xml:space="preserve"> IFERROR(($E241&gt;0)*($E241 &lt;=End_of_period) * ($G241 &gt;=Beginning_of_period) * (1-SUM($K241:AW241)) /  IFERROR((DATEDIF(Beginning_of_period,$G241,"m") + 1) / Months_in_Period,0),0)</f>
        <v>0</v>
      </c>
      <c r="AY241" s="231">
        <f xml:space="preserve"> IFERROR(($E241&gt;0)*($E241 &lt;=End_of_period) * ($G241 &gt;=Beginning_of_period) * (1-SUM($K241:AX241)) /  IFERROR((DATEDIF(Beginning_of_period,$G241,"m") + 1) / Months_in_Period,0),0)</f>
        <v>0</v>
      </c>
      <c r="AZ241" s="231">
        <f xml:space="preserve"> IFERROR(($E241&gt;0)*($E241 &lt;=End_of_period) * ($G241 &gt;=Beginning_of_period) * (1-SUM($K241:AY241)) /  IFERROR((DATEDIF(Beginning_of_period,$G241,"m") + 1) / Months_in_Period,0),0)</f>
        <v>0</v>
      </c>
      <c r="BA241" s="231">
        <f xml:space="preserve"> IFERROR(($E241&gt;0)*($E241 &lt;=End_of_period) * ($G241 &gt;=Beginning_of_period) * (1-SUM($K241:AZ241)) /  IFERROR((DATEDIF(Beginning_of_period,$G241,"m") + 1) / Months_in_Period,0),0)</f>
        <v>0</v>
      </c>
      <c r="BB241" s="231">
        <f xml:space="preserve"> IFERROR(($E241&gt;0)*($E241 &lt;=End_of_period) * ($G241 &gt;=Beginning_of_period) * (1-SUM($K241:BA241)) /  IFERROR((DATEDIF(Beginning_of_period,$G241,"m") + 1) / Months_in_Period,0),0)</f>
        <v>0</v>
      </c>
      <c r="BC241" s="231">
        <f xml:space="preserve"> IFERROR(($E241&gt;0)*($E241 &lt;=End_of_period) * ($G241 &gt;=Beginning_of_period) * (1-SUM($K241:BB241)) /  IFERROR((DATEDIF(Beginning_of_period,$G241,"m") + 1) / Months_in_Period,0),0)</f>
        <v>0</v>
      </c>
      <c r="BD241" s="231">
        <f xml:space="preserve"> IFERROR(($E241&gt;0)*($E241 &lt;=End_of_period) * ($G241 &gt;=Beginning_of_period) * (1-SUM($K241:BC241)) /  IFERROR((DATEDIF(Beginning_of_period,$G241,"m") + 1) / Months_in_Period,0),0)</f>
        <v>0</v>
      </c>
      <c r="BE241" s="231">
        <f xml:space="preserve"> IFERROR(($E241&gt;0)*($E241 &lt;=End_of_period) * ($G241 &gt;=Beginning_of_period) * (1-SUM($K241:BD241)) /  IFERROR((DATEDIF(Beginning_of_period,$G241,"m") + 1) / Months_in_Period,0),0)</f>
        <v>0</v>
      </c>
      <c r="BF241" s="231">
        <f xml:space="preserve"> IFERROR(($E241&gt;0)*($E241 &lt;=End_of_period) * ($G241 &gt;=Beginning_of_period) * (1-SUM($K241:BE241)) /  IFERROR((DATEDIF(Beginning_of_period,$G241,"m") + 1) / Months_in_Period,0),0)</f>
        <v>0</v>
      </c>
      <c r="BG241" s="231">
        <f xml:space="preserve"> IFERROR(($E241&gt;0)*($E241 &lt;=End_of_period) * ($G241 &gt;=Beginning_of_period) * (1-SUM($K241:BF241)) /  IFERROR((DATEDIF(Beginning_of_period,$G241,"m") + 1) / Months_in_Period,0),0)</f>
        <v>0</v>
      </c>
      <c r="BH241" s="231">
        <f xml:space="preserve"> IFERROR(($E241&gt;0)*($E241 &lt;=End_of_period) * ($G241 &gt;=Beginning_of_period) * (1-SUM($K241:BG241)) /  IFERROR((DATEDIF(Beginning_of_period,$G241,"m") + 1) / Months_in_Period,0),0)</f>
        <v>0</v>
      </c>
      <c r="BI241" s="231">
        <f xml:space="preserve"> IFERROR(($E241&gt;0)*($E241 &lt;=End_of_period) * ($G241 &gt;=Beginning_of_period) * (1-SUM($K241:BH241)) /  IFERROR((DATEDIF(Beginning_of_period,$G241,"m") + 1) / Months_in_Period,0),0)</f>
        <v>0</v>
      </c>
      <c r="BJ241" s="231">
        <f xml:space="preserve"> IFERROR(($E241&gt;0)*($E241 &lt;=End_of_period) * ($G241 &gt;=Beginning_of_period) * (1-SUM($K241:BI241)) /  IFERROR((DATEDIF(Beginning_of_period,$G241,"m") + 1) / Months_in_Period,0),0)</f>
        <v>0</v>
      </c>
      <c r="BK241" s="231">
        <f xml:space="preserve"> IFERROR(($E241&gt;0)*($E241 &lt;=End_of_period) * ($G241 &gt;=Beginning_of_period) * (1-SUM($K241:BJ241)) /  IFERROR((DATEDIF(Beginning_of_period,$G241,"m") + 1) / Months_in_Period,0),0)</f>
        <v>0</v>
      </c>
      <c r="BL241" s="231">
        <f xml:space="preserve"> IFERROR(($E241&gt;0)*($E241 &lt;=End_of_period) * ($G241 &gt;=Beginning_of_period) * (1-SUM($K241:BK241)) /  IFERROR((DATEDIF(Beginning_of_period,$G241,"m") + 1) / Months_in_Period,0),0)</f>
        <v>0</v>
      </c>
      <c r="BM241" s="231">
        <f xml:space="preserve"> IFERROR(($E241&gt;0)*($E241 &lt;=End_of_period) * ($G241 &gt;=Beginning_of_period) * (1-SUM($K241:BL241)) /  IFERROR((DATEDIF(Beginning_of_period,$G241,"m") + 1) / Months_in_Period,0),0)</f>
        <v>0</v>
      </c>
      <c r="BN241" s="231">
        <f xml:space="preserve"> IFERROR(($E241&gt;0)*($E241 &lt;=End_of_period) * ($G241 &gt;=Beginning_of_period) * (1-SUM($K241:BM241)) /  IFERROR((DATEDIF(Beginning_of_period,$G241,"m") + 1) / Months_in_Period,0),0)</f>
        <v>0</v>
      </c>
      <c r="BO241" s="231">
        <f xml:space="preserve"> IFERROR(($E241&gt;0)*($E241 &lt;=End_of_period) * ($G241 &gt;=Beginning_of_period) * (1-SUM($K241:BN241)) /  IFERROR((DATEDIF(Beginning_of_period,$G241,"m") + 1) / Months_in_Period,0),0)</f>
        <v>0</v>
      </c>
      <c r="BP241" s="231">
        <f xml:space="preserve"> IFERROR(($E241&gt;0)*($E241 &lt;=End_of_period) * ($G241 &gt;=Beginning_of_period) * (1-SUM($K241:BO241)) /  IFERROR((DATEDIF(Beginning_of_period,$G241,"m") + 1) / Months_in_Period,0),0)</f>
        <v>0</v>
      </c>
      <c r="BQ241" s="231">
        <f xml:space="preserve"> IFERROR(($E241&gt;0)*($E241 &lt;=End_of_period) * ($G241 &gt;=Beginning_of_period) * (1-SUM($K241:BP241)) /  IFERROR((DATEDIF(Beginning_of_period,$G241,"m") + 1) / Months_in_Period,0),0)</f>
        <v>0</v>
      </c>
      <c r="BR241" s="231">
        <f xml:space="preserve"> IFERROR(($E241&gt;0)*($E241 &lt;=End_of_period) * ($G241 &gt;=Beginning_of_period) * (1-SUM($K241:BQ241)) /  IFERROR((DATEDIF(Beginning_of_period,$G241,"m") + 1) / Months_in_Period,0),0)</f>
        <v>0</v>
      </c>
      <c r="BS241" s="231">
        <f xml:space="preserve"> IFERROR(($E241&gt;0)*($E241 &lt;=End_of_period) * ($G241 &gt;=Beginning_of_period) * (1-SUM($K241:BR241)) /  IFERROR((DATEDIF(Beginning_of_period,$G241,"m") + 1) / Months_in_Period,0),0)</f>
        <v>0</v>
      </c>
      <c r="BT241" s="231">
        <f xml:space="preserve"> IFERROR(($E241&gt;0)*($E241 &lt;=End_of_period) * ($G241 &gt;=Beginning_of_period) * (1-SUM($K241:BS241)) /  IFERROR((DATEDIF(Beginning_of_period,$G241,"m") + 1) / Months_in_Period,0),0)</f>
        <v>0</v>
      </c>
      <c r="BU241" s="231">
        <f xml:space="preserve"> IFERROR(($E241&gt;0)*($E241 &lt;=End_of_period) * ($G241 &gt;=Beginning_of_period) * (1-SUM($K241:BT241)) /  IFERROR((DATEDIF(Beginning_of_period,$G241,"m") + 1) / Months_in_Period,0),0)</f>
        <v>0</v>
      </c>
      <c r="BV241" s="231">
        <f xml:space="preserve"> IFERROR(($E241&gt;0)*($E241 &lt;=End_of_period) * ($G241 &gt;=Beginning_of_period) * (1-SUM($K241:BU241)) /  IFERROR((DATEDIF(Beginning_of_period,$G241,"m") + 1) / Months_in_Period,0),0)</f>
        <v>0</v>
      </c>
      <c r="BW241" s="231">
        <f xml:space="preserve"> IFERROR(($E241&gt;0)*($E241 &lt;=End_of_period) * ($G241 &gt;=Beginning_of_period) * (1-SUM($K241:BV241)) /  IFERROR((DATEDIF(Beginning_of_period,$G241,"m") + 1) / Months_in_Period,0),0)</f>
        <v>0</v>
      </c>
      <c r="BX241" s="231">
        <f xml:space="preserve"> IFERROR(($E241&gt;0)*($E241 &lt;=End_of_period) * ($G241 &gt;=Beginning_of_period) * (1-SUM($K241:BW241)) /  IFERROR((DATEDIF(Beginning_of_period,$G241,"m") + 1) / Months_in_Period,0),0)</f>
        <v>0</v>
      </c>
      <c r="BY241" s="231">
        <f xml:space="preserve"> IFERROR(($E241&gt;0)*($E241 &lt;=End_of_period) * ($G241 &gt;=Beginning_of_period) * (1-SUM($K241:BX241)) /  IFERROR((DATEDIF(Beginning_of_period,$G241,"m") + 1) / Months_in_Period,0),0)</f>
        <v>0</v>
      </c>
      <c r="BZ241" s="231">
        <f xml:space="preserve"> IFERROR(($E241&gt;0)*($E241 &lt;=End_of_period) * ($G241 &gt;=Beginning_of_period) * (1-SUM($K241:BY241)) /  IFERROR((DATEDIF(Beginning_of_period,$G241,"m") + 1) / Months_in_Period,0),0)</f>
        <v>0</v>
      </c>
      <c r="CA241" s="231">
        <f xml:space="preserve"> IFERROR(($E241&gt;0)*($E241 &lt;=End_of_period) * ($G241 &gt;=Beginning_of_period) * (1-SUM($K241:BZ241)) /  IFERROR((DATEDIF(Beginning_of_period,$G241,"m") + 1) / Months_in_Period,0),0)</f>
        <v>0</v>
      </c>
      <c r="CB241" s="231">
        <f xml:space="preserve"> IFERROR(($E241&gt;0)*($E241 &lt;=End_of_period) * ($G241 &gt;=Beginning_of_period) * (1-SUM($K241:CA241)) /  IFERROR((DATEDIF(Beginning_of_period,$G241,"m") + 1) / Months_in_Period,0),0)</f>
        <v>0</v>
      </c>
      <c r="CC241" s="231">
        <f xml:space="preserve"> IFERROR(($E241&gt;0)*($E241 &lt;=End_of_period) * ($G241 &gt;=Beginning_of_period) * (1-SUM($K241:CB241)) /  IFERROR((DATEDIF(Beginning_of_period,$G241,"m") + 1) / Months_in_Period,0),0)</f>
        <v>0</v>
      </c>
      <c r="CD241" s="231">
        <f xml:space="preserve"> IFERROR(($E241&gt;0)*($E241 &lt;=End_of_period) * ($G241 &gt;=Beginning_of_period) * (1-SUM($K241:CC241)) /  IFERROR((DATEDIF(Beginning_of_period,$G241,"m") + 1) / Months_in_Period,0),0)</f>
        <v>0</v>
      </c>
      <c r="CE241" s="231">
        <f xml:space="preserve"> IFERROR(($E241&gt;0)*($E241 &lt;=End_of_period) * ($G241 &gt;=Beginning_of_period) * (1-SUM($K241:CD241)) /  IFERROR((DATEDIF(Beginning_of_period,$G241,"m") + 1) / Months_in_Period,0),0)</f>
        <v>0</v>
      </c>
      <c r="CF241" s="231">
        <f xml:space="preserve"> IFERROR(($E241&gt;0)*($E241 &lt;=End_of_period) * ($G241 &gt;=Beginning_of_period) * (1-SUM($K241:CE241)) /  IFERROR((DATEDIF(Beginning_of_period,$G241,"m") + 1) / Months_in_Period,0),0)</f>
        <v>0</v>
      </c>
      <c r="CG241" s="231">
        <f xml:space="preserve"> IFERROR(($E241&gt;0)*($E241 &lt;=End_of_period) * ($G241 &gt;=Beginning_of_period) * (1-SUM($K241:CF241)) /  IFERROR((DATEDIF(Beginning_of_period,$G241,"m") + 1) / Months_in_Period,0),0)</f>
        <v>0</v>
      </c>
      <c r="CH241" s="231">
        <f xml:space="preserve"> IFERROR(($E241&gt;0)*($E241 &lt;=End_of_period) * ($G241 &gt;=Beginning_of_period) * (1-SUM($K241:CG241)) /  IFERROR((DATEDIF(Beginning_of_period,$G241,"m") + 1) / Months_in_Period,0),0)</f>
        <v>0</v>
      </c>
      <c r="CI241" s="231">
        <f xml:space="preserve"> IFERROR(($E241&gt;0)*($E241 &lt;=End_of_period) * ($G241 &gt;=Beginning_of_period) * (1-SUM($K241:CH241)) /  IFERROR((DATEDIF(Beginning_of_period,$G241,"m") + 1) / Months_in_Period,0),0)</f>
        <v>0</v>
      </c>
      <c r="CJ241" s="231">
        <f xml:space="preserve"> IFERROR(($E241&gt;0)*($E241 &lt;=End_of_period) * ($G241 &gt;=Beginning_of_period) * (1-SUM($K241:CI241)) /  IFERROR((DATEDIF(Beginning_of_period,$G241,"m") + 1) / Months_in_Period,0),0)</f>
        <v>0</v>
      </c>
      <c r="CK241" s="231">
        <f xml:space="preserve"> IFERROR(($E241&gt;0)*($E241 &lt;=End_of_period) * ($G241 &gt;=Beginning_of_period) * (1-SUM($K241:CJ241)) /  IFERROR((DATEDIF(Beginning_of_period,$G241,"m") + 1) / Months_in_Period,0),0)</f>
        <v>0</v>
      </c>
      <c r="CL241" s="231">
        <f xml:space="preserve"> IFERROR(($E241&gt;0)*($E241 &lt;=End_of_period) * ($G241 &gt;=Beginning_of_period) * (1-SUM($K241:CK241)) /  IFERROR((DATEDIF(Beginning_of_period,$G241,"m") + 1) / Months_in_Period,0),0)</f>
        <v>0</v>
      </c>
      <c r="CM241" s="231">
        <f xml:space="preserve"> IFERROR(($E241&gt;0)*($E241 &lt;=End_of_period) * ($G241 &gt;=Beginning_of_period) * (1-SUM($K241:CL241)) /  IFERROR((DATEDIF(Beginning_of_period,$G241,"m") + 1) / Months_in_Period,0),0)</f>
        <v>0</v>
      </c>
      <c r="CN241" s="231">
        <f xml:space="preserve"> IFERROR(($E241&gt;0)*($E241 &lt;=End_of_period) * ($G241 &gt;=Beginning_of_period) * (1-SUM($K241:CM241)) /  IFERROR((DATEDIF(Beginning_of_period,$G241,"m") + 1) / Months_in_Period,0),0)</f>
        <v>0</v>
      </c>
      <c r="CO241" s="231">
        <f xml:space="preserve"> IFERROR(($E241&gt;0)*($E241 &lt;=End_of_period) * ($G241 &gt;=Beginning_of_period) * (1-SUM($K241:CN241)) /  IFERROR((DATEDIF(Beginning_of_period,$G241,"m") + 1) / Months_in_Period,0),0)</f>
        <v>0</v>
      </c>
      <c r="CP241" s="10"/>
    </row>
    <row r="242" spans="1:94" ht="15" hidden="1" customHeight="1">
      <c r="A242" s="10"/>
      <c r="B242" s="3"/>
      <c r="C242" s="17" t="s">
        <v>821</v>
      </c>
      <c r="D242" s="10"/>
      <c r="E242" s="71"/>
      <c r="F242" s="10"/>
      <c r="G242" s="71"/>
      <c r="H242" s="149">
        <f xml:space="preserve"> IFERROR((DATEDIF(E242,G242,"m") + 1) / Months_in_Period,0)</f>
        <v>0.33333333333333331</v>
      </c>
      <c r="I242" s="231">
        <f>IF(SUM(L242:CO242)=0,1,SUM(L242:CO242))</f>
        <v>1</v>
      </c>
      <c r="J242" s="10"/>
      <c r="K242" s="10"/>
      <c r="L242" s="231">
        <f xml:space="preserve"> IFERROR(($E242&gt;0)*($E242 &lt;=End_of_period) * ($G242 &gt;=Beginning_of_period) * (1-SUM($K242:K242)) /  IFERROR((DATEDIF(Beginning_of_period,$G242,"m") + 1) / Months_in_Period,0),0)</f>
        <v>0</v>
      </c>
      <c r="M242" s="231">
        <f xml:space="preserve"> IFERROR(($E242&gt;0)*($E242 &lt;=End_of_period) * ($G242 &gt;=Beginning_of_period) * (1-SUM($K242:L242)) /  IFERROR((DATEDIF(Beginning_of_period,$G242,"m") + 1) / Months_in_Period,0),0)</f>
        <v>0</v>
      </c>
      <c r="N242" s="231">
        <f xml:space="preserve"> IFERROR(($E242&gt;0)*($E242 &lt;=End_of_period) * ($G242 &gt;=Beginning_of_period) * (1-SUM($K242:M242)) /  IFERROR((DATEDIF(Beginning_of_period,$G242,"m") + 1) / Months_in_Period,0),0)</f>
        <v>0</v>
      </c>
      <c r="O242" s="231">
        <f xml:space="preserve"> IFERROR(($E242&gt;0)*($E242 &lt;=End_of_period) * ($G242 &gt;=Beginning_of_period) * (1-SUM($K242:N242)) /  IFERROR((DATEDIF(Beginning_of_period,$G242,"m") + 1) / Months_in_Period,0),0)</f>
        <v>0</v>
      </c>
      <c r="P242" s="231">
        <f xml:space="preserve"> IFERROR(($E242&gt;0)*($E242 &lt;=End_of_period) * ($G242 &gt;=Beginning_of_period) * (1-SUM($K242:O242)) /  IFERROR((DATEDIF(Beginning_of_period,$G242,"m") + 1) / Months_in_Period,0),0)</f>
        <v>0</v>
      </c>
      <c r="Q242" s="231">
        <f xml:space="preserve"> IFERROR(($E242&gt;0)*($E242 &lt;=End_of_period) * ($G242 &gt;=Beginning_of_period) * (1-SUM($K242:P242)) /  IFERROR((DATEDIF(Beginning_of_period,$G242,"m") + 1) / Months_in_Period,0),0)</f>
        <v>0</v>
      </c>
      <c r="R242" s="231">
        <f xml:space="preserve"> IFERROR(($E242&gt;0)*($E242 &lt;=End_of_period) * ($G242 &gt;=Beginning_of_period) * (1-SUM($K242:Q242)) /  IFERROR((DATEDIF(Beginning_of_period,$G242,"m") + 1) / Months_in_Period,0),0)</f>
        <v>0</v>
      </c>
      <c r="S242" s="231">
        <f xml:space="preserve"> IFERROR(($E242&gt;0)*($E242 &lt;=End_of_period) * ($G242 &gt;=Beginning_of_period) * (1-SUM($K242:R242)) /  IFERROR((DATEDIF(Beginning_of_period,$G242,"m") + 1) / Months_in_Period,0),0)</f>
        <v>0</v>
      </c>
      <c r="T242" s="231">
        <f xml:space="preserve"> IFERROR(($E242&gt;0)*($E242 &lt;=End_of_period) * ($G242 &gt;=Beginning_of_period) * (1-SUM($K242:S242)) /  IFERROR((DATEDIF(Beginning_of_period,$G242,"m") + 1) / Months_in_Period,0),0)</f>
        <v>0</v>
      </c>
      <c r="U242" s="231">
        <f xml:space="preserve"> IFERROR(($E242&gt;0)*($E242 &lt;=End_of_period) * ($G242 &gt;=Beginning_of_period) * (1-SUM($K242:T242)) /  IFERROR((DATEDIF(Beginning_of_period,$G242,"m") + 1) / Months_in_Period,0),0)</f>
        <v>0</v>
      </c>
      <c r="V242" s="231">
        <f xml:space="preserve"> IFERROR(($E242&gt;0)*($E242 &lt;=End_of_period) * ($G242 &gt;=Beginning_of_period) * (1-SUM($K242:U242)) /  IFERROR((DATEDIF(Beginning_of_period,$G242,"m") + 1) / Months_in_Period,0),0)</f>
        <v>0</v>
      </c>
      <c r="W242" s="231">
        <f xml:space="preserve"> IFERROR(($E242&gt;0)*($E242 &lt;=End_of_period) * ($G242 &gt;=Beginning_of_period) * (1-SUM($K242:V242)) /  IFERROR((DATEDIF(Beginning_of_period,$G242,"m") + 1) / Months_in_Period,0),0)</f>
        <v>0</v>
      </c>
      <c r="X242" s="231">
        <f xml:space="preserve"> IFERROR(($E242&gt;0)*($E242 &lt;=End_of_period) * ($G242 &gt;=Beginning_of_period) * (1-SUM($K242:W242)) /  IFERROR((DATEDIF(Beginning_of_period,$G242,"m") + 1) / Months_in_Period,0),0)</f>
        <v>0</v>
      </c>
      <c r="Y242" s="231">
        <f xml:space="preserve"> IFERROR(($E242&gt;0)*($E242 &lt;=End_of_period) * ($G242 &gt;=Beginning_of_period) * (1-SUM($K242:X242)) /  IFERROR((DATEDIF(Beginning_of_period,$G242,"m") + 1) / Months_in_Period,0),0)</f>
        <v>0</v>
      </c>
      <c r="Z242" s="231">
        <f xml:space="preserve"> IFERROR(($E242&gt;0)*($E242 &lt;=End_of_period) * ($G242 &gt;=Beginning_of_period) * (1-SUM($K242:Y242)) /  IFERROR((DATEDIF(Beginning_of_period,$G242,"m") + 1) / Months_in_Period,0),0)</f>
        <v>0</v>
      </c>
      <c r="AA242" s="231">
        <f xml:space="preserve"> IFERROR(($E242&gt;0)*($E242 &lt;=End_of_period) * ($G242 &gt;=Beginning_of_period) * (1-SUM($K242:Z242)) /  IFERROR((DATEDIF(Beginning_of_period,$G242,"m") + 1) / Months_in_Period,0),0)</f>
        <v>0</v>
      </c>
      <c r="AB242" s="231">
        <f xml:space="preserve"> IFERROR(($E242&gt;0)*($E242 &lt;=End_of_period) * ($G242 &gt;=Beginning_of_period) * (1-SUM($K242:AA242)) /  IFERROR((DATEDIF(Beginning_of_period,$G242,"m") + 1) / Months_in_Period,0),0)</f>
        <v>0</v>
      </c>
      <c r="AC242" s="231">
        <f xml:space="preserve"> IFERROR(($E242&gt;0)*($E242 &lt;=End_of_period) * ($G242 &gt;=Beginning_of_period) * (1-SUM($K242:AB242)) /  IFERROR((DATEDIF(Beginning_of_period,$G242,"m") + 1) / Months_in_Period,0),0)</f>
        <v>0</v>
      </c>
      <c r="AD242" s="231">
        <f xml:space="preserve"> IFERROR(($E242&gt;0)*($E242 &lt;=End_of_period) * ($G242 &gt;=Beginning_of_period) * (1-SUM($K242:AC242)) /  IFERROR((DATEDIF(Beginning_of_period,$G242,"m") + 1) / Months_in_Period,0),0)</f>
        <v>0</v>
      </c>
      <c r="AE242" s="231">
        <f xml:space="preserve"> IFERROR(($E242&gt;0)*($E242 &lt;=End_of_period) * ($G242 &gt;=Beginning_of_period) * (1-SUM($K242:AD242)) /  IFERROR((DATEDIF(Beginning_of_period,$G242,"m") + 1) / Months_in_Period,0),0)</f>
        <v>0</v>
      </c>
      <c r="AF242" s="231">
        <f xml:space="preserve"> IFERROR(($E242&gt;0)*($E242 &lt;=End_of_period) * ($G242 &gt;=Beginning_of_period) * (1-SUM($K242:AE242)) /  IFERROR((DATEDIF(Beginning_of_period,$G242,"m") + 1) / Months_in_Period,0),0)</f>
        <v>0</v>
      </c>
      <c r="AG242" s="231">
        <f xml:space="preserve"> IFERROR(($E242&gt;0)*($E242 &lt;=End_of_period) * ($G242 &gt;=Beginning_of_period) * (1-SUM($K242:AF242)) /  IFERROR((DATEDIF(Beginning_of_period,$G242,"m") + 1) / Months_in_Period,0),0)</f>
        <v>0</v>
      </c>
      <c r="AH242" s="231">
        <f xml:space="preserve"> IFERROR(($E242&gt;0)*($E242 &lt;=End_of_period) * ($G242 &gt;=Beginning_of_period) * (1-SUM($K242:AG242)) /  IFERROR((DATEDIF(Beginning_of_period,$G242,"m") + 1) / Months_in_Period,0),0)</f>
        <v>0</v>
      </c>
      <c r="AI242" s="231">
        <f xml:space="preserve"> IFERROR(($E242&gt;0)*($E242 &lt;=End_of_period) * ($G242 &gt;=Beginning_of_period) * (1-SUM($K242:AH242)) /  IFERROR((DATEDIF(Beginning_of_period,$G242,"m") + 1) / Months_in_Period,0),0)</f>
        <v>0</v>
      </c>
      <c r="AJ242" s="231">
        <f xml:space="preserve"> IFERROR(($E242&gt;0)*($E242 &lt;=End_of_period) * ($G242 &gt;=Beginning_of_period) * (1-SUM($K242:AI242)) /  IFERROR((DATEDIF(Beginning_of_period,$G242,"m") + 1) / Months_in_Period,0),0)</f>
        <v>0</v>
      </c>
      <c r="AK242" s="231">
        <f xml:space="preserve"> IFERROR(($E242&gt;0)*($E242 &lt;=End_of_period) * ($G242 &gt;=Beginning_of_period) * (1-SUM($K242:AJ242)) /  IFERROR((DATEDIF(Beginning_of_period,$G242,"m") + 1) / Months_in_Period,0),0)</f>
        <v>0</v>
      </c>
      <c r="AL242" s="231">
        <f xml:space="preserve"> IFERROR(($E242&gt;0)*($E242 &lt;=End_of_period) * ($G242 &gt;=Beginning_of_period) * (1-SUM($K242:AK242)) /  IFERROR((DATEDIF(Beginning_of_period,$G242,"m") + 1) / Months_in_Period,0),0)</f>
        <v>0</v>
      </c>
      <c r="AM242" s="231">
        <f xml:space="preserve"> IFERROR(($E242&gt;0)*($E242 &lt;=End_of_period) * ($G242 &gt;=Beginning_of_period) * (1-SUM($K242:AL242)) /  IFERROR((DATEDIF(Beginning_of_period,$G242,"m") + 1) / Months_in_Period,0),0)</f>
        <v>0</v>
      </c>
      <c r="AN242" s="231">
        <f xml:space="preserve"> IFERROR(($E242&gt;0)*($E242 &lt;=End_of_period) * ($G242 &gt;=Beginning_of_period) * (1-SUM($K242:AM242)) /  IFERROR((DATEDIF(Beginning_of_period,$G242,"m") + 1) / Months_in_Period,0),0)</f>
        <v>0</v>
      </c>
      <c r="AO242" s="231">
        <f xml:space="preserve"> IFERROR(($E242&gt;0)*($E242 &lt;=End_of_period) * ($G242 &gt;=Beginning_of_period) * (1-SUM($K242:AN242)) /  IFERROR((DATEDIF(Beginning_of_period,$G242,"m") + 1) / Months_in_Period,0),0)</f>
        <v>0</v>
      </c>
      <c r="AP242" s="231">
        <f xml:space="preserve"> IFERROR(($E242&gt;0)*($E242 &lt;=End_of_period) * ($G242 &gt;=Beginning_of_period) * (1-SUM($K242:AO242)) /  IFERROR((DATEDIF(Beginning_of_period,$G242,"m") + 1) / Months_in_Period,0),0)</f>
        <v>0</v>
      </c>
      <c r="AQ242" s="231">
        <f xml:space="preserve"> IFERROR(($E242&gt;0)*($E242 &lt;=End_of_period) * ($G242 &gt;=Beginning_of_period) * (1-SUM($K242:AP242)) /  IFERROR((DATEDIF(Beginning_of_period,$G242,"m") + 1) / Months_in_Period,0),0)</f>
        <v>0</v>
      </c>
      <c r="AR242" s="231">
        <f xml:space="preserve"> IFERROR(($E242&gt;0)*($E242 &lt;=End_of_period) * ($G242 &gt;=Beginning_of_period) * (1-SUM($K242:AQ242)) /  IFERROR((DATEDIF(Beginning_of_period,$G242,"m") + 1) / Months_in_Period,0),0)</f>
        <v>0</v>
      </c>
      <c r="AS242" s="231">
        <f xml:space="preserve"> IFERROR(($E242&gt;0)*($E242 &lt;=End_of_period) * ($G242 &gt;=Beginning_of_period) * (1-SUM($K242:AR242)) /  IFERROR((DATEDIF(Beginning_of_period,$G242,"m") + 1) / Months_in_Period,0),0)</f>
        <v>0</v>
      </c>
      <c r="AT242" s="231">
        <f xml:space="preserve"> IFERROR(($E242&gt;0)*($E242 &lt;=End_of_period) * ($G242 &gt;=Beginning_of_period) * (1-SUM($K242:AS242)) /  IFERROR((DATEDIF(Beginning_of_period,$G242,"m") + 1) / Months_in_Period,0),0)</f>
        <v>0</v>
      </c>
      <c r="AU242" s="231">
        <f xml:space="preserve"> IFERROR(($E242&gt;0)*($E242 &lt;=End_of_period) * ($G242 &gt;=Beginning_of_period) * (1-SUM($K242:AT242)) /  IFERROR((DATEDIF(Beginning_of_period,$G242,"m") + 1) / Months_in_Period,0),0)</f>
        <v>0</v>
      </c>
      <c r="AV242" s="231">
        <f xml:space="preserve"> IFERROR(($E242&gt;0)*($E242 &lt;=End_of_period) * ($G242 &gt;=Beginning_of_period) * (1-SUM($K242:AU242)) /  IFERROR((DATEDIF(Beginning_of_period,$G242,"m") + 1) / Months_in_Period,0),0)</f>
        <v>0</v>
      </c>
      <c r="AW242" s="231">
        <f xml:space="preserve"> IFERROR(($E242&gt;0)*($E242 &lt;=End_of_period) * ($G242 &gt;=Beginning_of_period) * (1-SUM($K242:AV242)) /  IFERROR((DATEDIF(Beginning_of_period,$G242,"m") + 1) / Months_in_Period,0),0)</f>
        <v>0</v>
      </c>
      <c r="AX242" s="231">
        <f xml:space="preserve"> IFERROR(($E242&gt;0)*($E242 &lt;=End_of_period) * ($G242 &gt;=Beginning_of_period) * (1-SUM($K242:AW242)) /  IFERROR((DATEDIF(Beginning_of_period,$G242,"m") + 1) / Months_in_Period,0),0)</f>
        <v>0</v>
      </c>
      <c r="AY242" s="231">
        <f xml:space="preserve"> IFERROR(($E242&gt;0)*($E242 &lt;=End_of_period) * ($G242 &gt;=Beginning_of_period) * (1-SUM($K242:AX242)) /  IFERROR((DATEDIF(Beginning_of_period,$G242,"m") + 1) / Months_in_Period,0),0)</f>
        <v>0</v>
      </c>
      <c r="AZ242" s="231">
        <f xml:space="preserve"> IFERROR(($E242&gt;0)*($E242 &lt;=End_of_period) * ($G242 &gt;=Beginning_of_period) * (1-SUM($K242:AY242)) /  IFERROR((DATEDIF(Beginning_of_period,$G242,"m") + 1) / Months_in_Period,0),0)</f>
        <v>0</v>
      </c>
      <c r="BA242" s="231">
        <f xml:space="preserve"> IFERROR(($E242&gt;0)*($E242 &lt;=End_of_period) * ($G242 &gt;=Beginning_of_period) * (1-SUM($K242:AZ242)) /  IFERROR((DATEDIF(Beginning_of_period,$G242,"m") + 1) / Months_in_Period,0),0)</f>
        <v>0</v>
      </c>
      <c r="BB242" s="231">
        <f xml:space="preserve"> IFERROR(($E242&gt;0)*($E242 &lt;=End_of_period) * ($G242 &gt;=Beginning_of_period) * (1-SUM($K242:BA242)) /  IFERROR((DATEDIF(Beginning_of_period,$G242,"m") + 1) / Months_in_Period,0),0)</f>
        <v>0</v>
      </c>
      <c r="BC242" s="231">
        <f xml:space="preserve"> IFERROR(($E242&gt;0)*($E242 &lt;=End_of_period) * ($G242 &gt;=Beginning_of_period) * (1-SUM($K242:BB242)) /  IFERROR((DATEDIF(Beginning_of_period,$G242,"m") + 1) / Months_in_Period,0),0)</f>
        <v>0</v>
      </c>
      <c r="BD242" s="231">
        <f xml:space="preserve"> IFERROR(($E242&gt;0)*($E242 &lt;=End_of_period) * ($G242 &gt;=Beginning_of_period) * (1-SUM($K242:BC242)) /  IFERROR((DATEDIF(Beginning_of_period,$G242,"m") + 1) / Months_in_Period,0),0)</f>
        <v>0</v>
      </c>
      <c r="BE242" s="231">
        <f xml:space="preserve"> IFERROR(($E242&gt;0)*($E242 &lt;=End_of_period) * ($G242 &gt;=Beginning_of_period) * (1-SUM($K242:BD242)) /  IFERROR((DATEDIF(Beginning_of_period,$G242,"m") + 1) / Months_in_Period,0),0)</f>
        <v>0</v>
      </c>
      <c r="BF242" s="231">
        <f xml:space="preserve"> IFERROR(($E242&gt;0)*($E242 &lt;=End_of_period) * ($G242 &gt;=Beginning_of_period) * (1-SUM($K242:BE242)) /  IFERROR((DATEDIF(Beginning_of_period,$G242,"m") + 1) / Months_in_Period,0),0)</f>
        <v>0</v>
      </c>
      <c r="BG242" s="231">
        <f xml:space="preserve"> IFERROR(($E242&gt;0)*($E242 &lt;=End_of_period) * ($G242 &gt;=Beginning_of_period) * (1-SUM($K242:BF242)) /  IFERROR((DATEDIF(Beginning_of_period,$G242,"m") + 1) / Months_in_Period,0),0)</f>
        <v>0</v>
      </c>
      <c r="BH242" s="231">
        <f xml:space="preserve"> IFERROR(($E242&gt;0)*($E242 &lt;=End_of_period) * ($G242 &gt;=Beginning_of_period) * (1-SUM($K242:BG242)) /  IFERROR((DATEDIF(Beginning_of_period,$G242,"m") + 1) / Months_in_Period,0),0)</f>
        <v>0</v>
      </c>
      <c r="BI242" s="231">
        <f xml:space="preserve"> IFERROR(($E242&gt;0)*($E242 &lt;=End_of_period) * ($G242 &gt;=Beginning_of_period) * (1-SUM($K242:BH242)) /  IFERROR((DATEDIF(Beginning_of_period,$G242,"m") + 1) / Months_in_Period,0),0)</f>
        <v>0</v>
      </c>
      <c r="BJ242" s="231">
        <f xml:space="preserve"> IFERROR(($E242&gt;0)*($E242 &lt;=End_of_period) * ($G242 &gt;=Beginning_of_period) * (1-SUM($K242:BI242)) /  IFERROR((DATEDIF(Beginning_of_period,$G242,"m") + 1) / Months_in_Period,0),0)</f>
        <v>0</v>
      </c>
      <c r="BK242" s="231">
        <f xml:space="preserve"> IFERROR(($E242&gt;0)*($E242 &lt;=End_of_period) * ($G242 &gt;=Beginning_of_period) * (1-SUM($K242:BJ242)) /  IFERROR((DATEDIF(Beginning_of_period,$G242,"m") + 1) / Months_in_Period,0),0)</f>
        <v>0</v>
      </c>
      <c r="BL242" s="231">
        <f xml:space="preserve"> IFERROR(($E242&gt;0)*($E242 &lt;=End_of_period) * ($G242 &gt;=Beginning_of_period) * (1-SUM($K242:BK242)) /  IFERROR((DATEDIF(Beginning_of_period,$G242,"m") + 1) / Months_in_Period,0),0)</f>
        <v>0</v>
      </c>
      <c r="BM242" s="231">
        <f xml:space="preserve"> IFERROR(($E242&gt;0)*($E242 &lt;=End_of_period) * ($G242 &gt;=Beginning_of_period) * (1-SUM($K242:BL242)) /  IFERROR((DATEDIF(Beginning_of_period,$G242,"m") + 1) / Months_in_Period,0),0)</f>
        <v>0</v>
      </c>
      <c r="BN242" s="231">
        <f xml:space="preserve"> IFERROR(($E242&gt;0)*($E242 &lt;=End_of_period) * ($G242 &gt;=Beginning_of_period) * (1-SUM($K242:BM242)) /  IFERROR((DATEDIF(Beginning_of_period,$G242,"m") + 1) / Months_in_Period,0),0)</f>
        <v>0</v>
      </c>
      <c r="BO242" s="231">
        <f xml:space="preserve"> IFERROR(($E242&gt;0)*($E242 &lt;=End_of_period) * ($G242 &gt;=Beginning_of_period) * (1-SUM($K242:BN242)) /  IFERROR((DATEDIF(Beginning_of_period,$G242,"m") + 1) / Months_in_Period,0),0)</f>
        <v>0</v>
      </c>
      <c r="BP242" s="231">
        <f xml:space="preserve"> IFERROR(($E242&gt;0)*($E242 &lt;=End_of_period) * ($G242 &gt;=Beginning_of_period) * (1-SUM($K242:BO242)) /  IFERROR((DATEDIF(Beginning_of_period,$G242,"m") + 1) / Months_in_Period,0),0)</f>
        <v>0</v>
      </c>
      <c r="BQ242" s="231">
        <f xml:space="preserve"> IFERROR(($E242&gt;0)*($E242 &lt;=End_of_period) * ($G242 &gt;=Beginning_of_period) * (1-SUM($K242:BP242)) /  IFERROR((DATEDIF(Beginning_of_period,$G242,"m") + 1) / Months_in_Period,0),0)</f>
        <v>0</v>
      </c>
      <c r="BR242" s="231">
        <f xml:space="preserve"> IFERROR(($E242&gt;0)*($E242 &lt;=End_of_period) * ($G242 &gt;=Beginning_of_period) * (1-SUM($K242:BQ242)) /  IFERROR((DATEDIF(Beginning_of_period,$G242,"m") + 1) / Months_in_Period,0),0)</f>
        <v>0</v>
      </c>
      <c r="BS242" s="231">
        <f xml:space="preserve"> IFERROR(($E242&gt;0)*($E242 &lt;=End_of_period) * ($G242 &gt;=Beginning_of_period) * (1-SUM($K242:BR242)) /  IFERROR((DATEDIF(Beginning_of_period,$G242,"m") + 1) / Months_in_Period,0),0)</f>
        <v>0</v>
      </c>
      <c r="BT242" s="231">
        <f xml:space="preserve"> IFERROR(($E242&gt;0)*($E242 &lt;=End_of_period) * ($G242 &gt;=Beginning_of_period) * (1-SUM($K242:BS242)) /  IFERROR((DATEDIF(Beginning_of_period,$G242,"m") + 1) / Months_in_Period,0),0)</f>
        <v>0</v>
      </c>
      <c r="BU242" s="231">
        <f xml:space="preserve"> IFERROR(($E242&gt;0)*($E242 &lt;=End_of_period) * ($G242 &gt;=Beginning_of_period) * (1-SUM($K242:BT242)) /  IFERROR((DATEDIF(Beginning_of_period,$G242,"m") + 1) / Months_in_Period,0),0)</f>
        <v>0</v>
      </c>
      <c r="BV242" s="231">
        <f xml:space="preserve"> IFERROR(($E242&gt;0)*($E242 &lt;=End_of_period) * ($G242 &gt;=Beginning_of_period) * (1-SUM($K242:BU242)) /  IFERROR((DATEDIF(Beginning_of_period,$G242,"m") + 1) / Months_in_Period,0),0)</f>
        <v>0</v>
      </c>
      <c r="BW242" s="231">
        <f xml:space="preserve"> IFERROR(($E242&gt;0)*($E242 &lt;=End_of_period) * ($G242 &gt;=Beginning_of_period) * (1-SUM($K242:BV242)) /  IFERROR((DATEDIF(Beginning_of_period,$G242,"m") + 1) / Months_in_Period,0),0)</f>
        <v>0</v>
      </c>
      <c r="BX242" s="231">
        <f xml:space="preserve"> IFERROR(($E242&gt;0)*($E242 &lt;=End_of_period) * ($G242 &gt;=Beginning_of_period) * (1-SUM($K242:BW242)) /  IFERROR((DATEDIF(Beginning_of_period,$G242,"m") + 1) / Months_in_Period,0),0)</f>
        <v>0</v>
      </c>
      <c r="BY242" s="231">
        <f xml:space="preserve"> IFERROR(($E242&gt;0)*($E242 &lt;=End_of_period) * ($G242 &gt;=Beginning_of_period) * (1-SUM($K242:BX242)) /  IFERROR((DATEDIF(Beginning_of_period,$G242,"m") + 1) / Months_in_Period,0),0)</f>
        <v>0</v>
      </c>
      <c r="BZ242" s="231">
        <f xml:space="preserve"> IFERROR(($E242&gt;0)*($E242 &lt;=End_of_period) * ($G242 &gt;=Beginning_of_period) * (1-SUM($K242:BY242)) /  IFERROR((DATEDIF(Beginning_of_period,$G242,"m") + 1) / Months_in_Period,0),0)</f>
        <v>0</v>
      </c>
      <c r="CA242" s="231">
        <f xml:space="preserve"> IFERROR(($E242&gt;0)*($E242 &lt;=End_of_period) * ($G242 &gt;=Beginning_of_period) * (1-SUM($K242:BZ242)) /  IFERROR((DATEDIF(Beginning_of_period,$G242,"m") + 1) / Months_in_Period,0),0)</f>
        <v>0</v>
      </c>
      <c r="CB242" s="231">
        <f xml:space="preserve"> IFERROR(($E242&gt;0)*($E242 &lt;=End_of_period) * ($G242 &gt;=Beginning_of_period) * (1-SUM($K242:CA242)) /  IFERROR((DATEDIF(Beginning_of_period,$G242,"m") + 1) / Months_in_Period,0),0)</f>
        <v>0</v>
      </c>
      <c r="CC242" s="231">
        <f xml:space="preserve"> IFERROR(($E242&gt;0)*($E242 &lt;=End_of_period) * ($G242 &gt;=Beginning_of_period) * (1-SUM($K242:CB242)) /  IFERROR((DATEDIF(Beginning_of_period,$G242,"m") + 1) / Months_in_Period,0),0)</f>
        <v>0</v>
      </c>
      <c r="CD242" s="231">
        <f xml:space="preserve"> IFERROR(($E242&gt;0)*($E242 &lt;=End_of_period) * ($G242 &gt;=Beginning_of_period) * (1-SUM($K242:CC242)) /  IFERROR((DATEDIF(Beginning_of_period,$G242,"m") + 1) / Months_in_Period,0),0)</f>
        <v>0</v>
      </c>
      <c r="CE242" s="231">
        <f xml:space="preserve"> IFERROR(($E242&gt;0)*($E242 &lt;=End_of_period) * ($G242 &gt;=Beginning_of_period) * (1-SUM($K242:CD242)) /  IFERROR((DATEDIF(Beginning_of_period,$G242,"m") + 1) / Months_in_Period,0),0)</f>
        <v>0</v>
      </c>
      <c r="CF242" s="231">
        <f xml:space="preserve"> IFERROR(($E242&gt;0)*($E242 &lt;=End_of_period) * ($G242 &gt;=Beginning_of_period) * (1-SUM($K242:CE242)) /  IFERROR((DATEDIF(Beginning_of_period,$G242,"m") + 1) / Months_in_Period,0),0)</f>
        <v>0</v>
      </c>
      <c r="CG242" s="231">
        <f xml:space="preserve"> IFERROR(($E242&gt;0)*($E242 &lt;=End_of_period) * ($G242 &gt;=Beginning_of_period) * (1-SUM($K242:CF242)) /  IFERROR((DATEDIF(Beginning_of_period,$G242,"m") + 1) / Months_in_Period,0),0)</f>
        <v>0</v>
      </c>
      <c r="CH242" s="231">
        <f xml:space="preserve"> IFERROR(($E242&gt;0)*($E242 &lt;=End_of_period) * ($G242 &gt;=Beginning_of_period) * (1-SUM($K242:CG242)) /  IFERROR((DATEDIF(Beginning_of_period,$G242,"m") + 1) / Months_in_Period,0),0)</f>
        <v>0</v>
      </c>
      <c r="CI242" s="231">
        <f xml:space="preserve"> IFERROR(($E242&gt;0)*($E242 &lt;=End_of_period) * ($G242 &gt;=Beginning_of_period) * (1-SUM($K242:CH242)) /  IFERROR((DATEDIF(Beginning_of_period,$G242,"m") + 1) / Months_in_Period,0),0)</f>
        <v>0</v>
      </c>
      <c r="CJ242" s="231">
        <f xml:space="preserve"> IFERROR(($E242&gt;0)*($E242 &lt;=End_of_period) * ($G242 &gt;=Beginning_of_period) * (1-SUM($K242:CI242)) /  IFERROR((DATEDIF(Beginning_of_period,$G242,"m") + 1) / Months_in_Period,0),0)</f>
        <v>0</v>
      </c>
      <c r="CK242" s="231">
        <f xml:space="preserve"> IFERROR(($E242&gt;0)*($E242 &lt;=End_of_period) * ($G242 &gt;=Beginning_of_period) * (1-SUM($K242:CJ242)) /  IFERROR((DATEDIF(Beginning_of_period,$G242,"m") + 1) / Months_in_Period,0),0)</f>
        <v>0</v>
      </c>
      <c r="CL242" s="231">
        <f xml:space="preserve"> IFERROR(($E242&gt;0)*($E242 &lt;=End_of_period) * ($G242 &gt;=Beginning_of_period) * (1-SUM($K242:CK242)) /  IFERROR((DATEDIF(Beginning_of_period,$G242,"m") + 1) / Months_in_Period,0),0)</f>
        <v>0</v>
      </c>
      <c r="CM242" s="231">
        <f xml:space="preserve"> IFERROR(($E242&gt;0)*($E242 &lt;=End_of_period) * ($G242 &gt;=Beginning_of_period) * (1-SUM($K242:CL242)) /  IFERROR((DATEDIF(Beginning_of_period,$G242,"m") + 1) / Months_in_Period,0),0)</f>
        <v>0</v>
      </c>
      <c r="CN242" s="231">
        <f xml:space="preserve"> IFERROR(($E242&gt;0)*($E242 &lt;=End_of_period) * ($G242 &gt;=Beginning_of_period) * (1-SUM($K242:CM242)) /  IFERROR((DATEDIF(Beginning_of_period,$G242,"m") + 1) / Months_in_Period,0),0)</f>
        <v>0</v>
      </c>
      <c r="CO242" s="231">
        <f xml:space="preserve"> IFERROR(($E242&gt;0)*($E242 &lt;=End_of_period) * ($G242 &gt;=Beginning_of_period) * (1-SUM($K242:CN242)) /  IFERROR((DATEDIF(Beginning_of_period,$G242,"m") + 1) / Months_in_Period,0),0)</f>
        <v>0</v>
      </c>
      <c r="CP242" s="10"/>
    </row>
    <row r="243" spans="1:94" ht="15" hidden="1" customHeight="1">
      <c r="A243" s="10"/>
      <c r="B243" s="3"/>
      <c r="C243" s="17"/>
      <c r="D243" s="10"/>
      <c r="E243" s="10"/>
      <c r="F243" s="10"/>
      <c r="G243" s="471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</row>
    <row r="244" spans="1:94" ht="15" customHeight="1">
      <c r="A244" s="10"/>
      <c r="B244" s="3"/>
      <c r="C244" s="382" t="str">
        <f xml:space="preserve"> "Сегмент 1: " &amp; C84</f>
        <v>Сегмент 1: Объект размещения (отель)</v>
      </c>
      <c r="D244" s="271"/>
      <c r="E244" s="271"/>
      <c r="F244" s="271"/>
      <c r="G244" s="272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  <c r="CA244" s="271"/>
      <c r="CB244" s="271"/>
      <c r="CC244" s="271"/>
      <c r="CD244" s="271"/>
      <c r="CE244" s="271"/>
      <c r="CF244" s="271"/>
      <c r="CG244" s="271"/>
      <c r="CH244" s="271"/>
      <c r="CI244" s="271"/>
      <c r="CJ244" s="271"/>
      <c r="CK244" s="271"/>
      <c r="CL244" s="271"/>
      <c r="CM244" s="271"/>
      <c r="CN244" s="271"/>
      <c r="CO244" s="271"/>
      <c r="CP244" s="10"/>
    </row>
    <row r="245" spans="1:94" ht="15" customHeight="1">
      <c r="A245" s="10"/>
      <c r="B245" s="3"/>
      <c r="C245" s="17"/>
      <c r="D245" s="10"/>
      <c r="E245" s="10"/>
      <c r="F245" s="10"/>
      <c r="G245" s="11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</row>
    <row r="246" spans="1:94" ht="15" customHeight="1" thickBot="1">
      <c r="A246" s="10"/>
      <c r="B246" s="3"/>
      <c r="C246" s="12" t="str">
        <f xml:space="preserve"> "Расходы на создание " &amp; Контр_панель!C30 &amp; " (в базовых ценах, без НДС)"</f>
        <v>Расходы на создание Объект размещения (отель) (в базовых ценах, без НДС)</v>
      </c>
      <c r="D246" s="12"/>
      <c r="E246" s="12"/>
      <c r="F246" s="12"/>
      <c r="G246" s="12"/>
      <c r="H246" s="12"/>
      <c r="I246" s="12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</row>
    <row r="247" spans="1:94" ht="15" customHeight="1">
      <c r="A247" s="10"/>
      <c r="B247" s="3"/>
      <c r="C247" s="17"/>
      <c r="D247" s="10"/>
      <c r="E247" s="10"/>
      <c r="F247" s="10"/>
      <c r="G247" s="11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</row>
    <row r="248" spans="1:94" ht="15" customHeight="1">
      <c r="A248" s="10"/>
      <c r="B248" s="3"/>
      <c r="C248" s="67" t="s">
        <v>815</v>
      </c>
      <c r="D248" s="10"/>
      <c r="E248" s="10"/>
      <c r="F248" s="10"/>
      <c r="G248" s="11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</row>
    <row r="249" spans="1:94" ht="15" customHeight="1">
      <c r="A249" s="10"/>
      <c r="B249" s="3"/>
      <c r="C249" s="17" t="s">
        <v>605</v>
      </c>
      <c r="D249" s="10"/>
      <c r="E249" s="14"/>
      <c r="F249" s="10"/>
      <c r="G249" s="11" t="str">
        <f>Monetary_Unit</f>
        <v>тыс. руб.</v>
      </c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</row>
    <row r="250" spans="1:94" ht="15" customHeight="1">
      <c r="A250" s="10"/>
      <c r="B250" s="3"/>
      <c r="C250" s="17" t="s">
        <v>606</v>
      </c>
      <c r="D250" s="10"/>
      <c r="E250" s="14">
        <f>E261*4%</f>
        <v>65575.987624000001</v>
      </c>
      <c r="F250" s="10"/>
      <c r="G250" s="11" t="str">
        <f>Monetary_Unit</f>
        <v>тыс. руб.</v>
      </c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</row>
    <row r="251" spans="1:94" ht="15" customHeight="1">
      <c r="A251" s="10"/>
      <c r="B251" s="3"/>
      <c r="C251" s="17" t="s">
        <v>511</v>
      </c>
      <c r="D251" s="10"/>
      <c r="E251" s="227">
        <v>0</v>
      </c>
      <c r="F251" s="10"/>
      <c r="G251" s="11" t="str">
        <f>Monetary_Unit</f>
        <v>тыс. руб.</v>
      </c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</row>
    <row r="252" spans="1:94" ht="15" customHeight="1">
      <c r="A252" s="10"/>
      <c r="B252" s="3"/>
      <c r="C252" s="248" t="s">
        <v>796</v>
      </c>
      <c r="D252" s="228"/>
      <c r="E252" s="229">
        <f>SUM(E249:E251)</f>
        <v>65575.987624000001</v>
      </c>
      <c r="F252" s="228"/>
      <c r="G252" s="230" t="str">
        <f>Monetary_Unit</f>
        <v>тыс. руб.</v>
      </c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</row>
    <row r="253" spans="1:94" ht="15" customHeight="1">
      <c r="A253" s="10"/>
      <c r="B253" s="3"/>
      <c r="C253" s="17"/>
      <c r="D253" s="10"/>
      <c r="E253" s="10"/>
      <c r="F253" s="10"/>
      <c r="G253" s="11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</row>
    <row r="254" spans="1:94" ht="15" customHeight="1">
      <c r="A254" s="10"/>
      <c r="B254" s="3"/>
      <c r="C254" s="67" t="s">
        <v>817</v>
      </c>
      <c r="D254" s="10"/>
      <c r="E254" s="10"/>
      <c r="F254" s="10"/>
      <c r="G254" s="11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</row>
    <row r="255" spans="1:94" ht="15" customHeight="1">
      <c r="A255" s="10"/>
      <c r="B255" s="3"/>
      <c r="C255" s="17" t="s">
        <v>760</v>
      </c>
      <c r="D255" s="10"/>
      <c r="E255" s="167">
        <v>0</v>
      </c>
      <c r="F255" s="10"/>
      <c r="G255" s="11" t="s">
        <v>625</v>
      </c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</row>
    <row r="256" spans="1:94" ht="15" customHeight="1">
      <c r="A256" s="10"/>
      <c r="B256" s="3"/>
      <c r="C256" s="248" t="s">
        <v>638</v>
      </c>
      <c r="D256" s="228"/>
      <c r="E256" s="229">
        <f xml:space="preserve"> E261 * E255</f>
        <v>0</v>
      </c>
      <c r="F256" s="228"/>
      <c r="G256" s="230" t="str">
        <f>Monetary_Unit</f>
        <v>тыс. руб.</v>
      </c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</row>
    <row r="257" spans="1:94" ht="15" customHeight="1">
      <c r="A257" s="10"/>
      <c r="B257" s="3"/>
      <c r="C257" s="17"/>
      <c r="D257" s="10"/>
      <c r="E257" s="10"/>
      <c r="F257" s="10"/>
      <c r="G257" s="11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</row>
    <row r="258" spans="1:94" ht="15" customHeight="1">
      <c r="A258" s="10"/>
      <c r="B258" s="3"/>
      <c r="C258" s="67" t="s">
        <v>809</v>
      </c>
      <c r="D258" s="10"/>
      <c r="E258" s="10"/>
      <c r="F258" s="10"/>
      <c r="G258" s="11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</row>
    <row r="259" spans="1:94" ht="15" customHeight="1">
      <c r="A259" s="10"/>
      <c r="B259" s="3"/>
      <c r="C259" s="17" t="s">
        <v>761</v>
      </c>
      <c r="D259" s="10"/>
      <c r="E259" s="478">
        <v>136847</v>
      </c>
      <c r="F259" s="10"/>
      <c r="G259" s="11" t="s">
        <v>639</v>
      </c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</row>
    <row r="260" spans="1:94" ht="15" customHeight="1">
      <c r="A260" s="10"/>
      <c r="B260" s="3"/>
      <c r="C260" s="17" t="s">
        <v>615</v>
      </c>
      <c r="D260" s="10"/>
      <c r="E260" s="225">
        <f>E98</f>
        <v>11979.8</v>
      </c>
      <c r="F260" s="10"/>
      <c r="G260" s="11" t="s">
        <v>614</v>
      </c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</row>
    <row r="261" spans="1:94" ht="15" customHeight="1">
      <c r="A261" s="10"/>
      <c r="B261" s="3"/>
      <c r="C261" s="248" t="s">
        <v>818</v>
      </c>
      <c r="D261" s="228"/>
      <c r="E261" s="229">
        <f xml:space="preserve"> E259 * E260 / 1000</f>
        <v>1639399.6905999999</v>
      </c>
      <c r="F261" s="228"/>
      <c r="G261" s="230" t="str">
        <f>Monetary_Unit</f>
        <v>тыс. руб.</v>
      </c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</row>
    <row r="262" spans="1:94" ht="15" customHeight="1">
      <c r="A262" s="10"/>
      <c r="B262" s="3"/>
      <c r="C262" s="17"/>
      <c r="D262" s="10"/>
      <c r="E262" s="10"/>
      <c r="F262" s="10"/>
      <c r="G262" s="11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</row>
    <row r="263" spans="1:94" ht="15" customHeight="1">
      <c r="A263" s="10"/>
      <c r="B263" s="3"/>
      <c r="C263" s="67" t="s">
        <v>819</v>
      </c>
      <c r="D263" s="10"/>
      <c r="E263" s="10"/>
      <c r="F263" s="10"/>
      <c r="G263" s="11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</row>
    <row r="264" spans="1:94" ht="15" customHeight="1">
      <c r="A264" s="10"/>
      <c r="B264" s="3"/>
      <c r="C264" s="17" t="s">
        <v>624</v>
      </c>
      <c r="D264" s="10"/>
      <c r="E264" s="14">
        <v>1000000</v>
      </c>
      <c r="F264" s="10"/>
      <c r="G264" s="11" t="s">
        <v>645</v>
      </c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</row>
    <row r="265" spans="1:94" ht="15" customHeight="1">
      <c r="A265" s="10"/>
      <c r="B265" s="3"/>
      <c r="C265" s="17" t="s">
        <v>640</v>
      </c>
      <c r="D265" s="10"/>
      <c r="E265" s="225">
        <f>E111</f>
        <v>120</v>
      </c>
      <c r="F265" s="10"/>
      <c r="G265" s="11" t="s">
        <v>641</v>
      </c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  <c r="CG265" s="10"/>
      <c r="CH265" s="10"/>
      <c r="CI265" s="10"/>
      <c r="CJ265" s="10"/>
      <c r="CK265" s="10"/>
      <c r="CL265" s="10"/>
      <c r="CM265" s="10"/>
      <c r="CN265" s="10"/>
      <c r="CO265" s="10"/>
      <c r="CP265" s="10"/>
    </row>
    <row r="266" spans="1:94" ht="15" customHeight="1">
      <c r="A266" s="10"/>
      <c r="B266" s="3"/>
      <c r="C266" s="17" t="s">
        <v>1217</v>
      </c>
      <c r="D266" s="10"/>
      <c r="E266" s="14">
        <v>100421</v>
      </c>
      <c r="F266" s="10"/>
      <c r="G266" s="11" t="s">
        <v>639</v>
      </c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  <c r="CG266" s="10"/>
      <c r="CH266" s="10"/>
      <c r="CI266" s="10"/>
      <c r="CJ266" s="10"/>
      <c r="CK266" s="10"/>
      <c r="CL266" s="10"/>
      <c r="CM266" s="10"/>
      <c r="CN266" s="10"/>
      <c r="CO266" s="10"/>
      <c r="CP266" s="10"/>
    </row>
    <row r="267" spans="1:94" ht="15" customHeight="1">
      <c r="A267" s="10"/>
      <c r="B267" s="3"/>
      <c r="C267" s="17" t="s">
        <v>955</v>
      </c>
      <c r="D267" s="10"/>
      <c r="E267" s="225">
        <f xml:space="preserve"> E107</f>
        <v>2100</v>
      </c>
      <c r="F267" s="10"/>
      <c r="G267" s="11" t="s">
        <v>614</v>
      </c>
      <c r="H267" s="10">
        <f>E267*E266</f>
        <v>210884100</v>
      </c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  <c r="CG267" s="10"/>
      <c r="CH267" s="10"/>
      <c r="CI267" s="10"/>
      <c r="CJ267" s="10"/>
      <c r="CK267" s="10"/>
      <c r="CL267" s="10"/>
      <c r="CM267" s="10"/>
      <c r="CN267" s="10"/>
      <c r="CO267" s="10"/>
      <c r="CP267" s="10"/>
    </row>
    <row r="268" spans="1:94" ht="15" customHeight="1">
      <c r="A268" s="10"/>
      <c r="B268" s="3"/>
      <c r="C268" s="17" t="s">
        <v>621</v>
      </c>
      <c r="D268" s="10"/>
      <c r="E268" s="14">
        <v>100421</v>
      </c>
      <c r="F268" s="10"/>
      <c r="G268" s="11" t="s">
        <v>639</v>
      </c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  <c r="CG268" s="10"/>
      <c r="CH268" s="10"/>
      <c r="CI268" s="10"/>
      <c r="CJ268" s="10"/>
      <c r="CK268" s="10"/>
      <c r="CL268" s="10"/>
      <c r="CM268" s="10"/>
      <c r="CN268" s="10"/>
      <c r="CO268" s="10"/>
      <c r="CP268" s="10"/>
    </row>
    <row r="269" spans="1:94" ht="15" customHeight="1">
      <c r="A269" s="10"/>
      <c r="B269" s="3"/>
      <c r="C269" s="17" t="s">
        <v>642</v>
      </c>
      <c r="D269" s="10"/>
      <c r="E269" s="225">
        <f xml:space="preserve"> E105</f>
        <v>470</v>
      </c>
      <c r="F269" s="10"/>
      <c r="G269" s="11" t="s">
        <v>614</v>
      </c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</row>
    <row r="270" spans="1:94" ht="15" customHeight="1">
      <c r="A270" s="10"/>
      <c r="B270" s="3"/>
      <c r="C270" s="17" t="s">
        <v>618</v>
      </c>
      <c r="D270" s="10"/>
      <c r="E270" s="14">
        <v>100421</v>
      </c>
      <c r="F270" s="10"/>
      <c r="G270" s="11" t="s">
        <v>639</v>
      </c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  <c r="CG270" s="10"/>
      <c r="CH270" s="10"/>
      <c r="CI270" s="10"/>
      <c r="CJ270" s="10"/>
      <c r="CK270" s="10"/>
      <c r="CL270" s="10"/>
      <c r="CM270" s="10"/>
      <c r="CN270" s="10"/>
      <c r="CO270" s="10"/>
      <c r="CP270" s="10"/>
    </row>
    <row r="271" spans="1:94" ht="15" customHeight="1">
      <c r="A271" s="10"/>
      <c r="B271" s="3"/>
      <c r="C271" s="17" t="s">
        <v>643</v>
      </c>
      <c r="D271" s="10"/>
      <c r="E271" s="225">
        <f>E101</f>
        <v>1279</v>
      </c>
      <c r="F271" s="10"/>
      <c r="G271" s="11" t="s">
        <v>614</v>
      </c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  <c r="CG271" s="10"/>
      <c r="CH271" s="10"/>
      <c r="CI271" s="10"/>
      <c r="CJ271" s="10"/>
      <c r="CK271" s="10"/>
      <c r="CL271" s="10"/>
      <c r="CM271" s="10"/>
      <c r="CN271" s="10"/>
      <c r="CO271" s="10"/>
      <c r="CP271" s="10"/>
    </row>
    <row r="272" spans="1:94" ht="15" customHeight="1">
      <c r="A272" s="10"/>
      <c r="B272" s="3"/>
      <c r="C272" s="248" t="s">
        <v>644</v>
      </c>
      <c r="D272" s="228"/>
      <c r="E272" s="229">
        <f xml:space="preserve"> (E264 * E265 + E266 * E267 + E268 * E269 + E270 * E271) / Thousand</f>
        <v>506520.429</v>
      </c>
      <c r="F272" s="228"/>
      <c r="G272" s="230" t="str">
        <f>Monetary_Unit</f>
        <v>тыс. руб.</v>
      </c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  <c r="CP272" s="10"/>
    </row>
    <row r="273" spans="1:94" ht="15" customHeight="1">
      <c r="A273" s="10"/>
      <c r="B273" s="3"/>
      <c r="C273" s="17"/>
      <c r="D273" s="10"/>
      <c r="E273" s="10"/>
      <c r="F273" s="10"/>
      <c r="G273" s="11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  <c r="CG273" s="10"/>
      <c r="CH273" s="10"/>
      <c r="CI273" s="10"/>
      <c r="CJ273" s="10"/>
      <c r="CK273" s="10"/>
      <c r="CL273" s="10"/>
      <c r="CM273" s="10"/>
      <c r="CN273" s="10"/>
      <c r="CO273" s="10"/>
      <c r="CP273" s="10"/>
    </row>
    <row r="274" spans="1:94" ht="15" customHeight="1">
      <c r="A274" s="10"/>
      <c r="B274" s="3"/>
      <c r="C274" s="67" t="s">
        <v>820</v>
      </c>
      <c r="D274" s="10"/>
      <c r="E274" s="10"/>
      <c r="F274" s="10"/>
      <c r="G274" s="11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</row>
    <row r="275" spans="1:94" ht="15" customHeight="1">
      <c r="A275" s="10"/>
      <c r="B275" s="3"/>
      <c r="C275" s="17" t="s">
        <v>623</v>
      </c>
      <c r="D275" s="10"/>
      <c r="E275" s="14">
        <v>15000</v>
      </c>
      <c r="F275" s="10"/>
      <c r="G275" s="11" t="s">
        <v>639</v>
      </c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  <c r="CG275" s="10"/>
      <c r="CH275" s="10"/>
      <c r="CI275" s="10"/>
      <c r="CJ275" s="10"/>
      <c r="CK275" s="10"/>
      <c r="CL275" s="10"/>
      <c r="CM275" s="10"/>
      <c r="CN275" s="10"/>
      <c r="CO275" s="10"/>
      <c r="CP275" s="10"/>
    </row>
    <row r="276" spans="1:94" ht="15" customHeight="1">
      <c r="A276" s="10"/>
      <c r="B276" s="3"/>
      <c r="C276" s="17" t="s">
        <v>610</v>
      </c>
      <c r="D276" s="10"/>
      <c r="E276" s="225">
        <f xml:space="preserve"> E94</f>
        <v>25143</v>
      </c>
      <c r="F276" s="10"/>
      <c r="G276" s="11" t="s">
        <v>614</v>
      </c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  <c r="CG276" s="10"/>
      <c r="CH276" s="10"/>
      <c r="CI276" s="10"/>
      <c r="CJ276" s="10"/>
      <c r="CK276" s="10"/>
      <c r="CL276" s="10"/>
      <c r="CM276" s="10"/>
      <c r="CN276" s="10"/>
      <c r="CO276" s="10"/>
      <c r="CP276" s="10"/>
    </row>
    <row r="277" spans="1:94" ht="15" customHeight="1">
      <c r="A277" s="10"/>
      <c r="B277" s="3"/>
      <c r="C277" s="248" t="s">
        <v>646</v>
      </c>
      <c r="D277" s="228"/>
      <c r="E277" s="229">
        <f xml:space="preserve"> E275 * E276 / Thousand</f>
        <v>377145</v>
      </c>
      <c r="F277" s="228"/>
      <c r="G277" s="230" t="str">
        <f>Monetary_Unit</f>
        <v>тыс. руб.</v>
      </c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  <c r="CG277" s="10"/>
      <c r="CH277" s="10"/>
      <c r="CI277" s="10"/>
      <c r="CJ277" s="10"/>
      <c r="CK277" s="10"/>
      <c r="CL277" s="10"/>
      <c r="CM277" s="10"/>
      <c r="CN277" s="10"/>
      <c r="CO277" s="10"/>
      <c r="CP277" s="10"/>
    </row>
    <row r="278" spans="1:94" ht="15" customHeight="1">
      <c r="A278" s="10"/>
      <c r="B278" s="3"/>
      <c r="C278" s="17"/>
      <c r="D278" s="10"/>
      <c r="E278" s="10"/>
      <c r="F278" s="10"/>
      <c r="G278" s="11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  <c r="CP278" s="10"/>
    </row>
    <row r="279" spans="1:94" ht="15" customHeight="1">
      <c r="A279" s="10"/>
      <c r="B279" s="3"/>
      <c r="C279" s="67" t="s">
        <v>511</v>
      </c>
      <c r="D279" s="10"/>
      <c r="E279" s="10"/>
      <c r="F279" s="10"/>
      <c r="G279" s="11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</row>
    <row r="280" spans="1:94" ht="15" customHeight="1">
      <c r="A280" s="10"/>
      <c r="B280" s="3"/>
      <c r="C280" s="17" t="s">
        <v>626</v>
      </c>
      <c r="D280" s="10"/>
      <c r="E280" s="167">
        <v>4.8000000000000001E-2</v>
      </c>
      <c r="F280" s="10"/>
      <c r="G280" s="11" t="s">
        <v>625</v>
      </c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  <c r="CG280" s="10"/>
      <c r="CH280" s="10"/>
      <c r="CI280" s="10"/>
      <c r="CJ280" s="10"/>
      <c r="CK280" s="10"/>
      <c r="CL280" s="10"/>
      <c r="CM280" s="10"/>
      <c r="CN280" s="10"/>
      <c r="CO280" s="10"/>
      <c r="CP280" s="10"/>
    </row>
    <row r="281" spans="1:94" ht="15" customHeight="1">
      <c r="A281" s="10"/>
      <c r="B281" s="3"/>
      <c r="C281" s="17" t="s">
        <v>1177</v>
      </c>
      <c r="D281" s="10"/>
      <c r="E281" s="167">
        <v>0</v>
      </c>
      <c r="F281" s="10"/>
      <c r="G281" s="11" t="s">
        <v>625</v>
      </c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  <c r="CG281" s="10"/>
      <c r="CH281" s="10"/>
      <c r="CI281" s="10"/>
      <c r="CJ281" s="10"/>
      <c r="CK281" s="10"/>
      <c r="CL281" s="10"/>
      <c r="CM281" s="10"/>
      <c r="CN281" s="10"/>
      <c r="CO281" s="10"/>
      <c r="CP281" s="10"/>
    </row>
    <row r="282" spans="1:94" ht="15" customHeight="1">
      <c r="A282" s="10"/>
      <c r="B282" s="3"/>
      <c r="C282" s="17" t="s">
        <v>628</v>
      </c>
      <c r="D282" s="10"/>
      <c r="E282" s="326">
        <v>0</v>
      </c>
      <c r="F282" s="10"/>
      <c r="G282" s="11" t="s">
        <v>629</v>
      </c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  <c r="CG282" s="10"/>
      <c r="CH282" s="10"/>
      <c r="CI282" s="10"/>
      <c r="CJ282" s="10"/>
      <c r="CK282" s="10"/>
      <c r="CL282" s="10"/>
      <c r="CM282" s="10"/>
      <c r="CN282" s="10"/>
      <c r="CO282" s="10"/>
      <c r="CP282" s="10"/>
    </row>
    <row r="283" spans="1:94" ht="15" customHeight="1">
      <c r="A283" s="10"/>
      <c r="B283" s="3"/>
      <c r="C283" s="17"/>
      <c r="D283" s="10"/>
      <c r="E283" s="10"/>
      <c r="F283" s="10"/>
      <c r="G283" s="11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  <c r="CG283" s="10"/>
      <c r="CH283" s="10"/>
      <c r="CI283" s="10"/>
      <c r="CJ283" s="10"/>
      <c r="CK283" s="10"/>
      <c r="CL283" s="10"/>
      <c r="CM283" s="10"/>
      <c r="CN283" s="10"/>
      <c r="CO283" s="10"/>
      <c r="CP283" s="10"/>
    </row>
    <row r="284" spans="1:94" ht="15" customHeight="1">
      <c r="A284" s="10"/>
      <c r="B284" s="3"/>
      <c r="C284" s="67" t="s">
        <v>637</v>
      </c>
      <c r="D284" s="10"/>
      <c r="E284" s="10" t="str">
        <f>"текушие цены на " &amp; TEXT(Расчеты!$E$85-1,"ДД.ММ.ГГГГ")</f>
        <v>текушие цены на 31.12.2024</v>
      </c>
      <c r="F284" s="10"/>
      <c r="G284" s="11"/>
      <c r="H284" s="10" t="s">
        <v>1176</v>
      </c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</row>
    <row r="285" spans="1:94" ht="15" customHeight="1">
      <c r="A285" s="10"/>
      <c r="B285" s="3"/>
      <c r="C285" s="17" t="s">
        <v>630</v>
      </c>
      <c r="D285" s="10"/>
      <c r="E285" s="10">
        <f xml:space="preserve"> E252</f>
        <v>65575.987624000001</v>
      </c>
      <c r="F285" s="10"/>
      <c r="G285" s="11" t="str">
        <f t="shared" ref="G285:G293" si="22">Monetary_Unit</f>
        <v>тыс. руб.</v>
      </c>
      <c r="H285" s="10">
        <f t="shared" ref="H285:H290" ca="1" si="23">E285*SUMPRODUCT(L296:CO296,CAPEX_Accumulated_From_Date)</f>
        <v>67936.365198733052</v>
      </c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  <c r="CG285" s="10"/>
      <c r="CH285" s="10"/>
      <c r="CI285" s="10"/>
      <c r="CJ285" s="10"/>
      <c r="CK285" s="10"/>
      <c r="CL285" s="10"/>
      <c r="CM285" s="10"/>
      <c r="CN285" s="10"/>
      <c r="CO285" s="10"/>
      <c r="CP285" s="10"/>
    </row>
    <row r="286" spans="1:94" ht="15" customHeight="1">
      <c r="A286" s="10"/>
      <c r="B286" s="3"/>
      <c r="C286" s="17" t="s">
        <v>632</v>
      </c>
      <c r="D286" s="10"/>
      <c r="E286" s="10">
        <f xml:space="preserve"> E256</f>
        <v>0</v>
      </c>
      <c r="F286" s="10"/>
      <c r="G286" s="11" t="str">
        <f t="shared" si="22"/>
        <v>тыс. руб.</v>
      </c>
      <c r="H286" s="10">
        <f t="shared" ca="1" si="23"/>
        <v>0</v>
      </c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  <c r="CG286" s="10"/>
      <c r="CH286" s="10"/>
      <c r="CI286" s="10"/>
      <c r="CJ286" s="10"/>
      <c r="CK286" s="10"/>
      <c r="CL286" s="10"/>
      <c r="CM286" s="10"/>
      <c r="CN286" s="10"/>
      <c r="CO286" s="10"/>
      <c r="CP286" s="10"/>
    </row>
    <row r="287" spans="1:94" ht="15" customHeight="1">
      <c r="A287" s="10"/>
      <c r="B287" s="3"/>
      <c r="C287" s="17" t="s">
        <v>821</v>
      </c>
      <c r="D287" s="10"/>
      <c r="E287" s="10">
        <f xml:space="preserve"> E261</f>
        <v>1639399.6905999999</v>
      </c>
      <c r="F287" s="10"/>
      <c r="G287" s="11" t="str">
        <f t="shared" si="22"/>
        <v>тыс. руб.</v>
      </c>
      <c r="H287" s="10">
        <f t="shared" ca="1" si="23"/>
        <v>1849687.8618251684</v>
      </c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  <c r="CG287" s="10"/>
      <c r="CH287" s="10"/>
      <c r="CI287" s="10"/>
      <c r="CJ287" s="10"/>
      <c r="CK287" s="10"/>
      <c r="CL287" s="10"/>
      <c r="CM287" s="10"/>
      <c r="CN287" s="10"/>
      <c r="CO287" s="10"/>
      <c r="CP287" s="10"/>
    </row>
    <row r="288" spans="1:94" ht="15" customHeight="1">
      <c r="A288" s="10"/>
      <c r="B288" s="3"/>
      <c r="C288" s="17" t="s">
        <v>633</v>
      </c>
      <c r="D288" s="10"/>
      <c r="E288" s="10">
        <f xml:space="preserve"> E272</f>
        <v>506520.429</v>
      </c>
      <c r="F288" s="10"/>
      <c r="G288" s="11" t="str">
        <f t="shared" si="22"/>
        <v>тыс. руб.</v>
      </c>
      <c r="H288" s="10">
        <f t="shared" ca="1" si="23"/>
        <v>594047.59928800573</v>
      </c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  <c r="CG288" s="10"/>
      <c r="CH288" s="10"/>
      <c r="CI288" s="10"/>
      <c r="CJ288" s="10"/>
      <c r="CK288" s="10"/>
      <c r="CL288" s="10"/>
      <c r="CM288" s="10"/>
      <c r="CN288" s="10"/>
      <c r="CO288" s="10"/>
      <c r="CP288" s="10"/>
    </row>
    <row r="289" spans="1:94" ht="15" customHeight="1">
      <c r="A289" s="10"/>
      <c r="B289" s="3"/>
      <c r="C289" s="17" t="s">
        <v>1190</v>
      </c>
      <c r="D289" s="10"/>
      <c r="E289" s="10">
        <f xml:space="preserve"> E277</f>
        <v>377145</v>
      </c>
      <c r="F289" s="10"/>
      <c r="G289" s="11" t="str">
        <f t="shared" si="22"/>
        <v>тыс. руб.</v>
      </c>
      <c r="H289" s="10">
        <f t="shared" ca="1" si="23"/>
        <v>453265.197925093</v>
      </c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</row>
    <row r="290" spans="1:94" ht="15" customHeight="1">
      <c r="A290" s="10"/>
      <c r="B290" s="3"/>
      <c r="C290" s="17" t="s">
        <v>626</v>
      </c>
      <c r="D290" s="10"/>
      <c r="E290" s="10">
        <f xml:space="preserve"> E$287 * $E280</f>
        <v>78691.185148799996</v>
      </c>
      <c r="F290" s="10"/>
      <c r="G290" s="11" t="str">
        <f t="shared" si="22"/>
        <v>тыс. руб.</v>
      </c>
      <c r="H290" s="10">
        <f t="shared" ca="1" si="23"/>
        <v>94573.640407352534</v>
      </c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  <c r="CP290" s="10"/>
    </row>
    <row r="291" spans="1:94" ht="15" customHeight="1">
      <c r="A291" s="10"/>
      <c r="B291" s="3"/>
      <c r="C291" s="17" t="s">
        <v>1177</v>
      </c>
      <c r="D291" s="10"/>
      <c r="E291" s="10">
        <f xml:space="preserve"> E$287 * $E281</f>
        <v>0</v>
      </c>
      <c r="F291" s="10"/>
      <c r="G291" s="11" t="str">
        <f t="shared" si="22"/>
        <v>тыс. руб.</v>
      </c>
      <c r="H291" s="10">
        <f ca="1" xml:space="preserve"> H$287 * $E281</f>
        <v>0</v>
      </c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  <c r="CP291" s="10"/>
    </row>
    <row r="292" spans="1:94" ht="15" customHeight="1">
      <c r="A292" s="10"/>
      <c r="B292" s="3"/>
      <c r="C292" s="17" t="s">
        <v>797</v>
      </c>
      <c r="D292" s="10"/>
      <c r="E292" s="10">
        <f>SUM(E285:E291) * $E282</f>
        <v>0</v>
      </c>
      <c r="F292" s="10"/>
      <c r="G292" s="11" t="str">
        <f t="shared" si="22"/>
        <v>тыс. руб.</v>
      </c>
      <c r="H292" s="10">
        <f ca="1">SUM(H285:H291) * $E282</f>
        <v>0</v>
      </c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  <c r="CP292" s="10"/>
    </row>
    <row r="293" spans="1:94" ht="15" customHeight="1">
      <c r="A293" s="10"/>
      <c r="B293" s="3"/>
      <c r="C293" s="248" t="s">
        <v>647</v>
      </c>
      <c r="D293" s="228"/>
      <c r="E293" s="229">
        <f>SUM(E285:E292)</f>
        <v>2667332.2923727995</v>
      </c>
      <c r="F293" s="228"/>
      <c r="G293" s="230" t="str">
        <f t="shared" si="22"/>
        <v>тыс. руб.</v>
      </c>
      <c r="H293" s="229">
        <f ca="1">SUM(H285:H292)</f>
        <v>3059510.6646443531</v>
      </c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  <c r="CP293" s="10"/>
    </row>
    <row r="294" spans="1:94" ht="15" customHeight="1">
      <c r="A294" s="10"/>
      <c r="B294" s="3"/>
      <c r="C294" s="17"/>
      <c r="D294" s="10"/>
      <c r="E294" s="10"/>
      <c r="F294" s="10"/>
      <c r="G294" s="11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</row>
    <row r="295" spans="1:94" ht="15" customHeight="1">
      <c r="A295" s="10"/>
      <c r="B295" s="3"/>
      <c r="C295" s="67" t="s">
        <v>816</v>
      </c>
      <c r="D295" s="10"/>
      <c r="E295" s="10" t="s">
        <v>635</v>
      </c>
      <c r="F295" s="10"/>
      <c r="G295" s="11" t="s">
        <v>636</v>
      </c>
      <c r="H295" s="62" t="s">
        <v>648</v>
      </c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  <c r="CG295" s="10"/>
      <c r="CH295" s="10"/>
      <c r="CI295" s="10"/>
      <c r="CJ295" s="10"/>
      <c r="CK295" s="10"/>
      <c r="CL295" s="10"/>
      <c r="CM295" s="10"/>
      <c r="CN295" s="10"/>
      <c r="CO295" s="10"/>
      <c r="CP295" s="10"/>
    </row>
    <row r="296" spans="1:94" ht="15" customHeight="1">
      <c r="A296" s="10"/>
      <c r="B296" s="3"/>
      <c r="C296" s="17" t="s">
        <v>630</v>
      </c>
      <c r="D296" s="10"/>
      <c r="E296" s="71">
        <v>45658</v>
      </c>
      <c r="F296" s="10"/>
      <c r="G296" s="477">
        <v>46022</v>
      </c>
      <c r="H296" s="149">
        <f t="shared" ref="H296:H301" si="24" xml:space="preserve"> IFERROR((DATEDIF(E296,G296,"m") + 1) / Months_in_Period,0)</f>
        <v>4</v>
      </c>
      <c r="I296" s="231">
        <f t="shared" ref="I296:I301" si="25">IF(SUM(L296:CO296)=0,1,SUM(L296:CO296))</f>
        <v>1</v>
      </c>
      <c r="J296" s="10"/>
      <c r="K296" s="10"/>
      <c r="L296" s="231">
        <f xml:space="preserve"> IFERROR(($E296&gt;0)*($E296 &lt;=End_of_period) * ($G296 &gt;=Beginning_of_period) * (1-SUM($K296:K296)) /  IFERROR((DATEDIF(Beginning_of_period,$G296,"m") + 1) / Months_in_Period,0),0)</f>
        <v>0.25</v>
      </c>
      <c r="M296" s="231">
        <f xml:space="preserve"> IFERROR(($E296&gt;0)*($E296 &lt;=End_of_period) * ($G296 &gt;=Beginning_of_period) * (1-SUM($K296:L296)) /  IFERROR((DATEDIF(Beginning_of_period,$G296,"m") + 1) / Months_in_Period,0),0)</f>
        <v>0.25</v>
      </c>
      <c r="N296" s="231">
        <f xml:space="preserve"> IFERROR(($E296&gt;0)*($E296 &lt;=End_of_period) * ($G296 &gt;=Beginning_of_period) * (1-SUM($K296:M296)) /  IFERROR((DATEDIF(Beginning_of_period,$G296,"m") + 1) / Months_in_Period,0),0)</f>
        <v>0.25</v>
      </c>
      <c r="O296" s="231">
        <f xml:space="preserve"> IFERROR(($E296&gt;0)*($E296 &lt;=End_of_period) * ($G296 &gt;=Beginning_of_period) * (1-SUM($K296:N296)) /  IFERROR((DATEDIF(Beginning_of_period,$G296,"m") + 1) / Months_in_Period,0),0)</f>
        <v>0.25</v>
      </c>
      <c r="P296" s="231">
        <f xml:space="preserve"> IFERROR(($E296&gt;0)*($E296 &lt;=End_of_period) * ($G296 &gt;=Beginning_of_period) * (1-SUM($K296:O296)) /  IFERROR((DATEDIF(Beginning_of_period,$G296,"m") + 1) / Months_in_Period,0),0)</f>
        <v>0</v>
      </c>
      <c r="Q296" s="231">
        <f xml:space="preserve"> IFERROR(($E296&gt;0)*($E296 &lt;=End_of_period) * ($G296 &gt;=Beginning_of_period) * (1-SUM($K296:P296)) /  IFERROR((DATEDIF(Beginning_of_period,$G296,"m") + 1) / Months_in_Period,0),0)</f>
        <v>0</v>
      </c>
      <c r="R296" s="231">
        <f xml:space="preserve"> IFERROR(($E296&gt;0)*($E296 &lt;=End_of_period) * ($G296 &gt;=Beginning_of_period) * (1-SUM($K296:Q296)) /  IFERROR((DATEDIF(Beginning_of_period,$G296,"m") + 1) / Months_in_Period,0),0)</f>
        <v>0</v>
      </c>
      <c r="S296" s="231">
        <f xml:space="preserve"> IFERROR(($E296&gt;0)*($E296 &lt;=End_of_period) * ($G296 &gt;=Beginning_of_period) * (1-SUM($K296:R296)) /  IFERROR((DATEDIF(Beginning_of_period,$G296,"m") + 1) / Months_in_Period,0),0)</f>
        <v>0</v>
      </c>
      <c r="T296" s="231">
        <f xml:space="preserve"> IFERROR(($E296&gt;0)*($E296 &lt;=End_of_period) * ($G296 &gt;=Beginning_of_period) * (1-SUM($K296:S296)) /  IFERROR((DATEDIF(Beginning_of_period,$G296,"m") + 1) / Months_in_Period,0),0)</f>
        <v>0</v>
      </c>
      <c r="U296" s="231">
        <f xml:space="preserve"> IFERROR(($E296&gt;0)*($E296 &lt;=End_of_period) * ($G296 &gt;=Beginning_of_period) * (1-SUM($K296:T296)) /  IFERROR((DATEDIF(Beginning_of_period,$G296,"m") + 1) / Months_in_Period,0),0)</f>
        <v>0</v>
      </c>
      <c r="V296" s="231">
        <f xml:space="preserve"> IFERROR(($E296&gt;0)*($E296 &lt;=End_of_period) * ($G296 &gt;=Beginning_of_period) * (1-SUM($K296:U296)) /  IFERROR((DATEDIF(Beginning_of_period,$G296,"m") + 1) / Months_in_Period,0),0)</f>
        <v>0</v>
      </c>
      <c r="W296" s="231">
        <f xml:space="preserve"> IFERROR(($E296&gt;0)*($E296 &lt;=End_of_period) * ($G296 &gt;=Beginning_of_period) * (1-SUM($K296:V296)) /  IFERROR((DATEDIF(Beginning_of_period,$G296,"m") + 1) / Months_in_Period,0),0)</f>
        <v>0</v>
      </c>
      <c r="X296" s="231">
        <f xml:space="preserve"> IFERROR(($E296&gt;0)*($E296 &lt;=End_of_period) * ($G296 &gt;=Beginning_of_period) * (1-SUM($K296:W296)) /  IFERROR((DATEDIF(Beginning_of_period,$G296,"m") + 1) / Months_in_Period,0),0)</f>
        <v>0</v>
      </c>
      <c r="Y296" s="231">
        <f xml:space="preserve"> IFERROR(($E296&gt;0)*($E296 &lt;=End_of_period) * ($G296 &gt;=Beginning_of_period) * (1-SUM($K296:X296)) /  IFERROR((DATEDIF(Beginning_of_period,$G296,"m") + 1) / Months_in_Period,0),0)</f>
        <v>0</v>
      </c>
      <c r="Z296" s="231">
        <f xml:space="preserve"> IFERROR(($E296&gt;0)*($E296 &lt;=End_of_period) * ($G296 &gt;=Beginning_of_period) * (1-SUM($K296:Y296)) /  IFERROR((DATEDIF(Beginning_of_period,$G296,"m") + 1) / Months_in_Period,0),0)</f>
        <v>0</v>
      </c>
      <c r="AA296" s="231">
        <f xml:space="preserve"> IFERROR(($E296&gt;0)*($E296 &lt;=End_of_period) * ($G296 &gt;=Beginning_of_period) * (1-SUM($K296:Z296)) /  IFERROR((DATEDIF(Beginning_of_period,$G296,"m") + 1) / Months_in_Period,0),0)</f>
        <v>0</v>
      </c>
      <c r="AB296" s="231">
        <f xml:space="preserve"> IFERROR(($E296&gt;0)*($E296 &lt;=End_of_period) * ($G296 &gt;=Beginning_of_period) * (1-SUM($K296:AA296)) /  IFERROR((DATEDIF(Beginning_of_period,$G296,"m") + 1) / Months_in_Period,0),0)</f>
        <v>0</v>
      </c>
      <c r="AC296" s="231">
        <f xml:space="preserve"> IFERROR(($E296&gt;0)*($E296 &lt;=End_of_period) * ($G296 &gt;=Beginning_of_period) * (1-SUM($K296:AB296)) /  IFERROR((DATEDIF(Beginning_of_period,$G296,"m") + 1) / Months_in_Period,0),0)</f>
        <v>0</v>
      </c>
      <c r="AD296" s="231">
        <f xml:space="preserve"> IFERROR(($E296&gt;0)*($E296 &lt;=End_of_period) * ($G296 &gt;=Beginning_of_period) * (1-SUM($K296:AC296)) /  IFERROR((DATEDIF(Beginning_of_period,$G296,"m") + 1) / Months_in_Period,0),0)</f>
        <v>0</v>
      </c>
      <c r="AE296" s="231">
        <f xml:space="preserve"> IFERROR(($E296&gt;0)*($E296 &lt;=End_of_period) * ($G296 &gt;=Beginning_of_period) * (1-SUM($K296:AD296)) /  IFERROR((DATEDIF(Beginning_of_period,$G296,"m") + 1) / Months_in_Period,0),0)</f>
        <v>0</v>
      </c>
      <c r="AF296" s="231">
        <f xml:space="preserve"> IFERROR(($E296&gt;0)*($E296 &lt;=End_of_period) * ($G296 &gt;=Beginning_of_period) * (1-SUM($K296:AE296)) /  IFERROR((DATEDIF(Beginning_of_period,$G296,"m") + 1) / Months_in_Period,0),0)</f>
        <v>0</v>
      </c>
      <c r="AG296" s="231">
        <f xml:space="preserve"> IFERROR(($E296&gt;0)*($E296 &lt;=End_of_period) * ($G296 &gt;=Beginning_of_period) * (1-SUM($K296:AF296)) /  IFERROR((DATEDIF(Beginning_of_period,$G296,"m") + 1) / Months_in_Period,0),0)</f>
        <v>0</v>
      </c>
      <c r="AH296" s="231">
        <f xml:space="preserve"> IFERROR(($E296&gt;0)*($E296 &lt;=End_of_period) * ($G296 &gt;=Beginning_of_period) * (1-SUM($K296:AG296)) /  IFERROR((DATEDIF(Beginning_of_period,$G296,"m") + 1) / Months_in_Period,0),0)</f>
        <v>0</v>
      </c>
      <c r="AI296" s="231">
        <f xml:space="preserve"> IFERROR(($E296&gt;0)*($E296 &lt;=End_of_period) * ($G296 &gt;=Beginning_of_period) * (1-SUM($K296:AH296)) /  IFERROR((DATEDIF(Beginning_of_period,$G296,"m") + 1) / Months_in_Period,0),0)</f>
        <v>0</v>
      </c>
      <c r="AJ296" s="231">
        <f xml:space="preserve"> IFERROR(($E296&gt;0)*($E296 &lt;=End_of_period) * ($G296 &gt;=Beginning_of_period) * (1-SUM($K296:AI296)) /  IFERROR((DATEDIF(Beginning_of_period,$G296,"m") + 1) / Months_in_Period,0),0)</f>
        <v>0</v>
      </c>
      <c r="AK296" s="231">
        <f xml:space="preserve"> IFERROR(($E296&gt;0)*($E296 &lt;=End_of_period) * ($G296 &gt;=Beginning_of_period) * (1-SUM($K296:AJ296)) /  IFERROR((DATEDIF(Beginning_of_period,$G296,"m") + 1) / Months_in_Period,0),0)</f>
        <v>0</v>
      </c>
      <c r="AL296" s="231">
        <f xml:space="preserve"> IFERROR(($E296&gt;0)*($E296 &lt;=End_of_period) * ($G296 &gt;=Beginning_of_period) * (1-SUM($K296:AK296)) /  IFERROR((DATEDIF(Beginning_of_period,$G296,"m") + 1) / Months_in_Period,0),0)</f>
        <v>0</v>
      </c>
      <c r="AM296" s="231">
        <f xml:space="preserve"> IFERROR(($E296&gt;0)*($E296 &lt;=End_of_period) * ($G296 &gt;=Beginning_of_period) * (1-SUM($K296:AL296)) /  IFERROR((DATEDIF(Beginning_of_period,$G296,"m") + 1) / Months_in_Period,0),0)</f>
        <v>0</v>
      </c>
      <c r="AN296" s="231">
        <f xml:space="preserve"> IFERROR(($E296&gt;0)*($E296 &lt;=End_of_period) * ($G296 &gt;=Beginning_of_period) * (1-SUM($K296:AM296)) /  IFERROR((DATEDIF(Beginning_of_period,$G296,"m") + 1) / Months_in_Period,0),0)</f>
        <v>0</v>
      </c>
      <c r="AO296" s="231">
        <f xml:space="preserve"> IFERROR(($E296&gt;0)*($E296 &lt;=End_of_period) * ($G296 &gt;=Beginning_of_period) * (1-SUM($K296:AN296)) /  IFERROR((DATEDIF(Beginning_of_period,$G296,"m") + 1) / Months_in_Period,0),0)</f>
        <v>0</v>
      </c>
      <c r="AP296" s="231">
        <f xml:space="preserve"> IFERROR(($E296&gt;0)*($E296 &lt;=End_of_period) * ($G296 &gt;=Beginning_of_period) * (1-SUM($K296:AO296)) /  IFERROR((DATEDIF(Beginning_of_period,$G296,"m") + 1) / Months_in_Period,0),0)</f>
        <v>0</v>
      </c>
      <c r="AQ296" s="231">
        <f xml:space="preserve"> IFERROR(($E296&gt;0)*($E296 &lt;=End_of_period) * ($G296 &gt;=Beginning_of_period) * (1-SUM($K296:AP296)) /  IFERROR((DATEDIF(Beginning_of_period,$G296,"m") + 1) / Months_in_Period,0),0)</f>
        <v>0</v>
      </c>
      <c r="AR296" s="231">
        <f xml:space="preserve"> IFERROR(($E296&gt;0)*($E296 &lt;=End_of_period) * ($G296 &gt;=Beginning_of_period) * (1-SUM($K296:AQ296)) /  IFERROR((DATEDIF(Beginning_of_period,$G296,"m") + 1) / Months_in_Period,0),0)</f>
        <v>0</v>
      </c>
      <c r="AS296" s="231">
        <f xml:space="preserve"> IFERROR(($E296&gt;0)*($E296 &lt;=End_of_period) * ($G296 &gt;=Beginning_of_period) * (1-SUM($K296:AR296)) /  IFERROR((DATEDIF(Beginning_of_period,$G296,"m") + 1) / Months_in_Period,0),0)</f>
        <v>0</v>
      </c>
      <c r="AT296" s="231">
        <f xml:space="preserve"> IFERROR(($E296&gt;0)*($E296 &lt;=End_of_period) * ($G296 &gt;=Beginning_of_period) * (1-SUM($K296:AS296)) /  IFERROR((DATEDIF(Beginning_of_period,$G296,"m") + 1) / Months_in_Period,0),0)</f>
        <v>0</v>
      </c>
      <c r="AU296" s="231">
        <f xml:space="preserve"> IFERROR(($E296&gt;0)*($E296 &lt;=End_of_period) * ($G296 &gt;=Beginning_of_period) * (1-SUM($K296:AT296)) /  IFERROR((DATEDIF(Beginning_of_period,$G296,"m") + 1) / Months_in_Period,0),0)</f>
        <v>0</v>
      </c>
      <c r="AV296" s="231">
        <f xml:space="preserve"> IFERROR(($E296&gt;0)*($E296 &lt;=End_of_period) * ($G296 &gt;=Beginning_of_period) * (1-SUM($K296:AU296)) /  IFERROR((DATEDIF(Beginning_of_period,$G296,"m") + 1) / Months_in_Period,0),0)</f>
        <v>0</v>
      </c>
      <c r="AW296" s="231">
        <f xml:space="preserve"> IFERROR(($E296&gt;0)*($E296 &lt;=End_of_period) * ($G296 &gt;=Beginning_of_period) * (1-SUM($K296:AV296)) /  IFERROR((DATEDIF(Beginning_of_period,$G296,"m") + 1) / Months_in_Period,0),0)</f>
        <v>0</v>
      </c>
      <c r="AX296" s="231">
        <f xml:space="preserve"> IFERROR(($E296&gt;0)*($E296 &lt;=End_of_period) * ($G296 &gt;=Beginning_of_period) * (1-SUM($K296:AW296)) /  IFERROR((DATEDIF(Beginning_of_period,$G296,"m") + 1) / Months_in_Period,0),0)</f>
        <v>0</v>
      </c>
      <c r="AY296" s="231">
        <f xml:space="preserve"> IFERROR(($E296&gt;0)*($E296 &lt;=End_of_period) * ($G296 &gt;=Beginning_of_period) * (1-SUM($K296:AX296)) /  IFERROR((DATEDIF(Beginning_of_period,$G296,"m") + 1) / Months_in_Period,0),0)</f>
        <v>0</v>
      </c>
      <c r="AZ296" s="231">
        <f xml:space="preserve"> IFERROR(($E296&gt;0)*($E296 &lt;=End_of_period) * ($G296 &gt;=Beginning_of_period) * (1-SUM($K296:AY296)) /  IFERROR((DATEDIF(Beginning_of_period,$G296,"m") + 1) / Months_in_Period,0),0)</f>
        <v>0</v>
      </c>
      <c r="BA296" s="231">
        <f xml:space="preserve"> IFERROR(($E296&gt;0)*($E296 &lt;=End_of_period) * ($G296 &gt;=Beginning_of_period) * (1-SUM($K296:AZ296)) /  IFERROR((DATEDIF(Beginning_of_period,$G296,"m") + 1) / Months_in_Period,0),0)</f>
        <v>0</v>
      </c>
      <c r="BB296" s="231">
        <f xml:space="preserve"> IFERROR(($E296&gt;0)*($E296 &lt;=End_of_period) * ($G296 &gt;=Beginning_of_period) * (1-SUM($K296:BA296)) /  IFERROR((DATEDIF(Beginning_of_period,$G296,"m") + 1) / Months_in_Period,0),0)</f>
        <v>0</v>
      </c>
      <c r="BC296" s="231">
        <f xml:space="preserve"> IFERROR(($E296&gt;0)*($E296 &lt;=End_of_period) * ($G296 &gt;=Beginning_of_period) * (1-SUM($K296:BB296)) /  IFERROR((DATEDIF(Beginning_of_period,$G296,"m") + 1) / Months_in_Period,0),0)</f>
        <v>0</v>
      </c>
      <c r="BD296" s="231">
        <f xml:space="preserve"> IFERROR(($E296&gt;0)*($E296 &lt;=End_of_period) * ($G296 &gt;=Beginning_of_period) * (1-SUM($K296:BC296)) /  IFERROR((DATEDIF(Beginning_of_period,$G296,"m") + 1) / Months_in_Period,0),0)</f>
        <v>0</v>
      </c>
      <c r="BE296" s="231">
        <f xml:space="preserve"> IFERROR(($E296&gt;0)*($E296 &lt;=End_of_period) * ($G296 &gt;=Beginning_of_period) * (1-SUM($K296:BD296)) /  IFERROR((DATEDIF(Beginning_of_period,$G296,"m") + 1) / Months_in_Period,0),0)</f>
        <v>0</v>
      </c>
      <c r="BF296" s="231">
        <f xml:space="preserve"> IFERROR(($E296&gt;0)*($E296 &lt;=End_of_period) * ($G296 &gt;=Beginning_of_period) * (1-SUM($K296:BE296)) /  IFERROR((DATEDIF(Beginning_of_period,$G296,"m") + 1) / Months_in_Period,0),0)</f>
        <v>0</v>
      </c>
      <c r="BG296" s="231">
        <f xml:space="preserve"> IFERROR(($E296&gt;0)*($E296 &lt;=End_of_period) * ($G296 &gt;=Beginning_of_period) * (1-SUM($K296:BF296)) /  IFERROR((DATEDIF(Beginning_of_period,$G296,"m") + 1) / Months_in_Period,0),0)</f>
        <v>0</v>
      </c>
      <c r="BH296" s="231">
        <f xml:space="preserve"> IFERROR(($E296&gt;0)*($E296 &lt;=End_of_period) * ($G296 &gt;=Beginning_of_period) * (1-SUM($K296:BG296)) /  IFERROR((DATEDIF(Beginning_of_period,$G296,"m") + 1) / Months_in_Period,0),0)</f>
        <v>0</v>
      </c>
      <c r="BI296" s="231">
        <f xml:space="preserve"> IFERROR(($E296&gt;0)*($E296 &lt;=End_of_period) * ($G296 &gt;=Beginning_of_period) * (1-SUM($K296:BH296)) /  IFERROR((DATEDIF(Beginning_of_period,$G296,"m") + 1) / Months_in_Period,0),0)</f>
        <v>0</v>
      </c>
      <c r="BJ296" s="231">
        <f xml:space="preserve"> IFERROR(($E296&gt;0)*($E296 &lt;=End_of_period) * ($G296 &gt;=Beginning_of_period) * (1-SUM($K296:BI296)) /  IFERROR((DATEDIF(Beginning_of_period,$G296,"m") + 1) / Months_in_Period,0),0)</f>
        <v>0</v>
      </c>
      <c r="BK296" s="231">
        <f xml:space="preserve"> IFERROR(($E296&gt;0)*($E296 &lt;=End_of_period) * ($G296 &gt;=Beginning_of_period) * (1-SUM($K296:BJ296)) /  IFERROR((DATEDIF(Beginning_of_period,$G296,"m") + 1) / Months_in_Period,0),0)</f>
        <v>0</v>
      </c>
      <c r="BL296" s="231">
        <f xml:space="preserve"> IFERROR(($E296&gt;0)*($E296 &lt;=End_of_period) * ($G296 &gt;=Beginning_of_period) * (1-SUM($K296:BK296)) /  IFERROR((DATEDIF(Beginning_of_period,$G296,"m") + 1) / Months_in_Period,0),0)</f>
        <v>0</v>
      </c>
      <c r="BM296" s="231">
        <f xml:space="preserve"> IFERROR(($E296&gt;0)*($E296 &lt;=End_of_period) * ($G296 &gt;=Beginning_of_period) * (1-SUM($K296:BL296)) /  IFERROR((DATEDIF(Beginning_of_period,$G296,"m") + 1) / Months_in_Period,0),0)</f>
        <v>0</v>
      </c>
      <c r="BN296" s="231">
        <f xml:space="preserve"> IFERROR(($E296&gt;0)*($E296 &lt;=End_of_period) * ($G296 &gt;=Beginning_of_period) * (1-SUM($K296:BM296)) /  IFERROR((DATEDIF(Beginning_of_period,$G296,"m") + 1) / Months_in_Period,0),0)</f>
        <v>0</v>
      </c>
      <c r="BO296" s="231">
        <f xml:space="preserve"> IFERROR(($E296&gt;0)*($E296 &lt;=End_of_period) * ($G296 &gt;=Beginning_of_period) * (1-SUM($K296:BN296)) /  IFERROR((DATEDIF(Beginning_of_period,$G296,"m") + 1) / Months_in_Period,0),0)</f>
        <v>0</v>
      </c>
      <c r="BP296" s="231">
        <f xml:space="preserve"> IFERROR(($E296&gt;0)*($E296 &lt;=End_of_period) * ($G296 &gt;=Beginning_of_period) * (1-SUM($K296:BO296)) /  IFERROR((DATEDIF(Beginning_of_period,$G296,"m") + 1) / Months_in_Period,0),0)</f>
        <v>0</v>
      </c>
      <c r="BQ296" s="231">
        <f xml:space="preserve"> IFERROR(($E296&gt;0)*($E296 &lt;=End_of_period) * ($G296 &gt;=Beginning_of_period) * (1-SUM($K296:BP296)) /  IFERROR((DATEDIF(Beginning_of_period,$G296,"m") + 1) / Months_in_Period,0),0)</f>
        <v>0</v>
      </c>
      <c r="BR296" s="231">
        <f xml:space="preserve"> IFERROR(($E296&gt;0)*($E296 &lt;=End_of_period) * ($G296 &gt;=Beginning_of_period) * (1-SUM($K296:BQ296)) /  IFERROR((DATEDIF(Beginning_of_period,$G296,"m") + 1) / Months_in_Period,0),0)</f>
        <v>0</v>
      </c>
      <c r="BS296" s="231">
        <f xml:space="preserve"> IFERROR(($E296&gt;0)*($E296 &lt;=End_of_period) * ($G296 &gt;=Beginning_of_period) * (1-SUM($K296:BR296)) /  IFERROR((DATEDIF(Beginning_of_period,$G296,"m") + 1) / Months_in_Period,0),0)</f>
        <v>0</v>
      </c>
      <c r="BT296" s="231">
        <f xml:space="preserve"> IFERROR(($E296&gt;0)*($E296 &lt;=End_of_period) * ($G296 &gt;=Beginning_of_period) * (1-SUM($K296:BS296)) /  IFERROR((DATEDIF(Beginning_of_period,$G296,"m") + 1) / Months_in_Period,0),0)</f>
        <v>0</v>
      </c>
      <c r="BU296" s="231">
        <f xml:space="preserve"> IFERROR(($E296&gt;0)*($E296 &lt;=End_of_period) * ($G296 &gt;=Beginning_of_period) * (1-SUM($K296:BT296)) /  IFERROR((DATEDIF(Beginning_of_period,$G296,"m") + 1) / Months_in_Period,0),0)</f>
        <v>0</v>
      </c>
      <c r="BV296" s="231">
        <f xml:space="preserve"> IFERROR(($E296&gt;0)*($E296 &lt;=End_of_period) * ($G296 &gt;=Beginning_of_period) * (1-SUM($K296:BU296)) /  IFERROR((DATEDIF(Beginning_of_period,$G296,"m") + 1) / Months_in_Period,0),0)</f>
        <v>0</v>
      </c>
      <c r="BW296" s="231">
        <f xml:space="preserve"> IFERROR(($E296&gt;0)*($E296 &lt;=End_of_period) * ($G296 &gt;=Beginning_of_period) * (1-SUM($K296:BV296)) /  IFERROR((DATEDIF(Beginning_of_period,$G296,"m") + 1) / Months_in_Period,0),0)</f>
        <v>0</v>
      </c>
      <c r="BX296" s="231">
        <f xml:space="preserve"> IFERROR(($E296&gt;0)*($E296 &lt;=End_of_period) * ($G296 &gt;=Beginning_of_period) * (1-SUM($K296:BW296)) /  IFERROR((DATEDIF(Beginning_of_period,$G296,"m") + 1) / Months_in_Period,0),0)</f>
        <v>0</v>
      </c>
      <c r="BY296" s="231">
        <f xml:space="preserve"> IFERROR(($E296&gt;0)*($E296 &lt;=End_of_period) * ($G296 &gt;=Beginning_of_period) * (1-SUM($K296:BX296)) /  IFERROR((DATEDIF(Beginning_of_period,$G296,"m") + 1) / Months_in_Period,0),0)</f>
        <v>0</v>
      </c>
      <c r="BZ296" s="231">
        <f xml:space="preserve"> IFERROR(($E296&gt;0)*($E296 &lt;=End_of_period) * ($G296 &gt;=Beginning_of_period) * (1-SUM($K296:BY296)) /  IFERROR((DATEDIF(Beginning_of_period,$G296,"m") + 1) / Months_in_Period,0),0)</f>
        <v>0</v>
      </c>
      <c r="CA296" s="231">
        <f xml:space="preserve"> IFERROR(($E296&gt;0)*($E296 &lt;=End_of_period) * ($G296 &gt;=Beginning_of_period) * (1-SUM($K296:BZ296)) /  IFERROR((DATEDIF(Beginning_of_period,$G296,"m") + 1) / Months_in_Period,0),0)</f>
        <v>0</v>
      </c>
      <c r="CB296" s="231">
        <f xml:space="preserve"> IFERROR(($E296&gt;0)*($E296 &lt;=End_of_period) * ($G296 &gt;=Beginning_of_period) * (1-SUM($K296:CA296)) /  IFERROR((DATEDIF(Beginning_of_period,$G296,"m") + 1) / Months_in_Period,0),0)</f>
        <v>0</v>
      </c>
      <c r="CC296" s="231">
        <f xml:space="preserve"> IFERROR(($E296&gt;0)*($E296 &lt;=End_of_period) * ($G296 &gt;=Beginning_of_period) * (1-SUM($K296:CB296)) /  IFERROR((DATEDIF(Beginning_of_period,$G296,"m") + 1) / Months_in_Period,0),0)</f>
        <v>0</v>
      </c>
      <c r="CD296" s="231">
        <f xml:space="preserve"> IFERROR(($E296&gt;0)*($E296 &lt;=End_of_period) * ($G296 &gt;=Beginning_of_period) * (1-SUM($K296:CC296)) /  IFERROR((DATEDIF(Beginning_of_period,$G296,"m") + 1) / Months_in_Period,0),0)</f>
        <v>0</v>
      </c>
      <c r="CE296" s="231">
        <f xml:space="preserve"> IFERROR(($E296&gt;0)*($E296 &lt;=End_of_period) * ($G296 &gt;=Beginning_of_period) * (1-SUM($K296:CD296)) /  IFERROR((DATEDIF(Beginning_of_period,$G296,"m") + 1) / Months_in_Period,0),0)</f>
        <v>0</v>
      </c>
      <c r="CF296" s="231">
        <f xml:space="preserve"> IFERROR(($E296&gt;0)*($E296 &lt;=End_of_period) * ($G296 &gt;=Beginning_of_period) * (1-SUM($K296:CE296)) /  IFERROR((DATEDIF(Beginning_of_period,$G296,"m") + 1) / Months_in_Period,0),0)</f>
        <v>0</v>
      </c>
      <c r="CG296" s="231">
        <f xml:space="preserve"> IFERROR(($E296&gt;0)*($E296 &lt;=End_of_period) * ($G296 &gt;=Beginning_of_period) * (1-SUM($K296:CF296)) /  IFERROR((DATEDIF(Beginning_of_period,$G296,"m") + 1) / Months_in_Period,0),0)</f>
        <v>0</v>
      </c>
      <c r="CH296" s="231">
        <f xml:space="preserve"> IFERROR(($E296&gt;0)*($E296 &lt;=End_of_period) * ($G296 &gt;=Beginning_of_period) * (1-SUM($K296:CG296)) /  IFERROR((DATEDIF(Beginning_of_period,$G296,"m") + 1) / Months_in_Period,0),0)</f>
        <v>0</v>
      </c>
      <c r="CI296" s="231">
        <f xml:space="preserve"> IFERROR(($E296&gt;0)*($E296 &lt;=End_of_period) * ($G296 &gt;=Beginning_of_period) * (1-SUM($K296:CH296)) /  IFERROR((DATEDIF(Beginning_of_period,$G296,"m") + 1) / Months_in_Period,0),0)</f>
        <v>0</v>
      </c>
      <c r="CJ296" s="231">
        <f xml:space="preserve"> IFERROR(($E296&gt;0)*($E296 &lt;=End_of_period) * ($G296 &gt;=Beginning_of_period) * (1-SUM($K296:CI296)) /  IFERROR((DATEDIF(Beginning_of_period,$G296,"m") + 1) / Months_in_Period,0),0)</f>
        <v>0</v>
      </c>
      <c r="CK296" s="231">
        <f xml:space="preserve"> IFERROR(($E296&gt;0)*($E296 &lt;=End_of_period) * ($G296 &gt;=Beginning_of_period) * (1-SUM($K296:CJ296)) /  IFERROR((DATEDIF(Beginning_of_period,$G296,"m") + 1) / Months_in_Period,0),0)</f>
        <v>0</v>
      </c>
      <c r="CL296" s="231">
        <f xml:space="preserve"> IFERROR(($E296&gt;0)*($E296 &lt;=End_of_period) * ($G296 &gt;=Beginning_of_period) * (1-SUM($K296:CK296)) /  IFERROR((DATEDIF(Beginning_of_period,$G296,"m") + 1) / Months_in_Period,0),0)</f>
        <v>0</v>
      </c>
      <c r="CM296" s="231">
        <f xml:space="preserve"> IFERROR(($E296&gt;0)*($E296 &lt;=End_of_period) * ($G296 &gt;=Beginning_of_period) * (1-SUM($K296:CL296)) /  IFERROR((DATEDIF(Beginning_of_period,$G296,"m") + 1) / Months_in_Period,0),0)</f>
        <v>0</v>
      </c>
      <c r="CN296" s="231">
        <f xml:space="preserve"> IFERROR(($E296&gt;0)*($E296 &lt;=End_of_period) * ($G296 &gt;=Beginning_of_period) * (1-SUM($K296:CM296)) /  IFERROR((DATEDIF(Beginning_of_period,$G296,"m") + 1) / Months_in_Period,0),0)</f>
        <v>0</v>
      </c>
      <c r="CO296" s="231">
        <f xml:space="preserve"> IFERROR(($E296&gt;0)*($E296 &lt;=End_of_period) * ($G296 &gt;=Beginning_of_period) * (1-SUM($K296:CN296)) /  IFERROR((DATEDIF(Beginning_of_period,$G296,"m") + 1) / Months_in_Period,0),0)</f>
        <v>0</v>
      </c>
      <c r="CP296" s="10"/>
    </row>
    <row r="297" spans="1:94" ht="15" customHeight="1">
      <c r="A297" s="10"/>
      <c r="B297" s="3"/>
      <c r="C297" s="17" t="s">
        <v>632</v>
      </c>
      <c r="D297" s="10"/>
      <c r="E297" s="71">
        <v>45931</v>
      </c>
      <c r="F297" s="10"/>
      <c r="G297" s="477">
        <v>46387</v>
      </c>
      <c r="H297" s="149">
        <f t="shared" si="24"/>
        <v>5</v>
      </c>
      <c r="I297" s="231">
        <f t="shared" si="25"/>
        <v>1</v>
      </c>
      <c r="J297" s="10"/>
      <c r="K297" s="10"/>
      <c r="L297" s="231">
        <f xml:space="preserve"> IFERROR(($E297&gt;0)*($E297 &lt;=End_of_period) * ($G297 &gt;=Beginning_of_period) * (1-SUM($K297:K297)) /  IFERROR((DATEDIF(Beginning_of_period,$G297,"m") + 1) / Months_in_Period,0),0)</f>
        <v>0</v>
      </c>
      <c r="M297" s="231">
        <f xml:space="preserve"> IFERROR(($E297&gt;0)*($E297 &lt;=End_of_period) * ($G297 &gt;=Beginning_of_period) * (1-SUM($K297:L297)) /  IFERROR((DATEDIF(Beginning_of_period,$G297,"m") + 1) / Months_in_Period,0),0)</f>
        <v>0</v>
      </c>
      <c r="N297" s="231">
        <f xml:space="preserve"> IFERROR(($E297&gt;0)*($E297 &lt;=End_of_period) * ($G297 &gt;=Beginning_of_period) * (1-SUM($K297:M297)) /  IFERROR((DATEDIF(Beginning_of_period,$G297,"m") + 1) / Months_in_Period,0),0)</f>
        <v>0</v>
      </c>
      <c r="O297" s="231">
        <f xml:space="preserve"> IFERROR(($E297&gt;0)*($E297 &lt;=End_of_period) * ($G297 &gt;=Beginning_of_period) * (1-SUM($K297:N297)) /  IFERROR((DATEDIF(Beginning_of_period,$G297,"m") + 1) / Months_in_Period,0),0)</f>
        <v>0.2</v>
      </c>
      <c r="P297" s="231">
        <f xml:space="preserve"> IFERROR(($E297&gt;0)*($E297 &lt;=End_of_period) * ($G297 &gt;=Beginning_of_period) * (1-SUM($K297:O297)) /  IFERROR((DATEDIF(Beginning_of_period,$G297,"m") + 1) / Months_in_Period,0),0)</f>
        <v>0.2</v>
      </c>
      <c r="Q297" s="231">
        <f xml:space="preserve"> IFERROR(($E297&gt;0)*($E297 &lt;=End_of_period) * ($G297 &gt;=Beginning_of_period) * (1-SUM($K297:P297)) /  IFERROR((DATEDIF(Beginning_of_period,$G297,"m") + 1) / Months_in_Period,0),0)</f>
        <v>0.19999999999999998</v>
      </c>
      <c r="R297" s="231">
        <f xml:space="preserve"> IFERROR(($E297&gt;0)*($E297 &lt;=End_of_period) * ($G297 &gt;=Beginning_of_period) * (1-SUM($K297:Q297)) /  IFERROR((DATEDIF(Beginning_of_period,$G297,"m") + 1) / Months_in_Period,0),0)</f>
        <v>0.2</v>
      </c>
      <c r="S297" s="231">
        <f xml:space="preserve"> IFERROR(($E297&gt;0)*($E297 &lt;=End_of_period) * ($G297 &gt;=Beginning_of_period) * (1-SUM($K297:R297)) /  IFERROR((DATEDIF(Beginning_of_period,$G297,"m") + 1) / Months_in_Period,0),0)</f>
        <v>0.19999999999999996</v>
      </c>
      <c r="T297" s="231">
        <f xml:space="preserve"> IFERROR(($E297&gt;0)*($E297 &lt;=End_of_period) * ($G297 &gt;=Beginning_of_period) * (1-SUM($K297:S297)) /  IFERROR((DATEDIF(Beginning_of_period,$G297,"m") + 1) / Months_in_Period,0),0)</f>
        <v>0</v>
      </c>
      <c r="U297" s="231">
        <f xml:space="preserve"> IFERROR(($E297&gt;0)*($E297 &lt;=End_of_period) * ($G297 &gt;=Beginning_of_period) * (1-SUM($K297:T297)) /  IFERROR((DATEDIF(Beginning_of_period,$G297,"m") + 1) / Months_in_Period,0),0)</f>
        <v>0</v>
      </c>
      <c r="V297" s="231">
        <f xml:space="preserve"> IFERROR(($E297&gt;0)*($E297 &lt;=End_of_period) * ($G297 &gt;=Beginning_of_period) * (1-SUM($K297:U297)) /  IFERROR((DATEDIF(Beginning_of_period,$G297,"m") + 1) / Months_in_Period,0),0)</f>
        <v>0</v>
      </c>
      <c r="W297" s="231">
        <f xml:space="preserve"> IFERROR(($E297&gt;0)*($E297 &lt;=End_of_period) * ($G297 &gt;=Beginning_of_period) * (1-SUM($K297:V297)) /  IFERROR((DATEDIF(Beginning_of_period,$G297,"m") + 1) / Months_in_Period,0),0)</f>
        <v>0</v>
      </c>
      <c r="X297" s="231">
        <f xml:space="preserve"> IFERROR(($E297&gt;0)*($E297 &lt;=End_of_period) * ($G297 &gt;=Beginning_of_period) * (1-SUM($K297:W297)) /  IFERROR((DATEDIF(Beginning_of_period,$G297,"m") + 1) / Months_in_Period,0),0)</f>
        <v>0</v>
      </c>
      <c r="Y297" s="231">
        <f xml:space="preserve"> IFERROR(($E297&gt;0)*($E297 &lt;=End_of_period) * ($G297 &gt;=Beginning_of_period) * (1-SUM($K297:X297)) /  IFERROR((DATEDIF(Beginning_of_period,$G297,"m") + 1) / Months_in_Period,0),0)</f>
        <v>0</v>
      </c>
      <c r="Z297" s="231">
        <f xml:space="preserve"> IFERROR(($E297&gt;0)*($E297 &lt;=End_of_period) * ($G297 &gt;=Beginning_of_period) * (1-SUM($K297:Y297)) /  IFERROR((DATEDIF(Beginning_of_period,$G297,"m") + 1) / Months_in_Period,0),0)</f>
        <v>0</v>
      </c>
      <c r="AA297" s="231">
        <f xml:space="preserve"> IFERROR(($E297&gt;0)*($E297 &lt;=End_of_period) * ($G297 &gt;=Beginning_of_period) * (1-SUM($K297:Z297)) /  IFERROR((DATEDIF(Beginning_of_period,$G297,"m") + 1) / Months_in_Period,0),0)</f>
        <v>0</v>
      </c>
      <c r="AB297" s="231">
        <f xml:space="preserve"> IFERROR(($E297&gt;0)*($E297 &lt;=End_of_period) * ($G297 &gt;=Beginning_of_period) * (1-SUM($K297:AA297)) /  IFERROR((DATEDIF(Beginning_of_period,$G297,"m") + 1) / Months_in_Period,0),0)</f>
        <v>0</v>
      </c>
      <c r="AC297" s="231">
        <f xml:space="preserve"> IFERROR(($E297&gt;0)*($E297 &lt;=End_of_period) * ($G297 &gt;=Beginning_of_period) * (1-SUM($K297:AB297)) /  IFERROR((DATEDIF(Beginning_of_period,$G297,"m") + 1) / Months_in_Period,0),0)</f>
        <v>0</v>
      </c>
      <c r="AD297" s="231">
        <f xml:space="preserve"> IFERROR(($E297&gt;0)*($E297 &lt;=End_of_period) * ($G297 &gt;=Beginning_of_period) * (1-SUM($K297:AC297)) /  IFERROR((DATEDIF(Beginning_of_period,$G297,"m") + 1) / Months_in_Period,0),0)</f>
        <v>0</v>
      </c>
      <c r="AE297" s="231">
        <f xml:space="preserve"> IFERROR(($E297&gt;0)*($E297 &lt;=End_of_period) * ($G297 &gt;=Beginning_of_period) * (1-SUM($K297:AD297)) /  IFERROR((DATEDIF(Beginning_of_period,$G297,"m") + 1) / Months_in_Period,0),0)</f>
        <v>0</v>
      </c>
      <c r="AF297" s="231">
        <f xml:space="preserve"> IFERROR(($E297&gt;0)*($E297 &lt;=End_of_period) * ($G297 &gt;=Beginning_of_period) * (1-SUM($K297:AE297)) /  IFERROR((DATEDIF(Beginning_of_period,$G297,"m") + 1) / Months_in_Period,0),0)</f>
        <v>0</v>
      </c>
      <c r="AG297" s="231">
        <f xml:space="preserve"> IFERROR(($E297&gt;0)*($E297 &lt;=End_of_period) * ($G297 &gt;=Beginning_of_period) * (1-SUM($K297:AF297)) /  IFERROR((DATEDIF(Beginning_of_period,$G297,"m") + 1) / Months_in_Period,0),0)</f>
        <v>0</v>
      </c>
      <c r="AH297" s="231">
        <f xml:space="preserve"> IFERROR(($E297&gt;0)*($E297 &lt;=End_of_period) * ($G297 &gt;=Beginning_of_period) * (1-SUM($K297:AG297)) /  IFERROR((DATEDIF(Beginning_of_period,$G297,"m") + 1) / Months_in_Period,0),0)</f>
        <v>0</v>
      </c>
      <c r="AI297" s="231">
        <f xml:space="preserve"> IFERROR(($E297&gt;0)*($E297 &lt;=End_of_period) * ($G297 &gt;=Beginning_of_period) * (1-SUM($K297:AH297)) /  IFERROR((DATEDIF(Beginning_of_period,$G297,"m") + 1) / Months_in_Period,0),0)</f>
        <v>0</v>
      </c>
      <c r="AJ297" s="231">
        <f xml:space="preserve"> IFERROR(($E297&gt;0)*($E297 &lt;=End_of_period) * ($G297 &gt;=Beginning_of_period) * (1-SUM($K297:AI297)) /  IFERROR((DATEDIF(Beginning_of_period,$G297,"m") + 1) / Months_in_Period,0),0)</f>
        <v>0</v>
      </c>
      <c r="AK297" s="231">
        <f xml:space="preserve"> IFERROR(($E297&gt;0)*($E297 &lt;=End_of_period) * ($G297 &gt;=Beginning_of_period) * (1-SUM($K297:AJ297)) /  IFERROR((DATEDIF(Beginning_of_period,$G297,"m") + 1) / Months_in_Period,0),0)</f>
        <v>0</v>
      </c>
      <c r="AL297" s="231">
        <f xml:space="preserve"> IFERROR(($E297&gt;0)*($E297 &lt;=End_of_period) * ($G297 &gt;=Beginning_of_period) * (1-SUM($K297:AK297)) /  IFERROR((DATEDIF(Beginning_of_period,$G297,"m") + 1) / Months_in_Period,0),0)</f>
        <v>0</v>
      </c>
      <c r="AM297" s="231">
        <f xml:space="preserve"> IFERROR(($E297&gt;0)*($E297 &lt;=End_of_period) * ($G297 &gt;=Beginning_of_period) * (1-SUM($K297:AL297)) /  IFERROR((DATEDIF(Beginning_of_period,$G297,"m") + 1) / Months_in_Period,0),0)</f>
        <v>0</v>
      </c>
      <c r="AN297" s="231">
        <f xml:space="preserve"> IFERROR(($E297&gt;0)*($E297 &lt;=End_of_period) * ($G297 &gt;=Beginning_of_period) * (1-SUM($K297:AM297)) /  IFERROR((DATEDIF(Beginning_of_period,$G297,"m") + 1) / Months_in_Period,0),0)</f>
        <v>0</v>
      </c>
      <c r="AO297" s="231">
        <f xml:space="preserve"> IFERROR(($E297&gt;0)*($E297 &lt;=End_of_period) * ($G297 &gt;=Beginning_of_period) * (1-SUM($K297:AN297)) /  IFERROR((DATEDIF(Beginning_of_period,$G297,"m") + 1) / Months_in_Period,0),0)</f>
        <v>0</v>
      </c>
      <c r="AP297" s="231">
        <f xml:space="preserve"> IFERROR(($E297&gt;0)*($E297 &lt;=End_of_period) * ($G297 &gt;=Beginning_of_period) * (1-SUM($K297:AO297)) /  IFERROR((DATEDIF(Beginning_of_period,$G297,"m") + 1) / Months_in_Period,0),0)</f>
        <v>0</v>
      </c>
      <c r="AQ297" s="231">
        <f xml:space="preserve"> IFERROR(($E297&gt;0)*($E297 &lt;=End_of_period) * ($G297 &gt;=Beginning_of_period) * (1-SUM($K297:AP297)) /  IFERROR((DATEDIF(Beginning_of_period,$G297,"m") + 1) / Months_in_Period,0),0)</f>
        <v>0</v>
      </c>
      <c r="AR297" s="231">
        <f xml:space="preserve"> IFERROR(($E297&gt;0)*($E297 &lt;=End_of_period) * ($G297 &gt;=Beginning_of_period) * (1-SUM($K297:AQ297)) /  IFERROR((DATEDIF(Beginning_of_period,$G297,"m") + 1) / Months_in_Period,0),0)</f>
        <v>0</v>
      </c>
      <c r="AS297" s="231">
        <f xml:space="preserve"> IFERROR(($E297&gt;0)*($E297 &lt;=End_of_period) * ($G297 &gt;=Beginning_of_period) * (1-SUM($K297:AR297)) /  IFERROR((DATEDIF(Beginning_of_period,$G297,"m") + 1) / Months_in_Period,0),0)</f>
        <v>0</v>
      </c>
      <c r="AT297" s="231">
        <f xml:space="preserve"> IFERROR(($E297&gt;0)*($E297 &lt;=End_of_period) * ($G297 &gt;=Beginning_of_period) * (1-SUM($K297:AS297)) /  IFERROR((DATEDIF(Beginning_of_period,$G297,"m") + 1) / Months_in_Period,0),0)</f>
        <v>0</v>
      </c>
      <c r="AU297" s="231">
        <f xml:space="preserve"> IFERROR(($E297&gt;0)*($E297 &lt;=End_of_period) * ($G297 &gt;=Beginning_of_period) * (1-SUM($K297:AT297)) /  IFERROR((DATEDIF(Beginning_of_period,$G297,"m") + 1) / Months_in_Period,0),0)</f>
        <v>0</v>
      </c>
      <c r="AV297" s="231">
        <f xml:space="preserve"> IFERROR(($E297&gt;0)*($E297 &lt;=End_of_period) * ($G297 &gt;=Beginning_of_period) * (1-SUM($K297:AU297)) /  IFERROR((DATEDIF(Beginning_of_period,$G297,"m") + 1) / Months_in_Period,0),0)</f>
        <v>0</v>
      </c>
      <c r="AW297" s="231">
        <f xml:space="preserve"> IFERROR(($E297&gt;0)*($E297 &lt;=End_of_period) * ($G297 &gt;=Beginning_of_period) * (1-SUM($K297:AV297)) /  IFERROR((DATEDIF(Beginning_of_period,$G297,"m") + 1) / Months_in_Period,0),0)</f>
        <v>0</v>
      </c>
      <c r="AX297" s="231">
        <f xml:space="preserve"> IFERROR(($E297&gt;0)*($E297 &lt;=End_of_period) * ($G297 &gt;=Beginning_of_period) * (1-SUM($K297:AW297)) /  IFERROR((DATEDIF(Beginning_of_period,$G297,"m") + 1) / Months_in_Period,0),0)</f>
        <v>0</v>
      </c>
      <c r="AY297" s="231">
        <f xml:space="preserve"> IFERROR(($E297&gt;0)*($E297 &lt;=End_of_period) * ($G297 &gt;=Beginning_of_period) * (1-SUM($K297:AX297)) /  IFERROR((DATEDIF(Beginning_of_period,$G297,"m") + 1) / Months_in_Period,0),0)</f>
        <v>0</v>
      </c>
      <c r="AZ297" s="231">
        <f xml:space="preserve"> IFERROR(($E297&gt;0)*($E297 &lt;=End_of_period) * ($G297 &gt;=Beginning_of_period) * (1-SUM($K297:AY297)) /  IFERROR((DATEDIF(Beginning_of_period,$G297,"m") + 1) / Months_in_Period,0),0)</f>
        <v>0</v>
      </c>
      <c r="BA297" s="231">
        <f xml:space="preserve"> IFERROR(($E297&gt;0)*($E297 &lt;=End_of_period) * ($G297 &gt;=Beginning_of_period) * (1-SUM($K297:AZ297)) /  IFERROR((DATEDIF(Beginning_of_period,$G297,"m") + 1) / Months_in_Period,0),0)</f>
        <v>0</v>
      </c>
      <c r="BB297" s="231">
        <f xml:space="preserve"> IFERROR(($E297&gt;0)*($E297 &lt;=End_of_period) * ($G297 &gt;=Beginning_of_period) * (1-SUM($K297:BA297)) /  IFERROR((DATEDIF(Beginning_of_period,$G297,"m") + 1) / Months_in_Period,0),0)</f>
        <v>0</v>
      </c>
      <c r="BC297" s="231">
        <f xml:space="preserve"> IFERROR(($E297&gt;0)*($E297 &lt;=End_of_period) * ($G297 &gt;=Beginning_of_period) * (1-SUM($K297:BB297)) /  IFERROR((DATEDIF(Beginning_of_period,$G297,"m") + 1) / Months_in_Period,0),0)</f>
        <v>0</v>
      </c>
      <c r="BD297" s="231">
        <f xml:space="preserve"> IFERROR(($E297&gt;0)*($E297 &lt;=End_of_period) * ($G297 &gt;=Beginning_of_period) * (1-SUM($K297:BC297)) /  IFERROR((DATEDIF(Beginning_of_period,$G297,"m") + 1) / Months_in_Period,0),0)</f>
        <v>0</v>
      </c>
      <c r="BE297" s="231">
        <f xml:space="preserve"> IFERROR(($E297&gt;0)*($E297 &lt;=End_of_period) * ($G297 &gt;=Beginning_of_period) * (1-SUM($K297:BD297)) /  IFERROR((DATEDIF(Beginning_of_period,$G297,"m") + 1) / Months_in_Period,0),0)</f>
        <v>0</v>
      </c>
      <c r="BF297" s="231">
        <f xml:space="preserve"> IFERROR(($E297&gt;0)*($E297 &lt;=End_of_period) * ($G297 &gt;=Beginning_of_period) * (1-SUM($K297:BE297)) /  IFERROR((DATEDIF(Beginning_of_period,$G297,"m") + 1) / Months_in_Period,0),0)</f>
        <v>0</v>
      </c>
      <c r="BG297" s="231">
        <f xml:space="preserve"> IFERROR(($E297&gt;0)*($E297 &lt;=End_of_period) * ($G297 &gt;=Beginning_of_period) * (1-SUM($K297:BF297)) /  IFERROR((DATEDIF(Beginning_of_period,$G297,"m") + 1) / Months_in_Period,0),0)</f>
        <v>0</v>
      </c>
      <c r="BH297" s="231">
        <f xml:space="preserve"> IFERROR(($E297&gt;0)*($E297 &lt;=End_of_period) * ($G297 &gt;=Beginning_of_period) * (1-SUM($K297:BG297)) /  IFERROR((DATEDIF(Beginning_of_period,$G297,"m") + 1) / Months_in_Period,0),0)</f>
        <v>0</v>
      </c>
      <c r="BI297" s="231">
        <f xml:space="preserve"> IFERROR(($E297&gt;0)*($E297 &lt;=End_of_period) * ($G297 &gt;=Beginning_of_period) * (1-SUM($K297:BH297)) /  IFERROR((DATEDIF(Beginning_of_period,$G297,"m") + 1) / Months_in_Period,0),0)</f>
        <v>0</v>
      </c>
      <c r="BJ297" s="231">
        <f xml:space="preserve"> IFERROR(($E297&gt;0)*($E297 &lt;=End_of_period) * ($G297 &gt;=Beginning_of_period) * (1-SUM($K297:BI297)) /  IFERROR((DATEDIF(Beginning_of_period,$G297,"m") + 1) / Months_in_Period,0),0)</f>
        <v>0</v>
      </c>
      <c r="BK297" s="231">
        <f xml:space="preserve"> IFERROR(($E297&gt;0)*($E297 &lt;=End_of_period) * ($G297 &gt;=Beginning_of_period) * (1-SUM($K297:BJ297)) /  IFERROR((DATEDIF(Beginning_of_period,$G297,"m") + 1) / Months_in_Period,0),0)</f>
        <v>0</v>
      </c>
      <c r="BL297" s="231">
        <f xml:space="preserve"> IFERROR(($E297&gt;0)*($E297 &lt;=End_of_period) * ($G297 &gt;=Beginning_of_period) * (1-SUM($K297:BK297)) /  IFERROR((DATEDIF(Beginning_of_period,$G297,"m") + 1) / Months_in_Period,0),0)</f>
        <v>0</v>
      </c>
      <c r="BM297" s="231">
        <f xml:space="preserve"> IFERROR(($E297&gt;0)*($E297 &lt;=End_of_period) * ($G297 &gt;=Beginning_of_period) * (1-SUM($K297:BL297)) /  IFERROR((DATEDIF(Beginning_of_period,$G297,"m") + 1) / Months_in_Period,0),0)</f>
        <v>0</v>
      </c>
      <c r="BN297" s="231">
        <f xml:space="preserve"> IFERROR(($E297&gt;0)*($E297 &lt;=End_of_period) * ($G297 &gt;=Beginning_of_period) * (1-SUM($K297:BM297)) /  IFERROR((DATEDIF(Beginning_of_period,$G297,"m") + 1) / Months_in_Period,0),0)</f>
        <v>0</v>
      </c>
      <c r="BO297" s="231">
        <f xml:space="preserve"> IFERROR(($E297&gt;0)*($E297 &lt;=End_of_period) * ($G297 &gt;=Beginning_of_period) * (1-SUM($K297:BN297)) /  IFERROR((DATEDIF(Beginning_of_period,$G297,"m") + 1) / Months_in_Period,0),0)</f>
        <v>0</v>
      </c>
      <c r="BP297" s="231">
        <f xml:space="preserve"> IFERROR(($E297&gt;0)*($E297 &lt;=End_of_period) * ($G297 &gt;=Beginning_of_period) * (1-SUM($K297:BO297)) /  IFERROR((DATEDIF(Beginning_of_period,$G297,"m") + 1) / Months_in_Period,0),0)</f>
        <v>0</v>
      </c>
      <c r="BQ297" s="231">
        <f xml:space="preserve"> IFERROR(($E297&gt;0)*($E297 &lt;=End_of_period) * ($G297 &gt;=Beginning_of_period) * (1-SUM($K297:BP297)) /  IFERROR((DATEDIF(Beginning_of_period,$G297,"m") + 1) / Months_in_Period,0),0)</f>
        <v>0</v>
      </c>
      <c r="BR297" s="231">
        <f xml:space="preserve"> IFERROR(($E297&gt;0)*($E297 &lt;=End_of_period) * ($G297 &gt;=Beginning_of_period) * (1-SUM($K297:BQ297)) /  IFERROR((DATEDIF(Beginning_of_period,$G297,"m") + 1) / Months_in_Period,0),0)</f>
        <v>0</v>
      </c>
      <c r="BS297" s="231">
        <f xml:space="preserve"> IFERROR(($E297&gt;0)*($E297 &lt;=End_of_period) * ($G297 &gt;=Beginning_of_period) * (1-SUM($K297:BR297)) /  IFERROR((DATEDIF(Beginning_of_period,$G297,"m") + 1) / Months_in_Period,0),0)</f>
        <v>0</v>
      </c>
      <c r="BT297" s="231">
        <f xml:space="preserve"> IFERROR(($E297&gt;0)*($E297 &lt;=End_of_period) * ($G297 &gt;=Beginning_of_period) * (1-SUM($K297:BS297)) /  IFERROR((DATEDIF(Beginning_of_period,$G297,"m") + 1) / Months_in_Period,0),0)</f>
        <v>0</v>
      </c>
      <c r="BU297" s="231">
        <f xml:space="preserve"> IFERROR(($E297&gt;0)*($E297 &lt;=End_of_period) * ($G297 &gt;=Beginning_of_period) * (1-SUM($K297:BT297)) /  IFERROR((DATEDIF(Beginning_of_period,$G297,"m") + 1) / Months_in_Period,0),0)</f>
        <v>0</v>
      </c>
      <c r="BV297" s="231">
        <f xml:space="preserve"> IFERROR(($E297&gt;0)*($E297 &lt;=End_of_period) * ($G297 &gt;=Beginning_of_period) * (1-SUM($K297:BU297)) /  IFERROR((DATEDIF(Beginning_of_period,$G297,"m") + 1) / Months_in_Period,0),0)</f>
        <v>0</v>
      </c>
      <c r="BW297" s="231">
        <f xml:space="preserve"> IFERROR(($E297&gt;0)*($E297 &lt;=End_of_period) * ($G297 &gt;=Beginning_of_period) * (1-SUM($K297:BV297)) /  IFERROR((DATEDIF(Beginning_of_period,$G297,"m") + 1) / Months_in_Period,0),0)</f>
        <v>0</v>
      </c>
      <c r="BX297" s="231">
        <f xml:space="preserve"> IFERROR(($E297&gt;0)*($E297 &lt;=End_of_period) * ($G297 &gt;=Beginning_of_period) * (1-SUM($K297:BW297)) /  IFERROR((DATEDIF(Beginning_of_period,$G297,"m") + 1) / Months_in_Period,0),0)</f>
        <v>0</v>
      </c>
      <c r="BY297" s="231">
        <f xml:space="preserve"> IFERROR(($E297&gt;0)*($E297 &lt;=End_of_period) * ($G297 &gt;=Beginning_of_period) * (1-SUM($K297:BX297)) /  IFERROR((DATEDIF(Beginning_of_period,$G297,"m") + 1) / Months_in_Period,0),0)</f>
        <v>0</v>
      </c>
      <c r="BZ297" s="231">
        <f xml:space="preserve"> IFERROR(($E297&gt;0)*($E297 &lt;=End_of_period) * ($G297 &gt;=Beginning_of_period) * (1-SUM($K297:BY297)) /  IFERROR((DATEDIF(Beginning_of_period,$G297,"m") + 1) / Months_in_Period,0),0)</f>
        <v>0</v>
      </c>
      <c r="CA297" s="231">
        <f xml:space="preserve"> IFERROR(($E297&gt;0)*($E297 &lt;=End_of_period) * ($G297 &gt;=Beginning_of_period) * (1-SUM($K297:BZ297)) /  IFERROR((DATEDIF(Beginning_of_period,$G297,"m") + 1) / Months_in_Period,0),0)</f>
        <v>0</v>
      </c>
      <c r="CB297" s="231">
        <f xml:space="preserve"> IFERROR(($E297&gt;0)*($E297 &lt;=End_of_period) * ($G297 &gt;=Beginning_of_period) * (1-SUM($K297:CA297)) /  IFERROR((DATEDIF(Beginning_of_period,$G297,"m") + 1) / Months_in_Period,0),0)</f>
        <v>0</v>
      </c>
      <c r="CC297" s="231">
        <f xml:space="preserve"> IFERROR(($E297&gt;0)*($E297 &lt;=End_of_period) * ($G297 &gt;=Beginning_of_period) * (1-SUM($K297:CB297)) /  IFERROR((DATEDIF(Beginning_of_period,$G297,"m") + 1) / Months_in_Period,0),0)</f>
        <v>0</v>
      </c>
      <c r="CD297" s="231">
        <f xml:space="preserve"> IFERROR(($E297&gt;0)*($E297 &lt;=End_of_period) * ($G297 &gt;=Beginning_of_period) * (1-SUM($K297:CC297)) /  IFERROR((DATEDIF(Beginning_of_period,$G297,"m") + 1) / Months_in_Period,0),0)</f>
        <v>0</v>
      </c>
      <c r="CE297" s="231">
        <f xml:space="preserve"> IFERROR(($E297&gt;0)*($E297 &lt;=End_of_period) * ($G297 &gt;=Beginning_of_period) * (1-SUM($K297:CD297)) /  IFERROR((DATEDIF(Beginning_of_period,$G297,"m") + 1) / Months_in_Period,0),0)</f>
        <v>0</v>
      </c>
      <c r="CF297" s="231">
        <f xml:space="preserve"> IFERROR(($E297&gt;0)*($E297 &lt;=End_of_period) * ($G297 &gt;=Beginning_of_period) * (1-SUM($K297:CE297)) /  IFERROR((DATEDIF(Beginning_of_period,$G297,"m") + 1) / Months_in_Period,0),0)</f>
        <v>0</v>
      </c>
      <c r="CG297" s="231">
        <f xml:space="preserve"> IFERROR(($E297&gt;0)*($E297 &lt;=End_of_period) * ($G297 &gt;=Beginning_of_period) * (1-SUM($K297:CF297)) /  IFERROR((DATEDIF(Beginning_of_period,$G297,"m") + 1) / Months_in_Period,0),0)</f>
        <v>0</v>
      </c>
      <c r="CH297" s="231">
        <f xml:space="preserve"> IFERROR(($E297&gt;0)*($E297 &lt;=End_of_period) * ($G297 &gt;=Beginning_of_period) * (1-SUM($K297:CG297)) /  IFERROR((DATEDIF(Beginning_of_period,$G297,"m") + 1) / Months_in_Period,0),0)</f>
        <v>0</v>
      </c>
      <c r="CI297" s="231">
        <f xml:space="preserve"> IFERROR(($E297&gt;0)*($E297 &lt;=End_of_period) * ($G297 &gt;=Beginning_of_period) * (1-SUM($K297:CH297)) /  IFERROR((DATEDIF(Beginning_of_period,$G297,"m") + 1) / Months_in_Period,0),0)</f>
        <v>0</v>
      </c>
      <c r="CJ297" s="231">
        <f xml:space="preserve"> IFERROR(($E297&gt;0)*($E297 &lt;=End_of_period) * ($G297 &gt;=Beginning_of_period) * (1-SUM($K297:CI297)) /  IFERROR((DATEDIF(Beginning_of_period,$G297,"m") + 1) / Months_in_Period,0),0)</f>
        <v>0</v>
      </c>
      <c r="CK297" s="231">
        <f xml:space="preserve"> IFERROR(($E297&gt;0)*($E297 &lt;=End_of_period) * ($G297 &gt;=Beginning_of_period) * (1-SUM($K297:CJ297)) /  IFERROR((DATEDIF(Beginning_of_period,$G297,"m") + 1) / Months_in_Period,0),0)</f>
        <v>0</v>
      </c>
      <c r="CL297" s="231">
        <f xml:space="preserve"> IFERROR(($E297&gt;0)*($E297 &lt;=End_of_period) * ($G297 &gt;=Beginning_of_period) * (1-SUM($K297:CK297)) /  IFERROR((DATEDIF(Beginning_of_period,$G297,"m") + 1) / Months_in_Period,0),0)</f>
        <v>0</v>
      </c>
      <c r="CM297" s="231">
        <f xml:space="preserve"> IFERROR(($E297&gt;0)*($E297 &lt;=End_of_period) * ($G297 &gt;=Beginning_of_period) * (1-SUM($K297:CL297)) /  IFERROR((DATEDIF(Beginning_of_period,$G297,"m") + 1) / Months_in_Period,0),0)</f>
        <v>0</v>
      </c>
      <c r="CN297" s="231">
        <f xml:space="preserve"> IFERROR(($E297&gt;0)*($E297 &lt;=End_of_period) * ($G297 &gt;=Beginning_of_period) * (1-SUM($K297:CM297)) /  IFERROR((DATEDIF(Beginning_of_period,$G297,"m") + 1) / Months_in_Period,0),0)</f>
        <v>0</v>
      </c>
      <c r="CO297" s="231">
        <f xml:space="preserve"> IFERROR(($E297&gt;0)*($E297 &lt;=End_of_period) * ($G297 &gt;=Beginning_of_period) * (1-SUM($K297:CN297)) /  IFERROR((DATEDIF(Beginning_of_period,$G297,"m") + 1) / Months_in_Period,0),0)</f>
        <v>0</v>
      </c>
      <c r="CP297" s="10"/>
    </row>
    <row r="298" spans="1:94" ht="15" customHeight="1">
      <c r="A298" s="10"/>
      <c r="B298" s="3"/>
      <c r="C298" s="17" t="s">
        <v>821</v>
      </c>
      <c r="D298" s="10"/>
      <c r="E298" s="71">
        <v>46023</v>
      </c>
      <c r="F298" s="10"/>
      <c r="G298" s="477">
        <v>47118</v>
      </c>
      <c r="H298" s="149">
        <f t="shared" si="24"/>
        <v>12</v>
      </c>
      <c r="I298" s="231">
        <f t="shared" si="25"/>
        <v>1</v>
      </c>
      <c r="J298" s="10"/>
      <c r="K298" s="10"/>
      <c r="L298" s="231">
        <f xml:space="preserve"> IFERROR(($E298&gt;0)*($E298 &lt;=End_of_period) * ($G298 &gt;=Beginning_of_period) * (1-SUM($K298:K298)) /  IFERROR((DATEDIF(Beginning_of_period,$G298,"m") + 1) / Months_in_Period,0),0)</f>
        <v>0</v>
      </c>
      <c r="M298" s="231">
        <f xml:space="preserve"> IFERROR(($E298&gt;0)*($E298 &lt;=End_of_period) * ($G298 &gt;=Beginning_of_period) * (1-SUM($K298:L298)) /  IFERROR((DATEDIF(Beginning_of_period,$G298,"m") + 1) / Months_in_Period,0),0)</f>
        <v>0</v>
      </c>
      <c r="N298" s="231">
        <f xml:space="preserve"> IFERROR(($E298&gt;0)*($E298 &lt;=End_of_period) * ($G298 &gt;=Beginning_of_period) * (1-SUM($K298:M298)) /  IFERROR((DATEDIF(Beginning_of_period,$G298,"m") + 1) / Months_in_Period,0),0)</f>
        <v>0</v>
      </c>
      <c r="O298" s="231">
        <f xml:space="preserve"> IFERROR(($E298&gt;0)*($E298 &lt;=End_of_period) * ($G298 &gt;=Beginning_of_period) * (1-SUM($K298:N298)) /  IFERROR((DATEDIF(Beginning_of_period,$G298,"m") + 1) / Months_in_Period,0),0)</f>
        <v>0</v>
      </c>
      <c r="P298" s="231">
        <f xml:space="preserve"> IFERROR(($E298&gt;0)*($E298 &lt;=End_of_period) * ($G298 &gt;=Beginning_of_period) * (1-SUM($K298:O298)) /  IFERROR((DATEDIF(Beginning_of_period,$G298,"m") + 1) / Months_in_Period,0),0)</f>
        <v>8.3333333333333329E-2</v>
      </c>
      <c r="Q298" s="231">
        <f xml:space="preserve"> IFERROR(($E298&gt;0)*($E298 &lt;=End_of_period) * ($G298 &gt;=Beginning_of_period) * (1-SUM($K298:P298)) /  IFERROR((DATEDIF(Beginning_of_period,$G298,"m") + 1) / Months_in_Period,0),0)</f>
        <v>8.3333333333333329E-2</v>
      </c>
      <c r="R298" s="231">
        <f xml:space="preserve"> IFERROR(($E298&gt;0)*($E298 &lt;=End_of_period) * ($G298 &gt;=Beginning_of_period) * (1-SUM($K298:Q298)) /  IFERROR((DATEDIF(Beginning_of_period,$G298,"m") + 1) / Months_in_Period,0),0)</f>
        <v>8.3333333333333343E-2</v>
      </c>
      <c r="S298" s="231">
        <f xml:space="preserve"> IFERROR(($E298&gt;0)*($E298 &lt;=End_of_period) * ($G298 &gt;=Beginning_of_period) * (1-SUM($K298:R298)) /  IFERROR((DATEDIF(Beginning_of_period,$G298,"m") + 1) / Months_in_Period,0),0)</f>
        <v>8.3333333333333329E-2</v>
      </c>
      <c r="T298" s="231">
        <f xml:space="preserve"> IFERROR(($E298&gt;0)*($E298 &lt;=End_of_period) * ($G298 &gt;=Beginning_of_period) * (1-SUM($K298:S298)) /  IFERROR((DATEDIF(Beginning_of_period,$G298,"m") + 1) / Months_in_Period,0),0)</f>
        <v>8.3333333333333343E-2</v>
      </c>
      <c r="U298" s="231">
        <f xml:space="preserve"> IFERROR(($E298&gt;0)*($E298 &lt;=End_of_period) * ($G298 &gt;=Beginning_of_period) * (1-SUM($K298:T298)) /  IFERROR((DATEDIF(Beginning_of_period,$G298,"m") + 1) / Months_in_Period,0),0)</f>
        <v>8.3333333333333343E-2</v>
      </c>
      <c r="V298" s="231">
        <f xml:space="preserve"> IFERROR(($E298&gt;0)*($E298 &lt;=End_of_period) * ($G298 &gt;=Beginning_of_period) * (1-SUM($K298:U298)) /  IFERROR((DATEDIF(Beginning_of_period,$G298,"m") + 1) / Months_in_Period,0),0)</f>
        <v>8.3333333333333329E-2</v>
      </c>
      <c r="W298" s="231">
        <f xml:space="preserve"> IFERROR(($E298&gt;0)*($E298 &lt;=End_of_period) * ($G298 &gt;=Beginning_of_period) * (1-SUM($K298:V298)) /  IFERROR((DATEDIF(Beginning_of_period,$G298,"m") + 1) / Months_in_Period,0),0)</f>
        <v>8.3333333333333329E-2</v>
      </c>
      <c r="X298" s="231">
        <f xml:space="preserve"> IFERROR(($E298&gt;0)*($E298 &lt;=End_of_period) * ($G298 &gt;=Beginning_of_period) * (1-SUM($K298:W298)) /  IFERROR((DATEDIF(Beginning_of_period,$G298,"m") + 1) / Months_in_Period,0),0)</f>
        <v>8.3333333333333315E-2</v>
      </c>
      <c r="Y298" s="231">
        <f xml:space="preserve"> IFERROR(($E298&gt;0)*($E298 &lt;=End_of_period) * ($G298 &gt;=Beginning_of_period) * (1-SUM($K298:X298)) /  IFERROR((DATEDIF(Beginning_of_period,$G298,"m") + 1) / Months_in_Period,0),0)</f>
        <v>8.3333333333333329E-2</v>
      </c>
      <c r="Z298" s="231">
        <f xml:space="preserve"> IFERROR(($E298&gt;0)*($E298 &lt;=End_of_period) * ($G298 &gt;=Beginning_of_period) * (1-SUM($K298:Y298)) /  IFERROR((DATEDIF(Beginning_of_period,$G298,"m") + 1) / Months_in_Period,0),0)</f>
        <v>8.3333333333333315E-2</v>
      </c>
      <c r="AA298" s="231">
        <f xml:space="preserve"> IFERROR(($E298&gt;0)*($E298 &lt;=End_of_period) * ($G298 &gt;=Beginning_of_period) * (1-SUM($K298:Z298)) /  IFERROR((DATEDIF(Beginning_of_period,$G298,"m") + 1) / Months_in_Period,0),0)</f>
        <v>8.3333333333333259E-2</v>
      </c>
      <c r="AB298" s="231">
        <f xml:space="preserve"> IFERROR(($E298&gt;0)*($E298 &lt;=End_of_period) * ($G298 &gt;=Beginning_of_period) * (1-SUM($K298:AA298)) /  IFERROR((DATEDIF(Beginning_of_period,$G298,"m") + 1) / Months_in_Period,0),0)</f>
        <v>0</v>
      </c>
      <c r="AC298" s="231">
        <f xml:space="preserve"> IFERROR(($E298&gt;0)*($E298 &lt;=End_of_period) * ($G298 &gt;=Beginning_of_period) * (1-SUM($K298:AB298)) /  IFERROR((DATEDIF(Beginning_of_period,$G298,"m") + 1) / Months_in_Period,0),0)</f>
        <v>0</v>
      </c>
      <c r="AD298" s="231">
        <f xml:space="preserve"> IFERROR(($E298&gt;0)*($E298 &lt;=End_of_period) * ($G298 &gt;=Beginning_of_period) * (1-SUM($K298:AC298)) /  IFERROR((DATEDIF(Beginning_of_period,$G298,"m") + 1) / Months_in_Period,0),0)</f>
        <v>0</v>
      </c>
      <c r="AE298" s="231">
        <f xml:space="preserve"> IFERROR(($E298&gt;0)*($E298 &lt;=End_of_period) * ($G298 &gt;=Beginning_of_period) * (1-SUM($K298:AD298)) /  IFERROR((DATEDIF(Beginning_of_period,$G298,"m") + 1) / Months_in_Period,0),0)</f>
        <v>0</v>
      </c>
      <c r="AF298" s="231">
        <f xml:space="preserve"> IFERROR(($E298&gt;0)*($E298 &lt;=End_of_period) * ($G298 &gt;=Beginning_of_period) * (1-SUM($K298:AE298)) /  IFERROR((DATEDIF(Beginning_of_period,$G298,"m") + 1) / Months_in_Period,0),0)</f>
        <v>0</v>
      </c>
      <c r="AG298" s="231">
        <f xml:space="preserve"> IFERROR(($E298&gt;0)*($E298 &lt;=End_of_period) * ($G298 &gt;=Beginning_of_period) * (1-SUM($K298:AF298)) /  IFERROR((DATEDIF(Beginning_of_period,$G298,"m") + 1) / Months_in_Period,0),0)</f>
        <v>0</v>
      </c>
      <c r="AH298" s="231">
        <f xml:space="preserve"> IFERROR(($E298&gt;0)*($E298 &lt;=End_of_period) * ($G298 &gt;=Beginning_of_period) * (1-SUM($K298:AG298)) /  IFERROR((DATEDIF(Beginning_of_period,$G298,"m") + 1) / Months_in_Period,0),0)</f>
        <v>0</v>
      </c>
      <c r="AI298" s="231">
        <f xml:space="preserve"> IFERROR(($E298&gt;0)*($E298 &lt;=End_of_period) * ($G298 &gt;=Beginning_of_period) * (1-SUM($K298:AH298)) /  IFERROR((DATEDIF(Beginning_of_period,$G298,"m") + 1) / Months_in_Period,0),0)</f>
        <v>0</v>
      </c>
      <c r="AJ298" s="231">
        <f xml:space="preserve"> IFERROR(($E298&gt;0)*($E298 &lt;=End_of_period) * ($G298 &gt;=Beginning_of_period) * (1-SUM($K298:AI298)) /  IFERROR((DATEDIF(Beginning_of_period,$G298,"m") + 1) / Months_in_Period,0),0)</f>
        <v>0</v>
      </c>
      <c r="AK298" s="231">
        <f xml:space="preserve"> IFERROR(($E298&gt;0)*($E298 &lt;=End_of_period) * ($G298 &gt;=Beginning_of_period) * (1-SUM($K298:AJ298)) /  IFERROR((DATEDIF(Beginning_of_period,$G298,"m") + 1) / Months_in_Period,0),0)</f>
        <v>0</v>
      </c>
      <c r="AL298" s="231">
        <f xml:space="preserve"> IFERROR(($E298&gt;0)*($E298 &lt;=End_of_period) * ($G298 &gt;=Beginning_of_period) * (1-SUM($K298:AK298)) /  IFERROR((DATEDIF(Beginning_of_period,$G298,"m") + 1) / Months_in_Period,0),0)</f>
        <v>0</v>
      </c>
      <c r="AM298" s="231">
        <f xml:space="preserve"> IFERROR(($E298&gt;0)*($E298 &lt;=End_of_period) * ($G298 &gt;=Beginning_of_period) * (1-SUM($K298:AL298)) /  IFERROR((DATEDIF(Beginning_of_period,$G298,"m") + 1) / Months_in_Period,0),0)</f>
        <v>0</v>
      </c>
      <c r="AN298" s="231">
        <f xml:space="preserve"> IFERROR(($E298&gt;0)*($E298 &lt;=End_of_period) * ($G298 &gt;=Beginning_of_period) * (1-SUM($K298:AM298)) /  IFERROR((DATEDIF(Beginning_of_period,$G298,"m") + 1) / Months_in_Period,0),0)</f>
        <v>0</v>
      </c>
      <c r="AO298" s="231">
        <f xml:space="preserve"> IFERROR(($E298&gt;0)*($E298 &lt;=End_of_period) * ($G298 &gt;=Beginning_of_period) * (1-SUM($K298:AN298)) /  IFERROR((DATEDIF(Beginning_of_period,$G298,"m") + 1) / Months_in_Period,0),0)</f>
        <v>0</v>
      </c>
      <c r="AP298" s="231">
        <f xml:space="preserve"> IFERROR(($E298&gt;0)*($E298 &lt;=End_of_period) * ($G298 &gt;=Beginning_of_period) * (1-SUM($K298:AO298)) /  IFERROR((DATEDIF(Beginning_of_period,$G298,"m") + 1) / Months_in_Period,0),0)</f>
        <v>0</v>
      </c>
      <c r="AQ298" s="231">
        <f xml:space="preserve"> IFERROR(($E298&gt;0)*($E298 &lt;=End_of_period) * ($G298 &gt;=Beginning_of_period) * (1-SUM($K298:AP298)) /  IFERROR((DATEDIF(Beginning_of_period,$G298,"m") + 1) / Months_in_Period,0),0)</f>
        <v>0</v>
      </c>
      <c r="AR298" s="231">
        <f xml:space="preserve"> IFERROR(($E298&gt;0)*($E298 &lt;=End_of_period) * ($G298 &gt;=Beginning_of_period) * (1-SUM($K298:AQ298)) /  IFERROR((DATEDIF(Beginning_of_period,$G298,"m") + 1) / Months_in_Period,0),0)</f>
        <v>0</v>
      </c>
      <c r="AS298" s="231">
        <f xml:space="preserve"> IFERROR(($E298&gt;0)*($E298 &lt;=End_of_period) * ($G298 &gt;=Beginning_of_period) * (1-SUM($K298:AR298)) /  IFERROR((DATEDIF(Beginning_of_period,$G298,"m") + 1) / Months_in_Period,0),0)</f>
        <v>0</v>
      </c>
      <c r="AT298" s="231">
        <f xml:space="preserve"> IFERROR(($E298&gt;0)*($E298 &lt;=End_of_period) * ($G298 &gt;=Beginning_of_period) * (1-SUM($K298:AS298)) /  IFERROR((DATEDIF(Beginning_of_period,$G298,"m") + 1) / Months_in_Period,0),0)</f>
        <v>0</v>
      </c>
      <c r="AU298" s="231">
        <f xml:space="preserve"> IFERROR(($E298&gt;0)*($E298 &lt;=End_of_period) * ($G298 &gt;=Beginning_of_period) * (1-SUM($K298:AT298)) /  IFERROR((DATEDIF(Beginning_of_period,$G298,"m") + 1) / Months_in_Period,0),0)</f>
        <v>0</v>
      </c>
      <c r="AV298" s="231">
        <f xml:space="preserve"> IFERROR(($E298&gt;0)*($E298 &lt;=End_of_period) * ($G298 &gt;=Beginning_of_period) * (1-SUM($K298:AU298)) /  IFERROR((DATEDIF(Beginning_of_period,$G298,"m") + 1) / Months_in_Period,0),0)</f>
        <v>0</v>
      </c>
      <c r="AW298" s="231">
        <f xml:space="preserve"> IFERROR(($E298&gt;0)*($E298 &lt;=End_of_period) * ($G298 &gt;=Beginning_of_period) * (1-SUM($K298:AV298)) /  IFERROR((DATEDIF(Beginning_of_period,$G298,"m") + 1) / Months_in_Period,0),0)</f>
        <v>0</v>
      </c>
      <c r="AX298" s="231">
        <f xml:space="preserve"> IFERROR(($E298&gt;0)*($E298 &lt;=End_of_period) * ($G298 &gt;=Beginning_of_period) * (1-SUM($K298:AW298)) /  IFERROR((DATEDIF(Beginning_of_period,$G298,"m") + 1) / Months_in_Period,0),0)</f>
        <v>0</v>
      </c>
      <c r="AY298" s="231">
        <f xml:space="preserve"> IFERROR(($E298&gt;0)*($E298 &lt;=End_of_period) * ($G298 &gt;=Beginning_of_period) * (1-SUM($K298:AX298)) /  IFERROR((DATEDIF(Beginning_of_period,$G298,"m") + 1) / Months_in_Period,0),0)</f>
        <v>0</v>
      </c>
      <c r="AZ298" s="231">
        <f xml:space="preserve"> IFERROR(($E298&gt;0)*($E298 &lt;=End_of_period) * ($G298 &gt;=Beginning_of_period) * (1-SUM($K298:AY298)) /  IFERROR((DATEDIF(Beginning_of_period,$G298,"m") + 1) / Months_in_Period,0),0)</f>
        <v>0</v>
      </c>
      <c r="BA298" s="231">
        <f xml:space="preserve"> IFERROR(($E298&gt;0)*($E298 &lt;=End_of_period) * ($G298 &gt;=Beginning_of_period) * (1-SUM($K298:AZ298)) /  IFERROR((DATEDIF(Beginning_of_period,$G298,"m") + 1) / Months_in_Period,0),0)</f>
        <v>0</v>
      </c>
      <c r="BB298" s="231">
        <f xml:space="preserve"> IFERROR(($E298&gt;0)*($E298 &lt;=End_of_period) * ($G298 &gt;=Beginning_of_period) * (1-SUM($K298:BA298)) /  IFERROR((DATEDIF(Beginning_of_period,$G298,"m") + 1) / Months_in_Period,0),0)</f>
        <v>0</v>
      </c>
      <c r="BC298" s="231">
        <f xml:space="preserve"> IFERROR(($E298&gt;0)*($E298 &lt;=End_of_period) * ($G298 &gt;=Beginning_of_period) * (1-SUM($K298:BB298)) /  IFERROR((DATEDIF(Beginning_of_period,$G298,"m") + 1) / Months_in_Period,0),0)</f>
        <v>0</v>
      </c>
      <c r="BD298" s="231">
        <f xml:space="preserve"> IFERROR(($E298&gt;0)*($E298 &lt;=End_of_period) * ($G298 &gt;=Beginning_of_period) * (1-SUM($K298:BC298)) /  IFERROR((DATEDIF(Beginning_of_period,$G298,"m") + 1) / Months_in_Period,0),0)</f>
        <v>0</v>
      </c>
      <c r="BE298" s="231">
        <f xml:space="preserve"> IFERROR(($E298&gt;0)*($E298 &lt;=End_of_period) * ($G298 &gt;=Beginning_of_period) * (1-SUM($K298:BD298)) /  IFERROR((DATEDIF(Beginning_of_period,$G298,"m") + 1) / Months_in_Period,0),0)</f>
        <v>0</v>
      </c>
      <c r="BF298" s="231">
        <f xml:space="preserve"> IFERROR(($E298&gt;0)*($E298 &lt;=End_of_period) * ($G298 &gt;=Beginning_of_period) * (1-SUM($K298:BE298)) /  IFERROR((DATEDIF(Beginning_of_period,$G298,"m") + 1) / Months_in_Period,0),0)</f>
        <v>0</v>
      </c>
      <c r="BG298" s="231">
        <f xml:space="preserve"> IFERROR(($E298&gt;0)*($E298 &lt;=End_of_period) * ($G298 &gt;=Beginning_of_period) * (1-SUM($K298:BF298)) /  IFERROR((DATEDIF(Beginning_of_period,$G298,"m") + 1) / Months_in_Period,0),0)</f>
        <v>0</v>
      </c>
      <c r="BH298" s="231">
        <f xml:space="preserve"> IFERROR(($E298&gt;0)*($E298 &lt;=End_of_period) * ($G298 &gt;=Beginning_of_period) * (1-SUM($K298:BG298)) /  IFERROR((DATEDIF(Beginning_of_period,$G298,"m") + 1) / Months_in_Period,0),0)</f>
        <v>0</v>
      </c>
      <c r="BI298" s="231">
        <f xml:space="preserve"> IFERROR(($E298&gt;0)*($E298 &lt;=End_of_period) * ($G298 &gt;=Beginning_of_period) * (1-SUM($K298:BH298)) /  IFERROR((DATEDIF(Beginning_of_period,$G298,"m") + 1) / Months_in_Period,0),0)</f>
        <v>0</v>
      </c>
      <c r="BJ298" s="231">
        <f xml:space="preserve"> IFERROR(($E298&gt;0)*($E298 &lt;=End_of_period) * ($G298 &gt;=Beginning_of_period) * (1-SUM($K298:BI298)) /  IFERROR((DATEDIF(Beginning_of_period,$G298,"m") + 1) / Months_in_Period,0),0)</f>
        <v>0</v>
      </c>
      <c r="BK298" s="231">
        <f xml:space="preserve"> IFERROR(($E298&gt;0)*($E298 &lt;=End_of_period) * ($G298 &gt;=Beginning_of_period) * (1-SUM($K298:BJ298)) /  IFERROR((DATEDIF(Beginning_of_period,$G298,"m") + 1) / Months_in_Period,0),0)</f>
        <v>0</v>
      </c>
      <c r="BL298" s="231">
        <f xml:space="preserve"> IFERROR(($E298&gt;0)*($E298 &lt;=End_of_period) * ($G298 &gt;=Beginning_of_period) * (1-SUM($K298:BK298)) /  IFERROR((DATEDIF(Beginning_of_period,$G298,"m") + 1) / Months_in_Period,0),0)</f>
        <v>0</v>
      </c>
      <c r="BM298" s="231">
        <f xml:space="preserve"> IFERROR(($E298&gt;0)*($E298 &lt;=End_of_period) * ($G298 &gt;=Beginning_of_period) * (1-SUM($K298:BL298)) /  IFERROR((DATEDIF(Beginning_of_period,$G298,"m") + 1) / Months_in_Period,0),0)</f>
        <v>0</v>
      </c>
      <c r="BN298" s="231">
        <f xml:space="preserve"> IFERROR(($E298&gt;0)*($E298 &lt;=End_of_period) * ($G298 &gt;=Beginning_of_period) * (1-SUM($K298:BM298)) /  IFERROR((DATEDIF(Beginning_of_period,$G298,"m") + 1) / Months_in_Period,0),0)</f>
        <v>0</v>
      </c>
      <c r="BO298" s="231">
        <f xml:space="preserve"> IFERROR(($E298&gt;0)*($E298 &lt;=End_of_period) * ($G298 &gt;=Beginning_of_period) * (1-SUM($K298:BN298)) /  IFERROR((DATEDIF(Beginning_of_period,$G298,"m") + 1) / Months_in_Period,0),0)</f>
        <v>0</v>
      </c>
      <c r="BP298" s="231">
        <f xml:space="preserve"> IFERROR(($E298&gt;0)*($E298 &lt;=End_of_period) * ($G298 &gt;=Beginning_of_period) * (1-SUM($K298:BO298)) /  IFERROR((DATEDIF(Beginning_of_period,$G298,"m") + 1) / Months_in_Period,0),0)</f>
        <v>0</v>
      </c>
      <c r="BQ298" s="231">
        <f xml:space="preserve"> IFERROR(($E298&gt;0)*($E298 &lt;=End_of_period) * ($G298 &gt;=Beginning_of_period) * (1-SUM($K298:BP298)) /  IFERROR((DATEDIF(Beginning_of_period,$G298,"m") + 1) / Months_in_Period,0),0)</f>
        <v>0</v>
      </c>
      <c r="BR298" s="231">
        <f xml:space="preserve"> IFERROR(($E298&gt;0)*($E298 &lt;=End_of_period) * ($G298 &gt;=Beginning_of_period) * (1-SUM($K298:BQ298)) /  IFERROR((DATEDIF(Beginning_of_period,$G298,"m") + 1) / Months_in_Period,0),0)</f>
        <v>0</v>
      </c>
      <c r="BS298" s="231">
        <f xml:space="preserve"> IFERROR(($E298&gt;0)*($E298 &lt;=End_of_period) * ($G298 &gt;=Beginning_of_period) * (1-SUM($K298:BR298)) /  IFERROR((DATEDIF(Beginning_of_period,$G298,"m") + 1) / Months_in_Period,0),0)</f>
        <v>0</v>
      </c>
      <c r="BT298" s="231">
        <f xml:space="preserve"> IFERROR(($E298&gt;0)*($E298 &lt;=End_of_period) * ($G298 &gt;=Beginning_of_period) * (1-SUM($K298:BS298)) /  IFERROR((DATEDIF(Beginning_of_period,$G298,"m") + 1) / Months_in_Period,0),0)</f>
        <v>0</v>
      </c>
      <c r="BU298" s="231">
        <f xml:space="preserve"> IFERROR(($E298&gt;0)*($E298 &lt;=End_of_period) * ($G298 &gt;=Beginning_of_period) * (1-SUM($K298:BT298)) /  IFERROR((DATEDIF(Beginning_of_period,$G298,"m") + 1) / Months_in_Period,0),0)</f>
        <v>0</v>
      </c>
      <c r="BV298" s="231">
        <f xml:space="preserve"> IFERROR(($E298&gt;0)*($E298 &lt;=End_of_period) * ($G298 &gt;=Beginning_of_period) * (1-SUM($K298:BU298)) /  IFERROR((DATEDIF(Beginning_of_period,$G298,"m") + 1) / Months_in_Period,0),0)</f>
        <v>0</v>
      </c>
      <c r="BW298" s="231">
        <f xml:space="preserve"> IFERROR(($E298&gt;0)*($E298 &lt;=End_of_period) * ($G298 &gt;=Beginning_of_period) * (1-SUM($K298:BV298)) /  IFERROR((DATEDIF(Beginning_of_period,$G298,"m") + 1) / Months_in_Period,0),0)</f>
        <v>0</v>
      </c>
      <c r="BX298" s="231">
        <f xml:space="preserve"> IFERROR(($E298&gt;0)*($E298 &lt;=End_of_period) * ($G298 &gt;=Beginning_of_period) * (1-SUM($K298:BW298)) /  IFERROR((DATEDIF(Beginning_of_period,$G298,"m") + 1) / Months_in_Period,0),0)</f>
        <v>0</v>
      </c>
      <c r="BY298" s="231">
        <f xml:space="preserve"> IFERROR(($E298&gt;0)*($E298 &lt;=End_of_period) * ($G298 &gt;=Beginning_of_period) * (1-SUM($K298:BX298)) /  IFERROR((DATEDIF(Beginning_of_period,$G298,"m") + 1) / Months_in_Period,0),0)</f>
        <v>0</v>
      </c>
      <c r="BZ298" s="231">
        <f xml:space="preserve"> IFERROR(($E298&gt;0)*($E298 &lt;=End_of_period) * ($G298 &gt;=Beginning_of_period) * (1-SUM($K298:BY298)) /  IFERROR((DATEDIF(Beginning_of_period,$G298,"m") + 1) / Months_in_Period,0),0)</f>
        <v>0</v>
      </c>
      <c r="CA298" s="231">
        <f xml:space="preserve"> IFERROR(($E298&gt;0)*($E298 &lt;=End_of_period) * ($G298 &gt;=Beginning_of_period) * (1-SUM($K298:BZ298)) /  IFERROR((DATEDIF(Beginning_of_period,$G298,"m") + 1) / Months_in_Period,0),0)</f>
        <v>0</v>
      </c>
      <c r="CB298" s="231">
        <f xml:space="preserve"> IFERROR(($E298&gt;0)*($E298 &lt;=End_of_period) * ($G298 &gt;=Beginning_of_period) * (1-SUM($K298:CA298)) /  IFERROR((DATEDIF(Beginning_of_period,$G298,"m") + 1) / Months_in_Period,0),0)</f>
        <v>0</v>
      </c>
      <c r="CC298" s="231">
        <f xml:space="preserve"> IFERROR(($E298&gt;0)*($E298 &lt;=End_of_period) * ($G298 &gt;=Beginning_of_period) * (1-SUM($K298:CB298)) /  IFERROR((DATEDIF(Beginning_of_period,$G298,"m") + 1) / Months_in_Period,0),0)</f>
        <v>0</v>
      </c>
      <c r="CD298" s="231">
        <f xml:space="preserve"> IFERROR(($E298&gt;0)*($E298 &lt;=End_of_period) * ($G298 &gt;=Beginning_of_period) * (1-SUM($K298:CC298)) /  IFERROR((DATEDIF(Beginning_of_period,$G298,"m") + 1) / Months_in_Period,0),0)</f>
        <v>0</v>
      </c>
      <c r="CE298" s="231">
        <f xml:space="preserve"> IFERROR(($E298&gt;0)*($E298 &lt;=End_of_period) * ($G298 &gt;=Beginning_of_period) * (1-SUM($K298:CD298)) /  IFERROR((DATEDIF(Beginning_of_period,$G298,"m") + 1) / Months_in_Period,0),0)</f>
        <v>0</v>
      </c>
      <c r="CF298" s="231">
        <f xml:space="preserve"> IFERROR(($E298&gt;0)*($E298 &lt;=End_of_period) * ($G298 &gt;=Beginning_of_period) * (1-SUM($K298:CE298)) /  IFERROR((DATEDIF(Beginning_of_period,$G298,"m") + 1) / Months_in_Period,0),0)</f>
        <v>0</v>
      </c>
      <c r="CG298" s="231">
        <f xml:space="preserve"> IFERROR(($E298&gt;0)*($E298 &lt;=End_of_period) * ($G298 &gt;=Beginning_of_period) * (1-SUM($K298:CF298)) /  IFERROR((DATEDIF(Beginning_of_period,$G298,"m") + 1) / Months_in_Period,0),0)</f>
        <v>0</v>
      </c>
      <c r="CH298" s="231">
        <f xml:space="preserve"> IFERROR(($E298&gt;0)*($E298 &lt;=End_of_period) * ($G298 &gt;=Beginning_of_period) * (1-SUM($K298:CG298)) /  IFERROR((DATEDIF(Beginning_of_period,$G298,"m") + 1) / Months_in_Period,0),0)</f>
        <v>0</v>
      </c>
      <c r="CI298" s="231">
        <f xml:space="preserve"> IFERROR(($E298&gt;0)*($E298 &lt;=End_of_period) * ($G298 &gt;=Beginning_of_period) * (1-SUM($K298:CH298)) /  IFERROR((DATEDIF(Beginning_of_period,$G298,"m") + 1) / Months_in_Period,0),0)</f>
        <v>0</v>
      </c>
      <c r="CJ298" s="231">
        <f xml:space="preserve"> IFERROR(($E298&gt;0)*($E298 &lt;=End_of_period) * ($G298 &gt;=Beginning_of_period) * (1-SUM($K298:CI298)) /  IFERROR((DATEDIF(Beginning_of_period,$G298,"m") + 1) / Months_in_Period,0),0)</f>
        <v>0</v>
      </c>
      <c r="CK298" s="231">
        <f xml:space="preserve"> IFERROR(($E298&gt;0)*($E298 &lt;=End_of_period) * ($G298 &gt;=Beginning_of_period) * (1-SUM($K298:CJ298)) /  IFERROR((DATEDIF(Beginning_of_period,$G298,"m") + 1) / Months_in_Period,0),0)</f>
        <v>0</v>
      </c>
      <c r="CL298" s="231">
        <f xml:space="preserve"> IFERROR(($E298&gt;0)*($E298 &lt;=End_of_period) * ($G298 &gt;=Beginning_of_period) * (1-SUM($K298:CK298)) /  IFERROR((DATEDIF(Beginning_of_period,$G298,"m") + 1) / Months_in_Period,0),0)</f>
        <v>0</v>
      </c>
      <c r="CM298" s="231">
        <f xml:space="preserve"> IFERROR(($E298&gt;0)*($E298 &lt;=End_of_period) * ($G298 &gt;=Beginning_of_period) * (1-SUM($K298:CL298)) /  IFERROR((DATEDIF(Beginning_of_period,$G298,"m") + 1) / Months_in_Period,0),0)</f>
        <v>0</v>
      </c>
      <c r="CN298" s="231">
        <f xml:space="preserve"> IFERROR(($E298&gt;0)*($E298 &lt;=End_of_period) * ($G298 &gt;=Beginning_of_period) * (1-SUM($K298:CM298)) /  IFERROR((DATEDIF(Beginning_of_period,$G298,"m") + 1) / Months_in_Period,0),0)</f>
        <v>0</v>
      </c>
      <c r="CO298" s="231">
        <f xml:space="preserve"> IFERROR(($E298&gt;0)*($E298 &lt;=End_of_period) * ($G298 &gt;=Beginning_of_period) * (1-SUM($K298:CN298)) /  IFERROR((DATEDIF(Beginning_of_period,$G298,"m") + 1) / Months_in_Period,0),0)</f>
        <v>0</v>
      </c>
      <c r="CP298" s="10"/>
    </row>
    <row r="299" spans="1:94" ht="15" customHeight="1">
      <c r="A299" s="10"/>
      <c r="B299" s="3"/>
      <c r="C299" s="17" t="s">
        <v>633</v>
      </c>
      <c r="D299" s="10"/>
      <c r="E299" s="71">
        <v>46753</v>
      </c>
      <c r="F299" s="10"/>
      <c r="G299" s="477">
        <v>47118</v>
      </c>
      <c r="H299" s="149">
        <f t="shared" si="24"/>
        <v>4</v>
      </c>
      <c r="I299" s="231">
        <f t="shared" si="25"/>
        <v>1</v>
      </c>
      <c r="J299" s="10"/>
      <c r="K299" s="10"/>
      <c r="L299" s="231">
        <f xml:space="preserve"> IFERROR(($E299&gt;0)*($E299 &lt;=End_of_period) * ($G299 &gt;=Beginning_of_period) * (1-SUM($K299:K299)) /  IFERROR((DATEDIF(Beginning_of_period,$G299,"m") + 1) / Months_in_Period,0),0)</f>
        <v>0</v>
      </c>
      <c r="M299" s="231">
        <f xml:space="preserve"> IFERROR(($E299&gt;0)*($E299 &lt;=End_of_period) * ($G299 &gt;=Beginning_of_period) * (1-SUM($K299:L299)) /  IFERROR((DATEDIF(Beginning_of_period,$G299,"m") + 1) / Months_in_Period,0),0)</f>
        <v>0</v>
      </c>
      <c r="N299" s="231">
        <f xml:space="preserve"> IFERROR(($E299&gt;0)*($E299 &lt;=End_of_period) * ($G299 &gt;=Beginning_of_period) * (1-SUM($K299:M299)) /  IFERROR((DATEDIF(Beginning_of_period,$G299,"m") + 1) / Months_in_Period,0),0)</f>
        <v>0</v>
      </c>
      <c r="O299" s="231">
        <f xml:space="preserve"> IFERROR(($E299&gt;0)*($E299 &lt;=End_of_period) * ($G299 &gt;=Beginning_of_period) * (1-SUM($K299:N299)) /  IFERROR((DATEDIF(Beginning_of_period,$G299,"m") + 1) / Months_in_Period,0),0)</f>
        <v>0</v>
      </c>
      <c r="P299" s="231">
        <f xml:space="preserve"> IFERROR(($E299&gt;0)*($E299 &lt;=End_of_period) * ($G299 &gt;=Beginning_of_period) * (1-SUM($K299:O299)) /  IFERROR((DATEDIF(Beginning_of_period,$G299,"m") + 1) / Months_in_Period,0),0)</f>
        <v>0</v>
      </c>
      <c r="Q299" s="231">
        <f xml:space="preserve"> IFERROR(($E299&gt;0)*($E299 &lt;=End_of_period) * ($G299 &gt;=Beginning_of_period) * (1-SUM($K299:P299)) /  IFERROR((DATEDIF(Beginning_of_period,$G299,"m") + 1) / Months_in_Period,0),0)</f>
        <v>0</v>
      </c>
      <c r="R299" s="231">
        <f xml:space="preserve"> IFERROR(($E299&gt;0)*($E299 &lt;=End_of_period) * ($G299 &gt;=Beginning_of_period) * (1-SUM($K299:Q299)) /  IFERROR((DATEDIF(Beginning_of_period,$G299,"m") + 1) / Months_in_Period,0),0)</f>
        <v>0</v>
      </c>
      <c r="S299" s="231">
        <f xml:space="preserve"> IFERROR(($E299&gt;0)*($E299 &lt;=End_of_period) * ($G299 &gt;=Beginning_of_period) * (1-SUM($K299:R299)) /  IFERROR((DATEDIF(Beginning_of_period,$G299,"m") + 1) / Months_in_Period,0),0)</f>
        <v>0</v>
      </c>
      <c r="T299" s="231">
        <f xml:space="preserve"> IFERROR(($E299&gt;0)*($E299 &lt;=End_of_period) * ($G299 &gt;=Beginning_of_period) * (1-SUM($K299:S299)) /  IFERROR((DATEDIF(Beginning_of_period,$G299,"m") + 1) / Months_in_Period,0),0)</f>
        <v>0</v>
      </c>
      <c r="U299" s="231">
        <f xml:space="preserve"> IFERROR(($E299&gt;0)*($E299 &lt;=End_of_period) * ($G299 &gt;=Beginning_of_period) * (1-SUM($K299:T299)) /  IFERROR((DATEDIF(Beginning_of_period,$G299,"m") + 1) / Months_in_Period,0),0)</f>
        <v>0</v>
      </c>
      <c r="V299" s="231">
        <f xml:space="preserve"> IFERROR(($E299&gt;0)*($E299 &lt;=End_of_period) * ($G299 &gt;=Beginning_of_period) * (1-SUM($K299:U299)) /  IFERROR((DATEDIF(Beginning_of_period,$G299,"m") + 1) / Months_in_Period,0),0)</f>
        <v>0</v>
      </c>
      <c r="W299" s="231">
        <f xml:space="preserve"> IFERROR(($E299&gt;0)*($E299 &lt;=End_of_period) * ($G299 &gt;=Beginning_of_period) * (1-SUM($K299:V299)) /  IFERROR((DATEDIF(Beginning_of_period,$G299,"m") + 1) / Months_in_Period,0),0)</f>
        <v>0</v>
      </c>
      <c r="X299" s="231">
        <f xml:space="preserve"> IFERROR(($E299&gt;0)*($E299 &lt;=End_of_period) * ($G299 &gt;=Beginning_of_period) * (1-SUM($K299:W299)) /  IFERROR((DATEDIF(Beginning_of_period,$G299,"m") + 1) / Months_in_Period,0),0)</f>
        <v>0.25</v>
      </c>
      <c r="Y299" s="231">
        <f xml:space="preserve"> IFERROR(($E299&gt;0)*($E299 &lt;=End_of_period) * ($G299 &gt;=Beginning_of_period) * (1-SUM($K299:X299)) /  IFERROR((DATEDIF(Beginning_of_period,$G299,"m") + 1) / Months_in_Period,0),0)</f>
        <v>0.25</v>
      </c>
      <c r="Z299" s="231">
        <f xml:space="preserve"> IFERROR(($E299&gt;0)*($E299 &lt;=End_of_period) * ($G299 &gt;=Beginning_of_period) * (1-SUM($K299:Y299)) /  IFERROR((DATEDIF(Beginning_of_period,$G299,"m") + 1) / Months_in_Period,0),0)</f>
        <v>0.25</v>
      </c>
      <c r="AA299" s="231">
        <f xml:space="preserve"> IFERROR(($E299&gt;0)*($E299 &lt;=End_of_period) * ($G299 &gt;=Beginning_of_period) * (1-SUM($K299:Z299)) /  IFERROR((DATEDIF(Beginning_of_period,$G299,"m") + 1) / Months_in_Period,0),0)</f>
        <v>0.25</v>
      </c>
      <c r="AB299" s="231">
        <f xml:space="preserve"> IFERROR(($E299&gt;0)*($E299 &lt;=End_of_period) * ($G299 &gt;=Beginning_of_period) * (1-SUM($K299:AA299)) /  IFERROR((DATEDIF(Beginning_of_period,$G299,"m") + 1) / Months_in_Period,0),0)</f>
        <v>0</v>
      </c>
      <c r="AC299" s="231">
        <f xml:space="preserve"> IFERROR(($E299&gt;0)*($E299 &lt;=End_of_period) * ($G299 &gt;=Beginning_of_period) * (1-SUM($K299:AB299)) /  IFERROR((DATEDIF(Beginning_of_period,$G299,"m") + 1) / Months_in_Period,0),0)</f>
        <v>0</v>
      </c>
      <c r="AD299" s="231">
        <f xml:space="preserve"> IFERROR(($E299&gt;0)*($E299 &lt;=End_of_period) * ($G299 &gt;=Beginning_of_period) * (1-SUM($K299:AC299)) /  IFERROR((DATEDIF(Beginning_of_period,$G299,"m") + 1) / Months_in_Period,0),0)</f>
        <v>0</v>
      </c>
      <c r="AE299" s="231">
        <f xml:space="preserve"> IFERROR(($E299&gt;0)*($E299 &lt;=End_of_period) * ($G299 &gt;=Beginning_of_period) * (1-SUM($K299:AD299)) /  IFERROR((DATEDIF(Beginning_of_period,$G299,"m") + 1) / Months_in_Period,0),0)</f>
        <v>0</v>
      </c>
      <c r="AF299" s="231">
        <f xml:space="preserve"> IFERROR(($E299&gt;0)*($E299 &lt;=End_of_period) * ($G299 &gt;=Beginning_of_period) * (1-SUM($K299:AE299)) /  IFERROR((DATEDIF(Beginning_of_period,$G299,"m") + 1) / Months_in_Period,0),0)</f>
        <v>0</v>
      </c>
      <c r="AG299" s="231">
        <f xml:space="preserve"> IFERROR(($E299&gt;0)*($E299 &lt;=End_of_period) * ($G299 &gt;=Beginning_of_period) * (1-SUM($K299:AF299)) /  IFERROR((DATEDIF(Beginning_of_period,$G299,"m") + 1) / Months_in_Period,0),0)</f>
        <v>0</v>
      </c>
      <c r="AH299" s="231">
        <f xml:space="preserve"> IFERROR(($E299&gt;0)*($E299 &lt;=End_of_period) * ($G299 &gt;=Beginning_of_period) * (1-SUM($K299:AG299)) /  IFERROR((DATEDIF(Beginning_of_period,$G299,"m") + 1) / Months_in_Period,0),0)</f>
        <v>0</v>
      </c>
      <c r="AI299" s="231">
        <f xml:space="preserve"> IFERROR(($E299&gt;0)*($E299 &lt;=End_of_period) * ($G299 &gt;=Beginning_of_period) * (1-SUM($K299:AH299)) /  IFERROR((DATEDIF(Beginning_of_period,$G299,"m") + 1) / Months_in_Period,0),0)</f>
        <v>0</v>
      </c>
      <c r="AJ299" s="231">
        <f xml:space="preserve"> IFERROR(($E299&gt;0)*($E299 &lt;=End_of_period) * ($G299 &gt;=Beginning_of_period) * (1-SUM($K299:AI299)) /  IFERROR((DATEDIF(Beginning_of_period,$G299,"m") + 1) / Months_in_Period,0),0)</f>
        <v>0</v>
      </c>
      <c r="AK299" s="231">
        <f xml:space="preserve"> IFERROR(($E299&gt;0)*($E299 &lt;=End_of_period) * ($G299 &gt;=Beginning_of_period) * (1-SUM($K299:AJ299)) /  IFERROR((DATEDIF(Beginning_of_period,$G299,"m") + 1) / Months_in_Period,0),0)</f>
        <v>0</v>
      </c>
      <c r="AL299" s="231">
        <f xml:space="preserve"> IFERROR(($E299&gt;0)*($E299 &lt;=End_of_period) * ($G299 &gt;=Beginning_of_period) * (1-SUM($K299:AK299)) /  IFERROR((DATEDIF(Beginning_of_period,$G299,"m") + 1) / Months_in_Period,0),0)</f>
        <v>0</v>
      </c>
      <c r="AM299" s="231">
        <f xml:space="preserve"> IFERROR(($E299&gt;0)*($E299 &lt;=End_of_period) * ($G299 &gt;=Beginning_of_period) * (1-SUM($K299:AL299)) /  IFERROR((DATEDIF(Beginning_of_period,$G299,"m") + 1) / Months_in_Period,0),0)</f>
        <v>0</v>
      </c>
      <c r="AN299" s="231">
        <f xml:space="preserve"> IFERROR(($E299&gt;0)*($E299 &lt;=End_of_period) * ($G299 &gt;=Beginning_of_period) * (1-SUM($K299:AM299)) /  IFERROR((DATEDIF(Beginning_of_period,$G299,"m") + 1) / Months_in_Period,0),0)</f>
        <v>0</v>
      </c>
      <c r="AO299" s="231">
        <f xml:space="preserve"> IFERROR(($E299&gt;0)*($E299 &lt;=End_of_period) * ($G299 &gt;=Beginning_of_period) * (1-SUM($K299:AN299)) /  IFERROR((DATEDIF(Beginning_of_period,$G299,"m") + 1) / Months_in_Period,0),0)</f>
        <v>0</v>
      </c>
      <c r="AP299" s="231">
        <f xml:space="preserve"> IFERROR(($E299&gt;0)*($E299 &lt;=End_of_period) * ($G299 &gt;=Beginning_of_period) * (1-SUM($K299:AO299)) /  IFERROR((DATEDIF(Beginning_of_period,$G299,"m") + 1) / Months_in_Period,0),0)</f>
        <v>0</v>
      </c>
      <c r="AQ299" s="231">
        <f xml:space="preserve"> IFERROR(($E299&gt;0)*($E299 &lt;=End_of_period) * ($G299 &gt;=Beginning_of_period) * (1-SUM($K299:AP299)) /  IFERROR((DATEDIF(Beginning_of_period,$G299,"m") + 1) / Months_in_Period,0),0)</f>
        <v>0</v>
      </c>
      <c r="AR299" s="231">
        <f xml:space="preserve"> IFERROR(($E299&gt;0)*($E299 &lt;=End_of_period) * ($G299 &gt;=Beginning_of_period) * (1-SUM($K299:AQ299)) /  IFERROR((DATEDIF(Beginning_of_period,$G299,"m") + 1) / Months_in_Period,0),0)</f>
        <v>0</v>
      </c>
      <c r="AS299" s="231">
        <f xml:space="preserve"> IFERROR(($E299&gt;0)*($E299 &lt;=End_of_period) * ($G299 &gt;=Beginning_of_period) * (1-SUM($K299:AR299)) /  IFERROR((DATEDIF(Beginning_of_period,$G299,"m") + 1) / Months_in_Period,0),0)</f>
        <v>0</v>
      </c>
      <c r="AT299" s="231">
        <f xml:space="preserve"> IFERROR(($E299&gt;0)*($E299 &lt;=End_of_period) * ($G299 &gt;=Beginning_of_period) * (1-SUM($K299:AS299)) /  IFERROR((DATEDIF(Beginning_of_period,$G299,"m") + 1) / Months_in_Period,0),0)</f>
        <v>0</v>
      </c>
      <c r="AU299" s="231">
        <f xml:space="preserve"> IFERROR(($E299&gt;0)*($E299 &lt;=End_of_period) * ($G299 &gt;=Beginning_of_period) * (1-SUM($K299:AT299)) /  IFERROR((DATEDIF(Beginning_of_period,$G299,"m") + 1) / Months_in_Period,0),0)</f>
        <v>0</v>
      </c>
      <c r="AV299" s="231">
        <f xml:space="preserve"> IFERROR(($E299&gt;0)*($E299 &lt;=End_of_period) * ($G299 &gt;=Beginning_of_period) * (1-SUM($K299:AU299)) /  IFERROR((DATEDIF(Beginning_of_period,$G299,"m") + 1) / Months_in_Period,0),0)</f>
        <v>0</v>
      </c>
      <c r="AW299" s="231">
        <f xml:space="preserve"> IFERROR(($E299&gt;0)*($E299 &lt;=End_of_period) * ($G299 &gt;=Beginning_of_period) * (1-SUM($K299:AV299)) /  IFERROR((DATEDIF(Beginning_of_period,$G299,"m") + 1) / Months_in_Period,0),0)</f>
        <v>0</v>
      </c>
      <c r="AX299" s="231">
        <f xml:space="preserve"> IFERROR(($E299&gt;0)*($E299 &lt;=End_of_period) * ($G299 &gt;=Beginning_of_period) * (1-SUM($K299:AW299)) /  IFERROR((DATEDIF(Beginning_of_period,$G299,"m") + 1) / Months_in_Period,0),0)</f>
        <v>0</v>
      </c>
      <c r="AY299" s="231">
        <f xml:space="preserve"> IFERROR(($E299&gt;0)*($E299 &lt;=End_of_period) * ($G299 &gt;=Beginning_of_period) * (1-SUM($K299:AX299)) /  IFERROR((DATEDIF(Beginning_of_period,$G299,"m") + 1) / Months_in_Period,0),0)</f>
        <v>0</v>
      </c>
      <c r="AZ299" s="231">
        <f xml:space="preserve"> IFERROR(($E299&gt;0)*($E299 &lt;=End_of_period) * ($G299 &gt;=Beginning_of_period) * (1-SUM($K299:AY299)) /  IFERROR((DATEDIF(Beginning_of_period,$G299,"m") + 1) / Months_in_Period,0),0)</f>
        <v>0</v>
      </c>
      <c r="BA299" s="231">
        <f xml:space="preserve"> IFERROR(($E299&gt;0)*($E299 &lt;=End_of_period) * ($G299 &gt;=Beginning_of_period) * (1-SUM($K299:AZ299)) /  IFERROR((DATEDIF(Beginning_of_period,$G299,"m") + 1) / Months_in_Period,0),0)</f>
        <v>0</v>
      </c>
      <c r="BB299" s="231">
        <f xml:space="preserve"> IFERROR(($E299&gt;0)*($E299 &lt;=End_of_period) * ($G299 &gt;=Beginning_of_period) * (1-SUM($K299:BA299)) /  IFERROR((DATEDIF(Beginning_of_period,$G299,"m") + 1) / Months_in_Period,0),0)</f>
        <v>0</v>
      </c>
      <c r="BC299" s="231">
        <f xml:space="preserve"> IFERROR(($E299&gt;0)*($E299 &lt;=End_of_period) * ($G299 &gt;=Beginning_of_period) * (1-SUM($K299:BB299)) /  IFERROR((DATEDIF(Beginning_of_period,$G299,"m") + 1) / Months_in_Period,0),0)</f>
        <v>0</v>
      </c>
      <c r="BD299" s="231">
        <f xml:space="preserve"> IFERROR(($E299&gt;0)*($E299 &lt;=End_of_period) * ($G299 &gt;=Beginning_of_period) * (1-SUM($K299:BC299)) /  IFERROR((DATEDIF(Beginning_of_period,$G299,"m") + 1) / Months_in_Period,0),0)</f>
        <v>0</v>
      </c>
      <c r="BE299" s="231">
        <f xml:space="preserve"> IFERROR(($E299&gt;0)*($E299 &lt;=End_of_period) * ($G299 &gt;=Beginning_of_period) * (1-SUM($K299:BD299)) /  IFERROR((DATEDIF(Beginning_of_period,$G299,"m") + 1) / Months_in_Period,0),0)</f>
        <v>0</v>
      </c>
      <c r="BF299" s="231">
        <f xml:space="preserve"> IFERROR(($E299&gt;0)*($E299 &lt;=End_of_period) * ($G299 &gt;=Beginning_of_period) * (1-SUM($K299:BE299)) /  IFERROR((DATEDIF(Beginning_of_period,$G299,"m") + 1) / Months_in_Period,0),0)</f>
        <v>0</v>
      </c>
      <c r="BG299" s="231">
        <f xml:space="preserve"> IFERROR(($E299&gt;0)*($E299 &lt;=End_of_period) * ($G299 &gt;=Beginning_of_period) * (1-SUM($K299:BF299)) /  IFERROR((DATEDIF(Beginning_of_period,$G299,"m") + 1) / Months_in_Period,0),0)</f>
        <v>0</v>
      </c>
      <c r="BH299" s="231">
        <f xml:space="preserve"> IFERROR(($E299&gt;0)*($E299 &lt;=End_of_period) * ($G299 &gt;=Beginning_of_period) * (1-SUM($K299:BG299)) /  IFERROR((DATEDIF(Beginning_of_period,$G299,"m") + 1) / Months_in_Period,0),0)</f>
        <v>0</v>
      </c>
      <c r="BI299" s="231">
        <f xml:space="preserve"> IFERROR(($E299&gt;0)*($E299 &lt;=End_of_period) * ($G299 &gt;=Beginning_of_period) * (1-SUM($K299:BH299)) /  IFERROR((DATEDIF(Beginning_of_period,$G299,"m") + 1) / Months_in_Period,0),0)</f>
        <v>0</v>
      </c>
      <c r="BJ299" s="231">
        <f xml:space="preserve"> IFERROR(($E299&gt;0)*($E299 &lt;=End_of_period) * ($G299 &gt;=Beginning_of_period) * (1-SUM($K299:BI299)) /  IFERROR((DATEDIF(Beginning_of_period,$G299,"m") + 1) / Months_in_Period,0),0)</f>
        <v>0</v>
      </c>
      <c r="BK299" s="231">
        <f xml:space="preserve"> IFERROR(($E299&gt;0)*($E299 &lt;=End_of_period) * ($G299 &gt;=Beginning_of_period) * (1-SUM($K299:BJ299)) /  IFERROR((DATEDIF(Beginning_of_period,$G299,"m") + 1) / Months_in_Period,0),0)</f>
        <v>0</v>
      </c>
      <c r="BL299" s="231">
        <f xml:space="preserve"> IFERROR(($E299&gt;0)*($E299 &lt;=End_of_period) * ($G299 &gt;=Beginning_of_period) * (1-SUM($K299:BK299)) /  IFERROR((DATEDIF(Beginning_of_period,$G299,"m") + 1) / Months_in_Period,0),0)</f>
        <v>0</v>
      </c>
      <c r="BM299" s="231">
        <f xml:space="preserve"> IFERROR(($E299&gt;0)*($E299 &lt;=End_of_period) * ($G299 &gt;=Beginning_of_period) * (1-SUM($K299:BL299)) /  IFERROR((DATEDIF(Beginning_of_period,$G299,"m") + 1) / Months_in_Period,0),0)</f>
        <v>0</v>
      </c>
      <c r="BN299" s="231">
        <f xml:space="preserve"> IFERROR(($E299&gt;0)*($E299 &lt;=End_of_period) * ($G299 &gt;=Beginning_of_period) * (1-SUM($K299:BM299)) /  IFERROR((DATEDIF(Beginning_of_period,$G299,"m") + 1) / Months_in_Period,0),0)</f>
        <v>0</v>
      </c>
      <c r="BO299" s="231">
        <f xml:space="preserve"> IFERROR(($E299&gt;0)*($E299 &lt;=End_of_period) * ($G299 &gt;=Beginning_of_period) * (1-SUM($K299:BN299)) /  IFERROR((DATEDIF(Beginning_of_period,$G299,"m") + 1) / Months_in_Period,0),0)</f>
        <v>0</v>
      </c>
      <c r="BP299" s="231">
        <f xml:space="preserve"> IFERROR(($E299&gt;0)*($E299 &lt;=End_of_period) * ($G299 &gt;=Beginning_of_period) * (1-SUM($K299:BO299)) /  IFERROR((DATEDIF(Beginning_of_period,$G299,"m") + 1) / Months_in_Period,0),0)</f>
        <v>0</v>
      </c>
      <c r="BQ299" s="231">
        <f xml:space="preserve"> IFERROR(($E299&gt;0)*($E299 &lt;=End_of_period) * ($G299 &gt;=Beginning_of_period) * (1-SUM($K299:BP299)) /  IFERROR((DATEDIF(Beginning_of_period,$G299,"m") + 1) / Months_in_Period,0),0)</f>
        <v>0</v>
      </c>
      <c r="BR299" s="231">
        <f xml:space="preserve"> IFERROR(($E299&gt;0)*($E299 &lt;=End_of_period) * ($G299 &gt;=Beginning_of_period) * (1-SUM($K299:BQ299)) /  IFERROR((DATEDIF(Beginning_of_period,$G299,"m") + 1) / Months_in_Period,0),0)</f>
        <v>0</v>
      </c>
      <c r="BS299" s="231">
        <f xml:space="preserve"> IFERROR(($E299&gt;0)*($E299 &lt;=End_of_period) * ($G299 &gt;=Beginning_of_period) * (1-SUM($K299:BR299)) /  IFERROR((DATEDIF(Beginning_of_period,$G299,"m") + 1) / Months_in_Period,0),0)</f>
        <v>0</v>
      </c>
      <c r="BT299" s="231">
        <f xml:space="preserve"> IFERROR(($E299&gt;0)*($E299 &lt;=End_of_period) * ($G299 &gt;=Beginning_of_period) * (1-SUM($K299:BS299)) /  IFERROR((DATEDIF(Beginning_of_period,$G299,"m") + 1) / Months_in_Period,0),0)</f>
        <v>0</v>
      </c>
      <c r="BU299" s="231">
        <f xml:space="preserve"> IFERROR(($E299&gt;0)*($E299 &lt;=End_of_period) * ($G299 &gt;=Beginning_of_period) * (1-SUM($K299:BT299)) /  IFERROR((DATEDIF(Beginning_of_period,$G299,"m") + 1) / Months_in_Period,0),0)</f>
        <v>0</v>
      </c>
      <c r="BV299" s="231">
        <f xml:space="preserve"> IFERROR(($E299&gt;0)*($E299 &lt;=End_of_period) * ($G299 &gt;=Beginning_of_period) * (1-SUM($K299:BU299)) /  IFERROR((DATEDIF(Beginning_of_period,$G299,"m") + 1) / Months_in_Period,0),0)</f>
        <v>0</v>
      </c>
      <c r="BW299" s="231">
        <f xml:space="preserve"> IFERROR(($E299&gt;0)*($E299 &lt;=End_of_period) * ($G299 &gt;=Beginning_of_period) * (1-SUM($K299:BV299)) /  IFERROR((DATEDIF(Beginning_of_period,$G299,"m") + 1) / Months_in_Period,0),0)</f>
        <v>0</v>
      </c>
      <c r="BX299" s="231">
        <f xml:space="preserve"> IFERROR(($E299&gt;0)*($E299 &lt;=End_of_period) * ($G299 &gt;=Beginning_of_period) * (1-SUM($K299:BW299)) /  IFERROR((DATEDIF(Beginning_of_period,$G299,"m") + 1) / Months_in_Period,0),0)</f>
        <v>0</v>
      </c>
      <c r="BY299" s="231">
        <f xml:space="preserve"> IFERROR(($E299&gt;0)*($E299 &lt;=End_of_period) * ($G299 &gt;=Beginning_of_period) * (1-SUM($K299:BX299)) /  IFERROR((DATEDIF(Beginning_of_period,$G299,"m") + 1) / Months_in_Period,0),0)</f>
        <v>0</v>
      </c>
      <c r="BZ299" s="231">
        <f xml:space="preserve"> IFERROR(($E299&gt;0)*($E299 &lt;=End_of_period) * ($G299 &gt;=Beginning_of_period) * (1-SUM($K299:BY299)) /  IFERROR((DATEDIF(Beginning_of_period,$G299,"m") + 1) / Months_in_Period,0),0)</f>
        <v>0</v>
      </c>
      <c r="CA299" s="231">
        <f xml:space="preserve"> IFERROR(($E299&gt;0)*($E299 &lt;=End_of_period) * ($G299 &gt;=Beginning_of_period) * (1-SUM($K299:BZ299)) /  IFERROR((DATEDIF(Beginning_of_period,$G299,"m") + 1) / Months_in_Period,0),0)</f>
        <v>0</v>
      </c>
      <c r="CB299" s="231">
        <f xml:space="preserve"> IFERROR(($E299&gt;0)*($E299 &lt;=End_of_period) * ($G299 &gt;=Beginning_of_period) * (1-SUM($K299:CA299)) /  IFERROR((DATEDIF(Beginning_of_period,$G299,"m") + 1) / Months_in_Period,0),0)</f>
        <v>0</v>
      </c>
      <c r="CC299" s="231">
        <f xml:space="preserve"> IFERROR(($E299&gt;0)*($E299 &lt;=End_of_period) * ($G299 &gt;=Beginning_of_period) * (1-SUM($K299:CB299)) /  IFERROR((DATEDIF(Beginning_of_period,$G299,"m") + 1) / Months_in_Period,0),0)</f>
        <v>0</v>
      </c>
      <c r="CD299" s="231">
        <f xml:space="preserve"> IFERROR(($E299&gt;0)*($E299 &lt;=End_of_period) * ($G299 &gt;=Beginning_of_period) * (1-SUM($K299:CC299)) /  IFERROR((DATEDIF(Beginning_of_period,$G299,"m") + 1) / Months_in_Period,0),0)</f>
        <v>0</v>
      </c>
      <c r="CE299" s="231">
        <f xml:space="preserve"> IFERROR(($E299&gt;0)*($E299 &lt;=End_of_period) * ($G299 &gt;=Beginning_of_period) * (1-SUM($K299:CD299)) /  IFERROR((DATEDIF(Beginning_of_period,$G299,"m") + 1) / Months_in_Period,0),0)</f>
        <v>0</v>
      </c>
      <c r="CF299" s="231">
        <f xml:space="preserve"> IFERROR(($E299&gt;0)*($E299 &lt;=End_of_period) * ($G299 &gt;=Beginning_of_period) * (1-SUM($K299:CE299)) /  IFERROR((DATEDIF(Beginning_of_period,$G299,"m") + 1) / Months_in_Period,0),0)</f>
        <v>0</v>
      </c>
      <c r="CG299" s="231">
        <f xml:space="preserve"> IFERROR(($E299&gt;0)*($E299 &lt;=End_of_period) * ($G299 &gt;=Beginning_of_period) * (1-SUM($K299:CF299)) /  IFERROR((DATEDIF(Beginning_of_period,$G299,"m") + 1) / Months_in_Period,0),0)</f>
        <v>0</v>
      </c>
      <c r="CH299" s="231">
        <f xml:space="preserve"> IFERROR(($E299&gt;0)*($E299 &lt;=End_of_period) * ($G299 &gt;=Beginning_of_period) * (1-SUM($K299:CG299)) /  IFERROR((DATEDIF(Beginning_of_period,$G299,"m") + 1) / Months_in_Period,0),0)</f>
        <v>0</v>
      </c>
      <c r="CI299" s="231">
        <f xml:space="preserve"> IFERROR(($E299&gt;0)*($E299 &lt;=End_of_period) * ($G299 &gt;=Beginning_of_period) * (1-SUM($K299:CH299)) /  IFERROR((DATEDIF(Beginning_of_period,$G299,"m") + 1) / Months_in_Period,0),0)</f>
        <v>0</v>
      </c>
      <c r="CJ299" s="231">
        <f xml:space="preserve"> IFERROR(($E299&gt;0)*($E299 &lt;=End_of_period) * ($G299 &gt;=Beginning_of_period) * (1-SUM($K299:CI299)) /  IFERROR((DATEDIF(Beginning_of_period,$G299,"m") + 1) / Months_in_Period,0),0)</f>
        <v>0</v>
      </c>
      <c r="CK299" s="231">
        <f xml:space="preserve"> IFERROR(($E299&gt;0)*($E299 &lt;=End_of_period) * ($G299 &gt;=Beginning_of_period) * (1-SUM($K299:CJ299)) /  IFERROR((DATEDIF(Beginning_of_period,$G299,"m") + 1) / Months_in_Period,0),0)</f>
        <v>0</v>
      </c>
      <c r="CL299" s="231">
        <f xml:space="preserve"> IFERROR(($E299&gt;0)*($E299 &lt;=End_of_period) * ($G299 &gt;=Beginning_of_period) * (1-SUM($K299:CK299)) /  IFERROR((DATEDIF(Beginning_of_period,$G299,"m") + 1) / Months_in_Period,0),0)</f>
        <v>0</v>
      </c>
      <c r="CM299" s="231">
        <f xml:space="preserve"> IFERROR(($E299&gt;0)*($E299 &lt;=End_of_period) * ($G299 &gt;=Beginning_of_period) * (1-SUM($K299:CL299)) /  IFERROR((DATEDIF(Beginning_of_period,$G299,"m") + 1) / Months_in_Period,0),0)</f>
        <v>0</v>
      </c>
      <c r="CN299" s="231">
        <f xml:space="preserve"> IFERROR(($E299&gt;0)*($E299 &lt;=End_of_period) * ($G299 &gt;=Beginning_of_period) * (1-SUM($K299:CM299)) /  IFERROR((DATEDIF(Beginning_of_period,$G299,"m") + 1) / Months_in_Period,0),0)</f>
        <v>0</v>
      </c>
      <c r="CO299" s="231">
        <f xml:space="preserve"> IFERROR(($E299&gt;0)*($E299 &lt;=End_of_period) * ($G299 &gt;=Beginning_of_period) * (1-SUM($K299:CN299)) /  IFERROR((DATEDIF(Beginning_of_period,$G299,"m") + 1) / Months_in_Period,0),0)</f>
        <v>0</v>
      </c>
      <c r="CP299" s="10"/>
    </row>
    <row r="300" spans="1:94" ht="15" customHeight="1">
      <c r="A300" s="10"/>
      <c r="B300" s="3"/>
      <c r="C300" s="17" t="s">
        <v>1190</v>
      </c>
      <c r="D300" s="10"/>
      <c r="E300" s="71">
        <v>47119</v>
      </c>
      <c r="F300" s="10"/>
      <c r="G300" s="477">
        <v>47208</v>
      </c>
      <c r="H300" s="149">
        <f t="shared" si="24"/>
        <v>1</v>
      </c>
      <c r="I300" s="231">
        <f t="shared" si="25"/>
        <v>1</v>
      </c>
      <c r="J300" s="10"/>
      <c r="K300" s="10"/>
      <c r="L300" s="231">
        <f xml:space="preserve"> IFERROR(($E300&gt;0)*($E300 &lt;=End_of_period) * ($G300 &gt;=Beginning_of_period) * (1-SUM($K300:K300)) /  IFERROR((DATEDIF(Beginning_of_period,$G300,"m") + 1) / Months_in_Period,0),0)</f>
        <v>0</v>
      </c>
      <c r="M300" s="231">
        <f xml:space="preserve"> IFERROR(($E300&gt;0)*($E300 &lt;=End_of_period) * ($G300 &gt;=Beginning_of_period) * (1-SUM($K300:L300)) /  IFERROR((DATEDIF(Beginning_of_period,$G300,"m") + 1) / Months_in_Period,0),0)</f>
        <v>0</v>
      </c>
      <c r="N300" s="231">
        <f xml:space="preserve"> IFERROR(($E300&gt;0)*($E300 &lt;=End_of_period) * ($G300 &gt;=Beginning_of_period) * (1-SUM($K300:M300)) /  IFERROR((DATEDIF(Beginning_of_period,$G300,"m") + 1) / Months_in_Period,0),0)</f>
        <v>0</v>
      </c>
      <c r="O300" s="231">
        <f xml:space="preserve"> IFERROR(($E300&gt;0)*($E300 &lt;=End_of_period) * ($G300 &gt;=Beginning_of_period) * (1-SUM($K300:N300)) /  IFERROR((DATEDIF(Beginning_of_period,$G300,"m") + 1) / Months_in_Period,0),0)</f>
        <v>0</v>
      </c>
      <c r="P300" s="231">
        <f xml:space="preserve"> IFERROR(($E300&gt;0)*($E300 &lt;=End_of_period) * ($G300 &gt;=Beginning_of_period) * (1-SUM($K300:O300)) /  IFERROR((DATEDIF(Beginning_of_period,$G300,"m") + 1) / Months_in_Period,0),0)</f>
        <v>0</v>
      </c>
      <c r="Q300" s="231">
        <f xml:space="preserve"> IFERROR(($E300&gt;0)*($E300 &lt;=End_of_period) * ($G300 &gt;=Beginning_of_period) * (1-SUM($K300:P300)) /  IFERROR((DATEDIF(Beginning_of_period,$G300,"m") + 1) / Months_in_Period,0),0)</f>
        <v>0</v>
      </c>
      <c r="R300" s="231">
        <f xml:space="preserve"> IFERROR(($E300&gt;0)*($E300 &lt;=End_of_period) * ($G300 &gt;=Beginning_of_period) * (1-SUM($K300:Q300)) /  IFERROR((DATEDIF(Beginning_of_period,$G300,"m") + 1) / Months_in_Period,0),0)</f>
        <v>0</v>
      </c>
      <c r="S300" s="231">
        <f xml:space="preserve"> IFERROR(($E300&gt;0)*($E300 &lt;=End_of_period) * ($G300 &gt;=Beginning_of_period) * (1-SUM($K300:R300)) /  IFERROR((DATEDIF(Beginning_of_period,$G300,"m") + 1) / Months_in_Period,0),0)</f>
        <v>0</v>
      </c>
      <c r="T300" s="231">
        <f xml:space="preserve"> IFERROR(($E300&gt;0)*($E300 &lt;=End_of_period) * ($G300 &gt;=Beginning_of_period) * (1-SUM($K300:S300)) /  IFERROR((DATEDIF(Beginning_of_period,$G300,"m") + 1) / Months_in_Period,0),0)</f>
        <v>0</v>
      </c>
      <c r="U300" s="231">
        <f xml:space="preserve"> IFERROR(($E300&gt;0)*($E300 &lt;=End_of_period) * ($G300 &gt;=Beginning_of_period) * (1-SUM($K300:T300)) /  IFERROR((DATEDIF(Beginning_of_period,$G300,"m") + 1) / Months_in_Period,0),0)</f>
        <v>0</v>
      </c>
      <c r="V300" s="231">
        <f xml:space="preserve"> IFERROR(($E300&gt;0)*($E300 &lt;=End_of_period) * ($G300 &gt;=Beginning_of_period) * (1-SUM($K300:U300)) /  IFERROR((DATEDIF(Beginning_of_period,$G300,"m") + 1) / Months_in_Period,0),0)</f>
        <v>0</v>
      </c>
      <c r="W300" s="231">
        <f xml:space="preserve"> IFERROR(($E300&gt;0)*($E300 &lt;=End_of_period) * ($G300 &gt;=Beginning_of_period) * (1-SUM($K300:V300)) /  IFERROR((DATEDIF(Beginning_of_period,$G300,"m") + 1) / Months_in_Period,0),0)</f>
        <v>0</v>
      </c>
      <c r="X300" s="231">
        <f xml:space="preserve"> IFERROR(($E300&gt;0)*($E300 &lt;=End_of_period) * ($G300 &gt;=Beginning_of_period) * (1-SUM($K300:W300)) /  IFERROR((DATEDIF(Beginning_of_period,$G300,"m") + 1) / Months_in_Period,0),0)</f>
        <v>0</v>
      </c>
      <c r="Y300" s="231">
        <f xml:space="preserve"> IFERROR(($E300&gt;0)*($E300 &lt;=End_of_period) * ($G300 &gt;=Beginning_of_period) * (1-SUM($K300:X300)) /  IFERROR((DATEDIF(Beginning_of_period,$G300,"m") + 1) / Months_in_Period,0),0)</f>
        <v>0</v>
      </c>
      <c r="Z300" s="231">
        <f xml:space="preserve"> IFERROR(($E300&gt;0)*($E300 &lt;=End_of_period) * ($G300 &gt;=Beginning_of_period) * (1-SUM($K300:Y300)) /  IFERROR((DATEDIF(Beginning_of_period,$G300,"m") + 1) / Months_in_Period,0),0)</f>
        <v>0</v>
      </c>
      <c r="AA300" s="231">
        <f xml:space="preserve"> IFERROR(($E300&gt;0)*($E300 &lt;=End_of_period) * ($G300 &gt;=Beginning_of_period) * (1-SUM($K300:Z300)) /  IFERROR((DATEDIF(Beginning_of_period,$G300,"m") + 1) / Months_in_Period,0),0)</f>
        <v>0</v>
      </c>
      <c r="AB300" s="231">
        <f xml:space="preserve"> IFERROR(($E300&gt;0)*($E300 &lt;=End_of_period) * ($G300 &gt;=Beginning_of_period) * (1-SUM($K300:AA300)) /  IFERROR((DATEDIF(Beginning_of_period,$G300,"m") + 1) / Months_in_Period,0),0)</f>
        <v>1</v>
      </c>
      <c r="AC300" s="231">
        <f xml:space="preserve"> IFERROR(($E300&gt;0)*($E300 &lt;=End_of_period) * ($G300 &gt;=Beginning_of_period) * (1-SUM($K300:AB300)) /  IFERROR((DATEDIF(Beginning_of_period,$G300,"m") + 1) / Months_in_Period,0),0)</f>
        <v>0</v>
      </c>
      <c r="AD300" s="231">
        <f xml:space="preserve"> IFERROR(($E300&gt;0)*($E300 &lt;=End_of_period) * ($G300 &gt;=Beginning_of_period) * (1-SUM($K300:AC300)) /  IFERROR((DATEDIF(Beginning_of_period,$G300,"m") + 1) / Months_in_Period,0),0)</f>
        <v>0</v>
      </c>
      <c r="AE300" s="231">
        <f xml:space="preserve"> IFERROR(($E300&gt;0)*($E300 &lt;=End_of_period) * ($G300 &gt;=Beginning_of_period) * (1-SUM($K300:AD300)) /  IFERROR((DATEDIF(Beginning_of_period,$G300,"m") + 1) / Months_in_Period,0),0)</f>
        <v>0</v>
      </c>
      <c r="AF300" s="231">
        <f xml:space="preserve"> IFERROR(($E300&gt;0)*($E300 &lt;=End_of_period) * ($G300 &gt;=Beginning_of_period) * (1-SUM($K300:AE300)) /  IFERROR((DATEDIF(Beginning_of_period,$G300,"m") + 1) / Months_in_Period,0),0)</f>
        <v>0</v>
      </c>
      <c r="AG300" s="231">
        <f xml:space="preserve"> IFERROR(($E300&gt;0)*($E300 &lt;=End_of_period) * ($G300 &gt;=Beginning_of_period) * (1-SUM($K300:AF300)) /  IFERROR((DATEDIF(Beginning_of_period,$G300,"m") + 1) / Months_in_Period,0),0)</f>
        <v>0</v>
      </c>
      <c r="AH300" s="231">
        <f xml:space="preserve"> IFERROR(($E300&gt;0)*($E300 &lt;=End_of_period) * ($G300 &gt;=Beginning_of_period) * (1-SUM($K300:AG300)) /  IFERROR((DATEDIF(Beginning_of_period,$G300,"m") + 1) / Months_in_Period,0),0)</f>
        <v>0</v>
      </c>
      <c r="AI300" s="231">
        <f xml:space="preserve"> IFERROR(($E300&gt;0)*($E300 &lt;=End_of_period) * ($G300 &gt;=Beginning_of_period) * (1-SUM($K300:AH300)) /  IFERROR((DATEDIF(Beginning_of_period,$G300,"m") + 1) / Months_in_Period,0),0)</f>
        <v>0</v>
      </c>
      <c r="AJ300" s="231">
        <f xml:space="preserve"> IFERROR(($E300&gt;0)*($E300 &lt;=End_of_period) * ($G300 &gt;=Beginning_of_period) * (1-SUM($K300:AI300)) /  IFERROR((DATEDIF(Beginning_of_period,$G300,"m") + 1) / Months_in_Period,0),0)</f>
        <v>0</v>
      </c>
      <c r="AK300" s="231">
        <f xml:space="preserve"> IFERROR(($E300&gt;0)*($E300 &lt;=End_of_period) * ($G300 &gt;=Beginning_of_period) * (1-SUM($K300:AJ300)) /  IFERROR((DATEDIF(Beginning_of_period,$G300,"m") + 1) / Months_in_Period,0),0)</f>
        <v>0</v>
      </c>
      <c r="AL300" s="231">
        <f xml:space="preserve"> IFERROR(($E300&gt;0)*($E300 &lt;=End_of_period) * ($G300 &gt;=Beginning_of_period) * (1-SUM($K300:AK300)) /  IFERROR((DATEDIF(Beginning_of_period,$G300,"m") + 1) / Months_in_Period,0),0)</f>
        <v>0</v>
      </c>
      <c r="AM300" s="231">
        <f xml:space="preserve"> IFERROR(($E300&gt;0)*($E300 &lt;=End_of_period) * ($G300 &gt;=Beginning_of_period) * (1-SUM($K300:AL300)) /  IFERROR((DATEDIF(Beginning_of_period,$G300,"m") + 1) / Months_in_Period,0),0)</f>
        <v>0</v>
      </c>
      <c r="AN300" s="231">
        <f xml:space="preserve"> IFERROR(($E300&gt;0)*($E300 &lt;=End_of_period) * ($G300 &gt;=Beginning_of_period) * (1-SUM($K300:AM300)) /  IFERROR((DATEDIF(Beginning_of_period,$G300,"m") + 1) / Months_in_Period,0),0)</f>
        <v>0</v>
      </c>
      <c r="AO300" s="231">
        <f xml:space="preserve"> IFERROR(($E300&gt;0)*($E300 &lt;=End_of_period) * ($G300 &gt;=Beginning_of_period) * (1-SUM($K300:AN300)) /  IFERROR((DATEDIF(Beginning_of_period,$G300,"m") + 1) / Months_in_Period,0),0)</f>
        <v>0</v>
      </c>
      <c r="AP300" s="231">
        <f xml:space="preserve"> IFERROR(($E300&gt;0)*($E300 &lt;=End_of_period) * ($G300 &gt;=Beginning_of_period) * (1-SUM($K300:AO300)) /  IFERROR((DATEDIF(Beginning_of_period,$G300,"m") + 1) / Months_in_Period,0),0)</f>
        <v>0</v>
      </c>
      <c r="AQ300" s="231">
        <f xml:space="preserve"> IFERROR(($E300&gt;0)*($E300 &lt;=End_of_period) * ($G300 &gt;=Beginning_of_period) * (1-SUM($K300:AP300)) /  IFERROR((DATEDIF(Beginning_of_period,$G300,"m") + 1) / Months_in_Period,0),0)</f>
        <v>0</v>
      </c>
      <c r="AR300" s="231">
        <f xml:space="preserve"> IFERROR(($E300&gt;0)*($E300 &lt;=End_of_period) * ($G300 &gt;=Beginning_of_period) * (1-SUM($K300:AQ300)) /  IFERROR((DATEDIF(Beginning_of_period,$G300,"m") + 1) / Months_in_Period,0),0)</f>
        <v>0</v>
      </c>
      <c r="AS300" s="231">
        <f xml:space="preserve"> IFERROR(($E300&gt;0)*($E300 &lt;=End_of_period) * ($G300 &gt;=Beginning_of_period) * (1-SUM($K300:AR300)) /  IFERROR((DATEDIF(Beginning_of_period,$G300,"m") + 1) / Months_in_Period,0),0)</f>
        <v>0</v>
      </c>
      <c r="AT300" s="231">
        <f xml:space="preserve"> IFERROR(($E300&gt;0)*($E300 &lt;=End_of_period) * ($G300 &gt;=Beginning_of_period) * (1-SUM($K300:AS300)) /  IFERROR((DATEDIF(Beginning_of_period,$G300,"m") + 1) / Months_in_Period,0),0)</f>
        <v>0</v>
      </c>
      <c r="AU300" s="231">
        <f xml:space="preserve"> IFERROR(($E300&gt;0)*($E300 &lt;=End_of_period) * ($G300 &gt;=Beginning_of_period) * (1-SUM($K300:AT300)) /  IFERROR((DATEDIF(Beginning_of_period,$G300,"m") + 1) / Months_in_Period,0),0)</f>
        <v>0</v>
      </c>
      <c r="AV300" s="231">
        <f xml:space="preserve"> IFERROR(($E300&gt;0)*($E300 &lt;=End_of_period) * ($G300 &gt;=Beginning_of_period) * (1-SUM($K300:AU300)) /  IFERROR((DATEDIF(Beginning_of_period,$G300,"m") + 1) / Months_in_Period,0),0)</f>
        <v>0</v>
      </c>
      <c r="AW300" s="231">
        <f xml:space="preserve"> IFERROR(($E300&gt;0)*($E300 &lt;=End_of_period) * ($G300 &gt;=Beginning_of_period) * (1-SUM($K300:AV300)) /  IFERROR((DATEDIF(Beginning_of_period,$G300,"m") + 1) / Months_in_Period,0),0)</f>
        <v>0</v>
      </c>
      <c r="AX300" s="231">
        <f xml:space="preserve"> IFERROR(($E300&gt;0)*($E300 &lt;=End_of_period) * ($G300 &gt;=Beginning_of_period) * (1-SUM($K300:AW300)) /  IFERROR((DATEDIF(Beginning_of_period,$G300,"m") + 1) / Months_in_Period,0),0)</f>
        <v>0</v>
      </c>
      <c r="AY300" s="231">
        <f xml:space="preserve"> IFERROR(($E300&gt;0)*($E300 &lt;=End_of_period) * ($G300 &gt;=Beginning_of_period) * (1-SUM($K300:AX300)) /  IFERROR((DATEDIF(Beginning_of_period,$G300,"m") + 1) / Months_in_Period,0),0)</f>
        <v>0</v>
      </c>
      <c r="AZ300" s="231">
        <f xml:space="preserve"> IFERROR(($E300&gt;0)*($E300 &lt;=End_of_period) * ($G300 &gt;=Beginning_of_period) * (1-SUM($K300:AY300)) /  IFERROR((DATEDIF(Beginning_of_period,$G300,"m") + 1) / Months_in_Period,0),0)</f>
        <v>0</v>
      </c>
      <c r="BA300" s="231">
        <f xml:space="preserve"> IFERROR(($E300&gt;0)*($E300 &lt;=End_of_period) * ($G300 &gt;=Beginning_of_period) * (1-SUM($K300:AZ300)) /  IFERROR((DATEDIF(Beginning_of_period,$G300,"m") + 1) / Months_in_Period,0),0)</f>
        <v>0</v>
      </c>
      <c r="BB300" s="231">
        <f xml:space="preserve"> IFERROR(($E300&gt;0)*($E300 &lt;=End_of_period) * ($G300 &gt;=Beginning_of_period) * (1-SUM($K300:BA300)) /  IFERROR((DATEDIF(Beginning_of_period,$G300,"m") + 1) / Months_in_Period,0),0)</f>
        <v>0</v>
      </c>
      <c r="BC300" s="231">
        <f xml:space="preserve"> IFERROR(($E300&gt;0)*($E300 &lt;=End_of_period) * ($G300 &gt;=Beginning_of_period) * (1-SUM($K300:BB300)) /  IFERROR((DATEDIF(Beginning_of_period,$G300,"m") + 1) / Months_in_Period,0),0)</f>
        <v>0</v>
      </c>
      <c r="BD300" s="231">
        <f xml:space="preserve"> IFERROR(($E300&gt;0)*($E300 &lt;=End_of_period) * ($G300 &gt;=Beginning_of_period) * (1-SUM($K300:BC300)) /  IFERROR((DATEDIF(Beginning_of_period,$G300,"m") + 1) / Months_in_Period,0),0)</f>
        <v>0</v>
      </c>
      <c r="BE300" s="231">
        <f xml:space="preserve"> IFERROR(($E300&gt;0)*($E300 &lt;=End_of_period) * ($G300 &gt;=Beginning_of_period) * (1-SUM($K300:BD300)) /  IFERROR((DATEDIF(Beginning_of_period,$G300,"m") + 1) / Months_in_Period,0),0)</f>
        <v>0</v>
      </c>
      <c r="BF300" s="231">
        <f xml:space="preserve"> IFERROR(($E300&gt;0)*($E300 &lt;=End_of_period) * ($G300 &gt;=Beginning_of_period) * (1-SUM($K300:BE300)) /  IFERROR((DATEDIF(Beginning_of_period,$G300,"m") + 1) / Months_in_Period,0),0)</f>
        <v>0</v>
      </c>
      <c r="BG300" s="231">
        <f xml:space="preserve"> IFERROR(($E300&gt;0)*($E300 &lt;=End_of_period) * ($G300 &gt;=Beginning_of_period) * (1-SUM($K300:BF300)) /  IFERROR((DATEDIF(Beginning_of_period,$G300,"m") + 1) / Months_in_Period,0),0)</f>
        <v>0</v>
      </c>
      <c r="BH300" s="231">
        <f xml:space="preserve"> IFERROR(($E300&gt;0)*($E300 &lt;=End_of_period) * ($G300 &gt;=Beginning_of_period) * (1-SUM($K300:BG300)) /  IFERROR((DATEDIF(Beginning_of_period,$G300,"m") + 1) / Months_in_Period,0),0)</f>
        <v>0</v>
      </c>
      <c r="BI300" s="231">
        <f xml:space="preserve"> IFERROR(($E300&gt;0)*($E300 &lt;=End_of_period) * ($G300 &gt;=Beginning_of_period) * (1-SUM($K300:BH300)) /  IFERROR((DATEDIF(Beginning_of_period,$G300,"m") + 1) / Months_in_Period,0),0)</f>
        <v>0</v>
      </c>
      <c r="BJ300" s="231">
        <f xml:space="preserve"> IFERROR(($E300&gt;0)*($E300 &lt;=End_of_period) * ($G300 &gt;=Beginning_of_period) * (1-SUM($K300:BI300)) /  IFERROR((DATEDIF(Beginning_of_period,$G300,"m") + 1) / Months_in_Period,0),0)</f>
        <v>0</v>
      </c>
      <c r="BK300" s="231">
        <f xml:space="preserve"> IFERROR(($E300&gt;0)*($E300 &lt;=End_of_period) * ($G300 &gt;=Beginning_of_period) * (1-SUM($K300:BJ300)) /  IFERROR((DATEDIF(Beginning_of_period,$G300,"m") + 1) / Months_in_Period,0),0)</f>
        <v>0</v>
      </c>
      <c r="BL300" s="231">
        <f xml:space="preserve"> IFERROR(($E300&gt;0)*($E300 &lt;=End_of_period) * ($G300 &gt;=Beginning_of_period) * (1-SUM($K300:BK300)) /  IFERROR((DATEDIF(Beginning_of_period,$G300,"m") + 1) / Months_in_Period,0),0)</f>
        <v>0</v>
      </c>
      <c r="BM300" s="231">
        <f xml:space="preserve"> IFERROR(($E300&gt;0)*($E300 &lt;=End_of_period) * ($G300 &gt;=Beginning_of_period) * (1-SUM($K300:BL300)) /  IFERROR((DATEDIF(Beginning_of_period,$G300,"m") + 1) / Months_in_Period,0),0)</f>
        <v>0</v>
      </c>
      <c r="BN300" s="231">
        <f xml:space="preserve"> IFERROR(($E300&gt;0)*($E300 &lt;=End_of_period) * ($G300 &gt;=Beginning_of_period) * (1-SUM($K300:BM300)) /  IFERROR((DATEDIF(Beginning_of_period,$G300,"m") + 1) / Months_in_Period,0),0)</f>
        <v>0</v>
      </c>
      <c r="BO300" s="231">
        <f xml:space="preserve"> IFERROR(($E300&gt;0)*($E300 &lt;=End_of_period) * ($G300 &gt;=Beginning_of_period) * (1-SUM($K300:BN300)) /  IFERROR((DATEDIF(Beginning_of_period,$G300,"m") + 1) / Months_in_Period,0),0)</f>
        <v>0</v>
      </c>
      <c r="BP300" s="231">
        <f xml:space="preserve"> IFERROR(($E300&gt;0)*($E300 &lt;=End_of_period) * ($G300 &gt;=Beginning_of_period) * (1-SUM($K300:BO300)) /  IFERROR((DATEDIF(Beginning_of_period,$G300,"m") + 1) / Months_in_Period,0),0)</f>
        <v>0</v>
      </c>
      <c r="BQ300" s="231">
        <f xml:space="preserve"> IFERROR(($E300&gt;0)*($E300 &lt;=End_of_period) * ($G300 &gt;=Beginning_of_period) * (1-SUM($K300:BP300)) /  IFERROR((DATEDIF(Beginning_of_period,$G300,"m") + 1) / Months_in_Period,0),0)</f>
        <v>0</v>
      </c>
      <c r="BR300" s="231">
        <f xml:space="preserve"> IFERROR(($E300&gt;0)*($E300 &lt;=End_of_period) * ($G300 &gt;=Beginning_of_period) * (1-SUM($K300:BQ300)) /  IFERROR((DATEDIF(Beginning_of_period,$G300,"m") + 1) / Months_in_Period,0),0)</f>
        <v>0</v>
      </c>
      <c r="BS300" s="231">
        <f xml:space="preserve"> IFERROR(($E300&gt;0)*($E300 &lt;=End_of_period) * ($G300 &gt;=Beginning_of_period) * (1-SUM($K300:BR300)) /  IFERROR((DATEDIF(Beginning_of_period,$G300,"m") + 1) / Months_in_Period,0),0)</f>
        <v>0</v>
      </c>
      <c r="BT300" s="231">
        <f xml:space="preserve"> IFERROR(($E300&gt;0)*($E300 &lt;=End_of_period) * ($G300 &gt;=Beginning_of_period) * (1-SUM($K300:BS300)) /  IFERROR((DATEDIF(Beginning_of_period,$G300,"m") + 1) / Months_in_Period,0),0)</f>
        <v>0</v>
      </c>
      <c r="BU300" s="231">
        <f xml:space="preserve"> IFERROR(($E300&gt;0)*($E300 &lt;=End_of_period) * ($G300 &gt;=Beginning_of_period) * (1-SUM($K300:BT300)) /  IFERROR((DATEDIF(Beginning_of_period,$G300,"m") + 1) / Months_in_Period,0),0)</f>
        <v>0</v>
      </c>
      <c r="BV300" s="231">
        <f xml:space="preserve"> IFERROR(($E300&gt;0)*($E300 &lt;=End_of_period) * ($G300 &gt;=Beginning_of_period) * (1-SUM($K300:BU300)) /  IFERROR((DATEDIF(Beginning_of_period,$G300,"m") + 1) / Months_in_Period,0),0)</f>
        <v>0</v>
      </c>
      <c r="BW300" s="231">
        <f xml:space="preserve"> IFERROR(($E300&gt;0)*($E300 &lt;=End_of_period) * ($G300 &gt;=Beginning_of_period) * (1-SUM($K300:BV300)) /  IFERROR((DATEDIF(Beginning_of_period,$G300,"m") + 1) / Months_in_Period,0),0)</f>
        <v>0</v>
      </c>
      <c r="BX300" s="231">
        <f xml:space="preserve"> IFERROR(($E300&gt;0)*($E300 &lt;=End_of_period) * ($G300 &gt;=Beginning_of_period) * (1-SUM($K300:BW300)) /  IFERROR((DATEDIF(Beginning_of_period,$G300,"m") + 1) / Months_in_Period,0),0)</f>
        <v>0</v>
      </c>
      <c r="BY300" s="231">
        <f xml:space="preserve"> IFERROR(($E300&gt;0)*($E300 &lt;=End_of_period) * ($G300 &gt;=Beginning_of_period) * (1-SUM($K300:BX300)) /  IFERROR((DATEDIF(Beginning_of_period,$G300,"m") + 1) / Months_in_Period,0),0)</f>
        <v>0</v>
      </c>
      <c r="BZ300" s="231">
        <f xml:space="preserve"> IFERROR(($E300&gt;0)*($E300 &lt;=End_of_period) * ($G300 &gt;=Beginning_of_period) * (1-SUM($K300:BY300)) /  IFERROR((DATEDIF(Beginning_of_period,$G300,"m") + 1) / Months_in_Period,0),0)</f>
        <v>0</v>
      </c>
      <c r="CA300" s="231">
        <f xml:space="preserve"> IFERROR(($E300&gt;0)*($E300 &lt;=End_of_period) * ($G300 &gt;=Beginning_of_period) * (1-SUM($K300:BZ300)) /  IFERROR((DATEDIF(Beginning_of_period,$G300,"m") + 1) / Months_in_Period,0),0)</f>
        <v>0</v>
      </c>
      <c r="CB300" s="231">
        <f xml:space="preserve"> IFERROR(($E300&gt;0)*($E300 &lt;=End_of_period) * ($G300 &gt;=Beginning_of_period) * (1-SUM($K300:CA300)) /  IFERROR((DATEDIF(Beginning_of_period,$G300,"m") + 1) / Months_in_Period,0),0)</f>
        <v>0</v>
      </c>
      <c r="CC300" s="231">
        <f xml:space="preserve"> IFERROR(($E300&gt;0)*($E300 &lt;=End_of_period) * ($G300 &gt;=Beginning_of_period) * (1-SUM($K300:CB300)) /  IFERROR((DATEDIF(Beginning_of_period,$G300,"m") + 1) / Months_in_Period,0),0)</f>
        <v>0</v>
      </c>
      <c r="CD300" s="231">
        <f xml:space="preserve"> IFERROR(($E300&gt;0)*($E300 &lt;=End_of_period) * ($G300 &gt;=Beginning_of_period) * (1-SUM($K300:CC300)) /  IFERROR((DATEDIF(Beginning_of_period,$G300,"m") + 1) / Months_in_Period,0),0)</f>
        <v>0</v>
      </c>
      <c r="CE300" s="231">
        <f xml:space="preserve"> IFERROR(($E300&gt;0)*($E300 &lt;=End_of_period) * ($G300 &gt;=Beginning_of_period) * (1-SUM($K300:CD300)) /  IFERROR((DATEDIF(Beginning_of_period,$G300,"m") + 1) / Months_in_Period,0),0)</f>
        <v>0</v>
      </c>
      <c r="CF300" s="231">
        <f xml:space="preserve"> IFERROR(($E300&gt;0)*($E300 &lt;=End_of_period) * ($G300 &gt;=Beginning_of_period) * (1-SUM($K300:CE300)) /  IFERROR((DATEDIF(Beginning_of_period,$G300,"m") + 1) / Months_in_Period,0),0)</f>
        <v>0</v>
      </c>
      <c r="CG300" s="231">
        <f xml:space="preserve"> IFERROR(($E300&gt;0)*($E300 &lt;=End_of_period) * ($G300 &gt;=Beginning_of_period) * (1-SUM($K300:CF300)) /  IFERROR((DATEDIF(Beginning_of_period,$G300,"m") + 1) / Months_in_Period,0),0)</f>
        <v>0</v>
      </c>
      <c r="CH300" s="231">
        <f xml:space="preserve"> IFERROR(($E300&gt;0)*($E300 &lt;=End_of_period) * ($G300 &gt;=Beginning_of_period) * (1-SUM($K300:CG300)) /  IFERROR((DATEDIF(Beginning_of_period,$G300,"m") + 1) / Months_in_Period,0),0)</f>
        <v>0</v>
      </c>
      <c r="CI300" s="231">
        <f xml:space="preserve"> IFERROR(($E300&gt;0)*($E300 &lt;=End_of_period) * ($G300 &gt;=Beginning_of_period) * (1-SUM($K300:CH300)) /  IFERROR((DATEDIF(Beginning_of_period,$G300,"m") + 1) / Months_in_Period,0),0)</f>
        <v>0</v>
      </c>
      <c r="CJ300" s="231">
        <f xml:space="preserve"> IFERROR(($E300&gt;0)*($E300 &lt;=End_of_period) * ($G300 &gt;=Beginning_of_period) * (1-SUM($K300:CI300)) /  IFERROR((DATEDIF(Beginning_of_period,$G300,"m") + 1) / Months_in_Period,0),0)</f>
        <v>0</v>
      </c>
      <c r="CK300" s="231">
        <f xml:space="preserve"> IFERROR(($E300&gt;0)*($E300 &lt;=End_of_period) * ($G300 &gt;=Beginning_of_period) * (1-SUM($K300:CJ300)) /  IFERROR((DATEDIF(Beginning_of_period,$G300,"m") + 1) / Months_in_Period,0),0)</f>
        <v>0</v>
      </c>
      <c r="CL300" s="231">
        <f xml:space="preserve"> IFERROR(($E300&gt;0)*($E300 &lt;=End_of_period) * ($G300 &gt;=Beginning_of_period) * (1-SUM($K300:CK300)) /  IFERROR((DATEDIF(Beginning_of_period,$G300,"m") + 1) / Months_in_Period,0),0)</f>
        <v>0</v>
      </c>
      <c r="CM300" s="231">
        <f xml:space="preserve"> IFERROR(($E300&gt;0)*($E300 &lt;=End_of_period) * ($G300 &gt;=Beginning_of_period) * (1-SUM($K300:CL300)) /  IFERROR((DATEDIF(Beginning_of_period,$G300,"m") + 1) / Months_in_Period,0),0)</f>
        <v>0</v>
      </c>
      <c r="CN300" s="231">
        <f xml:space="preserve"> IFERROR(($E300&gt;0)*($E300 &lt;=End_of_period) * ($G300 &gt;=Beginning_of_period) * (1-SUM($K300:CM300)) /  IFERROR((DATEDIF(Beginning_of_period,$G300,"m") + 1) / Months_in_Period,0),0)</f>
        <v>0</v>
      </c>
      <c r="CO300" s="231">
        <f xml:space="preserve"> IFERROR(($E300&gt;0)*($E300 &lt;=End_of_period) * ($G300 &gt;=Beginning_of_period) * (1-SUM($K300:CN300)) /  IFERROR((DATEDIF(Beginning_of_period,$G300,"m") + 1) / Months_in_Period,0),0)</f>
        <v>0</v>
      </c>
      <c r="CP300" s="10"/>
    </row>
    <row r="301" spans="1:94" ht="15" customHeight="1">
      <c r="A301" s="10"/>
      <c r="B301" s="3"/>
      <c r="C301" s="17" t="s">
        <v>1191</v>
      </c>
      <c r="D301" s="10"/>
      <c r="E301" s="71">
        <v>47119</v>
      </c>
      <c r="F301" s="10"/>
      <c r="G301" s="477">
        <v>47208</v>
      </c>
      <c r="H301" s="149">
        <f t="shared" si="24"/>
        <v>1</v>
      </c>
      <c r="I301" s="231">
        <f t="shared" si="25"/>
        <v>1</v>
      </c>
      <c r="J301" s="10"/>
      <c r="K301" s="10"/>
      <c r="L301" s="231">
        <f xml:space="preserve"> IFERROR(($E301&gt;0)*($E301 &lt;=End_of_period) * ($G301 &gt;=Beginning_of_period) * (1-SUM($K301:K301)) /  IFERROR((DATEDIF(Beginning_of_period,$G301,"m") + 1) / Months_in_Period,0),0)</f>
        <v>0</v>
      </c>
      <c r="M301" s="231">
        <f xml:space="preserve"> IFERROR(($E301&gt;0)*($E301 &lt;=End_of_period) * ($G301 &gt;=Beginning_of_period) * (1-SUM($K301:L301)) /  IFERROR((DATEDIF(Beginning_of_period,$G301,"m") + 1) / Months_in_Period,0),0)</f>
        <v>0</v>
      </c>
      <c r="N301" s="231">
        <f xml:space="preserve"> IFERROR(($E301&gt;0)*($E301 &lt;=End_of_period) * ($G301 &gt;=Beginning_of_period) * (1-SUM($K301:M301)) /  IFERROR((DATEDIF(Beginning_of_period,$G301,"m") + 1) / Months_in_Period,0),0)</f>
        <v>0</v>
      </c>
      <c r="O301" s="231">
        <f xml:space="preserve"> IFERROR(($E301&gt;0)*($E301 &lt;=End_of_period) * ($G301 &gt;=Beginning_of_period) * (1-SUM($K301:N301)) /  IFERROR((DATEDIF(Beginning_of_period,$G301,"m") + 1) / Months_in_Period,0),0)</f>
        <v>0</v>
      </c>
      <c r="P301" s="231">
        <f xml:space="preserve"> IFERROR(($E301&gt;0)*($E301 &lt;=End_of_period) * ($G301 &gt;=Beginning_of_period) * (1-SUM($K301:O301)) /  IFERROR((DATEDIF(Beginning_of_period,$G301,"m") + 1) / Months_in_Period,0),0)</f>
        <v>0</v>
      </c>
      <c r="Q301" s="231">
        <f xml:space="preserve"> IFERROR(($E301&gt;0)*($E301 &lt;=End_of_period) * ($G301 &gt;=Beginning_of_period) * (1-SUM($K301:P301)) /  IFERROR((DATEDIF(Beginning_of_period,$G301,"m") + 1) / Months_in_Period,0),0)</f>
        <v>0</v>
      </c>
      <c r="R301" s="231">
        <f xml:space="preserve"> IFERROR(($E301&gt;0)*($E301 &lt;=End_of_period) * ($G301 &gt;=Beginning_of_period) * (1-SUM($K301:Q301)) /  IFERROR((DATEDIF(Beginning_of_period,$G301,"m") + 1) / Months_in_Period,0),0)</f>
        <v>0</v>
      </c>
      <c r="S301" s="231">
        <f xml:space="preserve"> IFERROR(($E301&gt;0)*($E301 &lt;=End_of_period) * ($G301 &gt;=Beginning_of_period) * (1-SUM($K301:R301)) /  IFERROR((DATEDIF(Beginning_of_period,$G301,"m") + 1) / Months_in_Period,0),0)</f>
        <v>0</v>
      </c>
      <c r="T301" s="231">
        <f xml:space="preserve"> IFERROR(($E301&gt;0)*($E301 &lt;=End_of_period) * ($G301 &gt;=Beginning_of_period) * (1-SUM($K301:S301)) /  IFERROR((DATEDIF(Beginning_of_period,$G301,"m") + 1) / Months_in_Period,0),0)</f>
        <v>0</v>
      </c>
      <c r="U301" s="231">
        <f xml:space="preserve"> IFERROR(($E301&gt;0)*($E301 &lt;=End_of_period) * ($G301 &gt;=Beginning_of_period) * (1-SUM($K301:T301)) /  IFERROR((DATEDIF(Beginning_of_period,$G301,"m") + 1) / Months_in_Period,0),0)</f>
        <v>0</v>
      </c>
      <c r="V301" s="231">
        <f xml:space="preserve"> IFERROR(($E301&gt;0)*($E301 &lt;=End_of_period) * ($G301 &gt;=Beginning_of_period) * (1-SUM($K301:U301)) /  IFERROR((DATEDIF(Beginning_of_period,$G301,"m") + 1) / Months_in_Period,0),0)</f>
        <v>0</v>
      </c>
      <c r="W301" s="231">
        <f xml:space="preserve"> IFERROR(($E301&gt;0)*($E301 &lt;=End_of_period) * ($G301 &gt;=Beginning_of_period) * (1-SUM($K301:V301)) /  IFERROR((DATEDIF(Beginning_of_period,$G301,"m") + 1) / Months_in_Period,0),0)</f>
        <v>0</v>
      </c>
      <c r="X301" s="231">
        <f xml:space="preserve"> IFERROR(($E301&gt;0)*($E301 &lt;=End_of_period) * ($G301 &gt;=Beginning_of_period) * (1-SUM($K301:W301)) /  IFERROR((DATEDIF(Beginning_of_period,$G301,"m") + 1) / Months_in_Period,0),0)</f>
        <v>0</v>
      </c>
      <c r="Y301" s="231">
        <f xml:space="preserve"> IFERROR(($E301&gt;0)*($E301 &lt;=End_of_period) * ($G301 &gt;=Beginning_of_period) * (1-SUM($K301:X301)) /  IFERROR((DATEDIF(Beginning_of_period,$G301,"m") + 1) / Months_in_Period,0),0)</f>
        <v>0</v>
      </c>
      <c r="Z301" s="231">
        <f xml:space="preserve"> IFERROR(($E301&gt;0)*($E301 &lt;=End_of_period) * ($G301 &gt;=Beginning_of_period) * (1-SUM($K301:Y301)) /  IFERROR((DATEDIF(Beginning_of_period,$G301,"m") + 1) / Months_in_Period,0),0)</f>
        <v>0</v>
      </c>
      <c r="AA301" s="231">
        <f xml:space="preserve"> IFERROR(($E301&gt;0)*($E301 &lt;=End_of_period) * ($G301 &gt;=Beginning_of_period) * (1-SUM($K301:Z301)) /  IFERROR((DATEDIF(Beginning_of_period,$G301,"m") + 1) / Months_in_Period,0),0)</f>
        <v>0</v>
      </c>
      <c r="AB301" s="231">
        <f xml:space="preserve"> IFERROR(($E301&gt;0)*($E301 &lt;=End_of_period) * ($G301 &gt;=Beginning_of_period) * (1-SUM($K301:AA301)) /  IFERROR((DATEDIF(Beginning_of_period,$G301,"m") + 1) / Months_in_Period,0),0)</f>
        <v>1</v>
      </c>
      <c r="AC301" s="231">
        <f xml:space="preserve"> IFERROR(($E301&gt;0)*($E301 &lt;=End_of_period) * ($G301 &gt;=Beginning_of_period) * (1-SUM($K301:AB301)) /  IFERROR((DATEDIF(Beginning_of_period,$G301,"m") + 1) / Months_in_Period,0),0)</f>
        <v>0</v>
      </c>
      <c r="AD301" s="231">
        <f xml:space="preserve"> IFERROR(($E301&gt;0)*($E301 &lt;=End_of_period) * ($G301 &gt;=Beginning_of_period) * (1-SUM($K301:AC301)) /  IFERROR((DATEDIF(Beginning_of_period,$G301,"m") + 1) / Months_in_Period,0),0)</f>
        <v>0</v>
      </c>
      <c r="AE301" s="231">
        <f xml:space="preserve"> IFERROR(($E301&gt;0)*($E301 &lt;=End_of_period) * ($G301 &gt;=Beginning_of_period) * (1-SUM($K301:AD301)) /  IFERROR((DATEDIF(Beginning_of_period,$G301,"m") + 1) / Months_in_Period,0),0)</f>
        <v>0</v>
      </c>
      <c r="AF301" s="231">
        <f xml:space="preserve"> IFERROR(($E301&gt;0)*($E301 &lt;=End_of_period) * ($G301 &gt;=Beginning_of_period) * (1-SUM($K301:AE301)) /  IFERROR((DATEDIF(Beginning_of_period,$G301,"m") + 1) / Months_in_Period,0),0)</f>
        <v>0</v>
      </c>
      <c r="AG301" s="231">
        <f xml:space="preserve"> IFERROR(($E301&gt;0)*($E301 &lt;=End_of_period) * ($G301 &gt;=Beginning_of_period) * (1-SUM($K301:AF301)) /  IFERROR((DATEDIF(Beginning_of_period,$G301,"m") + 1) / Months_in_Period,0),0)</f>
        <v>0</v>
      </c>
      <c r="AH301" s="231">
        <f xml:space="preserve"> IFERROR(($E301&gt;0)*($E301 &lt;=End_of_period) * ($G301 &gt;=Beginning_of_period) * (1-SUM($K301:AG301)) /  IFERROR((DATEDIF(Beginning_of_period,$G301,"m") + 1) / Months_in_Period,0),0)</f>
        <v>0</v>
      </c>
      <c r="AI301" s="231">
        <f xml:space="preserve"> IFERROR(($E301&gt;0)*($E301 &lt;=End_of_period) * ($G301 &gt;=Beginning_of_period) * (1-SUM($K301:AH301)) /  IFERROR((DATEDIF(Beginning_of_period,$G301,"m") + 1) / Months_in_Period,0),0)</f>
        <v>0</v>
      </c>
      <c r="AJ301" s="231">
        <f xml:space="preserve"> IFERROR(($E301&gt;0)*($E301 &lt;=End_of_period) * ($G301 &gt;=Beginning_of_period) * (1-SUM($K301:AI301)) /  IFERROR((DATEDIF(Beginning_of_period,$G301,"m") + 1) / Months_in_Period,0),0)</f>
        <v>0</v>
      </c>
      <c r="AK301" s="231">
        <f xml:space="preserve"> IFERROR(($E301&gt;0)*($E301 &lt;=End_of_period) * ($G301 &gt;=Beginning_of_period) * (1-SUM($K301:AJ301)) /  IFERROR((DATEDIF(Beginning_of_period,$G301,"m") + 1) / Months_in_Period,0),0)</f>
        <v>0</v>
      </c>
      <c r="AL301" s="231">
        <f xml:space="preserve"> IFERROR(($E301&gt;0)*($E301 &lt;=End_of_period) * ($G301 &gt;=Beginning_of_period) * (1-SUM($K301:AK301)) /  IFERROR((DATEDIF(Beginning_of_period,$G301,"m") + 1) / Months_in_Period,0),0)</f>
        <v>0</v>
      </c>
      <c r="AM301" s="231">
        <f xml:space="preserve"> IFERROR(($E301&gt;0)*($E301 &lt;=End_of_period) * ($G301 &gt;=Beginning_of_period) * (1-SUM($K301:AL301)) /  IFERROR((DATEDIF(Beginning_of_period,$G301,"m") + 1) / Months_in_Period,0),0)</f>
        <v>0</v>
      </c>
      <c r="AN301" s="231">
        <f xml:space="preserve"> IFERROR(($E301&gt;0)*($E301 &lt;=End_of_period) * ($G301 &gt;=Beginning_of_period) * (1-SUM($K301:AM301)) /  IFERROR((DATEDIF(Beginning_of_period,$G301,"m") + 1) / Months_in_Period,0),0)</f>
        <v>0</v>
      </c>
      <c r="AO301" s="231">
        <f xml:space="preserve"> IFERROR(($E301&gt;0)*($E301 &lt;=End_of_period) * ($G301 &gt;=Beginning_of_period) * (1-SUM($K301:AN301)) /  IFERROR((DATEDIF(Beginning_of_period,$G301,"m") + 1) / Months_in_Period,0),0)</f>
        <v>0</v>
      </c>
      <c r="AP301" s="231">
        <f xml:space="preserve"> IFERROR(($E301&gt;0)*($E301 &lt;=End_of_period) * ($G301 &gt;=Beginning_of_period) * (1-SUM($K301:AO301)) /  IFERROR((DATEDIF(Beginning_of_period,$G301,"m") + 1) / Months_in_Period,0),0)</f>
        <v>0</v>
      </c>
      <c r="AQ301" s="231">
        <f xml:space="preserve"> IFERROR(($E301&gt;0)*($E301 &lt;=End_of_period) * ($G301 &gt;=Beginning_of_period) * (1-SUM($K301:AP301)) /  IFERROR((DATEDIF(Beginning_of_period,$G301,"m") + 1) / Months_in_Period,0),0)</f>
        <v>0</v>
      </c>
      <c r="AR301" s="231">
        <f xml:space="preserve"> IFERROR(($E301&gt;0)*($E301 &lt;=End_of_period) * ($G301 &gt;=Beginning_of_period) * (1-SUM($K301:AQ301)) /  IFERROR((DATEDIF(Beginning_of_period,$G301,"m") + 1) / Months_in_Period,0),0)</f>
        <v>0</v>
      </c>
      <c r="AS301" s="231">
        <f xml:space="preserve"> IFERROR(($E301&gt;0)*($E301 &lt;=End_of_period) * ($G301 &gt;=Beginning_of_period) * (1-SUM($K301:AR301)) /  IFERROR((DATEDIF(Beginning_of_period,$G301,"m") + 1) / Months_in_Period,0),0)</f>
        <v>0</v>
      </c>
      <c r="AT301" s="231">
        <f xml:space="preserve"> IFERROR(($E301&gt;0)*($E301 &lt;=End_of_period) * ($G301 &gt;=Beginning_of_period) * (1-SUM($K301:AS301)) /  IFERROR((DATEDIF(Beginning_of_period,$G301,"m") + 1) / Months_in_Period,0),0)</f>
        <v>0</v>
      </c>
      <c r="AU301" s="231">
        <f xml:space="preserve"> IFERROR(($E301&gt;0)*($E301 &lt;=End_of_period) * ($G301 &gt;=Beginning_of_period) * (1-SUM($K301:AT301)) /  IFERROR((DATEDIF(Beginning_of_period,$G301,"m") + 1) / Months_in_Period,0),0)</f>
        <v>0</v>
      </c>
      <c r="AV301" s="231">
        <f xml:space="preserve"> IFERROR(($E301&gt;0)*($E301 &lt;=End_of_period) * ($G301 &gt;=Beginning_of_period) * (1-SUM($K301:AU301)) /  IFERROR((DATEDIF(Beginning_of_period,$G301,"m") + 1) / Months_in_Period,0),0)</f>
        <v>0</v>
      </c>
      <c r="AW301" s="231">
        <f xml:space="preserve"> IFERROR(($E301&gt;0)*($E301 &lt;=End_of_period) * ($G301 &gt;=Beginning_of_period) * (1-SUM($K301:AV301)) /  IFERROR((DATEDIF(Beginning_of_period,$G301,"m") + 1) / Months_in_Period,0),0)</f>
        <v>0</v>
      </c>
      <c r="AX301" s="231">
        <f xml:space="preserve"> IFERROR(($E301&gt;0)*($E301 &lt;=End_of_period) * ($G301 &gt;=Beginning_of_period) * (1-SUM($K301:AW301)) /  IFERROR((DATEDIF(Beginning_of_period,$G301,"m") + 1) / Months_in_Period,0),0)</f>
        <v>0</v>
      </c>
      <c r="AY301" s="231">
        <f xml:space="preserve"> IFERROR(($E301&gt;0)*($E301 &lt;=End_of_period) * ($G301 &gt;=Beginning_of_period) * (1-SUM($K301:AX301)) /  IFERROR((DATEDIF(Beginning_of_period,$G301,"m") + 1) / Months_in_Period,0),0)</f>
        <v>0</v>
      </c>
      <c r="AZ301" s="231">
        <f xml:space="preserve"> IFERROR(($E301&gt;0)*($E301 &lt;=End_of_period) * ($G301 &gt;=Beginning_of_period) * (1-SUM($K301:AY301)) /  IFERROR((DATEDIF(Beginning_of_period,$G301,"m") + 1) / Months_in_Period,0),0)</f>
        <v>0</v>
      </c>
      <c r="BA301" s="231">
        <f xml:space="preserve"> IFERROR(($E301&gt;0)*($E301 &lt;=End_of_period) * ($G301 &gt;=Beginning_of_period) * (1-SUM($K301:AZ301)) /  IFERROR((DATEDIF(Beginning_of_period,$G301,"m") + 1) / Months_in_Period,0),0)</f>
        <v>0</v>
      </c>
      <c r="BB301" s="231">
        <f xml:space="preserve"> IFERROR(($E301&gt;0)*($E301 &lt;=End_of_period) * ($G301 &gt;=Beginning_of_period) * (1-SUM($K301:BA301)) /  IFERROR((DATEDIF(Beginning_of_period,$G301,"m") + 1) / Months_in_Period,0),0)</f>
        <v>0</v>
      </c>
      <c r="BC301" s="231">
        <f xml:space="preserve"> IFERROR(($E301&gt;0)*($E301 &lt;=End_of_period) * ($G301 &gt;=Beginning_of_period) * (1-SUM($K301:BB301)) /  IFERROR((DATEDIF(Beginning_of_period,$G301,"m") + 1) / Months_in_Period,0),0)</f>
        <v>0</v>
      </c>
      <c r="BD301" s="231">
        <f xml:space="preserve"> IFERROR(($E301&gt;0)*($E301 &lt;=End_of_period) * ($G301 &gt;=Beginning_of_period) * (1-SUM($K301:BC301)) /  IFERROR((DATEDIF(Beginning_of_period,$G301,"m") + 1) / Months_in_Period,0),0)</f>
        <v>0</v>
      </c>
      <c r="BE301" s="231">
        <f xml:space="preserve"> IFERROR(($E301&gt;0)*($E301 &lt;=End_of_period) * ($G301 &gt;=Beginning_of_period) * (1-SUM($K301:BD301)) /  IFERROR((DATEDIF(Beginning_of_period,$G301,"m") + 1) / Months_in_Period,0),0)</f>
        <v>0</v>
      </c>
      <c r="BF301" s="231">
        <f xml:space="preserve"> IFERROR(($E301&gt;0)*($E301 &lt;=End_of_period) * ($G301 &gt;=Beginning_of_period) * (1-SUM($K301:BE301)) /  IFERROR((DATEDIF(Beginning_of_period,$G301,"m") + 1) / Months_in_Period,0),0)</f>
        <v>0</v>
      </c>
      <c r="BG301" s="231">
        <f xml:space="preserve"> IFERROR(($E301&gt;0)*($E301 &lt;=End_of_period) * ($G301 &gt;=Beginning_of_period) * (1-SUM($K301:BF301)) /  IFERROR((DATEDIF(Beginning_of_period,$G301,"m") + 1) / Months_in_Period,0),0)</f>
        <v>0</v>
      </c>
      <c r="BH301" s="231">
        <f xml:space="preserve"> IFERROR(($E301&gt;0)*($E301 &lt;=End_of_period) * ($G301 &gt;=Beginning_of_period) * (1-SUM($K301:BG301)) /  IFERROR((DATEDIF(Beginning_of_period,$G301,"m") + 1) / Months_in_Period,0),0)</f>
        <v>0</v>
      </c>
      <c r="BI301" s="231">
        <f xml:space="preserve"> IFERROR(($E301&gt;0)*($E301 &lt;=End_of_period) * ($G301 &gt;=Beginning_of_period) * (1-SUM($K301:BH301)) /  IFERROR((DATEDIF(Beginning_of_period,$G301,"m") + 1) / Months_in_Period,0),0)</f>
        <v>0</v>
      </c>
      <c r="BJ301" s="231">
        <f xml:space="preserve"> IFERROR(($E301&gt;0)*($E301 &lt;=End_of_period) * ($G301 &gt;=Beginning_of_period) * (1-SUM($K301:BI301)) /  IFERROR((DATEDIF(Beginning_of_period,$G301,"m") + 1) / Months_in_Period,0),0)</f>
        <v>0</v>
      </c>
      <c r="BK301" s="231">
        <f xml:space="preserve"> IFERROR(($E301&gt;0)*($E301 &lt;=End_of_period) * ($G301 &gt;=Beginning_of_period) * (1-SUM($K301:BJ301)) /  IFERROR((DATEDIF(Beginning_of_period,$G301,"m") + 1) / Months_in_Period,0),0)</f>
        <v>0</v>
      </c>
      <c r="BL301" s="231">
        <f xml:space="preserve"> IFERROR(($E301&gt;0)*($E301 &lt;=End_of_period) * ($G301 &gt;=Beginning_of_period) * (1-SUM($K301:BK301)) /  IFERROR((DATEDIF(Beginning_of_period,$G301,"m") + 1) / Months_in_Period,0),0)</f>
        <v>0</v>
      </c>
      <c r="BM301" s="231">
        <f xml:space="preserve"> IFERROR(($E301&gt;0)*($E301 &lt;=End_of_period) * ($G301 &gt;=Beginning_of_period) * (1-SUM($K301:BL301)) /  IFERROR((DATEDIF(Beginning_of_period,$G301,"m") + 1) / Months_in_Period,0),0)</f>
        <v>0</v>
      </c>
      <c r="BN301" s="231">
        <f xml:space="preserve"> IFERROR(($E301&gt;0)*($E301 &lt;=End_of_period) * ($G301 &gt;=Beginning_of_period) * (1-SUM($K301:BM301)) /  IFERROR((DATEDIF(Beginning_of_period,$G301,"m") + 1) / Months_in_Period,0),0)</f>
        <v>0</v>
      </c>
      <c r="BO301" s="231">
        <f xml:space="preserve"> IFERROR(($E301&gt;0)*($E301 &lt;=End_of_period) * ($G301 &gt;=Beginning_of_period) * (1-SUM($K301:BN301)) /  IFERROR((DATEDIF(Beginning_of_period,$G301,"m") + 1) / Months_in_Period,0),0)</f>
        <v>0</v>
      </c>
      <c r="BP301" s="231">
        <f xml:space="preserve"> IFERROR(($E301&gt;0)*($E301 &lt;=End_of_period) * ($G301 &gt;=Beginning_of_period) * (1-SUM($K301:BO301)) /  IFERROR((DATEDIF(Beginning_of_period,$G301,"m") + 1) / Months_in_Period,0),0)</f>
        <v>0</v>
      </c>
      <c r="BQ301" s="231">
        <f xml:space="preserve"> IFERROR(($E301&gt;0)*($E301 &lt;=End_of_period) * ($G301 &gt;=Beginning_of_period) * (1-SUM($K301:BP301)) /  IFERROR((DATEDIF(Beginning_of_period,$G301,"m") + 1) / Months_in_Period,0),0)</f>
        <v>0</v>
      </c>
      <c r="BR301" s="231">
        <f xml:space="preserve"> IFERROR(($E301&gt;0)*($E301 &lt;=End_of_period) * ($G301 &gt;=Beginning_of_period) * (1-SUM($K301:BQ301)) /  IFERROR((DATEDIF(Beginning_of_period,$G301,"m") + 1) / Months_in_Period,0),0)</f>
        <v>0</v>
      </c>
      <c r="BS301" s="231">
        <f xml:space="preserve"> IFERROR(($E301&gt;0)*($E301 &lt;=End_of_period) * ($G301 &gt;=Beginning_of_period) * (1-SUM($K301:BR301)) /  IFERROR((DATEDIF(Beginning_of_period,$G301,"m") + 1) / Months_in_Period,0),0)</f>
        <v>0</v>
      </c>
      <c r="BT301" s="231">
        <f xml:space="preserve"> IFERROR(($E301&gt;0)*($E301 &lt;=End_of_period) * ($G301 &gt;=Beginning_of_period) * (1-SUM($K301:BS301)) /  IFERROR((DATEDIF(Beginning_of_period,$G301,"m") + 1) / Months_in_Period,0),0)</f>
        <v>0</v>
      </c>
      <c r="BU301" s="231">
        <f xml:space="preserve"> IFERROR(($E301&gt;0)*($E301 &lt;=End_of_period) * ($G301 &gt;=Beginning_of_period) * (1-SUM($K301:BT301)) /  IFERROR((DATEDIF(Beginning_of_period,$G301,"m") + 1) / Months_in_Period,0),0)</f>
        <v>0</v>
      </c>
      <c r="BV301" s="231">
        <f xml:space="preserve"> IFERROR(($E301&gt;0)*($E301 &lt;=End_of_period) * ($G301 &gt;=Beginning_of_period) * (1-SUM($K301:BU301)) /  IFERROR((DATEDIF(Beginning_of_period,$G301,"m") + 1) / Months_in_Period,0),0)</f>
        <v>0</v>
      </c>
      <c r="BW301" s="231">
        <f xml:space="preserve"> IFERROR(($E301&gt;0)*($E301 &lt;=End_of_period) * ($G301 &gt;=Beginning_of_period) * (1-SUM($K301:BV301)) /  IFERROR((DATEDIF(Beginning_of_period,$G301,"m") + 1) / Months_in_Period,0),0)</f>
        <v>0</v>
      </c>
      <c r="BX301" s="231">
        <f xml:space="preserve"> IFERROR(($E301&gt;0)*($E301 &lt;=End_of_period) * ($G301 &gt;=Beginning_of_period) * (1-SUM($K301:BW301)) /  IFERROR((DATEDIF(Beginning_of_period,$G301,"m") + 1) / Months_in_Period,0),0)</f>
        <v>0</v>
      </c>
      <c r="BY301" s="231">
        <f xml:space="preserve"> IFERROR(($E301&gt;0)*($E301 &lt;=End_of_period) * ($G301 &gt;=Beginning_of_period) * (1-SUM($K301:BX301)) /  IFERROR((DATEDIF(Beginning_of_period,$G301,"m") + 1) / Months_in_Period,0),0)</f>
        <v>0</v>
      </c>
      <c r="BZ301" s="231">
        <f xml:space="preserve"> IFERROR(($E301&gt;0)*($E301 &lt;=End_of_period) * ($G301 &gt;=Beginning_of_period) * (1-SUM($K301:BY301)) /  IFERROR((DATEDIF(Beginning_of_period,$G301,"m") + 1) / Months_in_Period,0),0)</f>
        <v>0</v>
      </c>
      <c r="CA301" s="231">
        <f xml:space="preserve"> IFERROR(($E301&gt;0)*($E301 &lt;=End_of_period) * ($G301 &gt;=Beginning_of_period) * (1-SUM($K301:BZ301)) /  IFERROR((DATEDIF(Beginning_of_period,$G301,"m") + 1) / Months_in_Period,0),0)</f>
        <v>0</v>
      </c>
      <c r="CB301" s="231">
        <f xml:space="preserve"> IFERROR(($E301&gt;0)*($E301 &lt;=End_of_period) * ($G301 &gt;=Beginning_of_period) * (1-SUM($K301:CA301)) /  IFERROR((DATEDIF(Beginning_of_period,$G301,"m") + 1) / Months_in_Period,0),0)</f>
        <v>0</v>
      </c>
      <c r="CC301" s="231">
        <f xml:space="preserve"> IFERROR(($E301&gt;0)*($E301 &lt;=End_of_period) * ($G301 &gt;=Beginning_of_period) * (1-SUM($K301:CB301)) /  IFERROR((DATEDIF(Beginning_of_period,$G301,"m") + 1) / Months_in_Period,0),0)</f>
        <v>0</v>
      </c>
      <c r="CD301" s="231">
        <f xml:space="preserve"> IFERROR(($E301&gt;0)*($E301 &lt;=End_of_period) * ($G301 &gt;=Beginning_of_period) * (1-SUM($K301:CC301)) /  IFERROR((DATEDIF(Beginning_of_period,$G301,"m") + 1) / Months_in_Period,0),0)</f>
        <v>0</v>
      </c>
      <c r="CE301" s="231">
        <f xml:space="preserve"> IFERROR(($E301&gt;0)*($E301 &lt;=End_of_period) * ($G301 &gt;=Beginning_of_period) * (1-SUM($K301:CD301)) /  IFERROR((DATEDIF(Beginning_of_period,$G301,"m") + 1) / Months_in_Period,0),0)</f>
        <v>0</v>
      </c>
      <c r="CF301" s="231">
        <f xml:space="preserve"> IFERROR(($E301&gt;0)*($E301 &lt;=End_of_period) * ($G301 &gt;=Beginning_of_period) * (1-SUM($K301:CE301)) /  IFERROR((DATEDIF(Beginning_of_period,$G301,"m") + 1) / Months_in_Period,0),0)</f>
        <v>0</v>
      </c>
      <c r="CG301" s="231">
        <f xml:space="preserve"> IFERROR(($E301&gt;0)*($E301 &lt;=End_of_period) * ($G301 &gt;=Beginning_of_period) * (1-SUM($K301:CF301)) /  IFERROR((DATEDIF(Beginning_of_period,$G301,"m") + 1) / Months_in_Period,0),0)</f>
        <v>0</v>
      </c>
      <c r="CH301" s="231">
        <f xml:space="preserve"> IFERROR(($E301&gt;0)*($E301 &lt;=End_of_period) * ($G301 &gt;=Beginning_of_period) * (1-SUM($K301:CG301)) /  IFERROR((DATEDIF(Beginning_of_period,$G301,"m") + 1) / Months_in_Period,0),0)</f>
        <v>0</v>
      </c>
      <c r="CI301" s="231">
        <f xml:space="preserve"> IFERROR(($E301&gt;0)*($E301 &lt;=End_of_period) * ($G301 &gt;=Beginning_of_period) * (1-SUM($K301:CH301)) /  IFERROR((DATEDIF(Beginning_of_period,$G301,"m") + 1) / Months_in_Period,0),0)</f>
        <v>0</v>
      </c>
      <c r="CJ301" s="231">
        <f xml:space="preserve"> IFERROR(($E301&gt;0)*($E301 &lt;=End_of_period) * ($G301 &gt;=Beginning_of_period) * (1-SUM($K301:CI301)) /  IFERROR((DATEDIF(Beginning_of_period,$G301,"m") + 1) / Months_in_Period,0),0)</f>
        <v>0</v>
      </c>
      <c r="CK301" s="231">
        <f xml:space="preserve"> IFERROR(($E301&gt;0)*($E301 &lt;=End_of_period) * ($G301 &gt;=Beginning_of_period) * (1-SUM($K301:CJ301)) /  IFERROR((DATEDIF(Beginning_of_period,$G301,"m") + 1) / Months_in_Period,0),0)</f>
        <v>0</v>
      </c>
      <c r="CL301" s="231">
        <f xml:space="preserve"> IFERROR(($E301&gt;0)*($E301 &lt;=End_of_period) * ($G301 &gt;=Beginning_of_period) * (1-SUM($K301:CK301)) /  IFERROR((DATEDIF(Beginning_of_period,$G301,"m") + 1) / Months_in_Period,0),0)</f>
        <v>0</v>
      </c>
      <c r="CM301" s="231">
        <f xml:space="preserve"> IFERROR(($E301&gt;0)*($E301 &lt;=End_of_period) * ($G301 &gt;=Beginning_of_period) * (1-SUM($K301:CL301)) /  IFERROR((DATEDIF(Beginning_of_period,$G301,"m") + 1) / Months_in_Period,0),0)</f>
        <v>0</v>
      </c>
      <c r="CN301" s="231">
        <f xml:space="preserve"> IFERROR(($E301&gt;0)*($E301 &lt;=End_of_period) * ($G301 &gt;=Beginning_of_period) * (1-SUM($K301:CM301)) /  IFERROR((DATEDIF(Beginning_of_period,$G301,"m") + 1) / Months_in_Period,0),0)</f>
        <v>0</v>
      </c>
      <c r="CO301" s="231">
        <f xml:space="preserve"> IFERROR(($E301&gt;0)*($E301 &lt;=End_of_period) * ($G301 &gt;=Beginning_of_period) * (1-SUM($K301:CN301)) /  IFERROR((DATEDIF(Beginning_of_period,$G301,"m") + 1) / Months_in_Period,0),0)</f>
        <v>0</v>
      </c>
      <c r="CP301" s="10"/>
    </row>
    <row r="302" spans="1:94" ht="15" customHeight="1">
      <c r="A302" s="10"/>
      <c r="B302" s="3"/>
      <c r="C302" s="17"/>
      <c r="D302" s="10"/>
      <c r="E302" s="10"/>
      <c r="F302" s="10"/>
      <c r="G302" s="11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  <c r="CG302" s="10"/>
      <c r="CH302" s="10"/>
      <c r="CI302" s="10"/>
      <c r="CJ302" s="10"/>
      <c r="CK302" s="10"/>
      <c r="CL302" s="10"/>
      <c r="CM302" s="10"/>
      <c r="CN302" s="10"/>
      <c r="CO302" s="10"/>
      <c r="CP302" s="10"/>
    </row>
    <row r="303" spans="1:94" ht="15" hidden="1" customHeight="1">
      <c r="A303" s="10"/>
      <c r="B303" s="3"/>
      <c r="C303" s="382" t="str">
        <f xml:space="preserve"> "Сегмент 2: " &amp; C134</f>
        <v>Сегмент 2: Развлекательный комплекс</v>
      </c>
      <c r="D303" s="271"/>
      <c r="E303" s="271"/>
      <c r="F303" s="271"/>
      <c r="G303" s="272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  <c r="CA303" s="271"/>
      <c r="CB303" s="271"/>
      <c r="CC303" s="271"/>
      <c r="CD303" s="271"/>
      <c r="CE303" s="271"/>
      <c r="CF303" s="271"/>
      <c r="CG303" s="271"/>
      <c r="CH303" s="271"/>
      <c r="CI303" s="271"/>
      <c r="CJ303" s="271"/>
      <c r="CK303" s="271"/>
      <c r="CL303" s="271"/>
      <c r="CM303" s="271"/>
      <c r="CN303" s="271"/>
      <c r="CO303" s="271"/>
      <c r="CP303" s="10"/>
    </row>
    <row r="304" spans="1:94" ht="15" hidden="1" customHeight="1">
      <c r="A304" s="10"/>
      <c r="B304" s="3"/>
      <c r="C304" s="17"/>
      <c r="D304" s="10"/>
      <c r="E304" s="10"/>
      <c r="F304" s="10"/>
      <c r="G304" s="11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</row>
    <row r="305" spans="1:94" ht="15" hidden="1" customHeight="1" thickBot="1">
      <c r="A305" s="10"/>
      <c r="B305" s="3"/>
      <c r="C305" s="12" t="str">
        <f xml:space="preserve"> "Расходы на создание " &amp; Контр_панель!C31 &amp; " (в базовых ценах, без НДС)"</f>
        <v>Расходы на создание Развлекательный комплекс (в базовых ценах, без НДС)</v>
      </c>
      <c r="D305" s="12"/>
      <c r="E305" s="12"/>
      <c r="F305" s="12"/>
      <c r="G305" s="12"/>
      <c r="H305" s="12"/>
      <c r="I305" s="12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  <c r="CG305" s="10"/>
      <c r="CH305" s="10"/>
      <c r="CI305" s="10"/>
      <c r="CJ305" s="10"/>
      <c r="CK305" s="10"/>
      <c r="CL305" s="10"/>
      <c r="CM305" s="10"/>
      <c r="CN305" s="10"/>
      <c r="CO305" s="10"/>
      <c r="CP305" s="10"/>
    </row>
    <row r="306" spans="1:94" ht="15" hidden="1" customHeight="1">
      <c r="A306" s="10"/>
      <c r="B306" s="3"/>
      <c r="C306" s="17"/>
      <c r="D306" s="10"/>
      <c r="E306" s="10"/>
      <c r="F306" s="10"/>
      <c r="G306" s="11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  <c r="CG306" s="10"/>
      <c r="CH306" s="10"/>
      <c r="CI306" s="10"/>
      <c r="CJ306" s="10"/>
      <c r="CK306" s="10"/>
      <c r="CL306" s="10"/>
      <c r="CM306" s="10"/>
      <c r="CN306" s="10"/>
      <c r="CO306" s="10"/>
      <c r="CP306" s="10"/>
    </row>
    <row r="307" spans="1:94" ht="15" hidden="1" customHeight="1">
      <c r="A307" s="10"/>
      <c r="B307" s="3"/>
      <c r="C307" s="67" t="s">
        <v>823</v>
      </c>
      <c r="D307" s="10"/>
      <c r="E307" s="10"/>
      <c r="F307" s="10"/>
      <c r="G307" s="11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  <c r="CG307" s="10"/>
      <c r="CH307" s="10"/>
      <c r="CI307" s="10"/>
      <c r="CJ307" s="10"/>
      <c r="CK307" s="10"/>
      <c r="CL307" s="10"/>
      <c r="CM307" s="10"/>
      <c r="CN307" s="10"/>
      <c r="CO307" s="10"/>
      <c r="CP307" s="10"/>
    </row>
    <row r="308" spans="1:94" ht="15" hidden="1" customHeight="1">
      <c r="A308" s="10"/>
      <c r="B308" s="3"/>
      <c r="C308" s="17" t="s">
        <v>1219</v>
      </c>
      <c r="D308" s="10"/>
      <c r="E308" s="14">
        <v>120</v>
      </c>
      <c r="F308" s="10"/>
      <c r="G308" s="11" t="s">
        <v>830</v>
      </c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  <c r="CP308" s="10"/>
    </row>
    <row r="309" spans="1:94" ht="15" hidden="1" customHeight="1">
      <c r="A309" s="10"/>
      <c r="B309" s="3"/>
      <c r="C309" s="17" t="s">
        <v>1220</v>
      </c>
      <c r="D309" s="10"/>
      <c r="E309" s="225">
        <f xml:space="preserve"> E138</f>
        <v>0</v>
      </c>
      <c r="F309" s="10"/>
      <c r="G309" s="11" t="s">
        <v>829</v>
      </c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</row>
    <row r="310" spans="1:94" ht="15" hidden="1" customHeight="1">
      <c r="A310" s="10"/>
      <c r="B310" s="3"/>
      <c r="C310" s="17" t="s">
        <v>1221</v>
      </c>
      <c r="D310" s="10"/>
      <c r="E310" s="14">
        <v>120</v>
      </c>
      <c r="F310" s="10"/>
      <c r="G310" s="11" t="s">
        <v>793</v>
      </c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  <c r="CG310" s="10"/>
      <c r="CH310" s="10"/>
      <c r="CI310" s="10"/>
      <c r="CJ310" s="10"/>
      <c r="CK310" s="10"/>
      <c r="CL310" s="10"/>
      <c r="CM310" s="10"/>
      <c r="CN310" s="10"/>
      <c r="CO310" s="10"/>
      <c r="CP310" s="10"/>
    </row>
    <row r="311" spans="1:94" ht="15" hidden="1" customHeight="1">
      <c r="A311" s="10"/>
      <c r="B311" s="3"/>
      <c r="C311" s="17" t="s">
        <v>1220</v>
      </c>
      <c r="D311" s="10"/>
      <c r="E311" s="225">
        <f xml:space="preserve"> E139</f>
        <v>0</v>
      </c>
      <c r="F311" s="10"/>
      <c r="G311" s="11" t="s">
        <v>790</v>
      </c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  <c r="CG311" s="10"/>
      <c r="CH311" s="10"/>
      <c r="CI311" s="10"/>
      <c r="CJ311" s="10"/>
      <c r="CK311" s="10"/>
      <c r="CL311" s="10"/>
      <c r="CM311" s="10"/>
      <c r="CN311" s="10"/>
      <c r="CO311" s="10"/>
      <c r="CP311" s="10"/>
    </row>
    <row r="312" spans="1:94" ht="15" hidden="1" customHeight="1">
      <c r="A312" s="10"/>
      <c r="B312" s="3"/>
      <c r="C312" s="17" t="s">
        <v>1222</v>
      </c>
      <c r="D312" s="10"/>
      <c r="E312" s="14">
        <v>50</v>
      </c>
      <c r="F312" s="10"/>
      <c r="G312" s="11" t="s">
        <v>793</v>
      </c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  <c r="CG312" s="10"/>
      <c r="CH312" s="10"/>
      <c r="CI312" s="10"/>
      <c r="CJ312" s="10"/>
      <c r="CK312" s="10"/>
      <c r="CL312" s="10"/>
      <c r="CM312" s="10"/>
      <c r="CN312" s="10"/>
      <c r="CO312" s="10"/>
      <c r="CP312" s="10"/>
    </row>
    <row r="313" spans="1:94" ht="15" hidden="1" customHeight="1">
      <c r="A313" s="10"/>
      <c r="B313" s="3"/>
      <c r="C313" s="17" t="s">
        <v>1220</v>
      </c>
      <c r="D313" s="10"/>
      <c r="E313" s="225">
        <f xml:space="preserve"> E140</f>
        <v>0</v>
      </c>
      <c r="F313" s="10"/>
      <c r="G313" s="11" t="s">
        <v>790</v>
      </c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  <c r="CG313" s="10"/>
      <c r="CH313" s="10"/>
      <c r="CI313" s="10"/>
      <c r="CJ313" s="10"/>
      <c r="CK313" s="10"/>
      <c r="CL313" s="10"/>
      <c r="CM313" s="10"/>
      <c r="CN313" s="10"/>
      <c r="CO313" s="10"/>
      <c r="CP313" s="10"/>
    </row>
    <row r="314" spans="1:94" ht="15" hidden="1" customHeight="1">
      <c r="A314" s="10"/>
      <c r="B314" s="3"/>
      <c r="C314" s="248" t="s">
        <v>818</v>
      </c>
      <c r="D314" s="228"/>
      <c r="E314" s="229">
        <f xml:space="preserve"> E308*E309 + E310 * E311 + E312 * E313</f>
        <v>0</v>
      </c>
      <c r="F314" s="228"/>
      <c r="G314" s="230" t="str">
        <f>Monetary_Unit</f>
        <v>тыс. руб.</v>
      </c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</row>
    <row r="315" spans="1:94" ht="15" hidden="1" customHeight="1">
      <c r="A315" s="10"/>
      <c r="B315" s="3"/>
      <c r="C315" s="17"/>
      <c r="D315" s="10"/>
      <c r="E315" s="10"/>
      <c r="F315" s="10"/>
      <c r="G315" s="11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  <c r="CG315" s="10"/>
      <c r="CH315" s="10"/>
      <c r="CI315" s="10"/>
      <c r="CJ315" s="10"/>
      <c r="CK315" s="10"/>
      <c r="CL315" s="10"/>
      <c r="CM315" s="10"/>
      <c r="CN315" s="10"/>
      <c r="CO315" s="10"/>
      <c r="CP315" s="10"/>
    </row>
    <row r="316" spans="1:94" ht="15" hidden="1" customHeight="1">
      <c r="A316" s="10"/>
      <c r="B316" s="3"/>
      <c r="C316" s="67" t="s">
        <v>810</v>
      </c>
      <c r="D316" s="10"/>
      <c r="E316" s="10"/>
      <c r="F316" s="10"/>
      <c r="G316" s="11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  <c r="CG316" s="10"/>
      <c r="CH316" s="10"/>
      <c r="CI316" s="10"/>
      <c r="CJ316" s="10"/>
      <c r="CK316" s="10"/>
      <c r="CL316" s="10"/>
      <c r="CM316" s="10"/>
      <c r="CN316" s="10"/>
      <c r="CO316" s="10"/>
      <c r="CP316" s="10"/>
    </row>
    <row r="317" spans="1:94" ht="15" hidden="1" customHeight="1">
      <c r="A317" s="10"/>
      <c r="B317" s="3"/>
      <c r="C317" s="17" t="s">
        <v>815</v>
      </c>
      <c r="D317" s="10"/>
      <c r="E317" s="167">
        <v>0.04</v>
      </c>
      <c r="F317" s="10"/>
      <c r="G317" s="11" t="s">
        <v>625</v>
      </c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  <c r="CP317" s="10"/>
    </row>
    <row r="318" spans="1:94" ht="15" hidden="1" customHeight="1">
      <c r="A318" s="10"/>
      <c r="B318" s="3"/>
      <c r="C318" s="17" t="s">
        <v>822</v>
      </c>
      <c r="D318" s="10"/>
      <c r="E318" s="167">
        <v>0</v>
      </c>
      <c r="F318" s="10"/>
      <c r="G318" s="11" t="s">
        <v>625</v>
      </c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  <c r="CG318" s="10"/>
      <c r="CH318" s="10"/>
      <c r="CI318" s="10"/>
      <c r="CJ318" s="10"/>
      <c r="CK318" s="10"/>
      <c r="CL318" s="10"/>
      <c r="CM318" s="10"/>
      <c r="CN318" s="10"/>
      <c r="CO318" s="10"/>
      <c r="CP318" s="10"/>
    </row>
    <row r="319" spans="1:94" ht="15" hidden="1" customHeight="1">
      <c r="A319" s="10"/>
      <c r="B319" s="3"/>
      <c r="C319" s="17" t="s">
        <v>797</v>
      </c>
      <c r="D319" s="10"/>
      <c r="E319" s="167">
        <v>0.01</v>
      </c>
      <c r="F319" s="10"/>
      <c r="G319" s="11" t="s">
        <v>625</v>
      </c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</row>
    <row r="320" spans="1:94" ht="15" hidden="1" customHeight="1">
      <c r="A320" s="10"/>
      <c r="B320" s="3"/>
      <c r="C320" s="17"/>
      <c r="D320" s="10"/>
      <c r="E320" s="10"/>
      <c r="F320" s="10"/>
      <c r="G320" s="11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  <c r="CG320" s="10"/>
      <c r="CH320" s="10"/>
      <c r="CI320" s="10"/>
      <c r="CJ320" s="10"/>
      <c r="CK320" s="10"/>
      <c r="CL320" s="10"/>
      <c r="CM320" s="10"/>
      <c r="CN320" s="10"/>
      <c r="CO320" s="10"/>
      <c r="CP320" s="10"/>
    </row>
    <row r="321" spans="1:94" ht="15" hidden="1" customHeight="1">
      <c r="A321" s="10"/>
      <c r="B321" s="3"/>
      <c r="C321" s="67" t="s">
        <v>811</v>
      </c>
      <c r="D321" s="10"/>
      <c r="E321" s="10" t="str">
        <f>"текушие цены на " &amp; TEXT(Расчеты!$E$85-1,"ДД.ММ.ГГГГ")</f>
        <v>текушие цены на 31.12.2024</v>
      </c>
      <c r="F321" s="10"/>
      <c r="G321" s="11"/>
      <c r="H321" s="10" t="s">
        <v>1176</v>
      </c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  <c r="CG321" s="10"/>
      <c r="CH321" s="10"/>
      <c r="CI321" s="10"/>
      <c r="CJ321" s="10"/>
      <c r="CK321" s="10"/>
      <c r="CL321" s="10"/>
      <c r="CM321" s="10"/>
      <c r="CN321" s="10"/>
      <c r="CO321" s="10"/>
      <c r="CP321" s="10"/>
    </row>
    <row r="322" spans="1:94" ht="15" hidden="1" customHeight="1">
      <c r="A322" s="10"/>
      <c r="B322" s="3"/>
      <c r="C322" s="17" t="s">
        <v>630</v>
      </c>
      <c r="D322" s="10"/>
      <c r="E322" s="225">
        <f xml:space="preserve"> E314 * E317</f>
        <v>0</v>
      </c>
      <c r="F322" s="10"/>
      <c r="G322" s="11" t="str">
        <f>Monetary_Unit</f>
        <v>тыс. руб.</v>
      </c>
      <c r="H322" s="10">
        <f ca="1">E322*SUMPRODUCT(L329:CO329,CAPEX_Accumulated_From_Date)</f>
        <v>0</v>
      </c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  <c r="CG322" s="10"/>
      <c r="CH322" s="10"/>
      <c r="CI322" s="10"/>
      <c r="CJ322" s="10"/>
      <c r="CK322" s="10"/>
      <c r="CL322" s="10"/>
      <c r="CM322" s="10"/>
      <c r="CN322" s="10"/>
      <c r="CO322" s="10"/>
      <c r="CP322" s="10"/>
    </row>
    <row r="323" spans="1:94" ht="15" hidden="1" customHeight="1">
      <c r="A323" s="10"/>
      <c r="B323" s="3"/>
      <c r="C323" s="17" t="s">
        <v>632</v>
      </c>
      <c r="D323" s="10"/>
      <c r="E323" s="225">
        <f xml:space="preserve"> E314 * E318</f>
        <v>0</v>
      </c>
      <c r="F323" s="10"/>
      <c r="G323" s="11" t="str">
        <f>Monetary_Unit</f>
        <v>тыс. руб.</v>
      </c>
      <c r="H323" s="10">
        <f ca="1">E323*SUMPRODUCT(L330:CO330,CAPEX_Accumulated_From_Date)</f>
        <v>0</v>
      </c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  <c r="CG323" s="10"/>
      <c r="CH323" s="10"/>
      <c r="CI323" s="10"/>
      <c r="CJ323" s="10"/>
      <c r="CK323" s="10"/>
      <c r="CL323" s="10"/>
      <c r="CM323" s="10"/>
      <c r="CN323" s="10"/>
      <c r="CO323" s="10"/>
      <c r="CP323" s="10"/>
    </row>
    <row r="324" spans="1:94" ht="15" hidden="1" customHeight="1">
      <c r="A324" s="10"/>
      <c r="B324" s="3"/>
      <c r="C324" s="17" t="s">
        <v>821</v>
      </c>
      <c r="D324" s="10"/>
      <c r="E324" s="225">
        <f xml:space="preserve"> E314</f>
        <v>0</v>
      </c>
      <c r="F324" s="10"/>
      <c r="G324" s="11" t="str">
        <f>Monetary_Unit</f>
        <v>тыс. руб.</v>
      </c>
      <c r="H324" s="10">
        <f ca="1">E324*SUMPRODUCT(L331:CO331,CAPEX_Accumulated_From_Date)</f>
        <v>0</v>
      </c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</row>
    <row r="325" spans="1:94" ht="15" hidden="1" customHeight="1">
      <c r="A325" s="10"/>
      <c r="B325" s="3"/>
      <c r="C325" s="17" t="s">
        <v>797</v>
      </c>
      <c r="D325" s="10"/>
      <c r="E325" s="225">
        <f xml:space="preserve"> E324 * $E319</f>
        <v>0</v>
      </c>
      <c r="F325" s="10"/>
      <c r="G325" s="11" t="str">
        <f>Monetary_Unit</f>
        <v>тыс. руб.</v>
      </c>
      <c r="H325" s="10">
        <f ca="1" xml:space="preserve"> H324 * $E319</f>
        <v>0</v>
      </c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  <c r="CG325" s="10"/>
      <c r="CH325" s="10"/>
      <c r="CI325" s="10"/>
      <c r="CJ325" s="10"/>
      <c r="CK325" s="10"/>
      <c r="CL325" s="10"/>
      <c r="CM325" s="10"/>
      <c r="CN325" s="10"/>
      <c r="CO325" s="10"/>
      <c r="CP325" s="10"/>
    </row>
    <row r="326" spans="1:94" ht="15" hidden="1" customHeight="1">
      <c r="A326" s="10"/>
      <c r="B326" s="3"/>
      <c r="C326" s="248" t="s">
        <v>828</v>
      </c>
      <c r="D326" s="228"/>
      <c r="E326" s="229">
        <f>SUM(E322:E325)</f>
        <v>0</v>
      </c>
      <c r="F326" s="228"/>
      <c r="G326" s="230" t="str">
        <f>Monetary_Unit</f>
        <v>тыс. руб.</v>
      </c>
      <c r="H326" s="229">
        <f ca="1">SUM(H322:H325)</f>
        <v>0</v>
      </c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  <c r="CG326" s="10"/>
      <c r="CH326" s="10"/>
      <c r="CI326" s="10"/>
      <c r="CJ326" s="10"/>
      <c r="CK326" s="10"/>
      <c r="CL326" s="10"/>
      <c r="CM326" s="10"/>
      <c r="CN326" s="10"/>
      <c r="CO326" s="10"/>
      <c r="CP326" s="10"/>
    </row>
    <row r="327" spans="1:94" ht="15" hidden="1" customHeight="1">
      <c r="A327" s="10"/>
      <c r="B327" s="3"/>
      <c r="C327" s="17"/>
      <c r="D327" s="10"/>
      <c r="E327" s="10"/>
      <c r="F327" s="10"/>
      <c r="G327" s="11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  <c r="CG327" s="10"/>
      <c r="CH327" s="10"/>
      <c r="CI327" s="10"/>
      <c r="CJ327" s="10"/>
      <c r="CK327" s="10"/>
      <c r="CL327" s="10"/>
      <c r="CM327" s="10"/>
      <c r="CN327" s="10"/>
      <c r="CO327" s="10"/>
      <c r="CP327" s="10"/>
    </row>
    <row r="328" spans="1:94" ht="15" hidden="1" customHeight="1">
      <c r="A328" s="10"/>
      <c r="B328" s="3"/>
      <c r="C328" s="67" t="s">
        <v>825</v>
      </c>
      <c r="D328" s="10"/>
      <c r="E328" s="10" t="s">
        <v>635</v>
      </c>
      <c r="F328" s="10"/>
      <c r="G328" s="11" t="s">
        <v>636</v>
      </c>
      <c r="H328" s="62" t="s">
        <v>648</v>
      </c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  <c r="CG328" s="10"/>
      <c r="CH328" s="10"/>
      <c r="CI328" s="10"/>
      <c r="CJ328" s="10"/>
      <c r="CK328" s="10"/>
      <c r="CL328" s="10"/>
      <c r="CM328" s="10"/>
      <c r="CN328" s="10"/>
      <c r="CO328" s="10"/>
      <c r="CP328" s="10"/>
    </row>
    <row r="329" spans="1:94" ht="15" hidden="1" customHeight="1">
      <c r="A329" s="10"/>
      <c r="B329" s="3"/>
      <c r="C329" s="17" t="s">
        <v>630</v>
      </c>
      <c r="D329" s="10"/>
      <c r="E329" s="71">
        <v>45839</v>
      </c>
      <c r="F329" s="10"/>
      <c r="G329" s="477">
        <v>46022</v>
      </c>
      <c r="H329" s="149">
        <f xml:space="preserve"> IFERROR((DATEDIF(E329,G329,"m") + 1) / Months_in_Period,0)</f>
        <v>2</v>
      </c>
      <c r="I329" s="231">
        <f>IF(SUM(L329:CO329)=0,1,SUM(L329:CO329))</f>
        <v>1</v>
      </c>
      <c r="J329" s="10"/>
      <c r="K329" s="10"/>
      <c r="L329" s="231">
        <f xml:space="preserve"> IFERROR(($E329&gt;0)*($E329 &lt;=End_of_period) * ($G329 &gt;=Beginning_of_period) * (1-SUM($K329:K329)) /  IFERROR((DATEDIF(Beginning_of_period,$G329,"m") + 1) / Months_in_Period,0),0)</f>
        <v>0</v>
      </c>
      <c r="M329" s="231">
        <f xml:space="preserve"> IFERROR(($E329&gt;0)*($E329 &lt;=End_of_period) * ($G329 &gt;=Beginning_of_period) * (1-SUM($K329:L329)) /  IFERROR((DATEDIF(Beginning_of_period,$G329,"m") + 1) / Months_in_Period,0),0)</f>
        <v>0</v>
      </c>
      <c r="N329" s="231">
        <f xml:space="preserve"> IFERROR(($E329&gt;0)*($E329 &lt;=End_of_period) * ($G329 &gt;=Beginning_of_period) * (1-SUM($K329:M329)) /  IFERROR((DATEDIF(Beginning_of_period,$G329,"m") + 1) / Months_in_Period,0),0)</f>
        <v>0.5</v>
      </c>
      <c r="O329" s="231">
        <f xml:space="preserve"> IFERROR(($E329&gt;0)*($E329 &lt;=End_of_period) * ($G329 &gt;=Beginning_of_period) * (1-SUM($K329:N329)) /  IFERROR((DATEDIF(Beginning_of_period,$G329,"m") + 1) / Months_in_Period,0),0)</f>
        <v>0.5</v>
      </c>
      <c r="P329" s="231">
        <f xml:space="preserve"> IFERROR(($E329&gt;0)*($E329 &lt;=End_of_period) * ($G329 &gt;=Beginning_of_period) * (1-SUM($K329:O329)) /  IFERROR((DATEDIF(Beginning_of_period,$G329,"m") + 1) / Months_in_Period,0),0)</f>
        <v>0</v>
      </c>
      <c r="Q329" s="231">
        <f xml:space="preserve"> IFERROR(($E329&gt;0)*($E329 &lt;=End_of_period) * ($G329 &gt;=Beginning_of_period) * (1-SUM($K329:P329)) /  IFERROR((DATEDIF(Beginning_of_period,$G329,"m") + 1) / Months_in_Period,0),0)</f>
        <v>0</v>
      </c>
      <c r="R329" s="231">
        <f xml:space="preserve"> IFERROR(($E329&gt;0)*($E329 &lt;=End_of_period) * ($G329 &gt;=Beginning_of_period) * (1-SUM($K329:Q329)) /  IFERROR((DATEDIF(Beginning_of_period,$G329,"m") + 1) / Months_in_Period,0),0)</f>
        <v>0</v>
      </c>
      <c r="S329" s="231">
        <f xml:space="preserve"> IFERROR(($E329&gt;0)*($E329 &lt;=End_of_period) * ($G329 &gt;=Beginning_of_period) * (1-SUM($K329:R329)) /  IFERROR((DATEDIF(Beginning_of_period,$G329,"m") + 1) / Months_in_Period,0),0)</f>
        <v>0</v>
      </c>
      <c r="T329" s="231">
        <f xml:space="preserve"> IFERROR(($E329&gt;0)*($E329 &lt;=End_of_period) * ($G329 &gt;=Beginning_of_period) * (1-SUM($K329:S329)) /  IFERROR((DATEDIF(Beginning_of_period,$G329,"m") + 1) / Months_in_Period,0),0)</f>
        <v>0</v>
      </c>
      <c r="U329" s="231">
        <f xml:space="preserve"> IFERROR(($E329&gt;0)*($E329 &lt;=End_of_period) * ($G329 &gt;=Beginning_of_period) * (1-SUM($K329:T329)) /  IFERROR((DATEDIF(Beginning_of_period,$G329,"m") + 1) / Months_in_Period,0),0)</f>
        <v>0</v>
      </c>
      <c r="V329" s="231">
        <f xml:space="preserve"> IFERROR(($E329&gt;0)*($E329 &lt;=End_of_period) * ($G329 &gt;=Beginning_of_period) * (1-SUM($K329:U329)) /  IFERROR((DATEDIF(Beginning_of_period,$G329,"m") + 1) / Months_in_Period,0),0)</f>
        <v>0</v>
      </c>
      <c r="W329" s="231">
        <f xml:space="preserve"> IFERROR(($E329&gt;0)*($E329 &lt;=End_of_period) * ($G329 &gt;=Beginning_of_period) * (1-SUM($K329:V329)) /  IFERROR((DATEDIF(Beginning_of_period,$G329,"m") + 1) / Months_in_Period,0),0)</f>
        <v>0</v>
      </c>
      <c r="X329" s="231">
        <f xml:space="preserve"> IFERROR(($E329&gt;0)*($E329 &lt;=End_of_period) * ($G329 &gt;=Beginning_of_period) * (1-SUM($K329:W329)) /  IFERROR((DATEDIF(Beginning_of_period,$G329,"m") + 1) / Months_in_Period,0),0)</f>
        <v>0</v>
      </c>
      <c r="Y329" s="231">
        <f xml:space="preserve"> IFERROR(($E329&gt;0)*($E329 &lt;=End_of_period) * ($G329 &gt;=Beginning_of_period) * (1-SUM($K329:X329)) /  IFERROR((DATEDIF(Beginning_of_period,$G329,"m") + 1) / Months_in_Period,0),0)</f>
        <v>0</v>
      </c>
      <c r="Z329" s="231">
        <f xml:space="preserve"> IFERROR(($E329&gt;0)*($E329 &lt;=End_of_period) * ($G329 &gt;=Beginning_of_period) * (1-SUM($K329:Y329)) /  IFERROR((DATEDIF(Beginning_of_period,$G329,"m") + 1) / Months_in_Period,0),0)</f>
        <v>0</v>
      </c>
      <c r="AA329" s="231">
        <f xml:space="preserve"> IFERROR(($E329&gt;0)*($E329 &lt;=End_of_period) * ($G329 &gt;=Beginning_of_period) * (1-SUM($K329:Z329)) /  IFERROR((DATEDIF(Beginning_of_period,$G329,"m") + 1) / Months_in_Period,0),0)</f>
        <v>0</v>
      </c>
      <c r="AB329" s="231">
        <f xml:space="preserve"> IFERROR(($E329&gt;0)*($E329 &lt;=End_of_period) * ($G329 &gt;=Beginning_of_period) * (1-SUM($K329:AA329)) /  IFERROR((DATEDIF(Beginning_of_period,$G329,"m") + 1) / Months_in_Period,0),0)</f>
        <v>0</v>
      </c>
      <c r="AC329" s="231">
        <f xml:space="preserve"> IFERROR(($E329&gt;0)*($E329 &lt;=End_of_period) * ($G329 &gt;=Beginning_of_period) * (1-SUM($K329:AB329)) /  IFERROR((DATEDIF(Beginning_of_period,$G329,"m") + 1) / Months_in_Period,0),0)</f>
        <v>0</v>
      </c>
      <c r="AD329" s="231">
        <f xml:space="preserve"> IFERROR(($E329&gt;0)*($E329 &lt;=End_of_period) * ($G329 &gt;=Beginning_of_period) * (1-SUM($K329:AC329)) /  IFERROR((DATEDIF(Beginning_of_period,$G329,"m") + 1) / Months_in_Period,0),0)</f>
        <v>0</v>
      </c>
      <c r="AE329" s="231">
        <f xml:space="preserve"> IFERROR(($E329&gt;0)*($E329 &lt;=End_of_period) * ($G329 &gt;=Beginning_of_period) * (1-SUM($K329:AD329)) /  IFERROR((DATEDIF(Beginning_of_period,$G329,"m") + 1) / Months_in_Period,0),0)</f>
        <v>0</v>
      </c>
      <c r="AF329" s="231">
        <f xml:space="preserve"> IFERROR(($E329&gt;0)*($E329 &lt;=End_of_period) * ($G329 &gt;=Beginning_of_period) * (1-SUM($K329:AE329)) /  IFERROR((DATEDIF(Beginning_of_period,$G329,"m") + 1) / Months_in_Period,0),0)</f>
        <v>0</v>
      </c>
      <c r="AG329" s="231">
        <f xml:space="preserve"> IFERROR(($E329&gt;0)*($E329 &lt;=End_of_period) * ($G329 &gt;=Beginning_of_period) * (1-SUM($K329:AF329)) /  IFERROR((DATEDIF(Beginning_of_period,$G329,"m") + 1) / Months_in_Period,0),0)</f>
        <v>0</v>
      </c>
      <c r="AH329" s="231">
        <f xml:space="preserve"> IFERROR(($E329&gt;0)*($E329 &lt;=End_of_period) * ($G329 &gt;=Beginning_of_period) * (1-SUM($K329:AG329)) /  IFERROR((DATEDIF(Beginning_of_period,$G329,"m") + 1) / Months_in_Period,0),0)</f>
        <v>0</v>
      </c>
      <c r="AI329" s="231">
        <f xml:space="preserve"> IFERROR(($E329&gt;0)*($E329 &lt;=End_of_period) * ($G329 &gt;=Beginning_of_period) * (1-SUM($K329:AH329)) /  IFERROR((DATEDIF(Beginning_of_period,$G329,"m") + 1) / Months_in_Period,0),0)</f>
        <v>0</v>
      </c>
      <c r="AJ329" s="231">
        <f xml:space="preserve"> IFERROR(($E329&gt;0)*($E329 &lt;=End_of_period) * ($G329 &gt;=Beginning_of_period) * (1-SUM($K329:AI329)) /  IFERROR((DATEDIF(Beginning_of_period,$G329,"m") + 1) / Months_in_Period,0),0)</f>
        <v>0</v>
      </c>
      <c r="AK329" s="231">
        <f xml:space="preserve"> IFERROR(($E329&gt;0)*($E329 &lt;=End_of_period) * ($G329 &gt;=Beginning_of_period) * (1-SUM($K329:AJ329)) /  IFERROR((DATEDIF(Beginning_of_period,$G329,"m") + 1) / Months_in_Period,0),0)</f>
        <v>0</v>
      </c>
      <c r="AL329" s="231">
        <f xml:space="preserve"> IFERROR(($E329&gt;0)*($E329 &lt;=End_of_period) * ($G329 &gt;=Beginning_of_period) * (1-SUM($K329:AK329)) /  IFERROR((DATEDIF(Beginning_of_period,$G329,"m") + 1) / Months_in_Period,0),0)</f>
        <v>0</v>
      </c>
      <c r="AM329" s="231">
        <f xml:space="preserve"> IFERROR(($E329&gt;0)*($E329 &lt;=End_of_period) * ($G329 &gt;=Beginning_of_period) * (1-SUM($K329:AL329)) /  IFERROR((DATEDIF(Beginning_of_period,$G329,"m") + 1) / Months_in_Period,0),0)</f>
        <v>0</v>
      </c>
      <c r="AN329" s="231">
        <f xml:space="preserve"> IFERROR(($E329&gt;0)*($E329 &lt;=End_of_period) * ($G329 &gt;=Beginning_of_period) * (1-SUM($K329:AM329)) /  IFERROR((DATEDIF(Beginning_of_period,$G329,"m") + 1) / Months_in_Period,0),0)</f>
        <v>0</v>
      </c>
      <c r="AO329" s="231">
        <f xml:space="preserve"> IFERROR(($E329&gt;0)*($E329 &lt;=End_of_period) * ($G329 &gt;=Beginning_of_period) * (1-SUM($K329:AN329)) /  IFERROR((DATEDIF(Beginning_of_period,$G329,"m") + 1) / Months_in_Period,0),0)</f>
        <v>0</v>
      </c>
      <c r="AP329" s="231">
        <f xml:space="preserve"> IFERROR(($E329&gt;0)*($E329 &lt;=End_of_period) * ($G329 &gt;=Beginning_of_period) * (1-SUM($K329:AO329)) /  IFERROR((DATEDIF(Beginning_of_period,$G329,"m") + 1) / Months_in_Period,0),0)</f>
        <v>0</v>
      </c>
      <c r="AQ329" s="231">
        <f xml:space="preserve"> IFERROR(($E329&gt;0)*($E329 &lt;=End_of_period) * ($G329 &gt;=Beginning_of_period) * (1-SUM($K329:AP329)) /  IFERROR((DATEDIF(Beginning_of_period,$G329,"m") + 1) / Months_in_Period,0),0)</f>
        <v>0</v>
      </c>
      <c r="AR329" s="231">
        <f xml:space="preserve"> IFERROR(($E329&gt;0)*($E329 &lt;=End_of_period) * ($G329 &gt;=Beginning_of_period) * (1-SUM($K329:AQ329)) /  IFERROR((DATEDIF(Beginning_of_period,$G329,"m") + 1) / Months_in_Period,0),0)</f>
        <v>0</v>
      </c>
      <c r="AS329" s="231">
        <f xml:space="preserve"> IFERROR(($E329&gt;0)*($E329 &lt;=End_of_period) * ($G329 &gt;=Beginning_of_period) * (1-SUM($K329:AR329)) /  IFERROR((DATEDIF(Beginning_of_period,$G329,"m") + 1) / Months_in_Period,0),0)</f>
        <v>0</v>
      </c>
      <c r="AT329" s="231">
        <f xml:space="preserve"> IFERROR(($E329&gt;0)*($E329 &lt;=End_of_period) * ($G329 &gt;=Beginning_of_period) * (1-SUM($K329:AS329)) /  IFERROR((DATEDIF(Beginning_of_period,$G329,"m") + 1) / Months_in_Period,0),0)</f>
        <v>0</v>
      </c>
      <c r="AU329" s="231">
        <f xml:space="preserve"> IFERROR(($E329&gt;0)*($E329 &lt;=End_of_period) * ($G329 &gt;=Beginning_of_period) * (1-SUM($K329:AT329)) /  IFERROR((DATEDIF(Beginning_of_period,$G329,"m") + 1) / Months_in_Period,0),0)</f>
        <v>0</v>
      </c>
      <c r="AV329" s="231">
        <f xml:space="preserve"> IFERROR(($E329&gt;0)*($E329 &lt;=End_of_period) * ($G329 &gt;=Beginning_of_period) * (1-SUM($K329:AU329)) /  IFERROR((DATEDIF(Beginning_of_period,$G329,"m") + 1) / Months_in_Period,0),0)</f>
        <v>0</v>
      </c>
      <c r="AW329" s="231">
        <f xml:space="preserve"> IFERROR(($E329&gt;0)*($E329 &lt;=End_of_period) * ($G329 &gt;=Beginning_of_period) * (1-SUM($K329:AV329)) /  IFERROR((DATEDIF(Beginning_of_period,$G329,"m") + 1) / Months_in_Period,0),0)</f>
        <v>0</v>
      </c>
      <c r="AX329" s="231">
        <f xml:space="preserve"> IFERROR(($E329&gt;0)*($E329 &lt;=End_of_period) * ($G329 &gt;=Beginning_of_period) * (1-SUM($K329:AW329)) /  IFERROR((DATEDIF(Beginning_of_period,$G329,"m") + 1) / Months_in_Period,0),0)</f>
        <v>0</v>
      </c>
      <c r="AY329" s="231">
        <f xml:space="preserve"> IFERROR(($E329&gt;0)*($E329 &lt;=End_of_period) * ($G329 &gt;=Beginning_of_period) * (1-SUM($K329:AX329)) /  IFERROR((DATEDIF(Beginning_of_period,$G329,"m") + 1) / Months_in_Period,0),0)</f>
        <v>0</v>
      </c>
      <c r="AZ329" s="231">
        <f xml:space="preserve"> IFERROR(($E329&gt;0)*($E329 &lt;=End_of_period) * ($G329 &gt;=Beginning_of_period) * (1-SUM($K329:AY329)) /  IFERROR((DATEDIF(Beginning_of_period,$G329,"m") + 1) / Months_in_Period,0),0)</f>
        <v>0</v>
      </c>
      <c r="BA329" s="231">
        <f xml:space="preserve"> IFERROR(($E329&gt;0)*($E329 &lt;=End_of_period) * ($G329 &gt;=Beginning_of_period) * (1-SUM($K329:AZ329)) /  IFERROR((DATEDIF(Beginning_of_period,$G329,"m") + 1) / Months_in_Period,0),0)</f>
        <v>0</v>
      </c>
      <c r="BB329" s="231">
        <f xml:space="preserve"> IFERROR(($E329&gt;0)*($E329 &lt;=End_of_period) * ($G329 &gt;=Beginning_of_period) * (1-SUM($K329:BA329)) /  IFERROR((DATEDIF(Beginning_of_period,$G329,"m") + 1) / Months_in_Period,0),0)</f>
        <v>0</v>
      </c>
      <c r="BC329" s="231">
        <f xml:space="preserve"> IFERROR(($E329&gt;0)*($E329 &lt;=End_of_period) * ($G329 &gt;=Beginning_of_period) * (1-SUM($K329:BB329)) /  IFERROR((DATEDIF(Beginning_of_period,$G329,"m") + 1) / Months_in_Period,0),0)</f>
        <v>0</v>
      </c>
      <c r="BD329" s="231">
        <f xml:space="preserve"> IFERROR(($E329&gt;0)*($E329 &lt;=End_of_period) * ($G329 &gt;=Beginning_of_period) * (1-SUM($K329:BC329)) /  IFERROR((DATEDIF(Beginning_of_period,$G329,"m") + 1) / Months_in_Period,0),0)</f>
        <v>0</v>
      </c>
      <c r="BE329" s="231">
        <f xml:space="preserve"> IFERROR(($E329&gt;0)*($E329 &lt;=End_of_period) * ($G329 &gt;=Beginning_of_period) * (1-SUM($K329:BD329)) /  IFERROR((DATEDIF(Beginning_of_period,$G329,"m") + 1) / Months_in_Period,0),0)</f>
        <v>0</v>
      </c>
      <c r="BF329" s="231">
        <f xml:space="preserve"> IFERROR(($E329&gt;0)*($E329 &lt;=End_of_period) * ($G329 &gt;=Beginning_of_period) * (1-SUM($K329:BE329)) /  IFERROR((DATEDIF(Beginning_of_period,$G329,"m") + 1) / Months_in_Period,0),0)</f>
        <v>0</v>
      </c>
      <c r="BG329" s="231">
        <f xml:space="preserve"> IFERROR(($E329&gt;0)*($E329 &lt;=End_of_period) * ($G329 &gt;=Beginning_of_period) * (1-SUM($K329:BF329)) /  IFERROR((DATEDIF(Beginning_of_period,$G329,"m") + 1) / Months_in_Period,0),0)</f>
        <v>0</v>
      </c>
      <c r="BH329" s="231">
        <f xml:space="preserve"> IFERROR(($E329&gt;0)*($E329 &lt;=End_of_period) * ($G329 &gt;=Beginning_of_period) * (1-SUM($K329:BG329)) /  IFERROR((DATEDIF(Beginning_of_period,$G329,"m") + 1) / Months_in_Period,0),0)</f>
        <v>0</v>
      </c>
      <c r="BI329" s="231">
        <f xml:space="preserve"> IFERROR(($E329&gt;0)*($E329 &lt;=End_of_period) * ($G329 &gt;=Beginning_of_period) * (1-SUM($K329:BH329)) /  IFERROR((DATEDIF(Beginning_of_period,$G329,"m") + 1) / Months_in_Period,0),0)</f>
        <v>0</v>
      </c>
      <c r="BJ329" s="231">
        <f xml:space="preserve"> IFERROR(($E329&gt;0)*($E329 &lt;=End_of_period) * ($G329 &gt;=Beginning_of_period) * (1-SUM($K329:BI329)) /  IFERROR((DATEDIF(Beginning_of_period,$G329,"m") + 1) / Months_in_Period,0),0)</f>
        <v>0</v>
      </c>
      <c r="BK329" s="231">
        <f xml:space="preserve"> IFERROR(($E329&gt;0)*($E329 &lt;=End_of_period) * ($G329 &gt;=Beginning_of_period) * (1-SUM($K329:BJ329)) /  IFERROR((DATEDIF(Beginning_of_period,$G329,"m") + 1) / Months_in_Period,0),0)</f>
        <v>0</v>
      </c>
      <c r="BL329" s="231">
        <f xml:space="preserve"> IFERROR(($E329&gt;0)*($E329 &lt;=End_of_period) * ($G329 &gt;=Beginning_of_period) * (1-SUM($K329:BK329)) /  IFERROR((DATEDIF(Beginning_of_period,$G329,"m") + 1) / Months_in_Period,0),0)</f>
        <v>0</v>
      </c>
      <c r="BM329" s="231">
        <f xml:space="preserve"> IFERROR(($E329&gt;0)*($E329 &lt;=End_of_period) * ($G329 &gt;=Beginning_of_period) * (1-SUM($K329:BL329)) /  IFERROR((DATEDIF(Beginning_of_period,$G329,"m") + 1) / Months_in_Period,0),0)</f>
        <v>0</v>
      </c>
      <c r="BN329" s="231">
        <f xml:space="preserve"> IFERROR(($E329&gt;0)*($E329 &lt;=End_of_period) * ($G329 &gt;=Beginning_of_period) * (1-SUM($K329:BM329)) /  IFERROR((DATEDIF(Beginning_of_period,$G329,"m") + 1) / Months_in_Period,0),0)</f>
        <v>0</v>
      </c>
      <c r="BO329" s="231">
        <f xml:space="preserve"> IFERROR(($E329&gt;0)*($E329 &lt;=End_of_period) * ($G329 &gt;=Beginning_of_period) * (1-SUM($K329:BN329)) /  IFERROR((DATEDIF(Beginning_of_period,$G329,"m") + 1) / Months_in_Period,0),0)</f>
        <v>0</v>
      </c>
      <c r="BP329" s="231">
        <f xml:space="preserve"> IFERROR(($E329&gt;0)*($E329 &lt;=End_of_period) * ($G329 &gt;=Beginning_of_period) * (1-SUM($K329:BO329)) /  IFERROR((DATEDIF(Beginning_of_period,$G329,"m") + 1) / Months_in_Period,0),0)</f>
        <v>0</v>
      </c>
      <c r="BQ329" s="231">
        <f xml:space="preserve"> IFERROR(($E329&gt;0)*($E329 &lt;=End_of_period) * ($G329 &gt;=Beginning_of_period) * (1-SUM($K329:BP329)) /  IFERROR((DATEDIF(Beginning_of_period,$G329,"m") + 1) / Months_in_Period,0),0)</f>
        <v>0</v>
      </c>
      <c r="BR329" s="231">
        <f xml:space="preserve"> IFERROR(($E329&gt;0)*($E329 &lt;=End_of_period) * ($G329 &gt;=Beginning_of_period) * (1-SUM($K329:BQ329)) /  IFERROR((DATEDIF(Beginning_of_period,$G329,"m") + 1) / Months_in_Period,0),0)</f>
        <v>0</v>
      </c>
      <c r="BS329" s="231">
        <f xml:space="preserve"> IFERROR(($E329&gt;0)*($E329 &lt;=End_of_period) * ($G329 &gt;=Beginning_of_period) * (1-SUM($K329:BR329)) /  IFERROR((DATEDIF(Beginning_of_period,$G329,"m") + 1) / Months_in_Period,0),0)</f>
        <v>0</v>
      </c>
      <c r="BT329" s="231">
        <f xml:space="preserve"> IFERROR(($E329&gt;0)*($E329 &lt;=End_of_period) * ($G329 &gt;=Beginning_of_period) * (1-SUM($K329:BS329)) /  IFERROR((DATEDIF(Beginning_of_period,$G329,"m") + 1) / Months_in_Period,0),0)</f>
        <v>0</v>
      </c>
      <c r="BU329" s="231">
        <f xml:space="preserve"> IFERROR(($E329&gt;0)*($E329 &lt;=End_of_period) * ($G329 &gt;=Beginning_of_period) * (1-SUM($K329:BT329)) /  IFERROR((DATEDIF(Beginning_of_period,$G329,"m") + 1) / Months_in_Period,0),0)</f>
        <v>0</v>
      </c>
      <c r="BV329" s="231">
        <f xml:space="preserve"> IFERROR(($E329&gt;0)*($E329 &lt;=End_of_period) * ($G329 &gt;=Beginning_of_period) * (1-SUM($K329:BU329)) /  IFERROR((DATEDIF(Beginning_of_period,$G329,"m") + 1) / Months_in_Period,0),0)</f>
        <v>0</v>
      </c>
      <c r="BW329" s="231">
        <f xml:space="preserve"> IFERROR(($E329&gt;0)*($E329 &lt;=End_of_period) * ($G329 &gt;=Beginning_of_period) * (1-SUM($K329:BV329)) /  IFERROR((DATEDIF(Beginning_of_period,$G329,"m") + 1) / Months_in_Period,0),0)</f>
        <v>0</v>
      </c>
      <c r="BX329" s="231">
        <f xml:space="preserve"> IFERROR(($E329&gt;0)*($E329 &lt;=End_of_period) * ($G329 &gt;=Beginning_of_period) * (1-SUM($K329:BW329)) /  IFERROR((DATEDIF(Beginning_of_period,$G329,"m") + 1) / Months_in_Period,0),0)</f>
        <v>0</v>
      </c>
      <c r="BY329" s="231">
        <f xml:space="preserve"> IFERROR(($E329&gt;0)*($E329 &lt;=End_of_period) * ($G329 &gt;=Beginning_of_period) * (1-SUM($K329:BX329)) /  IFERROR((DATEDIF(Beginning_of_period,$G329,"m") + 1) / Months_in_Period,0),0)</f>
        <v>0</v>
      </c>
      <c r="BZ329" s="231">
        <f xml:space="preserve"> IFERROR(($E329&gt;0)*($E329 &lt;=End_of_period) * ($G329 &gt;=Beginning_of_period) * (1-SUM($K329:BY329)) /  IFERROR((DATEDIF(Beginning_of_period,$G329,"m") + 1) / Months_in_Period,0),0)</f>
        <v>0</v>
      </c>
      <c r="CA329" s="231">
        <f xml:space="preserve"> IFERROR(($E329&gt;0)*($E329 &lt;=End_of_period) * ($G329 &gt;=Beginning_of_period) * (1-SUM($K329:BZ329)) /  IFERROR((DATEDIF(Beginning_of_period,$G329,"m") + 1) / Months_in_Period,0),0)</f>
        <v>0</v>
      </c>
      <c r="CB329" s="231">
        <f xml:space="preserve"> IFERROR(($E329&gt;0)*($E329 &lt;=End_of_period) * ($G329 &gt;=Beginning_of_period) * (1-SUM($K329:CA329)) /  IFERROR((DATEDIF(Beginning_of_period,$G329,"m") + 1) / Months_in_Period,0),0)</f>
        <v>0</v>
      </c>
      <c r="CC329" s="231">
        <f xml:space="preserve"> IFERROR(($E329&gt;0)*($E329 &lt;=End_of_period) * ($G329 &gt;=Beginning_of_period) * (1-SUM($K329:CB329)) /  IFERROR((DATEDIF(Beginning_of_period,$G329,"m") + 1) / Months_in_Period,0),0)</f>
        <v>0</v>
      </c>
      <c r="CD329" s="231">
        <f xml:space="preserve"> IFERROR(($E329&gt;0)*($E329 &lt;=End_of_period) * ($G329 &gt;=Beginning_of_period) * (1-SUM($K329:CC329)) /  IFERROR((DATEDIF(Beginning_of_period,$G329,"m") + 1) / Months_in_Period,0),0)</f>
        <v>0</v>
      </c>
      <c r="CE329" s="231">
        <f xml:space="preserve"> IFERROR(($E329&gt;0)*($E329 &lt;=End_of_period) * ($G329 &gt;=Beginning_of_period) * (1-SUM($K329:CD329)) /  IFERROR((DATEDIF(Beginning_of_period,$G329,"m") + 1) / Months_in_Period,0),0)</f>
        <v>0</v>
      </c>
      <c r="CF329" s="231">
        <f xml:space="preserve"> IFERROR(($E329&gt;0)*($E329 &lt;=End_of_period) * ($G329 &gt;=Beginning_of_period) * (1-SUM($K329:CE329)) /  IFERROR((DATEDIF(Beginning_of_period,$G329,"m") + 1) / Months_in_Period,0),0)</f>
        <v>0</v>
      </c>
      <c r="CG329" s="231">
        <f xml:space="preserve"> IFERROR(($E329&gt;0)*($E329 &lt;=End_of_period) * ($G329 &gt;=Beginning_of_period) * (1-SUM($K329:CF329)) /  IFERROR((DATEDIF(Beginning_of_period,$G329,"m") + 1) / Months_in_Period,0),0)</f>
        <v>0</v>
      </c>
      <c r="CH329" s="231">
        <f xml:space="preserve"> IFERROR(($E329&gt;0)*($E329 &lt;=End_of_period) * ($G329 &gt;=Beginning_of_period) * (1-SUM($K329:CG329)) /  IFERROR((DATEDIF(Beginning_of_period,$G329,"m") + 1) / Months_in_Period,0),0)</f>
        <v>0</v>
      </c>
      <c r="CI329" s="231">
        <f xml:space="preserve"> IFERROR(($E329&gt;0)*($E329 &lt;=End_of_period) * ($G329 &gt;=Beginning_of_period) * (1-SUM($K329:CH329)) /  IFERROR((DATEDIF(Beginning_of_period,$G329,"m") + 1) / Months_in_Period,0),0)</f>
        <v>0</v>
      </c>
      <c r="CJ329" s="231">
        <f xml:space="preserve"> IFERROR(($E329&gt;0)*($E329 &lt;=End_of_period) * ($G329 &gt;=Beginning_of_period) * (1-SUM($K329:CI329)) /  IFERROR((DATEDIF(Beginning_of_period,$G329,"m") + 1) / Months_in_Period,0),0)</f>
        <v>0</v>
      </c>
      <c r="CK329" s="231">
        <f xml:space="preserve"> IFERROR(($E329&gt;0)*($E329 &lt;=End_of_period) * ($G329 &gt;=Beginning_of_period) * (1-SUM($K329:CJ329)) /  IFERROR((DATEDIF(Beginning_of_period,$G329,"m") + 1) / Months_in_Period,0),0)</f>
        <v>0</v>
      </c>
      <c r="CL329" s="231">
        <f xml:space="preserve"> IFERROR(($E329&gt;0)*($E329 &lt;=End_of_period) * ($G329 &gt;=Beginning_of_period) * (1-SUM($K329:CK329)) /  IFERROR((DATEDIF(Beginning_of_period,$G329,"m") + 1) / Months_in_Period,0),0)</f>
        <v>0</v>
      </c>
      <c r="CM329" s="231">
        <f xml:space="preserve"> IFERROR(($E329&gt;0)*($E329 &lt;=End_of_period) * ($G329 &gt;=Beginning_of_period) * (1-SUM($K329:CL329)) /  IFERROR((DATEDIF(Beginning_of_period,$G329,"m") + 1) / Months_in_Period,0),0)</f>
        <v>0</v>
      </c>
      <c r="CN329" s="231">
        <f xml:space="preserve"> IFERROR(($E329&gt;0)*($E329 &lt;=End_of_period) * ($G329 &gt;=Beginning_of_period) * (1-SUM($K329:CM329)) /  IFERROR((DATEDIF(Beginning_of_period,$G329,"m") + 1) / Months_in_Period,0),0)</f>
        <v>0</v>
      </c>
      <c r="CO329" s="231">
        <f xml:space="preserve"> IFERROR(($E329&gt;0)*($E329 &lt;=End_of_period) * ($G329 &gt;=Beginning_of_period) * (1-SUM($K329:CN329)) /  IFERROR((DATEDIF(Beginning_of_period,$G329,"m") + 1) / Months_in_Period,0),0)</f>
        <v>0</v>
      </c>
      <c r="CP329" s="10"/>
    </row>
    <row r="330" spans="1:94" ht="15" hidden="1" customHeight="1">
      <c r="A330" s="10"/>
      <c r="B330" s="3"/>
      <c r="C330" s="17" t="s">
        <v>632</v>
      </c>
      <c r="D330" s="10"/>
      <c r="E330" s="71">
        <v>45839</v>
      </c>
      <c r="F330" s="10"/>
      <c r="G330" s="477">
        <v>45930</v>
      </c>
      <c r="H330" s="149">
        <f xml:space="preserve"> IFERROR((DATEDIF(E330,G330,"m") + 1) / Months_in_Period,0)</f>
        <v>1</v>
      </c>
      <c r="I330" s="231">
        <f>IF(SUM(L330:CO330)=0,1,SUM(L330:CO330))</f>
        <v>1</v>
      </c>
      <c r="J330" s="10"/>
      <c r="K330" s="10"/>
      <c r="L330" s="231">
        <f xml:space="preserve"> IFERROR(($E330&gt;0)*($E330 &lt;=End_of_period) * ($G330 &gt;=Beginning_of_period) * (1-SUM($K330:K330)) /  IFERROR((DATEDIF(Beginning_of_period,$G330,"m") + 1) / Months_in_Period,0),0)</f>
        <v>0</v>
      </c>
      <c r="M330" s="231">
        <f xml:space="preserve"> IFERROR(($E330&gt;0)*($E330 &lt;=End_of_period) * ($G330 &gt;=Beginning_of_period) * (1-SUM($K330:L330)) /  IFERROR((DATEDIF(Beginning_of_period,$G330,"m") + 1) / Months_in_Period,0),0)</f>
        <v>0</v>
      </c>
      <c r="N330" s="231">
        <f xml:space="preserve"> IFERROR(($E330&gt;0)*($E330 &lt;=End_of_period) * ($G330 &gt;=Beginning_of_period) * (1-SUM($K330:M330)) /  IFERROR((DATEDIF(Beginning_of_period,$G330,"m") + 1) / Months_in_Period,0),0)</f>
        <v>1</v>
      </c>
      <c r="O330" s="231">
        <f xml:space="preserve"> IFERROR(($E330&gt;0)*($E330 &lt;=End_of_period) * ($G330 &gt;=Beginning_of_period) * (1-SUM($K330:N330)) /  IFERROR((DATEDIF(Beginning_of_period,$G330,"m") + 1) / Months_in_Period,0),0)</f>
        <v>0</v>
      </c>
      <c r="P330" s="231">
        <f xml:space="preserve"> IFERROR(($E330&gt;0)*($E330 &lt;=End_of_period) * ($G330 &gt;=Beginning_of_period) * (1-SUM($K330:O330)) /  IFERROR((DATEDIF(Beginning_of_period,$G330,"m") + 1) / Months_in_Period,0),0)</f>
        <v>0</v>
      </c>
      <c r="Q330" s="231">
        <f xml:space="preserve"> IFERROR(($E330&gt;0)*($E330 &lt;=End_of_period) * ($G330 &gt;=Beginning_of_period) * (1-SUM($K330:P330)) /  IFERROR((DATEDIF(Beginning_of_period,$G330,"m") + 1) / Months_in_Period,0),0)</f>
        <v>0</v>
      </c>
      <c r="R330" s="231">
        <f xml:space="preserve"> IFERROR(($E330&gt;0)*($E330 &lt;=End_of_period) * ($G330 &gt;=Beginning_of_period) * (1-SUM($K330:Q330)) /  IFERROR((DATEDIF(Beginning_of_period,$G330,"m") + 1) / Months_in_Period,0),0)</f>
        <v>0</v>
      </c>
      <c r="S330" s="231">
        <f xml:space="preserve"> IFERROR(($E330&gt;0)*($E330 &lt;=End_of_period) * ($G330 &gt;=Beginning_of_period) * (1-SUM($K330:R330)) /  IFERROR((DATEDIF(Beginning_of_period,$G330,"m") + 1) / Months_in_Period,0),0)</f>
        <v>0</v>
      </c>
      <c r="T330" s="231">
        <f xml:space="preserve"> IFERROR(($E330&gt;0)*($E330 &lt;=End_of_period) * ($G330 &gt;=Beginning_of_period) * (1-SUM($K330:S330)) /  IFERROR((DATEDIF(Beginning_of_period,$G330,"m") + 1) / Months_in_Period,0),0)</f>
        <v>0</v>
      </c>
      <c r="U330" s="231">
        <f xml:space="preserve"> IFERROR(($E330&gt;0)*($E330 &lt;=End_of_period) * ($G330 &gt;=Beginning_of_period) * (1-SUM($K330:T330)) /  IFERROR((DATEDIF(Beginning_of_period,$G330,"m") + 1) / Months_in_Period,0),0)</f>
        <v>0</v>
      </c>
      <c r="V330" s="231">
        <f xml:space="preserve"> IFERROR(($E330&gt;0)*($E330 &lt;=End_of_period) * ($G330 &gt;=Beginning_of_period) * (1-SUM($K330:U330)) /  IFERROR((DATEDIF(Beginning_of_period,$G330,"m") + 1) / Months_in_Period,0),0)</f>
        <v>0</v>
      </c>
      <c r="W330" s="231">
        <f xml:space="preserve"> IFERROR(($E330&gt;0)*($E330 &lt;=End_of_period) * ($G330 &gt;=Beginning_of_period) * (1-SUM($K330:V330)) /  IFERROR((DATEDIF(Beginning_of_period,$G330,"m") + 1) / Months_in_Period,0),0)</f>
        <v>0</v>
      </c>
      <c r="X330" s="231">
        <f xml:space="preserve"> IFERROR(($E330&gt;0)*($E330 &lt;=End_of_period) * ($G330 &gt;=Beginning_of_period) * (1-SUM($K330:W330)) /  IFERROR((DATEDIF(Beginning_of_period,$G330,"m") + 1) / Months_in_Period,0),0)</f>
        <v>0</v>
      </c>
      <c r="Y330" s="231">
        <f xml:space="preserve"> IFERROR(($E330&gt;0)*($E330 &lt;=End_of_period) * ($G330 &gt;=Beginning_of_period) * (1-SUM($K330:X330)) /  IFERROR((DATEDIF(Beginning_of_period,$G330,"m") + 1) / Months_in_Period,0),0)</f>
        <v>0</v>
      </c>
      <c r="Z330" s="231">
        <f xml:space="preserve"> IFERROR(($E330&gt;0)*($E330 &lt;=End_of_period) * ($G330 &gt;=Beginning_of_period) * (1-SUM($K330:Y330)) /  IFERROR((DATEDIF(Beginning_of_period,$G330,"m") + 1) / Months_in_Period,0),0)</f>
        <v>0</v>
      </c>
      <c r="AA330" s="231">
        <f xml:space="preserve"> IFERROR(($E330&gt;0)*($E330 &lt;=End_of_period) * ($G330 &gt;=Beginning_of_period) * (1-SUM($K330:Z330)) /  IFERROR((DATEDIF(Beginning_of_period,$G330,"m") + 1) / Months_in_Period,0),0)</f>
        <v>0</v>
      </c>
      <c r="AB330" s="231">
        <f xml:space="preserve"> IFERROR(($E330&gt;0)*($E330 &lt;=End_of_period) * ($G330 &gt;=Beginning_of_period) * (1-SUM($K330:AA330)) /  IFERROR((DATEDIF(Beginning_of_period,$G330,"m") + 1) / Months_in_Period,0),0)</f>
        <v>0</v>
      </c>
      <c r="AC330" s="231">
        <f xml:space="preserve"> IFERROR(($E330&gt;0)*($E330 &lt;=End_of_period) * ($G330 &gt;=Beginning_of_period) * (1-SUM($K330:AB330)) /  IFERROR((DATEDIF(Beginning_of_period,$G330,"m") + 1) / Months_in_Period,0),0)</f>
        <v>0</v>
      </c>
      <c r="AD330" s="231">
        <f xml:space="preserve"> IFERROR(($E330&gt;0)*($E330 &lt;=End_of_period) * ($G330 &gt;=Beginning_of_period) * (1-SUM($K330:AC330)) /  IFERROR((DATEDIF(Beginning_of_period,$G330,"m") + 1) / Months_in_Period,0),0)</f>
        <v>0</v>
      </c>
      <c r="AE330" s="231">
        <f xml:space="preserve"> IFERROR(($E330&gt;0)*($E330 &lt;=End_of_period) * ($G330 &gt;=Beginning_of_period) * (1-SUM($K330:AD330)) /  IFERROR((DATEDIF(Beginning_of_period,$G330,"m") + 1) / Months_in_Period,0),0)</f>
        <v>0</v>
      </c>
      <c r="AF330" s="231">
        <f xml:space="preserve"> IFERROR(($E330&gt;0)*($E330 &lt;=End_of_period) * ($G330 &gt;=Beginning_of_period) * (1-SUM($K330:AE330)) /  IFERROR((DATEDIF(Beginning_of_period,$G330,"m") + 1) / Months_in_Period,0),0)</f>
        <v>0</v>
      </c>
      <c r="AG330" s="231">
        <f xml:space="preserve"> IFERROR(($E330&gt;0)*($E330 &lt;=End_of_period) * ($G330 &gt;=Beginning_of_period) * (1-SUM($K330:AF330)) /  IFERROR((DATEDIF(Beginning_of_period,$G330,"m") + 1) / Months_in_Period,0),0)</f>
        <v>0</v>
      </c>
      <c r="AH330" s="231">
        <f xml:space="preserve"> IFERROR(($E330&gt;0)*($E330 &lt;=End_of_period) * ($G330 &gt;=Beginning_of_period) * (1-SUM($K330:AG330)) /  IFERROR((DATEDIF(Beginning_of_period,$G330,"m") + 1) / Months_in_Period,0),0)</f>
        <v>0</v>
      </c>
      <c r="AI330" s="231">
        <f xml:space="preserve"> IFERROR(($E330&gt;0)*($E330 &lt;=End_of_period) * ($G330 &gt;=Beginning_of_period) * (1-SUM($K330:AH330)) /  IFERROR((DATEDIF(Beginning_of_period,$G330,"m") + 1) / Months_in_Period,0),0)</f>
        <v>0</v>
      </c>
      <c r="AJ330" s="231">
        <f xml:space="preserve"> IFERROR(($E330&gt;0)*($E330 &lt;=End_of_period) * ($G330 &gt;=Beginning_of_period) * (1-SUM($K330:AI330)) /  IFERROR((DATEDIF(Beginning_of_period,$G330,"m") + 1) / Months_in_Period,0),0)</f>
        <v>0</v>
      </c>
      <c r="AK330" s="231">
        <f xml:space="preserve"> IFERROR(($E330&gt;0)*($E330 &lt;=End_of_period) * ($G330 &gt;=Beginning_of_period) * (1-SUM($K330:AJ330)) /  IFERROR((DATEDIF(Beginning_of_period,$G330,"m") + 1) / Months_in_Period,0),0)</f>
        <v>0</v>
      </c>
      <c r="AL330" s="231">
        <f xml:space="preserve"> IFERROR(($E330&gt;0)*($E330 &lt;=End_of_period) * ($G330 &gt;=Beginning_of_period) * (1-SUM($K330:AK330)) /  IFERROR((DATEDIF(Beginning_of_period,$G330,"m") + 1) / Months_in_Period,0),0)</f>
        <v>0</v>
      </c>
      <c r="AM330" s="231">
        <f xml:space="preserve"> IFERROR(($E330&gt;0)*($E330 &lt;=End_of_period) * ($G330 &gt;=Beginning_of_period) * (1-SUM($K330:AL330)) /  IFERROR((DATEDIF(Beginning_of_period,$G330,"m") + 1) / Months_in_Period,0),0)</f>
        <v>0</v>
      </c>
      <c r="AN330" s="231">
        <f xml:space="preserve"> IFERROR(($E330&gt;0)*($E330 &lt;=End_of_period) * ($G330 &gt;=Beginning_of_period) * (1-SUM($K330:AM330)) /  IFERROR((DATEDIF(Beginning_of_period,$G330,"m") + 1) / Months_in_Period,0),0)</f>
        <v>0</v>
      </c>
      <c r="AO330" s="231">
        <f xml:space="preserve"> IFERROR(($E330&gt;0)*($E330 &lt;=End_of_period) * ($G330 &gt;=Beginning_of_period) * (1-SUM($K330:AN330)) /  IFERROR((DATEDIF(Beginning_of_period,$G330,"m") + 1) / Months_in_Period,0),0)</f>
        <v>0</v>
      </c>
      <c r="AP330" s="231">
        <f xml:space="preserve"> IFERROR(($E330&gt;0)*($E330 &lt;=End_of_period) * ($G330 &gt;=Beginning_of_period) * (1-SUM($K330:AO330)) /  IFERROR((DATEDIF(Beginning_of_period,$G330,"m") + 1) / Months_in_Period,0),0)</f>
        <v>0</v>
      </c>
      <c r="AQ330" s="231">
        <f xml:space="preserve"> IFERROR(($E330&gt;0)*($E330 &lt;=End_of_period) * ($G330 &gt;=Beginning_of_period) * (1-SUM($K330:AP330)) /  IFERROR((DATEDIF(Beginning_of_period,$G330,"m") + 1) / Months_in_Period,0),0)</f>
        <v>0</v>
      </c>
      <c r="AR330" s="231">
        <f xml:space="preserve"> IFERROR(($E330&gt;0)*($E330 &lt;=End_of_period) * ($G330 &gt;=Beginning_of_period) * (1-SUM($K330:AQ330)) /  IFERROR((DATEDIF(Beginning_of_period,$G330,"m") + 1) / Months_in_Period,0),0)</f>
        <v>0</v>
      </c>
      <c r="AS330" s="231">
        <f xml:space="preserve"> IFERROR(($E330&gt;0)*($E330 &lt;=End_of_period) * ($G330 &gt;=Beginning_of_period) * (1-SUM($K330:AR330)) /  IFERROR((DATEDIF(Beginning_of_period,$G330,"m") + 1) / Months_in_Period,0),0)</f>
        <v>0</v>
      </c>
      <c r="AT330" s="231">
        <f xml:space="preserve"> IFERROR(($E330&gt;0)*($E330 &lt;=End_of_period) * ($G330 &gt;=Beginning_of_period) * (1-SUM($K330:AS330)) /  IFERROR((DATEDIF(Beginning_of_period,$G330,"m") + 1) / Months_in_Period,0),0)</f>
        <v>0</v>
      </c>
      <c r="AU330" s="231">
        <f xml:space="preserve"> IFERROR(($E330&gt;0)*($E330 &lt;=End_of_period) * ($G330 &gt;=Beginning_of_period) * (1-SUM($K330:AT330)) /  IFERROR((DATEDIF(Beginning_of_period,$G330,"m") + 1) / Months_in_Period,0),0)</f>
        <v>0</v>
      </c>
      <c r="AV330" s="231">
        <f xml:space="preserve"> IFERROR(($E330&gt;0)*($E330 &lt;=End_of_period) * ($G330 &gt;=Beginning_of_period) * (1-SUM($K330:AU330)) /  IFERROR((DATEDIF(Beginning_of_period,$G330,"m") + 1) / Months_in_Period,0),0)</f>
        <v>0</v>
      </c>
      <c r="AW330" s="231">
        <f xml:space="preserve"> IFERROR(($E330&gt;0)*($E330 &lt;=End_of_period) * ($G330 &gt;=Beginning_of_period) * (1-SUM($K330:AV330)) /  IFERROR((DATEDIF(Beginning_of_period,$G330,"m") + 1) / Months_in_Period,0),0)</f>
        <v>0</v>
      </c>
      <c r="AX330" s="231">
        <f xml:space="preserve"> IFERROR(($E330&gt;0)*($E330 &lt;=End_of_period) * ($G330 &gt;=Beginning_of_period) * (1-SUM($K330:AW330)) /  IFERROR((DATEDIF(Beginning_of_period,$G330,"m") + 1) / Months_in_Period,0),0)</f>
        <v>0</v>
      </c>
      <c r="AY330" s="231">
        <f xml:space="preserve"> IFERROR(($E330&gt;0)*($E330 &lt;=End_of_period) * ($G330 &gt;=Beginning_of_period) * (1-SUM($K330:AX330)) /  IFERROR((DATEDIF(Beginning_of_period,$G330,"m") + 1) / Months_in_Period,0),0)</f>
        <v>0</v>
      </c>
      <c r="AZ330" s="231">
        <f xml:space="preserve"> IFERROR(($E330&gt;0)*($E330 &lt;=End_of_period) * ($G330 &gt;=Beginning_of_period) * (1-SUM($K330:AY330)) /  IFERROR((DATEDIF(Beginning_of_period,$G330,"m") + 1) / Months_in_Period,0),0)</f>
        <v>0</v>
      </c>
      <c r="BA330" s="231">
        <f xml:space="preserve"> IFERROR(($E330&gt;0)*($E330 &lt;=End_of_period) * ($G330 &gt;=Beginning_of_period) * (1-SUM($K330:AZ330)) /  IFERROR((DATEDIF(Beginning_of_period,$G330,"m") + 1) / Months_in_Period,0),0)</f>
        <v>0</v>
      </c>
      <c r="BB330" s="231">
        <f xml:space="preserve"> IFERROR(($E330&gt;0)*($E330 &lt;=End_of_period) * ($G330 &gt;=Beginning_of_period) * (1-SUM($K330:BA330)) /  IFERROR((DATEDIF(Beginning_of_period,$G330,"m") + 1) / Months_in_Period,0),0)</f>
        <v>0</v>
      </c>
      <c r="BC330" s="231">
        <f xml:space="preserve"> IFERROR(($E330&gt;0)*($E330 &lt;=End_of_period) * ($G330 &gt;=Beginning_of_period) * (1-SUM($K330:BB330)) /  IFERROR((DATEDIF(Beginning_of_period,$G330,"m") + 1) / Months_in_Period,0),0)</f>
        <v>0</v>
      </c>
      <c r="BD330" s="231">
        <f xml:space="preserve"> IFERROR(($E330&gt;0)*($E330 &lt;=End_of_period) * ($G330 &gt;=Beginning_of_period) * (1-SUM($K330:BC330)) /  IFERROR((DATEDIF(Beginning_of_period,$G330,"m") + 1) / Months_in_Period,0),0)</f>
        <v>0</v>
      </c>
      <c r="BE330" s="231">
        <f xml:space="preserve"> IFERROR(($E330&gt;0)*($E330 &lt;=End_of_period) * ($G330 &gt;=Beginning_of_period) * (1-SUM($K330:BD330)) /  IFERROR((DATEDIF(Beginning_of_period,$G330,"m") + 1) / Months_in_Period,0),0)</f>
        <v>0</v>
      </c>
      <c r="BF330" s="231">
        <f xml:space="preserve"> IFERROR(($E330&gt;0)*($E330 &lt;=End_of_period) * ($G330 &gt;=Beginning_of_period) * (1-SUM($K330:BE330)) /  IFERROR((DATEDIF(Beginning_of_period,$G330,"m") + 1) / Months_in_Period,0),0)</f>
        <v>0</v>
      </c>
      <c r="BG330" s="231">
        <f xml:space="preserve"> IFERROR(($E330&gt;0)*($E330 &lt;=End_of_period) * ($G330 &gt;=Beginning_of_period) * (1-SUM($K330:BF330)) /  IFERROR((DATEDIF(Beginning_of_period,$G330,"m") + 1) / Months_in_Period,0),0)</f>
        <v>0</v>
      </c>
      <c r="BH330" s="231">
        <f xml:space="preserve"> IFERROR(($E330&gt;0)*($E330 &lt;=End_of_period) * ($G330 &gt;=Beginning_of_period) * (1-SUM($K330:BG330)) /  IFERROR((DATEDIF(Beginning_of_period,$G330,"m") + 1) / Months_in_Period,0),0)</f>
        <v>0</v>
      </c>
      <c r="BI330" s="231">
        <f xml:space="preserve"> IFERROR(($E330&gt;0)*($E330 &lt;=End_of_period) * ($G330 &gt;=Beginning_of_period) * (1-SUM($K330:BH330)) /  IFERROR((DATEDIF(Beginning_of_period,$G330,"m") + 1) / Months_in_Period,0),0)</f>
        <v>0</v>
      </c>
      <c r="BJ330" s="231">
        <f xml:space="preserve"> IFERROR(($E330&gt;0)*($E330 &lt;=End_of_period) * ($G330 &gt;=Beginning_of_period) * (1-SUM($K330:BI330)) /  IFERROR((DATEDIF(Beginning_of_period,$G330,"m") + 1) / Months_in_Period,0),0)</f>
        <v>0</v>
      </c>
      <c r="BK330" s="231">
        <f xml:space="preserve"> IFERROR(($E330&gt;0)*($E330 &lt;=End_of_period) * ($G330 &gt;=Beginning_of_period) * (1-SUM($K330:BJ330)) /  IFERROR((DATEDIF(Beginning_of_period,$G330,"m") + 1) / Months_in_Period,0),0)</f>
        <v>0</v>
      </c>
      <c r="BL330" s="231">
        <f xml:space="preserve"> IFERROR(($E330&gt;0)*($E330 &lt;=End_of_period) * ($G330 &gt;=Beginning_of_period) * (1-SUM($K330:BK330)) /  IFERROR((DATEDIF(Beginning_of_period,$G330,"m") + 1) / Months_in_Period,0),0)</f>
        <v>0</v>
      </c>
      <c r="BM330" s="231">
        <f xml:space="preserve"> IFERROR(($E330&gt;0)*($E330 &lt;=End_of_period) * ($G330 &gt;=Beginning_of_period) * (1-SUM($K330:BL330)) /  IFERROR((DATEDIF(Beginning_of_period,$G330,"m") + 1) / Months_in_Period,0),0)</f>
        <v>0</v>
      </c>
      <c r="BN330" s="231">
        <f xml:space="preserve"> IFERROR(($E330&gt;0)*($E330 &lt;=End_of_period) * ($G330 &gt;=Beginning_of_period) * (1-SUM($K330:BM330)) /  IFERROR((DATEDIF(Beginning_of_period,$G330,"m") + 1) / Months_in_Period,0),0)</f>
        <v>0</v>
      </c>
      <c r="BO330" s="231">
        <f xml:space="preserve"> IFERROR(($E330&gt;0)*($E330 &lt;=End_of_period) * ($G330 &gt;=Beginning_of_period) * (1-SUM($K330:BN330)) /  IFERROR((DATEDIF(Beginning_of_period,$G330,"m") + 1) / Months_in_Period,0),0)</f>
        <v>0</v>
      </c>
      <c r="BP330" s="231">
        <f xml:space="preserve"> IFERROR(($E330&gt;0)*($E330 &lt;=End_of_period) * ($G330 &gt;=Beginning_of_period) * (1-SUM($K330:BO330)) /  IFERROR((DATEDIF(Beginning_of_period,$G330,"m") + 1) / Months_in_Period,0),0)</f>
        <v>0</v>
      </c>
      <c r="BQ330" s="231">
        <f xml:space="preserve"> IFERROR(($E330&gt;0)*($E330 &lt;=End_of_period) * ($G330 &gt;=Beginning_of_period) * (1-SUM($K330:BP330)) /  IFERROR((DATEDIF(Beginning_of_period,$G330,"m") + 1) / Months_in_Period,0),0)</f>
        <v>0</v>
      </c>
      <c r="BR330" s="231">
        <f xml:space="preserve"> IFERROR(($E330&gt;0)*($E330 &lt;=End_of_period) * ($G330 &gt;=Beginning_of_period) * (1-SUM($K330:BQ330)) /  IFERROR((DATEDIF(Beginning_of_period,$G330,"m") + 1) / Months_in_Period,0),0)</f>
        <v>0</v>
      </c>
      <c r="BS330" s="231">
        <f xml:space="preserve"> IFERROR(($E330&gt;0)*($E330 &lt;=End_of_period) * ($G330 &gt;=Beginning_of_period) * (1-SUM($K330:BR330)) /  IFERROR((DATEDIF(Beginning_of_period,$G330,"m") + 1) / Months_in_Period,0),0)</f>
        <v>0</v>
      </c>
      <c r="BT330" s="231">
        <f xml:space="preserve"> IFERROR(($E330&gt;0)*($E330 &lt;=End_of_period) * ($G330 &gt;=Beginning_of_period) * (1-SUM($K330:BS330)) /  IFERROR((DATEDIF(Beginning_of_period,$G330,"m") + 1) / Months_in_Period,0),0)</f>
        <v>0</v>
      </c>
      <c r="BU330" s="231">
        <f xml:space="preserve"> IFERROR(($E330&gt;0)*($E330 &lt;=End_of_period) * ($G330 &gt;=Beginning_of_period) * (1-SUM($K330:BT330)) /  IFERROR((DATEDIF(Beginning_of_period,$G330,"m") + 1) / Months_in_Period,0),0)</f>
        <v>0</v>
      </c>
      <c r="BV330" s="231">
        <f xml:space="preserve"> IFERROR(($E330&gt;0)*($E330 &lt;=End_of_period) * ($G330 &gt;=Beginning_of_period) * (1-SUM($K330:BU330)) /  IFERROR((DATEDIF(Beginning_of_period,$G330,"m") + 1) / Months_in_Period,0),0)</f>
        <v>0</v>
      </c>
      <c r="BW330" s="231">
        <f xml:space="preserve"> IFERROR(($E330&gt;0)*($E330 &lt;=End_of_period) * ($G330 &gt;=Beginning_of_period) * (1-SUM($K330:BV330)) /  IFERROR((DATEDIF(Beginning_of_period,$G330,"m") + 1) / Months_in_Period,0),0)</f>
        <v>0</v>
      </c>
      <c r="BX330" s="231">
        <f xml:space="preserve"> IFERROR(($E330&gt;0)*($E330 &lt;=End_of_period) * ($G330 &gt;=Beginning_of_period) * (1-SUM($K330:BW330)) /  IFERROR((DATEDIF(Beginning_of_period,$G330,"m") + 1) / Months_in_Period,0),0)</f>
        <v>0</v>
      </c>
      <c r="BY330" s="231">
        <f xml:space="preserve"> IFERROR(($E330&gt;0)*($E330 &lt;=End_of_period) * ($G330 &gt;=Beginning_of_period) * (1-SUM($K330:BX330)) /  IFERROR((DATEDIF(Beginning_of_period,$G330,"m") + 1) / Months_in_Period,0),0)</f>
        <v>0</v>
      </c>
      <c r="BZ330" s="231">
        <f xml:space="preserve"> IFERROR(($E330&gt;0)*($E330 &lt;=End_of_period) * ($G330 &gt;=Beginning_of_period) * (1-SUM($K330:BY330)) /  IFERROR((DATEDIF(Beginning_of_period,$G330,"m") + 1) / Months_in_Period,0),0)</f>
        <v>0</v>
      </c>
      <c r="CA330" s="231">
        <f xml:space="preserve"> IFERROR(($E330&gt;0)*($E330 &lt;=End_of_period) * ($G330 &gt;=Beginning_of_period) * (1-SUM($K330:BZ330)) /  IFERROR((DATEDIF(Beginning_of_period,$G330,"m") + 1) / Months_in_Period,0),0)</f>
        <v>0</v>
      </c>
      <c r="CB330" s="231">
        <f xml:space="preserve"> IFERROR(($E330&gt;0)*($E330 &lt;=End_of_period) * ($G330 &gt;=Beginning_of_period) * (1-SUM($K330:CA330)) /  IFERROR((DATEDIF(Beginning_of_period,$G330,"m") + 1) / Months_in_Period,0),0)</f>
        <v>0</v>
      </c>
      <c r="CC330" s="231">
        <f xml:space="preserve"> IFERROR(($E330&gt;0)*($E330 &lt;=End_of_period) * ($G330 &gt;=Beginning_of_period) * (1-SUM($K330:CB330)) /  IFERROR((DATEDIF(Beginning_of_period,$G330,"m") + 1) / Months_in_Period,0),0)</f>
        <v>0</v>
      </c>
      <c r="CD330" s="231">
        <f xml:space="preserve"> IFERROR(($E330&gt;0)*($E330 &lt;=End_of_period) * ($G330 &gt;=Beginning_of_period) * (1-SUM($K330:CC330)) /  IFERROR((DATEDIF(Beginning_of_period,$G330,"m") + 1) / Months_in_Period,0),0)</f>
        <v>0</v>
      </c>
      <c r="CE330" s="231">
        <f xml:space="preserve"> IFERROR(($E330&gt;0)*($E330 &lt;=End_of_period) * ($G330 &gt;=Beginning_of_period) * (1-SUM($K330:CD330)) /  IFERROR((DATEDIF(Beginning_of_period,$G330,"m") + 1) / Months_in_Period,0),0)</f>
        <v>0</v>
      </c>
      <c r="CF330" s="231">
        <f xml:space="preserve"> IFERROR(($E330&gt;0)*($E330 &lt;=End_of_period) * ($G330 &gt;=Beginning_of_period) * (1-SUM($K330:CE330)) /  IFERROR((DATEDIF(Beginning_of_period,$G330,"m") + 1) / Months_in_Period,0),0)</f>
        <v>0</v>
      </c>
      <c r="CG330" s="231">
        <f xml:space="preserve"> IFERROR(($E330&gt;0)*($E330 &lt;=End_of_period) * ($G330 &gt;=Beginning_of_period) * (1-SUM($K330:CF330)) /  IFERROR((DATEDIF(Beginning_of_period,$G330,"m") + 1) / Months_in_Period,0),0)</f>
        <v>0</v>
      </c>
      <c r="CH330" s="231">
        <f xml:space="preserve"> IFERROR(($E330&gt;0)*($E330 &lt;=End_of_period) * ($G330 &gt;=Beginning_of_period) * (1-SUM($K330:CG330)) /  IFERROR((DATEDIF(Beginning_of_period,$G330,"m") + 1) / Months_in_Period,0),0)</f>
        <v>0</v>
      </c>
      <c r="CI330" s="231">
        <f xml:space="preserve"> IFERROR(($E330&gt;0)*($E330 &lt;=End_of_period) * ($G330 &gt;=Beginning_of_period) * (1-SUM($K330:CH330)) /  IFERROR((DATEDIF(Beginning_of_period,$G330,"m") + 1) / Months_in_Period,0),0)</f>
        <v>0</v>
      </c>
      <c r="CJ330" s="231">
        <f xml:space="preserve"> IFERROR(($E330&gt;0)*($E330 &lt;=End_of_period) * ($G330 &gt;=Beginning_of_period) * (1-SUM($K330:CI330)) /  IFERROR((DATEDIF(Beginning_of_period,$G330,"m") + 1) / Months_in_Period,0),0)</f>
        <v>0</v>
      </c>
      <c r="CK330" s="231">
        <f xml:space="preserve"> IFERROR(($E330&gt;0)*($E330 &lt;=End_of_period) * ($G330 &gt;=Beginning_of_period) * (1-SUM($K330:CJ330)) /  IFERROR((DATEDIF(Beginning_of_period,$G330,"m") + 1) / Months_in_Period,0),0)</f>
        <v>0</v>
      </c>
      <c r="CL330" s="231">
        <f xml:space="preserve"> IFERROR(($E330&gt;0)*($E330 &lt;=End_of_period) * ($G330 &gt;=Beginning_of_period) * (1-SUM($K330:CK330)) /  IFERROR((DATEDIF(Beginning_of_period,$G330,"m") + 1) / Months_in_Period,0),0)</f>
        <v>0</v>
      </c>
      <c r="CM330" s="231">
        <f xml:space="preserve"> IFERROR(($E330&gt;0)*($E330 &lt;=End_of_period) * ($G330 &gt;=Beginning_of_period) * (1-SUM($K330:CL330)) /  IFERROR((DATEDIF(Beginning_of_period,$G330,"m") + 1) / Months_in_Period,0),0)</f>
        <v>0</v>
      </c>
      <c r="CN330" s="231">
        <f xml:space="preserve"> IFERROR(($E330&gt;0)*($E330 &lt;=End_of_period) * ($G330 &gt;=Beginning_of_period) * (1-SUM($K330:CM330)) /  IFERROR((DATEDIF(Beginning_of_period,$G330,"m") + 1) / Months_in_Period,0),0)</f>
        <v>0</v>
      </c>
      <c r="CO330" s="231">
        <f xml:space="preserve"> IFERROR(($E330&gt;0)*($E330 &lt;=End_of_period) * ($G330 &gt;=Beginning_of_period) * (1-SUM($K330:CN330)) /  IFERROR((DATEDIF(Beginning_of_period,$G330,"m") + 1) / Months_in_Period,0),0)</f>
        <v>0</v>
      </c>
      <c r="CP330" s="10"/>
    </row>
    <row r="331" spans="1:94" ht="15" hidden="1" customHeight="1">
      <c r="A331" s="10"/>
      <c r="B331" s="3"/>
      <c r="C331" s="17" t="s">
        <v>821</v>
      </c>
      <c r="D331" s="10"/>
      <c r="E331" s="71">
        <v>46023</v>
      </c>
      <c r="F331" s="10"/>
      <c r="G331" s="477">
        <v>47118</v>
      </c>
      <c r="H331" s="149">
        <f xml:space="preserve"> IFERROR((DATEDIF(E331,G331,"m") + 1) / Months_in_Period,0)</f>
        <v>12</v>
      </c>
      <c r="I331" s="231">
        <f>IF(SUM(L331:CO331)=0,1,SUM(L331:CO331))</f>
        <v>1</v>
      </c>
      <c r="J331" s="10"/>
      <c r="K331" s="10"/>
      <c r="L331" s="231">
        <f xml:space="preserve"> IFERROR(($E331&gt;0)*($E331 &lt;=End_of_period) * ($G331 &gt;=Beginning_of_period) * (1-SUM($K331:K331)) /  IFERROR((DATEDIF(Beginning_of_period,$G331,"m") + 1) / Months_in_Period,0),0)</f>
        <v>0</v>
      </c>
      <c r="M331" s="231">
        <f xml:space="preserve"> IFERROR(($E331&gt;0)*($E331 &lt;=End_of_period) * ($G331 &gt;=Beginning_of_period) * (1-SUM($K331:L331)) /  IFERROR((DATEDIF(Beginning_of_period,$G331,"m") + 1) / Months_in_Period,0),0)</f>
        <v>0</v>
      </c>
      <c r="N331" s="231">
        <f xml:space="preserve"> IFERROR(($E331&gt;0)*($E331 &lt;=End_of_period) * ($G331 &gt;=Beginning_of_period) * (1-SUM($K331:M331)) /  IFERROR((DATEDIF(Beginning_of_period,$G331,"m") + 1) / Months_in_Period,0),0)</f>
        <v>0</v>
      </c>
      <c r="O331" s="231">
        <f xml:space="preserve"> IFERROR(($E331&gt;0)*($E331 &lt;=End_of_period) * ($G331 &gt;=Beginning_of_period) * (1-SUM($K331:N331)) /  IFERROR((DATEDIF(Beginning_of_period,$G331,"m") + 1) / Months_in_Period,0),0)</f>
        <v>0</v>
      </c>
      <c r="P331" s="231">
        <f xml:space="preserve"> IFERROR(($E331&gt;0)*($E331 &lt;=End_of_period) * ($G331 &gt;=Beginning_of_period) * (1-SUM($K331:O331)) /  IFERROR((DATEDIF(Beginning_of_period,$G331,"m") + 1) / Months_in_Period,0),0)</f>
        <v>8.3333333333333329E-2</v>
      </c>
      <c r="Q331" s="231">
        <f xml:space="preserve"> IFERROR(($E331&gt;0)*($E331 &lt;=End_of_period) * ($G331 &gt;=Beginning_of_period) * (1-SUM($K331:P331)) /  IFERROR((DATEDIF(Beginning_of_period,$G331,"m") + 1) / Months_in_Period,0),0)</f>
        <v>8.3333333333333329E-2</v>
      </c>
      <c r="R331" s="231">
        <f xml:space="preserve"> IFERROR(($E331&gt;0)*($E331 &lt;=End_of_period) * ($G331 &gt;=Beginning_of_period) * (1-SUM($K331:Q331)) /  IFERROR((DATEDIF(Beginning_of_period,$G331,"m") + 1) / Months_in_Period,0),0)</f>
        <v>8.3333333333333343E-2</v>
      </c>
      <c r="S331" s="231">
        <f xml:space="preserve"> IFERROR(($E331&gt;0)*($E331 &lt;=End_of_period) * ($G331 &gt;=Beginning_of_period) * (1-SUM($K331:R331)) /  IFERROR((DATEDIF(Beginning_of_period,$G331,"m") + 1) / Months_in_Period,0),0)</f>
        <v>8.3333333333333329E-2</v>
      </c>
      <c r="T331" s="231">
        <f xml:space="preserve"> IFERROR(($E331&gt;0)*($E331 &lt;=End_of_period) * ($G331 &gt;=Beginning_of_period) * (1-SUM($K331:S331)) /  IFERROR((DATEDIF(Beginning_of_period,$G331,"m") + 1) / Months_in_Period,0),0)</f>
        <v>8.3333333333333343E-2</v>
      </c>
      <c r="U331" s="231">
        <f xml:space="preserve"> IFERROR(($E331&gt;0)*($E331 &lt;=End_of_period) * ($G331 &gt;=Beginning_of_period) * (1-SUM($K331:T331)) /  IFERROR((DATEDIF(Beginning_of_period,$G331,"m") + 1) / Months_in_Period,0),0)</f>
        <v>8.3333333333333343E-2</v>
      </c>
      <c r="V331" s="231">
        <f xml:space="preserve"> IFERROR(($E331&gt;0)*($E331 &lt;=End_of_period) * ($G331 &gt;=Beginning_of_period) * (1-SUM($K331:U331)) /  IFERROR((DATEDIF(Beginning_of_period,$G331,"m") + 1) / Months_in_Period,0),0)</f>
        <v>8.3333333333333329E-2</v>
      </c>
      <c r="W331" s="231">
        <f xml:space="preserve"> IFERROR(($E331&gt;0)*($E331 &lt;=End_of_period) * ($G331 &gt;=Beginning_of_period) * (1-SUM($K331:V331)) /  IFERROR((DATEDIF(Beginning_of_period,$G331,"m") + 1) / Months_in_Period,0),0)</f>
        <v>8.3333333333333329E-2</v>
      </c>
      <c r="X331" s="231">
        <f xml:space="preserve"> IFERROR(($E331&gt;0)*($E331 &lt;=End_of_period) * ($G331 &gt;=Beginning_of_period) * (1-SUM($K331:W331)) /  IFERROR((DATEDIF(Beginning_of_period,$G331,"m") + 1) / Months_in_Period,0),0)</f>
        <v>8.3333333333333315E-2</v>
      </c>
      <c r="Y331" s="231">
        <f xml:space="preserve"> IFERROR(($E331&gt;0)*($E331 &lt;=End_of_period) * ($G331 &gt;=Beginning_of_period) * (1-SUM($K331:X331)) /  IFERROR((DATEDIF(Beginning_of_period,$G331,"m") + 1) / Months_in_Period,0),0)</f>
        <v>8.3333333333333329E-2</v>
      </c>
      <c r="Z331" s="231">
        <f xml:space="preserve"> IFERROR(($E331&gt;0)*($E331 &lt;=End_of_period) * ($G331 &gt;=Beginning_of_period) * (1-SUM($K331:Y331)) /  IFERROR((DATEDIF(Beginning_of_period,$G331,"m") + 1) / Months_in_Period,0),0)</f>
        <v>8.3333333333333315E-2</v>
      </c>
      <c r="AA331" s="231">
        <f xml:space="preserve"> IFERROR(($E331&gt;0)*($E331 &lt;=End_of_period) * ($G331 &gt;=Beginning_of_period) * (1-SUM($K331:Z331)) /  IFERROR((DATEDIF(Beginning_of_period,$G331,"m") + 1) / Months_in_Period,0),0)</f>
        <v>8.3333333333333259E-2</v>
      </c>
      <c r="AB331" s="231">
        <f xml:space="preserve"> IFERROR(($E331&gt;0)*($E331 &lt;=End_of_period) * ($G331 &gt;=Beginning_of_period) * (1-SUM($K331:AA331)) /  IFERROR((DATEDIF(Beginning_of_period,$G331,"m") + 1) / Months_in_Period,0),0)</f>
        <v>0</v>
      </c>
      <c r="AC331" s="231">
        <f xml:space="preserve"> IFERROR(($E331&gt;0)*($E331 &lt;=End_of_period) * ($G331 &gt;=Beginning_of_period) * (1-SUM($K331:AB331)) /  IFERROR((DATEDIF(Beginning_of_period,$G331,"m") + 1) / Months_in_Period,0),0)</f>
        <v>0</v>
      </c>
      <c r="AD331" s="231">
        <f xml:space="preserve"> IFERROR(($E331&gt;0)*($E331 &lt;=End_of_period) * ($G331 &gt;=Beginning_of_period) * (1-SUM($K331:AC331)) /  IFERROR((DATEDIF(Beginning_of_period,$G331,"m") + 1) / Months_in_Period,0),0)</f>
        <v>0</v>
      </c>
      <c r="AE331" s="231">
        <f xml:space="preserve"> IFERROR(($E331&gt;0)*($E331 &lt;=End_of_period) * ($G331 &gt;=Beginning_of_period) * (1-SUM($K331:AD331)) /  IFERROR((DATEDIF(Beginning_of_period,$G331,"m") + 1) / Months_in_Period,0),0)</f>
        <v>0</v>
      </c>
      <c r="AF331" s="231">
        <f xml:space="preserve"> IFERROR(($E331&gt;0)*($E331 &lt;=End_of_period) * ($G331 &gt;=Beginning_of_period) * (1-SUM($K331:AE331)) /  IFERROR((DATEDIF(Beginning_of_period,$G331,"m") + 1) / Months_in_Period,0),0)</f>
        <v>0</v>
      </c>
      <c r="AG331" s="231">
        <f xml:space="preserve"> IFERROR(($E331&gt;0)*($E331 &lt;=End_of_period) * ($G331 &gt;=Beginning_of_period) * (1-SUM($K331:AF331)) /  IFERROR((DATEDIF(Beginning_of_period,$G331,"m") + 1) / Months_in_Period,0),0)</f>
        <v>0</v>
      </c>
      <c r="AH331" s="231">
        <f xml:space="preserve"> IFERROR(($E331&gt;0)*($E331 &lt;=End_of_period) * ($G331 &gt;=Beginning_of_period) * (1-SUM($K331:AG331)) /  IFERROR((DATEDIF(Beginning_of_period,$G331,"m") + 1) / Months_in_Period,0),0)</f>
        <v>0</v>
      </c>
      <c r="AI331" s="231">
        <f xml:space="preserve"> IFERROR(($E331&gt;0)*($E331 &lt;=End_of_period) * ($G331 &gt;=Beginning_of_period) * (1-SUM($K331:AH331)) /  IFERROR((DATEDIF(Beginning_of_period,$G331,"m") + 1) / Months_in_Period,0),0)</f>
        <v>0</v>
      </c>
      <c r="AJ331" s="231">
        <f xml:space="preserve"> IFERROR(($E331&gt;0)*($E331 &lt;=End_of_period) * ($G331 &gt;=Beginning_of_period) * (1-SUM($K331:AI331)) /  IFERROR((DATEDIF(Beginning_of_period,$G331,"m") + 1) / Months_in_Period,0),0)</f>
        <v>0</v>
      </c>
      <c r="AK331" s="231">
        <f xml:space="preserve"> IFERROR(($E331&gt;0)*($E331 &lt;=End_of_period) * ($G331 &gt;=Beginning_of_period) * (1-SUM($K331:AJ331)) /  IFERROR((DATEDIF(Beginning_of_period,$G331,"m") + 1) / Months_in_Period,0),0)</f>
        <v>0</v>
      </c>
      <c r="AL331" s="231">
        <f xml:space="preserve"> IFERROR(($E331&gt;0)*($E331 &lt;=End_of_period) * ($G331 &gt;=Beginning_of_period) * (1-SUM($K331:AK331)) /  IFERROR((DATEDIF(Beginning_of_period,$G331,"m") + 1) / Months_in_Period,0),0)</f>
        <v>0</v>
      </c>
      <c r="AM331" s="231">
        <f xml:space="preserve"> IFERROR(($E331&gt;0)*($E331 &lt;=End_of_period) * ($G331 &gt;=Beginning_of_period) * (1-SUM($K331:AL331)) /  IFERROR((DATEDIF(Beginning_of_period,$G331,"m") + 1) / Months_in_Period,0),0)</f>
        <v>0</v>
      </c>
      <c r="AN331" s="231">
        <f xml:space="preserve"> IFERROR(($E331&gt;0)*($E331 &lt;=End_of_period) * ($G331 &gt;=Beginning_of_period) * (1-SUM($K331:AM331)) /  IFERROR((DATEDIF(Beginning_of_period,$G331,"m") + 1) / Months_in_Period,0),0)</f>
        <v>0</v>
      </c>
      <c r="AO331" s="231">
        <f xml:space="preserve"> IFERROR(($E331&gt;0)*($E331 &lt;=End_of_period) * ($G331 &gt;=Beginning_of_period) * (1-SUM($K331:AN331)) /  IFERROR((DATEDIF(Beginning_of_period,$G331,"m") + 1) / Months_in_Period,0),0)</f>
        <v>0</v>
      </c>
      <c r="AP331" s="231">
        <f xml:space="preserve"> IFERROR(($E331&gt;0)*($E331 &lt;=End_of_period) * ($G331 &gt;=Beginning_of_period) * (1-SUM($K331:AO331)) /  IFERROR((DATEDIF(Beginning_of_period,$G331,"m") + 1) / Months_in_Period,0),0)</f>
        <v>0</v>
      </c>
      <c r="AQ331" s="231">
        <f xml:space="preserve"> IFERROR(($E331&gt;0)*($E331 &lt;=End_of_period) * ($G331 &gt;=Beginning_of_period) * (1-SUM($K331:AP331)) /  IFERROR((DATEDIF(Beginning_of_period,$G331,"m") + 1) / Months_in_Period,0),0)</f>
        <v>0</v>
      </c>
      <c r="AR331" s="231">
        <f xml:space="preserve"> IFERROR(($E331&gt;0)*($E331 &lt;=End_of_period) * ($G331 &gt;=Beginning_of_period) * (1-SUM($K331:AQ331)) /  IFERROR((DATEDIF(Beginning_of_period,$G331,"m") + 1) / Months_in_Period,0),0)</f>
        <v>0</v>
      </c>
      <c r="AS331" s="231">
        <f xml:space="preserve"> IFERROR(($E331&gt;0)*($E331 &lt;=End_of_period) * ($G331 &gt;=Beginning_of_period) * (1-SUM($K331:AR331)) /  IFERROR((DATEDIF(Beginning_of_period,$G331,"m") + 1) / Months_in_Period,0),0)</f>
        <v>0</v>
      </c>
      <c r="AT331" s="231">
        <f xml:space="preserve"> IFERROR(($E331&gt;0)*($E331 &lt;=End_of_period) * ($G331 &gt;=Beginning_of_period) * (1-SUM($K331:AS331)) /  IFERROR((DATEDIF(Beginning_of_period,$G331,"m") + 1) / Months_in_Period,0),0)</f>
        <v>0</v>
      </c>
      <c r="AU331" s="231">
        <f xml:space="preserve"> IFERROR(($E331&gt;0)*($E331 &lt;=End_of_period) * ($G331 &gt;=Beginning_of_period) * (1-SUM($K331:AT331)) /  IFERROR((DATEDIF(Beginning_of_period,$G331,"m") + 1) / Months_in_Period,0),0)</f>
        <v>0</v>
      </c>
      <c r="AV331" s="231">
        <f xml:space="preserve"> IFERROR(($E331&gt;0)*($E331 &lt;=End_of_period) * ($G331 &gt;=Beginning_of_period) * (1-SUM($K331:AU331)) /  IFERROR((DATEDIF(Beginning_of_period,$G331,"m") + 1) / Months_in_Period,0),0)</f>
        <v>0</v>
      </c>
      <c r="AW331" s="231">
        <f xml:space="preserve"> IFERROR(($E331&gt;0)*($E331 &lt;=End_of_period) * ($G331 &gt;=Beginning_of_period) * (1-SUM($K331:AV331)) /  IFERROR((DATEDIF(Beginning_of_period,$G331,"m") + 1) / Months_in_Period,0),0)</f>
        <v>0</v>
      </c>
      <c r="AX331" s="231">
        <f xml:space="preserve"> IFERROR(($E331&gt;0)*($E331 &lt;=End_of_period) * ($G331 &gt;=Beginning_of_period) * (1-SUM($K331:AW331)) /  IFERROR((DATEDIF(Beginning_of_period,$G331,"m") + 1) / Months_in_Period,0),0)</f>
        <v>0</v>
      </c>
      <c r="AY331" s="231">
        <f xml:space="preserve"> IFERROR(($E331&gt;0)*($E331 &lt;=End_of_period) * ($G331 &gt;=Beginning_of_period) * (1-SUM($K331:AX331)) /  IFERROR((DATEDIF(Beginning_of_period,$G331,"m") + 1) / Months_in_Period,0),0)</f>
        <v>0</v>
      </c>
      <c r="AZ331" s="231">
        <f xml:space="preserve"> IFERROR(($E331&gt;0)*($E331 &lt;=End_of_period) * ($G331 &gt;=Beginning_of_period) * (1-SUM($K331:AY331)) /  IFERROR((DATEDIF(Beginning_of_period,$G331,"m") + 1) / Months_in_Period,0),0)</f>
        <v>0</v>
      </c>
      <c r="BA331" s="231">
        <f xml:space="preserve"> IFERROR(($E331&gt;0)*($E331 &lt;=End_of_period) * ($G331 &gt;=Beginning_of_period) * (1-SUM($K331:AZ331)) /  IFERROR((DATEDIF(Beginning_of_period,$G331,"m") + 1) / Months_in_Period,0),0)</f>
        <v>0</v>
      </c>
      <c r="BB331" s="231">
        <f xml:space="preserve"> IFERROR(($E331&gt;0)*($E331 &lt;=End_of_period) * ($G331 &gt;=Beginning_of_period) * (1-SUM($K331:BA331)) /  IFERROR((DATEDIF(Beginning_of_period,$G331,"m") + 1) / Months_in_Period,0),0)</f>
        <v>0</v>
      </c>
      <c r="BC331" s="231">
        <f xml:space="preserve"> IFERROR(($E331&gt;0)*($E331 &lt;=End_of_period) * ($G331 &gt;=Beginning_of_period) * (1-SUM($K331:BB331)) /  IFERROR((DATEDIF(Beginning_of_period,$G331,"m") + 1) / Months_in_Period,0),0)</f>
        <v>0</v>
      </c>
      <c r="BD331" s="231">
        <f xml:space="preserve"> IFERROR(($E331&gt;0)*($E331 &lt;=End_of_period) * ($G331 &gt;=Beginning_of_period) * (1-SUM($K331:BC331)) /  IFERROR((DATEDIF(Beginning_of_period,$G331,"m") + 1) / Months_in_Period,0),0)</f>
        <v>0</v>
      </c>
      <c r="BE331" s="231">
        <f xml:space="preserve"> IFERROR(($E331&gt;0)*($E331 &lt;=End_of_period) * ($G331 &gt;=Beginning_of_period) * (1-SUM($K331:BD331)) /  IFERROR((DATEDIF(Beginning_of_period,$G331,"m") + 1) / Months_in_Period,0),0)</f>
        <v>0</v>
      </c>
      <c r="BF331" s="231">
        <f xml:space="preserve"> IFERROR(($E331&gt;0)*($E331 &lt;=End_of_period) * ($G331 &gt;=Beginning_of_period) * (1-SUM($K331:BE331)) /  IFERROR((DATEDIF(Beginning_of_period,$G331,"m") + 1) / Months_in_Period,0),0)</f>
        <v>0</v>
      </c>
      <c r="BG331" s="231">
        <f xml:space="preserve"> IFERROR(($E331&gt;0)*($E331 &lt;=End_of_period) * ($G331 &gt;=Beginning_of_period) * (1-SUM($K331:BF331)) /  IFERROR((DATEDIF(Beginning_of_period,$G331,"m") + 1) / Months_in_Period,0),0)</f>
        <v>0</v>
      </c>
      <c r="BH331" s="231">
        <f xml:space="preserve"> IFERROR(($E331&gt;0)*($E331 &lt;=End_of_period) * ($G331 &gt;=Beginning_of_period) * (1-SUM($K331:BG331)) /  IFERROR((DATEDIF(Beginning_of_period,$G331,"m") + 1) / Months_in_Period,0),0)</f>
        <v>0</v>
      </c>
      <c r="BI331" s="231">
        <f xml:space="preserve"> IFERROR(($E331&gt;0)*($E331 &lt;=End_of_period) * ($G331 &gt;=Beginning_of_period) * (1-SUM($K331:BH331)) /  IFERROR((DATEDIF(Beginning_of_period,$G331,"m") + 1) / Months_in_Period,0),0)</f>
        <v>0</v>
      </c>
      <c r="BJ331" s="231">
        <f xml:space="preserve"> IFERROR(($E331&gt;0)*($E331 &lt;=End_of_period) * ($G331 &gt;=Beginning_of_period) * (1-SUM($K331:BI331)) /  IFERROR((DATEDIF(Beginning_of_period,$G331,"m") + 1) / Months_in_Period,0),0)</f>
        <v>0</v>
      </c>
      <c r="BK331" s="231">
        <f xml:space="preserve"> IFERROR(($E331&gt;0)*($E331 &lt;=End_of_period) * ($G331 &gt;=Beginning_of_period) * (1-SUM($K331:BJ331)) /  IFERROR((DATEDIF(Beginning_of_period,$G331,"m") + 1) / Months_in_Period,0),0)</f>
        <v>0</v>
      </c>
      <c r="BL331" s="231">
        <f xml:space="preserve"> IFERROR(($E331&gt;0)*($E331 &lt;=End_of_period) * ($G331 &gt;=Beginning_of_period) * (1-SUM($K331:BK331)) /  IFERROR((DATEDIF(Beginning_of_period,$G331,"m") + 1) / Months_in_Period,0),0)</f>
        <v>0</v>
      </c>
      <c r="BM331" s="231">
        <f xml:space="preserve"> IFERROR(($E331&gt;0)*($E331 &lt;=End_of_period) * ($G331 &gt;=Beginning_of_period) * (1-SUM($K331:BL331)) /  IFERROR((DATEDIF(Beginning_of_period,$G331,"m") + 1) / Months_in_Period,0),0)</f>
        <v>0</v>
      </c>
      <c r="BN331" s="231">
        <f xml:space="preserve"> IFERROR(($E331&gt;0)*($E331 &lt;=End_of_period) * ($G331 &gt;=Beginning_of_period) * (1-SUM($K331:BM331)) /  IFERROR((DATEDIF(Beginning_of_period,$G331,"m") + 1) / Months_in_Period,0),0)</f>
        <v>0</v>
      </c>
      <c r="BO331" s="231">
        <f xml:space="preserve"> IFERROR(($E331&gt;0)*($E331 &lt;=End_of_period) * ($G331 &gt;=Beginning_of_period) * (1-SUM($K331:BN331)) /  IFERROR((DATEDIF(Beginning_of_period,$G331,"m") + 1) / Months_in_Period,0),0)</f>
        <v>0</v>
      </c>
      <c r="BP331" s="231">
        <f xml:space="preserve"> IFERROR(($E331&gt;0)*($E331 &lt;=End_of_period) * ($G331 &gt;=Beginning_of_period) * (1-SUM($K331:BO331)) /  IFERROR((DATEDIF(Beginning_of_period,$G331,"m") + 1) / Months_in_Period,0),0)</f>
        <v>0</v>
      </c>
      <c r="BQ331" s="231">
        <f xml:space="preserve"> IFERROR(($E331&gt;0)*($E331 &lt;=End_of_period) * ($G331 &gt;=Beginning_of_period) * (1-SUM($K331:BP331)) /  IFERROR((DATEDIF(Beginning_of_period,$G331,"m") + 1) / Months_in_Period,0),0)</f>
        <v>0</v>
      </c>
      <c r="BR331" s="231">
        <f xml:space="preserve"> IFERROR(($E331&gt;0)*($E331 &lt;=End_of_period) * ($G331 &gt;=Beginning_of_period) * (1-SUM($K331:BQ331)) /  IFERROR((DATEDIF(Beginning_of_period,$G331,"m") + 1) / Months_in_Period,0),0)</f>
        <v>0</v>
      </c>
      <c r="BS331" s="231">
        <f xml:space="preserve"> IFERROR(($E331&gt;0)*($E331 &lt;=End_of_period) * ($G331 &gt;=Beginning_of_period) * (1-SUM($K331:BR331)) /  IFERROR((DATEDIF(Beginning_of_period,$G331,"m") + 1) / Months_in_Period,0),0)</f>
        <v>0</v>
      </c>
      <c r="BT331" s="231">
        <f xml:space="preserve"> IFERROR(($E331&gt;0)*($E331 &lt;=End_of_period) * ($G331 &gt;=Beginning_of_period) * (1-SUM($K331:BS331)) /  IFERROR((DATEDIF(Beginning_of_period,$G331,"m") + 1) / Months_in_Period,0),0)</f>
        <v>0</v>
      </c>
      <c r="BU331" s="231">
        <f xml:space="preserve"> IFERROR(($E331&gt;0)*($E331 &lt;=End_of_period) * ($G331 &gt;=Beginning_of_period) * (1-SUM($K331:BT331)) /  IFERROR((DATEDIF(Beginning_of_period,$G331,"m") + 1) / Months_in_Period,0),0)</f>
        <v>0</v>
      </c>
      <c r="BV331" s="231">
        <f xml:space="preserve"> IFERROR(($E331&gt;0)*($E331 &lt;=End_of_period) * ($G331 &gt;=Beginning_of_period) * (1-SUM($K331:BU331)) /  IFERROR((DATEDIF(Beginning_of_period,$G331,"m") + 1) / Months_in_Period,0),0)</f>
        <v>0</v>
      </c>
      <c r="BW331" s="231">
        <f xml:space="preserve"> IFERROR(($E331&gt;0)*($E331 &lt;=End_of_period) * ($G331 &gt;=Beginning_of_period) * (1-SUM($K331:BV331)) /  IFERROR((DATEDIF(Beginning_of_period,$G331,"m") + 1) / Months_in_Period,0),0)</f>
        <v>0</v>
      </c>
      <c r="BX331" s="231">
        <f xml:space="preserve"> IFERROR(($E331&gt;0)*($E331 &lt;=End_of_period) * ($G331 &gt;=Beginning_of_period) * (1-SUM($K331:BW331)) /  IFERROR((DATEDIF(Beginning_of_period,$G331,"m") + 1) / Months_in_Period,0),0)</f>
        <v>0</v>
      </c>
      <c r="BY331" s="231">
        <f xml:space="preserve"> IFERROR(($E331&gt;0)*($E331 &lt;=End_of_period) * ($G331 &gt;=Beginning_of_period) * (1-SUM($K331:BX331)) /  IFERROR((DATEDIF(Beginning_of_period,$G331,"m") + 1) / Months_in_Period,0),0)</f>
        <v>0</v>
      </c>
      <c r="BZ331" s="231">
        <f xml:space="preserve"> IFERROR(($E331&gt;0)*($E331 &lt;=End_of_period) * ($G331 &gt;=Beginning_of_period) * (1-SUM($K331:BY331)) /  IFERROR((DATEDIF(Beginning_of_period,$G331,"m") + 1) / Months_in_Period,0),0)</f>
        <v>0</v>
      </c>
      <c r="CA331" s="231">
        <f xml:space="preserve"> IFERROR(($E331&gt;0)*($E331 &lt;=End_of_period) * ($G331 &gt;=Beginning_of_period) * (1-SUM($K331:BZ331)) /  IFERROR((DATEDIF(Beginning_of_period,$G331,"m") + 1) / Months_in_Period,0),0)</f>
        <v>0</v>
      </c>
      <c r="CB331" s="231">
        <f xml:space="preserve"> IFERROR(($E331&gt;0)*($E331 &lt;=End_of_period) * ($G331 &gt;=Beginning_of_period) * (1-SUM($K331:CA331)) /  IFERROR((DATEDIF(Beginning_of_period,$G331,"m") + 1) / Months_in_Period,0),0)</f>
        <v>0</v>
      </c>
      <c r="CC331" s="231">
        <f xml:space="preserve"> IFERROR(($E331&gt;0)*($E331 &lt;=End_of_period) * ($G331 &gt;=Beginning_of_period) * (1-SUM($K331:CB331)) /  IFERROR((DATEDIF(Beginning_of_period,$G331,"m") + 1) / Months_in_Period,0),0)</f>
        <v>0</v>
      </c>
      <c r="CD331" s="231">
        <f xml:space="preserve"> IFERROR(($E331&gt;0)*($E331 &lt;=End_of_period) * ($G331 &gt;=Beginning_of_period) * (1-SUM($K331:CC331)) /  IFERROR((DATEDIF(Beginning_of_period,$G331,"m") + 1) / Months_in_Period,0),0)</f>
        <v>0</v>
      </c>
      <c r="CE331" s="231">
        <f xml:space="preserve"> IFERROR(($E331&gt;0)*($E331 &lt;=End_of_period) * ($G331 &gt;=Beginning_of_period) * (1-SUM($K331:CD331)) /  IFERROR((DATEDIF(Beginning_of_period,$G331,"m") + 1) / Months_in_Period,0),0)</f>
        <v>0</v>
      </c>
      <c r="CF331" s="231">
        <f xml:space="preserve"> IFERROR(($E331&gt;0)*($E331 &lt;=End_of_period) * ($G331 &gt;=Beginning_of_period) * (1-SUM($K331:CE331)) /  IFERROR((DATEDIF(Beginning_of_period,$G331,"m") + 1) / Months_in_Period,0),0)</f>
        <v>0</v>
      </c>
      <c r="CG331" s="231">
        <f xml:space="preserve"> IFERROR(($E331&gt;0)*($E331 &lt;=End_of_period) * ($G331 &gt;=Beginning_of_period) * (1-SUM($K331:CF331)) /  IFERROR((DATEDIF(Beginning_of_period,$G331,"m") + 1) / Months_in_Period,0),0)</f>
        <v>0</v>
      </c>
      <c r="CH331" s="231">
        <f xml:space="preserve"> IFERROR(($E331&gt;0)*($E331 &lt;=End_of_period) * ($G331 &gt;=Beginning_of_period) * (1-SUM($K331:CG331)) /  IFERROR((DATEDIF(Beginning_of_period,$G331,"m") + 1) / Months_in_Period,0),0)</f>
        <v>0</v>
      </c>
      <c r="CI331" s="231">
        <f xml:space="preserve"> IFERROR(($E331&gt;0)*($E331 &lt;=End_of_period) * ($G331 &gt;=Beginning_of_period) * (1-SUM($K331:CH331)) /  IFERROR((DATEDIF(Beginning_of_period,$G331,"m") + 1) / Months_in_Period,0),0)</f>
        <v>0</v>
      </c>
      <c r="CJ331" s="231">
        <f xml:space="preserve"> IFERROR(($E331&gt;0)*($E331 &lt;=End_of_period) * ($G331 &gt;=Beginning_of_period) * (1-SUM($K331:CI331)) /  IFERROR((DATEDIF(Beginning_of_period,$G331,"m") + 1) / Months_in_Period,0),0)</f>
        <v>0</v>
      </c>
      <c r="CK331" s="231">
        <f xml:space="preserve"> IFERROR(($E331&gt;0)*($E331 &lt;=End_of_period) * ($G331 &gt;=Beginning_of_period) * (1-SUM($K331:CJ331)) /  IFERROR((DATEDIF(Beginning_of_period,$G331,"m") + 1) / Months_in_Period,0),0)</f>
        <v>0</v>
      </c>
      <c r="CL331" s="231">
        <f xml:space="preserve"> IFERROR(($E331&gt;0)*($E331 &lt;=End_of_period) * ($G331 &gt;=Beginning_of_period) * (1-SUM($K331:CK331)) /  IFERROR((DATEDIF(Beginning_of_period,$G331,"m") + 1) / Months_in_Period,0),0)</f>
        <v>0</v>
      </c>
      <c r="CM331" s="231">
        <f xml:space="preserve"> IFERROR(($E331&gt;0)*($E331 &lt;=End_of_period) * ($G331 &gt;=Beginning_of_period) * (1-SUM($K331:CL331)) /  IFERROR((DATEDIF(Beginning_of_period,$G331,"m") + 1) / Months_in_Period,0),0)</f>
        <v>0</v>
      </c>
      <c r="CN331" s="231">
        <f xml:space="preserve"> IFERROR(($E331&gt;0)*($E331 &lt;=End_of_period) * ($G331 &gt;=Beginning_of_period) * (1-SUM($K331:CM331)) /  IFERROR((DATEDIF(Beginning_of_period,$G331,"m") + 1) / Months_in_Period,0),0)</f>
        <v>0</v>
      </c>
      <c r="CO331" s="231">
        <f xml:space="preserve"> IFERROR(($E331&gt;0)*($E331 &lt;=End_of_period) * ($G331 &gt;=Beginning_of_period) * (1-SUM($K331:CN331)) /  IFERROR((DATEDIF(Beginning_of_period,$G331,"m") + 1) / Months_in_Period,0),0)</f>
        <v>0</v>
      </c>
      <c r="CP331" s="10"/>
    </row>
    <row r="332" spans="1:94" ht="15" hidden="1" customHeight="1">
      <c r="A332" s="10"/>
      <c r="B332" s="3"/>
      <c r="C332" s="17"/>
      <c r="D332" s="10"/>
      <c r="E332" s="10"/>
      <c r="F332" s="10"/>
      <c r="G332" s="11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  <c r="CG332" s="10"/>
      <c r="CH332" s="10"/>
      <c r="CI332" s="10"/>
      <c r="CJ332" s="10"/>
      <c r="CK332" s="10"/>
      <c r="CL332" s="10"/>
      <c r="CM332" s="10"/>
      <c r="CN332" s="10"/>
      <c r="CO332" s="10"/>
      <c r="CP332" s="10"/>
    </row>
    <row r="333" spans="1:94" ht="15" hidden="1" customHeight="1">
      <c r="A333" s="10"/>
      <c r="B333" s="3"/>
      <c r="C333" s="382" t="str">
        <f xml:space="preserve"> "Сегмент 3: " &amp; C142</f>
        <v>Сегмент 3: Крытый парк развлечений</v>
      </c>
      <c r="D333" s="271"/>
      <c r="E333" s="271"/>
      <c r="F333" s="271"/>
      <c r="G333" s="272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  <c r="CA333" s="271"/>
      <c r="CB333" s="271"/>
      <c r="CC333" s="271"/>
      <c r="CD333" s="271"/>
      <c r="CE333" s="271"/>
      <c r="CF333" s="271"/>
      <c r="CG333" s="271"/>
      <c r="CH333" s="271"/>
      <c r="CI333" s="271"/>
      <c r="CJ333" s="271"/>
      <c r="CK333" s="271"/>
      <c r="CL333" s="271"/>
      <c r="CM333" s="271"/>
      <c r="CN333" s="271"/>
      <c r="CO333" s="271"/>
      <c r="CP333" s="10"/>
    </row>
    <row r="334" spans="1:94" ht="15" hidden="1" customHeight="1">
      <c r="A334" s="10"/>
      <c r="B334" s="3"/>
      <c r="C334" s="17"/>
      <c r="D334" s="10"/>
      <c r="E334" s="10"/>
      <c r="F334" s="10"/>
      <c r="G334" s="11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</row>
    <row r="335" spans="1:94" ht="15" hidden="1" customHeight="1" thickBot="1">
      <c r="A335" s="10"/>
      <c r="B335" s="3"/>
      <c r="C335" s="12" t="str">
        <f xml:space="preserve"> "Расходы на создание " &amp; Контр_панель!C32 &amp; " (в базовых ценах, без НДС)"</f>
        <v>Расходы на создание Крытый парк развлечений (в базовых ценах, без НДС)</v>
      </c>
      <c r="D335" s="12"/>
      <c r="E335" s="12"/>
      <c r="F335" s="12"/>
      <c r="G335" s="12"/>
      <c r="H335" s="12"/>
      <c r="I335" s="12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  <c r="CG335" s="10"/>
      <c r="CH335" s="10"/>
      <c r="CI335" s="10"/>
      <c r="CJ335" s="10"/>
      <c r="CK335" s="10"/>
      <c r="CL335" s="10"/>
      <c r="CM335" s="10"/>
      <c r="CN335" s="10"/>
      <c r="CO335" s="10"/>
      <c r="CP335" s="10"/>
    </row>
    <row r="336" spans="1:94" ht="15" hidden="1" customHeight="1">
      <c r="A336" s="10"/>
      <c r="B336" s="3"/>
      <c r="C336" s="17"/>
      <c r="D336" s="10"/>
      <c r="E336" s="10"/>
      <c r="F336" s="10"/>
      <c r="G336" s="11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  <c r="CP336" s="10"/>
    </row>
    <row r="337" spans="1:94" ht="15" hidden="1" customHeight="1">
      <c r="A337" s="10"/>
      <c r="B337" s="3"/>
      <c r="C337" s="67" t="s">
        <v>823</v>
      </c>
      <c r="D337" s="10"/>
      <c r="E337" s="10"/>
      <c r="F337" s="10"/>
      <c r="G337" s="11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  <c r="CG337" s="10"/>
      <c r="CH337" s="10"/>
      <c r="CI337" s="10"/>
      <c r="CJ337" s="10"/>
      <c r="CK337" s="10"/>
      <c r="CL337" s="10"/>
      <c r="CM337" s="10"/>
      <c r="CN337" s="10"/>
      <c r="CO337" s="10"/>
      <c r="CP337" s="10"/>
    </row>
    <row r="338" spans="1:94" ht="15" hidden="1" customHeight="1">
      <c r="A338" s="10"/>
      <c r="B338" s="3"/>
      <c r="C338" s="17" t="s">
        <v>833</v>
      </c>
      <c r="D338" s="10"/>
      <c r="E338" s="14"/>
      <c r="F338" s="10"/>
      <c r="G338" s="11" t="s">
        <v>830</v>
      </c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  <c r="CP338" s="10"/>
    </row>
    <row r="339" spans="1:94" ht="15" hidden="1" customHeight="1">
      <c r="A339" s="10"/>
      <c r="B339" s="3"/>
      <c r="C339" s="17" t="s">
        <v>834</v>
      </c>
      <c r="D339" s="10"/>
      <c r="E339" s="225"/>
      <c r="F339" s="10"/>
      <c r="G339" s="11" t="s">
        <v>829</v>
      </c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</row>
    <row r="340" spans="1:94" ht="15" hidden="1" customHeight="1">
      <c r="A340" s="10"/>
      <c r="B340" s="3"/>
      <c r="C340" s="248" t="s">
        <v>818</v>
      </c>
      <c r="D340" s="228"/>
      <c r="E340" s="229"/>
      <c r="F340" s="228"/>
      <c r="G340" s="230" t="str">
        <f>Monetary_Unit</f>
        <v>тыс. руб.</v>
      </c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  <c r="CP340" s="10"/>
    </row>
    <row r="341" spans="1:94" ht="15" hidden="1" customHeight="1">
      <c r="A341" s="10"/>
      <c r="B341" s="3"/>
      <c r="C341" s="17"/>
      <c r="D341" s="10"/>
      <c r="E341" s="10"/>
      <c r="F341" s="10"/>
      <c r="G341" s="11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  <c r="CP341" s="10"/>
    </row>
    <row r="342" spans="1:94" ht="15" hidden="1" customHeight="1">
      <c r="A342" s="10"/>
      <c r="B342" s="3"/>
      <c r="C342" s="67" t="s">
        <v>810</v>
      </c>
      <c r="D342" s="10"/>
      <c r="E342" s="10"/>
      <c r="F342" s="10"/>
      <c r="G342" s="11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  <c r="CP342" s="10"/>
    </row>
    <row r="343" spans="1:94" ht="15" hidden="1" customHeight="1">
      <c r="A343" s="10"/>
      <c r="B343" s="3"/>
      <c r="C343" s="17" t="s">
        <v>815</v>
      </c>
      <c r="D343" s="10"/>
      <c r="E343" s="167"/>
      <c r="F343" s="10"/>
      <c r="G343" s="11" t="s">
        <v>625</v>
      </c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  <c r="CP343" s="10"/>
    </row>
    <row r="344" spans="1:94" ht="15" hidden="1" customHeight="1">
      <c r="A344" s="10"/>
      <c r="B344" s="3"/>
      <c r="C344" s="17" t="s">
        <v>822</v>
      </c>
      <c r="D344" s="10"/>
      <c r="E344" s="167">
        <v>0</v>
      </c>
      <c r="F344" s="10"/>
      <c r="G344" s="11" t="s">
        <v>625</v>
      </c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</row>
    <row r="345" spans="1:94" ht="15" hidden="1" customHeight="1">
      <c r="A345" s="10"/>
      <c r="B345" s="3"/>
      <c r="C345" s="17" t="s">
        <v>797</v>
      </c>
      <c r="D345" s="10"/>
      <c r="E345" s="167">
        <v>0</v>
      </c>
      <c r="F345" s="10"/>
      <c r="G345" s="11" t="s">
        <v>625</v>
      </c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  <c r="CP345" s="10"/>
    </row>
    <row r="346" spans="1:94" ht="15" hidden="1" customHeight="1">
      <c r="A346" s="10"/>
      <c r="B346" s="3"/>
      <c r="C346" s="17"/>
      <c r="D346" s="10"/>
      <c r="E346" s="10"/>
      <c r="F346" s="10"/>
      <c r="G346" s="11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  <c r="CP346" s="10"/>
    </row>
    <row r="347" spans="1:94" ht="15" hidden="1" customHeight="1">
      <c r="A347" s="10"/>
      <c r="B347" s="3"/>
      <c r="C347" s="67" t="s">
        <v>811</v>
      </c>
      <c r="D347" s="10"/>
      <c r="E347" s="10" t="str">
        <f>"текушие цены на " &amp; TEXT(Расчеты!$E$85-1,"ДД.ММ.ГГГГ")</f>
        <v>текушие цены на 31.12.2024</v>
      </c>
      <c r="F347" s="10"/>
      <c r="G347" s="11"/>
      <c r="H347" s="10" t="s">
        <v>1176</v>
      </c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  <c r="CP347" s="10"/>
    </row>
    <row r="348" spans="1:94" ht="15" hidden="1" customHeight="1">
      <c r="A348" s="10"/>
      <c r="B348" s="3"/>
      <c r="C348" s="17" t="s">
        <v>630</v>
      </c>
      <c r="D348" s="10"/>
      <c r="E348" s="225">
        <f xml:space="preserve"> E340 * E343</f>
        <v>0</v>
      </c>
      <c r="F348" s="10"/>
      <c r="G348" s="11" t="str">
        <f>Monetary_Unit</f>
        <v>тыс. руб.</v>
      </c>
      <c r="H348" s="10">
        <f ca="1">E348*SUMPRODUCT(L355:CO355,CAPEX_Accumulated_From_Date)</f>
        <v>0</v>
      </c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  <c r="CP348" s="10"/>
    </row>
    <row r="349" spans="1:94" ht="15" hidden="1" customHeight="1">
      <c r="A349" s="10"/>
      <c r="B349" s="3"/>
      <c r="C349" s="17" t="s">
        <v>632</v>
      </c>
      <c r="D349" s="10"/>
      <c r="E349" s="225">
        <f xml:space="preserve"> E340 * E344</f>
        <v>0</v>
      </c>
      <c r="F349" s="10"/>
      <c r="G349" s="11" t="str">
        <f>Monetary_Unit</f>
        <v>тыс. руб.</v>
      </c>
      <c r="H349" s="10">
        <f ca="1">E349*SUMPRODUCT(L356:CO356,CAPEX_Accumulated_From_Date)</f>
        <v>0</v>
      </c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</row>
    <row r="350" spans="1:94" ht="15" hidden="1" customHeight="1">
      <c r="A350" s="10"/>
      <c r="B350" s="3"/>
      <c r="C350" s="17" t="s">
        <v>821</v>
      </c>
      <c r="D350" s="10"/>
      <c r="E350" s="225">
        <f xml:space="preserve"> E340</f>
        <v>0</v>
      </c>
      <c r="F350" s="10"/>
      <c r="G350" s="11" t="str">
        <f>Monetary_Unit</f>
        <v>тыс. руб.</v>
      </c>
      <c r="H350" s="10">
        <f ca="1">E350*SUMPRODUCT(L357:CO357,CAPEX_Accumulated_From_Date)</f>
        <v>0</v>
      </c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  <c r="CP350" s="10"/>
    </row>
    <row r="351" spans="1:94" ht="15" hidden="1" customHeight="1">
      <c r="A351" s="10"/>
      <c r="B351" s="3"/>
      <c r="C351" s="17" t="s">
        <v>797</v>
      </c>
      <c r="D351" s="10"/>
      <c r="E351" s="225">
        <f xml:space="preserve"> E350 * $E345</f>
        <v>0</v>
      </c>
      <c r="F351" s="10"/>
      <c r="G351" s="11" t="str">
        <f>Monetary_Unit</f>
        <v>тыс. руб.</v>
      </c>
      <c r="H351" s="225">
        <f ca="1" xml:space="preserve"> H350 * $E345</f>
        <v>0</v>
      </c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  <c r="CP351" s="10"/>
    </row>
    <row r="352" spans="1:94" ht="15" hidden="1" customHeight="1">
      <c r="A352" s="10"/>
      <c r="B352" s="3"/>
      <c r="C352" s="248" t="s">
        <v>828</v>
      </c>
      <c r="D352" s="228"/>
      <c r="E352" s="229">
        <f>SUM(E348:E351)</f>
        <v>0</v>
      </c>
      <c r="F352" s="228"/>
      <c r="G352" s="230" t="str">
        <f>Monetary_Unit</f>
        <v>тыс. руб.</v>
      </c>
      <c r="H352" s="229">
        <f ca="1">SUM(H348:H351)</f>
        <v>0</v>
      </c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  <c r="CP352" s="10"/>
    </row>
    <row r="353" spans="1:94" ht="15" hidden="1" customHeight="1">
      <c r="A353" s="10"/>
      <c r="B353" s="3"/>
      <c r="C353" s="17"/>
      <c r="D353" s="10"/>
      <c r="E353" s="10"/>
      <c r="F353" s="10"/>
      <c r="G353" s="11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  <c r="CG353" s="10"/>
      <c r="CH353" s="10"/>
      <c r="CI353" s="10"/>
      <c r="CJ353" s="10"/>
      <c r="CK353" s="10"/>
      <c r="CL353" s="10"/>
      <c r="CM353" s="10"/>
      <c r="CN353" s="10"/>
      <c r="CO353" s="10"/>
      <c r="CP353" s="10"/>
    </row>
    <row r="354" spans="1:94" ht="15" hidden="1" customHeight="1">
      <c r="A354" s="10"/>
      <c r="B354" s="3"/>
      <c r="C354" s="67" t="s">
        <v>825</v>
      </c>
      <c r="D354" s="10"/>
      <c r="E354" s="10" t="s">
        <v>635</v>
      </c>
      <c r="F354" s="10"/>
      <c r="G354" s="11" t="s">
        <v>636</v>
      </c>
      <c r="H354" s="62" t="s">
        <v>648</v>
      </c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</row>
    <row r="355" spans="1:94" ht="15" hidden="1" customHeight="1">
      <c r="A355" s="10"/>
      <c r="B355" s="3"/>
      <c r="C355" s="17" t="s">
        <v>630</v>
      </c>
      <c r="D355" s="10"/>
      <c r="E355" s="71"/>
      <c r="F355" s="10"/>
      <c r="G355" s="477"/>
      <c r="H355" s="149">
        <f xml:space="preserve"> IFERROR((DATEDIF(E355,G355,"m") + 1) / Months_in_Period,0)</f>
        <v>0.33333333333333331</v>
      </c>
      <c r="I355" s="231">
        <f>IF(SUM(L355:CO355)=0,1,SUM(L355:CO355))</f>
        <v>1</v>
      </c>
      <c r="J355" s="10"/>
      <c r="K355" s="10"/>
      <c r="L355" s="231">
        <f xml:space="preserve"> IFERROR(($E355&gt;0)*($E355 &lt;=End_of_period) * ($G355 &gt;=Beginning_of_period) * (1-SUM($K355:K355)) /  IFERROR((DATEDIF(Beginning_of_period,$G355,"m") + 1) / Months_in_Period,0),0)</f>
        <v>0</v>
      </c>
      <c r="M355" s="231">
        <f xml:space="preserve"> IFERROR(($E355&gt;0)*($E355 &lt;=End_of_period) * ($G355 &gt;=Beginning_of_period) * (1-SUM($K355:L355)) /  IFERROR((DATEDIF(Beginning_of_period,$G355,"m") + 1) / Months_in_Period,0),0)</f>
        <v>0</v>
      </c>
      <c r="N355" s="231">
        <f xml:space="preserve"> IFERROR(($E355&gt;0)*($E355 &lt;=End_of_period) * ($G355 &gt;=Beginning_of_period) * (1-SUM($K355:M355)) /  IFERROR((DATEDIF(Beginning_of_period,$G355,"m") + 1) / Months_in_Period,0),0)</f>
        <v>0</v>
      </c>
      <c r="O355" s="231">
        <f xml:space="preserve"> IFERROR(($E355&gt;0)*($E355 &lt;=End_of_period) * ($G355 &gt;=Beginning_of_period) * (1-SUM($K355:N355)) /  IFERROR((DATEDIF(Beginning_of_period,$G355,"m") + 1) / Months_in_Period,0),0)</f>
        <v>0</v>
      </c>
      <c r="P355" s="231">
        <f xml:space="preserve"> IFERROR(($E355&gt;0)*($E355 &lt;=End_of_period) * ($G355 &gt;=Beginning_of_period) * (1-SUM($K355:O355)) /  IFERROR((DATEDIF(Beginning_of_period,$G355,"m") + 1) / Months_in_Period,0),0)</f>
        <v>0</v>
      </c>
      <c r="Q355" s="231">
        <f xml:space="preserve"> IFERROR(($E355&gt;0)*($E355 &lt;=End_of_period) * ($G355 &gt;=Beginning_of_period) * (1-SUM($K355:P355)) /  IFERROR((DATEDIF(Beginning_of_period,$G355,"m") + 1) / Months_in_Period,0),0)</f>
        <v>0</v>
      </c>
      <c r="R355" s="231">
        <f xml:space="preserve"> IFERROR(($E355&gt;0)*($E355 &lt;=End_of_period) * ($G355 &gt;=Beginning_of_period) * (1-SUM($K355:Q355)) /  IFERROR((DATEDIF(Beginning_of_period,$G355,"m") + 1) / Months_in_Period,0),0)</f>
        <v>0</v>
      </c>
      <c r="S355" s="231">
        <f xml:space="preserve"> IFERROR(($E355&gt;0)*($E355 &lt;=End_of_period) * ($G355 &gt;=Beginning_of_period) * (1-SUM($K355:R355)) /  IFERROR((DATEDIF(Beginning_of_period,$G355,"m") + 1) / Months_in_Period,0),0)</f>
        <v>0</v>
      </c>
      <c r="T355" s="231">
        <f xml:space="preserve"> IFERROR(($E355&gt;0)*($E355 &lt;=End_of_period) * ($G355 &gt;=Beginning_of_period) * (1-SUM($K355:S355)) /  IFERROR((DATEDIF(Beginning_of_period,$G355,"m") + 1) / Months_in_Period,0),0)</f>
        <v>0</v>
      </c>
      <c r="U355" s="231">
        <f xml:space="preserve"> IFERROR(($E355&gt;0)*($E355 &lt;=End_of_period) * ($G355 &gt;=Beginning_of_period) * (1-SUM($K355:T355)) /  IFERROR((DATEDIF(Beginning_of_period,$G355,"m") + 1) / Months_in_Period,0),0)</f>
        <v>0</v>
      </c>
      <c r="V355" s="231">
        <f xml:space="preserve"> IFERROR(($E355&gt;0)*($E355 &lt;=End_of_period) * ($G355 &gt;=Beginning_of_period) * (1-SUM($K355:U355)) /  IFERROR((DATEDIF(Beginning_of_period,$G355,"m") + 1) / Months_in_Period,0),0)</f>
        <v>0</v>
      </c>
      <c r="W355" s="231">
        <f xml:space="preserve"> IFERROR(($E355&gt;0)*($E355 &lt;=End_of_period) * ($G355 &gt;=Beginning_of_period) * (1-SUM($K355:V355)) /  IFERROR((DATEDIF(Beginning_of_period,$G355,"m") + 1) / Months_in_Period,0),0)</f>
        <v>0</v>
      </c>
      <c r="X355" s="231">
        <f xml:space="preserve"> IFERROR(($E355&gt;0)*($E355 &lt;=End_of_period) * ($G355 &gt;=Beginning_of_period) * (1-SUM($K355:W355)) /  IFERROR((DATEDIF(Beginning_of_period,$G355,"m") + 1) / Months_in_Period,0),0)</f>
        <v>0</v>
      </c>
      <c r="Y355" s="231">
        <f xml:space="preserve"> IFERROR(($E355&gt;0)*($E355 &lt;=End_of_period) * ($G355 &gt;=Beginning_of_period) * (1-SUM($K355:X355)) /  IFERROR((DATEDIF(Beginning_of_period,$G355,"m") + 1) / Months_in_Period,0),0)</f>
        <v>0</v>
      </c>
      <c r="Z355" s="231">
        <f xml:space="preserve"> IFERROR(($E355&gt;0)*($E355 &lt;=End_of_period) * ($G355 &gt;=Beginning_of_period) * (1-SUM($K355:Y355)) /  IFERROR((DATEDIF(Beginning_of_period,$G355,"m") + 1) / Months_in_Period,0),0)</f>
        <v>0</v>
      </c>
      <c r="AA355" s="231">
        <f xml:space="preserve"> IFERROR(($E355&gt;0)*($E355 &lt;=End_of_period) * ($G355 &gt;=Beginning_of_period) * (1-SUM($K355:Z355)) /  IFERROR((DATEDIF(Beginning_of_period,$G355,"m") + 1) / Months_in_Period,0),0)</f>
        <v>0</v>
      </c>
      <c r="AB355" s="231">
        <f xml:space="preserve"> IFERROR(($E355&gt;0)*($E355 &lt;=End_of_period) * ($G355 &gt;=Beginning_of_period) * (1-SUM($K355:AA355)) /  IFERROR((DATEDIF(Beginning_of_period,$G355,"m") + 1) / Months_in_Period,0),0)</f>
        <v>0</v>
      </c>
      <c r="AC355" s="231">
        <f xml:space="preserve"> IFERROR(($E355&gt;0)*($E355 &lt;=End_of_period) * ($G355 &gt;=Beginning_of_period) * (1-SUM($K355:AB355)) /  IFERROR((DATEDIF(Beginning_of_period,$G355,"m") + 1) / Months_in_Period,0),0)</f>
        <v>0</v>
      </c>
      <c r="AD355" s="231">
        <f xml:space="preserve"> IFERROR(($E355&gt;0)*($E355 &lt;=End_of_period) * ($G355 &gt;=Beginning_of_period) * (1-SUM($K355:AC355)) /  IFERROR((DATEDIF(Beginning_of_period,$G355,"m") + 1) / Months_in_Period,0),0)</f>
        <v>0</v>
      </c>
      <c r="AE355" s="231">
        <f xml:space="preserve"> IFERROR(($E355&gt;0)*($E355 &lt;=End_of_period) * ($G355 &gt;=Beginning_of_period) * (1-SUM($K355:AD355)) /  IFERROR((DATEDIF(Beginning_of_period,$G355,"m") + 1) / Months_in_Period,0),0)</f>
        <v>0</v>
      </c>
      <c r="AF355" s="231">
        <f xml:space="preserve"> IFERROR(($E355&gt;0)*($E355 &lt;=End_of_period) * ($G355 &gt;=Beginning_of_period) * (1-SUM($K355:AE355)) /  IFERROR((DATEDIF(Beginning_of_period,$G355,"m") + 1) / Months_in_Period,0),0)</f>
        <v>0</v>
      </c>
      <c r="AG355" s="231">
        <f xml:space="preserve"> IFERROR(($E355&gt;0)*($E355 &lt;=End_of_period) * ($G355 &gt;=Beginning_of_period) * (1-SUM($K355:AF355)) /  IFERROR((DATEDIF(Beginning_of_period,$G355,"m") + 1) / Months_in_Period,0),0)</f>
        <v>0</v>
      </c>
      <c r="AH355" s="231">
        <f xml:space="preserve"> IFERROR(($E355&gt;0)*($E355 &lt;=End_of_period) * ($G355 &gt;=Beginning_of_period) * (1-SUM($K355:AG355)) /  IFERROR((DATEDIF(Beginning_of_period,$G355,"m") + 1) / Months_in_Period,0),0)</f>
        <v>0</v>
      </c>
      <c r="AI355" s="231">
        <f xml:space="preserve"> IFERROR(($E355&gt;0)*($E355 &lt;=End_of_period) * ($G355 &gt;=Beginning_of_period) * (1-SUM($K355:AH355)) /  IFERROR((DATEDIF(Beginning_of_period,$G355,"m") + 1) / Months_in_Period,0),0)</f>
        <v>0</v>
      </c>
      <c r="AJ355" s="231">
        <f xml:space="preserve"> IFERROR(($E355&gt;0)*($E355 &lt;=End_of_period) * ($G355 &gt;=Beginning_of_period) * (1-SUM($K355:AI355)) /  IFERROR((DATEDIF(Beginning_of_period,$G355,"m") + 1) / Months_in_Period,0),0)</f>
        <v>0</v>
      </c>
      <c r="AK355" s="231">
        <f xml:space="preserve"> IFERROR(($E355&gt;0)*($E355 &lt;=End_of_period) * ($G355 &gt;=Beginning_of_period) * (1-SUM($K355:AJ355)) /  IFERROR((DATEDIF(Beginning_of_period,$G355,"m") + 1) / Months_in_Period,0),0)</f>
        <v>0</v>
      </c>
      <c r="AL355" s="231">
        <f xml:space="preserve"> IFERROR(($E355&gt;0)*($E355 &lt;=End_of_period) * ($G355 &gt;=Beginning_of_period) * (1-SUM($K355:AK355)) /  IFERROR((DATEDIF(Beginning_of_period,$G355,"m") + 1) / Months_in_Period,0),0)</f>
        <v>0</v>
      </c>
      <c r="AM355" s="231">
        <f xml:space="preserve"> IFERROR(($E355&gt;0)*($E355 &lt;=End_of_period) * ($G355 &gt;=Beginning_of_period) * (1-SUM($K355:AL355)) /  IFERROR((DATEDIF(Beginning_of_period,$G355,"m") + 1) / Months_in_Period,0),0)</f>
        <v>0</v>
      </c>
      <c r="AN355" s="231">
        <f xml:space="preserve"> IFERROR(($E355&gt;0)*($E355 &lt;=End_of_period) * ($G355 &gt;=Beginning_of_period) * (1-SUM($K355:AM355)) /  IFERROR((DATEDIF(Beginning_of_period,$G355,"m") + 1) / Months_in_Period,0),0)</f>
        <v>0</v>
      </c>
      <c r="AO355" s="231">
        <f xml:space="preserve"> IFERROR(($E355&gt;0)*($E355 &lt;=End_of_period) * ($G355 &gt;=Beginning_of_period) * (1-SUM($K355:AN355)) /  IFERROR((DATEDIF(Beginning_of_period,$G355,"m") + 1) / Months_in_Period,0),0)</f>
        <v>0</v>
      </c>
      <c r="AP355" s="231">
        <f xml:space="preserve"> IFERROR(($E355&gt;0)*($E355 &lt;=End_of_period) * ($G355 &gt;=Beginning_of_period) * (1-SUM($K355:AO355)) /  IFERROR((DATEDIF(Beginning_of_period,$G355,"m") + 1) / Months_in_Period,0),0)</f>
        <v>0</v>
      </c>
      <c r="AQ355" s="231">
        <f xml:space="preserve"> IFERROR(($E355&gt;0)*($E355 &lt;=End_of_period) * ($G355 &gt;=Beginning_of_period) * (1-SUM($K355:AP355)) /  IFERROR((DATEDIF(Beginning_of_period,$G355,"m") + 1) / Months_in_Period,0),0)</f>
        <v>0</v>
      </c>
      <c r="AR355" s="231">
        <f xml:space="preserve"> IFERROR(($E355&gt;0)*($E355 &lt;=End_of_period) * ($G355 &gt;=Beginning_of_period) * (1-SUM($K355:AQ355)) /  IFERROR((DATEDIF(Beginning_of_period,$G355,"m") + 1) / Months_in_Period,0),0)</f>
        <v>0</v>
      </c>
      <c r="AS355" s="231">
        <f xml:space="preserve"> IFERROR(($E355&gt;0)*($E355 &lt;=End_of_period) * ($G355 &gt;=Beginning_of_period) * (1-SUM($K355:AR355)) /  IFERROR((DATEDIF(Beginning_of_period,$G355,"m") + 1) / Months_in_Period,0),0)</f>
        <v>0</v>
      </c>
      <c r="AT355" s="231">
        <f xml:space="preserve"> IFERROR(($E355&gt;0)*($E355 &lt;=End_of_period) * ($G355 &gt;=Beginning_of_period) * (1-SUM($K355:AS355)) /  IFERROR((DATEDIF(Beginning_of_period,$G355,"m") + 1) / Months_in_Period,0),0)</f>
        <v>0</v>
      </c>
      <c r="AU355" s="231">
        <f xml:space="preserve"> IFERROR(($E355&gt;0)*($E355 &lt;=End_of_period) * ($G355 &gt;=Beginning_of_period) * (1-SUM($K355:AT355)) /  IFERROR((DATEDIF(Beginning_of_period,$G355,"m") + 1) / Months_in_Period,0),0)</f>
        <v>0</v>
      </c>
      <c r="AV355" s="231">
        <f xml:space="preserve"> IFERROR(($E355&gt;0)*($E355 &lt;=End_of_period) * ($G355 &gt;=Beginning_of_period) * (1-SUM($K355:AU355)) /  IFERROR((DATEDIF(Beginning_of_period,$G355,"m") + 1) / Months_in_Period,0),0)</f>
        <v>0</v>
      </c>
      <c r="AW355" s="231">
        <f xml:space="preserve"> IFERROR(($E355&gt;0)*($E355 &lt;=End_of_period) * ($G355 &gt;=Beginning_of_period) * (1-SUM($K355:AV355)) /  IFERROR((DATEDIF(Beginning_of_period,$G355,"m") + 1) / Months_in_Period,0),0)</f>
        <v>0</v>
      </c>
      <c r="AX355" s="231">
        <f xml:space="preserve"> IFERROR(($E355&gt;0)*($E355 &lt;=End_of_period) * ($G355 &gt;=Beginning_of_period) * (1-SUM($K355:AW355)) /  IFERROR((DATEDIF(Beginning_of_period,$G355,"m") + 1) / Months_in_Period,0),0)</f>
        <v>0</v>
      </c>
      <c r="AY355" s="231">
        <f xml:space="preserve"> IFERROR(($E355&gt;0)*($E355 &lt;=End_of_period) * ($G355 &gt;=Beginning_of_period) * (1-SUM($K355:AX355)) /  IFERROR((DATEDIF(Beginning_of_period,$G355,"m") + 1) / Months_in_Period,0),0)</f>
        <v>0</v>
      </c>
      <c r="AZ355" s="231">
        <f xml:space="preserve"> IFERROR(($E355&gt;0)*($E355 &lt;=End_of_period) * ($G355 &gt;=Beginning_of_period) * (1-SUM($K355:AY355)) /  IFERROR((DATEDIF(Beginning_of_period,$G355,"m") + 1) / Months_in_Period,0),0)</f>
        <v>0</v>
      </c>
      <c r="BA355" s="231">
        <f xml:space="preserve"> IFERROR(($E355&gt;0)*($E355 &lt;=End_of_period) * ($G355 &gt;=Beginning_of_period) * (1-SUM($K355:AZ355)) /  IFERROR((DATEDIF(Beginning_of_period,$G355,"m") + 1) / Months_in_Period,0),0)</f>
        <v>0</v>
      </c>
      <c r="BB355" s="231">
        <f xml:space="preserve"> IFERROR(($E355&gt;0)*($E355 &lt;=End_of_period) * ($G355 &gt;=Beginning_of_period) * (1-SUM($K355:BA355)) /  IFERROR((DATEDIF(Beginning_of_period,$G355,"m") + 1) / Months_in_Period,0),0)</f>
        <v>0</v>
      </c>
      <c r="BC355" s="231">
        <f xml:space="preserve"> IFERROR(($E355&gt;0)*($E355 &lt;=End_of_period) * ($G355 &gt;=Beginning_of_period) * (1-SUM($K355:BB355)) /  IFERROR((DATEDIF(Beginning_of_period,$G355,"m") + 1) / Months_in_Period,0),0)</f>
        <v>0</v>
      </c>
      <c r="BD355" s="231">
        <f xml:space="preserve"> IFERROR(($E355&gt;0)*($E355 &lt;=End_of_period) * ($G355 &gt;=Beginning_of_period) * (1-SUM($K355:BC355)) /  IFERROR((DATEDIF(Beginning_of_period,$G355,"m") + 1) / Months_in_Period,0),0)</f>
        <v>0</v>
      </c>
      <c r="BE355" s="231">
        <f xml:space="preserve"> IFERROR(($E355&gt;0)*($E355 &lt;=End_of_period) * ($G355 &gt;=Beginning_of_period) * (1-SUM($K355:BD355)) /  IFERROR((DATEDIF(Beginning_of_period,$G355,"m") + 1) / Months_in_Period,0),0)</f>
        <v>0</v>
      </c>
      <c r="BF355" s="231">
        <f xml:space="preserve"> IFERROR(($E355&gt;0)*($E355 &lt;=End_of_period) * ($G355 &gt;=Beginning_of_period) * (1-SUM($K355:BE355)) /  IFERROR((DATEDIF(Beginning_of_period,$G355,"m") + 1) / Months_in_Period,0),0)</f>
        <v>0</v>
      </c>
      <c r="BG355" s="231">
        <f xml:space="preserve"> IFERROR(($E355&gt;0)*($E355 &lt;=End_of_period) * ($G355 &gt;=Beginning_of_period) * (1-SUM($K355:BF355)) /  IFERROR((DATEDIF(Beginning_of_period,$G355,"m") + 1) / Months_in_Period,0),0)</f>
        <v>0</v>
      </c>
      <c r="BH355" s="231">
        <f xml:space="preserve"> IFERROR(($E355&gt;0)*($E355 &lt;=End_of_period) * ($G355 &gt;=Beginning_of_period) * (1-SUM($K355:BG355)) /  IFERROR((DATEDIF(Beginning_of_period,$G355,"m") + 1) / Months_in_Period,0),0)</f>
        <v>0</v>
      </c>
      <c r="BI355" s="231">
        <f xml:space="preserve"> IFERROR(($E355&gt;0)*($E355 &lt;=End_of_period) * ($G355 &gt;=Beginning_of_period) * (1-SUM($K355:BH355)) /  IFERROR((DATEDIF(Beginning_of_period,$G355,"m") + 1) / Months_in_Period,0),0)</f>
        <v>0</v>
      </c>
      <c r="BJ355" s="231">
        <f xml:space="preserve"> IFERROR(($E355&gt;0)*($E355 &lt;=End_of_period) * ($G355 &gt;=Beginning_of_period) * (1-SUM($K355:BI355)) /  IFERROR((DATEDIF(Beginning_of_period,$G355,"m") + 1) / Months_in_Period,0),0)</f>
        <v>0</v>
      </c>
      <c r="BK355" s="231">
        <f xml:space="preserve"> IFERROR(($E355&gt;0)*($E355 &lt;=End_of_period) * ($G355 &gt;=Beginning_of_period) * (1-SUM($K355:BJ355)) /  IFERROR((DATEDIF(Beginning_of_period,$G355,"m") + 1) / Months_in_Period,0),0)</f>
        <v>0</v>
      </c>
      <c r="BL355" s="231">
        <f xml:space="preserve"> IFERROR(($E355&gt;0)*($E355 &lt;=End_of_period) * ($G355 &gt;=Beginning_of_period) * (1-SUM($K355:BK355)) /  IFERROR((DATEDIF(Beginning_of_period,$G355,"m") + 1) / Months_in_Period,0),0)</f>
        <v>0</v>
      </c>
      <c r="BM355" s="231">
        <f xml:space="preserve"> IFERROR(($E355&gt;0)*($E355 &lt;=End_of_period) * ($G355 &gt;=Beginning_of_period) * (1-SUM($K355:BL355)) /  IFERROR((DATEDIF(Beginning_of_period,$G355,"m") + 1) / Months_in_Period,0),0)</f>
        <v>0</v>
      </c>
      <c r="BN355" s="231">
        <f xml:space="preserve"> IFERROR(($E355&gt;0)*($E355 &lt;=End_of_period) * ($G355 &gt;=Beginning_of_period) * (1-SUM($K355:BM355)) /  IFERROR((DATEDIF(Beginning_of_period,$G355,"m") + 1) / Months_in_Period,0),0)</f>
        <v>0</v>
      </c>
      <c r="BO355" s="231">
        <f xml:space="preserve"> IFERROR(($E355&gt;0)*($E355 &lt;=End_of_period) * ($G355 &gt;=Beginning_of_period) * (1-SUM($K355:BN355)) /  IFERROR((DATEDIF(Beginning_of_period,$G355,"m") + 1) / Months_in_Period,0),0)</f>
        <v>0</v>
      </c>
      <c r="BP355" s="231">
        <f xml:space="preserve"> IFERROR(($E355&gt;0)*($E355 &lt;=End_of_period) * ($G355 &gt;=Beginning_of_period) * (1-SUM($K355:BO355)) /  IFERROR((DATEDIF(Beginning_of_period,$G355,"m") + 1) / Months_in_Period,0),0)</f>
        <v>0</v>
      </c>
      <c r="BQ355" s="231">
        <f xml:space="preserve"> IFERROR(($E355&gt;0)*($E355 &lt;=End_of_period) * ($G355 &gt;=Beginning_of_period) * (1-SUM($K355:BP355)) /  IFERROR((DATEDIF(Beginning_of_period,$G355,"m") + 1) / Months_in_Period,0),0)</f>
        <v>0</v>
      </c>
      <c r="BR355" s="231">
        <f xml:space="preserve"> IFERROR(($E355&gt;0)*($E355 &lt;=End_of_period) * ($G355 &gt;=Beginning_of_period) * (1-SUM($K355:BQ355)) /  IFERROR((DATEDIF(Beginning_of_period,$G355,"m") + 1) / Months_in_Period,0),0)</f>
        <v>0</v>
      </c>
      <c r="BS355" s="231">
        <f xml:space="preserve"> IFERROR(($E355&gt;0)*($E355 &lt;=End_of_period) * ($G355 &gt;=Beginning_of_period) * (1-SUM($K355:BR355)) /  IFERROR((DATEDIF(Beginning_of_period,$G355,"m") + 1) / Months_in_Period,0),0)</f>
        <v>0</v>
      </c>
      <c r="BT355" s="231">
        <f xml:space="preserve"> IFERROR(($E355&gt;0)*($E355 &lt;=End_of_period) * ($G355 &gt;=Beginning_of_period) * (1-SUM($K355:BS355)) /  IFERROR((DATEDIF(Beginning_of_period,$G355,"m") + 1) / Months_in_Period,0),0)</f>
        <v>0</v>
      </c>
      <c r="BU355" s="231">
        <f xml:space="preserve"> IFERROR(($E355&gt;0)*($E355 &lt;=End_of_period) * ($G355 &gt;=Beginning_of_period) * (1-SUM($K355:BT355)) /  IFERROR((DATEDIF(Beginning_of_period,$G355,"m") + 1) / Months_in_Period,0),0)</f>
        <v>0</v>
      </c>
      <c r="BV355" s="231">
        <f xml:space="preserve"> IFERROR(($E355&gt;0)*($E355 &lt;=End_of_period) * ($G355 &gt;=Beginning_of_period) * (1-SUM($K355:BU355)) /  IFERROR((DATEDIF(Beginning_of_period,$G355,"m") + 1) / Months_in_Period,0),0)</f>
        <v>0</v>
      </c>
      <c r="BW355" s="231">
        <f xml:space="preserve"> IFERROR(($E355&gt;0)*($E355 &lt;=End_of_period) * ($G355 &gt;=Beginning_of_period) * (1-SUM($K355:BV355)) /  IFERROR((DATEDIF(Beginning_of_period,$G355,"m") + 1) / Months_in_Period,0),0)</f>
        <v>0</v>
      </c>
      <c r="BX355" s="231">
        <f xml:space="preserve"> IFERROR(($E355&gt;0)*($E355 &lt;=End_of_period) * ($G355 &gt;=Beginning_of_period) * (1-SUM($K355:BW355)) /  IFERROR((DATEDIF(Beginning_of_period,$G355,"m") + 1) / Months_in_Period,0),0)</f>
        <v>0</v>
      </c>
      <c r="BY355" s="231">
        <f xml:space="preserve"> IFERROR(($E355&gt;0)*($E355 &lt;=End_of_period) * ($G355 &gt;=Beginning_of_period) * (1-SUM($K355:BX355)) /  IFERROR((DATEDIF(Beginning_of_period,$G355,"m") + 1) / Months_in_Period,0),0)</f>
        <v>0</v>
      </c>
      <c r="BZ355" s="231">
        <f xml:space="preserve"> IFERROR(($E355&gt;0)*($E355 &lt;=End_of_period) * ($G355 &gt;=Beginning_of_period) * (1-SUM($K355:BY355)) /  IFERROR((DATEDIF(Beginning_of_period,$G355,"m") + 1) / Months_in_Period,0),0)</f>
        <v>0</v>
      </c>
      <c r="CA355" s="231">
        <f xml:space="preserve"> IFERROR(($E355&gt;0)*($E355 &lt;=End_of_period) * ($G355 &gt;=Beginning_of_period) * (1-SUM($K355:BZ355)) /  IFERROR((DATEDIF(Beginning_of_period,$G355,"m") + 1) / Months_in_Period,0),0)</f>
        <v>0</v>
      </c>
      <c r="CB355" s="231">
        <f xml:space="preserve"> IFERROR(($E355&gt;0)*($E355 &lt;=End_of_period) * ($G355 &gt;=Beginning_of_period) * (1-SUM($K355:CA355)) /  IFERROR((DATEDIF(Beginning_of_period,$G355,"m") + 1) / Months_in_Period,0),0)</f>
        <v>0</v>
      </c>
      <c r="CC355" s="231">
        <f xml:space="preserve"> IFERROR(($E355&gt;0)*($E355 &lt;=End_of_period) * ($G355 &gt;=Beginning_of_period) * (1-SUM($K355:CB355)) /  IFERROR((DATEDIF(Beginning_of_period,$G355,"m") + 1) / Months_in_Period,0),0)</f>
        <v>0</v>
      </c>
      <c r="CD355" s="231">
        <f xml:space="preserve"> IFERROR(($E355&gt;0)*($E355 &lt;=End_of_period) * ($G355 &gt;=Beginning_of_period) * (1-SUM($K355:CC355)) /  IFERROR((DATEDIF(Beginning_of_period,$G355,"m") + 1) / Months_in_Period,0),0)</f>
        <v>0</v>
      </c>
      <c r="CE355" s="231">
        <f xml:space="preserve"> IFERROR(($E355&gt;0)*($E355 &lt;=End_of_period) * ($G355 &gt;=Beginning_of_period) * (1-SUM($K355:CD355)) /  IFERROR((DATEDIF(Beginning_of_period,$G355,"m") + 1) / Months_in_Period,0),0)</f>
        <v>0</v>
      </c>
      <c r="CF355" s="231">
        <f xml:space="preserve"> IFERROR(($E355&gt;0)*($E355 &lt;=End_of_period) * ($G355 &gt;=Beginning_of_period) * (1-SUM($K355:CE355)) /  IFERROR((DATEDIF(Beginning_of_period,$G355,"m") + 1) / Months_in_Period,0),0)</f>
        <v>0</v>
      </c>
      <c r="CG355" s="231">
        <f xml:space="preserve"> IFERROR(($E355&gt;0)*($E355 &lt;=End_of_period) * ($G355 &gt;=Beginning_of_period) * (1-SUM($K355:CF355)) /  IFERROR((DATEDIF(Beginning_of_period,$G355,"m") + 1) / Months_in_Period,0),0)</f>
        <v>0</v>
      </c>
      <c r="CH355" s="231">
        <f xml:space="preserve"> IFERROR(($E355&gt;0)*($E355 &lt;=End_of_period) * ($G355 &gt;=Beginning_of_period) * (1-SUM($K355:CG355)) /  IFERROR((DATEDIF(Beginning_of_period,$G355,"m") + 1) / Months_in_Period,0),0)</f>
        <v>0</v>
      </c>
      <c r="CI355" s="231">
        <f xml:space="preserve"> IFERROR(($E355&gt;0)*($E355 &lt;=End_of_period) * ($G355 &gt;=Beginning_of_period) * (1-SUM($K355:CH355)) /  IFERROR((DATEDIF(Beginning_of_period,$G355,"m") + 1) / Months_in_Period,0),0)</f>
        <v>0</v>
      </c>
      <c r="CJ355" s="231">
        <f xml:space="preserve"> IFERROR(($E355&gt;0)*($E355 &lt;=End_of_period) * ($G355 &gt;=Beginning_of_period) * (1-SUM($K355:CI355)) /  IFERROR((DATEDIF(Beginning_of_period,$G355,"m") + 1) / Months_in_Period,0),0)</f>
        <v>0</v>
      </c>
      <c r="CK355" s="231">
        <f xml:space="preserve"> IFERROR(($E355&gt;0)*($E355 &lt;=End_of_period) * ($G355 &gt;=Beginning_of_period) * (1-SUM($K355:CJ355)) /  IFERROR((DATEDIF(Beginning_of_period,$G355,"m") + 1) / Months_in_Period,0),0)</f>
        <v>0</v>
      </c>
      <c r="CL355" s="231">
        <f xml:space="preserve"> IFERROR(($E355&gt;0)*($E355 &lt;=End_of_period) * ($G355 &gt;=Beginning_of_period) * (1-SUM($K355:CK355)) /  IFERROR((DATEDIF(Beginning_of_period,$G355,"m") + 1) / Months_in_Period,0),0)</f>
        <v>0</v>
      </c>
      <c r="CM355" s="231">
        <f xml:space="preserve"> IFERROR(($E355&gt;0)*($E355 &lt;=End_of_period) * ($G355 &gt;=Beginning_of_period) * (1-SUM($K355:CL355)) /  IFERROR((DATEDIF(Beginning_of_period,$G355,"m") + 1) / Months_in_Period,0),0)</f>
        <v>0</v>
      </c>
      <c r="CN355" s="231">
        <f xml:space="preserve"> IFERROR(($E355&gt;0)*($E355 &lt;=End_of_period) * ($G355 &gt;=Beginning_of_period) * (1-SUM($K355:CM355)) /  IFERROR((DATEDIF(Beginning_of_period,$G355,"m") + 1) / Months_in_Period,0),0)</f>
        <v>0</v>
      </c>
      <c r="CO355" s="231">
        <f xml:space="preserve"> IFERROR(($E355&gt;0)*($E355 &lt;=End_of_period) * ($G355 &gt;=Beginning_of_period) * (1-SUM($K355:CN355)) /  IFERROR((DATEDIF(Beginning_of_period,$G355,"m") + 1) / Months_in_Period,0),0)</f>
        <v>0</v>
      </c>
      <c r="CP355" s="10"/>
    </row>
    <row r="356" spans="1:94" ht="15" hidden="1" customHeight="1">
      <c r="A356" s="10"/>
      <c r="B356" s="3"/>
      <c r="C356" s="17" t="s">
        <v>632</v>
      </c>
      <c r="D356" s="10"/>
      <c r="E356" s="71"/>
      <c r="F356" s="10"/>
      <c r="G356" s="477"/>
      <c r="H356" s="149">
        <f xml:space="preserve"> IFERROR((DATEDIF(E356,G356,"m") + 1) / Months_in_Period,0)</f>
        <v>0.33333333333333331</v>
      </c>
      <c r="I356" s="231">
        <f>IF(SUM(L356:CO356)=0,1,SUM(L356:CO356))</f>
        <v>1</v>
      </c>
      <c r="J356" s="10"/>
      <c r="K356" s="10"/>
      <c r="L356" s="231">
        <f xml:space="preserve"> IFERROR(($E356&gt;0)*($E356 &lt;=End_of_period) * ($G356 &gt;=Beginning_of_period) * (1-SUM($K356:K356)) /  IFERROR((DATEDIF(Beginning_of_period,$G356,"m") + 1) / Months_in_Period,0),0)</f>
        <v>0</v>
      </c>
      <c r="M356" s="231">
        <f xml:space="preserve"> IFERROR(($E356&gt;0)*($E356 &lt;=End_of_period) * ($G356 &gt;=Beginning_of_period) * (1-SUM($K356:L356)) /  IFERROR((DATEDIF(Beginning_of_period,$G356,"m") + 1) / Months_in_Period,0),0)</f>
        <v>0</v>
      </c>
      <c r="N356" s="231">
        <f xml:space="preserve"> IFERROR(($E356&gt;0)*($E356 &lt;=End_of_period) * ($G356 &gt;=Beginning_of_period) * (1-SUM($K356:M356)) /  IFERROR((DATEDIF(Beginning_of_period,$G356,"m") + 1) / Months_in_Period,0),0)</f>
        <v>0</v>
      </c>
      <c r="O356" s="231">
        <f xml:space="preserve"> IFERROR(($E356&gt;0)*($E356 &lt;=End_of_period) * ($G356 &gt;=Beginning_of_period) * (1-SUM($K356:N356)) /  IFERROR((DATEDIF(Beginning_of_period,$G356,"m") + 1) / Months_in_Period,0),0)</f>
        <v>0</v>
      </c>
      <c r="P356" s="231">
        <f xml:space="preserve"> IFERROR(($E356&gt;0)*($E356 &lt;=End_of_period) * ($G356 &gt;=Beginning_of_period) * (1-SUM($K356:O356)) /  IFERROR((DATEDIF(Beginning_of_period,$G356,"m") + 1) / Months_in_Period,0),0)</f>
        <v>0</v>
      </c>
      <c r="Q356" s="231">
        <f xml:space="preserve"> IFERROR(($E356&gt;0)*($E356 &lt;=End_of_period) * ($G356 &gt;=Beginning_of_period) * (1-SUM($K356:P356)) /  IFERROR((DATEDIF(Beginning_of_period,$G356,"m") + 1) / Months_in_Period,0),0)</f>
        <v>0</v>
      </c>
      <c r="R356" s="231">
        <f xml:space="preserve"> IFERROR(($E356&gt;0)*($E356 &lt;=End_of_period) * ($G356 &gt;=Beginning_of_period) * (1-SUM($K356:Q356)) /  IFERROR((DATEDIF(Beginning_of_period,$G356,"m") + 1) / Months_in_Period,0),0)</f>
        <v>0</v>
      </c>
      <c r="S356" s="231">
        <f xml:space="preserve"> IFERROR(($E356&gt;0)*($E356 &lt;=End_of_period) * ($G356 &gt;=Beginning_of_period) * (1-SUM($K356:R356)) /  IFERROR((DATEDIF(Beginning_of_period,$G356,"m") + 1) / Months_in_Period,0),0)</f>
        <v>0</v>
      </c>
      <c r="T356" s="231">
        <f xml:space="preserve"> IFERROR(($E356&gt;0)*($E356 &lt;=End_of_period) * ($G356 &gt;=Beginning_of_period) * (1-SUM($K356:S356)) /  IFERROR((DATEDIF(Beginning_of_period,$G356,"m") + 1) / Months_in_Period,0),0)</f>
        <v>0</v>
      </c>
      <c r="U356" s="231">
        <f xml:space="preserve"> IFERROR(($E356&gt;0)*($E356 &lt;=End_of_period) * ($G356 &gt;=Beginning_of_period) * (1-SUM($K356:T356)) /  IFERROR((DATEDIF(Beginning_of_period,$G356,"m") + 1) / Months_in_Period,0),0)</f>
        <v>0</v>
      </c>
      <c r="V356" s="231">
        <f xml:space="preserve"> IFERROR(($E356&gt;0)*($E356 &lt;=End_of_period) * ($G356 &gt;=Beginning_of_period) * (1-SUM($K356:U356)) /  IFERROR((DATEDIF(Beginning_of_period,$G356,"m") + 1) / Months_in_Period,0),0)</f>
        <v>0</v>
      </c>
      <c r="W356" s="231">
        <f xml:space="preserve"> IFERROR(($E356&gt;0)*($E356 &lt;=End_of_period) * ($G356 &gt;=Beginning_of_period) * (1-SUM($K356:V356)) /  IFERROR((DATEDIF(Beginning_of_period,$G356,"m") + 1) / Months_in_Period,0),0)</f>
        <v>0</v>
      </c>
      <c r="X356" s="231">
        <f xml:space="preserve"> IFERROR(($E356&gt;0)*($E356 &lt;=End_of_period) * ($G356 &gt;=Beginning_of_period) * (1-SUM($K356:W356)) /  IFERROR((DATEDIF(Beginning_of_period,$G356,"m") + 1) / Months_in_Period,0),0)</f>
        <v>0</v>
      </c>
      <c r="Y356" s="231">
        <f xml:space="preserve"> IFERROR(($E356&gt;0)*($E356 &lt;=End_of_period) * ($G356 &gt;=Beginning_of_period) * (1-SUM($K356:X356)) /  IFERROR((DATEDIF(Beginning_of_period,$G356,"m") + 1) / Months_in_Period,0),0)</f>
        <v>0</v>
      </c>
      <c r="Z356" s="231">
        <f xml:space="preserve"> IFERROR(($E356&gt;0)*($E356 &lt;=End_of_period) * ($G356 &gt;=Beginning_of_period) * (1-SUM($K356:Y356)) /  IFERROR((DATEDIF(Beginning_of_period,$G356,"m") + 1) / Months_in_Period,0),0)</f>
        <v>0</v>
      </c>
      <c r="AA356" s="231">
        <f xml:space="preserve"> IFERROR(($E356&gt;0)*($E356 &lt;=End_of_period) * ($G356 &gt;=Beginning_of_period) * (1-SUM($K356:Z356)) /  IFERROR((DATEDIF(Beginning_of_period,$G356,"m") + 1) / Months_in_Period,0),0)</f>
        <v>0</v>
      </c>
      <c r="AB356" s="231">
        <f xml:space="preserve"> IFERROR(($E356&gt;0)*($E356 &lt;=End_of_period) * ($G356 &gt;=Beginning_of_period) * (1-SUM($K356:AA356)) /  IFERROR((DATEDIF(Beginning_of_period,$G356,"m") + 1) / Months_in_Period,0),0)</f>
        <v>0</v>
      </c>
      <c r="AC356" s="231">
        <f xml:space="preserve"> IFERROR(($E356&gt;0)*($E356 &lt;=End_of_period) * ($G356 &gt;=Beginning_of_period) * (1-SUM($K356:AB356)) /  IFERROR((DATEDIF(Beginning_of_period,$G356,"m") + 1) / Months_in_Period,0),0)</f>
        <v>0</v>
      </c>
      <c r="AD356" s="231">
        <f xml:space="preserve"> IFERROR(($E356&gt;0)*($E356 &lt;=End_of_period) * ($G356 &gt;=Beginning_of_period) * (1-SUM($K356:AC356)) /  IFERROR((DATEDIF(Beginning_of_period,$G356,"m") + 1) / Months_in_Period,0),0)</f>
        <v>0</v>
      </c>
      <c r="AE356" s="231">
        <f xml:space="preserve"> IFERROR(($E356&gt;0)*($E356 &lt;=End_of_period) * ($G356 &gt;=Beginning_of_period) * (1-SUM($K356:AD356)) /  IFERROR((DATEDIF(Beginning_of_period,$G356,"m") + 1) / Months_in_Period,0),0)</f>
        <v>0</v>
      </c>
      <c r="AF356" s="231">
        <f xml:space="preserve"> IFERROR(($E356&gt;0)*($E356 &lt;=End_of_period) * ($G356 &gt;=Beginning_of_period) * (1-SUM($K356:AE356)) /  IFERROR((DATEDIF(Beginning_of_period,$G356,"m") + 1) / Months_in_Period,0),0)</f>
        <v>0</v>
      </c>
      <c r="AG356" s="231">
        <f xml:space="preserve"> IFERROR(($E356&gt;0)*($E356 &lt;=End_of_period) * ($G356 &gt;=Beginning_of_period) * (1-SUM($K356:AF356)) /  IFERROR((DATEDIF(Beginning_of_period,$G356,"m") + 1) / Months_in_Period,0),0)</f>
        <v>0</v>
      </c>
      <c r="AH356" s="231">
        <f xml:space="preserve"> IFERROR(($E356&gt;0)*($E356 &lt;=End_of_period) * ($G356 &gt;=Beginning_of_period) * (1-SUM($K356:AG356)) /  IFERROR((DATEDIF(Beginning_of_period,$G356,"m") + 1) / Months_in_Period,0),0)</f>
        <v>0</v>
      </c>
      <c r="AI356" s="231">
        <f xml:space="preserve"> IFERROR(($E356&gt;0)*($E356 &lt;=End_of_period) * ($G356 &gt;=Beginning_of_period) * (1-SUM($K356:AH356)) /  IFERROR((DATEDIF(Beginning_of_period,$G356,"m") + 1) / Months_in_Period,0),0)</f>
        <v>0</v>
      </c>
      <c r="AJ356" s="231">
        <f xml:space="preserve"> IFERROR(($E356&gt;0)*($E356 &lt;=End_of_period) * ($G356 &gt;=Beginning_of_period) * (1-SUM($K356:AI356)) /  IFERROR((DATEDIF(Beginning_of_period,$G356,"m") + 1) / Months_in_Period,0),0)</f>
        <v>0</v>
      </c>
      <c r="AK356" s="231">
        <f xml:space="preserve"> IFERROR(($E356&gt;0)*($E356 &lt;=End_of_period) * ($G356 &gt;=Beginning_of_period) * (1-SUM($K356:AJ356)) /  IFERROR((DATEDIF(Beginning_of_period,$G356,"m") + 1) / Months_in_Period,0),0)</f>
        <v>0</v>
      </c>
      <c r="AL356" s="231">
        <f xml:space="preserve"> IFERROR(($E356&gt;0)*($E356 &lt;=End_of_period) * ($G356 &gt;=Beginning_of_period) * (1-SUM($K356:AK356)) /  IFERROR((DATEDIF(Beginning_of_period,$G356,"m") + 1) / Months_in_Period,0),0)</f>
        <v>0</v>
      </c>
      <c r="AM356" s="231">
        <f xml:space="preserve"> IFERROR(($E356&gt;0)*($E356 &lt;=End_of_period) * ($G356 &gt;=Beginning_of_period) * (1-SUM($K356:AL356)) /  IFERROR((DATEDIF(Beginning_of_period,$G356,"m") + 1) / Months_in_Period,0),0)</f>
        <v>0</v>
      </c>
      <c r="AN356" s="231">
        <f xml:space="preserve"> IFERROR(($E356&gt;0)*($E356 &lt;=End_of_period) * ($G356 &gt;=Beginning_of_period) * (1-SUM($K356:AM356)) /  IFERROR((DATEDIF(Beginning_of_period,$G356,"m") + 1) / Months_in_Period,0),0)</f>
        <v>0</v>
      </c>
      <c r="AO356" s="231">
        <f xml:space="preserve"> IFERROR(($E356&gt;0)*($E356 &lt;=End_of_period) * ($G356 &gt;=Beginning_of_period) * (1-SUM($K356:AN356)) /  IFERROR((DATEDIF(Beginning_of_period,$G356,"m") + 1) / Months_in_Period,0),0)</f>
        <v>0</v>
      </c>
      <c r="AP356" s="231">
        <f xml:space="preserve"> IFERROR(($E356&gt;0)*($E356 &lt;=End_of_period) * ($G356 &gt;=Beginning_of_period) * (1-SUM($K356:AO356)) /  IFERROR((DATEDIF(Beginning_of_period,$G356,"m") + 1) / Months_in_Period,0),0)</f>
        <v>0</v>
      </c>
      <c r="AQ356" s="231">
        <f xml:space="preserve"> IFERROR(($E356&gt;0)*($E356 &lt;=End_of_period) * ($G356 &gt;=Beginning_of_period) * (1-SUM($K356:AP356)) /  IFERROR((DATEDIF(Beginning_of_period,$G356,"m") + 1) / Months_in_Period,0),0)</f>
        <v>0</v>
      </c>
      <c r="AR356" s="231">
        <f xml:space="preserve"> IFERROR(($E356&gt;0)*($E356 &lt;=End_of_period) * ($G356 &gt;=Beginning_of_period) * (1-SUM($K356:AQ356)) /  IFERROR((DATEDIF(Beginning_of_period,$G356,"m") + 1) / Months_in_Period,0),0)</f>
        <v>0</v>
      </c>
      <c r="AS356" s="231">
        <f xml:space="preserve"> IFERROR(($E356&gt;0)*($E356 &lt;=End_of_period) * ($G356 &gt;=Beginning_of_period) * (1-SUM($K356:AR356)) /  IFERROR((DATEDIF(Beginning_of_period,$G356,"m") + 1) / Months_in_Period,0),0)</f>
        <v>0</v>
      </c>
      <c r="AT356" s="231">
        <f xml:space="preserve"> IFERROR(($E356&gt;0)*($E356 &lt;=End_of_period) * ($G356 &gt;=Beginning_of_period) * (1-SUM($K356:AS356)) /  IFERROR((DATEDIF(Beginning_of_period,$G356,"m") + 1) / Months_in_Period,0),0)</f>
        <v>0</v>
      </c>
      <c r="AU356" s="231">
        <f xml:space="preserve"> IFERROR(($E356&gt;0)*($E356 &lt;=End_of_period) * ($G356 &gt;=Beginning_of_period) * (1-SUM($K356:AT356)) /  IFERROR((DATEDIF(Beginning_of_period,$G356,"m") + 1) / Months_in_Period,0),0)</f>
        <v>0</v>
      </c>
      <c r="AV356" s="231">
        <f xml:space="preserve"> IFERROR(($E356&gt;0)*($E356 &lt;=End_of_period) * ($G356 &gt;=Beginning_of_period) * (1-SUM($K356:AU356)) /  IFERROR((DATEDIF(Beginning_of_period,$G356,"m") + 1) / Months_in_Period,0),0)</f>
        <v>0</v>
      </c>
      <c r="AW356" s="231">
        <f xml:space="preserve"> IFERROR(($E356&gt;0)*($E356 &lt;=End_of_period) * ($G356 &gt;=Beginning_of_period) * (1-SUM($K356:AV356)) /  IFERROR((DATEDIF(Beginning_of_period,$G356,"m") + 1) / Months_in_Period,0),0)</f>
        <v>0</v>
      </c>
      <c r="AX356" s="231">
        <f xml:space="preserve"> IFERROR(($E356&gt;0)*($E356 &lt;=End_of_period) * ($G356 &gt;=Beginning_of_period) * (1-SUM($K356:AW356)) /  IFERROR((DATEDIF(Beginning_of_period,$G356,"m") + 1) / Months_in_Period,0),0)</f>
        <v>0</v>
      </c>
      <c r="AY356" s="231">
        <f xml:space="preserve"> IFERROR(($E356&gt;0)*($E356 &lt;=End_of_period) * ($G356 &gt;=Beginning_of_period) * (1-SUM($K356:AX356)) /  IFERROR((DATEDIF(Beginning_of_period,$G356,"m") + 1) / Months_in_Period,0),0)</f>
        <v>0</v>
      </c>
      <c r="AZ356" s="231">
        <f xml:space="preserve"> IFERROR(($E356&gt;0)*($E356 &lt;=End_of_period) * ($G356 &gt;=Beginning_of_period) * (1-SUM($K356:AY356)) /  IFERROR((DATEDIF(Beginning_of_period,$G356,"m") + 1) / Months_in_Period,0),0)</f>
        <v>0</v>
      </c>
      <c r="BA356" s="231">
        <f xml:space="preserve"> IFERROR(($E356&gt;0)*($E356 &lt;=End_of_period) * ($G356 &gt;=Beginning_of_period) * (1-SUM($K356:AZ356)) /  IFERROR((DATEDIF(Beginning_of_period,$G356,"m") + 1) / Months_in_Period,0),0)</f>
        <v>0</v>
      </c>
      <c r="BB356" s="231">
        <f xml:space="preserve"> IFERROR(($E356&gt;0)*($E356 &lt;=End_of_period) * ($G356 &gt;=Beginning_of_period) * (1-SUM($K356:BA356)) /  IFERROR((DATEDIF(Beginning_of_period,$G356,"m") + 1) / Months_in_Period,0),0)</f>
        <v>0</v>
      </c>
      <c r="BC356" s="231">
        <f xml:space="preserve"> IFERROR(($E356&gt;0)*($E356 &lt;=End_of_period) * ($G356 &gt;=Beginning_of_period) * (1-SUM($K356:BB356)) /  IFERROR((DATEDIF(Beginning_of_period,$G356,"m") + 1) / Months_in_Period,0),0)</f>
        <v>0</v>
      </c>
      <c r="BD356" s="231">
        <f xml:space="preserve"> IFERROR(($E356&gt;0)*($E356 &lt;=End_of_period) * ($G356 &gt;=Beginning_of_period) * (1-SUM($K356:BC356)) /  IFERROR((DATEDIF(Beginning_of_period,$G356,"m") + 1) / Months_in_Period,0),0)</f>
        <v>0</v>
      </c>
      <c r="BE356" s="231">
        <f xml:space="preserve"> IFERROR(($E356&gt;0)*($E356 &lt;=End_of_period) * ($G356 &gt;=Beginning_of_period) * (1-SUM($K356:BD356)) /  IFERROR((DATEDIF(Beginning_of_period,$G356,"m") + 1) / Months_in_Period,0),0)</f>
        <v>0</v>
      </c>
      <c r="BF356" s="231">
        <f xml:space="preserve"> IFERROR(($E356&gt;0)*($E356 &lt;=End_of_period) * ($G356 &gt;=Beginning_of_period) * (1-SUM($K356:BE356)) /  IFERROR((DATEDIF(Beginning_of_period,$G356,"m") + 1) / Months_in_Period,0),0)</f>
        <v>0</v>
      </c>
      <c r="BG356" s="231">
        <f xml:space="preserve"> IFERROR(($E356&gt;0)*($E356 &lt;=End_of_period) * ($G356 &gt;=Beginning_of_period) * (1-SUM($K356:BF356)) /  IFERROR((DATEDIF(Beginning_of_period,$G356,"m") + 1) / Months_in_Period,0),0)</f>
        <v>0</v>
      </c>
      <c r="BH356" s="231">
        <f xml:space="preserve"> IFERROR(($E356&gt;0)*($E356 &lt;=End_of_period) * ($G356 &gt;=Beginning_of_period) * (1-SUM($K356:BG356)) /  IFERROR((DATEDIF(Beginning_of_period,$G356,"m") + 1) / Months_in_Period,0),0)</f>
        <v>0</v>
      </c>
      <c r="BI356" s="231">
        <f xml:space="preserve"> IFERROR(($E356&gt;0)*($E356 &lt;=End_of_period) * ($G356 &gt;=Beginning_of_period) * (1-SUM($K356:BH356)) /  IFERROR((DATEDIF(Beginning_of_period,$G356,"m") + 1) / Months_in_Period,0),0)</f>
        <v>0</v>
      </c>
      <c r="BJ356" s="231">
        <f xml:space="preserve"> IFERROR(($E356&gt;0)*($E356 &lt;=End_of_period) * ($G356 &gt;=Beginning_of_period) * (1-SUM($K356:BI356)) /  IFERROR((DATEDIF(Beginning_of_period,$G356,"m") + 1) / Months_in_Period,0),0)</f>
        <v>0</v>
      </c>
      <c r="BK356" s="231">
        <f xml:space="preserve"> IFERROR(($E356&gt;0)*($E356 &lt;=End_of_period) * ($G356 &gt;=Beginning_of_period) * (1-SUM($K356:BJ356)) /  IFERROR((DATEDIF(Beginning_of_period,$G356,"m") + 1) / Months_in_Period,0),0)</f>
        <v>0</v>
      </c>
      <c r="BL356" s="231">
        <f xml:space="preserve"> IFERROR(($E356&gt;0)*($E356 &lt;=End_of_period) * ($G356 &gt;=Beginning_of_period) * (1-SUM($K356:BK356)) /  IFERROR((DATEDIF(Beginning_of_period,$G356,"m") + 1) / Months_in_Period,0),0)</f>
        <v>0</v>
      </c>
      <c r="BM356" s="231">
        <f xml:space="preserve"> IFERROR(($E356&gt;0)*($E356 &lt;=End_of_period) * ($G356 &gt;=Beginning_of_period) * (1-SUM($K356:BL356)) /  IFERROR((DATEDIF(Beginning_of_period,$G356,"m") + 1) / Months_in_Period,0),0)</f>
        <v>0</v>
      </c>
      <c r="BN356" s="231">
        <f xml:space="preserve"> IFERROR(($E356&gt;0)*($E356 &lt;=End_of_period) * ($G356 &gt;=Beginning_of_period) * (1-SUM($K356:BM356)) /  IFERROR((DATEDIF(Beginning_of_period,$G356,"m") + 1) / Months_in_Period,0),0)</f>
        <v>0</v>
      </c>
      <c r="BO356" s="231">
        <f xml:space="preserve"> IFERROR(($E356&gt;0)*($E356 &lt;=End_of_period) * ($G356 &gt;=Beginning_of_period) * (1-SUM($K356:BN356)) /  IFERROR((DATEDIF(Beginning_of_period,$G356,"m") + 1) / Months_in_Period,0),0)</f>
        <v>0</v>
      </c>
      <c r="BP356" s="231">
        <f xml:space="preserve"> IFERROR(($E356&gt;0)*($E356 &lt;=End_of_period) * ($G356 &gt;=Beginning_of_period) * (1-SUM($K356:BO356)) /  IFERROR((DATEDIF(Beginning_of_period,$G356,"m") + 1) / Months_in_Period,0),0)</f>
        <v>0</v>
      </c>
      <c r="BQ356" s="231">
        <f xml:space="preserve"> IFERROR(($E356&gt;0)*($E356 &lt;=End_of_period) * ($G356 &gt;=Beginning_of_period) * (1-SUM($K356:BP356)) /  IFERROR((DATEDIF(Beginning_of_period,$G356,"m") + 1) / Months_in_Period,0),0)</f>
        <v>0</v>
      </c>
      <c r="BR356" s="231">
        <f xml:space="preserve"> IFERROR(($E356&gt;0)*($E356 &lt;=End_of_period) * ($G356 &gt;=Beginning_of_period) * (1-SUM($K356:BQ356)) /  IFERROR((DATEDIF(Beginning_of_period,$G356,"m") + 1) / Months_in_Period,0),0)</f>
        <v>0</v>
      </c>
      <c r="BS356" s="231">
        <f xml:space="preserve"> IFERROR(($E356&gt;0)*($E356 &lt;=End_of_period) * ($G356 &gt;=Beginning_of_period) * (1-SUM($K356:BR356)) /  IFERROR((DATEDIF(Beginning_of_period,$G356,"m") + 1) / Months_in_Period,0),0)</f>
        <v>0</v>
      </c>
      <c r="BT356" s="231">
        <f xml:space="preserve"> IFERROR(($E356&gt;0)*($E356 &lt;=End_of_period) * ($G356 &gt;=Beginning_of_period) * (1-SUM($K356:BS356)) /  IFERROR((DATEDIF(Beginning_of_period,$G356,"m") + 1) / Months_in_Period,0),0)</f>
        <v>0</v>
      </c>
      <c r="BU356" s="231">
        <f xml:space="preserve"> IFERROR(($E356&gt;0)*($E356 &lt;=End_of_period) * ($G356 &gt;=Beginning_of_period) * (1-SUM($K356:BT356)) /  IFERROR((DATEDIF(Beginning_of_period,$G356,"m") + 1) / Months_in_Period,0),0)</f>
        <v>0</v>
      </c>
      <c r="BV356" s="231">
        <f xml:space="preserve"> IFERROR(($E356&gt;0)*($E356 &lt;=End_of_period) * ($G356 &gt;=Beginning_of_period) * (1-SUM($K356:BU356)) /  IFERROR((DATEDIF(Beginning_of_period,$G356,"m") + 1) / Months_in_Period,0),0)</f>
        <v>0</v>
      </c>
      <c r="BW356" s="231">
        <f xml:space="preserve"> IFERROR(($E356&gt;0)*($E356 &lt;=End_of_period) * ($G356 &gt;=Beginning_of_period) * (1-SUM($K356:BV356)) /  IFERROR((DATEDIF(Beginning_of_period,$G356,"m") + 1) / Months_in_Period,0),0)</f>
        <v>0</v>
      </c>
      <c r="BX356" s="231">
        <f xml:space="preserve"> IFERROR(($E356&gt;0)*($E356 &lt;=End_of_period) * ($G356 &gt;=Beginning_of_period) * (1-SUM($K356:BW356)) /  IFERROR((DATEDIF(Beginning_of_period,$G356,"m") + 1) / Months_in_Period,0),0)</f>
        <v>0</v>
      </c>
      <c r="BY356" s="231">
        <f xml:space="preserve"> IFERROR(($E356&gt;0)*($E356 &lt;=End_of_period) * ($G356 &gt;=Beginning_of_period) * (1-SUM($K356:BX356)) /  IFERROR((DATEDIF(Beginning_of_period,$G356,"m") + 1) / Months_in_Period,0),0)</f>
        <v>0</v>
      </c>
      <c r="BZ356" s="231">
        <f xml:space="preserve"> IFERROR(($E356&gt;0)*($E356 &lt;=End_of_period) * ($G356 &gt;=Beginning_of_period) * (1-SUM($K356:BY356)) /  IFERROR((DATEDIF(Beginning_of_period,$G356,"m") + 1) / Months_in_Period,0),0)</f>
        <v>0</v>
      </c>
      <c r="CA356" s="231">
        <f xml:space="preserve"> IFERROR(($E356&gt;0)*($E356 &lt;=End_of_period) * ($G356 &gt;=Beginning_of_period) * (1-SUM($K356:BZ356)) /  IFERROR((DATEDIF(Beginning_of_period,$G356,"m") + 1) / Months_in_Period,0),0)</f>
        <v>0</v>
      </c>
      <c r="CB356" s="231">
        <f xml:space="preserve"> IFERROR(($E356&gt;0)*($E356 &lt;=End_of_period) * ($G356 &gt;=Beginning_of_period) * (1-SUM($K356:CA356)) /  IFERROR((DATEDIF(Beginning_of_period,$G356,"m") + 1) / Months_in_Period,0),0)</f>
        <v>0</v>
      </c>
      <c r="CC356" s="231">
        <f xml:space="preserve"> IFERROR(($E356&gt;0)*($E356 &lt;=End_of_period) * ($G356 &gt;=Beginning_of_period) * (1-SUM($K356:CB356)) /  IFERROR((DATEDIF(Beginning_of_period,$G356,"m") + 1) / Months_in_Period,0),0)</f>
        <v>0</v>
      </c>
      <c r="CD356" s="231">
        <f xml:space="preserve"> IFERROR(($E356&gt;0)*($E356 &lt;=End_of_period) * ($G356 &gt;=Beginning_of_period) * (1-SUM($K356:CC356)) /  IFERROR((DATEDIF(Beginning_of_period,$G356,"m") + 1) / Months_in_Period,0),0)</f>
        <v>0</v>
      </c>
      <c r="CE356" s="231">
        <f xml:space="preserve"> IFERROR(($E356&gt;0)*($E356 &lt;=End_of_period) * ($G356 &gt;=Beginning_of_period) * (1-SUM($K356:CD356)) /  IFERROR((DATEDIF(Beginning_of_period,$G356,"m") + 1) / Months_in_Period,0),0)</f>
        <v>0</v>
      </c>
      <c r="CF356" s="231">
        <f xml:space="preserve"> IFERROR(($E356&gt;0)*($E356 &lt;=End_of_period) * ($G356 &gt;=Beginning_of_period) * (1-SUM($K356:CE356)) /  IFERROR((DATEDIF(Beginning_of_period,$G356,"m") + 1) / Months_in_Period,0),0)</f>
        <v>0</v>
      </c>
      <c r="CG356" s="231">
        <f xml:space="preserve"> IFERROR(($E356&gt;0)*($E356 &lt;=End_of_period) * ($G356 &gt;=Beginning_of_period) * (1-SUM($K356:CF356)) /  IFERROR((DATEDIF(Beginning_of_period,$G356,"m") + 1) / Months_in_Period,0),0)</f>
        <v>0</v>
      </c>
      <c r="CH356" s="231">
        <f xml:space="preserve"> IFERROR(($E356&gt;0)*($E356 &lt;=End_of_period) * ($G356 &gt;=Beginning_of_period) * (1-SUM($K356:CG356)) /  IFERROR((DATEDIF(Beginning_of_period,$G356,"m") + 1) / Months_in_Period,0),0)</f>
        <v>0</v>
      </c>
      <c r="CI356" s="231">
        <f xml:space="preserve"> IFERROR(($E356&gt;0)*($E356 &lt;=End_of_period) * ($G356 &gt;=Beginning_of_period) * (1-SUM($K356:CH356)) /  IFERROR((DATEDIF(Beginning_of_period,$G356,"m") + 1) / Months_in_Period,0),0)</f>
        <v>0</v>
      </c>
      <c r="CJ356" s="231">
        <f xml:space="preserve"> IFERROR(($E356&gt;0)*($E356 &lt;=End_of_period) * ($G356 &gt;=Beginning_of_period) * (1-SUM($K356:CI356)) /  IFERROR((DATEDIF(Beginning_of_period,$G356,"m") + 1) / Months_in_Period,0),0)</f>
        <v>0</v>
      </c>
      <c r="CK356" s="231">
        <f xml:space="preserve"> IFERROR(($E356&gt;0)*($E356 &lt;=End_of_period) * ($G356 &gt;=Beginning_of_period) * (1-SUM($K356:CJ356)) /  IFERROR((DATEDIF(Beginning_of_period,$G356,"m") + 1) / Months_in_Period,0),0)</f>
        <v>0</v>
      </c>
      <c r="CL356" s="231">
        <f xml:space="preserve"> IFERROR(($E356&gt;0)*($E356 &lt;=End_of_period) * ($G356 &gt;=Beginning_of_period) * (1-SUM($K356:CK356)) /  IFERROR((DATEDIF(Beginning_of_period,$G356,"m") + 1) / Months_in_Period,0),0)</f>
        <v>0</v>
      </c>
      <c r="CM356" s="231">
        <f xml:space="preserve"> IFERROR(($E356&gt;0)*($E356 &lt;=End_of_period) * ($G356 &gt;=Beginning_of_period) * (1-SUM($K356:CL356)) /  IFERROR((DATEDIF(Beginning_of_period,$G356,"m") + 1) / Months_in_Period,0),0)</f>
        <v>0</v>
      </c>
      <c r="CN356" s="231">
        <f xml:space="preserve"> IFERROR(($E356&gt;0)*($E356 &lt;=End_of_period) * ($G356 &gt;=Beginning_of_period) * (1-SUM($K356:CM356)) /  IFERROR((DATEDIF(Beginning_of_period,$G356,"m") + 1) / Months_in_Period,0),0)</f>
        <v>0</v>
      </c>
      <c r="CO356" s="231">
        <f xml:space="preserve"> IFERROR(($E356&gt;0)*($E356 &lt;=End_of_period) * ($G356 &gt;=Beginning_of_period) * (1-SUM($K356:CN356)) /  IFERROR((DATEDIF(Beginning_of_period,$G356,"m") + 1) / Months_in_Period,0),0)</f>
        <v>0</v>
      </c>
      <c r="CP356" s="10"/>
    </row>
    <row r="357" spans="1:94" ht="15" hidden="1" customHeight="1">
      <c r="A357" s="10"/>
      <c r="B357" s="3"/>
      <c r="C357" s="17" t="s">
        <v>821</v>
      </c>
      <c r="D357" s="10"/>
      <c r="E357" s="71"/>
      <c r="F357" s="10"/>
      <c r="G357" s="477"/>
      <c r="H357" s="149">
        <f xml:space="preserve"> IFERROR((DATEDIF(E357,G357,"m") + 1) / Months_in_Period,0)</f>
        <v>0.33333333333333331</v>
      </c>
      <c r="I357" s="231">
        <f>IF(SUM(L357:CO357)=0,1,SUM(L357:CO357))</f>
        <v>1</v>
      </c>
      <c r="J357" s="10"/>
      <c r="K357" s="10"/>
      <c r="L357" s="231">
        <f xml:space="preserve"> IFERROR(($E357&gt;0)*($E357 &lt;=End_of_period) * ($G357 &gt;=Beginning_of_period) * (1-SUM($K357:K357)) /  IFERROR((DATEDIF(Beginning_of_period,$G357,"m") + 1) / Months_in_Period,0),0)</f>
        <v>0</v>
      </c>
      <c r="M357" s="231">
        <f xml:space="preserve"> IFERROR(($E357&gt;0)*($E357 &lt;=End_of_period) * ($G357 &gt;=Beginning_of_period) * (1-SUM($K357:L357)) /  IFERROR((DATEDIF(Beginning_of_period,$G357,"m") + 1) / Months_in_Period,0),0)</f>
        <v>0</v>
      </c>
      <c r="N357" s="231">
        <f xml:space="preserve"> IFERROR(($E357&gt;0)*($E357 &lt;=End_of_period) * ($G357 &gt;=Beginning_of_period) * (1-SUM($K357:M357)) /  IFERROR((DATEDIF(Beginning_of_period,$G357,"m") + 1) / Months_in_Period,0),0)</f>
        <v>0</v>
      </c>
      <c r="O357" s="231">
        <f xml:space="preserve"> IFERROR(($E357&gt;0)*($E357 &lt;=End_of_period) * ($G357 &gt;=Beginning_of_period) * (1-SUM($K357:N357)) /  IFERROR((DATEDIF(Beginning_of_period,$G357,"m") + 1) / Months_in_Period,0),0)</f>
        <v>0</v>
      </c>
      <c r="P357" s="231">
        <f xml:space="preserve"> IFERROR(($E357&gt;0)*($E357 &lt;=End_of_period) * ($G357 &gt;=Beginning_of_period) * (1-SUM($K357:O357)) /  IFERROR((DATEDIF(Beginning_of_period,$G357,"m") + 1) / Months_in_Period,0),0)</f>
        <v>0</v>
      </c>
      <c r="Q357" s="231">
        <f xml:space="preserve"> IFERROR(($E357&gt;0)*($E357 &lt;=End_of_period) * ($G357 &gt;=Beginning_of_period) * (1-SUM($K357:P357)) /  IFERROR((DATEDIF(Beginning_of_period,$G357,"m") + 1) / Months_in_Period,0),0)</f>
        <v>0</v>
      </c>
      <c r="R357" s="231">
        <f xml:space="preserve"> IFERROR(($E357&gt;0)*($E357 &lt;=End_of_period) * ($G357 &gt;=Beginning_of_period) * (1-SUM($K357:Q357)) /  IFERROR((DATEDIF(Beginning_of_period,$G357,"m") + 1) / Months_in_Period,0),0)</f>
        <v>0</v>
      </c>
      <c r="S357" s="231">
        <f xml:space="preserve"> IFERROR(($E357&gt;0)*($E357 &lt;=End_of_period) * ($G357 &gt;=Beginning_of_period) * (1-SUM($K357:R357)) /  IFERROR((DATEDIF(Beginning_of_period,$G357,"m") + 1) / Months_in_Period,0),0)</f>
        <v>0</v>
      </c>
      <c r="T357" s="231">
        <f xml:space="preserve"> IFERROR(($E357&gt;0)*($E357 &lt;=End_of_period) * ($G357 &gt;=Beginning_of_period) * (1-SUM($K357:S357)) /  IFERROR((DATEDIF(Beginning_of_period,$G357,"m") + 1) / Months_in_Period,0),0)</f>
        <v>0</v>
      </c>
      <c r="U357" s="231">
        <f xml:space="preserve"> IFERROR(($E357&gt;0)*($E357 &lt;=End_of_period) * ($G357 &gt;=Beginning_of_period) * (1-SUM($K357:T357)) /  IFERROR((DATEDIF(Beginning_of_period,$G357,"m") + 1) / Months_in_Period,0),0)</f>
        <v>0</v>
      </c>
      <c r="V357" s="231">
        <f xml:space="preserve"> IFERROR(($E357&gt;0)*($E357 &lt;=End_of_period) * ($G357 &gt;=Beginning_of_period) * (1-SUM($K357:U357)) /  IFERROR((DATEDIF(Beginning_of_period,$G357,"m") + 1) / Months_in_Period,0),0)</f>
        <v>0</v>
      </c>
      <c r="W357" s="231">
        <f xml:space="preserve"> IFERROR(($E357&gt;0)*($E357 &lt;=End_of_period) * ($G357 &gt;=Beginning_of_period) * (1-SUM($K357:V357)) /  IFERROR((DATEDIF(Beginning_of_period,$G357,"m") + 1) / Months_in_Period,0),0)</f>
        <v>0</v>
      </c>
      <c r="X357" s="231">
        <f xml:space="preserve"> IFERROR(($E357&gt;0)*($E357 &lt;=End_of_period) * ($G357 &gt;=Beginning_of_period) * (1-SUM($K357:W357)) /  IFERROR((DATEDIF(Beginning_of_period,$G357,"m") + 1) / Months_in_Period,0),0)</f>
        <v>0</v>
      </c>
      <c r="Y357" s="231">
        <f xml:space="preserve"> IFERROR(($E357&gt;0)*($E357 &lt;=End_of_period) * ($G357 &gt;=Beginning_of_period) * (1-SUM($K357:X357)) /  IFERROR((DATEDIF(Beginning_of_period,$G357,"m") + 1) / Months_in_Period,0),0)</f>
        <v>0</v>
      </c>
      <c r="Z357" s="231">
        <f xml:space="preserve"> IFERROR(($E357&gt;0)*($E357 &lt;=End_of_period) * ($G357 &gt;=Beginning_of_period) * (1-SUM($K357:Y357)) /  IFERROR((DATEDIF(Beginning_of_period,$G357,"m") + 1) / Months_in_Period,0),0)</f>
        <v>0</v>
      </c>
      <c r="AA357" s="231">
        <f xml:space="preserve"> IFERROR(($E357&gt;0)*($E357 &lt;=End_of_period) * ($G357 &gt;=Beginning_of_period) * (1-SUM($K357:Z357)) /  IFERROR((DATEDIF(Beginning_of_period,$G357,"m") + 1) / Months_in_Period,0),0)</f>
        <v>0</v>
      </c>
      <c r="AB357" s="231">
        <f xml:space="preserve"> IFERROR(($E357&gt;0)*($E357 &lt;=End_of_period) * ($G357 &gt;=Beginning_of_period) * (1-SUM($K357:AA357)) /  IFERROR((DATEDIF(Beginning_of_period,$G357,"m") + 1) / Months_in_Period,0),0)</f>
        <v>0</v>
      </c>
      <c r="AC357" s="231">
        <f xml:space="preserve"> IFERROR(($E357&gt;0)*($E357 &lt;=End_of_period) * ($G357 &gt;=Beginning_of_period) * (1-SUM($K357:AB357)) /  IFERROR((DATEDIF(Beginning_of_period,$G357,"m") + 1) / Months_in_Period,0),0)</f>
        <v>0</v>
      </c>
      <c r="AD357" s="231">
        <f xml:space="preserve"> IFERROR(($E357&gt;0)*($E357 &lt;=End_of_period) * ($G357 &gt;=Beginning_of_period) * (1-SUM($K357:AC357)) /  IFERROR((DATEDIF(Beginning_of_period,$G357,"m") + 1) / Months_in_Period,0),0)</f>
        <v>0</v>
      </c>
      <c r="AE357" s="231">
        <f xml:space="preserve"> IFERROR(($E357&gt;0)*($E357 &lt;=End_of_period) * ($G357 &gt;=Beginning_of_period) * (1-SUM($K357:AD357)) /  IFERROR((DATEDIF(Beginning_of_period,$G357,"m") + 1) / Months_in_Period,0),0)</f>
        <v>0</v>
      </c>
      <c r="AF357" s="231">
        <f xml:space="preserve"> IFERROR(($E357&gt;0)*($E357 &lt;=End_of_period) * ($G357 &gt;=Beginning_of_period) * (1-SUM($K357:AE357)) /  IFERROR((DATEDIF(Beginning_of_period,$G357,"m") + 1) / Months_in_Period,0),0)</f>
        <v>0</v>
      </c>
      <c r="AG357" s="231">
        <f xml:space="preserve"> IFERROR(($E357&gt;0)*($E357 &lt;=End_of_period) * ($G357 &gt;=Beginning_of_period) * (1-SUM($K357:AF357)) /  IFERROR((DATEDIF(Beginning_of_period,$G357,"m") + 1) / Months_in_Period,0),0)</f>
        <v>0</v>
      </c>
      <c r="AH357" s="231">
        <f xml:space="preserve"> IFERROR(($E357&gt;0)*($E357 &lt;=End_of_period) * ($G357 &gt;=Beginning_of_period) * (1-SUM($K357:AG357)) /  IFERROR((DATEDIF(Beginning_of_period,$G357,"m") + 1) / Months_in_Period,0),0)</f>
        <v>0</v>
      </c>
      <c r="AI357" s="231">
        <f xml:space="preserve"> IFERROR(($E357&gt;0)*($E357 &lt;=End_of_period) * ($G357 &gt;=Beginning_of_period) * (1-SUM($K357:AH357)) /  IFERROR((DATEDIF(Beginning_of_period,$G357,"m") + 1) / Months_in_Period,0),0)</f>
        <v>0</v>
      </c>
      <c r="AJ357" s="231">
        <f xml:space="preserve"> IFERROR(($E357&gt;0)*($E357 &lt;=End_of_period) * ($G357 &gt;=Beginning_of_period) * (1-SUM($K357:AI357)) /  IFERROR((DATEDIF(Beginning_of_period,$G357,"m") + 1) / Months_in_Period,0),0)</f>
        <v>0</v>
      </c>
      <c r="AK357" s="231">
        <f xml:space="preserve"> IFERROR(($E357&gt;0)*($E357 &lt;=End_of_period) * ($G357 &gt;=Beginning_of_period) * (1-SUM($K357:AJ357)) /  IFERROR((DATEDIF(Beginning_of_period,$G357,"m") + 1) / Months_in_Period,0),0)</f>
        <v>0</v>
      </c>
      <c r="AL357" s="231">
        <f xml:space="preserve"> IFERROR(($E357&gt;0)*($E357 &lt;=End_of_period) * ($G357 &gt;=Beginning_of_period) * (1-SUM($K357:AK357)) /  IFERROR((DATEDIF(Beginning_of_period,$G357,"m") + 1) / Months_in_Period,0),0)</f>
        <v>0</v>
      </c>
      <c r="AM357" s="231">
        <f xml:space="preserve"> IFERROR(($E357&gt;0)*($E357 &lt;=End_of_period) * ($G357 &gt;=Beginning_of_period) * (1-SUM($K357:AL357)) /  IFERROR((DATEDIF(Beginning_of_period,$G357,"m") + 1) / Months_in_Period,0),0)</f>
        <v>0</v>
      </c>
      <c r="AN357" s="231">
        <f xml:space="preserve"> IFERROR(($E357&gt;0)*($E357 &lt;=End_of_period) * ($G357 &gt;=Beginning_of_period) * (1-SUM($K357:AM357)) /  IFERROR((DATEDIF(Beginning_of_period,$G357,"m") + 1) / Months_in_Period,0),0)</f>
        <v>0</v>
      </c>
      <c r="AO357" s="231">
        <f xml:space="preserve"> IFERROR(($E357&gt;0)*($E357 &lt;=End_of_period) * ($G357 &gt;=Beginning_of_period) * (1-SUM($K357:AN357)) /  IFERROR((DATEDIF(Beginning_of_period,$G357,"m") + 1) / Months_in_Period,0),0)</f>
        <v>0</v>
      </c>
      <c r="AP357" s="231">
        <f xml:space="preserve"> IFERROR(($E357&gt;0)*($E357 &lt;=End_of_period) * ($G357 &gt;=Beginning_of_period) * (1-SUM($K357:AO357)) /  IFERROR((DATEDIF(Beginning_of_period,$G357,"m") + 1) / Months_in_Period,0),0)</f>
        <v>0</v>
      </c>
      <c r="AQ357" s="231">
        <f xml:space="preserve"> IFERROR(($E357&gt;0)*($E357 &lt;=End_of_period) * ($G357 &gt;=Beginning_of_period) * (1-SUM($K357:AP357)) /  IFERROR((DATEDIF(Beginning_of_period,$G357,"m") + 1) / Months_in_Period,0),0)</f>
        <v>0</v>
      </c>
      <c r="AR357" s="231">
        <f xml:space="preserve"> IFERROR(($E357&gt;0)*($E357 &lt;=End_of_period) * ($G357 &gt;=Beginning_of_period) * (1-SUM($K357:AQ357)) /  IFERROR((DATEDIF(Beginning_of_period,$G357,"m") + 1) / Months_in_Period,0),0)</f>
        <v>0</v>
      </c>
      <c r="AS357" s="231">
        <f xml:space="preserve"> IFERROR(($E357&gt;0)*($E357 &lt;=End_of_period) * ($G357 &gt;=Beginning_of_period) * (1-SUM($K357:AR357)) /  IFERROR((DATEDIF(Beginning_of_period,$G357,"m") + 1) / Months_in_Period,0),0)</f>
        <v>0</v>
      </c>
      <c r="AT357" s="231">
        <f xml:space="preserve"> IFERROR(($E357&gt;0)*($E357 &lt;=End_of_period) * ($G357 &gt;=Beginning_of_period) * (1-SUM($K357:AS357)) /  IFERROR((DATEDIF(Beginning_of_period,$G357,"m") + 1) / Months_in_Period,0),0)</f>
        <v>0</v>
      </c>
      <c r="AU357" s="231">
        <f xml:space="preserve"> IFERROR(($E357&gt;0)*($E357 &lt;=End_of_period) * ($G357 &gt;=Beginning_of_period) * (1-SUM($K357:AT357)) /  IFERROR((DATEDIF(Beginning_of_period,$G357,"m") + 1) / Months_in_Period,0),0)</f>
        <v>0</v>
      </c>
      <c r="AV357" s="231">
        <f xml:space="preserve"> IFERROR(($E357&gt;0)*($E357 &lt;=End_of_period) * ($G357 &gt;=Beginning_of_period) * (1-SUM($K357:AU357)) /  IFERROR((DATEDIF(Beginning_of_period,$G357,"m") + 1) / Months_in_Period,0),0)</f>
        <v>0</v>
      </c>
      <c r="AW357" s="231">
        <f xml:space="preserve"> IFERROR(($E357&gt;0)*($E357 &lt;=End_of_period) * ($G357 &gt;=Beginning_of_period) * (1-SUM($K357:AV357)) /  IFERROR((DATEDIF(Beginning_of_period,$G357,"m") + 1) / Months_in_Period,0),0)</f>
        <v>0</v>
      </c>
      <c r="AX357" s="231">
        <f xml:space="preserve"> IFERROR(($E357&gt;0)*($E357 &lt;=End_of_period) * ($G357 &gt;=Beginning_of_period) * (1-SUM($K357:AW357)) /  IFERROR((DATEDIF(Beginning_of_period,$G357,"m") + 1) / Months_in_Period,0),0)</f>
        <v>0</v>
      </c>
      <c r="AY357" s="231">
        <f xml:space="preserve"> IFERROR(($E357&gt;0)*($E357 &lt;=End_of_period) * ($G357 &gt;=Beginning_of_period) * (1-SUM($K357:AX357)) /  IFERROR((DATEDIF(Beginning_of_period,$G357,"m") + 1) / Months_in_Period,0),0)</f>
        <v>0</v>
      </c>
      <c r="AZ357" s="231">
        <f xml:space="preserve"> IFERROR(($E357&gt;0)*($E357 &lt;=End_of_period) * ($G357 &gt;=Beginning_of_period) * (1-SUM($K357:AY357)) /  IFERROR((DATEDIF(Beginning_of_period,$G357,"m") + 1) / Months_in_Period,0),0)</f>
        <v>0</v>
      </c>
      <c r="BA357" s="231">
        <f xml:space="preserve"> IFERROR(($E357&gt;0)*($E357 &lt;=End_of_period) * ($G357 &gt;=Beginning_of_period) * (1-SUM($K357:AZ357)) /  IFERROR((DATEDIF(Beginning_of_period,$G357,"m") + 1) / Months_in_Period,0),0)</f>
        <v>0</v>
      </c>
      <c r="BB357" s="231">
        <f xml:space="preserve"> IFERROR(($E357&gt;0)*($E357 &lt;=End_of_period) * ($G357 &gt;=Beginning_of_period) * (1-SUM($K357:BA357)) /  IFERROR((DATEDIF(Beginning_of_period,$G357,"m") + 1) / Months_in_Period,0),0)</f>
        <v>0</v>
      </c>
      <c r="BC357" s="231">
        <f xml:space="preserve"> IFERROR(($E357&gt;0)*($E357 &lt;=End_of_period) * ($G357 &gt;=Beginning_of_period) * (1-SUM($K357:BB357)) /  IFERROR((DATEDIF(Beginning_of_period,$G357,"m") + 1) / Months_in_Period,0),0)</f>
        <v>0</v>
      </c>
      <c r="BD357" s="231">
        <f xml:space="preserve"> IFERROR(($E357&gt;0)*($E357 &lt;=End_of_period) * ($G357 &gt;=Beginning_of_period) * (1-SUM($K357:BC357)) /  IFERROR((DATEDIF(Beginning_of_period,$G357,"m") + 1) / Months_in_Period,0),0)</f>
        <v>0</v>
      </c>
      <c r="BE357" s="231">
        <f xml:space="preserve"> IFERROR(($E357&gt;0)*($E357 &lt;=End_of_period) * ($G357 &gt;=Beginning_of_period) * (1-SUM($K357:BD357)) /  IFERROR((DATEDIF(Beginning_of_period,$G357,"m") + 1) / Months_in_Period,0),0)</f>
        <v>0</v>
      </c>
      <c r="BF357" s="231">
        <f xml:space="preserve"> IFERROR(($E357&gt;0)*($E357 &lt;=End_of_period) * ($G357 &gt;=Beginning_of_period) * (1-SUM($K357:BE357)) /  IFERROR((DATEDIF(Beginning_of_period,$G357,"m") + 1) / Months_in_Period,0),0)</f>
        <v>0</v>
      </c>
      <c r="BG357" s="231">
        <f xml:space="preserve"> IFERROR(($E357&gt;0)*($E357 &lt;=End_of_period) * ($G357 &gt;=Beginning_of_period) * (1-SUM($K357:BF357)) /  IFERROR((DATEDIF(Beginning_of_period,$G357,"m") + 1) / Months_in_Period,0),0)</f>
        <v>0</v>
      </c>
      <c r="BH357" s="231">
        <f xml:space="preserve"> IFERROR(($E357&gt;0)*($E357 &lt;=End_of_period) * ($G357 &gt;=Beginning_of_period) * (1-SUM($K357:BG357)) /  IFERROR((DATEDIF(Beginning_of_period,$G357,"m") + 1) / Months_in_Period,0),0)</f>
        <v>0</v>
      </c>
      <c r="BI357" s="231">
        <f xml:space="preserve"> IFERROR(($E357&gt;0)*($E357 &lt;=End_of_period) * ($G357 &gt;=Beginning_of_period) * (1-SUM($K357:BH357)) /  IFERROR((DATEDIF(Beginning_of_period,$G357,"m") + 1) / Months_in_Period,0),0)</f>
        <v>0</v>
      </c>
      <c r="BJ357" s="231">
        <f xml:space="preserve"> IFERROR(($E357&gt;0)*($E357 &lt;=End_of_period) * ($G357 &gt;=Beginning_of_period) * (1-SUM($K357:BI357)) /  IFERROR((DATEDIF(Beginning_of_period,$G357,"m") + 1) / Months_in_Period,0),0)</f>
        <v>0</v>
      </c>
      <c r="BK357" s="231">
        <f xml:space="preserve"> IFERROR(($E357&gt;0)*($E357 &lt;=End_of_period) * ($G357 &gt;=Beginning_of_period) * (1-SUM($K357:BJ357)) /  IFERROR((DATEDIF(Beginning_of_period,$G357,"m") + 1) / Months_in_Period,0),0)</f>
        <v>0</v>
      </c>
      <c r="BL357" s="231">
        <f xml:space="preserve"> IFERROR(($E357&gt;0)*($E357 &lt;=End_of_period) * ($G357 &gt;=Beginning_of_period) * (1-SUM($K357:BK357)) /  IFERROR((DATEDIF(Beginning_of_period,$G357,"m") + 1) / Months_in_Period,0),0)</f>
        <v>0</v>
      </c>
      <c r="BM357" s="231">
        <f xml:space="preserve"> IFERROR(($E357&gt;0)*($E357 &lt;=End_of_period) * ($G357 &gt;=Beginning_of_period) * (1-SUM($K357:BL357)) /  IFERROR((DATEDIF(Beginning_of_period,$G357,"m") + 1) / Months_in_Period,0),0)</f>
        <v>0</v>
      </c>
      <c r="BN357" s="231">
        <f xml:space="preserve"> IFERROR(($E357&gt;0)*($E357 &lt;=End_of_period) * ($G357 &gt;=Beginning_of_period) * (1-SUM($K357:BM357)) /  IFERROR((DATEDIF(Beginning_of_period,$G357,"m") + 1) / Months_in_Period,0),0)</f>
        <v>0</v>
      </c>
      <c r="BO357" s="231">
        <f xml:space="preserve"> IFERROR(($E357&gt;0)*($E357 &lt;=End_of_period) * ($G357 &gt;=Beginning_of_period) * (1-SUM($K357:BN357)) /  IFERROR((DATEDIF(Beginning_of_period,$G357,"m") + 1) / Months_in_Period,0),0)</f>
        <v>0</v>
      </c>
      <c r="BP357" s="231">
        <f xml:space="preserve"> IFERROR(($E357&gt;0)*($E357 &lt;=End_of_period) * ($G357 &gt;=Beginning_of_period) * (1-SUM($K357:BO357)) /  IFERROR((DATEDIF(Beginning_of_period,$G357,"m") + 1) / Months_in_Period,0),0)</f>
        <v>0</v>
      </c>
      <c r="BQ357" s="231">
        <f xml:space="preserve"> IFERROR(($E357&gt;0)*($E357 &lt;=End_of_period) * ($G357 &gt;=Beginning_of_period) * (1-SUM($K357:BP357)) /  IFERROR((DATEDIF(Beginning_of_period,$G357,"m") + 1) / Months_in_Period,0),0)</f>
        <v>0</v>
      </c>
      <c r="BR357" s="231">
        <f xml:space="preserve"> IFERROR(($E357&gt;0)*($E357 &lt;=End_of_period) * ($G357 &gt;=Beginning_of_period) * (1-SUM($K357:BQ357)) /  IFERROR((DATEDIF(Beginning_of_period,$G357,"m") + 1) / Months_in_Period,0),0)</f>
        <v>0</v>
      </c>
      <c r="BS357" s="231">
        <f xml:space="preserve"> IFERROR(($E357&gt;0)*($E357 &lt;=End_of_period) * ($G357 &gt;=Beginning_of_period) * (1-SUM($K357:BR357)) /  IFERROR((DATEDIF(Beginning_of_period,$G357,"m") + 1) / Months_in_Period,0),0)</f>
        <v>0</v>
      </c>
      <c r="BT357" s="231">
        <f xml:space="preserve"> IFERROR(($E357&gt;0)*($E357 &lt;=End_of_period) * ($G357 &gt;=Beginning_of_period) * (1-SUM($K357:BS357)) /  IFERROR((DATEDIF(Beginning_of_period,$G357,"m") + 1) / Months_in_Period,0),0)</f>
        <v>0</v>
      </c>
      <c r="BU357" s="231">
        <f xml:space="preserve"> IFERROR(($E357&gt;0)*($E357 &lt;=End_of_period) * ($G357 &gt;=Beginning_of_period) * (1-SUM($K357:BT357)) /  IFERROR((DATEDIF(Beginning_of_period,$G357,"m") + 1) / Months_in_Period,0),0)</f>
        <v>0</v>
      </c>
      <c r="BV357" s="231">
        <f xml:space="preserve"> IFERROR(($E357&gt;0)*($E357 &lt;=End_of_period) * ($G357 &gt;=Beginning_of_period) * (1-SUM($K357:BU357)) /  IFERROR((DATEDIF(Beginning_of_period,$G357,"m") + 1) / Months_in_Period,0),0)</f>
        <v>0</v>
      </c>
      <c r="BW357" s="231">
        <f xml:space="preserve"> IFERROR(($E357&gt;0)*($E357 &lt;=End_of_period) * ($G357 &gt;=Beginning_of_period) * (1-SUM($K357:BV357)) /  IFERROR((DATEDIF(Beginning_of_period,$G357,"m") + 1) / Months_in_Period,0),0)</f>
        <v>0</v>
      </c>
      <c r="BX357" s="231">
        <f xml:space="preserve"> IFERROR(($E357&gt;0)*($E357 &lt;=End_of_period) * ($G357 &gt;=Beginning_of_period) * (1-SUM($K357:BW357)) /  IFERROR((DATEDIF(Beginning_of_period,$G357,"m") + 1) / Months_in_Period,0),0)</f>
        <v>0</v>
      </c>
      <c r="BY357" s="231">
        <f xml:space="preserve"> IFERROR(($E357&gt;0)*($E357 &lt;=End_of_period) * ($G357 &gt;=Beginning_of_period) * (1-SUM($K357:BX357)) /  IFERROR((DATEDIF(Beginning_of_period,$G357,"m") + 1) / Months_in_Period,0),0)</f>
        <v>0</v>
      </c>
      <c r="BZ357" s="231">
        <f xml:space="preserve"> IFERROR(($E357&gt;0)*($E357 &lt;=End_of_period) * ($G357 &gt;=Beginning_of_period) * (1-SUM($K357:BY357)) /  IFERROR((DATEDIF(Beginning_of_period,$G357,"m") + 1) / Months_in_Period,0),0)</f>
        <v>0</v>
      </c>
      <c r="CA357" s="231">
        <f xml:space="preserve"> IFERROR(($E357&gt;0)*($E357 &lt;=End_of_period) * ($G357 &gt;=Beginning_of_period) * (1-SUM($K357:BZ357)) /  IFERROR((DATEDIF(Beginning_of_period,$G357,"m") + 1) / Months_in_Period,0),0)</f>
        <v>0</v>
      </c>
      <c r="CB357" s="231">
        <f xml:space="preserve"> IFERROR(($E357&gt;0)*($E357 &lt;=End_of_period) * ($G357 &gt;=Beginning_of_period) * (1-SUM($K357:CA357)) /  IFERROR((DATEDIF(Beginning_of_period,$G357,"m") + 1) / Months_in_Period,0),0)</f>
        <v>0</v>
      </c>
      <c r="CC357" s="231">
        <f xml:space="preserve"> IFERROR(($E357&gt;0)*($E357 &lt;=End_of_period) * ($G357 &gt;=Beginning_of_period) * (1-SUM($K357:CB357)) /  IFERROR((DATEDIF(Beginning_of_period,$G357,"m") + 1) / Months_in_Period,0),0)</f>
        <v>0</v>
      </c>
      <c r="CD357" s="231">
        <f xml:space="preserve"> IFERROR(($E357&gt;0)*($E357 &lt;=End_of_period) * ($G357 &gt;=Beginning_of_period) * (1-SUM($K357:CC357)) /  IFERROR((DATEDIF(Beginning_of_period,$G357,"m") + 1) / Months_in_Period,0),0)</f>
        <v>0</v>
      </c>
      <c r="CE357" s="231">
        <f xml:space="preserve"> IFERROR(($E357&gt;0)*($E357 &lt;=End_of_period) * ($G357 &gt;=Beginning_of_period) * (1-SUM($K357:CD357)) /  IFERROR((DATEDIF(Beginning_of_period,$G357,"m") + 1) / Months_in_Period,0),0)</f>
        <v>0</v>
      </c>
      <c r="CF357" s="231">
        <f xml:space="preserve"> IFERROR(($E357&gt;0)*($E357 &lt;=End_of_period) * ($G357 &gt;=Beginning_of_period) * (1-SUM($K357:CE357)) /  IFERROR((DATEDIF(Beginning_of_period,$G357,"m") + 1) / Months_in_Period,0),0)</f>
        <v>0</v>
      </c>
      <c r="CG357" s="231">
        <f xml:space="preserve"> IFERROR(($E357&gt;0)*($E357 &lt;=End_of_period) * ($G357 &gt;=Beginning_of_period) * (1-SUM($K357:CF357)) /  IFERROR((DATEDIF(Beginning_of_period,$G357,"m") + 1) / Months_in_Period,0),0)</f>
        <v>0</v>
      </c>
      <c r="CH357" s="231">
        <f xml:space="preserve"> IFERROR(($E357&gt;0)*($E357 &lt;=End_of_period) * ($G357 &gt;=Beginning_of_period) * (1-SUM($K357:CG357)) /  IFERROR((DATEDIF(Beginning_of_period,$G357,"m") + 1) / Months_in_Period,0),0)</f>
        <v>0</v>
      </c>
      <c r="CI357" s="231">
        <f xml:space="preserve"> IFERROR(($E357&gt;0)*($E357 &lt;=End_of_period) * ($G357 &gt;=Beginning_of_period) * (1-SUM($K357:CH357)) /  IFERROR((DATEDIF(Beginning_of_period,$G357,"m") + 1) / Months_in_Period,0),0)</f>
        <v>0</v>
      </c>
      <c r="CJ357" s="231">
        <f xml:space="preserve"> IFERROR(($E357&gt;0)*($E357 &lt;=End_of_period) * ($G357 &gt;=Beginning_of_period) * (1-SUM($K357:CI357)) /  IFERROR((DATEDIF(Beginning_of_period,$G357,"m") + 1) / Months_in_Period,0),0)</f>
        <v>0</v>
      </c>
      <c r="CK357" s="231">
        <f xml:space="preserve"> IFERROR(($E357&gt;0)*($E357 &lt;=End_of_period) * ($G357 &gt;=Beginning_of_period) * (1-SUM($K357:CJ357)) /  IFERROR((DATEDIF(Beginning_of_period,$G357,"m") + 1) / Months_in_Period,0),0)</f>
        <v>0</v>
      </c>
      <c r="CL357" s="231">
        <f xml:space="preserve"> IFERROR(($E357&gt;0)*($E357 &lt;=End_of_period) * ($G357 &gt;=Beginning_of_period) * (1-SUM($K357:CK357)) /  IFERROR((DATEDIF(Beginning_of_period,$G357,"m") + 1) / Months_in_Period,0),0)</f>
        <v>0</v>
      </c>
      <c r="CM357" s="231">
        <f xml:space="preserve"> IFERROR(($E357&gt;0)*($E357 &lt;=End_of_period) * ($G357 &gt;=Beginning_of_period) * (1-SUM($K357:CL357)) /  IFERROR((DATEDIF(Beginning_of_period,$G357,"m") + 1) / Months_in_Period,0),0)</f>
        <v>0</v>
      </c>
      <c r="CN357" s="231">
        <f xml:space="preserve"> IFERROR(($E357&gt;0)*($E357 &lt;=End_of_period) * ($G357 &gt;=Beginning_of_period) * (1-SUM($K357:CM357)) /  IFERROR((DATEDIF(Beginning_of_period,$G357,"m") + 1) / Months_in_Period,0),0)</f>
        <v>0</v>
      </c>
      <c r="CO357" s="231">
        <f xml:space="preserve"> IFERROR(($E357&gt;0)*($E357 &lt;=End_of_period) * ($G357 &gt;=Beginning_of_period) * (1-SUM($K357:CN357)) /  IFERROR((DATEDIF(Beginning_of_period,$G357,"m") + 1) / Months_in_Period,0),0)</f>
        <v>0</v>
      </c>
      <c r="CP357" s="10"/>
    </row>
    <row r="358" spans="1:94" ht="15" customHeight="1">
      <c r="A358" s="10"/>
      <c r="B358" s="3"/>
      <c r="C358" s="17"/>
      <c r="D358" s="10"/>
      <c r="E358" s="10"/>
      <c r="F358" s="10"/>
      <c r="G358" s="11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  <c r="CD358" s="10"/>
      <c r="CE358" s="10"/>
      <c r="CF358" s="10"/>
      <c r="CG358" s="10"/>
      <c r="CH358" s="10"/>
      <c r="CI358" s="10"/>
      <c r="CJ358" s="10"/>
      <c r="CK358" s="10"/>
      <c r="CL358" s="10"/>
      <c r="CM358" s="10"/>
      <c r="CN358" s="10"/>
      <c r="CO358" s="10"/>
      <c r="CP358" s="10"/>
    </row>
    <row r="359" spans="1:94" ht="15" customHeight="1">
      <c r="A359" s="10"/>
      <c r="B359" s="3"/>
      <c r="C359" s="17"/>
      <c r="D359" s="10"/>
      <c r="E359" s="10" t="str">
        <f>"текушие цены на " &amp; TEXT(Расчеты!$E$85-1,"ДД.ММ.ГГГГ")</f>
        <v>текушие цены на 31.12.2024</v>
      </c>
      <c r="F359" s="10"/>
      <c r="G359" s="11"/>
      <c r="H359" s="10" t="s">
        <v>1176</v>
      </c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  <c r="CG359" s="10"/>
      <c r="CH359" s="10"/>
      <c r="CI359" s="10"/>
      <c r="CJ359" s="10"/>
      <c r="CK359" s="10"/>
      <c r="CL359" s="10"/>
      <c r="CM359" s="10"/>
      <c r="CN359" s="10"/>
      <c r="CO359" s="10"/>
      <c r="CP359" s="10"/>
    </row>
    <row r="360" spans="1:94" ht="15" customHeight="1">
      <c r="A360" s="10"/>
      <c r="B360" s="3"/>
      <c r="C360" s="24" t="s">
        <v>1178</v>
      </c>
      <c r="D360" s="24"/>
      <c r="E360" s="24">
        <f>SUM(E181+E213+E237,E293,E326,E352)</f>
        <v>2691905.9123727996</v>
      </c>
      <c r="F360" s="24"/>
      <c r="G360" s="135" t="str">
        <f>Monetary_Unit</f>
        <v>тыс. руб.</v>
      </c>
      <c r="H360" s="24">
        <f ca="1">SUM(H181+H213+H237,H293,H326,H352)</f>
        <v>3087285.4622873445</v>
      </c>
      <c r="I360" s="24"/>
      <c r="J360" s="24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  <c r="CP360" s="10"/>
    </row>
    <row r="361" spans="1:94" ht="15" customHeight="1">
      <c r="A361" s="10"/>
      <c r="B361" s="3"/>
      <c r="C361" s="17"/>
      <c r="D361" s="10"/>
      <c r="E361" s="10"/>
      <c r="F361" s="10"/>
      <c r="G361" s="11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  <c r="CP361" s="10"/>
    </row>
    <row r="362" spans="1:94" ht="23.25" customHeight="1">
      <c r="A362" s="10"/>
      <c r="B362" s="5" t="s">
        <v>299</v>
      </c>
      <c r="C362" s="5"/>
      <c r="D362" s="31"/>
      <c r="E362" s="31"/>
      <c r="F362" s="31"/>
      <c r="G362" s="18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  <c r="BS362" s="31"/>
      <c r="BT362" s="31"/>
      <c r="BU362" s="31"/>
      <c r="BV362" s="31"/>
      <c r="BW362" s="31"/>
      <c r="BX362" s="31"/>
      <c r="BY362" s="31"/>
      <c r="BZ362" s="31"/>
      <c r="CA362" s="31"/>
      <c r="CB362" s="31"/>
      <c r="CC362" s="31"/>
      <c r="CD362" s="31"/>
      <c r="CE362" s="31"/>
      <c r="CF362" s="31"/>
      <c r="CG362" s="31"/>
      <c r="CH362" s="31"/>
      <c r="CI362" s="31"/>
      <c r="CJ362" s="31"/>
      <c r="CK362" s="31"/>
      <c r="CL362" s="31"/>
      <c r="CM362" s="31"/>
      <c r="CN362" s="31"/>
      <c r="CO362" s="31"/>
      <c r="CP362" s="10"/>
    </row>
    <row r="363" spans="1:94" ht="15" customHeight="1">
      <c r="A363" s="10"/>
      <c r="B363" s="10"/>
      <c r="C363" s="10"/>
      <c r="D363" s="10"/>
      <c r="E363" s="10"/>
      <c r="F363" s="10"/>
      <c r="G363" s="142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  <c r="CG363" s="10"/>
      <c r="CH363" s="10"/>
      <c r="CI363" s="10"/>
      <c r="CJ363" s="10"/>
      <c r="CK363" s="10"/>
      <c r="CL363" s="10"/>
      <c r="CM363" s="10"/>
      <c r="CN363" s="10"/>
      <c r="CO363" s="10"/>
      <c r="CP363" s="10"/>
    </row>
    <row r="364" spans="1:94" ht="15" customHeight="1">
      <c r="A364" s="10"/>
      <c r="B364" s="10"/>
      <c r="C364" s="67" t="s">
        <v>133</v>
      </c>
      <c r="D364" s="10"/>
      <c r="E364" s="10"/>
      <c r="F364" s="10"/>
      <c r="G364" s="142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</row>
    <row r="365" spans="1:94" ht="15" customHeight="1">
      <c r="A365" s="10"/>
      <c r="B365" s="10"/>
      <c r="C365" s="17" t="s">
        <v>841</v>
      </c>
      <c r="D365" s="10"/>
      <c r="E365" s="14">
        <v>30</v>
      </c>
      <c r="F365" s="10"/>
      <c r="G365" s="142" t="s">
        <v>123</v>
      </c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  <c r="CD365" s="10"/>
      <c r="CE365" s="10"/>
      <c r="CF365" s="10"/>
      <c r="CG365" s="10"/>
      <c r="CH365" s="10"/>
      <c r="CI365" s="10"/>
      <c r="CJ365" s="10"/>
      <c r="CK365" s="10"/>
      <c r="CL365" s="10"/>
      <c r="CM365" s="10"/>
      <c r="CN365" s="10"/>
      <c r="CO365" s="10"/>
      <c r="CP365" s="10"/>
    </row>
    <row r="366" spans="1:94" ht="15" customHeight="1">
      <c r="A366" s="10"/>
      <c r="B366" s="10"/>
      <c r="C366" s="17" t="s">
        <v>581</v>
      </c>
      <c r="D366" s="10"/>
      <c r="E366" s="14">
        <v>30</v>
      </c>
      <c r="F366" s="10"/>
      <c r="G366" s="142" t="s">
        <v>123</v>
      </c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  <c r="CG366" s="10"/>
      <c r="CH366" s="10"/>
      <c r="CI366" s="10"/>
      <c r="CJ366" s="10"/>
      <c r="CK366" s="10"/>
      <c r="CL366" s="10"/>
      <c r="CM366" s="10"/>
      <c r="CN366" s="10"/>
      <c r="CO366" s="10"/>
      <c r="CP366" s="10"/>
    </row>
    <row r="367" spans="1:94" ht="15" customHeight="1">
      <c r="A367" s="10"/>
      <c r="B367" s="10"/>
      <c r="C367" s="17" t="s">
        <v>633</v>
      </c>
      <c r="D367" s="10"/>
      <c r="E367" s="14">
        <v>7</v>
      </c>
      <c r="F367" s="10"/>
      <c r="G367" s="142" t="s">
        <v>123</v>
      </c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  <c r="CG367" s="10"/>
      <c r="CH367" s="10"/>
      <c r="CI367" s="10"/>
      <c r="CJ367" s="10"/>
      <c r="CK367" s="10"/>
      <c r="CL367" s="10"/>
      <c r="CM367" s="10"/>
      <c r="CN367" s="10"/>
      <c r="CO367" s="10"/>
      <c r="CP367" s="10"/>
    </row>
    <row r="368" spans="1:94" ht="15" customHeight="1">
      <c r="A368" s="10"/>
      <c r="B368" s="10"/>
      <c r="C368" s="17"/>
      <c r="D368" s="10"/>
      <c r="E368" s="10"/>
      <c r="F368" s="10"/>
      <c r="G368" s="142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  <c r="CG368" s="10"/>
      <c r="CH368" s="10"/>
      <c r="CI368" s="10"/>
      <c r="CJ368" s="10"/>
      <c r="CK368" s="10"/>
      <c r="CL368" s="10"/>
      <c r="CM368" s="10"/>
      <c r="CN368" s="10"/>
      <c r="CO368" s="10"/>
      <c r="CP368" s="10"/>
    </row>
    <row r="369" spans="1:94" ht="15" customHeight="1">
      <c r="A369" s="10"/>
      <c r="B369" s="10"/>
      <c r="C369" s="67" t="s">
        <v>134</v>
      </c>
      <c r="D369" s="10"/>
      <c r="E369" s="10"/>
      <c r="F369" s="10"/>
      <c r="G369" s="142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</row>
    <row r="370" spans="1:94" ht="15" customHeight="1">
      <c r="A370" s="10"/>
      <c r="B370" s="10"/>
      <c r="C370" s="17" t="s">
        <v>841</v>
      </c>
      <c r="D370" s="10"/>
      <c r="E370" s="14">
        <v>30</v>
      </c>
      <c r="F370" s="10"/>
      <c r="G370" s="142" t="s">
        <v>123</v>
      </c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  <c r="CP370" s="10"/>
    </row>
    <row r="371" spans="1:94" ht="15" customHeight="1">
      <c r="A371" s="10"/>
      <c r="B371" s="10"/>
      <c r="C371" s="17" t="s">
        <v>581</v>
      </c>
      <c r="D371" s="10"/>
      <c r="E371" s="14">
        <v>30</v>
      </c>
      <c r="F371" s="10"/>
      <c r="G371" s="142" t="s">
        <v>123</v>
      </c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</row>
    <row r="372" spans="1:94" ht="15" customHeight="1">
      <c r="A372" s="10"/>
      <c r="B372" s="10"/>
      <c r="C372" s="17" t="s">
        <v>633</v>
      </c>
      <c r="D372" s="10"/>
      <c r="E372" s="14">
        <v>7</v>
      </c>
      <c r="F372" s="10"/>
      <c r="G372" s="142" t="s">
        <v>123</v>
      </c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  <c r="CP372" s="10"/>
    </row>
    <row r="373" spans="1:94" ht="15" customHeight="1">
      <c r="A373" s="10"/>
      <c r="B373" s="10"/>
      <c r="C373" s="17"/>
      <c r="D373" s="10"/>
      <c r="E373" s="10"/>
      <c r="F373" s="10"/>
      <c r="G373" s="11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  <c r="CG373" s="10"/>
      <c r="CH373" s="10"/>
      <c r="CI373" s="10"/>
      <c r="CJ373" s="10"/>
      <c r="CK373" s="10"/>
      <c r="CL373" s="10"/>
      <c r="CM373" s="10"/>
      <c r="CN373" s="10"/>
      <c r="CO373" s="10"/>
      <c r="CP373" s="10"/>
    </row>
    <row r="374" spans="1:94" ht="15" customHeight="1">
      <c r="A374" s="10"/>
      <c r="B374" s="10"/>
      <c r="C374" s="67" t="s">
        <v>132</v>
      </c>
      <c r="D374" s="10"/>
      <c r="E374" s="10"/>
      <c r="F374" s="10"/>
      <c r="G374" s="142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</row>
    <row r="375" spans="1:94" ht="15" customHeight="1">
      <c r="A375" s="10"/>
      <c r="B375" s="10"/>
      <c r="C375" s="17" t="s">
        <v>841</v>
      </c>
      <c r="D375" s="10"/>
      <c r="E375" s="80">
        <v>0.1</v>
      </c>
      <c r="F375" s="10"/>
      <c r="G375" s="142" t="s">
        <v>28</v>
      </c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  <c r="CG375" s="10"/>
      <c r="CH375" s="10"/>
      <c r="CI375" s="10"/>
      <c r="CJ375" s="10"/>
      <c r="CK375" s="10"/>
      <c r="CL375" s="10"/>
      <c r="CM375" s="10"/>
      <c r="CN375" s="10"/>
      <c r="CO375" s="10"/>
      <c r="CP375" s="10"/>
    </row>
    <row r="376" spans="1:94" ht="15" customHeight="1">
      <c r="A376" s="10"/>
      <c r="B376" s="10"/>
      <c r="C376" s="17" t="s">
        <v>581</v>
      </c>
      <c r="D376" s="10"/>
      <c r="E376" s="80">
        <v>0.1</v>
      </c>
      <c r="F376" s="10"/>
      <c r="G376" s="142" t="s">
        <v>28</v>
      </c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  <c r="CG376" s="10"/>
      <c r="CH376" s="10"/>
      <c r="CI376" s="10"/>
      <c r="CJ376" s="10"/>
      <c r="CK376" s="10"/>
      <c r="CL376" s="10"/>
      <c r="CM376" s="10"/>
      <c r="CN376" s="10"/>
      <c r="CO376" s="10"/>
      <c r="CP376" s="10"/>
    </row>
    <row r="377" spans="1:94" ht="15" customHeight="1">
      <c r="A377" s="10"/>
      <c r="B377" s="10"/>
      <c r="C377" s="17" t="s">
        <v>633</v>
      </c>
      <c r="D377" s="10"/>
      <c r="E377" s="80">
        <v>0.3</v>
      </c>
      <c r="F377" s="10"/>
      <c r="G377" s="142" t="s">
        <v>28</v>
      </c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  <c r="CG377" s="10"/>
      <c r="CH377" s="10"/>
      <c r="CI377" s="10"/>
      <c r="CJ377" s="10"/>
      <c r="CK377" s="10"/>
      <c r="CL377" s="10"/>
      <c r="CM377" s="10"/>
      <c r="CN377" s="10"/>
      <c r="CO377" s="10"/>
      <c r="CP377" s="10"/>
    </row>
    <row r="378" spans="1:94" ht="15" customHeight="1">
      <c r="A378" s="10"/>
      <c r="B378" s="10"/>
      <c r="C378" s="17"/>
      <c r="D378" s="10"/>
      <c r="E378" s="10"/>
      <c r="F378" s="10"/>
      <c r="G378" s="142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  <c r="CG378" s="10"/>
      <c r="CH378" s="10"/>
      <c r="CI378" s="10"/>
      <c r="CJ378" s="10"/>
      <c r="CK378" s="10"/>
      <c r="CL378" s="10"/>
      <c r="CM378" s="10"/>
      <c r="CN378" s="10"/>
      <c r="CO378" s="10"/>
      <c r="CP378" s="10"/>
    </row>
    <row r="379" spans="1:94" ht="22.5" customHeight="1">
      <c r="A379" s="10"/>
      <c r="B379" s="5" t="s">
        <v>96</v>
      </c>
      <c r="C379" s="5"/>
      <c r="D379" s="5"/>
      <c r="E379" s="5"/>
      <c r="F379" s="5"/>
      <c r="G379" s="6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  <c r="BS379" s="31"/>
      <c r="BT379" s="31"/>
      <c r="BU379" s="31"/>
      <c r="BV379" s="31"/>
      <c r="BW379" s="31"/>
      <c r="BX379" s="31"/>
      <c r="BY379" s="31"/>
      <c r="BZ379" s="31"/>
      <c r="CA379" s="31"/>
      <c r="CB379" s="31"/>
      <c r="CC379" s="31"/>
      <c r="CD379" s="31"/>
      <c r="CE379" s="31"/>
      <c r="CF379" s="31"/>
      <c r="CG379" s="31"/>
      <c r="CH379" s="31"/>
      <c r="CI379" s="31"/>
      <c r="CJ379" s="31"/>
      <c r="CK379" s="31"/>
      <c r="CL379" s="31"/>
      <c r="CM379" s="31"/>
      <c r="CN379" s="31"/>
      <c r="CO379" s="31"/>
      <c r="CP379" s="10"/>
    </row>
    <row r="380" spans="1:94">
      <c r="A380" s="10"/>
      <c r="B380" s="10"/>
      <c r="C380" s="10"/>
      <c r="D380" s="10"/>
      <c r="E380" s="10"/>
      <c r="F380" s="10"/>
      <c r="G380" s="11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  <c r="CP380" s="10"/>
    </row>
    <row r="381" spans="1:94" ht="15" customHeight="1">
      <c r="A381" s="10"/>
      <c r="B381" s="3"/>
      <c r="C381" s="382" t="str">
        <f>C244</f>
        <v>Сегмент 1: Объект размещения (отель)</v>
      </c>
      <c r="D381" s="271"/>
      <c r="E381" s="271"/>
      <c r="F381" s="271"/>
      <c r="G381" s="272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  <c r="CA381" s="271"/>
      <c r="CB381" s="271"/>
      <c r="CC381" s="271"/>
      <c r="CD381" s="271"/>
      <c r="CE381" s="271"/>
      <c r="CF381" s="271"/>
      <c r="CG381" s="271"/>
      <c r="CH381" s="271"/>
      <c r="CI381" s="271"/>
      <c r="CJ381" s="271"/>
      <c r="CK381" s="271"/>
      <c r="CL381" s="271"/>
      <c r="CM381" s="271"/>
      <c r="CN381" s="271"/>
      <c r="CO381" s="271"/>
      <c r="CP381" s="10"/>
    </row>
    <row r="382" spans="1:94" ht="15" customHeight="1">
      <c r="A382" s="10"/>
      <c r="B382" s="3"/>
      <c r="C382" s="17"/>
      <c r="D382" s="10"/>
      <c r="E382" s="10"/>
      <c r="F382" s="10"/>
      <c r="G382" s="11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  <c r="CP382" s="10"/>
    </row>
    <row r="383" spans="1:94" ht="16.5" thickBot="1">
      <c r="A383" s="10"/>
      <c r="B383" s="10"/>
      <c r="C383" s="12" t="s">
        <v>695</v>
      </c>
      <c r="D383" s="12"/>
      <c r="E383" s="12"/>
      <c r="F383" s="12"/>
      <c r="G383" s="12"/>
      <c r="H383" s="12"/>
      <c r="I383" s="12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  <c r="CD383" s="10"/>
      <c r="CE383" s="10"/>
      <c r="CF383" s="10"/>
      <c r="CG383" s="10"/>
      <c r="CH383" s="10"/>
      <c r="CI383" s="10"/>
      <c r="CJ383" s="10"/>
      <c r="CK383" s="10"/>
      <c r="CL383" s="10"/>
      <c r="CM383" s="10"/>
      <c r="CN383" s="10"/>
      <c r="CO383" s="10"/>
      <c r="CP383" s="10"/>
    </row>
    <row r="384" spans="1:94">
      <c r="A384" s="10"/>
      <c r="B384" s="10"/>
      <c r="C384" s="10"/>
      <c r="D384" s="10"/>
      <c r="E384" s="10"/>
      <c r="F384" s="10"/>
      <c r="G384" s="11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  <c r="CG384" s="10"/>
      <c r="CH384" s="10"/>
      <c r="CI384" s="10"/>
      <c r="CJ384" s="10"/>
      <c r="CK384" s="10"/>
      <c r="CL384" s="10"/>
      <c r="CM384" s="10"/>
      <c r="CN384" s="10"/>
      <c r="CO384" s="10"/>
      <c r="CP384" s="10"/>
    </row>
    <row r="385" spans="1:94">
      <c r="A385" s="10"/>
      <c r="B385" s="10"/>
      <c r="C385" s="17" t="s">
        <v>651</v>
      </c>
      <c r="D385" s="10"/>
      <c r="E385" s="80">
        <f>Загрузка!H15/100</f>
        <v>0.61416666666666664</v>
      </c>
      <c r="F385" s="10"/>
      <c r="G385" s="11" t="s">
        <v>28</v>
      </c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  <c r="CD385" s="10"/>
      <c r="CE385" s="10"/>
      <c r="CF385" s="10"/>
      <c r="CG385" s="10"/>
      <c r="CH385" s="10"/>
      <c r="CI385" s="10"/>
      <c r="CJ385" s="10"/>
      <c r="CK385" s="10"/>
      <c r="CL385" s="10"/>
      <c r="CM385" s="10"/>
      <c r="CN385" s="10"/>
      <c r="CO385" s="10"/>
      <c r="CP385" s="10"/>
    </row>
    <row r="386" spans="1:94">
      <c r="A386" s="10"/>
      <c r="B386" s="10"/>
      <c r="C386" s="17" t="s">
        <v>697</v>
      </c>
      <c r="D386" s="10"/>
      <c r="E386" s="80">
        <v>0.45</v>
      </c>
      <c r="F386" s="10"/>
      <c r="G386" s="11" t="s">
        <v>28</v>
      </c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  <c r="CD386" s="10"/>
      <c r="CE386" s="10"/>
      <c r="CF386" s="10"/>
      <c r="CG386" s="10"/>
      <c r="CH386" s="10"/>
      <c r="CI386" s="10"/>
      <c r="CJ386" s="10"/>
      <c r="CK386" s="10"/>
      <c r="CL386" s="10"/>
      <c r="CM386" s="10"/>
      <c r="CN386" s="10"/>
      <c r="CO386" s="10"/>
      <c r="CP386" s="10"/>
    </row>
    <row r="387" spans="1:94">
      <c r="A387" s="10"/>
      <c r="B387" s="10"/>
      <c r="C387" s="17" t="s">
        <v>655</v>
      </c>
      <c r="D387" s="10"/>
      <c r="E387" s="14">
        <v>12</v>
      </c>
      <c r="F387" s="10"/>
      <c r="G387" s="11" t="s">
        <v>1151</v>
      </c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  <c r="CD387" s="10"/>
      <c r="CE387" s="10"/>
      <c r="CF387" s="10"/>
      <c r="CG387" s="10"/>
      <c r="CH387" s="10"/>
      <c r="CI387" s="10"/>
      <c r="CJ387" s="10"/>
      <c r="CK387" s="10"/>
      <c r="CL387" s="10"/>
      <c r="CM387" s="10"/>
      <c r="CN387" s="10"/>
      <c r="CO387" s="10"/>
      <c r="CP387" s="10"/>
    </row>
    <row r="388" spans="1:94">
      <c r="A388" s="10"/>
      <c r="B388" s="10"/>
      <c r="C388" s="17"/>
      <c r="D388" s="10"/>
      <c r="E388" s="10"/>
      <c r="F388" s="10"/>
      <c r="G388" s="11"/>
      <c r="H388" s="10" t="s">
        <v>1146</v>
      </c>
      <c r="I388" s="10"/>
      <c r="J388" s="10"/>
      <c r="K388" s="10"/>
      <c r="L388" s="162">
        <v>1</v>
      </c>
      <c r="M388" s="162">
        <f xml:space="preserve"> L388 + 1</f>
        <v>2</v>
      </c>
      <c r="N388" s="162">
        <f xml:space="preserve"> M388 + 1</f>
        <v>3</v>
      </c>
      <c r="O388" s="162">
        <f xml:space="preserve"> N388 + 1</f>
        <v>4</v>
      </c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  <c r="CG388" s="10"/>
      <c r="CH388" s="10"/>
      <c r="CI388" s="10"/>
      <c r="CJ388" s="10"/>
      <c r="CK388" s="10"/>
      <c r="CL388" s="10"/>
      <c r="CM388" s="10"/>
      <c r="CN388" s="10"/>
      <c r="CO388" s="10"/>
      <c r="CP388" s="10"/>
    </row>
    <row r="389" spans="1:94">
      <c r="A389" s="10"/>
      <c r="B389" s="10"/>
      <c r="C389" s="17" t="s">
        <v>1145</v>
      </c>
      <c r="D389" s="10"/>
      <c r="E389" s="10"/>
      <c r="F389" s="10"/>
      <c r="G389" s="11" t="s">
        <v>28</v>
      </c>
      <c r="H389" s="231">
        <f>SUM(L389:O389)</f>
        <v>1</v>
      </c>
      <c r="I389" s="10"/>
      <c r="J389" s="10"/>
      <c r="K389" s="10"/>
      <c r="L389" s="167">
        <f>Загрузка!L5/100</f>
        <v>0.17761546341246159</v>
      </c>
      <c r="M389" s="167">
        <f>Загрузка!L8/100</f>
        <v>0.26112323520242287</v>
      </c>
      <c r="N389" s="167">
        <f>Загрузка!L11/100</f>
        <v>0.37273415579209901</v>
      </c>
      <c r="O389" s="167">
        <f>Загрузка!L14/100</f>
        <v>0.18852714559301653</v>
      </c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  <c r="CG389" s="10"/>
      <c r="CH389" s="10"/>
      <c r="CI389" s="10"/>
      <c r="CJ389" s="10"/>
      <c r="CK389" s="10"/>
      <c r="CL389" s="10"/>
      <c r="CM389" s="10"/>
      <c r="CN389" s="10"/>
      <c r="CO389" s="10"/>
      <c r="CP389" s="10"/>
    </row>
    <row r="390" spans="1:94">
      <c r="A390" s="10"/>
      <c r="B390" s="10"/>
      <c r="C390" s="10"/>
      <c r="D390" s="10"/>
      <c r="E390" s="10"/>
      <c r="F390" s="10"/>
      <c r="G390" s="11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  <c r="CP390" s="10"/>
    </row>
    <row r="391" spans="1:94">
      <c r="A391" s="10"/>
      <c r="B391" s="10"/>
      <c r="C391" s="17" t="s">
        <v>1195</v>
      </c>
      <c r="D391" s="10"/>
      <c r="E391" s="63">
        <f>'численность гостей'!N23</f>
        <v>1.9106000000000001</v>
      </c>
      <c r="F391" s="10"/>
      <c r="G391" s="11" t="s">
        <v>658</v>
      </c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  <c r="CP391" s="10"/>
    </row>
    <row r="392" spans="1:94">
      <c r="A392" s="10"/>
      <c r="B392" s="10"/>
      <c r="C392" s="10"/>
      <c r="D392" s="10"/>
      <c r="E392" s="10"/>
      <c r="F392" s="10"/>
      <c r="G392" s="11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  <c r="CP392" s="10"/>
    </row>
    <row r="393" spans="1:94">
      <c r="A393" s="10"/>
      <c r="B393" s="10"/>
      <c r="C393" s="10"/>
      <c r="D393" s="10"/>
      <c r="E393" s="10"/>
      <c r="F393" s="10"/>
      <c r="G393" s="11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  <c r="CD393" s="10"/>
      <c r="CE393" s="10"/>
      <c r="CF393" s="10"/>
      <c r="CG393" s="10"/>
      <c r="CH393" s="10"/>
      <c r="CI393" s="10"/>
      <c r="CJ393" s="10"/>
      <c r="CK393" s="10"/>
      <c r="CL393" s="10"/>
      <c r="CM393" s="10"/>
      <c r="CN393" s="10"/>
      <c r="CO393" s="10"/>
      <c r="CP393" s="10"/>
    </row>
    <row r="394" spans="1:94" ht="16.5" thickBot="1">
      <c r="A394" s="10"/>
      <c r="B394" s="10"/>
      <c r="C394" s="12" t="s">
        <v>696</v>
      </c>
      <c r="D394" s="12"/>
      <c r="E394" s="12"/>
      <c r="F394" s="12"/>
      <c r="G394" s="12"/>
      <c r="H394" s="12"/>
      <c r="I394" s="12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  <c r="CG394" s="10"/>
      <c r="CH394" s="10"/>
      <c r="CI394" s="10"/>
      <c r="CJ394" s="10"/>
      <c r="CK394" s="10"/>
      <c r="CL394" s="10"/>
      <c r="CM394" s="10"/>
      <c r="CN394" s="10"/>
      <c r="CO394" s="10"/>
      <c r="CP394" s="10"/>
    </row>
    <row r="395" spans="1:94">
      <c r="A395" s="10"/>
      <c r="B395" s="10"/>
      <c r="C395" s="10"/>
      <c r="D395" s="10"/>
      <c r="E395" s="10"/>
      <c r="F395" s="10"/>
      <c r="G395" s="11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  <c r="CD395" s="10"/>
      <c r="CE395" s="10"/>
      <c r="CF395" s="10"/>
      <c r="CG395" s="10"/>
      <c r="CH395" s="10"/>
      <c r="CI395" s="10"/>
      <c r="CJ395" s="10"/>
      <c r="CK395" s="10"/>
      <c r="CL395" s="10"/>
      <c r="CM395" s="10"/>
      <c r="CN395" s="10"/>
      <c r="CO395" s="10"/>
      <c r="CP395" s="10"/>
    </row>
    <row r="396" spans="1:94">
      <c r="A396" s="10"/>
      <c r="B396" s="10"/>
      <c r="C396" s="17" t="s">
        <v>1564</v>
      </c>
      <c r="D396" s="10"/>
      <c r="E396" s="80">
        <v>1</v>
      </c>
      <c r="F396" s="10"/>
      <c r="G396" s="11" t="s">
        <v>28</v>
      </c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  <c r="BA396" s="10"/>
      <c r="BB396" s="10"/>
      <c r="BC396" s="10"/>
      <c r="BD396" s="10"/>
      <c r="BE396" s="10"/>
      <c r="BF396" s="10"/>
      <c r="BG396" s="10"/>
      <c r="BH396" s="10"/>
      <c r="BI396" s="10"/>
      <c r="BJ396" s="10"/>
      <c r="BK396" s="10"/>
      <c r="BL396" s="10"/>
      <c r="BM396" s="10"/>
      <c r="BN396" s="10"/>
      <c r="BO396" s="10"/>
      <c r="BP396" s="10"/>
      <c r="BQ396" s="10"/>
      <c r="BR396" s="10"/>
      <c r="BS396" s="10"/>
      <c r="BT396" s="10"/>
      <c r="BU396" s="10"/>
      <c r="BV396" s="10"/>
      <c r="BW396" s="10"/>
      <c r="BX396" s="10"/>
      <c r="BY396" s="10"/>
      <c r="BZ396" s="10"/>
      <c r="CA396" s="10"/>
      <c r="CB396" s="10"/>
      <c r="CC396" s="10"/>
      <c r="CD396" s="10"/>
      <c r="CE396" s="10"/>
      <c r="CF396" s="10"/>
      <c r="CG396" s="10"/>
      <c r="CH396" s="10"/>
      <c r="CI396" s="10"/>
      <c r="CJ396" s="10"/>
      <c r="CK396" s="10"/>
      <c r="CL396" s="10"/>
      <c r="CM396" s="10"/>
      <c r="CN396" s="10"/>
      <c r="CO396" s="10"/>
      <c r="CP396" s="10"/>
    </row>
    <row r="397" spans="1:94">
      <c r="A397" s="10"/>
      <c r="B397" s="10"/>
      <c r="C397" s="17" t="s">
        <v>764</v>
      </c>
      <c r="D397" s="10"/>
      <c r="E397" s="80">
        <v>0.5</v>
      </c>
      <c r="F397" s="10"/>
      <c r="G397" s="11" t="s">
        <v>28</v>
      </c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  <c r="BA397" s="10"/>
      <c r="BB397" s="10"/>
      <c r="BC397" s="10"/>
      <c r="BD397" s="10"/>
      <c r="BE397" s="10"/>
      <c r="BF397" s="10"/>
      <c r="BG397" s="10"/>
      <c r="BH397" s="10"/>
      <c r="BI397" s="10"/>
      <c r="BJ397" s="10"/>
      <c r="BK397" s="10"/>
      <c r="BL397" s="10"/>
      <c r="BM397" s="10"/>
      <c r="BN397" s="10"/>
      <c r="BO397" s="10"/>
      <c r="BP397" s="10"/>
      <c r="BQ397" s="10"/>
      <c r="BR397" s="10"/>
      <c r="BS397" s="10"/>
      <c r="BT397" s="10"/>
      <c r="BU397" s="10"/>
      <c r="BV397" s="10"/>
      <c r="BW397" s="10"/>
      <c r="BX397" s="10"/>
      <c r="BY397" s="10"/>
      <c r="BZ397" s="10"/>
      <c r="CA397" s="10"/>
      <c r="CB397" s="10"/>
      <c r="CC397" s="10"/>
      <c r="CD397" s="10"/>
      <c r="CE397" s="10"/>
      <c r="CF397" s="10"/>
      <c r="CG397" s="10"/>
      <c r="CH397" s="10"/>
      <c r="CI397" s="10"/>
      <c r="CJ397" s="10"/>
      <c r="CK397" s="10"/>
      <c r="CL397" s="10"/>
      <c r="CM397" s="10"/>
      <c r="CN397" s="10"/>
      <c r="CO397" s="10"/>
      <c r="CP397" s="10"/>
    </row>
    <row r="398" spans="1:94">
      <c r="A398" s="10"/>
      <c r="B398" s="10"/>
      <c r="C398" s="17" t="s">
        <v>765</v>
      </c>
      <c r="D398" s="10"/>
      <c r="E398" s="80">
        <v>0.6</v>
      </c>
      <c r="F398" s="10"/>
      <c r="G398" s="11" t="s">
        <v>28</v>
      </c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  <c r="BA398" s="10"/>
      <c r="BB398" s="10"/>
      <c r="BC398" s="10"/>
      <c r="BD398" s="10"/>
      <c r="BE398" s="10"/>
      <c r="BF398" s="10"/>
      <c r="BG398" s="10"/>
      <c r="BH398" s="10"/>
      <c r="BI398" s="10"/>
      <c r="BJ398" s="10"/>
      <c r="BK398" s="10"/>
      <c r="BL398" s="10"/>
      <c r="BM398" s="10"/>
      <c r="BN398" s="10"/>
      <c r="BO398" s="10"/>
      <c r="BP398" s="10"/>
      <c r="BQ398" s="10"/>
      <c r="BR398" s="10"/>
      <c r="BS398" s="10"/>
      <c r="BT398" s="10"/>
      <c r="BU398" s="10"/>
      <c r="BV398" s="10"/>
      <c r="BW398" s="10"/>
      <c r="BX398" s="10"/>
      <c r="BY398" s="10"/>
      <c r="BZ398" s="10"/>
      <c r="CA398" s="10"/>
      <c r="CB398" s="10"/>
      <c r="CC398" s="10"/>
      <c r="CD398" s="10"/>
      <c r="CE398" s="10"/>
      <c r="CF398" s="10"/>
      <c r="CG398" s="10"/>
      <c r="CH398" s="10"/>
      <c r="CI398" s="10"/>
      <c r="CJ398" s="10"/>
      <c r="CK398" s="10"/>
      <c r="CL398" s="10"/>
      <c r="CM398" s="10"/>
      <c r="CN398" s="10"/>
      <c r="CO398" s="10"/>
      <c r="CP398" s="10"/>
    </row>
    <row r="399" spans="1:94">
      <c r="A399" s="10"/>
      <c r="B399" s="10"/>
      <c r="C399" s="17" t="s">
        <v>766</v>
      </c>
      <c r="D399" s="10"/>
      <c r="E399" s="80">
        <v>0.2</v>
      </c>
      <c r="F399" s="10"/>
      <c r="G399" s="11" t="s">
        <v>28</v>
      </c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  <c r="CD399" s="10"/>
      <c r="CE399" s="10"/>
      <c r="CF399" s="10"/>
      <c r="CG399" s="10"/>
      <c r="CH399" s="10"/>
      <c r="CI399" s="10"/>
      <c r="CJ399" s="10"/>
      <c r="CK399" s="10"/>
      <c r="CL399" s="10"/>
      <c r="CM399" s="10"/>
      <c r="CN399" s="10"/>
      <c r="CO399" s="10"/>
      <c r="CP399" s="10"/>
    </row>
    <row r="400" spans="1:94">
      <c r="A400" s="10"/>
      <c r="B400" s="10"/>
      <c r="C400" s="17"/>
      <c r="D400" s="10"/>
      <c r="E400" s="10"/>
      <c r="F400" s="10"/>
      <c r="G400" s="11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  <c r="CP400" s="10"/>
    </row>
    <row r="401" spans="1:94">
      <c r="A401" s="10"/>
      <c r="B401" s="10"/>
      <c r="C401" s="17" t="s">
        <v>673</v>
      </c>
      <c r="D401" s="10"/>
      <c r="E401" s="14">
        <v>0</v>
      </c>
      <c r="F401" s="10"/>
      <c r="G401" s="11" t="s">
        <v>672</v>
      </c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  <c r="CP401" s="10"/>
    </row>
    <row r="402" spans="1:94">
      <c r="A402" s="10"/>
      <c r="B402" s="10"/>
      <c r="C402" s="17" t="s">
        <v>674</v>
      </c>
      <c r="D402" s="10"/>
      <c r="E402" s="14">
        <v>0</v>
      </c>
      <c r="F402" s="10"/>
      <c r="G402" s="11" t="s">
        <v>672</v>
      </c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  <c r="CP402" s="10"/>
    </row>
    <row r="403" spans="1:94">
      <c r="A403" s="10"/>
      <c r="B403" s="10"/>
      <c r="C403" s="17" t="s">
        <v>675</v>
      </c>
      <c r="D403" s="10"/>
      <c r="E403" s="14">
        <v>0</v>
      </c>
      <c r="F403" s="10"/>
      <c r="G403" s="11" t="s">
        <v>672</v>
      </c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10"/>
      <c r="BK403" s="10"/>
      <c r="BL403" s="10"/>
      <c r="BM403" s="10"/>
      <c r="BN403" s="10"/>
      <c r="BO403" s="10"/>
      <c r="BP403" s="10"/>
      <c r="BQ403" s="10"/>
      <c r="BR403" s="10"/>
      <c r="BS403" s="10"/>
      <c r="BT403" s="10"/>
      <c r="BU403" s="10"/>
      <c r="BV403" s="10"/>
      <c r="BW403" s="10"/>
      <c r="BX403" s="10"/>
      <c r="BY403" s="10"/>
      <c r="BZ403" s="10"/>
      <c r="CA403" s="10"/>
      <c r="CB403" s="10"/>
      <c r="CC403" s="10"/>
      <c r="CD403" s="10"/>
      <c r="CE403" s="10"/>
      <c r="CF403" s="10"/>
      <c r="CG403" s="10"/>
      <c r="CH403" s="10"/>
      <c r="CI403" s="10"/>
      <c r="CJ403" s="10"/>
      <c r="CK403" s="10"/>
      <c r="CL403" s="10"/>
      <c r="CM403" s="10"/>
      <c r="CN403" s="10"/>
      <c r="CO403" s="10"/>
      <c r="CP403" s="10"/>
    </row>
    <row r="404" spans="1:94">
      <c r="A404" s="10"/>
      <c r="B404" s="10"/>
      <c r="C404" s="17" t="s">
        <v>680</v>
      </c>
      <c r="D404" s="10"/>
      <c r="E404" s="14"/>
      <c r="F404" s="10"/>
      <c r="G404" s="11" t="s">
        <v>672</v>
      </c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  <c r="CD404" s="10"/>
      <c r="CE404" s="10"/>
      <c r="CF404" s="10"/>
      <c r="CG404" s="10"/>
      <c r="CH404" s="10"/>
      <c r="CI404" s="10"/>
      <c r="CJ404" s="10"/>
      <c r="CK404" s="10"/>
      <c r="CL404" s="10"/>
      <c r="CM404" s="10"/>
      <c r="CN404" s="10"/>
      <c r="CO404" s="10"/>
      <c r="CP404" s="10"/>
    </row>
    <row r="405" spans="1:94">
      <c r="A405" s="10"/>
      <c r="B405" s="10"/>
      <c r="C405" s="17"/>
      <c r="D405" s="10"/>
      <c r="E405" s="10"/>
      <c r="F405" s="10"/>
      <c r="G405" s="11"/>
      <c r="H405" s="10"/>
      <c r="I405" s="10"/>
      <c r="J405" s="10"/>
      <c r="K405" s="10"/>
      <c r="L405" s="574" t="s">
        <v>1458</v>
      </c>
      <c r="M405" s="574" t="s">
        <v>1459</v>
      </c>
      <c r="N405" s="574" t="s">
        <v>1460</v>
      </c>
      <c r="O405" s="574" t="s">
        <v>1461</v>
      </c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10"/>
      <c r="BK405" s="10"/>
      <c r="BL405" s="10"/>
      <c r="BM405" s="10"/>
      <c r="BN405" s="10"/>
      <c r="BO405" s="10"/>
      <c r="BP405" s="10"/>
      <c r="BQ405" s="10"/>
      <c r="BR405" s="10"/>
      <c r="BS405" s="10"/>
      <c r="BT405" s="10"/>
      <c r="BU405" s="10"/>
      <c r="BV405" s="10"/>
      <c r="BW405" s="10"/>
      <c r="BX405" s="10"/>
      <c r="BY405" s="10"/>
      <c r="BZ405" s="10"/>
      <c r="CA405" s="10"/>
      <c r="CB405" s="10"/>
      <c r="CC405" s="10"/>
      <c r="CD405" s="10"/>
      <c r="CE405" s="10"/>
      <c r="CF405" s="10"/>
      <c r="CG405" s="10"/>
      <c r="CH405" s="10"/>
      <c r="CI405" s="10"/>
      <c r="CJ405" s="10"/>
      <c r="CK405" s="10"/>
      <c r="CL405" s="10"/>
      <c r="CM405" s="10"/>
      <c r="CN405" s="10"/>
      <c r="CO405" s="10"/>
      <c r="CP405" s="10"/>
    </row>
    <row r="406" spans="1:94">
      <c r="A406" s="10"/>
      <c r="B406" s="10"/>
      <c r="C406" s="17" t="s">
        <v>1552</v>
      </c>
      <c r="D406" s="10"/>
      <c r="E406" s="14">
        <v>2500</v>
      </c>
      <c r="F406" s="10"/>
      <c r="G406" s="11" t="s">
        <v>661</v>
      </c>
      <c r="H406" s="10"/>
      <c r="I406" s="10"/>
      <c r="J406" s="10"/>
      <c r="K406" s="10"/>
      <c r="L406" s="581">
        <f>'ADR квартал'!G18</f>
        <v>0</v>
      </c>
      <c r="M406" s="581">
        <f>'ADR квартал'!H18</f>
        <v>0</v>
      </c>
      <c r="N406" s="581">
        <f>'ADR квартал'!I18</f>
        <v>0</v>
      </c>
      <c r="O406" s="581">
        <f>'ADR квартал'!J18</f>
        <v>0</v>
      </c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10"/>
      <c r="BK406" s="10"/>
      <c r="BL406" s="10"/>
      <c r="BM406" s="10"/>
      <c r="BN406" s="10"/>
      <c r="BO406" s="10"/>
      <c r="BP406" s="10"/>
      <c r="BQ406" s="10"/>
      <c r="BR406" s="10"/>
      <c r="BS406" s="10"/>
      <c r="BT406" s="10"/>
      <c r="BU406" s="10"/>
      <c r="BV406" s="10"/>
      <c r="BW406" s="10"/>
      <c r="BX406" s="10"/>
      <c r="BY406" s="10"/>
      <c r="BZ406" s="10"/>
      <c r="CA406" s="10"/>
      <c r="CB406" s="10"/>
      <c r="CC406" s="10"/>
      <c r="CD406" s="10"/>
      <c r="CE406" s="10"/>
      <c r="CF406" s="10"/>
      <c r="CG406" s="10"/>
      <c r="CH406" s="10"/>
      <c r="CI406" s="10"/>
      <c r="CJ406" s="10"/>
      <c r="CK406" s="10"/>
      <c r="CL406" s="10"/>
      <c r="CM406" s="10"/>
      <c r="CN406" s="10"/>
      <c r="CO406" s="10"/>
      <c r="CP406" s="10"/>
    </row>
    <row r="407" spans="1:94">
      <c r="A407" s="10"/>
      <c r="B407" s="10"/>
      <c r="C407" s="17" t="s">
        <v>676</v>
      </c>
      <c r="D407" s="10"/>
      <c r="E407" s="14">
        <v>2500</v>
      </c>
      <c r="F407" s="10"/>
      <c r="G407" s="11" t="s">
        <v>661</v>
      </c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10"/>
      <c r="BK407" s="10"/>
      <c r="BL407" s="10"/>
      <c r="BM407" s="10"/>
      <c r="BN407" s="10"/>
      <c r="BO407" s="10"/>
      <c r="BP407" s="10"/>
      <c r="BQ407" s="10"/>
      <c r="BR407" s="10"/>
      <c r="BS407" s="10"/>
      <c r="BT407" s="10"/>
      <c r="BU407" s="10"/>
      <c r="BV407" s="10"/>
      <c r="BW407" s="10"/>
      <c r="BX407" s="10"/>
      <c r="BY407" s="10"/>
      <c r="BZ407" s="10"/>
      <c r="CA407" s="10"/>
      <c r="CB407" s="10"/>
      <c r="CC407" s="10"/>
      <c r="CD407" s="10"/>
      <c r="CE407" s="10"/>
      <c r="CF407" s="10"/>
      <c r="CG407" s="10"/>
      <c r="CH407" s="10"/>
      <c r="CI407" s="10"/>
      <c r="CJ407" s="10"/>
      <c r="CK407" s="10"/>
      <c r="CL407" s="10"/>
      <c r="CM407" s="10"/>
      <c r="CN407" s="10"/>
      <c r="CO407" s="10"/>
      <c r="CP407" s="10"/>
    </row>
    <row r="408" spans="1:94">
      <c r="A408" s="10"/>
      <c r="B408" s="10"/>
      <c r="C408" s="17" t="s">
        <v>677</v>
      </c>
      <c r="D408" s="10"/>
      <c r="E408" s="14">
        <v>2500</v>
      </c>
      <c r="F408" s="10"/>
      <c r="G408" s="11" t="s">
        <v>661</v>
      </c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10"/>
      <c r="BK408" s="10"/>
      <c r="BL408" s="10"/>
      <c r="BM408" s="10"/>
      <c r="BN408" s="10"/>
      <c r="BO408" s="10"/>
      <c r="BP408" s="10"/>
      <c r="BQ408" s="10"/>
      <c r="BR408" s="10"/>
      <c r="BS408" s="10"/>
      <c r="BT408" s="10"/>
      <c r="BU408" s="10"/>
      <c r="BV408" s="10"/>
      <c r="BW408" s="10"/>
      <c r="BX408" s="10"/>
      <c r="BY408" s="10"/>
      <c r="BZ408" s="10"/>
      <c r="CA408" s="10"/>
      <c r="CB408" s="10"/>
      <c r="CC408" s="10"/>
      <c r="CD408" s="10"/>
      <c r="CE408" s="10"/>
      <c r="CF408" s="10"/>
      <c r="CG408" s="10"/>
      <c r="CH408" s="10"/>
      <c r="CI408" s="10"/>
      <c r="CJ408" s="10"/>
      <c r="CK408" s="10"/>
      <c r="CL408" s="10"/>
      <c r="CM408" s="10"/>
      <c r="CN408" s="10"/>
      <c r="CO408" s="10"/>
      <c r="CP408" s="10"/>
    </row>
    <row r="409" spans="1:94">
      <c r="A409" s="10"/>
      <c r="B409" s="10"/>
      <c r="C409" s="17" t="s">
        <v>678</v>
      </c>
      <c r="D409" s="10"/>
      <c r="E409" s="14">
        <v>1200</v>
      </c>
      <c r="F409" s="10"/>
      <c r="G409" s="11" t="s">
        <v>661</v>
      </c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  <c r="CD409" s="10"/>
      <c r="CE409" s="10"/>
      <c r="CF409" s="10"/>
      <c r="CG409" s="10"/>
      <c r="CH409" s="10"/>
      <c r="CI409" s="10"/>
      <c r="CJ409" s="10"/>
      <c r="CK409" s="10"/>
      <c r="CL409" s="10"/>
      <c r="CM409" s="10"/>
      <c r="CN409" s="10"/>
      <c r="CO409" s="10"/>
      <c r="CP409" s="10"/>
    </row>
    <row r="410" spans="1:94">
      <c r="A410" s="10"/>
      <c r="B410" s="10"/>
      <c r="C410" s="10"/>
      <c r="D410" s="10"/>
      <c r="E410" s="10"/>
      <c r="F410" s="10"/>
      <c r="G410" s="11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  <c r="CP410" s="10"/>
    </row>
    <row r="411" spans="1:94" ht="16.5" thickBot="1">
      <c r="A411" s="10"/>
      <c r="B411" s="10"/>
      <c r="C411" s="12" t="s">
        <v>1167</v>
      </c>
      <c r="D411" s="12"/>
      <c r="E411" s="12"/>
      <c r="F411" s="12"/>
      <c r="G411" s="12"/>
      <c r="H411" s="12"/>
      <c r="I411" s="12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  <c r="CP411" s="10"/>
    </row>
    <row r="412" spans="1:94">
      <c r="A412" s="10"/>
      <c r="B412" s="10"/>
      <c r="C412" s="10"/>
      <c r="D412" s="10"/>
      <c r="E412" s="10"/>
      <c r="F412" s="10"/>
      <c r="G412" s="11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  <c r="CP412" s="10"/>
    </row>
    <row r="413" spans="1:94">
      <c r="A413" s="10"/>
      <c r="B413" s="10"/>
      <c r="C413" s="17" t="s">
        <v>1168</v>
      </c>
      <c r="D413" s="10"/>
      <c r="E413" s="80">
        <v>0.08</v>
      </c>
      <c r="F413" s="10"/>
      <c r="G413" s="11" t="s">
        <v>28</v>
      </c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10"/>
      <c r="BK413" s="10"/>
      <c r="BL413" s="10"/>
      <c r="BM413" s="10"/>
      <c r="BN413" s="10"/>
      <c r="BO413" s="10"/>
      <c r="BP413" s="10"/>
      <c r="BQ413" s="10"/>
      <c r="BR413" s="10"/>
      <c r="BS413" s="10"/>
      <c r="BT413" s="10"/>
      <c r="BU413" s="10"/>
      <c r="BV413" s="10"/>
      <c r="BW413" s="10"/>
      <c r="BX413" s="10"/>
      <c r="BY413" s="10"/>
      <c r="BZ413" s="10"/>
      <c r="CA413" s="10"/>
      <c r="CB413" s="10"/>
      <c r="CC413" s="10"/>
      <c r="CD413" s="10"/>
      <c r="CE413" s="10"/>
      <c r="CF413" s="10"/>
      <c r="CG413" s="10"/>
      <c r="CH413" s="10"/>
      <c r="CI413" s="10"/>
      <c r="CJ413" s="10"/>
      <c r="CK413" s="10"/>
      <c r="CL413" s="10"/>
      <c r="CM413" s="10"/>
      <c r="CN413" s="10"/>
      <c r="CO413" s="10"/>
      <c r="CP413" s="10"/>
    </row>
    <row r="414" spans="1:94">
      <c r="A414" s="10"/>
      <c r="B414" s="10"/>
      <c r="C414" s="10"/>
      <c r="D414" s="10"/>
      <c r="E414" s="10"/>
      <c r="F414" s="10"/>
      <c r="G414" s="11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  <c r="CD414" s="10"/>
      <c r="CE414" s="10"/>
      <c r="CF414" s="10"/>
      <c r="CG414" s="10"/>
      <c r="CH414" s="10"/>
      <c r="CI414" s="10"/>
      <c r="CJ414" s="10"/>
      <c r="CK414" s="10"/>
      <c r="CL414" s="10"/>
      <c r="CM414" s="10"/>
      <c r="CN414" s="10"/>
      <c r="CO414" s="10"/>
      <c r="CP414" s="10"/>
    </row>
    <row r="415" spans="1:94" ht="15" customHeight="1">
      <c r="A415" s="10"/>
      <c r="B415" s="3"/>
      <c r="C415" s="382" t="str">
        <f>C303</f>
        <v>Сегмент 2: Развлекательный комплекс</v>
      </c>
      <c r="D415" s="271"/>
      <c r="E415" s="271"/>
      <c r="F415" s="271"/>
      <c r="G415" s="272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  <c r="CA415" s="271"/>
      <c r="CB415" s="271"/>
      <c r="CC415" s="271"/>
      <c r="CD415" s="271"/>
      <c r="CE415" s="271"/>
      <c r="CF415" s="271"/>
      <c r="CG415" s="271"/>
      <c r="CH415" s="271"/>
      <c r="CI415" s="271"/>
      <c r="CJ415" s="271"/>
      <c r="CK415" s="271"/>
      <c r="CL415" s="271"/>
      <c r="CM415" s="271"/>
      <c r="CN415" s="271"/>
      <c r="CO415" s="271"/>
      <c r="CP415" s="10"/>
    </row>
    <row r="416" spans="1:94">
      <c r="A416" s="10"/>
      <c r="B416" s="10"/>
      <c r="C416" s="10"/>
      <c r="D416" s="10"/>
      <c r="E416" s="10"/>
      <c r="F416" s="10"/>
      <c r="G416" s="11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  <c r="CP416" s="10"/>
    </row>
    <row r="417" spans="1:94" ht="16.5" hidden="1" thickBot="1">
      <c r="A417" s="10"/>
      <c r="B417" s="10"/>
      <c r="C417" s="12" t="s">
        <v>851</v>
      </c>
      <c r="D417" s="12"/>
      <c r="E417" s="12"/>
      <c r="F417" s="12"/>
      <c r="G417" s="12"/>
      <c r="H417" s="12"/>
      <c r="I417" s="12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  <c r="CP417" s="10"/>
    </row>
    <row r="418" spans="1:94" hidden="1">
      <c r="A418" s="10"/>
      <c r="B418" s="10"/>
      <c r="C418" s="10"/>
      <c r="D418" s="10"/>
      <c r="E418" s="10"/>
      <c r="F418" s="10"/>
      <c r="G418" s="11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  <c r="CP418" s="10"/>
    </row>
    <row r="419" spans="1:94" hidden="1">
      <c r="A419" s="10"/>
      <c r="B419" s="10"/>
      <c r="C419" s="35"/>
      <c r="D419" s="10"/>
      <c r="E419" s="10"/>
      <c r="F419" s="10"/>
      <c r="G419" s="11"/>
      <c r="H419" s="10"/>
      <c r="I419" s="10"/>
      <c r="J419" s="10"/>
      <c r="K419" s="10"/>
      <c r="L419" s="310">
        <v>1</v>
      </c>
      <c r="M419" s="310">
        <f xml:space="preserve"> L419 + 1</f>
        <v>2</v>
      </c>
      <c r="N419" s="310">
        <f t="shared" ref="N419:U419" si="26" xml:space="preserve"> M419 + 1</f>
        <v>3</v>
      </c>
      <c r="O419" s="310">
        <f t="shared" si="26"/>
        <v>4</v>
      </c>
      <c r="P419" s="310">
        <f t="shared" si="26"/>
        <v>5</v>
      </c>
      <c r="Q419" s="310">
        <f t="shared" si="26"/>
        <v>6</v>
      </c>
      <c r="R419" s="310">
        <f t="shared" si="26"/>
        <v>7</v>
      </c>
      <c r="S419" s="310">
        <f t="shared" si="26"/>
        <v>8</v>
      </c>
      <c r="T419" s="310">
        <f t="shared" si="26"/>
        <v>9</v>
      </c>
      <c r="U419" s="310">
        <f t="shared" si="26"/>
        <v>10</v>
      </c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  <c r="CP419" s="10"/>
    </row>
    <row r="420" spans="1:94" hidden="1">
      <c r="A420" s="10"/>
      <c r="B420" s="10"/>
      <c r="C420" s="17"/>
      <c r="D420" s="10"/>
      <c r="E420" s="10"/>
      <c r="F420" s="10"/>
      <c r="G420" s="11"/>
      <c r="H420" s="10"/>
      <c r="I420" s="10"/>
      <c r="J420" s="10"/>
      <c r="K420" s="10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  <c r="CP420" s="10"/>
    </row>
    <row r="421" spans="1:94" hidden="1">
      <c r="A421" s="10"/>
      <c r="B421" s="10"/>
      <c r="C421" s="17"/>
      <c r="D421" s="10"/>
      <c r="E421" s="10"/>
      <c r="F421" s="10"/>
      <c r="G421" s="11"/>
      <c r="H421" s="10"/>
      <c r="I421" s="10"/>
      <c r="J421" s="10"/>
      <c r="K421" s="10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  <c r="BA421" s="10"/>
      <c r="BB421" s="10"/>
      <c r="BC421" s="10"/>
      <c r="BD421" s="10"/>
      <c r="BE421" s="10"/>
      <c r="BF421" s="10"/>
      <c r="BG421" s="10"/>
      <c r="BH421" s="10"/>
      <c r="BI421" s="10"/>
      <c r="BJ421" s="10"/>
      <c r="BK421" s="10"/>
      <c r="BL421" s="10"/>
      <c r="BM421" s="10"/>
      <c r="BN421" s="10"/>
      <c r="BO421" s="10"/>
      <c r="BP421" s="10"/>
      <c r="BQ421" s="10"/>
      <c r="BR421" s="10"/>
      <c r="BS421" s="10"/>
      <c r="BT421" s="10"/>
      <c r="BU421" s="10"/>
      <c r="BV421" s="10"/>
      <c r="BW421" s="10"/>
      <c r="BX421" s="10"/>
      <c r="BY421" s="10"/>
      <c r="BZ421" s="10"/>
      <c r="CA421" s="10"/>
      <c r="CB421" s="10"/>
      <c r="CC421" s="10"/>
      <c r="CD421" s="10"/>
      <c r="CE421" s="10"/>
      <c r="CF421" s="10"/>
      <c r="CG421" s="10"/>
      <c r="CH421" s="10"/>
      <c r="CI421" s="10"/>
      <c r="CJ421" s="10"/>
      <c r="CK421" s="10"/>
      <c r="CL421" s="10"/>
      <c r="CM421" s="10"/>
      <c r="CN421" s="10"/>
      <c r="CO421" s="10"/>
      <c r="CP421" s="10"/>
    </row>
    <row r="422" spans="1:94" hidden="1">
      <c r="A422" s="10"/>
      <c r="B422" s="10"/>
      <c r="C422" s="10"/>
      <c r="D422" s="10"/>
      <c r="E422" s="10"/>
      <c r="F422" s="10"/>
      <c r="G422" s="11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  <c r="BA422" s="10"/>
      <c r="BB422" s="10"/>
      <c r="BC422" s="10"/>
      <c r="BD422" s="10"/>
      <c r="BE422" s="10"/>
      <c r="BF422" s="10"/>
      <c r="BG422" s="10"/>
      <c r="BH422" s="10"/>
      <c r="BI422" s="10"/>
      <c r="BJ422" s="10"/>
      <c r="BK422" s="10"/>
      <c r="BL422" s="10"/>
      <c r="BM422" s="10"/>
      <c r="BN422" s="10"/>
      <c r="BO422" s="10"/>
      <c r="BP422" s="10"/>
      <c r="BQ422" s="10"/>
      <c r="BR422" s="10"/>
      <c r="BS422" s="10"/>
      <c r="BT422" s="10"/>
      <c r="BU422" s="10"/>
      <c r="BV422" s="10"/>
      <c r="BW422" s="10"/>
      <c r="BX422" s="10"/>
      <c r="BY422" s="10"/>
      <c r="BZ422" s="10"/>
      <c r="CA422" s="10"/>
      <c r="CB422" s="10"/>
      <c r="CC422" s="10"/>
      <c r="CD422" s="10"/>
      <c r="CE422" s="10"/>
      <c r="CF422" s="10"/>
      <c r="CG422" s="10"/>
      <c r="CH422" s="10"/>
      <c r="CI422" s="10"/>
      <c r="CJ422" s="10"/>
      <c r="CK422" s="10"/>
      <c r="CL422" s="10"/>
      <c r="CM422" s="10"/>
      <c r="CN422" s="10"/>
      <c r="CO422" s="10"/>
      <c r="CP422" s="10"/>
    </row>
    <row r="423" spans="1:94" hidden="1">
      <c r="A423" s="10"/>
      <c r="B423" s="10"/>
      <c r="C423" s="35"/>
      <c r="D423" s="10"/>
      <c r="E423" s="10"/>
      <c r="F423" s="10"/>
      <c r="G423" s="11"/>
      <c r="H423" s="10"/>
      <c r="I423" s="10"/>
      <c r="J423" s="10"/>
      <c r="K423" s="10"/>
      <c r="L423" s="310">
        <v>1</v>
      </c>
      <c r="M423" s="310">
        <f xml:space="preserve"> L423 + 1</f>
        <v>2</v>
      </c>
      <c r="N423" s="310">
        <f t="shared" ref="N423:U423" si="27" xml:space="preserve"> M423 + 1</f>
        <v>3</v>
      </c>
      <c r="O423" s="310">
        <f t="shared" si="27"/>
        <v>4</v>
      </c>
      <c r="P423" s="310">
        <f t="shared" si="27"/>
        <v>5</v>
      </c>
      <c r="Q423" s="310">
        <f t="shared" si="27"/>
        <v>6</v>
      </c>
      <c r="R423" s="310">
        <f t="shared" si="27"/>
        <v>7</v>
      </c>
      <c r="S423" s="310">
        <f t="shared" si="27"/>
        <v>8</v>
      </c>
      <c r="T423" s="310">
        <f t="shared" si="27"/>
        <v>9</v>
      </c>
      <c r="U423" s="310">
        <f t="shared" si="27"/>
        <v>10</v>
      </c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  <c r="BA423" s="10"/>
      <c r="BB423" s="10"/>
      <c r="BC423" s="10"/>
      <c r="BD423" s="10"/>
      <c r="BE423" s="10"/>
      <c r="BF423" s="10"/>
      <c r="BG423" s="10"/>
      <c r="BH423" s="10"/>
      <c r="BI423" s="10"/>
      <c r="BJ423" s="10"/>
      <c r="BK423" s="10"/>
      <c r="BL423" s="10"/>
      <c r="BM423" s="10"/>
      <c r="BN423" s="10"/>
      <c r="BO423" s="10"/>
      <c r="BP423" s="10"/>
      <c r="BQ423" s="10"/>
      <c r="BR423" s="10"/>
      <c r="BS423" s="10"/>
      <c r="BT423" s="10"/>
      <c r="BU423" s="10"/>
      <c r="BV423" s="10"/>
      <c r="BW423" s="10"/>
      <c r="BX423" s="10"/>
      <c r="BY423" s="10"/>
      <c r="BZ423" s="10"/>
      <c r="CA423" s="10"/>
      <c r="CB423" s="10"/>
      <c r="CC423" s="10"/>
      <c r="CD423" s="10"/>
      <c r="CE423" s="10"/>
      <c r="CF423" s="10"/>
      <c r="CG423" s="10"/>
      <c r="CH423" s="10"/>
      <c r="CI423" s="10"/>
      <c r="CJ423" s="10"/>
      <c r="CK423" s="10"/>
      <c r="CL423" s="10"/>
      <c r="CM423" s="10"/>
      <c r="CN423" s="10"/>
      <c r="CO423" s="10"/>
      <c r="CP423" s="10"/>
    </row>
    <row r="424" spans="1:94" hidden="1">
      <c r="A424" s="10"/>
      <c r="B424" s="10"/>
      <c r="C424" s="17"/>
      <c r="D424" s="10"/>
      <c r="E424" s="10"/>
      <c r="F424" s="10"/>
      <c r="G424" s="11"/>
      <c r="H424" s="10"/>
      <c r="I424" s="10"/>
      <c r="J424" s="10"/>
      <c r="K424" s="10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  <c r="CD424" s="10"/>
      <c r="CE424" s="10"/>
      <c r="CF424" s="10"/>
      <c r="CG424" s="10"/>
      <c r="CH424" s="10"/>
      <c r="CI424" s="10"/>
      <c r="CJ424" s="10"/>
      <c r="CK424" s="10"/>
      <c r="CL424" s="10"/>
      <c r="CM424" s="10"/>
      <c r="CN424" s="10"/>
      <c r="CO424" s="10"/>
      <c r="CP424" s="10"/>
    </row>
    <row r="425" spans="1:94" hidden="1">
      <c r="A425" s="10"/>
      <c r="B425" s="10"/>
      <c r="C425" s="17"/>
      <c r="D425" s="10"/>
      <c r="E425" s="10"/>
      <c r="F425" s="10"/>
      <c r="G425" s="11"/>
      <c r="H425" s="10"/>
      <c r="I425" s="10"/>
      <c r="J425" s="10"/>
      <c r="K425" s="10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  <c r="BA425" s="10"/>
      <c r="BB425" s="10"/>
      <c r="BC425" s="10"/>
      <c r="BD425" s="10"/>
      <c r="BE425" s="10"/>
      <c r="BF425" s="10"/>
      <c r="BG425" s="10"/>
      <c r="BH425" s="10"/>
      <c r="BI425" s="10"/>
      <c r="BJ425" s="10"/>
      <c r="BK425" s="10"/>
      <c r="BL425" s="10"/>
      <c r="BM425" s="10"/>
      <c r="BN425" s="10"/>
      <c r="BO425" s="10"/>
      <c r="BP425" s="10"/>
      <c r="BQ425" s="10"/>
      <c r="BR425" s="10"/>
      <c r="BS425" s="10"/>
      <c r="BT425" s="10"/>
      <c r="BU425" s="10"/>
      <c r="BV425" s="10"/>
      <c r="BW425" s="10"/>
      <c r="BX425" s="10"/>
      <c r="BY425" s="10"/>
      <c r="BZ425" s="10"/>
      <c r="CA425" s="10"/>
      <c r="CB425" s="10"/>
      <c r="CC425" s="10"/>
      <c r="CD425" s="10"/>
      <c r="CE425" s="10"/>
      <c r="CF425" s="10"/>
      <c r="CG425" s="10"/>
      <c r="CH425" s="10"/>
      <c r="CI425" s="10"/>
      <c r="CJ425" s="10"/>
      <c r="CK425" s="10"/>
      <c r="CL425" s="10"/>
      <c r="CM425" s="10"/>
      <c r="CN425" s="10"/>
      <c r="CO425" s="10"/>
      <c r="CP425" s="10"/>
    </row>
    <row r="426" spans="1:94" hidden="1">
      <c r="A426" s="10"/>
      <c r="B426" s="10"/>
      <c r="C426" s="10"/>
      <c r="D426" s="10"/>
      <c r="E426" s="10"/>
      <c r="F426" s="10"/>
      <c r="G426" s="11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  <c r="BA426" s="10"/>
      <c r="BB426" s="10"/>
      <c r="BC426" s="10"/>
      <c r="BD426" s="10"/>
      <c r="BE426" s="10"/>
      <c r="BF426" s="10"/>
      <c r="BG426" s="10"/>
      <c r="BH426" s="10"/>
      <c r="BI426" s="10"/>
      <c r="BJ426" s="10"/>
      <c r="BK426" s="10"/>
      <c r="BL426" s="10"/>
      <c r="BM426" s="10"/>
      <c r="BN426" s="10"/>
      <c r="BO426" s="10"/>
      <c r="BP426" s="10"/>
      <c r="BQ426" s="10"/>
      <c r="BR426" s="10"/>
      <c r="BS426" s="10"/>
      <c r="BT426" s="10"/>
      <c r="BU426" s="10"/>
      <c r="BV426" s="10"/>
      <c r="BW426" s="10"/>
      <c r="BX426" s="10"/>
      <c r="BY426" s="10"/>
      <c r="BZ426" s="10"/>
      <c r="CA426" s="10"/>
      <c r="CB426" s="10"/>
      <c r="CC426" s="10"/>
      <c r="CD426" s="10"/>
      <c r="CE426" s="10"/>
      <c r="CF426" s="10"/>
      <c r="CG426" s="10"/>
      <c r="CH426" s="10"/>
      <c r="CI426" s="10"/>
      <c r="CJ426" s="10"/>
      <c r="CK426" s="10"/>
      <c r="CL426" s="10"/>
      <c r="CM426" s="10"/>
      <c r="CN426" s="10"/>
      <c r="CO426" s="10"/>
      <c r="CP426" s="10"/>
    </row>
    <row r="427" spans="1:94" ht="16.5" hidden="1" thickBot="1">
      <c r="A427" s="10"/>
      <c r="B427" s="10"/>
      <c r="C427" s="12"/>
      <c r="D427" s="12"/>
      <c r="E427" s="12"/>
      <c r="F427" s="12"/>
      <c r="G427" s="12"/>
      <c r="H427" s="12"/>
      <c r="I427" s="12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  <c r="BA427" s="10"/>
      <c r="BB427" s="10"/>
      <c r="BC427" s="10"/>
      <c r="BD427" s="10"/>
      <c r="BE427" s="10"/>
      <c r="BF427" s="10"/>
      <c r="BG427" s="10"/>
      <c r="BH427" s="10"/>
      <c r="BI427" s="10"/>
      <c r="BJ427" s="10"/>
      <c r="BK427" s="10"/>
      <c r="BL427" s="10"/>
      <c r="BM427" s="10"/>
      <c r="BN427" s="10"/>
      <c r="BO427" s="10"/>
      <c r="BP427" s="10"/>
      <c r="BQ427" s="10"/>
      <c r="BR427" s="10"/>
      <c r="BS427" s="10"/>
      <c r="BT427" s="10"/>
      <c r="BU427" s="10"/>
      <c r="BV427" s="10"/>
      <c r="BW427" s="10"/>
      <c r="BX427" s="10"/>
      <c r="BY427" s="10"/>
      <c r="BZ427" s="10"/>
      <c r="CA427" s="10"/>
      <c r="CB427" s="10"/>
      <c r="CC427" s="10"/>
      <c r="CD427" s="10"/>
      <c r="CE427" s="10"/>
      <c r="CF427" s="10"/>
      <c r="CG427" s="10"/>
      <c r="CH427" s="10"/>
      <c r="CI427" s="10"/>
      <c r="CJ427" s="10"/>
      <c r="CK427" s="10"/>
      <c r="CL427" s="10"/>
      <c r="CM427" s="10"/>
      <c r="CN427" s="10"/>
      <c r="CO427" s="10"/>
      <c r="CP427" s="10"/>
    </row>
    <row r="428" spans="1:94" hidden="1">
      <c r="A428" s="10"/>
      <c r="B428" s="10"/>
      <c r="C428" s="10"/>
      <c r="D428" s="10"/>
      <c r="E428" s="10"/>
      <c r="F428" s="10"/>
      <c r="G428" s="11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  <c r="BA428" s="10"/>
      <c r="BB428" s="10"/>
      <c r="BC428" s="10"/>
      <c r="BD428" s="10"/>
      <c r="BE428" s="10"/>
      <c r="BF428" s="10"/>
      <c r="BG428" s="10"/>
      <c r="BH428" s="10"/>
      <c r="BI428" s="10"/>
      <c r="BJ428" s="10"/>
      <c r="BK428" s="10"/>
      <c r="BL428" s="10"/>
      <c r="BM428" s="10"/>
      <c r="BN428" s="10"/>
      <c r="BO428" s="10"/>
      <c r="BP428" s="10"/>
      <c r="BQ428" s="10"/>
      <c r="BR428" s="10"/>
      <c r="BS428" s="10"/>
      <c r="BT428" s="10"/>
      <c r="BU428" s="10"/>
      <c r="BV428" s="10"/>
      <c r="BW428" s="10"/>
      <c r="BX428" s="10"/>
      <c r="BY428" s="10"/>
      <c r="BZ428" s="10"/>
      <c r="CA428" s="10"/>
      <c r="CB428" s="10"/>
      <c r="CC428" s="10"/>
      <c r="CD428" s="10"/>
      <c r="CE428" s="10"/>
      <c r="CF428" s="10"/>
      <c r="CG428" s="10"/>
      <c r="CH428" s="10"/>
      <c r="CI428" s="10"/>
      <c r="CJ428" s="10"/>
      <c r="CK428" s="10"/>
      <c r="CL428" s="10"/>
      <c r="CM428" s="10"/>
      <c r="CN428" s="10"/>
      <c r="CO428" s="10"/>
      <c r="CP428" s="10"/>
    </row>
    <row r="429" spans="1:94" hidden="1">
      <c r="A429" s="10"/>
      <c r="B429" s="10"/>
      <c r="C429" s="21"/>
      <c r="D429" s="10"/>
      <c r="E429" s="14"/>
      <c r="F429" s="11"/>
      <c r="G429" s="11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  <c r="CP429" s="10"/>
    </row>
    <row r="430" spans="1:94" hidden="1">
      <c r="A430" s="10"/>
      <c r="B430" s="10"/>
      <c r="C430" s="21"/>
      <c r="D430" s="10"/>
      <c r="E430" s="14"/>
      <c r="F430" s="11"/>
      <c r="G430" s="11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  <c r="CP430" s="10"/>
    </row>
    <row r="431" spans="1:94" hidden="1">
      <c r="A431" s="10"/>
      <c r="B431" s="10"/>
      <c r="C431" s="10"/>
      <c r="D431" s="10"/>
      <c r="E431" s="10"/>
      <c r="F431" s="10"/>
      <c r="G431" s="11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  <c r="CP431" s="10"/>
    </row>
    <row r="432" spans="1:94" ht="16.5" thickBot="1">
      <c r="A432" s="10"/>
      <c r="B432" s="10"/>
      <c r="C432" s="12" t="s">
        <v>854</v>
      </c>
      <c r="D432" s="12"/>
      <c r="E432" s="12"/>
      <c r="F432" s="12"/>
      <c r="G432" s="12"/>
      <c r="H432" s="12"/>
      <c r="I432" s="12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  <c r="BA432" s="10"/>
      <c r="BB432" s="10"/>
      <c r="BC432" s="10"/>
      <c r="BD432" s="10"/>
      <c r="BE432" s="10"/>
      <c r="BF432" s="10"/>
      <c r="BG432" s="10"/>
      <c r="BH432" s="10"/>
      <c r="BI432" s="10"/>
      <c r="BJ432" s="10"/>
      <c r="BK432" s="10"/>
      <c r="BL432" s="10"/>
      <c r="BM432" s="10"/>
      <c r="BN432" s="10"/>
      <c r="BO432" s="10"/>
      <c r="BP432" s="10"/>
      <c r="BQ432" s="10"/>
      <c r="BR432" s="10"/>
      <c r="BS432" s="10"/>
      <c r="BT432" s="10"/>
      <c r="BU432" s="10"/>
      <c r="BV432" s="10"/>
      <c r="BW432" s="10"/>
      <c r="BX432" s="10"/>
      <c r="BY432" s="10"/>
      <c r="BZ432" s="10"/>
      <c r="CA432" s="10"/>
      <c r="CB432" s="10"/>
      <c r="CC432" s="10"/>
      <c r="CD432" s="10"/>
      <c r="CE432" s="10"/>
      <c r="CF432" s="10"/>
      <c r="CG432" s="10"/>
      <c r="CH432" s="10"/>
      <c r="CI432" s="10"/>
      <c r="CJ432" s="10"/>
      <c r="CK432" s="10"/>
      <c r="CL432" s="10"/>
      <c r="CM432" s="10"/>
      <c r="CN432" s="10"/>
      <c r="CO432" s="10"/>
      <c r="CP432" s="10"/>
    </row>
    <row r="433" spans="1:94">
      <c r="A433" s="10"/>
      <c r="B433" s="10"/>
      <c r="C433" s="10"/>
      <c r="D433" s="10"/>
      <c r="E433" s="10"/>
      <c r="F433" s="10"/>
      <c r="G433" s="11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  <c r="BA433" s="10"/>
      <c r="BB433" s="10"/>
      <c r="BC433" s="10"/>
      <c r="BD433" s="10"/>
      <c r="BE433" s="10"/>
      <c r="BF433" s="10"/>
      <c r="BG433" s="10"/>
      <c r="BH433" s="10"/>
      <c r="BI433" s="10"/>
      <c r="BJ433" s="10"/>
      <c r="BK433" s="10"/>
      <c r="BL433" s="10"/>
      <c r="BM433" s="10"/>
      <c r="BN433" s="10"/>
      <c r="BO433" s="10"/>
      <c r="BP433" s="10"/>
      <c r="BQ433" s="10"/>
      <c r="BR433" s="10"/>
      <c r="BS433" s="10"/>
      <c r="BT433" s="10"/>
      <c r="BU433" s="10"/>
      <c r="BV433" s="10"/>
      <c r="BW433" s="10"/>
      <c r="BX433" s="10"/>
      <c r="BY433" s="10"/>
      <c r="BZ433" s="10"/>
      <c r="CA433" s="10"/>
      <c r="CB433" s="10"/>
      <c r="CC433" s="10"/>
      <c r="CD433" s="10"/>
      <c r="CE433" s="10"/>
      <c r="CF433" s="10"/>
      <c r="CG433" s="10"/>
      <c r="CH433" s="10"/>
      <c r="CI433" s="10"/>
      <c r="CJ433" s="10"/>
      <c r="CK433" s="10"/>
      <c r="CL433" s="10"/>
      <c r="CM433" s="10"/>
      <c r="CN433" s="10"/>
      <c r="CO433" s="10"/>
      <c r="CP433" s="10"/>
    </row>
    <row r="434" spans="1:94">
      <c r="A434" s="10"/>
      <c r="B434" s="10"/>
      <c r="C434" s="21" t="s">
        <v>855</v>
      </c>
      <c r="D434" s="10"/>
      <c r="E434" s="80">
        <v>0</v>
      </c>
      <c r="F434" s="10"/>
      <c r="G434" s="11" t="s">
        <v>716</v>
      </c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</row>
    <row r="435" spans="1:94">
      <c r="A435" s="10"/>
      <c r="B435" s="10"/>
      <c r="C435" s="10"/>
      <c r="D435" s="10"/>
      <c r="E435" s="10"/>
      <c r="F435" s="10"/>
      <c r="G435" s="11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  <c r="BA435" s="10"/>
      <c r="BB435" s="10"/>
      <c r="BC435" s="10"/>
      <c r="BD435" s="10"/>
      <c r="BE435" s="10"/>
      <c r="BF435" s="10"/>
      <c r="BG435" s="10"/>
      <c r="BH435" s="10"/>
      <c r="BI435" s="10"/>
      <c r="BJ435" s="10"/>
      <c r="BK435" s="10"/>
      <c r="BL435" s="10"/>
      <c r="BM435" s="10"/>
      <c r="BN435" s="10"/>
      <c r="BO435" s="10"/>
      <c r="BP435" s="10"/>
      <c r="BQ435" s="10"/>
      <c r="BR435" s="10"/>
      <c r="BS435" s="10"/>
      <c r="BT435" s="10"/>
      <c r="BU435" s="10"/>
      <c r="BV435" s="10"/>
      <c r="BW435" s="10"/>
      <c r="BX435" s="10"/>
      <c r="BY435" s="10"/>
      <c r="BZ435" s="10"/>
      <c r="CA435" s="10"/>
      <c r="CB435" s="10"/>
      <c r="CC435" s="10"/>
      <c r="CD435" s="10"/>
      <c r="CE435" s="10"/>
      <c r="CF435" s="10"/>
      <c r="CG435" s="10"/>
      <c r="CH435" s="10"/>
      <c r="CI435" s="10"/>
      <c r="CJ435" s="10"/>
      <c r="CK435" s="10"/>
      <c r="CL435" s="10"/>
      <c r="CM435" s="10"/>
      <c r="CN435" s="10"/>
      <c r="CO435" s="10"/>
      <c r="CP435" s="10"/>
    </row>
    <row r="436" spans="1:94" ht="15" customHeight="1">
      <c r="A436" s="10"/>
      <c r="B436" s="3"/>
      <c r="C436" s="382" t="str">
        <f>C333</f>
        <v>Сегмент 3: Крытый парк развлечений</v>
      </c>
      <c r="D436" s="271"/>
      <c r="E436" s="271"/>
      <c r="F436" s="271"/>
      <c r="G436" s="272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  <c r="CA436" s="271"/>
      <c r="CB436" s="271"/>
      <c r="CC436" s="271"/>
      <c r="CD436" s="271"/>
      <c r="CE436" s="271"/>
      <c r="CF436" s="271"/>
      <c r="CG436" s="271"/>
      <c r="CH436" s="271"/>
      <c r="CI436" s="271"/>
      <c r="CJ436" s="271"/>
      <c r="CK436" s="271"/>
      <c r="CL436" s="271"/>
      <c r="CM436" s="271"/>
      <c r="CN436" s="271"/>
      <c r="CO436" s="271"/>
      <c r="CP436" s="10"/>
    </row>
    <row r="437" spans="1:94">
      <c r="A437" s="10"/>
      <c r="B437" s="10"/>
      <c r="C437" s="10"/>
      <c r="D437" s="10"/>
      <c r="E437" s="10"/>
      <c r="F437" s="10"/>
      <c r="G437" s="11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  <c r="BA437" s="10"/>
      <c r="BB437" s="10"/>
      <c r="BC437" s="10"/>
      <c r="BD437" s="10"/>
      <c r="BE437" s="10"/>
      <c r="BF437" s="10"/>
      <c r="BG437" s="10"/>
      <c r="BH437" s="10"/>
      <c r="BI437" s="10"/>
      <c r="BJ437" s="10"/>
      <c r="BK437" s="10"/>
      <c r="BL437" s="10"/>
      <c r="BM437" s="10"/>
      <c r="BN437" s="10"/>
      <c r="BO437" s="10"/>
      <c r="BP437" s="10"/>
      <c r="BQ437" s="10"/>
      <c r="BR437" s="10"/>
      <c r="BS437" s="10"/>
      <c r="BT437" s="10"/>
      <c r="BU437" s="10"/>
      <c r="BV437" s="10"/>
      <c r="BW437" s="10"/>
      <c r="BX437" s="10"/>
      <c r="BY437" s="10"/>
      <c r="BZ437" s="10"/>
      <c r="CA437" s="10"/>
      <c r="CB437" s="10"/>
      <c r="CC437" s="10"/>
      <c r="CD437" s="10"/>
      <c r="CE437" s="10"/>
      <c r="CF437" s="10"/>
      <c r="CG437" s="10"/>
      <c r="CH437" s="10"/>
      <c r="CI437" s="10"/>
      <c r="CJ437" s="10"/>
      <c r="CK437" s="10"/>
      <c r="CL437" s="10"/>
      <c r="CM437" s="10"/>
      <c r="CN437" s="10"/>
      <c r="CO437" s="10"/>
      <c r="CP437" s="10"/>
    </row>
    <row r="438" spans="1:94" ht="16.5" thickBot="1">
      <c r="A438" s="10"/>
      <c r="B438" s="10"/>
      <c r="C438" s="12" t="s">
        <v>864</v>
      </c>
      <c r="D438" s="12"/>
      <c r="E438" s="12"/>
      <c r="F438" s="12"/>
      <c r="G438" s="12"/>
      <c r="H438" s="12"/>
      <c r="I438" s="12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  <c r="BA438" s="10"/>
      <c r="BB438" s="10"/>
      <c r="BC438" s="10"/>
      <c r="BD438" s="10"/>
      <c r="BE438" s="10"/>
      <c r="BF438" s="10"/>
      <c r="BG438" s="10"/>
      <c r="BH438" s="10"/>
      <c r="BI438" s="10"/>
      <c r="BJ438" s="10"/>
      <c r="BK438" s="10"/>
      <c r="BL438" s="10"/>
      <c r="BM438" s="10"/>
      <c r="BN438" s="10"/>
      <c r="BO438" s="10"/>
      <c r="BP438" s="10"/>
      <c r="BQ438" s="10"/>
      <c r="BR438" s="10"/>
      <c r="BS438" s="10"/>
      <c r="BT438" s="10"/>
      <c r="BU438" s="10"/>
      <c r="BV438" s="10"/>
      <c r="BW438" s="10"/>
      <c r="BX438" s="10"/>
      <c r="BY438" s="10"/>
      <c r="BZ438" s="10"/>
      <c r="CA438" s="10"/>
      <c r="CB438" s="10"/>
      <c r="CC438" s="10"/>
      <c r="CD438" s="10"/>
      <c r="CE438" s="10"/>
      <c r="CF438" s="10"/>
      <c r="CG438" s="10"/>
      <c r="CH438" s="10"/>
      <c r="CI438" s="10"/>
      <c r="CJ438" s="10"/>
      <c r="CK438" s="10"/>
      <c r="CL438" s="10"/>
      <c r="CM438" s="10"/>
      <c r="CN438" s="10"/>
      <c r="CO438" s="10"/>
      <c r="CP438" s="10"/>
    </row>
    <row r="439" spans="1:94">
      <c r="A439" s="10"/>
      <c r="B439" s="10"/>
      <c r="C439" s="10"/>
      <c r="D439" s="10"/>
      <c r="E439" s="10"/>
      <c r="F439" s="10"/>
      <c r="G439" s="11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  <c r="CD439" s="10"/>
      <c r="CE439" s="10"/>
      <c r="CF439" s="10"/>
      <c r="CG439" s="10"/>
      <c r="CH439" s="10"/>
      <c r="CI439" s="10"/>
      <c r="CJ439" s="10"/>
      <c r="CK439" s="10"/>
      <c r="CL439" s="10"/>
      <c r="CM439" s="10"/>
      <c r="CN439" s="10"/>
      <c r="CO439" s="10"/>
      <c r="CP439" s="10"/>
    </row>
    <row r="440" spans="1:94">
      <c r="A440" s="10"/>
      <c r="B440" s="10"/>
      <c r="C440" s="10" t="s">
        <v>865</v>
      </c>
      <c r="D440" s="10"/>
      <c r="E440" s="80">
        <v>0</v>
      </c>
      <c r="F440" s="10"/>
      <c r="G440" s="312" t="s">
        <v>866</v>
      </c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  <c r="CD440" s="10"/>
      <c r="CE440" s="10"/>
      <c r="CF440" s="10"/>
      <c r="CG440" s="10"/>
      <c r="CH440" s="10"/>
      <c r="CI440" s="10"/>
      <c r="CJ440" s="10"/>
      <c r="CK440" s="10"/>
      <c r="CL440" s="10"/>
      <c r="CM440" s="10"/>
      <c r="CN440" s="10"/>
      <c r="CO440" s="10"/>
      <c r="CP440" s="10"/>
    </row>
    <row r="441" spans="1:94">
      <c r="A441" s="10"/>
      <c r="B441" s="10"/>
      <c r="C441" s="10" t="s">
        <v>878</v>
      </c>
      <c r="D441" s="10"/>
      <c r="E441" s="14">
        <v>0</v>
      </c>
      <c r="F441" s="10"/>
      <c r="G441" s="11" t="s">
        <v>879</v>
      </c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  <c r="CD441" s="10"/>
      <c r="CE441" s="10"/>
      <c r="CF441" s="10"/>
      <c r="CG441" s="10"/>
      <c r="CH441" s="10"/>
      <c r="CI441" s="10"/>
      <c r="CJ441" s="10"/>
      <c r="CK441" s="10"/>
      <c r="CL441" s="10"/>
      <c r="CM441" s="10"/>
      <c r="CN441" s="10"/>
      <c r="CO441" s="10"/>
      <c r="CP441" s="10"/>
    </row>
    <row r="442" spans="1:94">
      <c r="A442" s="10"/>
      <c r="B442" s="10"/>
      <c r="C442" s="10"/>
      <c r="D442" s="10"/>
      <c r="E442" s="10"/>
      <c r="F442" s="10"/>
      <c r="G442" s="11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  <c r="CD442" s="10"/>
      <c r="CE442" s="10"/>
      <c r="CF442" s="10"/>
      <c r="CG442" s="10"/>
      <c r="CH442" s="10"/>
      <c r="CI442" s="10"/>
      <c r="CJ442" s="10"/>
      <c r="CK442" s="10"/>
      <c r="CL442" s="10"/>
      <c r="CM442" s="10"/>
      <c r="CN442" s="10"/>
      <c r="CO442" s="10"/>
      <c r="CP442" s="10"/>
    </row>
    <row r="443" spans="1:94" ht="22.5" customHeight="1">
      <c r="A443" s="10"/>
      <c r="B443" s="5" t="s">
        <v>870</v>
      </c>
      <c r="C443" s="5"/>
      <c r="D443" s="31"/>
      <c r="E443" s="112"/>
      <c r="F443" s="5"/>
      <c r="G443" s="6"/>
      <c r="H443" s="31"/>
      <c r="I443" s="5"/>
      <c r="J443" s="5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  <c r="BM443" s="31"/>
      <c r="BN443" s="31"/>
      <c r="BO443" s="31"/>
      <c r="BP443" s="31"/>
      <c r="BQ443" s="31"/>
      <c r="BR443" s="31"/>
      <c r="BS443" s="31"/>
      <c r="BT443" s="31"/>
      <c r="BU443" s="31"/>
      <c r="BV443" s="31"/>
      <c r="BW443" s="31"/>
      <c r="BX443" s="31"/>
      <c r="BY443" s="31"/>
      <c r="BZ443" s="31"/>
      <c r="CA443" s="31"/>
      <c r="CB443" s="31"/>
      <c r="CC443" s="31"/>
      <c r="CD443" s="31"/>
      <c r="CE443" s="31"/>
      <c r="CF443" s="31"/>
      <c r="CG443" s="31"/>
      <c r="CH443" s="31"/>
      <c r="CI443" s="31"/>
      <c r="CJ443" s="31"/>
      <c r="CK443" s="31"/>
      <c r="CL443" s="31"/>
      <c r="CM443" s="31"/>
      <c r="CN443" s="31"/>
      <c r="CO443" s="31"/>
      <c r="CP443" s="10"/>
    </row>
    <row r="444" spans="1:94" ht="15" customHeight="1">
      <c r="A444" s="10"/>
      <c r="B444" s="10"/>
      <c r="C444" s="10"/>
      <c r="D444" s="10"/>
      <c r="E444" s="59"/>
      <c r="F444" s="3"/>
      <c r="G444" s="142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  <c r="BL444" s="10"/>
      <c r="BM444" s="10"/>
      <c r="BN444" s="10"/>
      <c r="BO444" s="10"/>
      <c r="BP444" s="10"/>
      <c r="BQ444" s="10"/>
      <c r="BR444" s="10"/>
      <c r="BS444" s="10"/>
      <c r="BT444" s="10"/>
      <c r="BU444" s="10"/>
      <c r="BV444" s="10"/>
      <c r="BW444" s="10"/>
      <c r="BX444" s="10"/>
      <c r="BY444" s="10"/>
      <c r="BZ444" s="10"/>
      <c r="CA444" s="10"/>
      <c r="CB444" s="10"/>
      <c r="CC444" s="10"/>
      <c r="CD444" s="10"/>
      <c r="CE444" s="10"/>
      <c r="CF444" s="10"/>
      <c r="CG444" s="10"/>
      <c r="CH444" s="10"/>
      <c r="CI444" s="10"/>
      <c r="CJ444" s="10"/>
      <c r="CK444" s="10"/>
      <c r="CL444" s="10"/>
      <c r="CM444" s="10"/>
      <c r="CN444" s="10"/>
      <c r="CO444" s="10"/>
      <c r="CP444" s="10"/>
    </row>
    <row r="445" spans="1:94" ht="15" customHeight="1">
      <c r="A445" s="10"/>
      <c r="B445" s="3"/>
      <c r="C445" s="382" t="str">
        <f>C158</f>
        <v>Сегмент 0: Общая поддерживающая инфраструктура</v>
      </c>
      <c r="D445" s="271"/>
      <c r="E445" s="271"/>
      <c r="F445" s="271"/>
      <c r="G445" s="272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  <c r="CA445" s="271"/>
      <c r="CB445" s="271"/>
      <c r="CC445" s="271"/>
      <c r="CD445" s="271"/>
      <c r="CE445" s="271"/>
      <c r="CF445" s="271"/>
      <c r="CG445" s="271"/>
      <c r="CH445" s="271"/>
      <c r="CI445" s="271"/>
      <c r="CJ445" s="271"/>
      <c r="CK445" s="271"/>
      <c r="CL445" s="271"/>
      <c r="CM445" s="271"/>
      <c r="CN445" s="271"/>
      <c r="CO445" s="271"/>
      <c r="CP445" s="10"/>
    </row>
    <row r="446" spans="1:94" ht="15" customHeight="1">
      <c r="A446" s="10"/>
      <c r="B446" s="10"/>
      <c r="C446" s="10"/>
      <c r="D446" s="10"/>
      <c r="E446" s="59"/>
      <c r="F446" s="3"/>
      <c r="G446" s="142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  <c r="BA446" s="10"/>
      <c r="BB446" s="10"/>
      <c r="BC446" s="10"/>
      <c r="BD446" s="10"/>
      <c r="BE446" s="10"/>
      <c r="BF446" s="10"/>
      <c r="BG446" s="10"/>
      <c r="BH446" s="10"/>
      <c r="BI446" s="10"/>
      <c r="BJ446" s="10"/>
      <c r="BK446" s="10"/>
      <c r="BL446" s="10"/>
      <c r="BM446" s="10"/>
      <c r="BN446" s="10"/>
      <c r="BO446" s="10"/>
      <c r="BP446" s="10"/>
      <c r="BQ446" s="10"/>
      <c r="BR446" s="10"/>
      <c r="BS446" s="10"/>
      <c r="BT446" s="10"/>
      <c r="BU446" s="10"/>
      <c r="BV446" s="10"/>
      <c r="BW446" s="10"/>
      <c r="BX446" s="10"/>
      <c r="BY446" s="10"/>
      <c r="BZ446" s="10"/>
      <c r="CA446" s="10"/>
      <c r="CB446" s="10"/>
      <c r="CC446" s="10"/>
      <c r="CD446" s="10"/>
      <c r="CE446" s="10"/>
      <c r="CF446" s="10"/>
      <c r="CG446" s="10"/>
      <c r="CH446" s="10"/>
      <c r="CI446" s="10"/>
      <c r="CJ446" s="10"/>
      <c r="CK446" s="10"/>
      <c r="CL446" s="10"/>
      <c r="CM446" s="10"/>
      <c r="CN446" s="10"/>
      <c r="CO446" s="10"/>
      <c r="CP446" s="10"/>
    </row>
    <row r="447" spans="1:94" ht="15" customHeight="1" thickBot="1">
      <c r="A447" s="10"/>
      <c r="B447" s="10"/>
      <c r="C447" s="12" t="s">
        <v>881</v>
      </c>
      <c r="D447" s="12"/>
      <c r="E447" s="12"/>
      <c r="F447" s="12"/>
      <c r="G447" s="12"/>
      <c r="H447" s="12"/>
      <c r="I447" s="12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  <c r="BA447" s="10"/>
      <c r="BB447" s="10"/>
      <c r="BC447" s="10"/>
      <c r="BD447" s="10"/>
      <c r="BE447" s="10"/>
      <c r="BF447" s="10"/>
      <c r="BG447" s="10"/>
      <c r="BH447" s="10"/>
      <c r="BI447" s="10"/>
      <c r="BJ447" s="10"/>
      <c r="BK447" s="10"/>
      <c r="BL447" s="10"/>
      <c r="BM447" s="10"/>
      <c r="BN447" s="10"/>
      <c r="BO447" s="10"/>
      <c r="BP447" s="10"/>
      <c r="BQ447" s="10"/>
      <c r="BR447" s="10"/>
      <c r="BS447" s="10"/>
      <c r="BT447" s="10"/>
      <c r="BU447" s="10"/>
      <c r="BV447" s="10"/>
      <c r="BW447" s="10"/>
      <c r="BX447" s="10"/>
      <c r="BY447" s="10"/>
      <c r="BZ447" s="10"/>
      <c r="CA447" s="10"/>
      <c r="CB447" s="10"/>
      <c r="CC447" s="10"/>
      <c r="CD447" s="10"/>
      <c r="CE447" s="10"/>
      <c r="CF447" s="10"/>
      <c r="CG447" s="10"/>
      <c r="CH447" s="10"/>
      <c r="CI447" s="10"/>
      <c r="CJ447" s="10"/>
      <c r="CK447" s="10"/>
      <c r="CL447" s="10"/>
      <c r="CM447" s="10"/>
      <c r="CN447" s="10"/>
      <c r="CO447" s="10"/>
      <c r="CP447" s="10"/>
    </row>
    <row r="448" spans="1:94" ht="15" customHeight="1">
      <c r="A448" s="10"/>
      <c r="B448" s="10"/>
      <c r="C448" s="10"/>
      <c r="D448" s="10"/>
      <c r="E448" s="59"/>
      <c r="F448" s="3"/>
      <c r="G448" s="142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  <c r="BA448" s="10"/>
      <c r="BB448" s="10"/>
      <c r="BC448" s="10"/>
      <c r="BD448" s="10"/>
      <c r="BE448" s="10"/>
      <c r="BF448" s="10"/>
      <c r="BG448" s="10"/>
      <c r="BH448" s="10"/>
      <c r="BI448" s="10"/>
      <c r="BJ448" s="10"/>
      <c r="BK448" s="10"/>
      <c r="BL448" s="10"/>
      <c r="BM448" s="10"/>
      <c r="BN448" s="10"/>
      <c r="BO448" s="10"/>
      <c r="BP448" s="10"/>
      <c r="BQ448" s="10"/>
      <c r="BR448" s="10"/>
      <c r="BS448" s="10"/>
      <c r="BT448" s="10"/>
      <c r="BU448" s="10"/>
      <c r="BV448" s="10"/>
      <c r="BW448" s="10"/>
      <c r="BX448" s="10"/>
      <c r="BY448" s="10"/>
      <c r="BZ448" s="10"/>
      <c r="CA448" s="10"/>
      <c r="CB448" s="10"/>
      <c r="CC448" s="10"/>
      <c r="CD448" s="10"/>
      <c r="CE448" s="10"/>
      <c r="CF448" s="10"/>
      <c r="CG448" s="10"/>
      <c r="CH448" s="10"/>
      <c r="CI448" s="10"/>
      <c r="CJ448" s="10"/>
      <c r="CK448" s="10"/>
      <c r="CL448" s="10"/>
      <c r="CM448" s="10"/>
      <c r="CN448" s="10"/>
      <c r="CO448" s="10"/>
      <c r="CP448" s="10"/>
    </row>
    <row r="449" spans="1:94" ht="15" customHeight="1">
      <c r="A449" s="10"/>
      <c r="B449" s="10"/>
      <c r="C449" s="17" t="str">
        <f xml:space="preserve"> "Расходы на содержание и обслуживание " &amp; Контр_панель!C42</f>
        <v>Расходы на содержание и обслуживание Транспортная инфраструктура</v>
      </c>
      <c r="D449" s="10"/>
      <c r="E449" s="80">
        <v>0.03</v>
      </c>
      <c r="F449" s="3"/>
      <c r="G449" s="239" t="s">
        <v>880</v>
      </c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  <c r="BL449" s="10"/>
      <c r="BM449" s="10"/>
      <c r="BN449" s="10"/>
      <c r="BO449" s="10"/>
      <c r="BP449" s="10"/>
      <c r="BQ449" s="10"/>
      <c r="BR449" s="10"/>
      <c r="BS449" s="10"/>
      <c r="BT449" s="10"/>
      <c r="BU449" s="10"/>
      <c r="BV449" s="10"/>
      <c r="BW449" s="10"/>
      <c r="BX449" s="10"/>
      <c r="BY449" s="10"/>
      <c r="BZ449" s="10"/>
      <c r="CA449" s="10"/>
      <c r="CB449" s="10"/>
      <c r="CC449" s="10"/>
      <c r="CD449" s="10"/>
      <c r="CE449" s="10"/>
      <c r="CF449" s="10"/>
      <c r="CG449" s="10"/>
      <c r="CH449" s="10"/>
      <c r="CI449" s="10"/>
      <c r="CJ449" s="10"/>
      <c r="CK449" s="10"/>
      <c r="CL449" s="10"/>
      <c r="CM449" s="10"/>
      <c r="CN449" s="10"/>
      <c r="CO449" s="10"/>
      <c r="CP449" s="10"/>
    </row>
    <row r="450" spans="1:94" ht="15" customHeight="1">
      <c r="A450" s="10"/>
      <c r="B450" s="10"/>
      <c r="C450" s="17" t="str">
        <f xml:space="preserve"> "Расходы на содержание и обслуживание " &amp; Контр_панель!C43</f>
        <v>Расходы на содержание и обслуживание Коммунальная инфраструктура</v>
      </c>
      <c r="D450" s="10"/>
      <c r="E450" s="80">
        <v>0</v>
      </c>
      <c r="F450" s="3"/>
      <c r="G450" s="239" t="s">
        <v>880</v>
      </c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  <c r="BA450" s="10"/>
      <c r="BB450" s="10"/>
      <c r="BC450" s="10"/>
      <c r="BD450" s="10"/>
      <c r="BE450" s="10"/>
      <c r="BF450" s="10"/>
      <c r="BG450" s="10"/>
      <c r="BH450" s="10"/>
      <c r="BI450" s="10"/>
      <c r="BJ450" s="10"/>
      <c r="BK450" s="10"/>
      <c r="BL450" s="10"/>
      <c r="BM450" s="10"/>
      <c r="BN450" s="10"/>
      <c r="BO450" s="10"/>
      <c r="BP450" s="10"/>
      <c r="BQ450" s="10"/>
      <c r="BR450" s="10"/>
      <c r="BS450" s="10"/>
      <c r="BT450" s="10"/>
      <c r="BU450" s="10"/>
      <c r="BV450" s="10"/>
      <c r="BW450" s="10"/>
      <c r="BX450" s="10"/>
      <c r="BY450" s="10"/>
      <c r="BZ450" s="10"/>
      <c r="CA450" s="10"/>
      <c r="CB450" s="10"/>
      <c r="CC450" s="10"/>
      <c r="CD450" s="10"/>
      <c r="CE450" s="10"/>
      <c r="CF450" s="10"/>
      <c r="CG450" s="10"/>
      <c r="CH450" s="10"/>
      <c r="CI450" s="10"/>
      <c r="CJ450" s="10"/>
      <c r="CK450" s="10"/>
      <c r="CL450" s="10"/>
      <c r="CM450" s="10"/>
      <c r="CN450" s="10"/>
      <c r="CO450" s="10"/>
      <c r="CP450" s="10"/>
    </row>
    <row r="451" spans="1:94" ht="15" customHeight="1">
      <c r="A451" s="10"/>
      <c r="B451" s="10"/>
      <c r="C451" s="17" t="str">
        <f xml:space="preserve"> "Расходы на содержание и обслуживание " &amp; Контр_панель!C44</f>
        <v>Расходы на содержание и обслуживание Прочая обеспечивающая инфраструктура</v>
      </c>
      <c r="D451" s="10"/>
      <c r="E451" s="80">
        <v>0</v>
      </c>
      <c r="F451" s="3"/>
      <c r="G451" s="239" t="s">
        <v>880</v>
      </c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  <c r="BL451" s="10"/>
      <c r="BM451" s="10"/>
      <c r="BN451" s="10"/>
      <c r="BO451" s="10"/>
      <c r="BP451" s="10"/>
      <c r="BQ451" s="10"/>
      <c r="BR451" s="10"/>
      <c r="BS451" s="10"/>
      <c r="BT451" s="10"/>
      <c r="BU451" s="10"/>
      <c r="BV451" s="10"/>
      <c r="BW451" s="10"/>
      <c r="BX451" s="10"/>
      <c r="BY451" s="10"/>
      <c r="BZ451" s="10"/>
      <c r="CA451" s="10"/>
      <c r="CB451" s="10"/>
      <c r="CC451" s="10"/>
      <c r="CD451" s="10"/>
      <c r="CE451" s="10"/>
      <c r="CF451" s="10"/>
      <c r="CG451" s="10"/>
      <c r="CH451" s="10"/>
      <c r="CI451" s="10"/>
      <c r="CJ451" s="10"/>
      <c r="CK451" s="10"/>
      <c r="CL451" s="10"/>
      <c r="CM451" s="10"/>
      <c r="CN451" s="10"/>
      <c r="CO451" s="10"/>
      <c r="CP451" s="10"/>
    </row>
    <row r="452" spans="1:94" ht="15" customHeight="1">
      <c r="A452" s="10"/>
      <c r="B452" s="10"/>
      <c r="C452" s="10"/>
      <c r="D452" s="10"/>
      <c r="E452" s="59"/>
      <c r="F452" s="3"/>
      <c r="G452" s="142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  <c r="BL452" s="10"/>
      <c r="BM452" s="10"/>
      <c r="BN452" s="10"/>
      <c r="BO452" s="10"/>
      <c r="BP452" s="10"/>
      <c r="BQ452" s="10"/>
      <c r="BR452" s="10"/>
      <c r="BS452" s="10"/>
      <c r="BT452" s="10"/>
      <c r="BU452" s="10"/>
      <c r="BV452" s="10"/>
      <c r="BW452" s="10"/>
      <c r="BX452" s="10"/>
      <c r="BY452" s="10"/>
      <c r="BZ452" s="10"/>
      <c r="CA452" s="10"/>
      <c r="CB452" s="10"/>
      <c r="CC452" s="10"/>
      <c r="CD452" s="10"/>
      <c r="CE452" s="10"/>
      <c r="CF452" s="10"/>
      <c r="CG452" s="10"/>
      <c r="CH452" s="10"/>
      <c r="CI452" s="10"/>
      <c r="CJ452" s="10"/>
      <c r="CK452" s="10"/>
      <c r="CL452" s="10"/>
      <c r="CM452" s="10"/>
      <c r="CN452" s="10"/>
      <c r="CO452" s="10"/>
      <c r="CP452" s="10"/>
    </row>
    <row r="453" spans="1:94" ht="15" customHeight="1">
      <c r="A453" s="10"/>
      <c r="B453" s="3"/>
      <c r="C453" s="382" t="str">
        <f>C244</f>
        <v>Сегмент 1: Объект размещения (отель)</v>
      </c>
      <c r="D453" s="271"/>
      <c r="E453" s="271"/>
      <c r="F453" s="271"/>
      <c r="G453" s="272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  <c r="CA453" s="271"/>
      <c r="CB453" s="271"/>
      <c r="CC453" s="271"/>
      <c r="CD453" s="271"/>
      <c r="CE453" s="271"/>
      <c r="CF453" s="271"/>
      <c r="CG453" s="271"/>
      <c r="CH453" s="271"/>
      <c r="CI453" s="271"/>
      <c r="CJ453" s="271"/>
      <c r="CK453" s="271"/>
      <c r="CL453" s="271"/>
      <c r="CM453" s="271"/>
      <c r="CN453" s="271"/>
      <c r="CO453" s="271"/>
      <c r="CP453" s="10"/>
    </row>
    <row r="454" spans="1:94" ht="15" customHeight="1">
      <c r="A454" s="10"/>
      <c r="B454" s="10"/>
      <c r="C454" s="10"/>
      <c r="D454" s="10"/>
      <c r="E454" s="59"/>
      <c r="F454" s="3"/>
      <c r="G454" s="142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  <c r="BL454" s="10"/>
      <c r="BM454" s="10"/>
      <c r="BN454" s="10"/>
      <c r="BO454" s="10"/>
      <c r="BP454" s="10"/>
      <c r="BQ454" s="10"/>
      <c r="BR454" s="10"/>
      <c r="BS454" s="10"/>
      <c r="BT454" s="10"/>
      <c r="BU454" s="10"/>
      <c r="BV454" s="10"/>
      <c r="BW454" s="10"/>
      <c r="BX454" s="10"/>
      <c r="BY454" s="10"/>
      <c r="BZ454" s="10"/>
      <c r="CA454" s="10"/>
      <c r="CB454" s="10"/>
      <c r="CC454" s="10"/>
      <c r="CD454" s="10"/>
      <c r="CE454" s="10"/>
      <c r="CF454" s="10"/>
      <c r="CG454" s="10"/>
      <c r="CH454" s="10"/>
      <c r="CI454" s="10"/>
      <c r="CJ454" s="10"/>
      <c r="CK454" s="10"/>
      <c r="CL454" s="10"/>
      <c r="CM454" s="10"/>
      <c r="CN454" s="10"/>
      <c r="CO454" s="10"/>
      <c r="CP454" s="10"/>
    </row>
    <row r="455" spans="1:94" ht="15" customHeight="1" thickBot="1">
      <c r="A455" s="10"/>
      <c r="B455" s="10"/>
      <c r="C455" s="12" t="s">
        <v>889</v>
      </c>
      <c r="D455" s="12"/>
      <c r="E455" s="12"/>
      <c r="F455" s="12"/>
      <c r="G455" s="12"/>
      <c r="H455" s="12"/>
      <c r="I455" s="12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  <c r="BA455" s="10"/>
      <c r="BB455" s="10"/>
      <c r="BC455" s="10"/>
      <c r="BD455" s="10"/>
      <c r="BE455" s="10"/>
      <c r="BF455" s="10"/>
      <c r="BG455" s="10"/>
      <c r="BH455" s="10"/>
      <c r="BI455" s="10"/>
      <c r="BJ455" s="10"/>
      <c r="BK455" s="10"/>
      <c r="BL455" s="10"/>
      <c r="BM455" s="10"/>
      <c r="BN455" s="10"/>
      <c r="BO455" s="10"/>
      <c r="BP455" s="10"/>
      <c r="BQ455" s="10"/>
      <c r="BR455" s="10"/>
      <c r="BS455" s="10"/>
      <c r="BT455" s="10"/>
      <c r="BU455" s="10"/>
      <c r="BV455" s="10"/>
      <c r="BW455" s="10"/>
      <c r="BX455" s="10"/>
      <c r="BY455" s="10"/>
      <c r="BZ455" s="10"/>
      <c r="CA455" s="10"/>
      <c r="CB455" s="10"/>
      <c r="CC455" s="10"/>
      <c r="CD455" s="10"/>
      <c r="CE455" s="10"/>
      <c r="CF455" s="10"/>
      <c r="CG455" s="10"/>
      <c r="CH455" s="10"/>
      <c r="CI455" s="10"/>
      <c r="CJ455" s="10"/>
      <c r="CK455" s="10"/>
      <c r="CL455" s="10"/>
      <c r="CM455" s="10"/>
      <c r="CN455" s="10"/>
      <c r="CO455" s="10"/>
      <c r="CP455" s="10"/>
    </row>
    <row r="456" spans="1:94" ht="15" customHeight="1">
      <c r="A456" s="10"/>
      <c r="B456" s="10"/>
      <c r="C456" s="10"/>
      <c r="D456" s="10"/>
      <c r="E456" s="59"/>
      <c r="F456" s="3"/>
      <c r="G456" s="142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  <c r="BA456" s="10"/>
      <c r="BB456" s="10"/>
      <c r="BC456" s="10"/>
      <c r="BD456" s="10"/>
      <c r="BE456" s="10"/>
      <c r="BF456" s="10"/>
      <c r="BG456" s="10"/>
      <c r="BH456" s="10"/>
      <c r="BI456" s="10"/>
      <c r="BJ456" s="10"/>
      <c r="BK456" s="10"/>
      <c r="BL456" s="10"/>
      <c r="BM456" s="10"/>
      <c r="BN456" s="10"/>
      <c r="BO456" s="10"/>
      <c r="BP456" s="10"/>
      <c r="BQ456" s="10"/>
      <c r="BR456" s="10"/>
      <c r="BS456" s="10"/>
      <c r="BT456" s="10"/>
      <c r="BU456" s="10"/>
      <c r="BV456" s="10"/>
      <c r="BW456" s="10"/>
      <c r="BX456" s="10"/>
      <c r="BY456" s="10"/>
      <c r="BZ456" s="10"/>
      <c r="CA456" s="10"/>
      <c r="CB456" s="10"/>
      <c r="CC456" s="10"/>
      <c r="CD456" s="10"/>
      <c r="CE456" s="10"/>
      <c r="CF456" s="10"/>
      <c r="CG456" s="10"/>
      <c r="CH456" s="10"/>
      <c r="CI456" s="10"/>
      <c r="CJ456" s="10"/>
      <c r="CK456" s="10"/>
      <c r="CL456" s="10"/>
      <c r="CM456" s="10"/>
      <c r="CN456" s="10"/>
      <c r="CO456" s="10"/>
      <c r="CP456" s="10"/>
    </row>
    <row r="457" spans="1:94" ht="15" customHeight="1">
      <c r="A457" s="10"/>
      <c r="B457" s="10"/>
      <c r="C457" s="35" t="s">
        <v>701</v>
      </c>
      <c r="D457" s="10"/>
      <c r="E457" s="59"/>
      <c r="F457" s="3"/>
      <c r="G457" s="142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  <c r="BA457" s="10"/>
      <c r="BB457" s="10"/>
      <c r="BC457" s="10"/>
      <c r="BD457" s="10"/>
      <c r="BE457" s="10"/>
      <c r="BF457" s="10"/>
      <c r="BG457" s="10"/>
      <c r="BH457" s="10"/>
      <c r="BI457" s="10"/>
      <c r="BJ457" s="10"/>
      <c r="BK457" s="10"/>
      <c r="BL457" s="10"/>
      <c r="BM457" s="10"/>
      <c r="BN457" s="10"/>
      <c r="BO457" s="10"/>
      <c r="BP457" s="10"/>
      <c r="BQ457" s="10"/>
      <c r="BR457" s="10"/>
      <c r="BS457" s="10"/>
      <c r="BT457" s="10"/>
      <c r="BU457" s="10"/>
      <c r="BV457" s="10"/>
      <c r="BW457" s="10"/>
      <c r="BX457" s="10"/>
      <c r="BY457" s="10"/>
      <c r="BZ457" s="10"/>
      <c r="CA457" s="10"/>
      <c r="CB457" s="10"/>
      <c r="CC457" s="10"/>
      <c r="CD457" s="10"/>
      <c r="CE457" s="10"/>
      <c r="CF457" s="10"/>
      <c r="CG457" s="10"/>
      <c r="CH457" s="10"/>
      <c r="CI457" s="10"/>
      <c r="CJ457" s="10"/>
      <c r="CK457" s="10"/>
      <c r="CL457" s="10"/>
      <c r="CM457" s="10"/>
      <c r="CN457" s="10"/>
      <c r="CO457" s="10"/>
      <c r="CP457" s="10"/>
    </row>
    <row r="458" spans="1:94" ht="15" customHeight="1">
      <c r="A458" s="10"/>
      <c r="B458" s="10"/>
      <c r="C458" s="17" t="s">
        <v>698</v>
      </c>
      <c r="D458" s="10"/>
      <c r="E458" s="80">
        <v>0.15</v>
      </c>
      <c r="F458" s="3"/>
      <c r="G458" s="142" t="s">
        <v>28</v>
      </c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  <c r="BA458" s="10"/>
      <c r="BB458" s="10"/>
      <c r="BC458" s="10"/>
      <c r="BD458" s="10"/>
      <c r="BE458" s="10"/>
      <c r="BF458" s="10"/>
      <c r="BG458" s="10"/>
      <c r="BH458" s="10"/>
      <c r="BI458" s="10"/>
      <c r="BJ458" s="10"/>
      <c r="BK458" s="10"/>
      <c r="BL458" s="10"/>
      <c r="BM458" s="10"/>
      <c r="BN458" s="10"/>
      <c r="BO458" s="10"/>
      <c r="BP458" s="10"/>
      <c r="BQ458" s="10"/>
      <c r="BR458" s="10"/>
      <c r="BS458" s="10"/>
      <c r="BT458" s="10"/>
      <c r="BU458" s="10"/>
      <c r="BV458" s="10"/>
      <c r="BW458" s="10"/>
      <c r="BX458" s="10"/>
      <c r="BY458" s="10"/>
      <c r="BZ458" s="10"/>
      <c r="CA458" s="10"/>
      <c r="CB458" s="10"/>
      <c r="CC458" s="10"/>
      <c r="CD458" s="10"/>
      <c r="CE458" s="10"/>
      <c r="CF458" s="10"/>
      <c r="CG458" s="10"/>
      <c r="CH458" s="10"/>
      <c r="CI458" s="10"/>
      <c r="CJ458" s="10"/>
      <c r="CK458" s="10"/>
      <c r="CL458" s="10"/>
      <c r="CM458" s="10"/>
      <c r="CN458" s="10"/>
      <c r="CO458" s="10"/>
      <c r="CP458" s="10"/>
    </row>
    <row r="459" spans="1:94" ht="15" customHeight="1">
      <c r="A459" s="10"/>
      <c r="B459" s="10"/>
      <c r="C459" s="17" t="s">
        <v>699</v>
      </c>
      <c r="D459" s="10"/>
      <c r="E459" s="80">
        <f>'Штатное расписание'!G126/100</f>
        <v>6.9154862960644922E-2</v>
      </c>
      <c r="F459" s="3"/>
      <c r="G459" s="142" t="s">
        <v>28</v>
      </c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  <c r="BL459" s="10"/>
      <c r="BM459" s="10"/>
      <c r="BN459" s="10"/>
      <c r="B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  <c r="CD459" s="10"/>
      <c r="CE459" s="10"/>
      <c r="CF459" s="10"/>
      <c r="CG459" s="10"/>
      <c r="CH459" s="10"/>
      <c r="CI459" s="10"/>
      <c r="CJ459" s="10"/>
      <c r="CK459" s="10"/>
      <c r="CL459" s="10"/>
      <c r="CM459" s="10"/>
      <c r="CN459" s="10"/>
      <c r="CO459" s="10"/>
      <c r="CP459" s="10"/>
    </row>
    <row r="460" spans="1:94" ht="15" customHeight="1">
      <c r="A460" s="10"/>
      <c r="B460" s="10"/>
      <c r="C460" s="10"/>
      <c r="D460" s="10"/>
      <c r="E460" s="59"/>
      <c r="F460" s="3"/>
      <c r="G460" s="142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  <c r="BA460" s="10"/>
      <c r="BB460" s="10"/>
      <c r="BC460" s="10"/>
      <c r="BD460" s="10"/>
      <c r="BE460" s="10"/>
      <c r="BF460" s="10"/>
      <c r="BG460" s="10"/>
      <c r="BH460" s="10"/>
      <c r="BI460" s="10"/>
      <c r="BJ460" s="10"/>
      <c r="BK460" s="10"/>
      <c r="BL460" s="10"/>
      <c r="BM460" s="10"/>
      <c r="BN460" s="10"/>
      <c r="BO460" s="10"/>
      <c r="BP460" s="10"/>
      <c r="BQ460" s="10"/>
      <c r="BR460" s="10"/>
      <c r="BS460" s="10"/>
      <c r="BT460" s="10"/>
      <c r="BU460" s="10"/>
      <c r="BV460" s="10"/>
      <c r="BW460" s="10"/>
      <c r="BX460" s="10"/>
      <c r="BY460" s="10"/>
      <c r="BZ460" s="10"/>
      <c r="CA460" s="10"/>
      <c r="CB460" s="10"/>
      <c r="CC460" s="10"/>
      <c r="CD460" s="10"/>
      <c r="CE460" s="10"/>
      <c r="CF460" s="10"/>
      <c r="CG460" s="10"/>
      <c r="CH460" s="10"/>
      <c r="CI460" s="10"/>
      <c r="CJ460" s="10"/>
      <c r="CK460" s="10"/>
      <c r="CL460" s="10"/>
      <c r="CM460" s="10"/>
      <c r="CN460" s="10"/>
      <c r="CO460" s="10"/>
      <c r="CP460" s="10"/>
    </row>
    <row r="461" spans="1:94" ht="15" customHeight="1">
      <c r="A461" s="10"/>
      <c r="B461" s="10"/>
      <c r="C461" s="35" t="s">
        <v>702</v>
      </c>
      <c r="D461" s="10"/>
      <c r="E461" s="59"/>
      <c r="F461" s="3"/>
      <c r="G461" s="142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  <c r="BA461" s="10"/>
      <c r="BB461" s="10"/>
      <c r="BC461" s="10"/>
      <c r="BD461" s="10"/>
      <c r="BE461" s="10"/>
      <c r="BF461" s="10"/>
      <c r="BG461" s="10"/>
      <c r="BH461" s="10"/>
      <c r="BI461" s="10"/>
      <c r="BJ461" s="10"/>
      <c r="BK461" s="10"/>
      <c r="BL461" s="10"/>
      <c r="BM461" s="10"/>
      <c r="BN461" s="10"/>
      <c r="BO461" s="10"/>
      <c r="BP461" s="10"/>
      <c r="BQ461" s="10"/>
      <c r="BR461" s="10"/>
      <c r="BS461" s="10"/>
      <c r="BT461" s="10"/>
      <c r="BU461" s="10"/>
      <c r="BV461" s="10"/>
      <c r="BW461" s="10"/>
      <c r="BX461" s="10"/>
      <c r="BY461" s="10"/>
      <c r="BZ461" s="10"/>
      <c r="CA461" s="10"/>
      <c r="CB461" s="10"/>
      <c r="CC461" s="10"/>
      <c r="CD461" s="10"/>
      <c r="CE461" s="10"/>
      <c r="CF461" s="10"/>
      <c r="CG461" s="10"/>
      <c r="CH461" s="10"/>
      <c r="CI461" s="10"/>
      <c r="CJ461" s="10"/>
      <c r="CK461" s="10"/>
      <c r="CL461" s="10"/>
      <c r="CM461" s="10"/>
      <c r="CN461" s="10"/>
      <c r="CO461" s="10"/>
      <c r="CP461" s="10"/>
    </row>
    <row r="462" spans="1:94" ht="15" customHeight="1">
      <c r="A462" s="10"/>
      <c r="B462" s="10"/>
      <c r="C462" s="17" t="s">
        <v>700</v>
      </c>
      <c r="D462" s="10"/>
      <c r="E462" s="80">
        <v>0.3</v>
      </c>
      <c r="F462" s="3"/>
      <c r="G462" s="142" t="s">
        <v>28</v>
      </c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  <c r="BL462" s="10"/>
      <c r="BM462" s="10"/>
      <c r="BN462" s="10"/>
      <c r="BO462" s="10"/>
      <c r="BP462" s="10"/>
      <c r="BQ462" s="10"/>
      <c r="BR462" s="10"/>
      <c r="BS462" s="10"/>
      <c r="BT462" s="10"/>
      <c r="BU462" s="10"/>
      <c r="BV462" s="10"/>
      <c r="BW462" s="10"/>
      <c r="BX462" s="10"/>
      <c r="BY462" s="10"/>
      <c r="BZ462" s="10"/>
      <c r="CA462" s="10"/>
      <c r="CB462" s="10"/>
      <c r="CC462" s="10"/>
      <c r="CD462" s="10"/>
      <c r="CE462" s="10"/>
      <c r="CF462" s="10"/>
      <c r="CG462" s="10"/>
      <c r="CH462" s="10"/>
      <c r="CI462" s="10"/>
      <c r="CJ462" s="10"/>
      <c r="CK462" s="10"/>
      <c r="CL462" s="10"/>
      <c r="CM462" s="10"/>
      <c r="CN462" s="10"/>
      <c r="CO462" s="10"/>
      <c r="CP462" s="10"/>
    </row>
    <row r="463" spans="1:94" ht="15" customHeight="1">
      <c r="A463" s="10"/>
      <c r="B463" s="10"/>
      <c r="C463" s="17" t="s">
        <v>698</v>
      </c>
      <c r="D463" s="10"/>
      <c r="E463" s="80">
        <v>0.15</v>
      </c>
      <c r="F463" s="3"/>
      <c r="G463" s="142" t="s">
        <v>28</v>
      </c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  <c r="CD463" s="10"/>
      <c r="CE463" s="10"/>
      <c r="CF463" s="10"/>
      <c r="CG463" s="10"/>
      <c r="CH463" s="10"/>
      <c r="CI463" s="10"/>
      <c r="CJ463" s="10"/>
      <c r="CK463" s="10"/>
      <c r="CL463" s="10"/>
      <c r="CM463" s="10"/>
      <c r="CN463" s="10"/>
      <c r="CO463" s="10"/>
      <c r="CP463" s="10"/>
    </row>
    <row r="464" spans="1:94" ht="15" customHeight="1">
      <c r="A464" s="10"/>
      <c r="B464" s="10"/>
      <c r="C464" s="17" t="s">
        <v>699</v>
      </c>
      <c r="D464" s="10"/>
      <c r="E464" s="80">
        <f>'Штатное расписание'!G127/100</f>
        <v>0.24916520153848828</v>
      </c>
      <c r="F464" s="3"/>
      <c r="G464" s="142" t="s">
        <v>28</v>
      </c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0"/>
      <c r="CE464" s="10"/>
      <c r="CF464" s="10"/>
      <c r="CG464" s="10"/>
      <c r="CH464" s="10"/>
      <c r="CI464" s="10"/>
      <c r="CJ464" s="10"/>
      <c r="CK464" s="10"/>
      <c r="CL464" s="10"/>
      <c r="CM464" s="10"/>
      <c r="CN464" s="10"/>
      <c r="CO464" s="10"/>
      <c r="CP464" s="10"/>
    </row>
    <row r="465" spans="1:94" ht="15" customHeight="1">
      <c r="A465" s="10"/>
      <c r="B465" s="10"/>
      <c r="C465" s="10"/>
      <c r="D465" s="10"/>
      <c r="E465" s="59"/>
      <c r="F465" s="3"/>
      <c r="G465" s="142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  <c r="BA465" s="10"/>
      <c r="BB465" s="10"/>
      <c r="BC465" s="10"/>
      <c r="BD465" s="10"/>
      <c r="BE465" s="10"/>
      <c r="BF465" s="10"/>
      <c r="BG465" s="10"/>
      <c r="BH465" s="10"/>
      <c r="BI465" s="10"/>
      <c r="BJ465" s="10"/>
      <c r="BK465" s="10"/>
      <c r="BL465" s="10"/>
      <c r="BM465" s="10"/>
      <c r="BN465" s="10"/>
      <c r="BO465" s="10"/>
      <c r="BP465" s="10"/>
      <c r="BQ465" s="10"/>
      <c r="BR465" s="10"/>
      <c r="BS465" s="10"/>
      <c r="BT465" s="10"/>
      <c r="BU465" s="10"/>
      <c r="BV465" s="10"/>
      <c r="BW465" s="10"/>
      <c r="BX465" s="10"/>
      <c r="BY465" s="10"/>
      <c r="BZ465" s="10"/>
      <c r="CA465" s="10"/>
      <c r="CB465" s="10"/>
      <c r="CC465" s="10"/>
      <c r="CD465" s="10"/>
      <c r="CE465" s="10"/>
      <c r="CF465" s="10"/>
      <c r="CG465" s="10"/>
      <c r="CH465" s="10"/>
      <c r="CI465" s="10"/>
      <c r="CJ465" s="10"/>
      <c r="CK465" s="10"/>
      <c r="CL465" s="10"/>
      <c r="CM465" s="10"/>
      <c r="CN465" s="10"/>
      <c r="CO465" s="10"/>
      <c r="CP465" s="10"/>
    </row>
    <row r="466" spans="1:94" ht="15" customHeight="1">
      <c r="A466" s="10"/>
      <c r="B466" s="10"/>
      <c r="C466" s="35" t="s">
        <v>703</v>
      </c>
      <c r="D466" s="10"/>
      <c r="E466" s="59"/>
      <c r="F466" s="3"/>
      <c r="G466" s="142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  <c r="BA466" s="10"/>
      <c r="BB466" s="10"/>
      <c r="BC466" s="10"/>
      <c r="BD466" s="10"/>
      <c r="BE466" s="10"/>
      <c r="BF466" s="10"/>
      <c r="BG466" s="10"/>
      <c r="BH466" s="10"/>
      <c r="BI466" s="10"/>
      <c r="BJ466" s="10"/>
      <c r="BK466" s="10"/>
      <c r="BL466" s="10"/>
      <c r="BM466" s="10"/>
      <c r="BN466" s="10"/>
      <c r="BO466" s="10"/>
      <c r="BP466" s="10"/>
      <c r="BQ466" s="10"/>
      <c r="BR466" s="10"/>
      <c r="BS466" s="10"/>
      <c r="BT466" s="10"/>
      <c r="BU466" s="10"/>
      <c r="BV466" s="10"/>
      <c r="BW466" s="10"/>
      <c r="BX466" s="10"/>
      <c r="BY466" s="10"/>
      <c r="BZ466" s="10"/>
      <c r="CA466" s="10"/>
      <c r="CB466" s="10"/>
      <c r="CC466" s="10"/>
      <c r="CD466" s="10"/>
      <c r="CE466" s="10"/>
      <c r="CF466" s="10"/>
      <c r="CG466" s="10"/>
      <c r="CH466" s="10"/>
      <c r="CI466" s="10"/>
      <c r="CJ466" s="10"/>
      <c r="CK466" s="10"/>
      <c r="CL466" s="10"/>
      <c r="CM466" s="10"/>
      <c r="CN466" s="10"/>
      <c r="CO466" s="10"/>
      <c r="CP466" s="10"/>
    </row>
    <row r="467" spans="1:94" ht="15" customHeight="1">
      <c r="A467" s="10"/>
      <c r="B467" s="10"/>
      <c r="C467" s="17" t="s">
        <v>700</v>
      </c>
      <c r="D467" s="10"/>
      <c r="E467" s="80">
        <v>0.11</v>
      </c>
      <c r="F467" s="3"/>
      <c r="G467" s="142" t="s">
        <v>28</v>
      </c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  <c r="BA467" s="10"/>
      <c r="BB467" s="10"/>
      <c r="BC467" s="10"/>
      <c r="BD467" s="10"/>
      <c r="BE467" s="10"/>
      <c r="BF467" s="10"/>
      <c r="BG467" s="10"/>
      <c r="BH467" s="10"/>
      <c r="BI467" s="10"/>
      <c r="BJ467" s="10"/>
      <c r="BK467" s="10"/>
      <c r="BL467" s="10"/>
      <c r="BM467" s="10"/>
      <c r="BN467" s="10"/>
      <c r="BO467" s="10"/>
      <c r="BP467" s="10"/>
      <c r="BQ467" s="10"/>
      <c r="BR467" s="10"/>
      <c r="BS467" s="10"/>
      <c r="BT467" s="10"/>
      <c r="BU467" s="10"/>
      <c r="BV467" s="10"/>
      <c r="BW467" s="10"/>
      <c r="BX467" s="10"/>
      <c r="BY467" s="10"/>
      <c r="BZ467" s="10"/>
      <c r="CA467" s="10"/>
      <c r="CB467" s="10"/>
      <c r="CC467" s="10"/>
      <c r="CD467" s="10"/>
      <c r="CE467" s="10"/>
      <c r="CF467" s="10"/>
      <c r="CG467" s="10"/>
      <c r="CH467" s="10"/>
      <c r="CI467" s="10"/>
      <c r="CJ467" s="10"/>
      <c r="CK467" s="10"/>
      <c r="CL467" s="10"/>
      <c r="CM467" s="10"/>
      <c r="CN467" s="10"/>
      <c r="CO467" s="10"/>
      <c r="CP467" s="10"/>
    </row>
    <row r="468" spans="1:94" ht="15" customHeight="1">
      <c r="A468" s="10"/>
      <c r="B468" s="10"/>
      <c r="C468" s="17" t="s">
        <v>699</v>
      </c>
      <c r="D468" s="10"/>
      <c r="E468" s="80">
        <f>'Штатное расписание'!G128/100</f>
        <v>0.11452269494858763</v>
      </c>
      <c r="F468" s="3"/>
      <c r="G468" s="142" t="s">
        <v>28</v>
      </c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  <c r="BA468" s="10"/>
      <c r="BB468" s="10"/>
      <c r="BC468" s="10"/>
      <c r="BD468" s="10"/>
      <c r="BE468" s="10"/>
      <c r="BF468" s="10"/>
      <c r="BG468" s="10"/>
      <c r="BH468" s="10"/>
      <c r="BI468" s="10"/>
      <c r="BJ468" s="10"/>
      <c r="BK468" s="10"/>
      <c r="BL468" s="10"/>
      <c r="BM468" s="10"/>
      <c r="BN468" s="10"/>
      <c r="BO468" s="10"/>
      <c r="BP468" s="10"/>
      <c r="BQ468" s="10"/>
      <c r="BR468" s="10"/>
      <c r="BS468" s="10"/>
      <c r="BT468" s="10"/>
      <c r="BU468" s="10"/>
      <c r="BV468" s="10"/>
      <c r="BW468" s="10"/>
      <c r="BX468" s="10"/>
      <c r="BY468" s="10"/>
      <c r="BZ468" s="10"/>
      <c r="CA468" s="10"/>
      <c r="CB468" s="10"/>
      <c r="CC468" s="10"/>
      <c r="CD468" s="10"/>
      <c r="CE468" s="10"/>
      <c r="CF468" s="10"/>
      <c r="CG468" s="10"/>
      <c r="CH468" s="10"/>
      <c r="CI468" s="10"/>
      <c r="CJ468" s="10"/>
      <c r="CK468" s="10"/>
      <c r="CL468" s="10"/>
      <c r="CM468" s="10"/>
      <c r="CN468" s="10"/>
      <c r="CO468" s="10"/>
      <c r="CP468" s="10"/>
    </row>
    <row r="469" spans="1:94" ht="15" customHeight="1">
      <c r="A469" s="10"/>
      <c r="B469" s="10"/>
      <c r="C469" s="10"/>
      <c r="D469" s="10"/>
      <c r="E469" s="59"/>
      <c r="F469" s="3"/>
      <c r="G469" s="142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  <c r="BL469" s="10"/>
      <c r="BM469" s="10"/>
      <c r="BN469" s="10"/>
      <c r="BO469" s="10"/>
      <c r="BP469" s="10"/>
      <c r="BQ469" s="10"/>
      <c r="BR469" s="10"/>
      <c r="BS469" s="10"/>
      <c r="BT469" s="10"/>
      <c r="BU469" s="10"/>
      <c r="BV469" s="10"/>
      <c r="BW469" s="10"/>
      <c r="BX469" s="10"/>
      <c r="BY469" s="10"/>
      <c r="BZ469" s="10"/>
      <c r="CA469" s="10"/>
      <c r="CB469" s="10"/>
      <c r="CC469" s="10"/>
      <c r="CD469" s="10"/>
      <c r="CE469" s="10"/>
      <c r="CF469" s="10"/>
      <c r="CG469" s="10"/>
      <c r="CH469" s="10"/>
      <c r="CI469" s="10"/>
      <c r="CJ469" s="10"/>
      <c r="CK469" s="10"/>
      <c r="CL469" s="10"/>
      <c r="CM469" s="10"/>
      <c r="CN469" s="10"/>
      <c r="CO469" s="10"/>
      <c r="CP469" s="10"/>
    </row>
    <row r="470" spans="1:94" ht="15" customHeight="1" thickBot="1">
      <c r="A470" s="10"/>
      <c r="B470" s="10"/>
      <c r="C470" s="12" t="s">
        <v>729</v>
      </c>
      <c r="D470" s="12"/>
      <c r="E470" s="12"/>
      <c r="F470" s="12"/>
      <c r="G470" s="12"/>
      <c r="H470" s="12"/>
      <c r="I470" s="12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  <c r="BA470" s="10"/>
      <c r="BB470" s="10"/>
      <c r="BC470" s="10"/>
      <c r="BD470" s="10"/>
      <c r="BE470" s="10"/>
      <c r="BF470" s="10"/>
      <c r="BG470" s="10"/>
      <c r="BH470" s="10"/>
      <c r="BI470" s="10"/>
      <c r="BJ470" s="10"/>
      <c r="BK470" s="10"/>
      <c r="BL470" s="10"/>
      <c r="BM470" s="10"/>
      <c r="BN470" s="10"/>
      <c r="BO470" s="10"/>
      <c r="BP470" s="10"/>
      <c r="BQ470" s="10"/>
      <c r="BR470" s="10"/>
      <c r="BS470" s="10"/>
      <c r="BT470" s="10"/>
      <c r="BU470" s="10"/>
      <c r="BV470" s="10"/>
      <c r="BW470" s="10"/>
      <c r="BX470" s="10"/>
      <c r="BY470" s="10"/>
      <c r="BZ470" s="10"/>
      <c r="CA470" s="10"/>
      <c r="CB470" s="10"/>
      <c r="CC470" s="10"/>
      <c r="CD470" s="10"/>
      <c r="CE470" s="10"/>
      <c r="CF470" s="10"/>
      <c r="CG470" s="10"/>
      <c r="CH470" s="10"/>
      <c r="CI470" s="10"/>
      <c r="CJ470" s="10"/>
      <c r="CK470" s="10"/>
      <c r="CL470" s="10"/>
      <c r="CM470" s="10"/>
      <c r="CN470" s="10"/>
      <c r="CO470" s="10"/>
      <c r="CP470" s="10"/>
    </row>
    <row r="471" spans="1:94" ht="15" customHeight="1">
      <c r="A471" s="10"/>
      <c r="B471" s="10"/>
      <c r="C471" s="10"/>
      <c r="D471" s="10"/>
      <c r="E471" s="59"/>
      <c r="F471" s="3"/>
      <c r="G471" s="142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  <c r="BA471" s="10"/>
      <c r="BB471" s="10"/>
      <c r="BC471" s="10"/>
      <c r="BD471" s="10"/>
      <c r="BE471" s="10"/>
      <c r="BF471" s="10"/>
      <c r="BG471" s="10"/>
      <c r="BH471" s="10"/>
      <c r="BI471" s="10"/>
      <c r="BJ471" s="10"/>
      <c r="BK471" s="10"/>
      <c r="BL471" s="10"/>
      <c r="BM471" s="10"/>
      <c r="BN471" s="10"/>
      <c r="BO471" s="10"/>
      <c r="BP471" s="10"/>
      <c r="BQ471" s="10"/>
      <c r="BR471" s="10"/>
      <c r="BS471" s="10"/>
      <c r="BT471" s="10"/>
      <c r="BU471" s="10"/>
      <c r="BV471" s="10"/>
      <c r="BW471" s="10"/>
      <c r="BX471" s="10"/>
      <c r="BY471" s="10"/>
      <c r="BZ471" s="10"/>
      <c r="CA471" s="10"/>
      <c r="CB471" s="10"/>
      <c r="CC471" s="10"/>
      <c r="CD471" s="10"/>
      <c r="CE471" s="10"/>
      <c r="CF471" s="10"/>
      <c r="CG471" s="10"/>
      <c r="CH471" s="10"/>
      <c r="CI471" s="10"/>
      <c r="CJ471" s="10"/>
      <c r="CK471" s="10"/>
      <c r="CL471" s="10"/>
      <c r="CM471" s="10"/>
      <c r="CN471" s="10"/>
      <c r="CO471" s="10"/>
      <c r="CP471" s="10"/>
    </row>
    <row r="472" spans="1:94" ht="15" customHeight="1">
      <c r="A472" s="10"/>
      <c r="B472" s="10"/>
      <c r="C472" s="17" t="s">
        <v>704</v>
      </c>
      <c r="D472" s="10"/>
      <c r="E472" s="80">
        <v>0.05</v>
      </c>
      <c r="F472" s="3"/>
      <c r="G472" s="239" t="s">
        <v>716</v>
      </c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  <c r="BA472" s="10"/>
      <c r="BB472" s="10"/>
      <c r="BC472" s="10"/>
      <c r="BD472" s="10"/>
      <c r="BE472" s="10"/>
      <c r="BF472" s="10"/>
      <c r="BG472" s="10"/>
      <c r="BH472" s="10"/>
      <c r="BI472" s="10"/>
      <c r="BJ472" s="10"/>
      <c r="BK472" s="10"/>
      <c r="BL472" s="10"/>
      <c r="BM472" s="10"/>
      <c r="BN472" s="10"/>
      <c r="BO472" s="10"/>
      <c r="BP472" s="10"/>
      <c r="BQ472" s="10"/>
      <c r="BR472" s="10"/>
      <c r="BS472" s="10"/>
      <c r="BT472" s="10"/>
      <c r="BU472" s="10"/>
      <c r="BV472" s="10"/>
      <c r="BW472" s="10"/>
      <c r="BX472" s="10"/>
      <c r="BY472" s="10"/>
      <c r="BZ472" s="10"/>
      <c r="CA472" s="10"/>
      <c r="CB472" s="10"/>
      <c r="CC472" s="10"/>
      <c r="CD472" s="10"/>
      <c r="CE472" s="10"/>
      <c r="CF472" s="10"/>
      <c r="CG472" s="10"/>
      <c r="CH472" s="10"/>
      <c r="CI472" s="10"/>
      <c r="CJ472" s="10"/>
      <c r="CK472" s="10"/>
      <c r="CL472" s="10"/>
      <c r="CM472" s="10"/>
      <c r="CN472" s="10"/>
      <c r="CO472" s="10"/>
      <c r="CP472" s="10"/>
    </row>
    <row r="473" spans="1:94" ht="15" customHeight="1">
      <c r="A473" s="10"/>
      <c r="B473" s="10"/>
      <c r="C473" s="17" t="s">
        <v>705</v>
      </c>
      <c r="D473" s="10"/>
      <c r="E473" s="80">
        <v>5.0000000000000001E-3</v>
      </c>
      <c r="F473" s="3"/>
      <c r="G473" s="239" t="s">
        <v>716</v>
      </c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  <c r="BL473" s="10"/>
      <c r="BM473" s="10"/>
      <c r="BN473" s="10"/>
      <c r="BO473" s="10"/>
      <c r="BP473" s="10"/>
      <c r="BQ473" s="10"/>
      <c r="BR473" s="10"/>
      <c r="BS473" s="10"/>
      <c r="BT473" s="10"/>
      <c r="BU473" s="10"/>
      <c r="BV473" s="10"/>
      <c r="BW473" s="10"/>
      <c r="BX473" s="10"/>
      <c r="BY473" s="10"/>
      <c r="BZ473" s="10"/>
      <c r="CA473" s="10"/>
      <c r="CB473" s="10"/>
      <c r="CC473" s="10"/>
      <c r="CD473" s="10"/>
      <c r="CE473" s="10"/>
      <c r="CF473" s="10"/>
      <c r="CG473" s="10"/>
      <c r="CH473" s="10"/>
      <c r="CI473" s="10"/>
      <c r="CJ473" s="10"/>
      <c r="CK473" s="10"/>
      <c r="CL473" s="10"/>
      <c r="CM473" s="10"/>
      <c r="CN473" s="10"/>
      <c r="CO473" s="10"/>
      <c r="CP473" s="10"/>
    </row>
    <row r="474" spans="1:94" ht="15" customHeight="1">
      <c r="A474" s="10"/>
      <c r="B474" s="10"/>
      <c r="C474" s="17" t="s">
        <v>706</v>
      </c>
      <c r="D474" s="10"/>
      <c r="E474" s="80">
        <v>0.03</v>
      </c>
      <c r="F474" s="3"/>
      <c r="G474" s="239" t="s">
        <v>716</v>
      </c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  <c r="CD474" s="10"/>
      <c r="CE474" s="10"/>
      <c r="CF474" s="10"/>
      <c r="CG474" s="10"/>
      <c r="CH474" s="10"/>
      <c r="CI474" s="10"/>
      <c r="CJ474" s="10"/>
      <c r="CK474" s="10"/>
      <c r="CL474" s="10"/>
      <c r="CM474" s="10"/>
      <c r="CN474" s="10"/>
      <c r="CO474" s="10"/>
      <c r="CP474" s="10"/>
    </row>
    <row r="475" spans="1:94" ht="15" customHeight="1">
      <c r="A475" s="10"/>
      <c r="B475" s="10"/>
      <c r="C475" s="17" t="s">
        <v>707</v>
      </c>
      <c r="D475" s="10"/>
      <c r="E475" s="80">
        <v>0.04</v>
      </c>
      <c r="F475" s="3"/>
      <c r="G475" s="239" t="s">
        <v>716</v>
      </c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  <c r="BL475" s="10"/>
      <c r="BM475" s="10"/>
      <c r="BN475" s="10"/>
      <c r="BO475" s="10"/>
      <c r="BP475" s="10"/>
      <c r="BQ475" s="10"/>
      <c r="BR475" s="10"/>
      <c r="BS475" s="10"/>
      <c r="BT475" s="10"/>
      <c r="BU475" s="10"/>
      <c r="BV475" s="10"/>
      <c r="BW475" s="10"/>
      <c r="BX475" s="10"/>
      <c r="BY475" s="10"/>
      <c r="BZ475" s="10"/>
      <c r="CA475" s="10"/>
      <c r="CB475" s="10"/>
      <c r="CC475" s="10"/>
      <c r="CD475" s="10"/>
      <c r="CE475" s="10"/>
      <c r="CF475" s="10"/>
      <c r="CG475" s="10"/>
      <c r="CH475" s="10"/>
      <c r="CI475" s="10"/>
      <c r="CJ475" s="10"/>
      <c r="CK475" s="10"/>
      <c r="CL475" s="10"/>
      <c r="CM475" s="10"/>
      <c r="CN475" s="10"/>
      <c r="CO475" s="10"/>
      <c r="CP475" s="10"/>
    </row>
    <row r="476" spans="1:94" ht="15" customHeight="1">
      <c r="A476" s="10"/>
      <c r="B476" s="10"/>
      <c r="C476" s="17" t="s">
        <v>708</v>
      </c>
      <c r="D476" s="10"/>
      <c r="E476" s="80">
        <v>0.02</v>
      </c>
      <c r="F476" s="3"/>
      <c r="G476" s="239" t="s">
        <v>716</v>
      </c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  <c r="BA476" s="10"/>
      <c r="BB476" s="10"/>
      <c r="BC476" s="10"/>
      <c r="BD476" s="10"/>
      <c r="BE476" s="10"/>
      <c r="BF476" s="10"/>
      <c r="BG476" s="10"/>
      <c r="BH476" s="10"/>
      <c r="BI476" s="10"/>
      <c r="BJ476" s="10"/>
      <c r="BK476" s="10"/>
      <c r="BL476" s="10"/>
      <c r="BM476" s="10"/>
      <c r="BN476" s="10"/>
      <c r="BO476" s="10"/>
      <c r="BP476" s="10"/>
      <c r="BQ476" s="10"/>
      <c r="BR476" s="10"/>
      <c r="BS476" s="10"/>
      <c r="BT476" s="10"/>
      <c r="BU476" s="10"/>
      <c r="BV476" s="10"/>
      <c r="BW476" s="10"/>
      <c r="BX476" s="10"/>
      <c r="BY476" s="10"/>
      <c r="BZ476" s="10"/>
      <c r="CA476" s="10"/>
      <c r="CB476" s="10"/>
      <c r="CC476" s="10"/>
      <c r="CD476" s="10"/>
      <c r="CE476" s="10"/>
      <c r="CF476" s="10"/>
      <c r="CG476" s="10"/>
      <c r="CH476" s="10"/>
      <c r="CI476" s="10"/>
      <c r="CJ476" s="10"/>
      <c r="CK476" s="10"/>
      <c r="CL476" s="10"/>
      <c r="CM476" s="10"/>
      <c r="CN476" s="10"/>
      <c r="CO476" s="10"/>
      <c r="CP476" s="10"/>
    </row>
    <row r="477" spans="1:94" ht="15" customHeight="1">
      <c r="A477" s="10"/>
      <c r="B477" s="10"/>
      <c r="C477" s="10"/>
      <c r="D477" s="10"/>
      <c r="E477" s="59"/>
      <c r="F477" s="3"/>
      <c r="G477" s="142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  <c r="BA477" s="10"/>
      <c r="BB477" s="10"/>
      <c r="BC477" s="10"/>
      <c r="BD477" s="10"/>
      <c r="BE477" s="10"/>
      <c r="BF477" s="10"/>
      <c r="BG477" s="10"/>
      <c r="BH477" s="10"/>
      <c r="BI477" s="10"/>
      <c r="BJ477" s="10"/>
      <c r="BK477" s="10"/>
      <c r="BL477" s="10"/>
      <c r="BM477" s="10"/>
      <c r="BN477" s="10"/>
      <c r="BO477" s="10"/>
      <c r="BP477" s="10"/>
      <c r="BQ477" s="10"/>
      <c r="BR477" s="10"/>
      <c r="BS477" s="10"/>
      <c r="BT477" s="10"/>
      <c r="BU477" s="10"/>
      <c r="BV477" s="10"/>
      <c r="BW477" s="10"/>
      <c r="BX477" s="10"/>
      <c r="BY477" s="10"/>
      <c r="BZ477" s="10"/>
      <c r="CA477" s="10"/>
      <c r="CB477" s="10"/>
      <c r="CC477" s="10"/>
      <c r="CD477" s="10"/>
      <c r="CE477" s="10"/>
      <c r="CF477" s="10"/>
      <c r="CG477" s="10"/>
      <c r="CH477" s="10"/>
      <c r="CI477" s="10"/>
      <c r="CJ477" s="10"/>
      <c r="CK477" s="10"/>
      <c r="CL477" s="10"/>
      <c r="CM477" s="10"/>
      <c r="CN477" s="10"/>
      <c r="CO477" s="10"/>
      <c r="CP477" s="10"/>
    </row>
    <row r="478" spans="1:94" ht="15" customHeight="1" thickBot="1">
      <c r="A478" s="10"/>
      <c r="B478" s="10"/>
      <c r="C478" s="12" t="s">
        <v>736</v>
      </c>
      <c r="D478" s="12"/>
      <c r="E478" s="12"/>
      <c r="F478" s="12"/>
      <c r="G478" s="12"/>
      <c r="H478" s="12"/>
      <c r="I478" s="12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  <c r="BA478" s="10"/>
      <c r="BB478" s="10"/>
      <c r="BC478" s="10"/>
      <c r="BD478" s="10"/>
      <c r="BE478" s="10"/>
      <c r="BF478" s="10"/>
      <c r="BG478" s="10"/>
      <c r="BH478" s="10"/>
      <c r="BI478" s="10"/>
      <c r="BJ478" s="10"/>
      <c r="BK478" s="10"/>
      <c r="BL478" s="10"/>
      <c r="BM478" s="10"/>
      <c r="BN478" s="10"/>
      <c r="BO478" s="10"/>
      <c r="BP478" s="10"/>
      <c r="BQ478" s="10"/>
      <c r="BR478" s="10"/>
      <c r="BS478" s="10"/>
      <c r="BT478" s="10"/>
      <c r="BU478" s="10"/>
      <c r="BV478" s="10"/>
      <c r="BW478" s="10"/>
      <c r="BX478" s="10"/>
      <c r="BY478" s="10"/>
      <c r="BZ478" s="10"/>
      <c r="CA478" s="10"/>
      <c r="CB478" s="10"/>
      <c r="CC478" s="10"/>
      <c r="CD478" s="10"/>
      <c r="CE478" s="10"/>
      <c r="CF478" s="10"/>
      <c r="CG478" s="10"/>
      <c r="CH478" s="10"/>
      <c r="CI478" s="10"/>
      <c r="CJ478" s="10"/>
      <c r="CK478" s="10"/>
      <c r="CL478" s="10"/>
      <c r="CM478" s="10"/>
      <c r="CN478" s="10"/>
      <c r="CO478" s="10"/>
      <c r="CP478" s="10"/>
    </row>
    <row r="479" spans="1:94" ht="15" customHeight="1">
      <c r="A479" s="10"/>
      <c r="B479" s="10"/>
      <c r="C479" s="10"/>
      <c r="D479" s="10"/>
      <c r="E479" s="59"/>
      <c r="F479" s="3"/>
      <c r="G479" s="142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  <c r="BL479" s="10"/>
      <c r="BM479" s="10"/>
      <c r="BN479" s="10"/>
      <c r="BO479" s="10"/>
      <c r="BP479" s="10"/>
      <c r="BQ479" s="10"/>
      <c r="BR479" s="10"/>
      <c r="BS479" s="10"/>
      <c r="BT479" s="10"/>
      <c r="BU479" s="10"/>
      <c r="BV479" s="10"/>
      <c r="BW479" s="10"/>
      <c r="BX479" s="10"/>
      <c r="BY479" s="10"/>
      <c r="BZ479" s="10"/>
      <c r="CA479" s="10"/>
      <c r="CB479" s="10"/>
      <c r="CC479" s="10"/>
      <c r="CD479" s="10"/>
      <c r="CE479" s="10"/>
      <c r="CF479" s="10"/>
      <c r="CG479" s="10"/>
      <c r="CH479" s="10"/>
      <c r="CI479" s="10"/>
      <c r="CJ479" s="10"/>
      <c r="CK479" s="10"/>
      <c r="CL479" s="10"/>
      <c r="CM479" s="10"/>
      <c r="CN479" s="10"/>
      <c r="CO479" s="10"/>
      <c r="CP479" s="10"/>
    </row>
    <row r="480" spans="1:94" ht="15" customHeight="1">
      <c r="A480" s="10"/>
      <c r="B480" s="10"/>
      <c r="C480" s="17" t="s">
        <v>709</v>
      </c>
      <c r="D480" s="10"/>
      <c r="E480" s="80">
        <v>1.4999999999999999E-2</v>
      </c>
      <c r="F480" s="3"/>
      <c r="G480" s="239" t="s">
        <v>716</v>
      </c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  <c r="BA480" s="10"/>
      <c r="BB480" s="10"/>
      <c r="BC480" s="10"/>
      <c r="BD480" s="10"/>
      <c r="BE480" s="10"/>
      <c r="BF480" s="10"/>
      <c r="BG480" s="10"/>
      <c r="BH480" s="10"/>
      <c r="BI480" s="10"/>
      <c r="BJ480" s="10"/>
      <c r="BK480" s="10"/>
      <c r="BL480" s="10"/>
      <c r="BM480" s="10"/>
      <c r="BN480" s="10"/>
      <c r="BO480" s="10"/>
      <c r="BP480" s="10"/>
      <c r="BQ480" s="10"/>
      <c r="BR480" s="10"/>
      <c r="BS480" s="10"/>
      <c r="BT480" s="10"/>
      <c r="BU480" s="10"/>
      <c r="BV480" s="10"/>
      <c r="BW480" s="10"/>
      <c r="BX480" s="10"/>
      <c r="BY480" s="10"/>
      <c r="BZ480" s="10"/>
      <c r="CA480" s="10"/>
      <c r="CB480" s="10"/>
      <c r="CC480" s="10"/>
      <c r="CD480" s="10"/>
      <c r="CE480" s="10"/>
      <c r="CF480" s="10"/>
      <c r="CG480" s="10"/>
      <c r="CH480" s="10"/>
      <c r="CI480" s="10"/>
      <c r="CJ480" s="10"/>
      <c r="CK480" s="10"/>
      <c r="CL480" s="10"/>
      <c r="CM480" s="10"/>
      <c r="CN480" s="10"/>
      <c r="CO480" s="10"/>
      <c r="CP480" s="10"/>
    </row>
    <row r="481" spans="1:94" ht="15" customHeight="1">
      <c r="A481" s="10"/>
      <c r="B481" s="10"/>
      <c r="C481" s="17" t="s">
        <v>711</v>
      </c>
      <c r="D481" s="10"/>
      <c r="E481" s="80">
        <v>0.02</v>
      </c>
      <c r="F481" s="3"/>
      <c r="G481" s="239" t="s">
        <v>716</v>
      </c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  <c r="BA481" s="10"/>
      <c r="BB481" s="10"/>
      <c r="BC481" s="10"/>
      <c r="BD481" s="10"/>
      <c r="BE481" s="10"/>
      <c r="BF481" s="10"/>
      <c r="BG481" s="10"/>
      <c r="BH481" s="10"/>
      <c r="BI481" s="10"/>
      <c r="BJ481" s="10"/>
      <c r="BK481" s="10"/>
      <c r="BL481" s="10"/>
      <c r="BM481" s="10"/>
      <c r="BN481" s="10"/>
      <c r="BO481" s="10"/>
      <c r="BP481" s="10"/>
      <c r="BQ481" s="10"/>
      <c r="BR481" s="10"/>
      <c r="BS481" s="10"/>
      <c r="BT481" s="10"/>
      <c r="BU481" s="10"/>
      <c r="BV481" s="10"/>
      <c r="BW481" s="10"/>
      <c r="BX481" s="10"/>
      <c r="BY481" s="10"/>
      <c r="BZ481" s="10"/>
      <c r="CA481" s="10"/>
      <c r="CB481" s="10"/>
      <c r="CC481" s="10"/>
      <c r="CD481" s="10"/>
      <c r="CE481" s="10"/>
      <c r="CF481" s="10"/>
      <c r="CG481" s="10"/>
      <c r="CH481" s="10"/>
      <c r="CI481" s="10"/>
      <c r="CJ481" s="10"/>
      <c r="CK481" s="10"/>
      <c r="CL481" s="10"/>
      <c r="CM481" s="10"/>
      <c r="CN481" s="10"/>
      <c r="CO481" s="10"/>
      <c r="CP481" s="10"/>
    </row>
    <row r="482" spans="1:94" ht="15" customHeight="1">
      <c r="A482" s="10"/>
      <c r="B482" s="10"/>
      <c r="C482" s="17" t="s">
        <v>710</v>
      </c>
      <c r="D482" s="10"/>
      <c r="E482" s="80">
        <v>0</v>
      </c>
      <c r="F482" s="3"/>
      <c r="G482" s="239" t="s">
        <v>717</v>
      </c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  <c r="BA482" s="10"/>
      <c r="BB482" s="10"/>
      <c r="BC482" s="10"/>
      <c r="BD482" s="10"/>
      <c r="BE482" s="10"/>
      <c r="BF482" s="10"/>
      <c r="BG482" s="10"/>
      <c r="BH482" s="10"/>
      <c r="BI482" s="10"/>
      <c r="BJ482" s="10"/>
      <c r="BK482" s="10"/>
      <c r="BL482" s="10"/>
      <c r="BM482" s="10"/>
      <c r="BN482" s="10"/>
      <c r="BO482" s="10"/>
      <c r="BP482" s="10"/>
      <c r="BQ482" s="10"/>
      <c r="BR482" s="10"/>
      <c r="BS482" s="10"/>
      <c r="BT482" s="10"/>
      <c r="BU482" s="10"/>
      <c r="BV482" s="10"/>
      <c r="BW482" s="10"/>
      <c r="BX482" s="10"/>
      <c r="BY482" s="10"/>
      <c r="BZ482" s="10"/>
      <c r="CA482" s="10"/>
      <c r="CB482" s="10"/>
      <c r="CC482" s="10"/>
      <c r="CD482" s="10"/>
      <c r="CE482" s="10"/>
      <c r="CF482" s="10"/>
      <c r="CG482" s="10"/>
      <c r="CH482" s="10"/>
      <c r="CI482" s="10"/>
      <c r="CJ482" s="10"/>
      <c r="CK482" s="10"/>
      <c r="CL482" s="10"/>
      <c r="CM482" s="10"/>
      <c r="CN482" s="10"/>
      <c r="CO482" s="10"/>
      <c r="CP482" s="10"/>
    </row>
    <row r="483" spans="1:94" ht="15" customHeight="1">
      <c r="A483" s="10"/>
      <c r="B483" s="10"/>
      <c r="C483" s="17" t="s">
        <v>713</v>
      </c>
      <c r="D483" s="10"/>
      <c r="E483" s="80">
        <v>0.02</v>
      </c>
      <c r="F483" s="3"/>
      <c r="G483" s="239" t="s">
        <v>1457</v>
      </c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  <c r="BA483" s="10"/>
      <c r="BB483" s="10"/>
      <c r="BC483" s="10"/>
      <c r="BD483" s="10"/>
      <c r="BE483" s="10"/>
      <c r="BF483" s="10"/>
      <c r="BG483" s="10"/>
      <c r="BH483" s="10"/>
      <c r="BI483" s="10"/>
      <c r="BJ483" s="10"/>
      <c r="BK483" s="10"/>
      <c r="BL483" s="10"/>
      <c r="BM483" s="10"/>
      <c r="BN483" s="10"/>
      <c r="BO483" s="10"/>
      <c r="BP483" s="10"/>
      <c r="BQ483" s="10"/>
      <c r="BR483" s="10"/>
      <c r="BS483" s="10"/>
      <c r="BT483" s="10"/>
      <c r="BU483" s="10"/>
      <c r="BV483" s="10"/>
      <c r="BW483" s="10"/>
      <c r="BX483" s="10"/>
      <c r="BY483" s="10"/>
      <c r="BZ483" s="10"/>
      <c r="CA483" s="10"/>
      <c r="CB483" s="10"/>
      <c r="CC483" s="10"/>
      <c r="CD483" s="10"/>
      <c r="CE483" s="10"/>
      <c r="CF483" s="10"/>
      <c r="CG483" s="10"/>
      <c r="CH483" s="10"/>
      <c r="CI483" s="10"/>
      <c r="CJ483" s="10"/>
      <c r="CK483" s="10"/>
      <c r="CL483" s="10"/>
      <c r="CM483" s="10"/>
      <c r="CN483" s="10"/>
      <c r="CO483" s="10"/>
      <c r="CP483" s="10"/>
    </row>
    <row r="484" spans="1:94" ht="15" customHeight="1">
      <c r="A484" s="10"/>
      <c r="B484" s="10"/>
      <c r="C484" s="17" t="s">
        <v>712</v>
      </c>
      <c r="D484" s="10"/>
      <c r="E484" s="80">
        <v>6.5000000000000002E-2</v>
      </c>
      <c r="F484" s="3"/>
      <c r="G484" s="239" t="s">
        <v>718</v>
      </c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  <c r="CD484" s="10"/>
      <c r="CE484" s="10"/>
      <c r="CF484" s="10"/>
      <c r="CG484" s="10"/>
      <c r="CH484" s="10"/>
      <c r="CI484" s="10"/>
      <c r="CJ484" s="10"/>
      <c r="CK484" s="10"/>
      <c r="CL484" s="10"/>
      <c r="CM484" s="10"/>
      <c r="CN484" s="10"/>
      <c r="CO484" s="10"/>
      <c r="CP484" s="10"/>
    </row>
    <row r="485" spans="1:94" ht="15" customHeight="1">
      <c r="A485" s="10"/>
      <c r="B485" s="10"/>
      <c r="C485" s="17" t="s">
        <v>1157</v>
      </c>
      <c r="D485" s="10"/>
      <c r="E485" s="14">
        <v>0</v>
      </c>
      <c r="F485" s="3"/>
      <c r="G485" s="142" t="s">
        <v>887</v>
      </c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  <c r="BL485" s="10"/>
      <c r="BM485" s="10"/>
      <c r="BN485" s="10"/>
      <c r="BO485" s="10"/>
      <c r="BP485" s="10"/>
      <c r="BQ485" s="10"/>
      <c r="BR485" s="10"/>
      <c r="BS485" s="10"/>
      <c r="BT485" s="10"/>
      <c r="BU485" s="10"/>
      <c r="BV485" s="10"/>
      <c r="BW485" s="10"/>
      <c r="BX485" s="10"/>
      <c r="BY485" s="10"/>
      <c r="BZ485" s="10"/>
      <c r="CA485" s="10"/>
      <c r="CB485" s="10"/>
      <c r="CC485" s="10"/>
      <c r="CD485" s="10"/>
      <c r="CE485" s="10"/>
      <c r="CF485" s="10"/>
      <c r="CG485" s="10"/>
      <c r="CH485" s="10"/>
      <c r="CI485" s="10"/>
      <c r="CJ485" s="10"/>
      <c r="CK485" s="10"/>
      <c r="CL485" s="10"/>
      <c r="CM485" s="10"/>
      <c r="CN485" s="10"/>
      <c r="CO485" s="10"/>
      <c r="CP485" s="10"/>
    </row>
    <row r="486" spans="1:94" ht="15" customHeight="1">
      <c r="A486" s="10"/>
      <c r="B486" s="10"/>
      <c r="C486" s="10"/>
      <c r="D486" s="10"/>
      <c r="E486" s="59"/>
      <c r="F486" s="3"/>
      <c r="G486" s="14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  <c r="BL486" s="10"/>
      <c r="BM486" s="10"/>
      <c r="BN486" s="10"/>
      <c r="BO486" s="10"/>
      <c r="BP486" s="10"/>
      <c r="BQ486" s="10"/>
      <c r="BR486" s="10"/>
      <c r="BS486" s="10"/>
      <c r="BT486" s="10"/>
      <c r="BU486" s="10"/>
      <c r="BV486" s="10"/>
      <c r="BW486" s="10"/>
      <c r="BX486" s="10"/>
      <c r="BY486" s="10"/>
      <c r="BZ486" s="10"/>
      <c r="CA486" s="10"/>
      <c r="CB486" s="10"/>
      <c r="CC486" s="10"/>
      <c r="CD486" s="10"/>
      <c r="CE486" s="10"/>
      <c r="CF486" s="10"/>
      <c r="CG486" s="10"/>
      <c r="CH486" s="10"/>
      <c r="CI486" s="10"/>
      <c r="CJ486" s="10"/>
      <c r="CK486" s="10"/>
      <c r="CL486" s="10"/>
      <c r="CM486" s="10"/>
      <c r="CN486" s="10"/>
      <c r="CO486" s="10"/>
      <c r="CP486" s="10"/>
    </row>
    <row r="487" spans="1:94" ht="15" customHeight="1">
      <c r="A487" s="10"/>
      <c r="B487" s="3"/>
      <c r="C487" s="382" t="str">
        <f>C303</f>
        <v>Сегмент 2: Развлекательный комплекс</v>
      </c>
      <c r="D487" s="271"/>
      <c r="E487" s="271"/>
      <c r="F487" s="271"/>
      <c r="G487" s="272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  <c r="CA487" s="271"/>
      <c r="CB487" s="271"/>
      <c r="CC487" s="271"/>
      <c r="CD487" s="271"/>
      <c r="CE487" s="271"/>
      <c r="CF487" s="271"/>
      <c r="CG487" s="271"/>
      <c r="CH487" s="271"/>
      <c r="CI487" s="271"/>
      <c r="CJ487" s="271"/>
      <c r="CK487" s="271"/>
      <c r="CL487" s="271"/>
      <c r="CM487" s="271"/>
      <c r="CN487" s="271"/>
      <c r="CO487" s="271"/>
      <c r="CP487" s="10"/>
    </row>
    <row r="488" spans="1:94" ht="15" customHeight="1">
      <c r="A488" s="10"/>
      <c r="B488" s="10"/>
      <c r="C488" s="10"/>
      <c r="D488" s="10"/>
      <c r="E488" s="59"/>
      <c r="F488" s="3"/>
      <c r="G488" s="142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  <c r="BA488" s="10"/>
      <c r="BB488" s="10"/>
      <c r="BC488" s="10"/>
      <c r="BD488" s="10"/>
      <c r="BE488" s="10"/>
      <c r="BF488" s="10"/>
      <c r="BG488" s="10"/>
      <c r="BH488" s="10"/>
      <c r="BI488" s="10"/>
      <c r="BJ488" s="10"/>
      <c r="BK488" s="10"/>
      <c r="BL488" s="10"/>
      <c r="BM488" s="10"/>
      <c r="BN488" s="10"/>
      <c r="BO488" s="10"/>
      <c r="BP488" s="10"/>
      <c r="BQ488" s="10"/>
      <c r="BR488" s="10"/>
      <c r="BS488" s="10"/>
      <c r="BT488" s="10"/>
      <c r="BU488" s="10"/>
      <c r="BV488" s="10"/>
      <c r="BW488" s="10"/>
      <c r="BX488" s="10"/>
      <c r="BY488" s="10"/>
      <c r="BZ488" s="10"/>
      <c r="CA488" s="10"/>
      <c r="CB488" s="10"/>
      <c r="CC488" s="10"/>
      <c r="CD488" s="10"/>
      <c r="CE488" s="10"/>
      <c r="CF488" s="10"/>
      <c r="CG488" s="10"/>
      <c r="CH488" s="10"/>
      <c r="CI488" s="10"/>
      <c r="CJ488" s="10"/>
      <c r="CK488" s="10"/>
      <c r="CL488" s="10"/>
      <c r="CM488" s="10"/>
      <c r="CN488" s="10"/>
      <c r="CO488" s="10"/>
      <c r="CP488" s="10"/>
    </row>
    <row r="489" spans="1:94" ht="15" hidden="1" customHeight="1" thickBot="1">
      <c r="A489" s="10"/>
      <c r="B489" s="10"/>
      <c r="C489" s="12" t="s">
        <v>888</v>
      </c>
      <c r="D489" s="12"/>
      <c r="E489" s="12"/>
      <c r="F489" s="12"/>
      <c r="G489" s="12"/>
      <c r="H489" s="12"/>
      <c r="I489" s="12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  <c r="BL489" s="10"/>
      <c r="BM489" s="10"/>
      <c r="BN489" s="10"/>
      <c r="B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  <c r="CD489" s="10"/>
      <c r="CE489" s="10"/>
      <c r="CF489" s="10"/>
      <c r="CG489" s="10"/>
      <c r="CH489" s="10"/>
      <c r="CI489" s="10"/>
      <c r="CJ489" s="10"/>
      <c r="CK489" s="10"/>
      <c r="CL489" s="10"/>
      <c r="CM489" s="10"/>
      <c r="CN489" s="10"/>
      <c r="CO489" s="10"/>
      <c r="CP489" s="10"/>
    </row>
    <row r="490" spans="1:94" ht="15" hidden="1" customHeight="1">
      <c r="A490" s="10"/>
      <c r="B490" s="10"/>
      <c r="C490" s="10"/>
      <c r="D490" s="10"/>
      <c r="E490" s="59"/>
      <c r="F490" s="3"/>
      <c r="G490" s="142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  <c r="BA490" s="10"/>
      <c r="BB490" s="10"/>
      <c r="BC490" s="10"/>
      <c r="BD490" s="10"/>
      <c r="BE490" s="10"/>
      <c r="BF490" s="10"/>
      <c r="BG490" s="10"/>
      <c r="BH490" s="10"/>
      <c r="BI490" s="10"/>
      <c r="BJ490" s="10"/>
      <c r="BK490" s="10"/>
      <c r="BL490" s="10"/>
      <c r="BM490" s="10"/>
      <c r="BN490" s="10"/>
      <c r="BO490" s="10"/>
      <c r="BP490" s="10"/>
      <c r="BQ490" s="10"/>
      <c r="BR490" s="10"/>
      <c r="BS490" s="10"/>
      <c r="BT490" s="10"/>
      <c r="BU490" s="10"/>
      <c r="BV490" s="10"/>
      <c r="BW490" s="10"/>
      <c r="BX490" s="10"/>
      <c r="BY490" s="10"/>
      <c r="BZ490" s="10"/>
      <c r="CA490" s="10"/>
      <c r="CB490" s="10"/>
      <c r="CC490" s="10"/>
      <c r="CD490" s="10"/>
      <c r="CE490" s="10"/>
      <c r="CF490" s="10"/>
      <c r="CG490" s="10"/>
      <c r="CH490" s="10"/>
      <c r="CI490" s="10"/>
      <c r="CJ490" s="10"/>
      <c r="CK490" s="10"/>
      <c r="CL490" s="10"/>
      <c r="CM490" s="10"/>
      <c r="CN490" s="10"/>
      <c r="CO490" s="10"/>
      <c r="CP490" s="10"/>
    </row>
    <row r="491" spans="1:94" ht="15" hidden="1" customHeight="1">
      <c r="A491" s="10"/>
      <c r="B491" s="10"/>
      <c r="C491" s="35"/>
      <c r="D491" s="10"/>
      <c r="E491" s="59"/>
      <c r="F491" s="3"/>
      <c r="G491" s="142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  <c r="BA491" s="10"/>
      <c r="BB491" s="10"/>
      <c r="BC491" s="10"/>
      <c r="BD491" s="10"/>
      <c r="BE491" s="10"/>
      <c r="BF491" s="10"/>
      <c r="BG491" s="10"/>
      <c r="BH491" s="10"/>
      <c r="BI491" s="10"/>
      <c r="BJ491" s="10"/>
      <c r="BK491" s="10"/>
      <c r="BL491" s="10"/>
      <c r="BM491" s="10"/>
      <c r="BN491" s="10"/>
      <c r="BO491" s="10"/>
      <c r="BP491" s="10"/>
      <c r="BQ491" s="10"/>
      <c r="BR491" s="10"/>
      <c r="BS491" s="10"/>
      <c r="BT491" s="10"/>
      <c r="BU491" s="10"/>
      <c r="BV491" s="10"/>
      <c r="BW491" s="10"/>
      <c r="BX491" s="10"/>
      <c r="BY491" s="10"/>
      <c r="BZ491" s="10"/>
      <c r="CA491" s="10"/>
      <c r="CB491" s="10"/>
      <c r="CC491" s="10"/>
      <c r="CD491" s="10"/>
      <c r="CE491" s="10"/>
      <c r="CF491" s="10"/>
      <c r="CG491" s="10"/>
      <c r="CH491" s="10"/>
      <c r="CI491" s="10"/>
      <c r="CJ491" s="10"/>
      <c r="CK491" s="10"/>
      <c r="CL491" s="10"/>
      <c r="CM491" s="10"/>
      <c r="CN491" s="10"/>
      <c r="CO491" s="10"/>
      <c r="CP491" s="10"/>
    </row>
    <row r="492" spans="1:94" ht="15" hidden="1" customHeight="1">
      <c r="A492" s="10"/>
      <c r="B492" s="10"/>
      <c r="C492" s="17"/>
      <c r="D492" s="10"/>
      <c r="E492" s="14"/>
      <c r="F492" s="3"/>
      <c r="G492" s="14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  <c r="BL492" s="10"/>
      <c r="BM492" s="10"/>
      <c r="BN492" s="10"/>
      <c r="BO492" s="10"/>
      <c r="BP492" s="10"/>
      <c r="BQ492" s="10"/>
      <c r="BR492" s="10"/>
      <c r="BS492" s="10"/>
      <c r="BT492" s="10"/>
      <c r="BU492" s="10"/>
      <c r="BV492" s="10"/>
      <c r="BW492" s="10"/>
      <c r="BX492" s="10"/>
      <c r="BY492" s="10"/>
      <c r="BZ492" s="10"/>
      <c r="CA492" s="10"/>
      <c r="CB492" s="10"/>
      <c r="CC492" s="10"/>
      <c r="CD492" s="10"/>
      <c r="CE492" s="10"/>
      <c r="CF492" s="10"/>
      <c r="CG492" s="10"/>
      <c r="CH492" s="10"/>
      <c r="CI492" s="10"/>
      <c r="CJ492" s="10"/>
      <c r="CK492" s="10"/>
      <c r="CL492" s="10"/>
      <c r="CM492" s="10"/>
      <c r="CN492" s="10"/>
      <c r="CO492" s="10"/>
      <c r="CP492" s="10"/>
    </row>
    <row r="493" spans="1:94" ht="15" hidden="1" customHeight="1">
      <c r="A493" s="10"/>
      <c r="B493" s="10"/>
      <c r="C493" s="17"/>
      <c r="D493" s="10"/>
      <c r="E493" s="14"/>
      <c r="F493" s="3"/>
      <c r="G493" s="14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  <c r="CD493" s="10"/>
      <c r="CE493" s="10"/>
      <c r="CF493" s="10"/>
      <c r="CG493" s="10"/>
      <c r="CH493" s="10"/>
      <c r="CI493" s="10"/>
      <c r="CJ493" s="10"/>
      <c r="CK493" s="10"/>
      <c r="CL493" s="10"/>
      <c r="CM493" s="10"/>
      <c r="CN493" s="10"/>
      <c r="CO493" s="10"/>
      <c r="CP493" s="10"/>
    </row>
    <row r="494" spans="1:94" ht="15" hidden="1" customHeight="1">
      <c r="A494" s="10"/>
      <c r="B494" s="10"/>
      <c r="C494" s="17"/>
      <c r="D494" s="10"/>
      <c r="E494" s="14"/>
      <c r="F494" s="3"/>
      <c r="G494" s="142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  <c r="BL494" s="10"/>
      <c r="BM494" s="10"/>
      <c r="BN494" s="10"/>
      <c r="BO494" s="10"/>
      <c r="BP494" s="10"/>
      <c r="BQ494" s="10"/>
      <c r="BR494" s="10"/>
      <c r="BS494" s="10"/>
      <c r="BT494" s="10"/>
      <c r="BU494" s="10"/>
      <c r="BV494" s="10"/>
      <c r="BW494" s="10"/>
      <c r="BX494" s="10"/>
      <c r="BY494" s="10"/>
      <c r="BZ494" s="10"/>
      <c r="CA494" s="10"/>
      <c r="CB494" s="10"/>
      <c r="CC494" s="10"/>
      <c r="CD494" s="10"/>
      <c r="CE494" s="10"/>
      <c r="CF494" s="10"/>
      <c r="CG494" s="10"/>
      <c r="CH494" s="10"/>
      <c r="CI494" s="10"/>
      <c r="CJ494" s="10"/>
      <c r="CK494" s="10"/>
      <c r="CL494" s="10"/>
      <c r="CM494" s="10"/>
      <c r="CN494" s="10"/>
      <c r="CO494" s="10"/>
      <c r="CP494" s="10"/>
    </row>
    <row r="495" spans="1:94" ht="15" hidden="1" customHeight="1">
      <c r="A495" s="10"/>
      <c r="B495" s="10"/>
      <c r="C495" s="17"/>
      <c r="D495" s="10"/>
      <c r="E495" s="14"/>
      <c r="F495" s="3"/>
      <c r="G495" s="142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  <c r="BA495" s="10"/>
      <c r="BB495" s="10"/>
      <c r="BC495" s="10"/>
      <c r="BD495" s="10"/>
      <c r="BE495" s="10"/>
      <c r="BF495" s="10"/>
      <c r="BG495" s="10"/>
      <c r="BH495" s="10"/>
      <c r="BI495" s="10"/>
      <c r="BJ495" s="10"/>
      <c r="BK495" s="10"/>
      <c r="BL495" s="10"/>
      <c r="BM495" s="10"/>
      <c r="BN495" s="10"/>
      <c r="BO495" s="10"/>
      <c r="BP495" s="10"/>
      <c r="BQ495" s="10"/>
      <c r="BR495" s="10"/>
      <c r="BS495" s="10"/>
      <c r="BT495" s="10"/>
      <c r="BU495" s="10"/>
      <c r="BV495" s="10"/>
      <c r="BW495" s="10"/>
      <c r="BX495" s="10"/>
      <c r="BY495" s="10"/>
      <c r="BZ495" s="10"/>
      <c r="CA495" s="10"/>
      <c r="CB495" s="10"/>
      <c r="CC495" s="10"/>
      <c r="CD495" s="10"/>
      <c r="CE495" s="10"/>
      <c r="CF495" s="10"/>
      <c r="CG495" s="10"/>
      <c r="CH495" s="10"/>
      <c r="CI495" s="10"/>
      <c r="CJ495" s="10"/>
      <c r="CK495" s="10"/>
      <c r="CL495" s="10"/>
      <c r="CM495" s="10"/>
      <c r="CN495" s="10"/>
      <c r="CO495" s="10"/>
      <c r="CP495" s="10"/>
    </row>
    <row r="496" spans="1:94" ht="15" hidden="1" customHeight="1">
      <c r="A496" s="10"/>
      <c r="B496" s="10"/>
      <c r="C496" s="10"/>
      <c r="D496" s="10"/>
      <c r="E496" s="59"/>
      <c r="F496" s="3"/>
      <c r="G496" s="142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  <c r="BA496" s="10"/>
      <c r="BB496" s="10"/>
      <c r="BC496" s="10"/>
      <c r="BD496" s="10"/>
      <c r="BE496" s="10"/>
      <c r="BF496" s="10"/>
      <c r="BG496" s="10"/>
      <c r="BH496" s="10"/>
      <c r="BI496" s="10"/>
      <c r="BJ496" s="10"/>
      <c r="BK496" s="10"/>
      <c r="BL496" s="10"/>
      <c r="BM496" s="10"/>
      <c r="BN496" s="10"/>
      <c r="BO496" s="10"/>
      <c r="BP496" s="10"/>
      <c r="BQ496" s="10"/>
      <c r="BR496" s="10"/>
      <c r="BS496" s="10"/>
      <c r="BT496" s="10"/>
      <c r="BU496" s="10"/>
      <c r="BV496" s="10"/>
      <c r="BW496" s="10"/>
      <c r="BX496" s="10"/>
      <c r="BY496" s="10"/>
      <c r="BZ496" s="10"/>
      <c r="CA496" s="10"/>
      <c r="CB496" s="10"/>
      <c r="CC496" s="10"/>
      <c r="CD496" s="10"/>
      <c r="CE496" s="10"/>
      <c r="CF496" s="10"/>
      <c r="CG496" s="10"/>
      <c r="CH496" s="10"/>
      <c r="CI496" s="10"/>
      <c r="CJ496" s="10"/>
      <c r="CK496" s="10"/>
      <c r="CL496" s="10"/>
      <c r="CM496" s="10"/>
      <c r="CN496" s="10"/>
      <c r="CO496" s="10"/>
      <c r="CP496" s="10"/>
    </row>
    <row r="497" spans="1:94" ht="15" hidden="1" customHeight="1">
      <c r="A497" s="10"/>
      <c r="B497" s="10"/>
      <c r="C497" s="35"/>
      <c r="D497" s="10"/>
      <c r="E497" s="59"/>
      <c r="F497" s="3"/>
      <c r="G497" s="142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  <c r="BA497" s="10"/>
      <c r="BB497" s="10"/>
      <c r="BC497" s="10"/>
      <c r="BD497" s="10"/>
      <c r="BE497" s="10"/>
      <c r="BF497" s="10"/>
      <c r="BG497" s="10"/>
      <c r="BH497" s="10"/>
      <c r="BI497" s="10"/>
      <c r="BJ497" s="10"/>
      <c r="BK497" s="10"/>
      <c r="BL497" s="10"/>
      <c r="BM497" s="10"/>
      <c r="BN497" s="10"/>
      <c r="BO497" s="10"/>
      <c r="BP497" s="10"/>
      <c r="BQ497" s="10"/>
      <c r="BR497" s="10"/>
      <c r="BS497" s="10"/>
      <c r="BT497" s="10"/>
      <c r="BU497" s="10"/>
      <c r="BV497" s="10"/>
      <c r="BW497" s="10"/>
      <c r="BX497" s="10"/>
      <c r="BY497" s="10"/>
      <c r="BZ497" s="10"/>
      <c r="CA497" s="10"/>
      <c r="CB497" s="10"/>
      <c r="CC497" s="10"/>
      <c r="CD497" s="10"/>
      <c r="CE497" s="10"/>
      <c r="CF497" s="10"/>
      <c r="CG497" s="10"/>
      <c r="CH497" s="10"/>
      <c r="CI497" s="10"/>
      <c r="CJ497" s="10"/>
      <c r="CK497" s="10"/>
      <c r="CL497" s="10"/>
      <c r="CM497" s="10"/>
      <c r="CN497" s="10"/>
      <c r="CO497" s="10"/>
      <c r="CP497" s="10"/>
    </row>
    <row r="498" spans="1:94" ht="15" hidden="1" customHeight="1">
      <c r="A498" s="10"/>
      <c r="B498" s="10"/>
      <c r="C498" s="17"/>
      <c r="D498" s="10"/>
      <c r="E498" s="14"/>
      <c r="F498" s="3"/>
      <c r="G498" s="14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  <c r="CD498" s="10"/>
      <c r="CE498" s="10"/>
      <c r="CF498" s="10"/>
      <c r="CG498" s="10"/>
      <c r="CH498" s="10"/>
      <c r="CI498" s="10"/>
      <c r="CJ498" s="10"/>
      <c r="CK498" s="10"/>
      <c r="CL498" s="10"/>
      <c r="CM498" s="10"/>
      <c r="CN498" s="10"/>
      <c r="CO498" s="10"/>
      <c r="CP498" s="10"/>
    </row>
    <row r="499" spans="1:94" ht="15" hidden="1" customHeight="1">
      <c r="A499" s="10"/>
      <c r="B499" s="10"/>
      <c r="C499" s="17"/>
      <c r="D499" s="10"/>
      <c r="E499" s="14"/>
      <c r="F499" s="3"/>
      <c r="G499" s="142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  <c r="BL499" s="10"/>
      <c r="BM499" s="10"/>
      <c r="BN499" s="10"/>
      <c r="BO499" s="10"/>
      <c r="BP499" s="10"/>
      <c r="BQ499" s="10"/>
      <c r="BR499" s="10"/>
      <c r="BS499" s="10"/>
      <c r="BT499" s="10"/>
      <c r="BU499" s="10"/>
      <c r="BV499" s="10"/>
      <c r="BW499" s="10"/>
      <c r="BX499" s="10"/>
      <c r="BY499" s="10"/>
      <c r="BZ499" s="10"/>
      <c r="CA499" s="10"/>
      <c r="CB499" s="10"/>
      <c r="CC499" s="10"/>
      <c r="CD499" s="10"/>
      <c r="CE499" s="10"/>
      <c r="CF499" s="10"/>
      <c r="CG499" s="10"/>
      <c r="CH499" s="10"/>
      <c r="CI499" s="10"/>
      <c r="CJ499" s="10"/>
      <c r="CK499" s="10"/>
      <c r="CL499" s="10"/>
      <c r="CM499" s="10"/>
      <c r="CN499" s="10"/>
      <c r="CO499" s="10"/>
      <c r="CP499" s="10"/>
    </row>
    <row r="500" spans="1:94" ht="15" hidden="1" customHeight="1">
      <c r="A500" s="10"/>
      <c r="B500" s="10"/>
      <c r="C500" s="17"/>
      <c r="D500" s="10"/>
      <c r="E500" s="14"/>
      <c r="F500" s="3"/>
      <c r="G500" s="142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  <c r="BA500" s="10"/>
      <c r="BB500" s="10"/>
      <c r="BC500" s="10"/>
      <c r="BD500" s="10"/>
      <c r="BE500" s="10"/>
      <c r="BF500" s="10"/>
      <c r="BG500" s="10"/>
      <c r="BH500" s="10"/>
      <c r="BI500" s="10"/>
      <c r="BJ500" s="10"/>
      <c r="BK500" s="10"/>
      <c r="BL500" s="10"/>
      <c r="BM500" s="10"/>
      <c r="BN500" s="10"/>
      <c r="BO500" s="10"/>
      <c r="BP500" s="10"/>
      <c r="BQ500" s="10"/>
      <c r="BR500" s="10"/>
      <c r="BS500" s="10"/>
      <c r="BT500" s="10"/>
      <c r="BU500" s="10"/>
      <c r="BV500" s="10"/>
      <c r="BW500" s="10"/>
      <c r="BX500" s="10"/>
      <c r="BY500" s="10"/>
      <c r="BZ500" s="10"/>
      <c r="CA500" s="10"/>
      <c r="CB500" s="10"/>
      <c r="CC500" s="10"/>
      <c r="CD500" s="10"/>
      <c r="CE500" s="10"/>
      <c r="CF500" s="10"/>
      <c r="CG500" s="10"/>
      <c r="CH500" s="10"/>
      <c r="CI500" s="10"/>
      <c r="CJ500" s="10"/>
      <c r="CK500" s="10"/>
      <c r="CL500" s="10"/>
      <c r="CM500" s="10"/>
      <c r="CN500" s="10"/>
      <c r="CO500" s="10"/>
      <c r="CP500" s="10"/>
    </row>
    <row r="501" spans="1:94" ht="15" hidden="1" customHeight="1">
      <c r="A501" s="10"/>
      <c r="B501" s="10"/>
      <c r="C501" s="10"/>
      <c r="D501" s="10"/>
      <c r="E501" s="59"/>
      <c r="F501" s="3"/>
      <c r="G501" s="142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  <c r="BA501" s="10"/>
      <c r="BB501" s="10"/>
      <c r="BC501" s="10"/>
      <c r="BD501" s="10"/>
      <c r="BE501" s="10"/>
      <c r="BF501" s="10"/>
      <c r="BG501" s="10"/>
      <c r="BH501" s="10"/>
      <c r="BI501" s="10"/>
      <c r="BJ501" s="10"/>
      <c r="BK501" s="10"/>
      <c r="BL501" s="10"/>
      <c r="BM501" s="10"/>
      <c r="BN501" s="10"/>
      <c r="BO501" s="10"/>
      <c r="BP501" s="10"/>
      <c r="BQ501" s="10"/>
      <c r="BR501" s="10"/>
      <c r="BS501" s="10"/>
      <c r="BT501" s="10"/>
      <c r="BU501" s="10"/>
      <c r="BV501" s="10"/>
      <c r="BW501" s="10"/>
      <c r="BX501" s="10"/>
      <c r="BY501" s="10"/>
      <c r="BZ501" s="10"/>
      <c r="CA501" s="10"/>
      <c r="CB501" s="10"/>
      <c r="CC501" s="10"/>
      <c r="CD501" s="10"/>
      <c r="CE501" s="10"/>
      <c r="CF501" s="10"/>
      <c r="CG501" s="10"/>
      <c r="CH501" s="10"/>
      <c r="CI501" s="10"/>
      <c r="CJ501" s="10"/>
      <c r="CK501" s="10"/>
      <c r="CL501" s="10"/>
      <c r="CM501" s="10"/>
      <c r="CN501" s="10"/>
      <c r="CO501" s="10"/>
      <c r="CP501" s="10"/>
    </row>
    <row r="502" spans="1:94" ht="15" hidden="1" customHeight="1">
      <c r="A502" s="10"/>
      <c r="B502" s="10"/>
      <c r="C502" s="35"/>
      <c r="D502" s="10"/>
      <c r="E502" s="59"/>
      <c r="F502" s="3"/>
      <c r="G502" s="142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  <c r="BA502" s="10"/>
      <c r="BB502" s="10"/>
      <c r="BC502" s="10"/>
      <c r="BD502" s="10"/>
      <c r="BE502" s="10"/>
      <c r="BF502" s="10"/>
      <c r="BG502" s="10"/>
      <c r="BH502" s="10"/>
      <c r="BI502" s="10"/>
      <c r="BJ502" s="10"/>
      <c r="BK502" s="10"/>
      <c r="BL502" s="10"/>
      <c r="BM502" s="10"/>
      <c r="BN502" s="10"/>
      <c r="BO502" s="10"/>
      <c r="BP502" s="10"/>
      <c r="BQ502" s="10"/>
      <c r="BR502" s="10"/>
      <c r="BS502" s="10"/>
      <c r="BT502" s="10"/>
      <c r="BU502" s="10"/>
      <c r="BV502" s="10"/>
      <c r="BW502" s="10"/>
      <c r="BX502" s="10"/>
      <c r="BY502" s="10"/>
      <c r="BZ502" s="10"/>
      <c r="CA502" s="10"/>
      <c r="CB502" s="10"/>
      <c r="CC502" s="10"/>
      <c r="CD502" s="10"/>
      <c r="CE502" s="10"/>
      <c r="CF502" s="10"/>
      <c r="CG502" s="10"/>
      <c r="CH502" s="10"/>
      <c r="CI502" s="10"/>
      <c r="CJ502" s="10"/>
      <c r="CK502" s="10"/>
      <c r="CL502" s="10"/>
      <c r="CM502" s="10"/>
      <c r="CN502" s="10"/>
      <c r="CO502" s="10"/>
      <c r="CP502" s="10"/>
    </row>
    <row r="503" spans="1:94" ht="15" hidden="1" customHeight="1">
      <c r="A503" s="10"/>
      <c r="B503" s="10"/>
      <c r="C503" s="17"/>
      <c r="D503" s="10"/>
      <c r="E503" s="14"/>
      <c r="F503" s="3"/>
      <c r="G503" s="14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  <c r="CP503" s="10"/>
    </row>
    <row r="504" spans="1:94" ht="15" hidden="1" customHeight="1">
      <c r="A504" s="10"/>
      <c r="B504" s="10"/>
      <c r="C504" s="17"/>
      <c r="D504" s="10"/>
      <c r="E504" s="14"/>
      <c r="F504" s="3"/>
      <c r="G504" s="142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  <c r="BL504" s="10"/>
      <c r="BM504" s="10"/>
      <c r="BN504" s="10"/>
      <c r="BO504" s="10"/>
      <c r="BP504" s="10"/>
      <c r="BQ504" s="10"/>
      <c r="BR504" s="10"/>
      <c r="BS504" s="10"/>
      <c r="BT504" s="10"/>
      <c r="BU504" s="10"/>
      <c r="BV504" s="10"/>
      <c r="BW504" s="10"/>
      <c r="BX504" s="10"/>
      <c r="BY504" s="10"/>
      <c r="BZ504" s="10"/>
      <c r="CA504" s="10"/>
      <c r="CB504" s="10"/>
      <c r="CC504" s="10"/>
      <c r="CD504" s="10"/>
      <c r="CE504" s="10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</row>
    <row r="505" spans="1:94" ht="15" hidden="1" customHeight="1">
      <c r="A505" s="10"/>
      <c r="B505" s="10"/>
      <c r="C505" s="17"/>
      <c r="D505" s="10"/>
      <c r="E505" s="14"/>
      <c r="F505" s="3"/>
      <c r="G505" s="142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  <c r="BA505" s="10"/>
      <c r="BB505" s="10"/>
      <c r="BC505" s="10"/>
      <c r="BD505" s="10"/>
      <c r="BE505" s="10"/>
      <c r="BF505" s="10"/>
      <c r="BG505" s="10"/>
      <c r="BH505" s="10"/>
      <c r="BI505" s="10"/>
      <c r="BJ505" s="10"/>
      <c r="BK505" s="10"/>
      <c r="BL505" s="10"/>
      <c r="BM505" s="10"/>
      <c r="BN505" s="10"/>
      <c r="BO505" s="10"/>
      <c r="BP505" s="10"/>
      <c r="BQ505" s="10"/>
      <c r="BR505" s="10"/>
      <c r="BS505" s="10"/>
      <c r="BT505" s="10"/>
      <c r="BU505" s="10"/>
      <c r="BV505" s="10"/>
      <c r="BW505" s="10"/>
      <c r="BX505" s="10"/>
      <c r="BY505" s="10"/>
      <c r="BZ505" s="10"/>
      <c r="CA505" s="10"/>
      <c r="CB505" s="10"/>
      <c r="CC505" s="10"/>
      <c r="CD505" s="10"/>
      <c r="CE505" s="10"/>
      <c r="CF505" s="10"/>
      <c r="CG505" s="10"/>
      <c r="CH505" s="10"/>
      <c r="CI505" s="10"/>
      <c r="CJ505" s="10"/>
      <c r="CK505" s="10"/>
      <c r="CL505" s="10"/>
      <c r="CM505" s="10"/>
      <c r="CN505" s="10"/>
      <c r="CO505" s="10"/>
      <c r="CP505" s="10"/>
    </row>
    <row r="506" spans="1:94" ht="15" hidden="1" customHeight="1">
      <c r="A506" s="10"/>
      <c r="B506" s="10"/>
      <c r="C506" s="17"/>
      <c r="D506" s="10"/>
      <c r="E506" s="14"/>
      <c r="F506" s="3"/>
      <c r="G506" s="142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  <c r="BA506" s="10"/>
      <c r="BB506" s="10"/>
      <c r="BC506" s="10"/>
      <c r="BD506" s="10"/>
      <c r="BE506" s="10"/>
      <c r="BF506" s="10"/>
      <c r="BG506" s="10"/>
      <c r="BH506" s="10"/>
      <c r="BI506" s="10"/>
      <c r="BJ506" s="10"/>
      <c r="BK506" s="10"/>
      <c r="BL506" s="10"/>
      <c r="BM506" s="10"/>
      <c r="BN506" s="10"/>
      <c r="BO506" s="10"/>
      <c r="BP506" s="10"/>
      <c r="BQ506" s="10"/>
      <c r="BR506" s="10"/>
      <c r="BS506" s="10"/>
      <c r="BT506" s="10"/>
      <c r="BU506" s="10"/>
      <c r="BV506" s="10"/>
      <c r="BW506" s="10"/>
      <c r="BX506" s="10"/>
      <c r="BY506" s="10"/>
      <c r="BZ506" s="10"/>
      <c r="CA506" s="10"/>
      <c r="CB506" s="10"/>
      <c r="CC506" s="10"/>
      <c r="CD506" s="10"/>
      <c r="CE506" s="10"/>
      <c r="CF506" s="10"/>
      <c r="CG506" s="10"/>
      <c r="CH506" s="10"/>
      <c r="CI506" s="10"/>
      <c r="CJ506" s="10"/>
      <c r="CK506" s="10"/>
      <c r="CL506" s="10"/>
      <c r="CM506" s="10"/>
      <c r="CN506" s="10"/>
      <c r="CO506" s="10"/>
      <c r="CP506" s="10"/>
    </row>
    <row r="507" spans="1:94" ht="15" hidden="1" customHeight="1">
      <c r="A507" s="10"/>
      <c r="B507" s="10"/>
      <c r="C507" s="17"/>
      <c r="D507" s="10"/>
      <c r="E507" s="14"/>
      <c r="F507" s="3"/>
      <c r="G507" s="142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  <c r="CD507" s="10"/>
      <c r="CE507" s="10"/>
      <c r="CF507" s="10"/>
      <c r="CG507" s="10"/>
      <c r="CH507" s="10"/>
      <c r="CI507" s="10"/>
      <c r="CJ507" s="10"/>
      <c r="CK507" s="10"/>
      <c r="CL507" s="10"/>
      <c r="CM507" s="10"/>
      <c r="CN507" s="10"/>
      <c r="CO507" s="10"/>
      <c r="CP507" s="10"/>
    </row>
    <row r="508" spans="1:94" ht="15" customHeight="1">
      <c r="A508" s="10"/>
      <c r="B508" s="10"/>
      <c r="C508" s="10"/>
      <c r="D508" s="10"/>
      <c r="E508" s="59"/>
      <c r="F508" s="3"/>
      <c r="G508" s="142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  <c r="CD508" s="10"/>
      <c r="CE508" s="10"/>
      <c r="CF508" s="10"/>
      <c r="CG508" s="10"/>
      <c r="CH508" s="10"/>
      <c r="CI508" s="10"/>
      <c r="CJ508" s="10"/>
      <c r="CK508" s="10"/>
      <c r="CL508" s="10"/>
      <c r="CM508" s="10"/>
      <c r="CN508" s="10"/>
      <c r="CO508" s="10"/>
      <c r="CP508" s="10"/>
    </row>
    <row r="509" spans="1:94" ht="15" customHeight="1">
      <c r="A509" s="10"/>
      <c r="B509" s="3"/>
      <c r="C509" s="382" t="str">
        <f>C333</f>
        <v>Сегмент 3: Крытый парк развлечений</v>
      </c>
      <c r="D509" s="271"/>
      <c r="E509" s="271"/>
      <c r="F509" s="271"/>
      <c r="G509" s="272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  <c r="CA509" s="271"/>
      <c r="CB509" s="271"/>
      <c r="CC509" s="271"/>
      <c r="CD509" s="271"/>
      <c r="CE509" s="271"/>
      <c r="CF509" s="271"/>
      <c r="CG509" s="271"/>
      <c r="CH509" s="271"/>
      <c r="CI509" s="271"/>
      <c r="CJ509" s="271"/>
      <c r="CK509" s="271"/>
      <c r="CL509" s="271"/>
      <c r="CM509" s="271"/>
      <c r="CN509" s="271"/>
      <c r="CO509" s="271"/>
      <c r="CP509" s="10"/>
    </row>
    <row r="510" spans="1:94" ht="15" customHeight="1">
      <c r="A510" s="10"/>
      <c r="B510" s="10"/>
      <c r="C510" s="10"/>
      <c r="D510" s="10"/>
      <c r="E510" s="59"/>
      <c r="F510" s="3"/>
      <c r="G510" s="142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  <c r="CP510" s="10"/>
    </row>
    <row r="511" spans="1:94" ht="15" customHeight="1" thickBot="1">
      <c r="A511" s="10"/>
      <c r="B511" s="10"/>
      <c r="C511" s="12" t="s">
        <v>888</v>
      </c>
      <c r="D511" s="12"/>
      <c r="E511" s="12"/>
      <c r="F511" s="12"/>
      <c r="G511" s="12"/>
      <c r="H511" s="12"/>
      <c r="I511" s="12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  <c r="CD511" s="10"/>
      <c r="CE511" s="10"/>
      <c r="CF511" s="10"/>
      <c r="CG511" s="10"/>
      <c r="CH511" s="10"/>
      <c r="CI511" s="10"/>
      <c r="CJ511" s="10"/>
      <c r="CK511" s="10"/>
      <c r="CL511" s="10"/>
      <c r="CM511" s="10"/>
      <c r="CN511" s="10"/>
      <c r="CO511" s="10"/>
      <c r="CP511" s="10"/>
    </row>
    <row r="512" spans="1:94" ht="15" customHeight="1">
      <c r="A512" s="10"/>
      <c r="B512" s="10"/>
      <c r="C512" s="10"/>
      <c r="D512" s="10"/>
      <c r="E512" s="59"/>
      <c r="F512" s="3"/>
      <c r="G512" s="142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  <c r="CP512" s="10"/>
    </row>
    <row r="513" spans="1:94" ht="15" customHeight="1">
      <c r="A513" s="10"/>
      <c r="B513" s="10"/>
      <c r="C513" s="17" t="s">
        <v>896</v>
      </c>
      <c r="D513" s="10"/>
      <c r="E513" s="80">
        <v>0</v>
      </c>
      <c r="F513" s="3"/>
      <c r="G513" s="142" t="s">
        <v>28</v>
      </c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  <c r="CD513" s="10"/>
      <c r="CE513" s="10"/>
      <c r="CF513" s="10"/>
      <c r="CG513" s="10"/>
      <c r="CH513" s="10"/>
      <c r="CI513" s="10"/>
      <c r="CJ513" s="10"/>
      <c r="CK513" s="10"/>
      <c r="CL513" s="10"/>
      <c r="CM513" s="10"/>
      <c r="CN513" s="10"/>
      <c r="CO513" s="10"/>
      <c r="CP513" s="10"/>
    </row>
    <row r="514" spans="1:94" ht="15" customHeight="1">
      <c r="A514" s="10"/>
      <c r="B514" s="10"/>
      <c r="C514" s="10"/>
      <c r="D514" s="10"/>
      <c r="E514" s="59"/>
      <c r="F514" s="3"/>
      <c r="G514" s="142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  <c r="CP514" s="10"/>
    </row>
    <row r="515" spans="1:94" ht="22.5" customHeight="1">
      <c r="A515" s="10"/>
      <c r="B515" s="5" t="s">
        <v>144</v>
      </c>
      <c r="C515" s="97"/>
      <c r="D515" s="111"/>
      <c r="E515" s="97"/>
      <c r="F515" s="111"/>
      <c r="G515" s="204"/>
      <c r="H515" s="111"/>
      <c r="I515" s="97"/>
      <c r="J515" s="97"/>
      <c r="K515" s="111"/>
      <c r="L515" s="111"/>
      <c r="M515" s="111"/>
      <c r="N515" s="111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111"/>
      <c r="AB515" s="111"/>
      <c r="AC515" s="111"/>
      <c r="AD515" s="111"/>
      <c r="AE515" s="111"/>
      <c r="AF515" s="111"/>
      <c r="AG515" s="111"/>
      <c r="AH515" s="111"/>
      <c r="AI515" s="111"/>
      <c r="AJ515" s="111"/>
      <c r="AK515" s="111"/>
      <c r="AL515" s="111"/>
      <c r="AM515" s="111"/>
      <c r="AN515" s="111"/>
      <c r="AO515" s="111"/>
      <c r="AP515" s="111"/>
      <c r="AQ515" s="111"/>
      <c r="AR515" s="111"/>
      <c r="AS515" s="111"/>
      <c r="AT515" s="111"/>
      <c r="AU515" s="111"/>
      <c r="AV515" s="111"/>
      <c r="AW515" s="111"/>
      <c r="AX515" s="111"/>
      <c r="AY515" s="111"/>
      <c r="AZ515" s="111"/>
      <c r="BA515" s="111"/>
      <c r="BB515" s="111"/>
      <c r="BC515" s="111"/>
      <c r="BD515" s="111"/>
      <c r="BE515" s="111"/>
      <c r="BF515" s="111"/>
      <c r="BG515" s="111"/>
      <c r="BH515" s="111"/>
      <c r="BI515" s="111"/>
      <c r="BJ515" s="111"/>
      <c r="BK515" s="111"/>
      <c r="BL515" s="111"/>
      <c r="BM515" s="111"/>
      <c r="BN515" s="111"/>
      <c r="BO515" s="111"/>
      <c r="BP515" s="111"/>
      <c r="BQ515" s="111"/>
      <c r="BR515" s="111"/>
      <c r="BS515" s="111"/>
      <c r="BT515" s="111"/>
      <c r="BU515" s="111"/>
      <c r="BV515" s="111"/>
      <c r="BW515" s="111"/>
      <c r="BX515" s="111"/>
      <c r="BY515" s="111"/>
      <c r="BZ515" s="111"/>
      <c r="CA515" s="111"/>
      <c r="CB515" s="111"/>
      <c r="CC515" s="111"/>
      <c r="CD515" s="111"/>
      <c r="CE515" s="111"/>
      <c r="CF515" s="111"/>
      <c r="CG515" s="111"/>
      <c r="CH515" s="111"/>
      <c r="CI515" s="111"/>
      <c r="CJ515" s="111"/>
      <c r="CK515" s="111"/>
      <c r="CL515" s="111"/>
      <c r="CM515" s="111"/>
      <c r="CN515" s="111"/>
      <c r="CO515" s="111"/>
      <c r="CP515" s="10"/>
    </row>
    <row r="516" spans="1:94" ht="15" customHeight="1">
      <c r="A516" s="10"/>
      <c r="B516" s="10"/>
      <c r="C516" s="10"/>
      <c r="D516" s="10"/>
      <c r="E516" s="59"/>
      <c r="F516" s="3"/>
      <c r="G516" s="142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  <c r="CD516" s="10"/>
      <c r="CE516" s="10"/>
      <c r="CF516" s="10"/>
      <c r="CG516" s="10"/>
      <c r="CH516" s="10"/>
      <c r="CI516" s="10"/>
      <c r="CJ516" s="10"/>
      <c r="CK516" s="10"/>
      <c r="CL516" s="10"/>
      <c r="CM516" s="10"/>
      <c r="CN516" s="10"/>
      <c r="CO516" s="10"/>
      <c r="CP516" s="10"/>
    </row>
    <row r="517" spans="1:94" ht="15" customHeight="1" thickBot="1">
      <c r="A517" s="10"/>
      <c r="B517" s="10"/>
      <c r="C517" s="12" t="s">
        <v>144</v>
      </c>
      <c r="D517" s="12"/>
      <c r="E517" s="12"/>
      <c r="F517" s="12"/>
      <c r="G517" s="12"/>
      <c r="H517" s="12"/>
      <c r="I517" s="12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  <c r="CD517" s="10"/>
      <c r="CE517" s="10"/>
      <c r="CF517" s="10"/>
      <c r="CG517" s="10"/>
      <c r="CH517" s="10"/>
      <c r="CI517" s="10"/>
      <c r="CJ517" s="10"/>
      <c r="CK517" s="10"/>
      <c r="CL517" s="10"/>
      <c r="CM517" s="10"/>
      <c r="CN517" s="10"/>
      <c r="CO517" s="10"/>
      <c r="CP517" s="10"/>
    </row>
    <row r="518" spans="1:94" ht="15" customHeight="1">
      <c r="A518" s="10"/>
      <c r="B518" s="10"/>
      <c r="C518" s="10"/>
      <c r="D518" s="10"/>
      <c r="E518" s="59"/>
      <c r="F518" s="3"/>
      <c r="G518" s="142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  <c r="BA518" s="10"/>
      <c r="BB518" s="10"/>
      <c r="BC518" s="10"/>
      <c r="BD518" s="10"/>
      <c r="BE518" s="10"/>
      <c r="BF518" s="10"/>
      <c r="BG518" s="10"/>
      <c r="BH518" s="10"/>
      <c r="BI518" s="10"/>
      <c r="BJ518" s="10"/>
      <c r="BK518" s="10"/>
      <c r="BL518" s="10"/>
      <c r="BM518" s="10"/>
      <c r="BN518" s="10"/>
      <c r="BO518" s="10"/>
      <c r="BP518" s="10"/>
      <c r="BQ518" s="10"/>
      <c r="BR518" s="10"/>
      <c r="BS518" s="10"/>
      <c r="BT518" s="10"/>
      <c r="BU518" s="10"/>
      <c r="BV518" s="10"/>
      <c r="BW518" s="10"/>
      <c r="BX518" s="10"/>
      <c r="BY518" s="10"/>
      <c r="BZ518" s="10"/>
      <c r="CA518" s="10"/>
      <c r="CB518" s="10"/>
      <c r="CC518" s="10"/>
      <c r="CD518" s="10"/>
      <c r="CE518" s="10"/>
      <c r="CF518" s="10"/>
      <c r="CG518" s="10"/>
      <c r="CH518" s="10"/>
      <c r="CI518" s="10"/>
      <c r="CJ518" s="10"/>
      <c r="CK518" s="10"/>
      <c r="CL518" s="10"/>
      <c r="CM518" s="10"/>
      <c r="CN518" s="10"/>
      <c r="CO518" s="10"/>
      <c r="CP518" s="10"/>
    </row>
    <row r="519" spans="1:94" ht="15" customHeight="1">
      <c r="A519" s="10"/>
      <c r="B519" s="10"/>
      <c r="C519" s="17" t="s">
        <v>714</v>
      </c>
      <c r="D519" s="10"/>
      <c r="E519" s="80">
        <v>3.0000000000000001E-3</v>
      </c>
      <c r="F519" s="3"/>
      <c r="G519" s="239" t="s">
        <v>715</v>
      </c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  <c r="BL519" s="10"/>
      <c r="BM519" s="10"/>
      <c r="BN519" s="10"/>
      <c r="BO519" s="10"/>
      <c r="BP519" s="10"/>
      <c r="BQ519" s="10"/>
      <c r="BR519" s="10"/>
      <c r="BS519" s="10"/>
      <c r="BT519" s="10"/>
      <c r="BU519" s="10"/>
      <c r="BV519" s="10"/>
      <c r="BW519" s="10"/>
      <c r="BX519" s="10"/>
      <c r="BY519" s="10"/>
      <c r="BZ519" s="10"/>
      <c r="CA519" s="10"/>
      <c r="CB519" s="10"/>
      <c r="CC519" s="10"/>
      <c r="CD519" s="10"/>
      <c r="CE519" s="10"/>
      <c r="CF519" s="10"/>
      <c r="CG519" s="10"/>
      <c r="CH519" s="10"/>
      <c r="CI519" s="10"/>
      <c r="CJ519" s="10"/>
      <c r="CK519" s="10"/>
      <c r="CL519" s="10"/>
      <c r="CM519" s="10"/>
      <c r="CN519" s="10"/>
      <c r="CO519" s="10"/>
      <c r="CP519" s="10"/>
    </row>
    <row r="520" spans="1:94">
      <c r="A520" s="10"/>
      <c r="B520" s="3"/>
      <c r="C520" s="3"/>
      <c r="D520" s="3"/>
      <c r="E520" s="3"/>
      <c r="F520" s="3"/>
      <c r="G520" s="202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10"/>
    </row>
    <row r="521" spans="1:94" ht="22.5" customHeight="1">
      <c r="A521" s="10"/>
      <c r="B521" s="5" t="s">
        <v>98</v>
      </c>
      <c r="C521" s="5"/>
      <c r="D521" s="31"/>
      <c r="E521" s="5"/>
      <c r="F521" s="31"/>
      <c r="G521" s="6"/>
      <c r="H521" s="31"/>
      <c r="I521" s="5"/>
      <c r="J521" s="5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/>
      <c r="BS521" s="31"/>
      <c r="BT521" s="31"/>
      <c r="BU521" s="31"/>
      <c r="BV521" s="31"/>
      <c r="BW521" s="31"/>
      <c r="BX521" s="31"/>
      <c r="BY521" s="31"/>
      <c r="BZ521" s="31"/>
      <c r="CA521" s="31"/>
      <c r="CB521" s="31"/>
      <c r="CC521" s="31"/>
      <c r="CD521" s="31"/>
      <c r="CE521" s="31"/>
      <c r="CF521" s="31"/>
      <c r="CG521" s="31"/>
      <c r="CH521" s="31"/>
      <c r="CI521" s="31"/>
      <c r="CJ521" s="31"/>
      <c r="CK521" s="31"/>
      <c r="CL521" s="31"/>
      <c r="CM521" s="31"/>
      <c r="CN521" s="31"/>
      <c r="CO521" s="31"/>
      <c r="CP521" s="10"/>
    </row>
    <row r="522" spans="1:94" ht="15" customHeight="1">
      <c r="A522" s="10"/>
      <c r="B522" s="10"/>
      <c r="C522" s="10"/>
      <c r="D522" s="10"/>
      <c r="E522" s="10"/>
      <c r="F522" s="10"/>
      <c r="G522" s="142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  <c r="BA522" s="10"/>
      <c r="BB522" s="10"/>
      <c r="BC522" s="10"/>
      <c r="BD522" s="10"/>
      <c r="BE522" s="10"/>
      <c r="BF522" s="10"/>
      <c r="BG522" s="10"/>
      <c r="BH522" s="10"/>
      <c r="BI522" s="10"/>
      <c r="BJ522" s="10"/>
      <c r="BK522" s="10"/>
      <c r="BL522" s="10"/>
      <c r="BM522" s="10"/>
      <c r="BN522" s="10"/>
      <c r="BO522" s="10"/>
      <c r="BP522" s="10"/>
      <c r="BQ522" s="10"/>
      <c r="BR522" s="10"/>
      <c r="BS522" s="10"/>
      <c r="BT522" s="10"/>
      <c r="BU522" s="10"/>
      <c r="BV522" s="10"/>
      <c r="BW522" s="10"/>
      <c r="BX522" s="10"/>
      <c r="BY522" s="10"/>
      <c r="BZ522" s="10"/>
      <c r="CA522" s="10"/>
      <c r="CB522" s="10"/>
      <c r="CC522" s="10"/>
      <c r="CD522" s="10"/>
      <c r="CE522" s="10"/>
      <c r="CF522" s="10"/>
      <c r="CG522" s="10"/>
      <c r="CH522" s="10"/>
      <c r="CI522" s="10"/>
      <c r="CJ522" s="10"/>
      <c r="CK522" s="10"/>
      <c r="CL522" s="10"/>
      <c r="CM522" s="10"/>
      <c r="CN522" s="10"/>
      <c r="CO522" s="10"/>
      <c r="CP522" s="10"/>
    </row>
    <row r="523" spans="1:94" ht="15" customHeight="1">
      <c r="A523" s="10"/>
      <c r="B523" s="10"/>
      <c r="C523" s="41" t="s">
        <v>1068</v>
      </c>
      <c r="D523" s="10"/>
      <c r="E523" s="10"/>
      <c r="F523" s="10"/>
      <c r="G523" s="142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  <c r="BA523" s="10"/>
      <c r="BB523" s="10"/>
      <c r="BC523" s="10"/>
      <c r="BD523" s="10"/>
      <c r="BE523" s="10"/>
      <c r="BF523" s="10"/>
      <c r="BG523" s="10"/>
      <c r="BH523" s="10"/>
      <c r="BI523" s="10"/>
      <c r="BJ523" s="10"/>
      <c r="BK523" s="10"/>
      <c r="BL523" s="10"/>
      <c r="BM523" s="10"/>
      <c r="BN523" s="10"/>
      <c r="BO523" s="10"/>
      <c r="BP523" s="10"/>
      <c r="BQ523" s="10"/>
      <c r="BR523" s="10"/>
      <c r="BS523" s="10"/>
      <c r="BT523" s="10"/>
      <c r="BU523" s="10"/>
      <c r="BV523" s="10"/>
      <c r="BW523" s="10"/>
      <c r="BX523" s="10"/>
      <c r="BY523" s="10"/>
      <c r="BZ523" s="10"/>
      <c r="CA523" s="10"/>
      <c r="CB523" s="10"/>
      <c r="CC523" s="10"/>
      <c r="CD523" s="10"/>
      <c r="CE523" s="10"/>
      <c r="CF523" s="10"/>
      <c r="CG523" s="10"/>
      <c r="CH523" s="10"/>
      <c r="CI523" s="10"/>
      <c r="CJ523" s="10"/>
      <c r="CK523" s="10"/>
      <c r="CL523" s="10"/>
      <c r="CM523" s="10"/>
      <c r="CN523" s="10"/>
      <c r="CO523" s="10"/>
      <c r="CP523" s="10"/>
    </row>
    <row r="524" spans="1:94" ht="15" customHeight="1">
      <c r="A524" s="10"/>
      <c r="B524" s="10"/>
      <c r="C524" s="17" t="s">
        <v>1066</v>
      </c>
      <c r="D524" s="10"/>
      <c r="E524" s="2" t="s">
        <v>1035</v>
      </c>
      <c r="F524" s="10"/>
      <c r="G524" s="142" t="s">
        <v>1067</v>
      </c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  <c r="CD524" s="10"/>
      <c r="CE524" s="10"/>
      <c r="CF524" s="10"/>
      <c r="CG524" s="10"/>
      <c r="CH524" s="10"/>
      <c r="CI524" s="10"/>
      <c r="CJ524" s="10"/>
      <c r="CK524" s="10"/>
      <c r="CL524" s="10"/>
      <c r="CM524" s="10"/>
      <c r="CN524" s="10"/>
      <c r="CO524" s="10"/>
      <c r="CP524" s="10"/>
    </row>
    <row r="525" spans="1:94" ht="15" customHeight="1">
      <c r="A525" s="10"/>
      <c r="B525" s="10"/>
      <c r="C525" s="10"/>
      <c r="D525" s="10"/>
      <c r="E525" s="10"/>
      <c r="F525" s="10"/>
      <c r="G525" s="142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  <c r="BA525" s="10"/>
      <c r="BB525" s="10"/>
      <c r="BC525" s="10"/>
      <c r="BD525" s="10"/>
      <c r="BE525" s="10"/>
      <c r="BF525" s="10"/>
      <c r="BG525" s="10"/>
      <c r="BH525" s="10"/>
      <c r="BI525" s="10"/>
      <c r="BJ525" s="10"/>
      <c r="BK525" s="10"/>
      <c r="BL525" s="10"/>
      <c r="BM525" s="10"/>
      <c r="BN525" s="10"/>
      <c r="BO525" s="10"/>
      <c r="BP525" s="10"/>
      <c r="BQ525" s="10"/>
      <c r="BR525" s="10"/>
      <c r="BS525" s="10"/>
      <c r="BT525" s="10"/>
      <c r="BU525" s="10"/>
      <c r="BV525" s="10"/>
      <c r="BW525" s="10"/>
      <c r="BX525" s="10"/>
      <c r="BY525" s="10"/>
      <c r="BZ525" s="10"/>
      <c r="CA525" s="10"/>
      <c r="CB525" s="10"/>
      <c r="CC525" s="10"/>
      <c r="CD525" s="10"/>
      <c r="CE525" s="10"/>
      <c r="CF525" s="10"/>
      <c r="CG525" s="10"/>
      <c r="CH525" s="10"/>
      <c r="CI525" s="10"/>
      <c r="CJ525" s="10"/>
      <c r="CK525" s="10"/>
      <c r="CL525" s="10"/>
      <c r="CM525" s="10"/>
      <c r="CN525" s="10"/>
      <c r="CO525" s="10"/>
      <c r="CP525" s="10"/>
    </row>
    <row r="526" spans="1:94" ht="15" customHeight="1">
      <c r="A526" s="10"/>
      <c r="B526" s="10"/>
      <c r="C526" s="41" t="s">
        <v>537</v>
      </c>
      <c r="D526" s="10"/>
      <c r="E526" s="10"/>
      <c r="F526" s="10"/>
      <c r="G526" s="142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  <c r="BA526" s="10"/>
      <c r="BB526" s="10"/>
      <c r="BC526" s="10"/>
      <c r="BD526" s="10"/>
      <c r="BE526" s="10"/>
      <c r="BF526" s="10"/>
      <c r="BG526" s="10"/>
      <c r="BH526" s="10"/>
      <c r="BI526" s="10"/>
      <c r="BJ526" s="10"/>
      <c r="BK526" s="10"/>
      <c r="BL526" s="10"/>
      <c r="BM526" s="10"/>
      <c r="BN526" s="10"/>
      <c r="BO526" s="10"/>
      <c r="BP526" s="10"/>
      <c r="BQ526" s="10"/>
      <c r="BR526" s="10"/>
      <c r="BS526" s="10"/>
      <c r="BT526" s="10"/>
      <c r="BU526" s="10"/>
      <c r="BV526" s="10"/>
      <c r="BW526" s="10"/>
      <c r="BX526" s="10"/>
      <c r="BY526" s="10"/>
      <c r="BZ526" s="10"/>
      <c r="CA526" s="10"/>
      <c r="CB526" s="10"/>
      <c r="CC526" s="10"/>
      <c r="CD526" s="10"/>
      <c r="CE526" s="10"/>
      <c r="CF526" s="10"/>
      <c r="CG526" s="10"/>
      <c r="CH526" s="10"/>
      <c r="CI526" s="10"/>
      <c r="CJ526" s="10"/>
      <c r="CK526" s="10"/>
      <c r="CL526" s="10"/>
      <c r="CM526" s="10"/>
      <c r="CN526" s="10"/>
      <c r="CO526" s="10"/>
      <c r="CP526" s="10"/>
    </row>
    <row r="527" spans="1:94" ht="15.75" customHeight="1">
      <c r="A527" s="10"/>
      <c r="B527" s="10"/>
      <c r="C527" s="17" t="s">
        <v>306</v>
      </c>
      <c r="D527" s="10"/>
      <c r="E527" s="14">
        <v>30</v>
      </c>
      <c r="F527" s="10"/>
      <c r="G527" s="142" t="s">
        <v>99</v>
      </c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  <c r="BA527" s="10"/>
      <c r="BB527" s="10"/>
      <c r="BC527" s="10"/>
      <c r="BD527" s="10"/>
      <c r="BE527" s="10"/>
      <c r="BF527" s="10"/>
      <c r="BG527" s="10"/>
      <c r="BH527" s="10"/>
      <c r="BI527" s="10"/>
      <c r="BJ527" s="10"/>
      <c r="BK527" s="10"/>
      <c r="BL527" s="10"/>
      <c r="BM527" s="10"/>
      <c r="BN527" s="10"/>
      <c r="BO527" s="10"/>
      <c r="BP527" s="10"/>
      <c r="BQ527" s="10"/>
      <c r="BR527" s="10"/>
      <c r="BS527" s="10"/>
      <c r="BT527" s="10"/>
      <c r="BU527" s="10"/>
      <c r="BV527" s="10"/>
      <c r="BW527" s="10"/>
      <c r="BX527" s="10"/>
      <c r="BY527" s="10"/>
      <c r="BZ527" s="10"/>
      <c r="CA527" s="10"/>
      <c r="CB527" s="10"/>
      <c r="CC527" s="10"/>
      <c r="CD527" s="10"/>
      <c r="CE527" s="10"/>
      <c r="CF527" s="10"/>
      <c r="CG527" s="10"/>
      <c r="CH527" s="10"/>
      <c r="CI527" s="10"/>
      <c r="CJ527" s="10"/>
      <c r="CK527" s="10"/>
      <c r="CL527" s="10"/>
      <c r="CM527" s="10"/>
      <c r="CN527" s="10"/>
      <c r="CO527" s="10"/>
      <c r="CP527" s="10"/>
    </row>
    <row r="528" spans="1:94" ht="15" customHeight="1">
      <c r="A528" s="10"/>
      <c r="B528" s="10"/>
      <c r="C528" s="17" t="s">
        <v>307</v>
      </c>
      <c r="D528" s="10"/>
      <c r="E528" s="14">
        <v>30</v>
      </c>
      <c r="F528" s="10"/>
      <c r="G528" s="142" t="s">
        <v>99</v>
      </c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  <c r="BA528" s="10"/>
      <c r="BB528" s="10"/>
      <c r="BC528" s="10"/>
      <c r="BD528" s="10"/>
      <c r="BE528" s="10"/>
      <c r="BF528" s="10"/>
      <c r="BG528" s="10"/>
      <c r="BH528" s="10"/>
      <c r="BI528" s="10"/>
      <c r="BJ528" s="10"/>
      <c r="BK528" s="10"/>
      <c r="BL528" s="10"/>
      <c r="BM528" s="10"/>
      <c r="BN528" s="10"/>
      <c r="BO528" s="10"/>
      <c r="BP528" s="10"/>
      <c r="BQ528" s="10"/>
      <c r="BR528" s="10"/>
      <c r="BS528" s="10"/>
      <c r="BT528" s="10"/>
      <c r="BU528" s="10"/>
      <c r="BV528" s="10"/>
      <c r="BW528" s="10"/>
      <c r="BX528" s="10"/>
      <c r="BY528" s="10"/>
      <c r="BZ528" s="10"/>
      <c r="CA528" s="10"/>
      <c r="CB528" s="10"/>
      <c r="CC528" s="10"/>
      <c r="CD528" s="10"/>
      <c r="CE528" s="10"/>
      <c r="CF528" s="10"/>
      <c r="CG528" s="10"/>
      <c r="CH528" s="10"/>
      <c r="CI528" s="10"/>
      <c r="CJ528" s="10"/>
      <c r="CK528" s="10"/>
      <c r="CL528" s="10"/>
      <c r="CM528" s="10"/>
      <c r="CN528" s="10"/>
      <c r="CO528" s="10"/>
      <c r="CP528" s="10"/>
    </row>
    <row r="529" spans="1:94" ht="15" customHeight="1">
      <c r="A529" s="10"/>
      <c r="B529" s="10"/>
      <c r="C529" s="17" t="s">
        <v>308</v>
      </c>
      <c r="D529" s="10"/>
      <c r="E529" s="14">
        <v>45</v>
      </c>
      <c r="F529" s="10"/>
      <c r="G529" s="142" t="s">
        <v>99</v>
      </c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  <c r="BL529" s="10"/>
      <c r="BM529" s="10"/>
      <c r="BN529" s="10"/>
      <c r="BO529" s="10"/>
      <c r="BP529" s="10"/>
      <c r="BQ529" s="10"/>
      <c r="BR529" s="10"/>
      <c r="BS529" s="10"/>
      <c r="BT529" s="10"/>
      <c r="BU529" s="10"/>
      <c r="BV529" s="10"/>
      <c r="BW529" s="10"/>
      <c r="BX529" s="10"/>
      <c r="BY529" s="10"/>
      <c r="BZ529" s="10"/>
      <c r="CA529" s="10"/>
      <c r="CB529" s="10"/>
      <c r="CC529" s="10"/>
      <c r="CD529" s="10"/>
      <c r="CE529" s="10"/>
      <c r="CF529" s="10"/>
      <c r="CG529" s="10"/>
      <c r="CH529" s="10"/>
      <c r="CI529" s="10"/>
      <c r="CJ529" s="10"/>
      <c r="CK529" s="10"/>
      <c r="CL529" s="10"/>
      <c r="CM529" s="10"/>
      <c r="CN529" s="10"/>
      <c r="CO529" s="10"/>
      <c r="CP529" s="10"/>
    </row>
    <row r="530" spans="1:94" ht="15" customHeight="1">
      <c r="A530" s="10"/>
      <c r="B530" s="10"/>
      <c r="C530" s="10"/>
      <c r="D530" s="10"/>
      <c r="E530" s="10"/>
      <c r="F530" s="10"/>
      <c r="G530" s="11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  <c r="BA530" s="10"/>
      <c r="BB530" s="10"/>
      <c r="BC530" s="10"/>
      <c r="BD530" s="10"/>
      <c r="BE530" s="10"/>
      <c r="BF530" s="10"/>
      <c r="BG530" s="10"/>
      <c r="BH530" s="10"/>
      <c r="BI530" s="10"/>
      <c r="BJ530" s="10"/>
      <c r="BK530" s="10"/>
      <c r="BL530" s="10"/>
      <c r="BM530" s="10"/>
      <c r="BN530" s="10"/>
      <c r="BO530" s="10"/>
      <c r="BP530" s="10"/>
      <c r="BQ530" s="10"/>
      <c r="BR530" s="10"/>
      <c r="BS530" s="10"/>
      <c r="BT530" s="10"/>
      <c r="BU530" s="10"/>
      <c r="BV530" s="10"/>
      <c r="BW530" s="10"/>
      <c r="BX530" s="10"/>
      <c r="BY530" s="10"/>
      <c r="BZ530" s="10"/>
      <c r="CA530" s="10"/>
      <c r="CB530" s="10"/>
      <c r="CC530" s="10"/>
      <c r="CD530" s="10"/>
      <c r="CE530" s="10"/>
      <c r="CF530" s="10"/>
      <c r="CG530" s="10"/>
      <c r="CH530" s="10"/>
      <c r="CI530" s="10"/>
      <c r="CJ530" s="10"/>
      <c r="CK530" s="10"/>
      <c r="CL530" s="10"/>
      <c r="CM530" s="10"/>
      <c r="CN530" s="10"/>
      <c r="CO530" s="10"/>
      <c r="CP530" s="10"/>
    </row>
    <row r="531" spans="1:94" ht="15" customHeight="1">
      <c r="A531" s="10"/>
      <c r="B531" s="10"/>
      <c r="C531" s="10" t="s">
        <v>1175</v>
      </c>
      <c r="D531" s="10"/>
      <c r="E531" s="10"/>
      <c r="F531" s="10"/>
      <c r="G531" s="142" t="str">
        <f>Monetary_Unit</f>
        <v>тыс. руб.</v>
      </c>
      <c r="H531" s="10"/>
      <c r="I531" s="10"/>
      <c r="J531" s="10"/>
      <c r="K531" s="10"/>
      <c r="L531" s="14">
        <v>0</v>
      </c>
      <c r="M531" s="14">
        <v>0</v>
      </c>
      <c r="N531" s="14">
        <v>0</v>
      </c>
      <c r="O531" s="14">
        <v>0</v>
      </c>
      <c r="P531" s="14">
        <v>0</v>
      </c>
      <c r="Q531" s="14">
        <v>0</v>
      </c>
      <c r="R531" s="14">
        <v>0</v>
      </c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  <c r="CD531" s="10"/>
      <c r="CE531" s="10"/>
      <c r="CF531" s="10"/>
      <c r="CG531" s="10"/>
      <c r="CH531" s="10"/>
      <c r="CI531" s="10"/>
      <c r="CJ531" s="10"/>
      <c r="CK531" s="10"/>
      <c r="CL531" s="10"/>
      <c r="CM531" s="10"/>
      <c r="CN531" s="10"/>
      <c r="CO531" s="10"/>
      <c r="CP531" s="10"/>
    </row>
    <row r="532" spans="1:94" ht="15" customHeight="1">
      <c r="A532" s="10"/>
      <c r="B532" s="10"/>
      <c r="C532" s="10"/>
      <c r="D532" s="10"/>
      <c r="E532" s="10"/>
      <c r="F532" s="10"/>
      <c r="G532" s="11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  <c r="CD532" s="10"/>
      <c r="CE532" s="10"/>
      <c r="CF532" s="10"/>
      <c r="CG532" s="10"/>
      <c r="CH532" s="10"/>
      <c r="CI532" s="10"/>
      <c r="CJ532" s="10"/>
      <c r="CK532" s="10"/>
      <c r="CL532" s="10"/>
      <c r="CM532" s="10"/>
      <c r="CN532" s="10"/>
      <c r="CO532" s="10"/>
      <c r="CP532" s="10"/>
    </row>
    <row r="533" spans="1:94" ht="22.5" customHeight="1">
      <c r="A533" s="10"/>
      <c r="B533" s="5" t="s">
        <v>178</v>
      </c>
      <c r="C533" s="5"/>
      <c r="D533" s="5"/>
      <c r="E533" s="5"/>
      <c r="F533" s="5"/>
      <c r="G533" s="6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31"/>
      <c r="BO533" s="31"/>
      <c r="BP533" s="31"/>
      <c r="BQ533" s="31"/>
      <c r="BR533" s="31"/>
      <c r="BS533" s="31"/>
      <c r="BT533" s="31"/>
      <c r="BU533" s="31"/>
      <c r="BV533" s="31"/>
      <c r="BW533" s="31"/>
      <c r="BX533" s="31"/>
      <c r="BY533" s="31"/>
      <c r="BZ533" s="31"/>
      <c r="CA533" s="31"/>
      <c r="CB533" s="31"/>
      <c r="CC533" s="31"/>
      <c r="CD533" s="31"/>
      <c r="CE533" s="31"/>
      <c r="CF533" s="31"/>
      <c r="CG533" s="31"/>
      <c r="CH533" s="31"/>
      <c r="CI533" s="31"/>
      <c r="CJ533" s="31"/>
      <c r="CK533" s="31"/>
      <c r="CL533" s="31"/>
      <c r="CM533" s="31"/>
      <c r="CN533" s="31"/>
      <c r="CO533" s="31"/>
      <c r="CP533" s="10"/>
    </row>
    <row r="534" spans="1:94">
      <c r="A534" s="10"/>
      <c r="B534" s="10"/>
      <c r="C534" s="10"/>
      <c r="D534" s="10"/>
      <c r="E534" s="3"/>
      <c r="F534" s="3"/>
      <c r="G534" s="203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  <c r="CP534" s="10"/>
    </row>
    <row r="535" spans="1:94" ht="16.5" thickBot="1">
      <c r="A535" s="10"/>
      <c r="B535" s="10"/>
      <c r="C535" s="12" t="s">
        <v>178</v>
      </c>
      <c r="D535" s="12"/>
      <c r="E535" s="12"/>
      <c r="F535" s="12"/>
      <c r="G535" s="12"/>
      <c r="H535" s="12"/>
      <c r="I535" s="12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  <c r="CD535" s="10"/>
      <c r="CE535" s="10"/>
      <c r="CF535" s="10"/>
      <c r="CG535" s="10"/>
      <c r="CH535" s="10"/>
      <c r="CI535" s="10"/>
      <c r="CJ535" s="10"/>
      <c r="CK535" s="10"/>
      <c r="CL535" s="10"/>
      <c r="CM535" s="10"/>
      <c r="CN535" s="10"/>
      <c r="CO535" s="10"/>
      <c r="CP535" s="10"/>
    </row>
    <row r="536" spans="1:94">
      <c r="A536" s="10"/>
      <c r="B536" s="10"/>
      <c r="C536" s="10"/>
      <c r="D536" s="10"/>
      <c r="E536" s="3"/>
      <c r="F536" s="3"/>
      <c r="G536" s="203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  <c r="CD536" s="10"/>
      <c r="CE536" s="10"/>
      <c r="CF536" s="10"/>
      <c r="CG536" s="10"/>
      <c r="CH536" s="10"/>
      <c r="CI536" s="10"/>
      <c r="CJ536" s="10"/>
      <c r="CK536" s="10"/>
      <c r="CL536" s="10"/>
      <c r="CM536" s="10"/>
      <c r="CN536" s="10"/>
      <c r="CO536" s="10"/>
      <c r="CP536" s="10"/>
    </row>
    <row r="537" spans="1:94">
      <c r="A537" s="10"/>
      <c r="B537" s="10"/>
      <c r="C537" s="21" t="s">
        <v>309</v>
      </c>
      <c r="D537" s="10"/>
      <c r="E537" s="216">
        <f xml:space="preserve"> Контр_панель!J115</f>
        <v>0.74819999999999998</v>
      </c>
      <c r="F537" s="3"/>
      <c r="G537" s="142" t="s">
        <v>28</v>
      </c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  <c r="CP537" s="10"/>
    </row>
    <row r="538" spans="1:94">
      <c r="A538" s="10"/>
      <c r="B538" s="10"/>
      <c r="C538" s="21"/>
      <c r="D538" s="21"/>
      <c r="E538" s="21"/>
      <c r="F538" s="21"/>
      <c r="G538" s="11"/>
      <c r="H538" s="21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  <c r="CP538" s="10"/>
    </row>
    <row r="539" spans="1:94">
      <c r="A539" s="10"/>
      <c r="B539" s="10"/>
      <c r="C539" s="21" t="s">
        <v>1206</v>
      </c>
      <c r="D539" s="10"/>
      <c r="E539" s="11">
        <f>(C539=Контр_панель!$H$125)*1</f>
        <v>1</v>
      </c>
      <c r="F539" s="10"/>
      <c r="G539" s="11" t="s">
        <v>347</v>
      </c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  <c r="CP539" s="10"/>
    </row>
    <row r="540" spans="1:94">
      <c r="A540" s="10"/>
      <c r="B540" s="10"/>
      <c r="C540" s="21" t="s">
        <v>503</v>
      </c>
      <c r="D540" s="10"/>
      <c r="E540" s="11">
        <f>(C540=Контр_панель!$H$125)*1</f>
        <v>0</v>
      </c>
      <c r="F540" s="10"/>
      <c r="G540" s="11" t="s">
        <v>347</v>
      </c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  <c r="BA540" s="10"/>
      <c r="BB540" s="10"/>
      <c r="BC540" s="10"/>
      <c r="BD540" s="10"/>
      <c r="BE540" s="10"/>
      <c r="BF540" s="10"/>
      <c r="BG540" s="10"/>
      <c r="BH540" s="10"/>
      <c r="BI540" s="10"/>
      <c r="BJ540" s="10"/>
      <c r="BK540" s="10"/>
      <c r="BL540" s="10"/>
      <c r="BM540" s="10"/>
      <c r="BN540" s="10"/>
      <c r="BO540" s="10"/>
      <c r="BP540" s="10"/>
      <c r="BQ540" s="10"/>
      <c r="BR540" s="10"/>
      <c r="BS540" s="10"/>
      <c r="BT540" s="10"/>
      <c r="BU540" s="10"/>
      <c r="BV540" s="10"/>
      <c r="BW540" s="10"/>
      <c r="BX540" s="10"/>
      <c r="BY540" s="10"/>
      <c r="BZ540" s="10"/>
      <c r="CA540" s="10"/>
      <c r="CB540" s="10"/>
      <c r="CC540" s="10"/>
      <c r="CD540" s="10"/>
      <c r="CE540" s="10"/>
      <c r="CF540" s="10"/>
      <c r="CG540" s="10"/>
      <c r="CH540" s="10"/>
      <c r="CI540" s="10"/>
      <c r="CJ540" s="10"/>
      <c r="CK540" s="10"/>
      <c r="CL540" s="10"/>
      <c r="CM540" s="10"/>
      <c r="CN540" s="10"/>
      <c r="CO540" s="10"/>
      <c r="CP540" s="10"/>
    </row>
    <row r="541" spans="1:94">
      <c r="A541" s="10"/>
      <c r="B541" s="10"/>
      <c r="C541" s="21"/>
      <c r="D541" s="10"/>
      <c r="E541" s="11"/>
      <c r="F541" s="10"/>
      <c r="G541" s="11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  <c r="BA541" s="10"/>
      <c r="BB541" s="10"/>
      <c r="BC541" s="10"/>
      <c r="BD541" s="10"/>
      <c r="BE541" s="10"/>
      <c r="BF541" s="10"/>
      <c r="BG541" s="10"/>
      <c r="BH541" s="10"/>
      <c r="BI541" s="10"/>
      <c r="BJ541" s="10"/>
      <c r="BK541" s="10"/>
      <c r="BL541" s="10"/>
      <c r="BM541" s="10"/>
      <c r="BN541" s="10"/>
      <c r="BO541" s="10"/>
      <c r="BP541" s="10"/>
      <c r="BQ541" s="10"/>
      <c r="BR541" s="10"/>
      <c r="BS541" s="10"/>
      <c r="BT541" s="10"/>
      <c r="BU541" s="10"/>
      <c r="BV541" s="10"/>
      <c r="BW541" s="10"/>
      <c r="BX541" s="10"/>
      <c r="BY541" s="10"/>
      <c r="BZ541" s="10"/>
      <c r="CA541" s="10"/>
      <c r="CB541" s="10"/>
      <c r="CC541" s="10"/>
      <c r="CD541" s="10"/>
      <c r="CE541" s="10"/>
      <c r="CF541" s="10"/>
      <c r="CG541" s="10"/>
      <c r="CH541" s="10"/>
      <c r="CI541" s="10"/>
      <c r="CJ541" s="10"/>
      <c r="CK541" s="10"/>
      <c r="CL541" s="10"/>
      <c r="CM541" s="10"/>
      <c r="CN541" s="10"/>
      <c r="CO541" s="10"/>
      <c r="CP541" s="10"/>
    </row>
    <row r="542" spans="1:94">
      <c r="A542" s="10"/>
      <c r="B542" s="10"/>
      <c r="C542" s="21" t="s">
        <v>506</v>
      </c>
      <c r="D542" s="10"/>
      <c r="E542" s="65">
        <f>E539*1+E540*2</f>
        <v>1</v>
      </c>
      <c r="F542" s="10"/>
      <c r="G542" s="11" t="s">
        <v>504</v>
      </c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  <c r="BA542" s="10"/>
      <c r="BB542" s="10"/>
      <c r="BC542" s="10"/>
      <c r="BD542" s="10"/>
      <c r="BE542" s="10"/>
      <c r="BF542" s="10"/>
      <c r="BG542" s="10"/>
      <c r="BH542" s="10"/>
      <c r="BI542" s="10"/>
      <c r="BJ542" s="10"/>
      <c r="BK542" s="10"/>
      <c r="BL542" s="10"/>
      <c r="BM542" s="10"/>
      <c r="BN542" s="10"/>
      <c r="BO542" s="10"/>
      <c r="BP542" s="10"/>
      <c r="BQ542" s="10"/>
      <c r="BR542" s="10"/>
      <c r="BS542" s="10"/>
      <c r="BT542" s="10"/>
      <c r="BU542" s="10"/>
      <c r="BV542" s="10"/>
      <c r="BW542" s="10"/>
      <c r="BX542" s="10"/>
      <c r="BY542" s="10"/>
      <c r="BZ542" s="10"/>
      <c r="CA542" s="10"/>
      <c r="CB542" s="10"/>
      <c r="CC542" s="10"/>
      <c r="CD542" s="10"/>
      <c r="CE542" s="10"/>
      <c r="CF542" s="10"/>
      <c r="CG542" s="10"/>
      <c r="CH542" s="10"/>
      <c r="CI542" s="10"/>
      <c r="CJ542" s="10"/>
      <c r="CK542" s="10"/>
      <c r="CL542" s="10"/>
      <c r="CM542" s="10"/>
      <c r="CN542" s="10"/>
      <c r="CO542" s="10"/>
      <c r="CP542" s="10"/>
    </row>
    <row r="543" spans="1:94">
      <c r="A543" s="10"/>
      <c r="B543" s="10"/>
      <c r="C543" s="21"/>
      <c r="D543" s="21"/>
      <c r="E543" s="21"/>
      <c r="F543" s="21"/>
      <c r="G543" s="11"/>
      <c r="H543" s="21"/>
      <c r="I543" s="21"/>
      <c r="J543" s="21"/>
      <c r="K543" s="21"/>
      <c r="L543" s="21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  <c r="BA543" s="10"/>
      <c r="BB543" s="10"/>
      <c r="BC543" s="10"/>
      <c r="BD543" s="10"/>
      <c r="BE543" s="10"/>
      <c r="BF543" s="10"/>
      <c r="BG543" s="10"/>
      <c r="BH543" s="10"/>
      <c r="BI543" s="10"/>
      <c r="BJ543" s="10"/>
      <c r="BK543" s="10"/>
      <c r="BL543" s="10"/>
      <c r="BM543" s="10"/>
      <c r="BN543" s="10"/>
      <c r="BO543" s="10"/>
      <c r="BP543" s="10"/>
      <c r="BQ543" s="10"/>
      <c r="BR543" s="10"/>
      <c r="BS543" s="10"/>
      <c r="BT543" s="10"/>
      <c r="BU543" s="10"/>
      <c r="BV543" s="10"/>
      <c r="BW543" s="10"/>
      <c r="BX543" s="10"/>
      <c r="BY543" s="10"/>
      <c r="BZ543" s="10"/>
      <c r="CA543" s="10"/>
      <c r="CB543" s="10"/>
      <c r="CC543" s="10"/>
      <c r="CD543" s="10"/>
      <c r="CE543" s="10"/>
      <c r="CF543" s="10"/>
      <c r="CG543" s="10"/>
      <c r="CH543" s="10"/>
      <c r="CI543" s="10"/>
      <c r="CJ543" s="10"/>
      <c r="CK543" s="10"/>
      <c r="CL543" s="10"/>
      <c r="CM543" s="10"/>
      <c r="CN543" s="10"/>
      <c r="CO543" s="10"/>
      <c r="CP543" s="10"/>
    </row>
    <row r="544" spans="1:94">
      <c r="A544" s="10"/>
      <c r="B544" s="10"/>
      <c r="C544" s="32" t="s">
        <v>515</v>
      </c>
      <c r="D544" s="21"/>
      <c r="E544" s="21"/>
      <c r="F544" s="21"/>
      <c r="G544" s="11"/>
      <c r="H544" s="21"/>
      <c r="I544" s="21"/>
      <c r="J544" s="21"/>
      <c r="K544" s="21"/>
      <c r="L544" s="21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  <c r="BL544" s="10"/>
      <c r="BM544" s="10"/>
      <c r="BN544" s="10"/>
      <c r="BO544" s="10"/>
      <c r="BP544" s="10"/>
      <c r="BQ544" s="10"/>
      <c r="BR544" s="10"/>
      <c r="BS544" s="10"/>
      <c r="BT544" s="10"/>
      <c r="BU544" s="10"/>
      <c r="BV544" s="10"/>
      <c r="BW544" s="10"/>
      <c r="BX544" s="10"/>
      <c r="BY544" s="10"/>
      <c r="BZ544" s="10"/>
      <c r="CA544" s="10"/>
      <c r="CB544" s="10"/>
      <c r="CC544" s="10"/>
      <c r="CD544" s="10"/>
      <c r="CE544" s="10"/>
      <c r="CF544" s="10"/>
      <c r="CG544" s="10"/>
      <c r="CH544" s="10"/>
      <c r="CI544" s="10"/>
      <c r="CJ544" s="10"/>
      <c r="CK544" s="10"/>
      <c r="CL544" s="10"/>
      <c r="CM544" s="10"/>
      <c r="CN544" s="10"/>
      <c r="CO544" s="10"/>
      <c r="CP544" s="10"/>
    </row>
    <row r="545" spans="1:94">
      <c r="A545" s="10"/>
      <c r="B545" s="10"/>
      <c r="C545" s="21" t="s">
        <v>517</v>
      </c>
      <c r="D545" s="21"/>
      <c r="E545" s="11">
        <f>(C545=Контр_панель!$I$126)*1</f>
        <v>0</v>
      </c>
      <c r="F545" s="10"/>
      <c r="G545" s="11" t="s">
        <v>347</v>
      </c>
      <c r="H545" s="21"/>
      <c r="I545" s="21"/>
      <c r="J545" s="21"/>
      <c r="K545" s="21"/>
      <c r="L545" s="21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  <c r="BA545" s="10"/>
      <c r="BB545" s="10"/>
      <c r="BC545" s="10"/>
      <c r="BD545" s="10"/>
      <c r="BE545" s="10"/>
      <c r="BF545" s="10"/>
      <c r="BG545" s="10"/>
      <c r="BH545" s="10"/>
      <c r="BI545" s="10"/>
      <c r="BJ545" s="10"/>
      <c r="BK545" s="10"/>
      <c r="BL545" s="10"/>
      <c r="BM545" s="10"/>
      <c r="BN545" s="10"/>
      <c r="BO545" s="10"/>
      <c r="BP545" s="10"/>
      <c r="BQ545" s="10"/>
      <c r="BR545" s="10"/>
      <c r="BS545" s="10"/>
      <c r="BT545" s="10"/>
      <c r="BU545" s="10"/>
      <c r="BV545" s="10"/>
      <c r="BW545" s="10"/>
      <c r="BX545" s="10"/>
      <c r="BY545" s="10"/>
      <c r="BZ545" s="10"/>
      <c r="CA545" s="10"/>
      <c r="CB545" s="10"/>
      <c r="CC545" s="10"/>
      <c r="CD545" s="10"/>
      <c r="CE545" s="10"/>
      <c r="CF545" s="10"/>
      <c r="CG545" s="10"/>
      <c r="CH545" s="10"/>
      <c r="CI545" s="10"/>
      <c r="CJ545" s="10"/>
      <c r="CK545" s="10"/>
      <c r="CL545" s="10"/>
      <c r="CM545" s="10"/>
      <c r="CN545" s="10"/>
      <c r="CO545" s="10"/>
      <c r="CP545" s="10"/>
    </row>
    <row r="546" spans="1:94">
      <c r="A546" s="10"/>
      <c r="B546" s="10"/>
      <c r="C546" s="21" t="s">
        <v>518</v>
      </c>
      <c r="D546" s="21"/>
      <c r="E546" s="11">
        <f>(C546=Контр_панель!$I$126)*1</f>
        <v>1</v>
      </c>
      <c r="F546" s="10"/>
      <c r="G546" s="11" t="s">
        <v>347</v>
      </c>
      <c r="H546" s="21"/>
      <c r="I546" s="21"/>
      <c r="J546" s="21"/>
      <c r="K546" s="21"/>
      <c r="L546" s="21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  <c r="BA546" s="10"/>
      <c r="BB546" s="10"/>
      <c r="BC546" s="10"/>
      <c r="BD546" s="10"/>
      <c r="BE546" s="10"/>
      <c r="BF546" s="10"/>
      <c r="BG546" s="10"/>
      <c r="BH546" s="10"/>
      <c r="BI546" s="10"/>
      <c r="BJ546" s="10"/>
      <c r="BK546" s="10"/>
      <c r="BL546" s="10"/>
      <c r="BM546" s="10"/>
      <c r="BN546" s="10"/>
      <c r="BO546" s="10"/>
      <c r="BP546" s="10"/>
      <c r="BQ546" s="10"/>
      <c r="BR546" s="10"/>
      <c r="BS546" s="10"/>
      <c r="BT546" s="10"/>
      <c r="BU546" s="10"/>
      <c r="BV546" s="10"/>
      <c r="BW546" s="10"/>
      <c r="BX546" s="10"/>
      <c r="BY546" s="10"/>
      <c r="BZ546" s="10"/>
      <c r="CA546" s="10"/>
      <c r="CB546" s="10"/>
      <c r="CC546" s="10"/>
      <c r="CD546" s="10"/>
      <c r="CE546" s="10"/>
      <c r="CF546" s="10"/>
      <c r="CG546" s="10"/>
      <c r="CH546" s="10"/>
      <c r="CI546" s="10"/>
      <c r="CJ546" s="10"/>
      <c r="CK546" s="10"/>
      <c r="CL546" s="10"/>
      <c r="CM546" s="10"/>
      <c r="CN546" s="10"/>
      <c r="CO546" s="10"/>
      <c r="CP546" s="10"/>
    </row>
    <row r="547" spans="1:94">
      <c r="A547" s="10"/>
      <c r="B547" s="10"/>
      <c r="C547" s="21"/>
      <c r="D547" s="21"/>
      <c r="E547" s="11"/>
      <c r="F547" s="10"/>
      <c r="G547" s="11"/>
      <c r="H547" s="21"/>
      <c r="I547" s="21"/>
      <c r="J547" s="21"/>
      <c r="K547" s="21"/>
      <c r="L547" s="21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  <c r="BA547" s="10"/>
      <c r="BB547" s="10"/>
      <c r="BC547" s="10"/>
      <c r="BD547" s="10"/>
      <c r="BE547" s="10"/>
      <c r="BF547" s="10"/>
      <c r="BG547" s="10"/>
      <c r="BH547" s="10"/>
      <c r="BI547" s="10"/>
      <c r="BJ547" s="10"/>
      <c r="BK547" s="10"/>
      <c r="BL547" s="10"/>
      <c r="BM547" s="10"/>
      <c r="BN547" s="10"/>
      <c r="BO547" s="10"/>
      <c r="BP547" s="10"/>
      <c r="BQ547" s="10"/>
      <c r="BR547" s="10"/>
      <c r="BS547" s="10"/>
      <c r="BT547" s="10"/>
      <c r="BU547" s="10"/>
      <c r="BV547" s="10"/>
      <c r="BW547" s="10"/>
      <c r="BX547" s="10"/>
      <c r="BY547" s="10"/>
      <c r="BZ547" s="10"/>
      <c r="CA547" s="10"/>
      <c r="CB547" s="10"/>
      <c r="CC547" s="10"/>
      <c r="CD547" s="10"/>
      <c r="CE547" s="10"/>
      <c r="CF547" s="10"/>
      <c r="CG547" s="10"/>
      <c r="CH547" s="10"/>
      <c r="CI547" s="10"/>
      <c r="CJ547" s="10"/>
      <c r="CK547" s="10"/>
      <c r="CL547" s="10"/>
      <c r="CM547" s="10"/>
      <c r="CN547" s="10"/>
      <c r="CO547" s="10"/>
      <c r="CP547" s="10"/>
    </row>
    <row r="548" spans="1:94">
      <c r="A548" s="10"/>
      <c r="B548" s="10"/>
      <c r="C548" s="21" t="s">
        <v>516</v>
      </c>
      <c r="D548" s="10"/>
      <c r="E548" s="65">
        <f>E545*1+E546*2</f>
        <v>2</v>
      </c>
      <c r="F548" s="10"/>
      <c r="G548" s="11" t="s">
        <v>504</v>
      </c>
      <c r="H548" s="21"/>
      <c r="I548" s="21"/>
      <c r="J548" s="21"/>
      <c r="K548" s="21"/>
      <c r="L548" s="21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  <c r="BA548" s="10"/>
      <c r="BB548" s="10"/>
      <c r="BC548" s="10"/>
      <c r="BD548" s="10"/>
      <c r="BE548" s="10"/>
      <c r="BF548" s="10"/>
      <c r="BG548" s="10"/>
      <c r="BH548" s="10"/>
      <c r="BI548" s="10"/>
      <c r="BJ548" s="10"/>
      <c r="BK548" s="10"/>
      <c r="BL548" s="10"/>
      <c r="BM548" s="10"/>
      <c r="BN548" s="10"/>
      <c r="BO548" s="10"/>
      <c r="BP548" s="10"/>
      <c r="BQ548" s="10"/>
      <c r="BR548" s="10"/>
      <c r="BS548" s="10"/>
      <c r="BT548" s="10"/>
      <c r="BU548" s="10"/>
      <c r="BV548" s="10"/>
      <c r="BW548" s="10"/>
      <c r="BX548" s="10"/>
      <c r="BY548" s="10"/>
      <c r="BZ548" s="10"/>
      <c r="CA548" s="10"/>
      <c r="CB548" s="10"/>
      <c r="CC548" s="10"/>
      <c r="CD548" s="10"/>
      <c r="CE548" s="10"/>
      <c r="CF548" s="10"/>
      <c r="CG548" s="10"/>
      <c r="CH548" s="10"/>
      <c r="CI548" s="10"/>
      <c r="CJ548" s="10"/>
      <c r="CK548" s="10"/>
      <c r="CL548" s="10"/>
      <c r="CM548" s="10"/>
      <c r="CN548" s="10"/>
      <c r="CO548" s="10"/>
      <c r="CP548" s="10"/>
    </row>
    <row r="549" spans="1:94">
      <c r="A549" s="10"/>
      <c r="B549" s="10"/>
      <c r="C549" s="10"/>
      <c r="D549" s="10"/>
      <c r="E549" s="3"/>
      <c r="F549" s="3"/>
      <c r="G549" s="203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  <c r="BL549" s="10"/>
      <c r="BM549" s="10"/>
      <c r="BN549" s="10"/>
      <c r="BO549" s="10"/>
      <c r="BP549" s="10"/>
      <c r="BQ549" s="10"/>
      <c r="BR549" s="10"/>
      <c r="BS549" s="10"/>
      <c r="BT549" s="10"/>
      <c r="BU549" s="10"/>
      <c r="BV549" s="10"/>
      <c r="BW549" s="10"/>
      <c r="BX549" s="10"/>
      <c r="BY549" s="10"/>
      <c r="BZ549" s="10"/>
      <c r="CA549" s="10"/>
      <c r="CB549" s="10"/>
      <c r="CC549" s="10"/>
      <c r="CD549" s="10"/>
      <c r="CE549" s="10"/>
      <c r="CF549" s="10"/>
      <c r="CG549" s="10"/>
      <c r="CH549" s="10"/>
      <c r="CI549" s="10"/>
      <c r="CJ549" s="10"/>
      <c r="CK549" s="10"/>
      <c r="CL549" s="10"/>
      <c r="CM549" s="10"/>
      <c r="CN549" s="10"/>
      <c r="CO549" s="10"/>
      <c r="CP549" s="10"/>
    </row>
    <row r="550" spans="1:94" ht="15" customHeight="1" thickBot="1">
      <c r="A550" s="10"/>
      <c r="B550" s="10"/>
      <c r="C550" s="12" t="s">
        <v>162</v>
      </c>
      <c r="D550" s="12"/>
      <c r="E550" s="12"/>
      <c r="F550" s="12"/>
      <c r="G550" s="12"/>
      <c r="H550" s="12"/>
      <c r="I550" s="12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  <c r="BA550" s="10"/>
      <c r="BB550" s="10"/>
      <c r="BC550" s="10"/>
      <c r="BD550" s="10"/>
      <c r="BE550" s="10"/>
      <c r="BF550" s="10"/>
      <c r="BG550" s="10"/>
      <c r="BH550" s="10"/>
      <c r="BI550" s="10"/>
      <c r="BJ550" s="10"/>
      <c r="BK550" s="10"/>
      <c r="BL550" s="10"/>
      <c r="BM550" s="10"/>
      <c r="BN550" s="10"/>
      <c r="BO550" s="10"/>
      <c r="BP550" s="10"/>
      <c r="BQ550" s="10"/>
      <c r="BR550" s="10"/>
      <c r="BS550" s="10"/>
      <c r="BT550" s="10"/>
      <c r="BU550" s="10"/>
      <c r="BV550" s="10"/>
      <c r="BW550" s="10"/>
      <c r="BX550" s="10"/>
      <c r="BY550" s="10"/>
      <c r="BZ550" s="10"/>
      <c r="CA550" s="10"/>
      <c r="CB550" s="10"/>
      <c r="CC550" s="10"/>
      <c r="CD550" s="10"/>
      <c r="CE550" s="10"/>
      <c r="CF550" s="10"/>
      <c r="CG550" s="10"/>
      <c r="CH550" s="10"/>
      <c r="CI550" s="10"/>
      <c r="CJ550" s="10"/>
      <c r="CK550" s="10"/>
      <c r="CL550" s="10"/>
      <c r="CM550" s="10"/>
      <c r="CN550" s="10"/>
      <c r="CO550" s="10"/>
      <c r="CP550" s="10"/>
    </row>
    <row r="551" spans="1:94" ht="15" customHeight="1">
      <c r="A551" s="10"/>
      <c r="B551" s="10"/>
      <c r="C551" s="10"/>
      <c r="D551" s="10"/>
      <c r="E551" s="10"/>
      <c r="F551" s="3"/>
      <c r="G551" s="142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  <c r="BA551" s="10"/>
      <c r="BB551" s="10"/>
      <c r="BC551" s="10"/>
      <c r="BD551" s="10"/>
      <c r="BE551" s="10"/>
      <c r="BF551" s="10"/>
      <c r="BG551" s="10"/>
      <c r="BH551" s="10"/>
      <c r="BI551" s="10"/>
      <c r="BJ551" s="10"/>
      <c r="BK551" s="10"/>
      <c r="BL551" s="10"/>
      <c r="BM551" s="10"/>
      <c r="BN551" s="10"/>
      <c r="BO551" s="10"/>
      <c r="BP551" s="10"/>
      <c r="BQ551" s="10"/>
      <c r="BR551" s="10"/>
      <c r="BS551" s="10"/>
      <c r="BT551" s="10"/>
      <c r="BU551" s="10"/>
      <c r="BV551" s="10"/>
      <c r="BW551" s="10"/>
      <c r="BX551" s="10"/>
      <c r="BY551" s="10"/>
      <c r="BZ551" s="10"/>
      <c r="CA551" s="10"/>
      <c r="CB551" s="10"/>
      <c r="CC551" s="10"/>
      <c r="CD551" s="10"/>
      <c r="CE551" s="10"/>
      <c r="CF551" s="10"/>
      <c r="CG551" s="10"/>
      <c r="CH551" s="10"/>
      <c r="CI551" s="10"/>
      <c r="CJ551" s="10"/>
      <c r="CK551" s="10"/>
      <c r="CL551" s="10"/>
      <c r="CM551" s="10"/>
      <c r="CN551" s="10"/>
      <c r="CO551" s="10"/>
      <c r="CP551" s="10"/>
    </row>
    <row r="552" spans="1:94" ht="15" customHeight="1">
      <c r="A552" s="10"/>
      <c r="B552" s="10"/>
      <c r="C552" s="21" t="s">
        <v>186</v>
      </c>
      <c r="D552" s="10"/>
      <c r="E552" s="71">
        <f>Date_Construction_Start</f>
        <v>45658</v>
      </c>
      <c r="F552" s="3"/>
      <c r="G552" s="142" t="s">
        <v>31</v>
      </c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  <c r="BA552" s="10"/>
      <c r="BB552" s="10"/>
      <c r="BC552" s="10"/>
      <c r="BD552" s="10"/>
      <c r="BE552" s="10"/>
      <c r="BF552" s="10"/>
      <c r="BG552" s="10"/>
      <c r="BH552" s="10"/>
      <c r="BI552" s="10"/>
      <c r="BJ552" s="10"/>
      <c r="BK552" s="10"/>
      <c r="BL552" s="10"/>
      <c r="BM552" s="10"/>
      <c r="BN552" s="10"/>
      <c r="BO552" s="10"/>
      <c r="BP552" s="10"/>
      <c r="BQ552" s="10"/>
      <c r="BR552" s="10"/>
      <c r="BS552" s="10"/>
      <c r="BT552" s="10"/>
      <c r="BU552" s="10"/>
      <c r="BV552" s="10"/>
      <c r="BW552" s="10"/>
      <c r="BX552" s="10"/>
      <c r="BY552" s="10"/>
      <c r="BZ552" s="10"/>
      <c r="CA552" s="10"/>
      <c r="CB552" s="10"/>
      <c r="CC552" s="10"/>
      <c r="CD552" s="10"/>
      <c r="CE552" s="10"/>
      <c r="CF552" s="10"/>
      <c r="CG552" s="10"/>
      <c r="CH552" s="10"/>
      <c r="CI552" s="10"/>
      <c r="CJ552" s="10"/>
      <c r="CK552" s="10"/>
      <c r="CL552" s="10"/>
      <c r="CM552" s="10"/>
      <c r="CN552" s="10"/>
      <c r="CO552" s="10"/>
      <c r="CP552" s="10"/>
    </row>
    <row r="553" spans="1:94" ht="15" customHeight="1">
      <c r="A553" s="10"/>
      <c r="B553" s="10"/>
      <c r="C553" s="21" t="s">
        <v>187</v>
      </c>
      <c r="D553" s="10"/>
      <c r="E553" s="14">
        <v>12</v>
      </c>
      <c r="F553" s="3"/>
      <c r="G553" s="142" t="s">
        <v>123</v>
      </c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  <c r="BA553" s="10"/>
      <c r="BB553" s="10"/>
      <c r="BC553" s="10"/>
      <c r="BD553" s="10"/>
      <c r="BE553" s="10"/>
      <c r="BF553" s="10"/>
      <c r="BG553" s="10"/>
      <c r="BH553" s="10"/>
      <c r="BI553" s="10"/>
      <c r="BJ553" s="10"/>
      <c r="BK553" s="10"/>
      <c r="BL553" s="10"/>
      <c r="BM553" s="10"/>
      <c r="BN553" s="10"/>
      <c r="BO553" s="10"/>
      <c r="BP553" s="10"/>
      <c r="BQ553" s="10"/>
      <c r="BR553" s="10"/>
      <c r="BS553" s="10"/>
      <c r="BT553" s="10"/>
      <c r="BU553" s="10"/>
      <c r="BV553" s="10"/>
      <c r="BW553" s="10"/>
      <c r="BX553" s="10"/>
      <c r="BY553" s="10"/>
      <c r="BZ553" s="10"/>
      <c r="CA553" s="10"/>
      <c r="CB553" s="10"/>
      <c r="CC553" s="10"/>
      <c r="CD553" s="10"/>
      <c r="CE553" s="10"/>
      <c r="CF553" s="10"/>
      <c r="CG553" s="10"/>
      <c r="CH553" s="10"/>
      <c r="CI553" s="10"/>
      <c r="CJ553" s="10"/>
      <c r="CK553" s="10"/>
      <c r="CL553" s="10"/>
      <c r="CM553" s="10"/>
      <c r="CN553" s="10"/>
      <c r="CO553" s="10"/>
      <c r="CP553" s="10"/>
    </row>
    <row r="554" spans="1:94" ht="15" customHeight="1">
      <c r="A554" s="10"/>
      <c r="B554" s="10"/>
      <c r="C554" s="21" t="s">
        <v>188</v>
      </c>
      <c r="D554" s="10"/>
      <c r="E554" s="479">
        <f>INT(DATEDIF(E552,Date_Construction_End,"M")/3)</f>
        <v>16</v>
      </c>
      <c r="F554" s="3"/>
      <c r="G554" s="142" t="s">
        <v>1151</v>
      </c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  <c r="BL554" s="10"/>
      <c r="BM554" s="10"/>
      <c r="BN554" s="10"/>
      <c r="BO554" s="10"/>
      <c r="BP554" s="10"/>
      <c r="BQ554" s="10"/>
      <c r="BR554" s="10"/>
      <c r="BS554" s="10"/>
      <c r="BT554" s="10"/>
      <c r="BU554" s="10"/>
      <c r="BV554" s="10"/>
      <c r="BW554" s="10"/>
      <c r="BX554" s="10"/>
      <c r="BY554" s="10"/>
      <c r="BZ554" s="10"/>
      <c r="CA554" s="10"/>
      <c r="CB554" s="10"/>
      <c r="CC554" s="10"/>
      <c r="CD554" s="10"/>
      <c r="CE554" s="10"/>
      <c r="CF554" s="10"/>
      <c r="CG554" s="10"/>
      <c r="CH554" s="10"/>
      <c r="CI554" s="10"/>
      <c r="CJ554" s="10"/>
      <c r="CK554" s="10"/>
      <c r="CL554" s="10"/>
      <c r="CM554" s="10"/>
      <c r="CN554" s="10"/>
      <c r="CO554" s="10"/>
      <c r="CP554" s="10"/>
    </row>
    <row r="555" spans="1:94" ht="15" customHeight="1">
      <c r="A555" s="10"/>
      <c r="B555" s="10"/>
      <c r="C555" s="21" t="s">
        <v>189</v>
      </c>
      <c r="D555" s="10"/>
      <c r="E555" s="14">
        <v>0</v>
      </c>
      <c r="F555" s="3"/>
      <c r="G555" s="142" t="s">
        <v>1151</v>
      </c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  <c r="BA555" s="10"/>
      <c r="BB555" s="10"/>
      <c r="BC555" s="10"/>
      <c r="BD555" s="10"/>
      <c r="BE555" s="10"/>
      <c r="BF555" s="10"/>
      <c r="BG555" s="10"/>
      <c r="BH555" s="10"/>
      <c r="BI555" s="10"/>
      <c r="BJ555" s="10"/>
      <c r="BK555" s="10"/>
      <c r="BL555" s="10"/>
      <c r="BM555" s="10"/>
      <c r="BN555" s="10"/>
      <c r="BO555" s="10"/>
      <c r="BP555" s="10"/>
      <c r="BQ555" s="10"/>
      <c r="BR555" s="10"/>
      <c r="BS555" s="10"/>
      <c r="BT555" s="10"/>
      <c r="BU555" s="10"/>
      <c r="BV555" s="10"/>
      <c r="BW555" s="10"/>
      <c r="BX555" s="10"/>
      <c r="BY555" s="10"/>
      <c r="BZ555" s="10"/>
      <c r="CA555" s="10"/>
      <c r="CB555" s="10"/>
      <c r="CC555" s="10"/>
      <c r="CD555" s="10"/>
      <c r="CE555" s="10"/>
      <c r="CF555" s="10"/>
      <c r="CG555" s="10"/>
      <c r="CH555" s="10"/>
      <c r="CI555" s="10"/>
      <c r="CJ555" s="10"/>
      <c r="CK555" s="10"/>
      <c r="CL555" s="10"/>
      <c r="CM555" s="10"/>
      <c r="CN555" s="10"/>
      <c r="CO555" s="10"/>
      <c r="CP555" s="10"/>
    </row>
    <row r="556" spans="1:94" ht="15" customHeight="1">
      <c r="A556" s="10"/>
      <c r="B556" s="10"/>
      <c r="C556" s="21" t="s">
        <v>190</v>
      </c>
      <c r="D556" s="10"/>
      <c r="E556" s="71">
        <f>MAX(EOMONTH(E552,E554*3),Date_Operations_Start)</f>
        <v>47209</v>
      </c>
      <c r="F556" s="3"/>
      <c r="G556" s="142" t="s">
        <v>31</v>
      </c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  <c r="BA556" s="10"/>
      <c r="BB556" s="10"/>
      <c r="BC556" s="10"/>
      <c r="BD556" s="10"/>
      <c r="BE556" s="10"/>
      <c r="BF556" s="10"/>
      <c r="BG556" s="10"/>
      <c r="BH556" s="10"/>
      <c r="BI556" s="10"/>
      <c r="BJ556" s="10"/>
      <c r="BK556" s="10"/>
      <c r="BL556" s="10"/>
      <c r="BM556" s="10"/>
      <c r="BN556" s="10"/>
      <c r="BO556" s="10"/>
      <c r="BP556" s="10"/>
      <c r="BQ556" s="10"/>
      <c r="BR556" s="10"/>
      <c r="BS556" s="10"/>
      <c r="BT556" s="10"/>
      <c r="BU556" s="10"/>
      <c r="BV556" s="10"/>
      <c r="BW556" s="10"/>
      <c r="BX556" s="10"/>
      <c r="BY556" s="10"/>
      <c r="BZ556" s="10"/>
      <c r="CA556" s="10"/>
      <c r="CB556" s="10"/>
      <c r="CC556" s="10"/>
      <c r="CD556" s="10"/>
      <c r="CE556" s="10"/>
      <c r="CF556" s="10"/>
      <c r="CG556" s="10"/>
      <c r="CH556" s="10"/>
      <c r="CI556" s="10"/>
      <c r="CJ556" s="10"/>
      <c r="CK556" s="10"/>
      <c r="CL556" s="10"/>
      <c r="CM556" s="10"/>
      <c r="CN556" s="10"/>
      <c r="CO556" s="10"/>
      <c r="CP556" s="10"/>
    </row>
    <row r="557" spans="1:94" ht="15" customHeight="1">
      <c r="A557" s="10"/>
      <c r="B557" s="10"/>
      <c r="C557" s="21" t="s">
        <v>191</v>
      </c>
      <c r="D557" s="10"/>
      <c r="E557" s="71">
        <f>EOMONTH(E552,E555 * 3 - 1)+1</f>
        <v>45658</v>
      </c>
      <c r="F557" s="3"/>
      <c r="G557" s="142" t="s">
        <v>31</v>
      </c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  <c r="BA557" s="10"/>
      <c r="BB557" s="10"/>
      <c r="BC557" s="10"/>
      <c r="BD557" s="10"/>
      <c r="BE557" s="10"/>
      <c r="BF557" s="10"/>
      <c r="BG557" s="10"/>
      <c r="BH557" s="10"/>
      <c r="BI557" s="10"/>
      <c r="BJ557" s="10"/>
      <c r="BK557" s="10"/>
      <c r="BL557" s="10"/>
      <c r="BM557" s="10"/>
      <c r="BN557" s="10"/>
      <c r="BO557" s="10"/>
      <c r="BP557" s="10"/>
      <c r="BQ557" s="10"/>
      <c r="BR557" s="10"/>
      <c r="BS557" s="10"/>
      <c r="BT557" s="10"/>
      <c r="BU557" s="10"/>
      <c r="BV557" s="10"/>
      <c r="BW557" s="10"/>
      <c r="BX557" s="10"/>
      <c r="BY557" s="10"/>
      <c r="BZ557" s="10"/>
      <c r="CA557" s="10"/>
      <c r="CB557" s="10"/>
      <c r="CC557" s="10"/>
      <c r="CD557" s="10"/>
      <c r="CE557" s="10"/>
      <c r="CF557" s="10"/>
      <c r="CG557" s="10"/>
      <c r="CH557" s="10"/>
      <c r="CI557" s="10"/>
      <c r="CJ557" s="10"/>
      <c r="CK557" s="10"/>
      <c r="CL557" s="10"/>
      <c r="CM557" s="10"/>
      <c r="CN557" s="10"/>
      <c r="CO557" s="10"/>
      <c r="CP557" s="10"/>
    </row>
    <row r="558" spans="1:94" ht="15" customHeight="1">
      <c r="A558" s="10"/>
      <c r="B558" s="10"/>
      <c r="C558" s="21" t="s">
        <v>192</v>
      </c>
      <c r="D558" s="10"/>
      <c r="E558" s="71">
        <f>EOMONTH(E552,E553 * Months_in_Year-1)</f>
        <v>50040</v>
      </c>
      <c r="F558" s="3"/>
      <c r="G558" s="142" t="s">
        <v>31</v>
      </c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  <c r="BA558" s="10"/>
      <c r="BB558" s="10"/>
      <c r="BC558" s="10"/>
      <c r="BD558" s="10"/>
      <c r="BE558" s="10"/>
      <c r="BF558" s="10"/>
      <c r="BG558" s="10"/>
      <c r="BH558" s="10"/>
      <c r="BI558" s="10"/>
      <c r="BJ558" s="10"/>
      <c r="BK558" s="10"/>
      <c r="BL558" s="10"/>
      <c r="BM558" s="10"/>
      <c r="BN558" s="10"/>
      <c r="BO558" s="10"/>
      <c r="BP558" s="10"/>
      <c r="BQ558" s="10"/>
      <c r="BR558" s="10"/>
      <c r="BS558" s="10"/>
      <c r="BT558" s="10"/>
      <c r="BU558" s="10"/>
      <c r="BV558" s="10"/>
      <c r="BW558" s="10"/>
      <c r="BX558" s="10"/>
      <c r="BY558" s="10"/>
      <c r="BZ558" s="10"/>
      <c r="CA558" s="10"/>
      <c r="CB558" s="10"/>
      <c r="CC558" s="10"/>
      <c r="CD558" s="10"/>
      <c r="CE558" s="10"/>
      <c r="CF558" s="10"/>
      <c r="CG558" s="10"/>
      <c r="CH558" s="10"/>
      <c r="CI558" s="10"/>
      <c r="CJ558" s="10"/>
      <c r="CK558" s="10"/>
      <c r="CL558" s="10"/>
      <c r="CM558" s="10"/>
      <c r="CN558" s="10"/>
      <c r="CO558" s="10"/>
      <c r="CP558" s="10"/>
    </row>
    <row r="559" spans="1:94">
      <c r="A559" s="10"/>
      <c r="B559" s="10"/>
      <c r="C559" s="45" t="s">
        <v>337</v>
      </c>
      <c r="D559" s="10"/>
      <c r="E559" s="216">
        <f xml:space="preserve"> Контр_панель!J127</f>
        <v>0.03</v>
      </c>
      <c r="F559" s="3"/>
      <c r="G559" s="142" t="s">
        <v>983</v>
      </c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  <c r="BL559" s="10"/>
      <c r="BM559" s="10"/>
      <c r="BN559" s="10"/>
      <c r="BO559" s="10"/>
      <c r="BP559" s="10"/>
      <c r="BQ559" s="10"/>
      <c r="BR559" s="10"/>
      <c r="BS559" s="10"/>
      <c r="BT559" s="10"/>
      <c r="BU559" s="10"/>
      <c r="BV559" s="10"/>
      <c r="BW559" s="10"/>
      <c r="BX559" s="10"/>
      <c r="BY559" s="10"/>
      <c r="BZ559" s="10"/>
      <c r="CA559" s="10"/>
      <c r="CB559" s="10"/>
      <c r="CC559" s="10"/>
      <c r="CD559" s="10"/>
      <c r="CE559" s="10"/>
      <c r="CF559" s="10"/>
      <c r="CG559" s="10"/>
      <c r="CH559" s="10"/>
      <c r="CI559" s="10"/>
      <c r="CJ559" s="10"/>
      <c r="CK559" s="10"/>
      <c r="CL559" s="10"/>
      <c r="CM559" s="10"/>
      <c r="CN559" s="10"/>
      <c r="CO559" s="10"/>
      <c r="CP559" s="10"/>
    </row>
    <row r="560" spans="1:94">
      <c r="A560" s="10"/>
      <c r="B560" s="10"/>
      <c r="C560" s="45" t="s">
        <v>1205</v>
      </c>
      <c r="D560" s="10"/>
      <c r="E560" s="216">
        <f>Контр_панель!J128</f>
        <v>0.3</v>
      </c>
      <c r="F560" s="3"/>
      <c r="G560" s="142" t="s">
        <v>28</v>
      </c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  <c r="BA560" s="10"/>
      <c r="BB560" s="10"/>
      <c r="BC560" s="10"/>
      <c r="BD560" s="10"/>
      <c r="BE560" s="10"/>
      <c r="BF560" s="10"/>
      <c r="BG560" s="10"/>
      <c r="BH560" s="10"/>
      <c r="BI560" s="10"/>
      <c r="BJ560" s="10"/>
      <c r="BK560" s="10"/>
      <c r="BL560" s="10"/>
      <c r="BM560" s="10"/>
      <c r="BN560" s="10"/>
      <c r="BO560" s="10"/>
      <c r="BP560" s="10"/>
      <c r="BQ560" s="10"/>
      <c r="BR560" s="10"/>
      <c r="BS560" s="10"/>
      <c r="BT560" s="10"/>
      <c r="BU560" s="10"/>
      <c r="BV560" s="10"/>
      <c r="BW560" s="10"/>
      <c r="BX560" s="10"/>
      <c r="BY560" s="10"/>
      <c r="BZ560" s="10"/>
      <c r="CA560" s="10"/>
      <c r="CB560" s="10"/>
      <c r="CC560" s="10"/>
      <c r="CD560" s="10"/>
      <c r="CE560" s="10"/>
      <c r="CF560" s="10"/>
      <c r="CG560" s="10"/>
      <c r="CH560" s="10"/>
      <c r="CI560" s="10"/>
      <c r="CJ560" s="10"/>
      <c r="CK560" s="10"/>
      <c r="CL560" s="10"/>
      <c r="CM560" s="10"/>
      <c r="CN560" s="10"/>
      <c r="CO560" s="10"/>
      <c r="CP560" s="10"/>
    </row>
    <row r="561" spans="1:94">
      <c r="A561" s="10"/>
      <c r="B561" s="10"/>
      <c r="C561" s="45" t="s">
        <v>502</v>
      </c>
      <c r="D561" s="10"/>
      <c r="E561" s="216">
        <f xml:space="preserve"> Контр_панель!J129</f>
        <v>0</v>
      </c>
      <c r="F561" s="3"/>
      <c r="G561" s="142" t="s">
        <v>983</v>
      </c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  <c r="BA561" s="10"/>
      <c r="BB561" s="10"/>
      <c r="BC561" s="10"/>
      <c r="BD561" s="10"/>
      <c r="BE561" s="10"/>
      <c r="BF561" s="10"/>
      <c r="BG561" s="10"/>
      <c r="BH561" s="10"/>
      <c r="BI561" s="10"/>
      <c r="BJ561" s="10"/>
      <c r="BK561" s="10"/>
      <c r="BL561" s="10"/>
      <c r="BM561" s="10"/>
      <c r="BN561" s="10"/>
      <c r="BO561" s="10"/>
      <c r="BP561" s="10"/>
      <c r="BQ561" s="10"/>
      <c r="BR561" s="10"/>
      <c r="BS561" s="10"/>
      <c r="BT561" s="10"/>
      <c r="BU561" s="10"/>
      <c r="BV561" s="10"/>
      <c r="BW561" s="10"/>
      <c r="BX561" s="10"/>
      <c r="BY561" s="10"/>
      <c r="BZ561" s="10"/>
      <c r="CA561" s="10"/>
      <c r="CB561" s="10"/>
      <c r="CC561" s="10"/>
      <c r="CD561" s="10"/>
      <c r="CE561" s="10"/>
      <c r="CF561" s="10"/>
      <c r="CG561" s="10"/>
      <c r="CH561" s="10"/>
      <c r="CI561" s="10"/>
      <c r="CJ561" s="10"/>
      <c r="CK561" s="10"/>
      <c r="CL561" s="10"/>
      <c r="CM561" s="10"/>
      <c r="CN561" s="10"/>
      <c r="CO561" s="10"/>
      <c r="CP561" s="10"/>
    </row>
    <row r="562" spans="1:94" ht="15" customHeight="1">
      <c r="A562" s="10"/>
      <c r="B562" s="10"/>
      <c r="C562" s="21" t="s">
        <v>482</v>
      </c>
      <c r="D562" s="10"/>
      <c r="E562" s="80">
        <v>2E-3</v>
      </c>
      <c r="F562" s="3"/>
      <c r="G562" s="142" t="s">
        <v>28</v>
      </c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  <c r="BA562" s="10"/>
      <c r="BB562" s="10"/>
      <c r="BC562" s="10"/>
      <c r="BD562" s="10"/>
      <c r="BE562" s="10"/>
      <c r="BF562" s="10"/>
      <c r="BG562" s="10"/>
      <c r="BH562" s="10"/>
      <c r="BI562" s="10"/>
      <c r="BJ562" s="10"/>
      <c r="BK562" s="10"/>
      <c r="BL562" s="10"/>
      <c r="BM562" s="10"/>
      <c r="BN562" s="10"/>
      <c r="BO562" s="10"/>
      <c r="BP562" s="10"/>
      <c r="BQ562" s="10"/>
      <c r="BR562" s="10"/>
      <c r="BS562" s="10"/>
      <c r="BT562" s="10"/>
      <c r="BU562" s="10"/>
      <c r="BV562" s="10"/>
      <c r="BW562" s="10"/>
      <c r="BX562" s="10"/>
      <c r="BY562" s="10"/>
      <c r="BZ562" s="10"/>
      <c r="CA562" s="10"/>
      <c r="CB562" s="10"/>
      <c r="CC562" s="10"/>
      <c r="CD562" s="10"/>
      <c r="CE562" s="10"/>
      <c r="CF562" s="10"/>
      <c r="CG562" s="10"/>
      <c r="CH562" s="10"/>
      <c r="CI562" s="10"/>
      <c r="CJ562" s="10"/>
      <c r="CK562" s="10"/>
      <c r="CL562" s="10"/>
      <c r="CM562" s="10"/>
      <c r="CN562" s="10"/>
      <c r="CO562" s="10"/>
      <c r="CP562" s="10"/>
    </row>
    <row r="563" spans="1:94" ht="15" customHeight="1">
      <c r="A563" s="10"/>
      <c r="B563" s="10"/>
      <c r="C563" s="21" t="s">
        <v>341</v>
      </c>
      <c r="D563" s="10"/>
      <c r="E563" s="80">
        <v>3.0000000000000001E-3</v>
      </c>
      <c r="F563" s="3"/>
      <c r="G563" s="142" t="s">
        <v>983</v>
      </c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  <c r="BA563" s="10"/>
      <c r="BB563" s="10"/>
      <c r="BC563" s="10"/>
      <c r="BD563" s="10"/>
      <c r="BE563" s="10"/>
      <c r="BF563" s="10"/>
      <c r="BG563" s="10"/>
      <c r="BH563" s="10"/>
      <c r="BI563" s="10"/>
      <c r="BJ563" s="10"/>
      <c r="BK563" s="10"/>
      <c r="BL563" s="10"/>
      <c r="BM563" s="10"/>
      <c r="BN563" s="10"/>
      <c r="BO563" s="10"/>
      <c r="BP563" s="10"/>
      <c r="BQ563" s="10"/>
      <c r="BR563" s="10"/>
      <c r="BS563" s="10"/>
      <c r="BT563" s="10"/>
      <c r="BU563" s="10"/>
      <c r="BV563" s="10"/>
      <c r="BW563" s="10"/>
      <c r="BX563" s="10"/>
      <c r="BY563" s="10"/>
      <c r="BZ563" s="10"/>
      <c r="CA563" s="10"/>
      <c r="CB563" s="10"/>
      <c r="CC563" s="10"/>
      <c r="CD563" s="10"/>
      <c r="CE563" s="10"/>
      <c r="CF563" s="10"/>
      <c r="CG563" s="10"/>
      <c r="CH563" s="10"/>
      <c r="CI563" s="10"/>
      <c r="CJ563" s="10"/>
      <c r="CK563" s="10"/>
      <c r="CL563" s="10"/>
      <c r="CM563" s="10"/>
      <c r="CN563" s="10"/>
      <c r="CO563" s="10"/>
      <c r="CP563" s="10"/>
    </row>
    <row r="564" spans="1:94" ht="15" customHeight="1">
      <c r="A564" s="10"/>
      <c r="B564" s="10"/>
      <c r="C564" s="21" t="s">
        <v>531</v>
      </c>
      <c r="D564" s="10"/>
      <c r="E564" s="63">
        <v>1.2</v>
      </c>
      <c r="F564" s="3"/>
      <c r="G564" s="142" t="s">
        <v>93</v>
      </c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  <c r="BL564" s="10"/>
      <c r="BM564" s="10"/>
      <c r="BN564" s="10"/>
      <c r="BO564" s="10"/>
      <c r="BP564" s="10"/>
      <c r="BQ564" s="10"/>
      <c r="BR564" s="10"/>
      <c r="BS564" s="10"/>
      <c r="BT564" s="10"/>
      <c r="BU564" s="10"/>
      <c r="BV564" s="10"/>
      <c r="BW564" s="10"/>
      <c r="BX564" s="10"/>
      <c r="BY564" s="10"/>
      <c r="BZ564" s="10"/>
      <c r="CA564" s="10"/>
      <c r="CB564" s="10"/>
      <c r="CC564" s="10"/>
      <c r="CD564" s="10"/>
      <c r="CE564" s="10"/>
      <c r="CF564" s="10"/>
      <c r="CG564" s="10"/>
      <c r="CH564" s="10"/>
      <c r="CI564" s="10"/>
      <c r="CJ564" s="10"/>
      <c r="CK564" s="10"/>
      <c r="CL564" s="10"/>
      <c r="CM564" s="10"/>
      <c r="CN564" s="10"/>
      <c r="CO564" s="10"/>
      <c r="CP564" s="10"/>
    </row>
    <row r="565" spans="1:94" ht="30" customHeight="1">
      <c r="A565" s="10"/>
      <c r="B565" s="10"/>
      <c r="C565" s="45" t="s">
        <v>1115</v>
      </c>
      <c r="D565" s="10"/>
      <c r="E565" s="404" t="s">
        <v>846</v>
      </c>
      <c r="F565" s="3"/>
      <c r="G565" s="142" t="s">
        <v>1067</v>
      </c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  <c r="BA565" s="10"/>
      <c r="BB565" s="10"/>
      <c r="BC565" s="10"/>
      <c r="BD565" s="10"/>
      <c r="BE565" s="10"/>
      <c r="BF565" s="10"/>
      <c r="BG565" s="10"/>
      <c r="BH565" s="10"/>
      <c r="BI565" s="10"/>
      <c r="BJ565" s="10"/>
      <c r="BK565" s="10"/>
      <c r="BL565" s="10"/>
      <c r="BM565" s="10"/>
      <c r="BN565" s="10"/>
      <c r="BO565" s="10"/>
      <c r="BP565" s="10"/>
      <c r="BQ565" s="10"/>
      <c r="BR565" s="10"/>
      <c r="BS565" s="10"/>
      <c r="BT565" s="10"/>
      <c r="BU565" s="10"/>
      <c r="BV565" s="10"/>
      <c r="BW565" s="10"/>
      <c r="BX565" s="10"/>
      <c r="BY565" s="10"/>
      <c r="BZ565" s="10"/>
      <c r="CA565" s="10"/>
      <c r="CB565" s="10"/>
      <c r="CC565" s="10"/>
      <c r="CD565" s="10"/>
      <c r="CE565" s="10"/>
      <c r="CF565" s="10"/>
      <c r="CG565" s="10"/>
      <c r="CH565" s="10"/>
      <c r="CI565" s="10"/>
      <c r="CJ565" s="10"/>
      <c r="CK565" s="10"/>
      <c r="CL565" s="10"/>
      <c r="CM565" s="10"/>
      <c r="CN565" s="10"/>
      <c r="CO565" s="10"/>
      <c r="CP565" s="10"/>
    </row>
    <row r="566" spans="1:94">
      <c r="A566" s="10"/>
      <c r="B566" s="10"/>
      <c r="C566" s="21" t="s">
        <v>1116</v>
      </c>
      <c r="D566" s="10"/>
      <c r="E566" s="404" t="s">
        <v>846</v>
      </c>
      <c r="F566" s="3"/>
      <c r="G566" s="142" t="s">
        <v>1067</v>
      </c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  <c r="BA566" s="10"/>
      <c r="BB566" s="10"/>
      <c r="BC566" s="10"/>
      <c r="BD566" s="10"/>
      <c r="BE566" s="10"/>
      <c r="BF566" s="10"/>
      <c r="BG566" s="10"/>
      <c r="BH566" s="10"/>
      <c r="BI566" s="10"/>
      <c r="BJ566" s="10"/>
      <c r="BK566" s="10"/>
      <c r="BL566" s="10"/>
      <c r="BM566" s="10"/>
      <c r="BN566" s="10"/>
      <c r="BO566" s="10"/>
      <c r="BP566" s="10"/>
      <c r="BQ566" s="10"/>
      <c r="BR566" s="10"/>
      <c r="BS566" s="10"/>
      <c r="BT566" s="10"/>
      <c r="BU566" s="10"/>
      <c r="BV566" s="10"/>
      <c r="BW566" s="10"/>
      <c r="BX566" s="10"/>
      <c r="BY566" s="10"/>
      <c r="BZ566" s="10"/>
      <c r="CA566" s="10"/>
      <c r="CB566" s="10"/>
      <c r="CC566" s="10"/>
      <c r="CD566" s="10"/>
      <c r="CE566" s="10"/>
      <c r="CF566" s="10"/>
      <c r="CG566" s="10"/>
      <c r="CH566" s="10"/>
      <c r="CI566" s="10"/>
      <c r="CJ566" s="10"/>
      <c r="CK566" s="10"/>
      <c r="CL566" s="10"/>
      <c r="CM566" s="10"/>
      <c r="CN566" s="10"/>
      <c r="CO566" s="10"/>
      <c r="CP566" s="10"/>
    </row>
    <row r="567" spans="1:94">
      <c r="A567" s="10"/>
      <c r="B567" s="10"/>
      <c r="C567" s="21" t="s">
        <v>1170</v>
      </c>
      <c r="D567" s="10"/>
      <c r="E567" s="404" t="s">
        <v>846</v>
      </c>
      <c r="F567" s="3"/>
      <c r="G567" s="142" t="s">
        <v>1067</v>
      </c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  <c r="BA567" s="10"/>
      <c r="BB567" s="10"/>
      <c r="BC567" s="10"/>
      <c r="BD567" s="10"/>
      <c r="BE567" s="10"/>
      <c r="BF567" s="10"/>
      <c r="BG567" s="10"/>
      <c r="BH567" s="10"/>
      <c r="BI567" s="10"/>
      <c r="BJ567" s="10"/>
      <c r="BK567" s="10"/>
      <c r="BL567" s="10"/>
      <c r="BM567" s="10"/>
      <c r="BN567" s="10"/>
      <c r="BO567" s="10"/>
      <c r="BP567" s="10"/>
      <c r="BQ567" s="10"/>
      <c r="BR567" s="10"/>
      <c r="BS567" s="10"/>
      <c r="BT567" s="10"/>
      <c r="BU567" s="10"/>
      <c r="BV567" s="10"/>
      <c r="BW567" s="10"/>
      <c r="BX567" s="10"/>
      <c r="BY567" s="10"/>
      <c r="BZ567" s="10"/>
      <c r="CA567" s="10"/>
      <c r="CB567" s="10"/>
      <c r="CC567" s="10"/>
      <c r="CD567" s="10"/>
      <c r="CE567" s="10"/>
      <c r="CF567" s="10"/>
      <c r="CG567" s="10"/>
      <c r="CH567" s="10"/>
      <c r="CI567" s="10"/>
      <c r="CJ567" s="10"/>
      <c r="CK567" s="10"/>
      <c r="CL567" s="10"/>
      <c r="CM567" s="10"/>
      <c r="CN567" s="10"/>
      <c r="CO567" s="10"/>
      <c r="CP567" s="10"/>
    </row>
    <row r="568" spans="1:94" ht="15" customHeight="1">
      <c r="A568" s="10"/>
      <c r="B568" s="10"/>
      <c r="C568" s="21"/>
      <c r="D568" s="10"/>
      <c r="E568" s="115"/>
      <c r="F568" s="3"/>
      <c r="G568" s="142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  <c r="BA568" s="10"/>
      <c r="BB568" s="10"/>
      <c r="BC568" s="10"/>
      <c r="BD568" s="10"/>
      <c r="BE568" s="10"/>
      <c r="BF568" s="10"/>
      <c r="BG568" s="10"/>
      <c r="BH568" s="10"/>
      <c r="BI568" s="10"/>
      <c r="BJ568" s="10"/>
      <c r="BK568" s="10"/>
      <c r="BL568" s="10"/>
      <c r="BM568" s="10"/>
      <c r="BN568" s="10"/>
      <c r="BO568" s="10"/>
      <c r="BP568" s="10"/>
      <c r="BQ568" s="10"/>
      <c r="BR568" s="10"/>
      <c r="BS568" s="10"/>
      <c r="BT568" s="10"/>
      <c r="BU568" s="10"/>
      <c r="BV568" s="10"/>
      <c r="BW568" s="10"/>
      <c r="BX568" s="10"/>
      <c r="BY568" s="10"/>
      <c r="BZ568" s="10"/>
      <c r="CA568" s="10"/>
      <c r="CB568" s="10"/>
      <c r="CC568" s="10"/>
      <c r="CD568" s="10"/>
      <c r="CE568" s="10"/>
      <c r="CF568" s="10"/>
      <c r="CG568" s="10"/>
      <c r="CH568" s="10"/>
      <c r="CI568" s="10"/>
      <c r="CJ568" s="10"/>
      <c r="CK568" s="10"/>
      <c r="CL568" s="10"/>
      <c r="CM568" s="10"/>
      <c r="CN568" s="10"/>
      <c r="CO568" s="10"/>
      <c r="CP568" s="10"/>
    </row>
    <row r="569" spans="1:94" ht="15" customHeight="1" thickBot="1">
      <c r="A569" s="10"/>
      <c r="B569" s="10"/>
      <c r="C569" s="12" t="s">
        <v>250</v>
      </c>
      <c r="D569" s="12"/>
      <c r="E569" s="12"/>
      <c r="F569" s="12"/>
      <c r="G569" s="12"/>
      <c r="H569" s="12"/>
      <c r="I569" s="12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  <c r="BL569" s="10"/>
      <c r="BM569" s="10"/>
      <c r="BN569" s="10"/>
      <c r="BO569" s="10"/>
      <c r="BP569" s="10"/>
      <c r="BQ569" s="10"/>
      <c r="BR569" s="10"/>
      <c r="BS569" s="10"/>
      <c r="BT569" s="10"/>
      <c r="BU569" s="10"/>
      <c r="BV569" s="10"/>
      <c r="BW569" s="10"/>
      <c r="BX569" s="10"/>
      <c r="BY569" s="10"/>
      <c r="BZ569" s="10"/>
      <c r="CA569" s="10"/>
      <c r="CB569" s="10"/>
      <c r="CC569" s="10"/>
      <c r="CD569" s="10"/>
      <c r="CE569" s="10"/>
      <c r="CF569" s="10"/>
      <c r="CG569" s="10"/>
      <c r="CH569" s="10"/>
      <c r="CI569" s="10"/>
      <c r="CJ569" s="10"/>
      <c r="CK569" s="10"/>
      <c r="CL569" s="10"/>
      <c r="CM569" s="10"/>
      <c r="CN569" s="10"/>
      <c r="CO569" s="10"/>
      <c r="CP569" s="10"/>
    </row>
    <row r="570" spans="1:94" ht="15" customHeight="1">
      <c r="A570" s="10"/>
      <c r="B570" s="10"/>
      <c r="C570" s="10"/>
      <c r="D570" s="10"/>
      <c r="E570" s="10"/>
      <c r="F570" s="3"/>
      <c r="G570" s="142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  <c r="BA570" s="10"/>
      <c r="BB570" s="10"/>
      <c r="BC570" s="10"/>
      <c r="BD570" s="10"/>
      <c r="BE570" s="10"/>
      <c r="BF570" s="10"/>
      <c r="BG570" s="10"/>
      <c r="BH570" s="10"/>
      <c r="BI570" s="10"/>
      <c r="BJ570" s="10"/>
      <c r="BK570" s="10"/>
      <c r="BL570" s="10"/>
      <c r="BM570" s="10"/>
      <c r="BN570" s="10"/>
      <c r="BO570" s="10"/>
      <c r="BP570" s="10"/>
      <c r="BQ570" s="10"/>
      <c r="BR570" s="10"/>
      <c r="BS570" s="10"/>
      <c r="BT570" s="10"/>
      <c r="BU570" s="10"/>
      <c r="BV570" s="10"/>
      <c r="BW570" s="10"/>
      <c r="BX570" s="10"/>
      <c r="BY570" s="10"/>
      <c r="BZ570" s="10"/>
      <c r="CA570" s="10"/>
      <c r="CB570" s="10"/>
      <c r="CC570" s="10"/>
      <c r="CD570" s="10"/>
      <c r="CE570" s="10"/>
      <c r="CF570" s="10"/>
      <c r="CG570" s="10"/>
      <c r="CH570" s="10"/>
      <c r="CI570" s="10"/>
      <c r="CJ570" s="10"/>
      <c r="CK570" s="10"/>
      <c r="CL570" s="10"/>
      <c r="CM570" s="10"/>
      <c r="CN570" s="10"/>
      <c r="CO570" s="10"/>
      <c r="CP570" s="10"/>
    </row>
    <row r="571" spans="1:94" ht="15" customHeight="1">
      <c r="A571" s="10"/>
      <c r="B571" s="10"/>
      <c r="C571" s="32" t="s">
        <v>177</v>
      </c>
      <c r="D571" s="10"/>
      <c r="E571" s="10"/>
      <c r="F571" s="3"/>
      <c r="G571" s="142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  <c r="BA571" s="10"/>
      <c r="BB571" s="10"/>
      <c r="BC571" s="10"/>
      <c r="BD571" s="10"/>
      <c r="BE571" s="10"/>
      <c r="BF571" s="10"/>
      <c r="BG571" s="10"/>
      <c r="BH571" s="10"/>
      <c r="BI571" s="10"/>
      <c r="BJ571" s="10"/>
      <c r="BK571" s="10"/>
      <c r="BL571" s="10"/>
      <c r="BM571" s="10"/>
      <c r="BN571" s="10"/>
      <c r="BO571" s="10"/>
      <c r="BP571" s="10"/>
      <c r="BQ571" s="10"/>
      <c r="BR571" s="10"/>
      <c r="BS571" s="10"/>
      <c r="BT571" s="10"/>
      <c r="BU571" s="10"/>
      <c r="BV571" s="10"/>
      <c r="BW571" s="10"/>
      <c r="BX571" s="10"/>
      <c r="BY571" s="10"/>
      <c r="BZ571" s="10"/>
      <c r="CA571" s="10"/>
      <c r="CB571" s="10"/>
      <c r="CC571" s="10"/>
      <c r="CD571" s="10"/>
      <c r="CE571" s="10"/>
      <c r="CF571" s="10"/>
      <c r="CG571" s="10"/>
      <c r="CH571" s="10"/>
      <c r="CI571" s="10"/>
      <c r="CJ571" s="10"/>
      <c r="CK571" s="10"/>
      <c r="CL571" s="10"/>
      <c r="CM571" s="10"/>
      <c r="CN571" s="10"/>
      <c r="CO571" s="10"/>
      <c r="CP571" s="10"/>
    </row>
    <row r="572" spans="1:94" ht="15" customHeight="1">
      <c r="A572" s="10"/>
      <c r="B572" s="10"/>
      <c r="C572" s="21" t="s">
        <v>106</v>
      </c>
      <c r="D572" s="10"/>
      <c r="E572" s="216">
        <f>Контр_панель!J119</f>
        <v>0.5</v>
      </c>
      <c r="F572" s="3"/>
      <c r="G572" s="142" t="s">
        <v>28</v>
      </c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  <c r="BA572" s="10"/>
      <c r="BB572" s="10"/>
      <c r="BC572" s="10"/>
      <c r="BD572" s="10"/>
      <c r="BE572" s="10"/>
      <c r="BF572" s="10"/>
      <c r="BG572" s="10"/>
      <c r="BH572" s="10"/>
      <c r="BI572" s="10"/>
      <c r="BJ572" s="10"/>
      <c r="BK572" s="10"/>
      <c r="BL572" s="10"/>
      <c r="BM572" s="10"/>
      <c r="BN572" s="10"/>
      <c r="BO572" s="10"/>
      <c r="BP572" s="10"/>
      <c r="BQ572" s="10"/>
      <c r="BR572" s="10"/>
      <c r="BS572" s="10"/>
      <c r="BT572" s="10"/>
      <c r="BU572" s="10"/>
      <c r="BV572" s="10"/>
      <c r="BW572" s="10"/>
      <c r="BX572" s="10"/>
      <c r="BY572" s="10"/>
      <c r="BZ572" s="10"/>
      <c r="CA572" s="10"/>
      <c r="CB572" s="10"/>
      <c r="CC572" s="10"/>
      <c r="CD572" s="10"/>
      <c r="CE572" s="10"/>
      <c r="CF572" s="10"/>
      <c r="CG572" s="10"/>
      <c r="CH572" s="10"/>
      <c r="CI572" s="10"/>
      <c r="CJ572" s="10"/>
      <c r="CK572" s="10"/>
      <c r="CL572" s="10"/>
      <c r="CM572" s="10"/>
      <c r="CN572" s="10"/>
      <c r="CO572" s="10"/>
      <c r="CP572" s="10"/>
    </row>
    <row r="573" spans="1:94" ht="15" customHeight="1">
      <c r="A573" s="10"/>
      <c r="B573" s="10"/>
      <c r="C573" s="21" t="s">
        <v>1431</v>
      </c>
      <c r="D573" s="10"/>
      <c r="E573" s="84">
        <f xml:space="preserve"> 1 - E572</f>
        <v>0.5</v>
      </c>
      <c r="F573" s="3"/>
      <c r="G573" s="142" t="s">
        <v>28</v>
      </c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  <c r="BA573" s="10"/>
      <c r="BB573" s="10"/>
      <c r="BC573" s="10"/>
      <c r="BD573" s="10"/>
      <c r="BE573" s="10"/>
      <c r="BF573" s="10"/>
      <c r="BG573" s="10"/>
      <c r="BH573" s="10"/>
      <c r="BI573" s="10"/>
      <c r="BJ573" s="10"/>
      <c r="BK573" s="10"/>
      <c r="BL573" s="10"/>
      <c r="BM573" s="10"/>
      <c r="BN573" s="10"/>
      <c r="BO573" s="10"/>
      <c r="BP573" s="10"/>
      <c r="BQ573" s="10"/>
      <c r="BR573" s="10"/>
      <c r="BS573" s="10"/>
      <c r="BT573" s="10"/>
      <c r="BU573" s="10"/>
      <c r="BV573" s="10"/>
      <c r="BW573" s="10"/>
      <c r="BX573" s="10"/>
      <c r="BY573" s="10"/>
      <c r="BZ573" s="10"/>
      <c r="CA573" s="10"/>
      <c r="CB573" s="10"/>
      <c r="CC573" s="10"/>
      <c r="CD573" s="10"/>
      <c r="CE573" s="10"/>
      <c r="CF573" s="10"/>
      <c r="CG573" s="10"/>
      <c r="CH573" s="10"/>
      <c r="CI573" s="10"/>
      <c r="CJ573" s="10"/>
      <c r="CK573" s="10"/>
      <c r="CL573" s="10"/>
      <c r="CM573" s="10"/>
      <c r="CN573" s="10"/>
      <c r="CO573" s="10"/>
      <c r="CP573" s="10"/>
    </row>
    <row r="574" spans="1:94" ht="15" customHeight="1">
      <c r="A574" s="10"/>
      <c r="B574" s="10"/>
      <c r="C574" s="21"/>
      <c r="D574" s="21"/>
      <c r="E574" s="21"/>
      <c r="F574" s="21"/>
      <c r="G574" s="11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  <c r="BL574" s="10"/>
      <c r="BM574" s="10"/>
      <c r="BN574" s="10"/>
      <c r="BO574" s="10"/>
      <c r="BP574" s="10"/>
      <c r="BQ574" s="10"/>
      <c r="BR574" s="10"/>
      <c r="BS574" s="10"/>
      <c r="BT574" s="10"/>
      <c r="BU574" s="10"/>
      <c r="BV574" s="10"/>
      <c r="BW574" s="10"/>
      <c r="BX574" s="10"/>
      <c r="BY574" s="10"/>
      <c r="BZ574" s="10"/>
      <c r="CA574" s="10"/>
      <c r="CB574" s="10"/>
      <c r="CC574" s="10"/>
      <c r="CD574" s="10"/>
      <c r="CE574" s="10"/>
      <c r="CF574" s="10"/>
      <c r="CG574" s="10"/>
      <c r="CH574" s="10"/>
      <c r="CI574" s="10"/>
      <c r="CJ574" s="10"/>
      <c r="CK574" s="10"/>
      <c r="CL574" s="10"/>
      <c r="CM574" s="10"/>
      <c r="CN574" s="10"/>
      <c r="CO574" s="10"/>
      <c r="CP574" s="10"/>
    </row>
    <row r="575" spans="1:94" ht="15" customHeight="1">
      <c r="A575" s="10"/>
      <c r="B575" s="10"/>
      <c r="C575" s="21"/>
      <c r="D575" s="21"/>
      <c r="E575" s="216"/>
      <c r="F575" s="21"/>
      <c r="G575" s="11" t="s">
        <v>28</v>
      </c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  <c r="BA575" s="10"/>
      <c r="BB575" s="10"/>
      <c r="BC575" s="10"/>
      <c r="BD575" s="10"/>
      <c r="BE575" s="10"/>
      <c r="BF575" s="10"/>
      <c r="BG575" s="10"/>
      <c r="BH575" s="10"/>
      <c r="BI575" s="10"/>
      <c r="BJ575" s="10"/>
      <c r="BK575" s="10"/>
      <c r="BL575" s="10"/>
      <c r="BM575" s="10"/>
      <c r="BN575" s="10"/>
      <c r="BO575" s="10"/>
      <c r="BP575" s="10"/>
      <c r="BQ575" s="10"/>
      <c r="BR575" s="10"/>
      <c r="BS575" s="10"/>
      <c r="BT575" s="10"/>
      <c r="BU575" s="10"/>
      <c r="BV575" s="10"/>
      <c r="BW575" s="10"/>
      <c r="BX575" s="10"/>
      <c r="BY575" s="10"/>
      <c r="BZ575" s="10"/>
      <c r="CA575" s="10"/>
      <c r="CB575" s="10"/>
      <c r="CC575" s="10"/>
      <c r="CD575" s="10"/>
      <c r="CE575" s="10"/>
      <c r="CF575" s="10"/>
      <c r="CG575" s="10"/>
      <c r="CH575" s="10"/>
      <c r="CI575" s="10"/>
      <c r="CJ575" s="10"/>
      <c r="CK575" s="10"/>
      <c r="CL575" s="10"/>
      <c r="CM575" s="10"/>
      <c r="CN575" s="10"/>
      <c r="CO575" s="10"/>
      <c r="CP575" s="10"/>
    </row>
    <row r="576" spans="1:94" ht="15" customHeight="1">
      <c r="A576" s="10"/>
      <c r="B576" s="10"/>
      <c r="C576" s="21"/>
      <c r="D576" s="21"/>
      <c r="E576" s="21"/>
      <c r="F576" s="21"/>
      <c r="G576" s="11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  <c r="BA576" s="10"/>
      <c r="BB576" s="10"/>
      <c r="BC576" s="10"/>
      <c r="BD576" s="10"/>
      <c r="BE576" s="10"/>
      <c r="BF576" s="10"/>
      <c r="BG576" s="10"/>
      <c r="BH576" s="10"/>
      <c r="BI576" s="10"/>
      <c r="BJ576" s="10"/>
      <c r="BK576" s="10"/>
      <c r="BL576" s="10"/>
      <c r="BM576" s="10"/>
      <c r="BN576" s="10"/>
      <c r="BO576" s="10"/>
      <c r="BP576" s="10"/>
      <c r="BQ576" s="10"/>
      <c r="BR576" s="10"/>
      <c r="BS576" s="10"/>
      <c r="BT576" s="10"/>
      <c r="BU576" s="10"/>
      <c r="BV576" s="10"/>
      <c r="BW576" s="10"/>
      <c r="BX576" s="10"/>
      <c r="BY576" s="10"/>
      <c r="BZ576" s="10"/>
      <c r="CA576" s="10"/>
      <c r="CB576" s="10"/>
      <c r="CC576" s="10"/>
      <c r="CD576" s="10"/>
      <c r="CE576" s="10"/>
      <c r="CF576" s="10"/>
      <c r="CG576" s="10"/>
      <c r="CH576" s="10"/>
      <c r="CI576" s="10"/>
      <c r="CJ576" s="10"/>
      <c r="CK576" s="10"/>
      <c r="CL576" s="10"/>
      <c r="CM576" s="10"/>
      <c r="CN576" s="10"/>
      <c r="CO576" s="10"/>
      <c r="CP576" s="10"/>
    </row>
    <row r="577" spans="1:94" ht="15" customHeight="1">
      <c r="A577" s="10"/>
      <c r="B577" s="10"/>
      <c r="C577" s="21" t="s">
        <v>1433</v>
      </c>
      <c r="D577" s="10"/>
      <c r="E577" s="116">
        <f>Контр_панель!J122</f>
        <v>0.05</v>
      </c>
      <c r="F577" s="3"/>
      <c r="G577" s="142" t="s">
        <v>28</v>
      </c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  <c r="BA577" s="10"/>
      <c r="BB577" s="10"/>
      <c r="BC577" s="10"/>
      <c r="BD577" s="10"/>
      <c r="BE577" s="10"/>
      <c r="BF577" s="10"/>
      <c r="BG577" s="10"/>
      <c r="BH577" s="10"/>
      <c r="BI577" s="10"/>
      <c r="BJ577" s="10"/>
      <c r="BK577" s="10"/>
      <c r="BL577" s="10"/>
      <c r="BM577" s="10"/>
      <c r="BN577" s="10"/>
      <c r="BO577" s="10"/>
      <c r="BP577" s="10"/>
      <c r="BQ577" s="10"/>
      <c r="BR577" s="10"/>
      <c r="BS577" s="10"/>
      <c r="BT577" s="10"/>
      <c r="BU577" s="10"/>
      <c r="BV577" s="10"/>
      <c r="BW577" s="10"/>
      <c r="BX577" s="10"/>
      <c r="BY577" s="10"/>
      <c r="BZ577" s="10"/>
      <c r="CA577" s="10"/>
      <c r="CB577" s="10"/>
      <c r="CC577" s="10"/>
      <c r="CD577" s="10"/>
      <c r="CE577" s="10"/>
      <c r="CF577" s="10"/>
      <c r="CG577" s="10"/>
      <c r="CH577" s="10"/>
      <c r="CI577" s="10"/>
      <c r="CJ577" s="10"/>
      <c r="CK577" s="10"/>
      <c r="CL577" s="10"/>
      <c r="CM577" s="10"/>
      <c r="CN577" s="10"/>
      <c r="CO577" s="10"/>
      <c r="CP577" s="10"/>
    </row>
    <row r="578" spans="1:94" ht="15" customHeight="1">
      <c r="A578" s="10"/>
      <c r="B578" s="10"/>
      <c r="C578" s="10"/>
      <c r="D578" s="10"/>
      <c r="E578" s="10"/>
      <c r="F578" s="10"/>
      <c r="G578" s="11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  <c r="BA578" s="10"/>
      <c r="BB578" s="10"/>
      <c r="BC578" s="10"/>
      <c r="BD578" s="10"/>
      <c r="BE578" s="10"/>
      <c r="BF578" s="10"/>
      <c r="BG578" s="10"/>
      <c r="BH578" s="10"/>
      <c r="BI578" s="10"/>
      <c r="BJ578" s="10"/>
      <c r="BK578" s="10"/>
      <c r="BL578" s="10"/>
      <c r="BM578" s="10"/>
      <c r="BN578" s="10"/>
      <c r="BO578" s="10"/>
      <c r="BP578" s="10"/>
      <c r="BQ578" s="10"/>
      <c r="BR578" s="10"/>
      <c r="BS578" s="10"/>
      <c r="BT578" s="10"/>
      <c r="BU578" s="10"/>
      <c r="BV578" s="10"/>
      <c r="BW578" s="10"/>
      <c r="BX578" s="10"/>
      <c r="BY578" s="10"/>
      <c r="BZ578" s="10"/>
      <c r="CA578" s="10"/>
      <c r="CB578" s="10"/>
      <c r="CC578" s="10"/>
      <c r="CD578" s="10"/>
      <c r="CE578" s="10"/>
      <c r="CF578" s="10"/>
      <c r="CG578" s="10"/>
      <c r="CH578" s="10"/>
      <c r="CI578" s="10"/>
      <c r="CJ578" s="10"/>
      <c r="CK578" s="10"/>
      <c r="CL578" s="10"/>
      <c r="CM578" s="10"/>
      <c r="CN578" s="10"/>
      <c r="CO578" s="10"/>
      <c r="CP578" s="10"/>
    </row>
    <row r="579" spans="1:94" ht="15" customHeight="1" thickBot="1">
      <c r="A579" s="10"/>
      <c r="B579" s="10"/>
      <c r="C579" s="12" t="s">
        <v>269</v>
      </c>
      <c r="D579" s="12"/>
      <c r="E579" s="12"/>
      <c r="F579" s="12"/>
      <c r="G579" s="12"/>
      <c r="H579" s="12"/>
      <c r="I579" s="12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  <c r="BL579" s="10"/>
      <c r="BM579" s="10"/>
      <c r="BN579" s="10"/>
      <c r="BO579" s="10"/>
      <c r="BP579" s="10"/>
      <c r="BQ579" s="10"/>
      <c r="BR579" s="10"/>
      <c r="BS579" s="10"/>
      <c r="BT579" s="10"/>
      <c r="BU579" s="10"/>
      <c r="BV579" s="10"/>
      <c r="BW579" s="10"/>
      <c r="BX579" s="10"/>
      <c r="BY579" s="10"/>
      <c r="BZ579" s="10"/>
      <c r="CA579" s="10"/>
      <c r="CB579" s="10"/>
      <c r="CC579" s="10"/>
      <c r="CD579" s="10"/>
      <c r="CE579" s="10"/>
      <c r="CF579" s="10"/>
      <c r="CG579" s="10"/>
      <c r="CH579" s="10"/>
      <c r="CI579" s="10"/>
      <c r="CJ579" s="10"/>
      <c r="CK579" s="10"/>
      <c r="CL579" s="10"/>
      <c r="CM579" s="10"/>
      <c r="CN579" s="10"/>
      <c r="CO579" s="10"/>
      <c r="CP579" s="10"/>
    </row>
    <row r="580" spans="1:94" ht="15" customHeight="1">
      <c r="A580" s="10"/>
      <c r="B580" s="10"/>
      <c r="C580" s="10"/>
      <c r="D580" s="10"/>
      <c r="E580" s="10"/>
      <c r="F580" s="3"/>
      <c r="G580" s="142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  <c r="BA580" s="10"/>
      <c r="BB580" s="10"/>
      <c r="BC580" s="10"/>
      <c r="BD580" s="10"/>
      <c r="BE580" s="10"/>
      <c r="BF580" s="10"/>
      <c r="BG580" s="10"/>
      <c r="BH580" s="10"/>
      <c r="BI580" s="10"/>
      <c r="BJ580" s="10"/>
      <c r="BK580" s="10"/>
      <c r="BL580" s="10"/>
      <c r="BM580" s="10"/>
      <c r="BN580" s="10"/>
      <c r="BO580" s="10"/>
      <c r="BP580" s="10"/>
      <c r="BQ580" s="10"/>
      <c r="BR580" s="10"/>
      <c r="BS580" s="10"/>
      <c r="BT580" s="10"/>
      <c r="BU580" s="10"/>
      <c r="BV580" s="10"/>
      <c r="BW580" s="10"/>
      <c r="BX580" s="10"/>
      <c r="BY580" s="10"/>
      <c r="BZ580" s="10"/>
      <c r="CA580" s="10"/>
      <c r="CB580" s="10"/>
      <c r="CC580" s="10"/>
      <c r="CD580" s="10"/>
      <c r="CE580" s="10"/>
      <c r="CF580" s="10"/>
      <c r="CG580" s="10"/>
      <c r="CH580" s="10"/>
      <c r="CI580" s="10"/>
      <c r="CJ580" s="10"/>
      <c r="CK580" s="10"/>
      <c r="CL580" s="10"/>
      <c r="CM580" s="10"/>
      <c r="CN580" s="10"/>
      <c r="CO580" s="10"/>
      <c r="CP580" s="10"/>
    </row>
    <row r="581" spans="1:94" ht="15" customHeight="1">
      <c r="A581" s="10"/>
      <c r="B581" s="10"/>
      <c r="C581" s="17" t="s">
        <v>1070</v>
      </c>
      <c r="D581" s="10"/>
      <c r="E581" s="80">
        <v>3.9E-2</v>
      </c>
      <c r="F581" s="3"/>
      <c r="G581" s="142" t="s">
        <v>28</v>
      </c>
      <c r="H581" s="393" t="s">
        <v>290</v>
      </c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  <c r="BA581" s="10"/>
      <c r="BB581" s="10"/>
      <c r="BC581" s="10"/>
      <c r="BD581" s="10"/>
      <c r="BE581" s="10"/>
      <c r="BF581" s="10"/>
      <c r="BG581" s="10"/>
      <c r="BH581" s="10"/>
      <c r="BI581" s="10"/>
      <c r="BJ581" s="10"/>
      <c r="BK581" s="10"/>
      <c r="BL581" s="10"/>
      <c r="BM581" s="10"/>
      <c r="BN581" s="10"/>
      <c r="BO581" s="10"/>
      <c r="BP581" s="10"/>
      <c r="BQ581" s="10"/>
      <c r="BR581" s="10"/>
      <c r="BS581" s="10"/>
      <c r="BT581" s="10"/>
      <c r="BU581" s="10"/>
      <c r="BV581" s="10"/>
      <c r="BW581" s="10"/>
      <c r="BX581" s="10"/>
      <c r="BY581" s="10"/>
      <c r="BZ581" s="10"/>
      <c r="CA581" s="10"/>
      <c r="CB581" s="10"/>
      <c r="CC581" s="10"/>
      <c r="CD581" s="10"/>
      <c r="CE581" s="10"/>
      <c r="CF581" s="10"/>
      <c r="CG581" s="10"/>
      <c r="CH581" s="10"/>
      <c r="CI581" s="10"/>
      <c r="CJ581" s="10"/>
      <c r="CK581" s="10"/>
      <c r="CL581" s="10"/>
      <c r="CM581" s="10"/>
      <c r="CN581" s="10"/>
      <c r="CO581" s="10"/>
      <c r="CP581" s="10"/>
    </row>
    <row r="582" spans="1:94" ht="15" customHeight="1">
      <c r="A582" s="10"/>
      <c r="B582" s="10"/>
      <c r="C582" s="17" t="s">
        <v>1071</v>
      </c>
      <c r="D582" s="10"/>
      <c r="E582" s="80">
        <v>7.2300000000000003E-2</v>
      </c>
      <c r="F582" s="3"/>
      <c r="G582" s="142" t="s">
        <v>28</v>
      </c>
      <c r="H582" s="393" t="s">
        <v>289</v>
      </c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  <c r="BA582" s="10"/>
      <c r="BB582" s="10"/>
      <c r="BC582" s="10"/>
      <c r="BD582" s="10"/>
      <c r="BE582" s="10"/>
      <c r="BF582" s="10"/>
      <c r="BG582" s="10"/>
      <c r="BH582" s="10"/>
      <c r="BI582" s="10"/>
      <c r="BJ582" s="10"/>
      <c r="BK582" s="10"/>
      <c r="BL582" s="10"/>
      <c r="BM582" s="10"/>
      <c r="BN582" s="10"/>
      <c r="BO582" s="10"/>
      <c r="BP582" s="10"/>
      <c r="BQ582" s="10"/>
      <c r="BR582" s="10"/>
      <c r="BS582" s="10"/>
      <c r="BT582" s="10"/>
      <c r="BU582" s="10"/>
      <c r="BV582" s="10"/>
      <c r="BW582" s="10"/>
      <c r="BX582" s="10"/>
      <c r="BY582" s="10"/>
      <c r="BZ582" s="10"/>
      <c r="CA582" s="10"/>
      <c r="CB582" s="10"/>
      <c r="CC582" s="10"/>
      <c r="CD582" s="10"/>
      <c r="CE582" s="10"/>
      <c r="CF582" s="10"/>
      <c r="CG582" s="10"/>
      <c r="CH582" s="10"/>
      <c r="CI582" s="10"/>
      <c r="CJ582" s="10"/>
      <c r="CK582" s="10"/>
      <c r="CL582" s="10"/>
      <c r="CM582" s="10"/>
      <c r="CN582" s="10"/>
      <c r="CO582" s="10"/>
      <c r="CP582" s="10"/>
    </row>
    <row r="583" spans="1:94" ht="15" customHeight="1">
      <c r="A583" s="10"/>
      <c r="B583" s="10"/>
      <c r="C583" s="17"/>
      <c r="D583" s="10"/>
      <c r="E583" s="10"/>
      <c r="F583" s="3"/>
      <c r="G583" s="142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  <c r="BA583" s="10"/>
      <c r="BB583" s="10"/>
      <c r="BC583" s="10"/>
      <c r="BD583" s="10"/>
      <c r="BE583" s="10"/>
      <c r="BF583" s="10"/>
      <c r="BG583" s="10"/>
      <c r="BH583" s="10"/>
      <c r="BI583" s="10"/>
      <c r="BJ583" s="10"/>
      <c r="BK583" s="10"/>
      <c r="BL583" s="10"/>
      <c r="BM583" s="10"/>
      <c r="BN583" s="10"/>
      <c r="BO583" s="10"/>
      <c r="BP583" s="10"/>
      <c r="BQ583" s="10"/>
      <c r="BR583" s="10"/>
      <c r="BS583" s="10"/>
      <c r="BT583" s="10"/>
      <c r="BU583" s="10"/>
      <c r="BV583" s="10"/>
      <c r="BW583" s="10"/>
      <c r="BX583" s="10"/>
      <c r="BY583" s="10"/>
      <c r="BZ583" s="10"/>
      <c r="CA583" s="10"/>
      <c r="CB583" s="10"/>
      <c r="CC583" s="10"/>
      <c r="CD583" s="10"/>
      <c r="CE583" s="10"/>
      <c r="CF583" s="10"/>
      <c r="CG583" s="10"/>
      <c r="CH583" s="10"/>
      <c r="CI583" s="10"/>
      <c r="CJ583" s="10"/>
      <c r="CK583" s="10"/>
      <c r="CL583" s="10"/>
      <c r="CM583" s="10"/>
      <c r="CN583" s="10"/>
      <c r="CO583" s="10"/>
      <c r="CP583" s="10"/>
    </row>
    <row r="584" spans="1:94" ht="15" customHeight="1">
      <c r="A584" s="10"/>
      <c r="B584" s="10"/>
      <c r="C584" s="17" t="s">
        <v>298</v>
      </c>
      <c r="D584" s="10"/>
      <c r="E584" s="63">
        <v>1.34</v>
      </c>
      <c r="F584" s="3"/>
      <c r="G584" s="142" t="s">
        <v>378</v>
      </c>
      <c r="H584" s="393" t="s">
        <v>286</v>
      </c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0"/>
      <c r="CA584" s="10"/>
      <c r="CB584" s="10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</row>
    <row r="585" spans="1:94" ht="15" customHeight="1">
      <c r="A585" s="10"/>
      <c r="B585" s="10"/>
      <c r="C585" s="17"/>
      <c r="D585" s="10"/>
      <c r="E585" s="80">
        <v>0</v>
      </c>
      <c r="F585" s="3"/>
      <c r="G585" s="142"/>
      <c r="H585" s="393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  <c r="BA585" s="10"/>
      <c r="BB585" s="10"/>
      <c r="BC585" s="10"/>
      <c r="BD585" s="10"/>
      <c r="BE585" s="10"/>
      <c r="BF585" s="10"/>
      <c r="BG585" s="10"/>
      <c r="BH585" s="10"/>
      <c r="BI585" s="10"/>
      <c r="BJ585" s="10"/>
      <c r="BK585" s="10"/>
      <c r="BL585" s="10"/>
      <c r="BM585" s="10"/>
      <c r="BN585" s="10"/>
      <c r="BO585" s="10"/>
      <c r="BP585" s="10"/>
      <c r="BQ585" s="10"/>
      <c r="BR585" s="10"/>
      <c r="BS585" s="10"/>
      <c r="BT585" s="10"/>
      <c r="BU585" s="10"/>
      <c r="BV585" s="10"/>
      <c r="BW585" s="10"/>
      <c r="BX585" s="10"/>
      <c r="BY585" s="10"/>
      <c r="BZ585" s="10"/>
      <c r="CA585" s="10"/>
      <c r="CB585" s="10"/>
      <c r="CC585" s="10"/>
      <c r="CD585" s="10"/>
      <c r="CE585" s="10"/>
      <c r="CF585" s="10"/>
      <c r="CG585" s="10"/>
      <c r="CH585" s="10"/>
      <c r="CI585" s="10"/>
      <c r="CJ585" s="10"/>
      <c r="CK585" s="10"/>
      <c r="CL585" s="10"/>
      <c r="CM585" s="10"/>
      <c r="CN585" s="10"/>
      <c r="CO585" s="10"/>
      <c r="CP585" s="10"/>
    </row>
    <row r="586" spans="1:94" ht="15" customHeight="1">
      <c r="A586" s="10"/>
      <c r="B586" s="10"/>
      <c r="C586" s="17"/>
      <c r="D586" s="10"/>
      <c r="E586" s="10"/>
      <c r="F586" s="3"/>
      <c r="G586" s="142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  <c r="BA586" s="10"/>
      <c r="BB586" s="10"/>
      <c r="BC586" s="10"/>
      <c r="BD586" s="10"/>
      <c r="BE586" s="10"/>
      <c r="BF586" s="10"/>
      <c r="BG586" s="10"/>
      <c r="BH586" s="10"/>
      <c r="BI586" s="10"/>
      <c r="BJ586" s="10"/>
      <c r="BK586" s="10"/>
      <c r="BL586" s="10"/>
      <c r="BM586" s="10"/>
      <c r="BN586" s="10"/>
      <c r="BO586" s="10"/>
      <c r="BP586" s="10"/>
      <c r="BQ586" s="10"/>
      <c r="BR586" s="10"/>
      <c r="BS586" s="10"/>
      <c r="BT586" s="10"/>
      <c r="BU586" s="10"/>
      <c r="BV586" s="10"/>
      <c r="BW586" s="10"/>
      <c r="BX586" s="10"/>
      <c r="BY586" s="10"/>
      <c r="BZ586" s="10"/>
      <c r="CA586" s="10"/>
      <c r="CB586" s="10"/>
      <c r="CC586" s="10"/>
      <c r="CD586" s="10"/>
      <c r="CE586" s="10"/>
      <c r="CF586" s="10"/>
      <c r="CG586" s="10"/>
      <c r="CH586" s="10"/>
      <c r="CI586" s="10"/>
      <c r="CJ586" s="10"/>
      <c r="CK586" s="10"/>
      <c r="CL586" s="10"/>
      <c r="CM586" s="10"/>
      <c r="CN586" s="10"/>
      <c r="CO586" s="10"/>
      <c r="CP586" s="10"/>
    </row>
    <row r="587" spans="1:94" ht="15" customHeight="1">
      <c r="A587" s="10"/>
      <c r="B587" s="10"/>
      <c r="C587" s="17" t="s">
        <v>1099</v>
      </c>
      <c r="D587" s="10"/>
      <c r="E587" s="80">
        <v>8.5999999999999993E-2</v>
      </c>
      <c r="F587" s="3"/>
      <c r="G587" s="142" t="s">
        <v>28</v>
      </c>
      <c r="H587" s="393" t="s">
        <v>287</v>
      </c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  <c r="BA587" s="10"/>
      <c r="BB587" s="10"/>
      <c r="BC587" s="10"/>
      <c r="BD587" s="10"/>
      <c r="BE587" s="10"/>
      <c r="BF587" s="10"/>
      <c r="BG587" s="10"/>
      <c r="BH587" s="10"/>
      <c r="BI587" s="10"/>
      <c r="BJ587" s="10"/>
      <c r="BK587" s="10"/>
      <c r="BL587" s="10"/>
      <c r="BM587" s="10"/>
      <c r="BN587" s="10"/>
      <c r="BO587" s="10"/>
      <c r="BP587" s="10"/>
      <c r="BQ587" s="10"/>
      <c r="BR587" s="10"/>
      <c r="BS587" s="10"/>
      <c r="BT587" s="10"/>
      <c r="BU587" s="10"/>
      <c r="BV587" s="10"/>
      <c r="BW587" s="10"/>
      <c r="BX587" s="10"/>
      <c r="BY587" s="10"/>
      <c r="BZ587" s="10"/>
      <c r="CA587" s="10"/>
      <c r="CB587" s="10"/>
      <c r="CC587" s="10"/>
      <c r="CD587" s="10"/>
      <c r="CE587" s="10"/>
      <c r="CF587" s="10"/>
      <c r="CG587" s="10"/>
      <c r="CH587" s="10"/>
      <c r="CI587" s="10"/>
      <c r="CJ587" s="10"/>
      <c r="CK587" s="10"/>
      <c r="CL587" s="10"/>
      <c r="CM587" s="10"/>
      <c r="CN587" s="10"/>
      <c r="CO587" s="10"/>
      <c r="CP587" s="10"/>
    </row>
    <row r="588" spans="1:94" ht="15" customHeight="1">
      <c r="A588" s="10"/>
      <c r="B588" s="10"/>
      <c r="C588" s="17" t="s">
        <v>346</v>
      </c>
      <c r="D588" s="10"/>
      <c r="E588" s="80">
        <v>0.14099999999999999</v>
      </c>
      <c r="F588" s="21"/>
      <c r="G588" s="142" t="s">
        <v>28</v>
      </c>
      <c r="H588" s="393" t="s">
        <v>288</v>
      </c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  <c r="BA588" s="10"/>
      <c r="BB588" s="10"/>
      <c r="BC588" s="10"/>
      <c r="BD588" s="10"/>
      <c r="BE588" s="10"/>
      <c r="BF588" s="10"/>
      <c r="BG588" s="10"/>
      <c r="BH588" s="10"/>
      <c r="BI588" s="10"/>
      <c r="BJ588" s="10"/>
      <c r="BK588" s="10"/>
      <c r="BL588" s="10"/>
      <c r="BM588" s="10"/>
      <c r="BN588" s="10"/>
      <c r="BO588" s="10"/>
      <c r="BP588" s="10"/>
      <c r="BQ588" s="10"/>
      <c r="BR588" s="10"/>
      <c r="BS588" s="10"/>
      <c r="BT588" s="10"/>
      <c r="BU588" s="10"/>
      <c r="BV588" s="10"/>
      <c r="BW588" s="10"/>
      <c r="BX588" s="10"/>
      <c r="BY588" s="10"/>
      <c r="BZ588" s="10"/>
      <c r="CA588" s="10"/>
      <c r="CB588" s="10"/>
      <c r="CC588" s="10"/>
      <c r="CD588" s="10"/>
      <c r="CE588" s="10"/>
      <c r="CF588" s="10"/>
      <c r="CG588" s="10"/>
      <c r="CH588" s="10"/>
      <c r="CI588" s="10"/>
      <c r="CJ588" s="10"/>
      <c r="CK588" s="10"/>
      <c r="CL588" s="10"/>
      <c r="CM588" s="10"/>
      <c r="CN588" s="10"/>
      <c r="CO588" s="10"/>
      <c r="CP588" s="10"/>
    </row>
    <row r="589" spans="1:94" ht="15" customHeight="1">
      <c r="A589" s="10"/>
      <c r="B589" s="10"/>
      <c r="C589" s="17"/>
      <c r="D589" s="10"/>
      <c r="E589" s="10"/>
      <c r="F589" s="21"/>
      <c r="G589" s="142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  <c r="BL589" s="10"/>
      <c r="BM589" s="10"/>
      <c r="BN589" s="10"/>
      <c r="BO589" s="10"/>
      <c r="BP589" s="10"/>
      <c r="BQ589" s="10"/>
      <c r="BR589" s="10"/>
      <c r="BS589" s="10"/>
      <c r="BT589" s="10"/>
      <c r="BU589" s="10"/>
      <c r="BV589" s="10"/>
      <c r="BW589" s="10"/>
      <c r="BX589" s="10"/>
      <c r="BY589" s="10"/>
      <c r="BZ589" s="10"/>
      <c r="CA589" s="10"/>
      <c r="CB589" s="10"/>
      <c r="CC589" s="10"/>
      <c r="CD589" s="10"/>
      <c r="CE589" s="10"/>
      <c r="CF589" s="10"/>
      <c r="CG589" s="10"/>
      <c r="CH589" s="10"/>
      <c r="CI589" s="10"/>
      <c r="CJ589" s="10"/>
      <c r="CK589" s="10"/>
      <c r="CL589" s="10"/>
      <c r="CM589" s="10"/>
      <c r="CN589" s="10"/>
      <c r="CO589" s="10"/>
      <c r="CP589" s="10"/>
    </row>
    <row r="590" spans="1:94" ht="15" customHeight="1">
      <c r="A590" s="10"/>
      <c r="B590" s="10"/>
      <c r="C590" s="17" t="s">
        <v>1117</v>
      </c>
      <c r="D590" s="10"/>
      <c r="E590" s="406">
        <v>2</v>
      </c>
      <c r="F590" s="21"/>
      <c r="G590" s="142" t="s">
        <v>504</v>
      </c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  <c r="BA590" s="10"/>
      <c r="BB590" s="10"/>
      <c r="BC590" s="10"/>
      <c r="BD590" s="10"/>
      <c r="BE590" s="10"/>
      <c r="BF590" s="10"/>
      <c r="BG590" s="10"/>
      <c r="BH590" s="10"/>
      <c r="BI590" s="10"/>
      <c r="BJ590" s="10"/>
      <c r="BK590" s="10"/>
      <c r="BL590" s="10"/>
      <c r="BM590" s="10"/>
      <c r="BN590" s="10"/>
      <c r="BO590" s="10"/>
      <c r="BP590" s="10"/>
      <c r="BQ590" s="10"/>
      <c r="BR590" s="10"/>
      <c r="BS590" s="10"/>
      <c r="BT590" s="10"/>
      <c r="BU590" s="10"/>
      <c r="BV590" s="10"/>
      <c r="BW590" s="10"/>
      <c r="BX590" s="10"/>
      <c r="BY590" s="10"/>
      <c r="BZ590" s="10"/>
      <c r="CA590" s="10"/>
      <c r="CB590" s="10"/>
      <c r="CC590" s="10"/>
      <c r="CD590" s="10"/>
      <c r="CE590" s="10"/>
      <c r="CF590" s="10"/>
      <c r="CG590" s="10"/>
      <c r="CH590" s="10"/>
      <c r="CI590" s="10"/>
      <c r="CJ590" s="10"/>
      <c r="CK590" s="10"/>
      <c r="CL590" s="10"/>
      <c r="CM590" s="10"/>
      <c r="CN590" s="10"/>
      <c r="CO590" s="10"/>
      <c r="CP590" s="10"/>
    </row>
    <row r="591" spans="1:94" ht="15" customHeight="1">
      <c r="A591" s="10"/>
      <c r="B591" s="10"/>
      <c r="C591" s="17"/>
      <c r="D591" s="10"/>
      <c r="E591" s="10"/>
      <c r="F591" s="21"/>
      <c r="G591" s="142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  <c r="BA591" s="10"/>
      <c r="BB591" s="10"/>
      <c r="BC591" s="10"/>
      <c r="BD591" s="10"/>
      <c r="BE591" s="10"/>
      <c r="BF591" s="10"/>
      <c r="BG591" s="10"/>
      <c r="BH591" s="10"/>
      <c r="BI591" s="10"/>
      <c r="BJ591" s="10"/>
      <c r="BK591" s="10"/>
      <c r="BL591" s="10"/>
      <c r="BM591" s="10"/>
      <c r="BN591" s="10"/>
      <c r="BO591" s="10"/>
      <c r="BP591" s="10"/>
      <c r="BQ591" s="10"/>
      <c r="BR591" s="10"/>
      <c r="BS591" s="10"/>
      <c r="BT591" s="10"/>
      <c r="BU591" s="10"/>
      <c r="BV591" s="10"/>
      <c r="BW591" s="10"/>
      <c r="BX591" s="10"/>
      <c r="BY591" s="10"/>
      <c r="BZ591" s="10"/>
      <c r="CA591" s="10"/>
      <c r="CB591" s="10"/>
      <c r="CC591" s="10"/>
      <c r="CD591" s="10"/>
      <c r="CE591" s="10"/>
      <c r="CF591" s="10"/>
      <c r="CG591" s="10"/>
      <c r="CH591" s="10"/>
      <c r="CI591" s="10"/>
      <c r="CJ591" s="10"/>
      <c r="CK591" s="10"/>
      <c r="CL591" s="10"/>
      <c r="CM591" s="10"/>
      <c r="CN591" s="10"/>
      <c r="CO591" s="10"/>
      <c r="CP591" s="10"/>
    </row>
    <row r="592" spans="1:94" ht="15" customHeight="1">
      <c r="A592" s="10"/>
      <c r="B592" s="10"/>
      <c r="C592" s="17" t="s">
        <v>1076</v>
      </c>
      <c r="D592" s="10"/>
      <c r="E592" s="63">
        <v>1</v>
      </c>
      <c r="F592" s="3"/>
      <c r="G592" s="142" t="s">
        <v>378</v>
      </c>
      <c r="H592" s="10" t="s">
        <v>500</v>
      </c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  <c r="BA592" s="10"/>
      <c r="BB592" s="10"/>
      <c r="BC592" s="10"/>
      <c r="BD592" s="10"/>
      <c r="BE592" s="10"/>
      <c r="BF592" s="10"/>
      <c r="BG592" s="10"/>
      <c r="BH592" s="10"/>
      <c r="BI592" s="10"/>
      <c r="BJ592" s="10"/>
      <c r="BK592" s="10"/>
      <c r="BL592" s="10"/>
      <c r="BM592" s="10"/>
      <c r="BN592" s="10"/>
      <c r="BO592" s="10"/>
      <c r="BP592" s="10"/>
      <c r="BQ592" s="10"/>
      <c r="BR592" s="10"/>
      <c r="BS592" s="10"/>
      <c r="BT592" s="10"/>
      <c r="BU592" s="10"/>
      <c r="BV592" s="10"/>
      <c r="BW592" s="10"/>
      <c r="BX592" s="10"/>
      <c r="BY592" s="10"/>
      <c r="BZ592" s="10"/>
      <c r="CA592" s="10"/>
      <c r="CB592" s="10"/>
      <c r="CC592" s="10"/>
      <c r="CD592" s="10"/>
      <c r="CE592" s="10"/>
      <c r="CF592" s="10"/>
      <c r="CG592" s="10"/>
      <c r="CH592" s="10"/>
      <c r="CI592" s="10"/>
      <c r="CJ592" s="10"/>
      <c r="CK592" s="10"/>
      <c r="CL592" s="10"/>
      <c r="CM592" s="10"/>
      <c r="CN592" s="10"/>
      <c r="CO592" s="10"/>
      <c r="CP592" s="10"/>
    </row>
    <row r="593" spans="1:94" ht="26.25" customHeight="1">
      <c r="A593" s="10"/>
      <c r="B593" s="10"/>
      <c r="C593" s="377" t="s">
        <v>1038</v>
      </c>
      <c r="D593" s="10"/>
      <c r="E593" s="378" t="s">
        <v>846</v>
      </c>
      <c r="F593" s="21"/>
      <c r="G593" s="142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  <c r="BA593" s="10"/>
      <c r="BB593" s="10"/>
      <c r="BC593" s="10"/>
      <c r="BD593" s="10"/>
      <c r="BE593" s="10"/>
      <c r="BF593" s="10"/>
      <c r="BG593" s="10"/>
      <c r="BH593" s="10"/>
      <c r="BI593" s="10"/>
      <c r="BJ593" s="10"/>
      <c r="BK593" s="10"/>
      <c r="BL593" s="10"/>
      <c r="BM593" s="10"/>
      <c r="BN593" s="10"/>
      <c r="BO593" s="10"/>
      <c r="BP593" s="10"/>
      <c r="BQ593" s="10"/>
      <c r="BR593" s="10"/>
      <c r="BS593" s="10"/>
      <c r="BT593" s="10"/>
      <c r="BU593" s="10"/>
      <c r="BV593" s="10"/>
      <c r="BW593" s="10"/>
      <c r="BX593" s="10"/>
      <c r="BY593" s="10"/>
      <c r="BZ593" s="10"/>
      <c r="CA593" s="10"/>
      <c r="CB593" s="10"/>
      <c r="CC593" s="10"/>
      <c r="CD593" s="10"/>
      <c r="CE593" s="10"/>
      <c r="CF593" s="10"/>
      <c r="CG593" s="10"/>
      <c r="CH593" s="10"/>
      <c r="CI593" s="10"/>
      <c r="CJ593" s="10"/>
      <c r="CK593" s="10"/>
      <c r="CL593" s="10"/>
      <c r="CM593" s="10"/>
      <c r="CN593" s="10"/>
      <c r="CO593" s="10"/>
      <c r="CP593" s="10"/>
    </row>
    <row r="594" spans="1:94" ht="15" customHeight="1">
      <c r="A594" s="10"/>
      <c r="B594" s="10"/>
      <c r="C594" s="17"/>
      <c r="D594" s="10"/>
      <c r="E594" s="21"/>
      <c r="F594" s="21"/>
      <c r="G594" s="142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  <c r="BL594" s="10"/>
      <c r="BM594" s="10"/>
      <c r="BN594" s="10"/>
      <c r="B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  <c r="CD594" s="10"/>
      <c r="CE594" s="10"/>
      <c r="CF594" s="10"/>
      <c r="CG594" s="10"/>
      <c r="CH594" s="10"/>
      <c r="CI594" s="10"/>
      <c r="CJ594" s="10"/>
      <c r="CK594" s="10"/>
      <c r="CL594" s="10"/>
      <c r="CM594" s="10"/>
      <c r="CN594" s="10"/>
      <c r="CO594" s="10"/>
      <c r="CP594" s="10"/>
    </row>
    <row r="595" spans="1:94" ht="22.5" customHeight="1">
      <c r="A595" s="10"/>
      <c r="B595" s="5" t="s">
        <v>116</v>
      </c>
      <c r="C595" s="5"/>
      <c r="D595" s="31"/>
      <c r="E595" s="5"/>
      <c r="F595" s="5"/>
      <c r="G595" s="6"/>
      <c r="H595" s="31"/>
      <c r="I595" s="5"/>
      <c r="J595" s="5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  <c r="BM595" s="31"/>
      <c r="BN595" s="31"/>
      <c r="BO595" s="31"/>
      <c r="BP595" s="31"/>
      <c r="BQ595" s="31"/>
      <c r="BR595" s="31"/>
      <c r="BS595" s="31"/>
      <c r="BT595" s="31"/>
      <c r="BU595" s="31"/>
      <c r="BV595" s="31"/>
      <c r="BW595" s="31"/>
      <c r="BX595" s="31"/>
      <c r="BY595" s="31"/>
      <c r="BZ595" s="31"/>
      <c r="CA595" s="31"/>
      <c r="CB595" s="31"/>
      <c r="CC595" s="31"/>
      <c r="CD595" s="31"/>
      <c r="CE595" s="31"/>
      <c r="CF595" s="31"/>
      <c r="CG595" s="31"/>
      <c r="CH595" s="31"/>
      <c r="CI595" s="31"/>
      <c r="CJ595" s="31"/>
      <c r="CK595" s="31"/>
      <c r="CL595" s="31"/>
      <c r="CM595" s="31"/>
      <c r="CN595" s="31"/>
      <c r="CO595" s="31"/>
      <c r="CP595" s="10"/>
    </row>
    <row r="596" spans="1:94" ht="15" customHeight="1">
      <c r="A596" s="10"/>
      <c r="B596" s="10"/>
      <c r="C596" s="10"/>
      <c r="D596" s="10"/>
      <c r="E596" s="10"/>
      <c r="F596" s="68"/>
      <c r="G596" s="142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  <c r="BA596" s="10"/>
      <c r="BB596" s="10"/>
      <c r="BC596" s="10"/>
      <c r="BD596" s="10"/>
      <c r="BE596" s="10"/>
      <c r="BF596" s="10"/>
      <c r="BG596" s="10"/>
      <c r="BH596" s="10"/>
      <c r="BI596" s="10"/>
      <c r="BJ596" s="10"/>
      <c r="BK596" s="10"/>
      <c r="BL596" s="10"/>
      <c r="BM596" s="10"/>
      <c r="BN596" s="10"/>
      <c r="BO596" s="10"/>
      <c r="BP596" s="10"/>
      <c r="BQ596" s="10"/>
      <c r="BR596" s="10"/>
      <c r="BS596" s="10"/>
      <c r="BT596" s="10"/>
      <c r="BU596" s="10"/>
      <c r="BV596" s="10"/>
      <c r="BW596" s="10"/>
      <c r="BX596" s="10"/>
      <c r="BY596" s="10"/>
      <c r="BZ596" s="10"/>
      <c r="CA596" s="10"/>
      <c r="CB596" s="10"/>
      <c r="CC596" s="10"/>
      <c r="CD596" s="10"/>
      <c r="CE596" s="10"/>
      <c r="CF596" s="10"/>
      <c r="CG596" s="10"/>
      <c r="CH596" s="10"/>
      <c r="CI596" s="10"/>
      <c r="CJ596" s="10"/>
      <c r="CK596" s="10"/>
      <c r="CL596" s="10"/>
      <c r="CM596" s="10"/>
      <c r="CN596" s="10"/>
      <c r="CO596" s="10"/>
      <c r="CP596" s="10"/>
    </row>
    <row r="597" spans="1:94" ht="15" customHeight="1" thickBot="1">
      <c r="A597" s="10"/>
      <c r="B597" s="10"/>
      <c r="C597" s="12" t="s">
        <v>107</v>
      </c>
      <c r="D597" s="12"/>
      <c r="E597" s="12"/>
      <c r="F597" s="12"/>
      <c r="G597" s="12"/>
      <c r="H597" s="12"/>
      <c r="I597" s="12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  <c r="BA597" s="10"/>
      <c r="BB597" s="10"/>
      <c r="BC597" s="10"/>
      <c r="BD597" s="10"/>
      <c r="BE597" s="10"/>
      <c r="BF597" s="10"/>
      <c r="BG597" s="10"/>
      <c r="BH597" s="10"/>
      <c r="BI597" s="10"/>
      <c r="BJ597" s="10"/>
      <c r="BK597" s="10"/>
      <c r="BL597" s="10"/>
      <c r="BM597" s="10"/>
      <c r="BN597" s="10"/>
      <c r="BO597" s="10"/>
      <c r="BP597" s="10"/>
      <c r="BQ597" s="10"/>
      <c r="BR597" s="10"/>
      <c r="BS597" s="10"/>
      <c r="BT597" s="10"/>
      <c r="BU597" s="10"/>
      <c r="BV597" s="10"/>
      <c r="BW597" s="10"/>
      <c r="BX597" s="10"/>
      <c r="BY597" s="10"/>
      <c r="BZ597" s="10"/>
      <c r="CA597" s="10"/>
      <c r="CB597" s="10"/>
      <c r="CC597" s="10"/>
      <c r="CD597" s="10"/>
      <c r="CE597" s="10"/>
      <c r="CF597" s="10"/>
      <c r="CG597" s="10"/>
      <c r="CH597" s="10"/>
      <c r="CI597" s="10"/>
      <c r="CJ597" s="10"/>
      <c r="CK597" s="10"/>
      <c r="CL597" s="10"/>
      <c r="CM597" s="10"/>
      <c r="CN597" s="10"/>
      <c r="CO597" s="10"/>
      <c r="CP597" s="10"/>
    </row>
    <row r="598" spans="1:94" ht="15" customHeight="1">
      <c r="A598" s="10"/>
      <c r="B598" s="10"/>
      <c r="C598" s="10"/>
      <c r="D598" s="10"/>
      <c r="E598" s="10"/>
      <c r="F598" s="70"/>
      <c r="G598" s="11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  <c r="BA598" s="10"/>
      <c r="BB598" s="10"/>
      <c r="BC598" s="10"/>
      <c r="BD598" s="10"/>
      <c r="BE598" s="10"/>
      <c r="BF598" s="10"/>
      <c r="BG598" s="10"/>
      <c r="BH598" s="10"/>
      <c r="BI598" s="10"/>
      <c r="BJ598" s="10"/>
      <c r="BK598" s="10"/>
      <c r="BL598" s="10"/>
      <c r="BM598" s="10"/>
      <c r="BN598" s="10"/>
      <c r="BO598" s="10"/>
      <c r="BP598" s="10"/>
      <c r="BQ598" s="10"/>
      <c r="BR598" s="10"/>
      <c r="BS598" s="10"/>
      <c r="BT598" s="10"/>
      <c r="BU598" s="10"/>
      <c r="BV598" s="10"/>
      <c r="BW598" s="10"/>
      <c r="BX598" s="10"/>
      <c r="BY598" s="10"/>
      <c r="BZ598" s="10"/>
      <c r="CA598" s="10"/>
      <c r="CB598" s="10"/>
      <c r="CC598" s="10"/>
      <c r="CD598" s="10"/>
      <c r="CE598" s="10"/>
      <c r="CF598" s="10"/>
      <c r="CG598" s="10"/>
      <c r="CH598" s="10"/>
      <c r="CI598" s="10"/>
      <c r="CJ598" s="10"/>
      <c r="CK598" s="10"/>
      <c r="CL598" s="10"/>
      <c r="CM598" s="10"/>
      <c r="CN598" s="10"/>
      <c r="CO598" s="10"/>
      <c r="CP598" s="10"/>
    </row>
    <row r="599" spans="1:94">
      <c r="A599" s="10"/>
      <c r="B599" s="10"/>
      <c r="C599" s="40" t="s">
        <v>1119</v>
      </c>
      <c r="D599" s="10"/>
      <c r="E599" s="80">
        <v>0.155</v>
      </c>
      <c r="F599" s="68"/>
      <c r="G599" s="142" t="s">
        <v>28</v>
      </c>
      <c r="H599" s="10" t="s">
        <v>117</v>
      </c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  <c r="BL599" s="10"/>
      <c r="BM599" s="10"/>
      <c r="BN599" s="10"/>
      <c r="BO599" s="10"/>
      <c r="BP599" s="10"/>
      <c r="BQ599" s="10"/>
      <c r="BR599" s="10"/>
      <c r="BS599" s="10"/>
      <c r="BT599" s="10"/>
      <c r="BU599" s="10"/>
      <c r="BV599" s="10"/>
      <c r="BW599" s="10"/>
      <c r="BX599" s="10"/>
      <c r="BY599" s="10"/>
      <c r="BZ599" s="10"/>
      <c r="CA599" s="10"/>
      <c r="CB599" s="10"/>
      <c r="CC599" s="10"/>
      <c r="CD599" s="10"/>
      <c r="CE599" s="10"/>
      <c r="CF599" s="10"/>
      <c r="CG599" s="10"/>
      <c r="CH599" s="10"/>
      <c r="CI599" s="10"/>
      <c r="CJ599" s="10"/>
      <c r="CK599" s="10"/>
      <c r="CL599" s="10"/>
      <c r="CM599" s="10"/>
      <c r="CN599" s="10"/>
      <c r="CO599" s="10"/>
      <c r="CP599" s="10"/>
    </row>
    <row r="600" spans="1:94">
      <c r="A600" s="10"/>
      <c r="B600" s="10"/>
      <c r="C600" s="40" t="s">
        <v>1120</v>
      </c>
      <c r="D600" s="10"/>
      <c r="E600" s="80">
        <v>0.13</v>
      </c>
      <c r="F600" s="68"/>
      <c r="G600" s="142" t="s">
        <v>28</v>
      </c>
      <c r="H600" s="10" t="s">
        <v>117</v>
      </c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  <c r="BA600" s="10"/>
      <c r="BB600" s="10"/>
      <c r="BC600" s="10"/>
      <c r="BD600" s="10"/>
      <c r="BE600" s="10"/>
      <c r="BF600" s="10"/>
      <c r="BG600" s="10"/>
      <c r="BH600" s="10"/>
      <c r="BI600" s="10"/>
      <c r="BJ600" s="10"/>
      <c r="BK600" s="10"/>
      <c r="BL600" s="10"/>
      <c r="BM600" s="10"/>
      <c r="BN600" s="10"/>
      <c r="BO600" s="10"/>
      <c r="BP600" s="10"/>
      <c r="BQ600" s="10"/>
      <c r="BR600" s="10"/>
      <c r="BS600" s="10"/>
      <c r="BT600" s="10"/>
      <c r="BU600" s="10"/>
      <c r="BV600" s="10"/>
      <c r="BW600" s="10"/>
      <c r="BX600" s="10"/>
      <c r="BY600" s="10"/>
      <c r="BZ600" s="10"/>
      <c r="CA600" s="10"/>
      <c r="CB600" s="10"/>
      <c r="CC600" s="10"/>
      <c r="CD600" s="10"/>
      <c r="CE600" s="10"/>
      <c r="CF600" s="10"/>
      <c r="CG600" s="10"/>
      <c r="CH600" s="10"/>
      <c r="CI600" s="10"/>
      <c r="CJ600" s="10"/>
      <c r="CK600" s="10"/>
      <c r="CL600" s="10"/>
      <c r="CM600" s="10"/>
      <c r="CN600" s="10"/>
      <c r="CO600" s="10"/>
      <c r="CP600" s="10"/>
    </row>
    <row r="601" spans="1:94">
      <c r="A601" s="10"/>
      <c r="B601" s="10"/>
      <c r="C601" s="40" t="str">
        <f>"Максимально возможный объем зачета налоговых убытков (2017 - " &amp; E602-1 &amp; " гг.)"</f>
        <v>Максимально возможный объем зачета налоговых убытков (2017 - 2038 гг.)</v>
      </c>
      <c r="D601" s="10"/>
      <c r="E601" s="80">
        <v>0.5</v>
      </c>
      <c r="F601" s="68"/>
      <c r="G601" s="142" t="s">
        <v>28</v>
      </c>
      <c r="H601" s="10" t="s">
        <v>117</v>
      </c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  <c r="BA601" s="10"/>
      <c r="BB601" s="10"/>
      <c r="BC601" s="10"/>
      <c r="BD601" s="10"/>
      <c r="BE601" s="10"/>
      <c r="BF601" s="10"/>
      <c r="BG601" s="10"/>
      <c r="BH601" s="10"/>
      <c r="BI601" s="10"/>
      <c r="BJ601" s="10"/>
      <c r="BK601" s="10"/>
      <c r="BL601" s="10"/>
      <c r="BM601" s="10"/>
      <c r="BN601" s="10"/>
      <c r="BO601" s="10"/>
      <c r="BP601" s="10"/>
      <c r="BQ601" s="10"/>
      <c r="BR601" s="10"/>
      <c r="BS601" s="10"/>
      <c r="BT601" s="10"/>
      <c r="BU601" s="10"/>
      <c r="BV601" s="10"/>
      <c r="BW601" s="10"/>
      <c r="BX601" s="10"/>
      <c r="BY601" s="10"/>
      <c r="BZ601" s="10"/>
      <c r="CA601" s="10"/>
      <c r="CB601" s="10"/>
      <c r="CC601" s="10"/>
      <c r="CD601" s="10"/>
      <c r="CE601" s="10"/>
      <c r="CF601" s="10"/>
      <c r="CG601" s="10"/>
      <c r="CH601" s="10"/>
      <c r="CI601" s="10"/>
      <c r="CJ601" s="10"/>
      <c r="CK601" s="10"/>
      <c r="CL601" s="10"/>
      <c r="CM601" s="10"/>
      <c r="CN601" s="10"/>
      <c r="CO601" s="10"/>
      <c r="CP601" s="10"/>
    </row>
    <row r="602" spans="1:94" ht="26.25">
      <c r="A602" s="10"/>
      <c r="B602" s="10"/>
      <c r="C602" s="40" t="s">
        <v>1202</v>
      </c>
      <c r="D602" s="10"/>
      <c r="E602" s="394">
        <v>2039</v>
      </c>
      <c r="F602" s="68"/>
      <c r="G602" s="142" t="s">
        <v>45</v>
      </c>
      <c r="H602" s="10" t="s">
        <v>117</v>
      </c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  <c r="BA602" s="10"/>
      <c r="BB602" s="10"/>
      <c r="BC602" s="10"/>
      <c r="BD602" s="10"/>
      <c r="BE602" s="10"/>
      <c r="BF602" s="10"/>
      <c r="BG602" s="10"/>
      <c r="BH602" s="10"/>
      <c r="BI602" s="10"/>
      <c r="BJ602" s="10"/>
      <c r="BK602" s="10"/>
      <c r="BL602" s="10"/>
      <c r="BM602" s="10"/>
      <c r="BN602" s="10"/>
      <c r="BO602" s="10"/>
      <c r="BP602" s="10"/>
      <c r="BQ602" s="10"/>
      <c r="BR602" s="10"/>
      <c r="BS602" s="10"/>
      <c r="BT602" s="10"/>
      <c r="BU602" s="10"/>
      <c r="BV602" s="10"/>
      <c r="BW602" s="10"/>
      <c r="BX602" s="10"/>
      <c r="BY602" s="10"/>
      <c r="BZ602" s="10"/>
      <c r="CA602" s="10"/>
      <c r="CB602" s="10"/>
      <c r="CC602" s="10"/>
      <c r="CD602" s="10"/>
      <c r="CE602" s="10"/>
      <c r="CF602" s="10"/>
      <c r="CG602" s="10"/>
      <c r="CH602" s="10"/>
      <c r="CI602" s="10"/>
      <c r="CJ602" s="10"/>
      <c r="CK602" s="10"/>
      <c r="CL602" s="10"/>
      <c r="CM602" s="10"/>
      <c r="CN602" s="10"/>
      <c r="CO602" s="10"/>
      <c r="CP602" s="10"/>
    </row>
    <row r="603" spans="1:94" ht="15" customHeight="1">
      <c r="A603" s="10"/>
      <c r="B603" s="10"/>
      <c r="C603" s="17"/>
      <c r="D603" s="10"/>
      <c r="E603" s="10"/>
      <c r="F603" s="68"/>
      <c r="G603" s="142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  <c r="BA603" s="10"/>
      <c r="BB603" s="10"/>
      <c r="BC603" s="10"/>
      <c r="BD603" s="10"/>
      <c r="BE603" s="10"/>
      <c r="BF603" s="10"/>
      <c r="BG603" s="10"/>
      <c r="BH603" s="10"/>
      <c r="BI603" s="10"/>
      <c r="BJ603" s="10"/>
      <c r="BK603" s="10"/>
      <c r="BL603" s="10"/>
      <c r="BM603" s="10"/>
      <c r="BN603" s="10"/>
      <c r="BO603" s="10"/>
      <c r="BP603" s="10"/>
      <c r="BQ603" s="10"/>
      <c r="BR603" s="10"/>
      <c r="BS603" s="10"/>
      <c r="BT603" s="10"/>
      <c r="BU603" s="10"/>
      <c r="BV603" s="10"/>
      <c r="BW603" s="10"/>
      <c r="BX603" s="10"/>
      <c r="BY603" s="10"/>
      <c r="BZ603" s="10"/>
      <c r="CA603" s="10"/>
      <c r="CB603" s="10"/>
      <c r="CC603" s="10"/>
      <c r="CD603" s="10"/>
      <c r="CE603" s="10"/>
      <c r="CF603" s="10"/>
      <c r="CG603" s="10"/>
      <c r="CH603" s="10"/>
      <c r="CI603" s="10"/>
      <c r="CJ603" s="10"/>
      <c r="CK603" s="10"/>
      <c r="CL603" s="10"/>
      <c r="CM603" s="10"/>
      <c r="CN603" s="10"/>
      <c r="CO603" s="10"/>
      <c r="CP603" s="10"/>
    </row>
    <row r="604" spans="1:94" ht="15" customHeight="1" thickBot="1">
      <c r="A604" s="10"/>
      <c r="B604" s="10"/>
      <c r="C604" s="12" t="s">
        <v>120</v>
      </c>
      <c r="D604" s="12"/>
      <c r="E604" s="12"/>
      <c r="F604" s="12"/>
      <c r="G604" s="12"/>
      <c r="H604" s="12"/>
      <c r="I604" s="12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  <c r="BL604" s="10"/>
      <c r="BM604" s="10"/>
      <c r="BN604" s="10"/>
      <c r="B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  <c r="CP604" s="10"/>
    </row>
    <row r="605" spans="1:94" ht="15" customHeight="1">
      <c r="A605" s="10"/>
      <c r="B605" s="10"/>
      <c r="C605" s="40"/>
      <c r="D605" s="10"/>
      <c r="E605" s="10"/>
      <c r="F605" s="68"/>
      <c r="G605" s="142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  <c r="BA605" s="10"/>
      <c r="BB605" s="10"/>
      <c r="BC605" s="10"/>
      <c r="BD605" s="10"/>
      <c r="BE605" s="10"/>
      <c r="BF605" s="10"/>
      <c r="BG605" s="10"/>
      <c r="BH605" s="10"/>
      <c r="BI605" s="10"/>
      <c r="BJ605" s="10"/>
      <c r="BK605" s="10"/>
      <c r="BL605" s="10"/>
      <c r="BM605" s="10"/>
      <c r="BN605" s="10"/>
      <c r="BO605" s="10"/>
      <c r="BP605" s="10"/>
      <c r="BQ605" s="10"/>
      <c r="BR605" s="10"/>
      <c r="BS605" s="10"/>
      <c r="BT605" s="10"/>
      <c r="BU605" s="10"/>
      <c r="BV605" s="10"/>
      <c r="BW605" s="10"/>
      <c r="BX605" s="10"/>
      <c r="BY605" s="10"/>
      <c r="BZ605" s="10"/>
      <c r="CA605" s="10"/>
      <c r="CB605" s="10"/>
      <c r="CC605" s="10"/>
      <c r="CD605" s="10"/>
      <c r="CE605" s="10"/>
      <c r="CF605" s="10"/>
      <c r="CG605" s="10"/>
      <c r="CH605" s="10"/>
      <c r="CI605" s="10"/>
      <c r="CJ605" s="10"/>
      <c r="CK605" s="10"/>
      <c r="CL605" s="10"/>
      <c r="CM605" s="10"/>
      <c r="CN605" s="10"/>
      <c r="CO605" s="10"/>
      <c r="CP605" s="10"/>
    </row>
    <row r="606" spans="1:94">
      <c r="A606" s="10"/>
      <c r="B606" s="10"/>
      <c r="C606" s="40" t="s">
        <v>121</v>
      </c>
      <c r="D606" s="10"/>
      <c r="E606" s="14">
        <v>2</v>
      </c>
      <c r="F606" s="68"/>
      <c r="G606" s="142" t="s">
        <v>648</v>
      </c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  <c r="BA606" s="10"/>
      <c r="BB606" s="10"/>
      <c r="BC606" s="10"/>
      <c r="BD606" s="10"/>
      <c r="BE606" s="10"/>
      <c r="BF606" s="10"/>
      <c r="BG606" s="10"/>
      <c r="BH606" s="10"/>
      <c r="BI606" s="10"/>
      <c r="BJ606" s="10"/>
      <c r="BK606" s="10"/>
      <c r="BL606" s="10"/>
      <c r="BM606" s="10"/>
      <c r="BN606" s="10"/>
      <c r="BO606" s="10"/>
      <c r="BP606" s="10"/>
      <c r="BQ606" s="10"/>
      <c r="BR606" s="10"/>
      <c r="BS606" s="10"/>
      <c r="BT606" s="10"/>
      <c r="BU606" s="10"/>
      <c r="BV606" s="10"/>
      <c r="BW606" s="10"/>
      <c r="BX606" s="10"/>
      <c r="BY606" s="10"/>
      <c r="BZ606" s="10"/>
      <c r="CA606" s="10"/>
      <c r="CB606" s="10"/>
      <c r="CC606" s="10"/>
      <c r="CD606" s="10"/>
      <c r="CE606" s="10"/>
      <c r="CF606" s="10"/>
      <c r="CG606" s="10"/>
      <c r="CH606" s="10"/>
      <c r="CI606" s="10"/>
      <c r="CJ606" s="10"/>
      <c r="CK606" s="10"/>
      <c r="CL606" s="10"/>
      <c r="CM606" s="10"/>
      <c r="CN606" s="10"/>
      <c r="CO606" s="10"/>
      <c r="CP606" s="10"/>
    </row>
    <row r="607" spans="1:94">
      <c r="A607" s="10"/>
      <c r="B607" s="10"/>
      <c r="C607" s="40" t="s">
        <v>122</v>
      </c>
      <c r="D607" s="10"/>
      <c r="E607" s="14">
        <v>1</v>
      </c>
      <c r="F607" s="68"/>
      <c r="G607" s="142" t="s">
        <v>648</v>
      </c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  <c r="BA607" s="10"/>
      <c r="BB607" s="10"/>
      <c r="BC607" s="10"/>
      <c r="BD607" s="10"/>
      <c r="BE607" s="10"/>
      <c r="BF607" s="10"/>
      <c r="BG607" s="10"/>
      <c r="BH607" s="10"/>
      <c r="BI607" s="10"/>
      <c r="BJ607" s="10"/>
      <c r="BK607" s="10"/>
      <c r="BL607" s="10"/>
      <c r="BM607" s="10"/>
      <c r="BN607" s="10"/>
      <c r="BO607" s="10"/>
      <c r="BP607" s="10"/>
      <c r="BQ607" s="10"/>
      <c r="BR607" s="10"/>
      <c r="BS607" s="10"/>
      <c r="BT607" s="10"/>
      <c r="BU607" s="10"/>
      <c r="BV607" s="10"/>
      <c r="BW607" s="10"/>
      <c r="BX607" s="10"/>
      <c r="BY607" s="10"/>
      <c r="BZ607" s="10"/>
      <c r="CA607" s="10"/>
      <c r="CB607" s="10"/>
      <c r="CC607" s="10"/>
      <c r="CD607" s="10"/>
      <c r="CE607" s="10"/>
      <c r="CF607" s="10"/>
      <c r="CG607" s="10"/>
      <c r="CH607" s="10"/>
      <c r="CI607" s="10"/>
      <c r="CJ607" s="10"/>
      <c r="CK607" s="10"/>
      <c r="CL607" s="10"/>
      <c r="CM607" s="10"/>
      <c r="CN607" s="10"/>
      <c r="CO607" s="10"/>
      <c r="CP607" s="10"/>
    </row>
    <row r="608" spans="1:94">
      <c r="A608" s="10"/>
      <c r="B608" s="10"/>
      <c r="C608" s="40"/>
      <c r="D608" s="10"/>
      <c r="E608" s="10"/>
      <c r="F608" s="68"/>
      <c r="G608" s="142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  <c r="BA608" s="10"/>
      <c r="BB608" s="10"/>
      <c r="BC608" s="10"/>
      <c r="BD608" s="10"/>
      <c r="BE608" s="10"/>
      <c r="BF608" s="10"/>
      <c r="BG608" s="10"/>
      <c r="BH608" s="10"/>
      <c r="BI608" s="10"/>
      <c r="BJ608" s="10"/>
      <c r="BK608" s="10"/>
      <c r="BL608" s="10"/>
      <c r="BM608" s="10"/>
      <c r="BN608" s="10"/>
      <c r="BO608" s="10"/>
      <c r="BP608" s="10"/>
      <c r="BQ608" s="10"/>
      <c r="BR608" s="10"/>
      <c r="BS608" s="10"/>
      <c r="BT608" s="10"/>
      <c r="BU608" s="10"/>
      <c r="BV608" s="10"/>
      <c r="BW608" s="10"/>
      <c r="BX608" s="10"/>
      <c r="BY608" s="10"/>
      <c r="BZ608" s="10"/>
      <c r="CA608" s="10"/>
      <c r="CB608" s="10"/>
      <c r="CC608" s="10"/>
      <c r="CD608" s="10"/>
      <c r="CE608" s="10"/>
      <c r="CF608" s="10"/>
      <c r="CG608" s="10"/>
      <c r="CH608" s="10"/>
      <c r="CI608" s="10"/>
      <c r="CJ608" s="10"/>
      <c r="CK608" s="10"/>
      <c r="CL608" s="10"/>
      <c r="CM608" s="10"/>
      <c r="CN608" s="10"/>
      <c r="CO608" s="10"/>
      <c r="CP608" s="10"/>
    </row>
    <row r="609" spans="1:132">
      <c r="A609" s="10"/>
      <c r="B609" s="10"/>
      <c r="C609" s="40" t="s">
        <v>477</v>
      </c>
      <c r="D609" s="10"/>
      <c r="E609" s="80">
        <v>0.2</v>
      </c>
      <c r="F609" s="68"/>
      <c r="G609" s="142" t="s">
        <v>28</v>
      </c>
      <c r="H609" s="10" t="s">
        <v>117</v>
      </c>
      <c r="I609" s="10"/>
      <c r="J609" s="10"/>
      <c r="K609" s="10"/>
      <c r="L609" s="395">
        <f t="shared" ref="L609:AQ609" si="28">VAT_Rate</f>
        <v>0.2</v>
      </c>
      <c r="M609" s="395">
        <f t="shared" si="28"/>
        <v>0.2</v>
      </c>
      <c r="N609" s="395">
        <f t="shared" si="28"/>
        <v>0.2</v>
      </c>
      <c r="O609" s="395">
        <f t="shared" si="28"/>
        <v>0.2</v>
      </c>
      <c r="P609" s="395">
        <f t="shared" si="28"/>
        <v>0.2</v>
      </c>
      <c r="Q609" s="395">
        <f t="shared" si="28"/>
        <v>0.2</v>
      </c>
      <c r="R609" s="395">
        <f t="shared" si="28"/>
        <v>0.2</v>
      </c>
      <c r="S609" s="395">
        <f t="shared" si="28"/>
        <v>0.2</v>
      </c>
      <c r="T609" s="395">
        <f t="shared" si="28"/>
        <v>0.2</v>
      </c>
      <c r="U609" s="395">
        <f t="shared" si="28"/>
        <v>0.2</v>
      </c>
      <c r="V609" s="395">
        <f t="shared" si="28"/>
        <v>0.2</v>
      </c>
      <c r="W609" s="395">
        <f t="shared" si="28"/>
        <v>0.2</v>
      </c>
      <c r="X609" s="395">
        <f t="shared" si="28"/>
        <v>0.2</v>
      </c>
      <c r="Y609" s="395">
        <f t="shared" si="28"/>
        <v>0.2</v>
      </c>
      <c r="Z609" s="395">
        <f t="shared" si="28"/>
        <v>0.2</v>
      </c>
      <c r="AA609" s="395">
        <f t="shared" si="28"/>
        <v>0.2</v>
      </c>
      <c r="AB609" s="395">
        <f t="shared" si="28"/>
        <v>0.2</v>
      </c>
      <c r="AC609" s="395">
        <f t="shared" si="28"/>
        <v>0.2</v>
      </c>
      <c r="AD609" s="395">
        <f t="shared" si="28"/>
        <v>0.2</v>
      </c>
      <c r="AE609" s="395">
        <f t="shared" si="28"/>
        <v>0.2</v>
      </c>
      <c r="AF609" s="395">
        <f t="shared" si="28"/>
        <v>0.2</v>
      </c>
      <c r="AG609" s="395">
        <f t="shared" si="28"/>
        <v>0.2</v>
      </c>
      <c r="AH609" s="395">
        <f t="shared" si="28"/>
        <v>0.2</v>
      </c>
      <c r="AI609" s="395">
        <f t="shared" si="28"/>
        <v>0.2</v>
      </c>
      <c r="AJ609" s="395">
        <f t="shared" si="28"/>
        <v>0.2</v>
      </c>
      <c r="AK609" s="395">
        <f t="shared" si="28"/>
        <v>0.2</v>
      </c>
      <c r="AL609" s="395">
        <f t="shared" si="28"/>
        <v>0.2</v>
      </c>
      <c r="AM609" s="395">
        <f t="shared" si="28"/>
        <v>0.2</v>
      </c>
      <c r="AN609" s="395">
        <f t="shared" si="28"/>
        <v>0.2</v>
      </c>
      <c r="AO609" s="395">
        <f t="shared" si="28"/>
        <v>0.2</v>
      </c>
      <c r="AP609" s="395">
        <f t="shared" si="28"/>
        <v>0.2</v>
      </c>
      <c r="AQ609" s="395">
        <f t="shared" si="28"/>
        <v>0.2</v>
      </c>
      <c r="AR609" s="395">
        <f t="shared" ref="AR609:BW609" si="29">VAT_Rate</f>
        <v>0.2</v>
      </c>
      <c r="AS609" s="395">
        <f t="shared" si="29"/>
        <v>0.2</v>
      </c>
      <c r="AT609" s="395">
        <f t="shared" si="29"/>
        <v>0.2</v>
      </c>
      <c r="AU609" s="395">
        <f t="shared" si="29"/>
        <v>0.2</v>
      </c>
      <c r="AV609" s="395">
        <f t="shared" si="29"/>
        <v>0.2</v>
      </c>
      <c r="AW609" s="395">
        <f t="shared" si="29"/>
        <v>0.2</v>
      </c>
      <c r="AX609" s="395">
        <f t="shared" si="29"/>
        <v>0.2</v>
      </c>
      <c r="AY609" s="395">
        <f t="shared" si="29"/>
        <v>0.2</v>
      </c>
      <c r="AZ609" s="395">
        <f t="shared" si="29"/>
        <v>0.2</v>
      </c>
      <c r="BA609" s="395">
        <f t="shared" si="29"/>
        <v>0.2</v>
      </c>
      <c r="BB609" s="395">
        <f t="shared" si="29"/>
        <v>0.2</v>
      </c>
      <c r="BC609" s="395">
        <f t="shared" si="29"/>
        <v>0.2</v>
      </c>
      <c r="BD609" s="395">
        <f t="shared" si="29"/>
        <v>0.2</v>
      </c>
      <c r="BE609" s="395">
        <f t="shared" si="29"/>
        <v>0.2</v>
      </c>
      <c r="BF609" s="395">
        <f t="shared" si="29"/>
        <v>0.2</v>
      </c>
      <c r="BG609" s="395">
        <f t="shared" si="29"/>
        <v>0.2</v>
      </c>
      <c r="BH609" s="395">
        <f t="shared" si="29"/>
        <v>0.2</v>
      </c>
      <c r="BI609" s="395">
        <f t="shared" si="29"/>
        <v>0.2</v>
      </c>
      <c r="BJ609" s="395">
        <f t="shared" si="29"/>
        <v>0.2</v>
      </c>
      <c r="BK609" s="395">
        <f t="shared" si="29"/>
        <v>0.2</v>
      </c>
      <c r="BL609" s="395">
        <f t="shared" si="29"/>
        <v>0.2</v>
      </c>
      <c r="BM609" s="395">
        <f t="shared" si="29"/>
        <v>0.2</v>
      </c>
      <c r="BN609" s="395">
        <f t="shared" si="29"/>
        <v>0.2</v>
      </c>
      <c r="BO609" s="395">
        <f t="shared" si="29"/>
        <v>0.2</v>
      </c>
      <c r="BP609" s="395">
        <f t="shared" si="29"/>
        <v>0.2</v>
      </c>
      <c r="BQ609" s="395">
        <f t="shared" si="29"/>
        <v>0.2</v>
      </c>
      <c r="BR609" s="395">
        <f t="shared" si="29"/>
        <v>0.2</v>
      </c>
      <c r="BS609" s="395">
        <f t="shared" si="29"/>
        <v>0.2</v>
      </c>
      <c r="BT609" s="395">
        <f t="shared" si="29"/>
        <v>0.2</v>
      </c>
      <c r="BU609" s="395">
        <f t="shared" si="29"/>
        <v>0.2</v>
      </c>
      <c r="BV609" s="395">
        <f t="shared" si="29"/>
        <v>0.2</v>
      </c>
      <c r="BW609" s="395">
        <f t="shared" si="29"/>
        <v>0.2</v>
      </c>
      <c r="BX609" s="395">
        <f t="shared" ref="BX609:CO609" si="30">VAT_Rate</f>
        <v>0.2</v>
      </c>
      <c r="BY609" s="395">
        <f t="shared" si="30"/>
        <v>0.2</v>
      </c>
      <c r="BZ609" s="395">
        <f t="shared" si="30"/>
        <v>0.2</v>
      </c>
      <c r="CA609" s="395">
        <f t="shared" si="30"/>
        <v>0.2</v>
      </c>
      <c r="CB609" s="395">
        <f t="shared" si="30"/>
        <v>0.2</v>
      </c>
      <c r="CC609" s="395">
        <f t="shared" si="30"/>
        <v>0.2</v>
      </c>
      <c r="CD609" s="395">
        <f t="shared" si="30"/>
        <v>0.2</v>
      </c>
      <c r="CE609" s="395">
        <f t="shared" si="30"/>
        <v>0.2</v>
      </c>
      <c r="CF609" s="395">
        <f t="shared" si="30"/>
        <v>0.2</v>
      </c>
      <c r="CG609" s="395">
        <f t="shared" si="30"/>
        <v>0.2</v>
      </c>
      <c r="CH609" s="395">
        <f t="shared" si="30"/>
        <v>0.2</v>
      </c>
      <c r="CI609" s="395">
        <f t="shared" si="30"/>
        <v>0.2</v>
      </c>
      <c r="CJ609" s="395">
        <f t="shared" si="30"/>
        <v>0.2</v>
      </c>
      <c r="CK609" s="395">
        <f t="shared" si="30"/>
        <v>0.2</v>
      </c>
      <c r="CL609" s="395">
        <f t="shared" si="30"/>
        <v>0.2</v>
      </c>
      <c r="CM609" s="395">
        <f t="shared" si="30"/>
        <v>0.2</v>
      </c>
      <c r="CN609" s="395">
        <f t="shared" si="30"/>
        <v>0.2</v>
      </c>
      <c r="CO609" s="395">
        <f t="shared" si="30"/>
        <v>0.2</v>
      </c>
      <c r="CP609" s="10"/>
    </row>
    <row r="610" spans="1:132">
      <c r="A610" s="10"/>
      <c r="B610" s="10"/>
      <c r="C610" s="40" t="s">
        <v>476</v>
      </c>
      <c r="D610" s="10"/>
      <c r="E610" s="80">
        <v>0</v>
      </c>
      <c r="F610" s="68"/>
      <c r="G610" s="142" t="s">
        <v>28</v>
      </c>
      <c r="H610" s="10" t="s">
        <v>117</v>
      </c>
      <c r="I610" s="10"/>
      <c r="J610" s="10"/>
      <c r="K610" s="10"/>
      <c r="L610" s="395">
        <f t="shared" ref="L610:AQ610" si="31">IF(AND(Count_Operations_Periods&gt;0,Count_Operations_Periods&lt;=$E$611*Periods_in_Year),VAT_Rate_Zero,VAT_Rate)</f>
        <v>0.2</v>
      </c>
      <c r="M610" s="395">
        <f t="shared" si="31"/>
        <v>0.2</v>
      </c>
      <c r="N610" s="395">
        <f t="shared" si="31"/>
        <v>0.2</v>
      </c>
      <c r="O610" s="395">
        <f t="shared" si="31"/>
        <v>0.2</v>
      </c>
      <c r="P610" s="395">
        <f t="shared" si="31"/>
        <v>0.2</v>
      </c>
      <c r="Q610" s="395">
        <f t="shared" si="31"/>
        <v>0.2</v>
      </c>
      <c r="R610" s="395">
        <f t="shared" si="31"/>
        <v>0.2</v>
      </c>
      <c r="S610" s="395">
        <f t="shared" si="31"/>
        <v>0.2</v>
      </c>
      <c r="T610" s="395">
        <f t="shared" si="31"/>
        <v>0.2</v>
      </c>
      <c r="U610" s="395">
        <f t="shared" si="31"/>
        <v>0.2</v>
      </c>
      <c r="V610" s="395">
        <f t="shared" si="31"/>
        <v>0.2</v>
      </c>
      <c r="W610" s="395">
        <f t="shared" si="31"/>
        <v>0.2</v>
      </c>
      <c r="X610" s="395">
        <f t="shared" si="31"/>
        <v>0.2</v>
      </c>
      <c r="Y610" s="395">
        <f t="shared" si="31"/>
        <v>0.2</v>
      </c>
      <c r="Z610" s="395">
        <f t="shared" si="31"/>
        <v>0.2</v>
      </c>
      <c r="AA610" s="395">
        <f t="shared" si="31"/>
        <v>0.2</v>
      </c>
      <c r="AB610" s="395">
        <f t="shared" si="31"/>
        <v>0.2</v>
      </c>
      <c r="AC610" s="395">
        <f t="shared" si="31"/>
        <v>0</v>
      </c>
      <c r="AD610" s="395">
        <f t="shared" si="31"/>
        <v>0</v>
      </c>
      <c r="AE610" s="395">
        <f t="shared" si="31"/>
        <v>0</v>
      </c>
      <c r="AF610" s="395">
        <f t="shared" si="31"/>
        <v>0</v>
      </c>
      <c r="AG610" s="395">
        <f t="shared" si="31"/>
        <v>0</v>
      </c>
      <c r="AH610" s="395">
        <f t="shared" si="31"/>
        <v>0</v>
      </c>
      <c r="AI610" s="395">
        <f t="shared" si="31"/>
        <v>0</v>
      </c>
      <c r="AJ610" s="395">
        <f t="shared" si="31"/>
        <v>0</v>
      </c>
      <c r="AK610" s="395">
        <f t="shared" si="31"/>
        <v>0</v>
      </c>
      <c r="AL610" s="395">
        <f t="shared" si="31"/>
        <v>0</v>
      </c>
      <c r="AM610" s="395">
        <f t="shared" si="31"/>
        <v>0</v>
      </c>
      <c r="AN610" s="395">
        <f t="shared" si="31"/>
        <v>0</v>
      </c>
      <c r="AO610" s="395">
        <f t="shared" si="31"/>
        <v>0</v>
      </c>
      <c r="AP610" s="395">
        <f t="shared" si="31"/>
        <v>0</v>
      </c>
      <c r="AQ610" s="395">
        <f t="shared" si="31"/>
        <v>0</v>
      </c>
      <c r="AR610" s="395">
        <f t="shared" ref="AR610:BW610" si="32">IF(AND(Count_Operations_Periods&gt;0,Count_Operations_Periods&lt;=$E$611*Periods_in_Year),VAT_Rate_Zero,VAT_Rate)</f>
        <v>0</v>
      </c>
      <c r="AS610" s="395">
        <f t="shared" si="32"/>
        <v>0</v>
      </c>
      <c r="AT610" s="395">
        <f t="shared" si="32"/>
        <v>0</v>
      </c>
      <c r="AU610" s="395">
        <f t="shared" si="32"/>
        <v>0</v>
      </c>
      <c r="AV610" s="395">
        <f t="shared" si="32"/>
        <v>0</v>
      </c>
      <c r="AW610" s="395">
        <f t="shared" si="32"/>
        <v>0.2</v>
      </c>
      <c r="AX610" s="395">
        <f t="shared" si="32"/>
        <v>0.2</v>
      </c>
      <c r="AY610" s="395">
        <f t="shared" si="32"/>
        <v>0.2</v>
      </c>
      <c r="AZ610" s="395">
        <f t="shared" si="32"/>
        <v>0.2</v>
      </c>
      <c r="BA610" s="395">
        <f t="shared" si="32"/>
        <v>0.2</v>
      </c>
      <c r="BB610" s="395">
        <f t="shared" si="32"/>
        <v>0.2</v>
      </c>
      <c r="BC610" s="395">
        <f t="shared" si="32"/>
        <v>0.2</v>
      </c>
      <c r="BD610" s="395">
        <f t="shared" si="32"/>
        <v>0.2</v>
      </c>
      <c r="BE610" s="395">
        <f t="shared" si="32"/>
        <v>0.2</v>
      </c>
      <c r="BF610" s="395">
        <f t="shared" si="32"/>
        <v>0.2</v>
      </c>
      <c r="BG610" s="395">
        <f t="shared" si="32"/>
        <v>0.2</v>
      </c>
      <c r="BH610" s="395">
        <f t="shared" si="32"/>
        <v>0.2</v>
      </c>
      <c r="BI610" s="395">
        <f t="shared" si="32"/>
        <v>0.2</v>
      </c>
      <c r="BJ610" s="395">
        <f t="shared" si="32"/>
        <v>0.2</v>
      </c>
      <c r="BK610" s="395">
        <f t="shared" si="32"/>
        <v>0.2</v>
      </c>
      <c r="BL610" s="395">
        <f t="shared" si="32"/>
        <v>0.2</v>
      </c>
      <c r="BM610" s="395">
        <f t="shared" si="32"/>
        <v>0.2</v>
      </c>
      <c r="BN610" s="395">
        <f t="shared" si="32"/>
        <v>0.2</v>
      </c>
      <c r="BO610" s="395">
        <f t="shared" si="32"/>
        <v>0.2</v>
      </c>
      <c r="BP610" s="395">
        <f t="shared" si="32"/>
        <v>0.2</v>
      </c>
      <c r="BQ610" s="395">
        <f t="shared" si="32"/>
        <v>0.2</v>
      </c>
      <c r="BR610" s="395">
        <f t="shared" si="32"/>
        <v>0.2</v>
      </c>
      <c r="BS610" s="395">
        <f t="shared" si="32"/>
        <v>0.2</v>
      </c>
      <c r="BT610" s="395">
        <f t="shared" si="32"/>
        <v>0.2</v>
      </c>
      <c r="BU610" s="395">
        <f t="shared" si="32"/>
        <v>0.2</v>
      </c>
      <c r="BV610" s="395">
        <f t="shared" si="32"/>
        <v>0.2</v>
      </c>
      <c r="BW610" s="395">
        <f t="shared" si="32"/>
        <v>0.2</v>
      </c>
      <c r="BX610" s="395">
        <f t="shared" ref="BX610:CO610" si="33">IF(AND(Count_Operations_Periods&gt;0,Count_Operations_Periods&lt;=$E$611*Periods_in_Year),VAT_Rate_Zero,VAT_Rate)</f>
        <v>0.2</v>
      </c>
      <c r="BY610" s="395">
        <f t="shared" si="33"/>
        <v>0.2</v>
      </c>
      <c r="BZ610" s="395">
        <f t="shared" si="33"/>
        <v>0.2</v>
      </c>
      <c r="CA610" s="395">
        <f t="shared" si="33"/>
        <v>0.2</v>
      </c>
      <c r="CB610" s="395">
        <f t="shared" si="33"/>
        <v>0.2</v>
      </c>
      <c r="CC610" s="395">
        <f t="shared" si="33"/>
        <v>0.2</v>
      </c>
      <c r="CD610" s="395">
        <f t="shared" si="33"/>
        <v>0.2</v>
      </c>
      <c r="CE610" s="395">
        <f t="shared" si="33"/>
        <v>0.2</v>
      </c>
      <c r="CF610" s="395">
        <f t="shared" si="33"/>
        <v>0.2</v>
      </c>
      <c r="CG610" s="395">
        <f t="shared" si="33"/>
        <v>0.2</v>
      </c>
      <c r="CH610" s="395">
        <f t="shared" si="33"/>
        <v>0.2</v>
      </c>
      <c r="CI610" s="395">
        <f t="shared" si="33"/>
        <v>0.2</v>
      </c>
      <c r="CJ610" s="395">
        <f t="shared" si="33"/>
        <v>0.2</v>
      </c>
      <c r="CK610" s="395">
        <f t="shared" si="33"/>
        <v>0.2</v>
      </c>
      <c r="CL610" s="395">
        <f t="shared" si="33"/>
        <v>0.2</v>
      </c>
      <c r="CM610" s="395">
        <f t="shared" si="33"/>
        <v>0.2</v>
      </c>
      <c r="CN610" s="395">
        <f t="shared" si="33"/>
        <v>0.2</v>
      </c>
      <c r="CO610" s="395">
        <f t="shared" si="33"/>
        <v>0.2</v>
      </c>
      <c r="CP610" s="10"/>
    </row>
    <row r="611" spans="1:132">
      <c r="A611" s="10"/>
      <c r="B611" s="10"/>
      <c r="C611" s="40" t="s">
        <v>1079</v>
      </c>
      <c r="D611" s="10"/>
      <c r="E611" s="14">
        <v>5</v>
      </c>
      <c r="F611" s="10"/>
      <c r="G611" s="11" t="s">
        <v>123</v>
      </c>
      <c r="H611" s="10" t="s">
        <v>117</v>
      </c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  <c r="BA611" s="10"/>
      <c r="BB611" s="10"/>
      <c r="BC611" s="10"/>
      <c r="BD611" s="10"/>
      <c r="BE611" s="10"/>
      <c r="BF611" s="10"/>
      <c r="BG611" s="10"/>
      <c r="BH611" s="10"/>
      <c r="BI611" s="10"/>
      <c r="BJ611" s="10"/>
      <c r="BK611" s="10"/>
      <c r="BL611" s="10"/>
      <c r="BM611" s="10"/>
      <c r="BN611" s="10"/>
      <c r="BO611" s="10"/>
      <c r="BP611" s="10"/>
      <c r="BQ611" s="10"/>
      <c r="BR611" s="10"/>
      <c r="BS611" s="10"/>
      <c r="BT611" s="10"/>
      <c r="BU611" s="10"/>
      <c r="BV611" s="10"/>
      <c r="BW611" s="10"/>
      <c r="BX611" s="10"/>
      <c r="BY611" s="10"/>
      <c r="BZ611" s="10"/>
      <c r="CA611" s="10"/>
      <c r="CB611" s="10"/>
      <c r="CC611" s="10"/>
      <c r="CD611" s="10"/>
      <c r="CE611" s="10"/>
      <c r="CF611" s="10"/>
      <c r="CG611" s="10"/>
      <c r="CH611" s="10"/>
      <c r="CI611" s="10"/>
      <c r="CJ611" s="10"/>
      <c r="CK611" s="10"/>
      <c r="CL611" s="10"/>
      <c r="CM611" s="10"/>
      <c r="CN611" s="10"/>
      <c r="CO611" s="10"/>
      <c r="CP611" s="10"/>
    </row>
    <row r="612" spans="1:132">
      <c r="A612" s="10"/>
      <c r="B612" s="10"/>
      <c r="C612" s="40"/>
      <c r="D612" s="10"/>
      <c r="E612" s="14"/>
      <c r="F612" s="10"/>
      <c r="G612" s="11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  <c r="BA612" s="10"/>
      <c r="BB612" s="10"/>
      <c r="BC612" s="10"/>
      <c r="BD612" s="10"/>
      <c r="BE612" s="10"/>
      <c r="BF612" s="10"/>
      <c r="BG612" s="10"/>
      <c r="BH612" s="10"/>
      <c r="BI612" s="10"/>
      <c r="BJ612" s="10"/>
      <c r="BK612" s="10"/>
      <c r="BL612" s="10"/>
      <c r="BM612" s="10"/>
      <c r="BN612" s="10"/>
      <c r="BO612" s="10"/>
      <c r="BP612" s="10"/>
      <c r="BQ612" s="10"/>
      <c r="BR612" s="10"/>
      <c r="BS612" s="10"/>
      <c r="BT612" s="10"/>
      <c r="BU612" s="10"/>
      <c r="BV612" s="10"/>
      <c r="BW612" s="10"/>
      <c r="BX612" s="10"/>
      <c r="BY612" s="10"/>
      <c r="BZ612" s="10"/>
      <c r="CA612" s="10"/>
      <c r="CB612" s="10"/>
      <c r="CC612" s="10"/>
      <c r="CD612" s="10"/>
      <c r="CE612" s="10"/>
      <c r="CF612" s="10"/>
      <c r="CG612" s="10"/>
      <c r="CH612" s="10"/>
      <c r="CI612" s="10"/>
      <c r="CJ612" s="10"/>
      <c r="CK612" s="10"/>
      <c r="CL612" s="10"/>
      <c r="CM612" s="10"/>
      <c r="CN612" s="10"/>
      <c r="CO612" s="10"/>
      <c r="CP612" s="10"/>
    </row>
    <row r="613" spans="1:132">
      <c r="A613" s="10"/>
      <c r="B613" s="10"/>
      <c r="C613" s="32" t="s">
        <v>1297</v>
      </c>
      <c r="D613" s="40"/>
      <c r="E613" s="40"/>
      <c r="F613" s="40"/>
      <c r="G613" s="205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  <c r="BA613" s="10"/>
      <c r="BB613" s="10"/>
      <c r="BC613" s="10"/>
      <c r="BD613" s="10"/>
      <c r="BE613" s="10"/>
      <c r="BF613" s="10"/>
      <c r="BG613" s="10"/>
      <c r="BH613" s="10"/>
      <c r="BI613" s="10"/>
      <c r="BJ613" s="10"/>
      <c r="BK613" s="10"/>
      <c r="BL613" s="10"/>
      <c r="BM613" s="10"/>
      <c r="BN613" s="10"/>
      <c r="BO613" s="10"/>
      <c r="BP613" s="10"/>
      <c r="BQ613" s="10"/>
      <c r="BR613" s="10"/>
      <c r="BS613" s="10"/>
      <c r="BT613" s="10"/>
      <c r="BU613" s="10"/>
      <c r="BV613" s="10"/>
      <c r="BW613" s="10"/>
      <c r="BX613" s="10"/>
      <c r="BY613" s="10"/>
      <c r="BZ613" s="10"/>
      <c r="CA613" s="10"/>
      <c r="CB613" s="10"/>
      <c r="CC613" s="10"/>
      <c r="CD613" s="10"/>
      <c r="CE613" s="10"/>
      <c r="CF613" s="10"/>
      <c r="CG613" s="10"/>
      <c r="CH613" s="10"/>
      <c r="CI613" s="10"/>
      <c r="CJ613" s="10"/>
      <c r="CK613" s="10"/>
      <c r="CL613" s="10"/>
      <c r="CM613" s="10"/>
      <c r="CN613" s="10"/>
      <c r="CO613" s="10"/>
      <c r="CP613" s="10"/>
      <c r="CQ613" s="10"/>
      <c r="CR613" s="10"/>
      <c r="CS613" s="10"/>
      <c r="CT613" s="10"/>
      <c r="CU613" s="10"/>
      <c r="CV613" s="10"/>
      <c r="CW613" s="10"/>
      <c r="CX613" s="10"/>
      <c r="CY613" s="10"/>
      <c r="CZ613" s="10"/>
      <c r="DA613" s="10"/>
      <c r="DB613" s="10"/>
      <c r="DC613" s="10"/>
      <c r="DD613" s="10"/>
      <c r="DE613" s="10"/>
      <c r="DF613" s="10"/>
      <c r="DG613" s="10"/>
      <c r="DH613" s="10"/>
      <c r="DI613" s="10"/>
      <c r="DJ613" s="10"/>
      <c r="DK613" s="10"/>
      <c r="DL613" s="10"/>
      <c r="DM613" s="10"/>
      <c r="DN613" s="10"/>
      <c r="DO613" s="10"/>
      <c r="DP613" s="10"/>
      <c r="DQ613" s="10"/>
      <c r="DR613" s="10"/>
      <c r="DS613" s="10"/>
      <c r="DT613" s="10"/>
      <c r="DU613" s="10"/>
      <c r="DV613" s="10"/>
      <c r="DW613" s="10"/>
      <c r="DX613" s="10"/>
      <c r="DY613" s="10"/>
      <c r="DZ613" s="10"/>
      <c r="EA613" s="10"/>
      <c r="EB613" s="3"/>
    </row>
    <row r="614" spans="1:132" ht="26.25">
      <c r="A614" s="10"/>
      <c r="B614" s="10"/>
      <c r="C614" s="40" t="s">
        <v>1298</v>
      </c>
      <c r="D614" s="40"/>
      <c r="E614" s="404" t="s">
        <v>1299</v>
      </c>
      <c r="F614" s="40"/>
      <c r="G614" s="205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  <c r="BL614" s="10"/>
      <c r="BM614" s="10"/>
      <c r="BN614" s="10"/>
      <c r="BO614" s="10"/>
      <c r="BP614" s="10"/>
      <c r="BQ614" s="10"/>
      <c r="BR614" s="10"/>
      <c r="BS614" s="10"/>
      <c r="BT614" s="10"/>
      <c r="BU614" s="10"/>
      <c r="BV614" s="10"/>
      <c r="BW614" s="10"/>
      <c r="BX614" s="10"/>
      <c r="BY614" s="10"/>
      <c r="BZ614" s="10"/>
      <c r="CA614" s="10"/>
      <c r="CB614" s="10"/>
      <c r="CC614" s="10"/>
      <c r="CD614" s="10"/>
      <c r="CE614" s="10"/>
      <c r="CF614" s="10"/>
      <c r="CG614" s="10"/>
      <c r="CH614" s="10"/>
      <c r="CI614" s="10"/>
      <c r="CJ614" s="10"/>
      <c r="CK614" s="10"/>
      <c r="CL614" s="10"/>
      <c r="CM614" s="10"/>
      <c r="CN614" s="10"/>
      <c r="CO614" s="10"/>
      <c r="CP614" s="10"/>
      <c r="CQ614" s="10"/>
      <c r="CR614" s="10"/>
      <c r="CS614" s="10"/>
      <c r="CT614" s="10"/>
      <c r="CU614" s="10"/>
      <c r="CV614" s="10"/>
      <c r="CW614" s="10"/>
      <c r="CX614" s="10"/>
      <c r="CY614" s="10"/>
      <c r="CZ614" s="10"/>
      <c r="DA614" s="10"/>
      <c r="DB614" s="10"/>
      <c r="DC614" s="10"/>
      <c r="DD614" s="10"/>
      <c r="DE614" s="10"/>
      <c r="DF614" s="10"/>
      <c r="DG614" s="10"/>
      <c r="DH614" s="10"/>
      <c r="DI614" s="10"/>
      <c r="DJ614" s="10"/>
      <c r="DK614" s="10"/>
      <c r="DL614" s="10"/>
      <c r="DM614" s="10"/>
      <c r="DN614" s="10"/>
      <c r="DO614" s="10"/>
      <c r="DP614" s="10"/>
      <c r="DQ614" s="10"/>
      <c r="DR614" s="10"/>
      <c r="DS614" s="10"/>
      <c r="DT614" s="10"/>
      <c r="DU614" s="10"/>
      <c r="DV614" s="10"/>
      <c r="DW614" s="10"/>
      <c r="DX614" s="10"/>
      <c r="DY614" s="10"/>
      <c r="DZ614" s="10"/>
      <c r="EA614" s="10"/>
      <c r="EB614" s="3"/>
    </row>
    <row r="615" spans="1:132">
      <c r="A615" s="10"/>
      <c r="B615" s="10"/>
      <c r="C615" s="40"/>
      <c r="D615" s="40"/>
      <c r="E615" s="40"/>
      <c r="F615" s="40"/>
      <c r="G615" s="205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  <c r="BA615" s="10"/>
      <c r="BB615" s="10"/>
      <c r="BC615" s="10"/>
      <c r="BD615" s="10"/>
      <c r="BE615" s="10"/>
      <c r="BF615" s="10"/>
      <c r="BG615" s="10"/>
      <c r="BH615" s="10"/>
      <c r="BI615" s="10"/>
      <c r="BJ615" s="10"/>
      <c r="BK615" s="10"/>
      <c r="BL615" s="10"/>
      <c r="BM615" s="10"/>
      <c r="BN615" s="10"/>
      <c r="BO615" s="10"/>
      <c r="BP615" s="10"/>
      <c r="BQ615" s="10"/>
      <c r="BR615" s="10"/>
      <c r="BS615" s="10"/>
      <c r="BT615" s="10"/>
      <c r="BU615" s="10"/>
      <c r="BV615" s="10"/>
      <c r="BW615" s="10"/>
      <c r="BX615" s="10"/>
      <c r="BY615" s="10"/>
      <c r="BZ615" s="10"/>
      <c r="CA615" s="10"/>
      <c r="CB615" s="10"/>
      <c r="CC615" s="10"/>
      <c r="CD615" s="10"/>
      <c r="CE615" s="10"/>
      <c r="CF615" s="10"/>
      <c r="CG615" s="10"/>
      <c r="CH615" s="10"/>
      <c r="CI615" s="10"/>
      <c r="CJ615" s="10"/>
      <c r="CK615" s="10"/>
      <c r="CL615" s="10"/>
      <c r="CM615" s="10"/>
      <c r="CN615" s="10"/>
      <c r="CO615" s="10"/>
      <c r="CP615" s="10"/>
      <c r="CQ615" s="10"/>
      <c r="CR615" s="10"/>
      <c r="CS615" s="10"/>
      <c r="CT615" s="10"/>
      <c r="CU615" s="10"/>
      <c r="CV615" s="10"/>
      <c r="CW615" s="10"/>
      <c r="CX615" s="10"/>
      <c r="CY615" s="10"/>
      <c r="CZ615" s="10"/>
      <c r="DA615" s="10"/>
      <c r="DB615" s="10"/>
      <c r="DC615" s="10"/>
      <c r="DD615" s="10"/>
      <c r="DE615" s="10"/>
      <c r="DF615" s="10"/>
      <c r="DG615" s="10"/>
      <c r="DH615" s="10"/>
      <c r="DI615" s="10"/>
      <c r="DJ615" s="10"/>
      <c r="DK615" s="10"/>
      <c r="DL615" s="10"/>
      <c r="DM615" s="10"/>
      <c r="DN615" s="10"/>
      <c r="DO615" s="10"/>
      <c r="DP615" s="10"/>
      <c r="DQ615" s="10"/>
      <c r="DR615" s="10"/>
      <c r="DS615" s="10"/>
      <c r="DT615" s="10"/>
      <c r="DU615" s="10"/>
      <c r="DV615" s="10"/>
      <c r="DW615" s="10"/>
      <c r="DX615" s="10"/>
      <c r="DY615" s="10"/>
      <c r="DZ615" s="10"/>
      <c r="EA615" s="10"/>
      <c r="EB615" s="3"/>
    </row>
    <row r="616" spans="1:132">
      <c r="A616" s="10"/>
      <c r="B616" s="10"/>
      <c r="C616" s="40" t="s">
        <v>1300</v>
      </c>
      <c r="D616" s="40"/>
      <c r="E616" s="11">
        <f>(C616=$E$614)*1</f>
        <v>0</v>
      </c>
      <c r="F616" s="10"/>
      <c r="G616" s="11" t="s">
        <v>347</v>
      </c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  <c r="BA616" s="10"/>
      <c r="BB616" s="10"/>
      <c r="BC616" s="10"/>
      <c r="BD616" s="10"/>
      <c r="BE616" s="10"/>
      <c r="BF616" s="10"/>
      <c r="BG616" s="10"/>
      <c r="BH616" s="10"/>
      <c r="BI616" s="10"/>
      <c r="BJ616" s="10"/>
      <c r="BK616" s="10"/>
      <c r="BL616" s="10"/>
      <c r="BM616" s="10"/>
      <c r="BN616" s="10"/>
      <c r="BO616" s="10"/>
      <c r="BP616" s="10"/>
      <c r="BQ616" s="10"/>
      <c r="BR616" s="10"/>
      <c r="BS616" s="10"/>
      <c r="BT616" s="10"/>
      <c r="BU616" s="10"/>
      <c r="BV616" s="10"/>
      <c r="BW616" s="10"/>
      <c r="BX616" s="10"/>
      <c r="BY616" s="10"/>
      <c r="BZ616" s="10"/>
      <c r="CA616" s="10"/>
      <c r="CB616" s="10"/>
      <c r="CC616" s="10"/>
      <c r="CD616" s="10"/>
      <c r="CE616" s="10"/>
      <c r="CF616" s="10"/>
      <c r="CG616" s="10"/>
      <c r="CH616" s="10"/>
      <c r="CI616" s="10"/>
      <c r="CJ616" s="10"/>
      <c r="CK616" s="10"/>
      <c r="CL616" s="10"/>
      <c r="CM616" s="10"/>
      <c r="CN616" s="10"/>
      <c r="CO616" s="10"/>
      <c r="CP616" s="10"/>
      <c r="CQ616" s="10"/>
      <c r="CR616" s="10"/>
      <c r="CS616" s="10"/>
      <c r="CT616" s="10"/>
      <c r="CU616" s="10"/>
      <c r="CV616" s="10"/>
      <c r="CW616" s="10"/>
      <c r="CX616" s="10"/>
      <c r="CY616" s="10"/>
      <c r="CZ616" s="10"/>
      <c r="DA616" s="10"/>
      <c r="DB616" s="10"/>
      <c r="DC616" s="10"/>
      <c r="DD616" s="10"/>
      <c r="DE616" s="10"/>
      <c r="DF616" s="10"/>
      <c r="DG616" s="10"/>
      <c r="DH616" s="10"/>
      <c r="DI616" s="10"/>
      <c r="DJ616" s="10"/>
      <c r="DK616" s="10"/>
      <c r="DL616" s="10"/>
      <c r="DM616" s="10"/>
      <c r="DN616" s="10"/>
      <c r="DO616" s="10"/>
      <c r="DP616" s="10"/>
      <c r="DQ616" s="10"/>
      <c r="DR616" s="10"/>
      <c r="DS616" s="10"/>
      <c r="DT616" s="10"/>
      <c r="DU616" s="10"/>
      <c r="DV616" s="10"/>
      <c r="DW616" s="10"/>
      <c r="DX616" s="10"/>
      <c r="DY616" s="10"/>
      <c r="DZ616" s="10"/>
      <c r="EA616" s="10"/>
      <c r="EB616" s="3"/>
    </row>
    <row r="617" spans="1:132">
      <c r="A617" s="10"/>
      <c r="B617" s="10"/>
      <c r="C617" s="40" t="s">
        <v>1299</v>
      </c>
      <c r="D617" s="40"/>
      <c r="E617" s="11">
        <f>(C617=$E$614)*1</f>
        <v>1</v>
      </c>
      <c r="F617" s="10"/>
      <c r="G617" s="11" t="s">
        <v>347</v>
      </c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  <c r="BA617" s="10"/>
      <c r="BB617" s="10"/>
      <c r="BC617" s="10"/>
      <c r="BD617" s="10"/>
      <c r="BE617" s="10"/>
      <c r="BF617" s="10"/>
      <c r="BG617" s="10"/>
      <c r="BH617" s="10"/>
      <c r="BI617" s="10"/>
      <c r="BJ617" s="10"/>
      <c r="BK617" s="10"/>
      <c r="BL617" s="10"/>
      <c r="BM617" s="10"/>
      <c r="BN617" s="10"/>
      <c r="BO617" s="10"/>
      <c r="BP617" s="10"/>
      <c r="BQ617" s="10"/>
      <c r="BR617" s="10"/>
      <c r="BS617" s="10"/>
      <c r="BT617" s="10"/>
      <c r="BU617" s="10"/>
      <c r="BV617" s="10"/>
      <c r="BW617" s="10"/>
      <c r="BX617" s="10"/>
      <c r="BY617" s="10"/>
      <c r="BZ617" s="10"/>
      <c r="CA617" s="10"/>
      <c r="CB617" s="10"/>
      <c r="CC617" s="10"/>
      <c r="CD617" s="10"/>
      <c r="CE617" s="10"/>
      <c r="CF617" s="10"/>
      <c r="CG617" s="10"/>
      <c r="CH617" s="10"/>
      <c r="CI617" s="10"/>
      <c r="CJ617" s="10"/>
      <c r="CK617" s="10"/>
      <c r="CL617" s="10"/>
      <c r="CM617" s="10"/>
      <c r="CN617" s="10"/>
      <c r="CO617" s="10"/>
      <c r="CP617" s="10"/>
      <c r="CQ617" s="10"/>
      <c r="CR617" s="10"/>
      <c r="CS617" s="10"/>
      <c r="CT617" s="10"/>
      <c r="CU617" s="10"/>
      <c r="CV617" s="10"/>
      <c r="CW617" s="10"/>
      <c r="CX617" s="10"/>
      <c r="CY617" s="10"/>
      <c r="CZ617" s="10"/>
      <c r="DA617" s="10"/>
      <c r="DB617" s="10"/>
      <c r="DC617" s="10"/>
      <c r="DD617" s="10"/>
      <c r="DE617" s="10"/>
      <c r="DF617" s="10"/>
      <c r="DG617" s="10"/>
      <c r="DH617" s="10"/>
      <c r="DI617" s="10"/>
      <c r="DJ617" s="10"/>
      <c r="DK617" s="10"/>
      <c r="DL617" s="10"/>
      <c r="DM617" s="10"/>
      <c r="DN617" s="10"/>
      <c r="DO617" s="10"/>
      <c r="DP617" s="10"/>
      <c r="DQ617" s="10"/>
      <c r="DR617" s="10"/>
      <c r="DS617" s="10"/>
      <c r="DT617" s="10"/>
      <c r="DU617" s="10"/>
      <c r="DV617" s="10"/>
      <c r="DW617" s="10"/>
      <c r="DX617" s="10"/>
      <c r="DY617" s="10"/>
      <c r="DZ617" s="10"/>
      <c r="EA617" s="10"/>
      <c r="EB617" s="3"/>
    </row>
    <row r="618" spans="1:132" ht="15" customHeight="1" thickBot="1">
      <c r="A618" s="10"/>
      <c r="B618" s="10"/>
      <c r="C618" s="12" t="s">
        <v>111</v>
      </c>
      <c r="D618" s="12"/>
      <c r="E618" s="12"/>
      <c r="F618" s="12"/>
      <c r="G618" s="12"/>
      <c r="H618" s="12"/>
      <c r="I618" s="12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  <c r="BA618" s="10"/>
      <c r="BB618" s="10"/>
      <c r="BC618" s="10"/>
      <c r="BD618" s="10"/>
      <c r="BE618" s="10"/>
      <c r="BF618" s="10"/>
      <c r="BG618" s="10"/>
      <c r="BH618" s="10"/>
      <c r="BI618" s="10"/>
      <c r="BJ618" s="10"/>
      <c r="BK618" s="10"/>
      <c r="BL618" s="10"/>
      <c r="BM618" s="10"/>
      <c r="BN618" s="10"/>
      <c r="BO618" s="10"/>
      <c r="BP618" s="10"/>
      <c r="BQ618" s="10"/>
      <c r="BR618" s="10"/>
      <c r="BS618" s="10"/>
      <c r="BT618" s="10"/>
      <c r="BU618" s="10"/>
      <c r="BV618" s="10"/>
      <c r="BW618" s="10"/>
      <c r="BX618" s="10"/>
      <c r="BY618" s="10"/>
      <c r="BZ618" s="10"/>
      <c r="CA618" s="10"/>
      <c r="CB618" s="10"/>
      <c r="CC618" s="10"/>
      <c r="CD618" s="10"/>
      <c r="CE618" s="10"/>
      <c r="CF618" s="10"/>
      <c r="CG618" s="10"/>
      <c r="CH618" s="10"/>
      <c r="CI618" s="10"/>
      <c r="CJ618" s="10"/>
      <c r="CK618" s="10"/>
      <c r="CL618" s="10"/>
      <c r="CM618" s="10"/>
      <c r="CN618" s="10"/>
      <c r="CO618" s="10"/>
      <c r="CP618" s="10"/>
    </row>
    <row r="619" spans="1:132" ht="15" customHeight="1">
      <c r="A619" s="10"/>
      <c r="B619" s="10"/>
      <c r="C619" s="10"/>
      <c r="D619" s="10"/>
      <c r="E619" s="10"/>
      <c r="F619" s="68"/>
      <c r="G619" s="142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  <c r="BA619" s="10"/>
      <c r="BB619" s="10"/>
      <c r="BC619" s="10"/>
      <c r="BD619" s="10"/>
      <c r="BE619" s="10"/>
      <c r="BF619" s="10"/>
      <c r="BG619" s="10"/>
      <c r="BH619" s="10"/>
      <c r="BI619" s="10"/>
      <c r="BJ619" s="10"/>
      <c r="BK619" s="10"/>
      <c r="BL619" s="10"/>
      <c r="BM619" s="10"/>
      <c r="BN619" s="10"/>
      <c r="BO619" s="10"/>
      <c r="BP619" s="10"/>
      <c r="BQ619" s="10"/>
      <c r="BR619" s="10"/>
      <c r="BS619" s="10"/>
      <c r="BT619" s="10"/>
      <c r="BU619" s="10"/>
      <c r="BV619" s="10"/>
      <c r="BW619" s="10"/>
      <c r="BX619" s="10"/>
      <c r="BY619" s="10"/>
      <c r="BZ619" s="10"/>
      <c r="CA619" s="10"/>
      <c r="CB619" s="10"/>
      <c r="CC619" s="10"/>
      <c r="CD619" s="10"/>
      <c r="CE619" s="10"/>
      <c r="CF619" s="10"/>
      <c r="CG619" s="10"/>
      <c r="CH619" s="10"/>
      <c r="CI619" s="10"/>
      <c r="CJ619" s="10"/>
      <c r="CK619" s="10"/>
      <c r="CL619" s="10"/>
      <c r="CM619" s="10"/>
      <c r="CN619" s="10"/>
      <c r="CO619" s="10"/>
      <c r="CP619" s="10"/>
    </row>
    <row r="620" spans="1:132" ht="15" customHeight="1">
      <c r="A620" s="10"/>
      <c r="B620" s="10"/>
      <c r="C620" s="17" t="s">
        <v>119</v>
      </c>
      <c r="D620" s="10"/>
      <c r="E620" s="80">
        <v>2.1999999999999999E-2</v>
      </c>
      <c r="F620" s="68"/>
      <c r="G620" s="142" t="s">
        <v>28</v>
      </c>
      <c r="H620" s="10" t="s">
        <v>1295</v>
      </c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  <c r="BA620" s="10"/>
      <c r="BB620" s="10"/>
      <c r="BC620" s="10"/>
      <c r="BD620" s="10"/>
      <c r="BE620" s="10"/>
      <c r="BF620" s="10"/>
      <c r="BG620" s="10"/>
      <c r="BH620" s="10"/>
      <c r="BI620" s="10"/>
      <c r="BJ620" s="10"/>
      <c r="BK620" s="10"/>
      <c r="BL620" s="10"/>
      <c r="BM620" s="10"/>
      <c r="BN620" s="10"/>
      <c r="BO620" s="10"/>
      <c r="BP620" s="10"/>
      <c r="BQ620" s="10"/>
      <c r="BR620" s="10"/>
      <c r="BS620" s="10"/>
      <c r="BT620" s="10"/>
      <c r="BU620" s="10"/>
      <c r="BV620" s="10"/>
      <c r="BW620" s="10"/>
      <c r="BX620" s="10"/>
      <c r="BY620" s="10"/>
      <c r="BZ620" s="10"/>
      <c r="CA620" s="10"/>
      <c r="CB620" s="10"/>
      <c r="CC620" s="10"/>
      <c r="CD620" s="10"/>
      <c r="CE620" s="10"/>
      <c r="CF620" s="10"/>
      <c r="CG620" s="10"/>
      <c r="CH620" s="10"/>
      <c r="CI620" s="10"/>
      <c r="CJ620" s="10"/>
      <c r="CK620" s="10"/>
      <c r="CL620" s="10"/>
      <c r="CM620" s="10"/>
      <c r="CN620" s="10"/>
      <c r="CO620" s="10"/>
      <c r="CP620" s="10"/>
    </row>
    <row r="621" spans="1:132" ht="15" customHeight="1">
      <c r="A621" s="10"/>
      <c r="B621" s="10"/>
      <c r="C621" s="10"/>
      <c r="D621" s="10"/>
      <c r="E621" s="10"/>
      <c r="F621" s="10"/>
      <c r="G621" s="11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  <c r="BA621" s="10"/>
      <c r="BB621" s="10"/>
      <c r="BC621" s="10"/>
      <c r="BD621" s="10"/>
      <c r="BE621" s="10"/>
      <c r="BF621" s="10"/>
      <c r="BG621" s="10"/>
      <c r="BH621" s="10"/>
      <c r="BI621" s="10"/>
      <c r="BJ621" s="10"/>
      <c r="BK621" s="10"/>
      <c r="BL621" s="10"/>
      <c r="BM621" s="10"/>
      <c r="BN621" s="10"/>
      <c r="BO621" s="10"/>
      <c r="BP621" s="10"/>
      <c r="BQ621" s="10"/>
      <c r="BR621" s="10"/>
      <c r="BS621" s="10"/>
      <c r="BT621" s="10"/>
      <c r="BU621" s="10"/>
      <c r="BV621" s="10"/>
      <c r="BW621" s="10"/>
      <c r="BX621" s="10"/>
      <c r="BY621" s="10"/>
      <c r="BZ621" s="10"/>
      <c r="CA621" s="10"/>
      <c r="CB621" s="10"/>
      <c r="CC621" s="10"/>
      <c r="CD621" s="10"/>
      <c r="CE621" s="10"/>
      <c r="CF621" s="10"/>
      <c r="CG621" s="10"/>
      <c r="CH621" s="10"/>
      <c r="CI621" s="10"/>
      <c r="CJ621" s="10"/>
      <c r="CK621" s="10"/>
      <c r="CL621" s="10"/>
      <c r="CM621" s="10"/>
      <c r="CN621" s="10"/>
      <c r="CO621" s="10"/>
      <c r="CP621" s="10"/>
    </row>
    <row r="622" spans="1:132" ht="15" customHeight="1" thickBot="1">
      <c r="A622" s="10"/>
      <c r="B622" s="10"/>
      <c r="C622" s="12" t="s">
        <v>455</v>
      </c>
      <c r="D622" s="12"/>
      <c r="E622" s="12"/>
      <c r="F622" s="12"/>
      <c r="G622" s="12"/>
      <c r="H622" s="12"/>
      <c r="I622" s="12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  <c r="BA622" s="10"/>
      <c r="BB622" s="10"/>
      <c r="BC622" s="10"/>
      <c r="BD622" s="10"/>
      <c r="BE622" s="10"/>
      <c r="BF622" s="10"/>
      <c r="BG622" s="10"/>
      <c r="BH622" s="10"/>
      <c r="BI622" s="10"/>
      <c r="BJ622" s="10"/>
      <c r="BK622" s="10"/>
      <c r="BL622" s="10"/>
      <c r="BM622" s="10"/>
      <c r="BN622" s="10"/>
      <c r="BO622" s="10"/>
      <c r="BP622" s="10"/>
      <c r="BQ622" s="10"/>
      <c r="BR622" s="10"/>
      <c r="BS622" s="10"/>
      <c r="BT622" s="10"/>
      <c r="BU622" s="10"/>
      <c r="BV622" s="10"/>
      <c r="BW622" s="10"/>
      <c r="BX622" s="10"/>
      <c r="BY622" s="10"/>
      <c r="BZ622" s="10"/>
      <c r="CA622" s="10"/>
      <c r="CB622" s="10"/>
      <c r="CC622" s="10"/>
      <c r="CD622" s="10"/>
      <c r="CE622" s="10"/>
      <c r="CF622" s="10"/>
      <c r="CG622" s="10"/>
      <c r="CH622" s="10"/>
      <c r="CI622" s="10"/>
      <c r="CJ622" s="10"/>
      <c r="CK622" s="10"/>
      <c r="CL622" s="10"/>
      <c r="CM622" s="10"/>
      <c r="CN622" s="10"/>
      <c r="CO622" s="10"/>
      <c r="CP622" s="10"/>
    </row>
    <row r="623" spans="1:132" ht="15" customHeight="1">
      <c r="A623" s="10"/>
      <c r="B623" s="10"/>
      <c r="C623" s="10"/>
      <c r="D623" s="10"/>
      <c r="E623" s="10"/>
      <c r="F623" s="68"/>
      <c r="G623" s="142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  <c r="BA623" s="10"/>
      <c r="BB623" s="10"/>
      <c r="BC623" s="10"/>
      <c r="BD623" s="10"/>
      <c r="BE623" s="10"/>
      <c r="BF623" s="10"/>
      <c r="BG623" s="10"/>
      <c r="BH623" s="10"/>
      <c r="BI623" s="10"/>
      <c r="BJ623" s="10"/>
      <c r="BK623" s="10"/>
      <c r="BL623" s="10"/>
      <c r="BM623" s="10"/>
      <c r="BN623" s="10"/>
      <c r="BO623" s="10"/>
      <c r="BP623" s="10"/>
      <c r="BQ623" s="10"/>
      <c r="BR623" s="10"/>
      <c r="BS623" s="10"/>
      <c r="BT623" s="10"/>
      <c r="BU623" s="10"/>
      <c r="BV623" s="10"/>
      <c r="BW623" s="10"/>
      <c r="BX623" s="10"/>
      <c r="BY623" s="10"/>
      <c r="BZ623" s="10"/>
      <c r="CA623" s="10"/>
      <c r="CB623" s="10"/>
      <c r="CC623" s="10"/>
      <c r="CD623" s="10"/>
      <c r="CE623" s="10"/>
      <c r="CF623" s="10"/>
      <c r="CG623" s="10"/>
      <c r="CH623" s="10"/>
      <c r="CI623" s="10"/>
      <c r="CJ623" s="10"/>
      <c r="CK623" s="10"/>
      <c r="CL623" s="10"/>
      <c r="CM623" s="10"/>
      <c r="CN623" s="10"/>
      <c r="CO623" s="10"/>
      <c r="CP623" s="10"/>
    </row>
    <row r="624" spans="1:132" ht="15" customHeight="1">
      <c r="A624" s="10"/>
      <c r="B624" s="10"/>
      <c r="C624" s="17" t="s">
        <v>1072</v>
      </c>
      <c r="D624" s="10"/>
      <c r="E624" s="14">
        <v>0</v>
      </c>
      <c r="F624" s="3"/>
      <c r="G624" s="142" t="str">
        <f xml:space="preserve"> Monetary_Unit</f>
        <v>тыс. руб.</v>
      </c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  <c r="BA624" s="10"/>
      <c r="BB624" s="10"/>
      <c r="BC624" s="10"/>
      <c r="BD624" s="10"/>
      <c r="BE624" s="10"/>
      <c r="BF624" s="10"/>
      <c r="BG624" s="10"/>
      <c r="BH624" s="10"/>
      <c r="BI624" s="10"/>
      <c r="BJ624" s="10"/>
      <c r="BK624" s="10"/>
      <c r="BL624" s="10"/>
      <c r="BM624" s="10"/>
      <c r="BN624" s="10"/>
      <c r="BO624" s="10"/>
      <c r="BP624" s="10"/>
      <c r="BQ624" s="10"/>
      <c r="BR624" s="10"/>
      <c r="BS624" s="10"/>
      <c r="BT624" s="10"/>
      <c r="BU624" s="10"/>
      <c r="BV624" s="10"/>
      <c r="BW624" s="10"/>
      <c r="BX624" s="10"/>
      <c r="BY624" s="10"/>
      <c r="BZ624" s="10"/>
      <c r="CA624" s="10"/>
      <c r="CB624" s="10"/>
      <c r="CC624" s="10"/>
      <c r="CD624" s="10"/>
      <c r="CE624" s="10"/>
      <c r="CF624" s="10"/>
      <c r="CG624" s="10"/>
      <c r="CH624" s="10"/>
      <c r="CI624" s="10"/>
      <c r="CJ624" s="10"/>
      <c r="CK624" s="10"/>
      <c r="CL624" s="10"/>
      <c r="CM624" s="10"/>
      <c r="CN624" s="10"/>
      <c r="CO624" s="10"/>
      <c r="CP624" s="10"/>
    </row>
    <row r="625" spans="1:130" ht="15" customHeight="1">
      <c r="A625" s="10"/>
      <c r="B625" s="10"/>
      <c r="C625" s="17" t="s">
        <v>474</v>
      </c>
      <c r="D625" s="10"/>
      <c r="E625" s="80">
        <v>0</v>
      </c>
      <c r="F625" s="68"/>
      <c r="G625" s="142" t="s">
        <v>28</v>
      </c>
      <c r="H625" s="10" t="s">
        <v>1295</v>
      </c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  <c r="BA625" s="10"/>
      <c r="BB625" s="10"/>
      <c r="BC625" s="10"/>
      <c r="BD625" s="10"/>
      <c r="BE625" s="10"/>
      <c r="BF625" s="10"/>
      <c r="BG625" s="10"/>
      <c r="BH625" s="10"/>
      <c r="BI625" s="10"/>
      <c r="BJ625" s="10"/>
      <c r="BK625" s="10"/>
      <c r="BL625" s="10"/>
      <c r="BM625" s="10"/>
      <c r="BN625" s="10"/>
      <c r="BO625" s="10"/>
      <c r="BP625" s="10"/>
      <c r="BQ625" s="10"/>
      <c r="BR625" s="10"/>
      <c r="BS625" s="10"/>
      <c r="BT625" s="10"/>
      <c r="BU625" s="10"/>
      <c r="BV625" s="10"/>
      <c r="BW625" s="10"/>
      <c r="BX625" s="10"/>
      <c r="BY625" s="10"/>
      <c r="BZ625" s="10"/>
      <c r="CA625" s="10"/>
      <c r="CB625" s="10"/>
      <c r="CC625" s="10"/>
      <c r="CD625" s="10"/>
      <c r="CE625" s="10"/>
      <c r="CF625" s="10"/>
      <c r="CG625" s="10"/>
      <c r="CH625" s="10"/>
      <c r="CI625" s="10"/>
      <c r="CJ625" s="10"/>
      <c r="CK625" s="10"/>
      <c r="CL625" s="10"/>
      <c r="CM625" s="10"/>
      <c r="CN625" s="10"/>
      <c r="CO625" s="10"/>
      <c r="CP625" s="10"/>
    </row>
    <row r="626" spans="1:130" ht="15" customHeight="1">
      <c r="A626" s="10"/>
      <c r="B626" s="10"/>
      <c r="C626" s="10"/>
      <c r="D626" s="10"/>
      <c r="E626" s="59"/>
      <c r="F626" s="3"/>
      <c r="G626" s="142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  <c r="BA626" s="10"/>
      <c r="BB626" s="10"/>
      <c r="BC626" s="10"/>
      <c r="BD626" s="10"/>
      <c r="BE626" s="10"/>
      <c r="BF626" s="10"/>
      <c r="BG626" s="10"/>
      <c r="BH626" s="10"/>
      <c r="BI626" s="10"/>
      <c r="BJ626" s="10"/>
      <c r="BK626" s="10"/>
      <c r="BL626" s="10"/>
      <c r="BM626" s="10"/>
      <c r="BN626" s="10"/>
      <c r="BO626" s="10"/>
      <c r="BP626" s="10"/>
      <c r="BQ626" s="10"/>
      <c r="BR626" s="10"/>
      <c r="BS626" s="10"/>
      <c r="BT626" s="10"/>
      <c r="BU626" s="10"/>
      <c r="BV626" s="10"/>
      <c r="BW626" s="10"/>
      <c r="BX626" s="10"/>
      <c r="BY626" s="10"/>
      <c r="BZ626" s="10"/>
      <c r="CA626" s="10"/>
      <c r="CB626" s="10"/>
      <c r="CC626" s="10"/>
      <c r="CD626" s="10"/>
      <c r="CE626" s="10"/>
      <c r="CF626" s="10"/>
      <c r="CG626" s="10"/>
      <c r="CH626" s="10"/>
      <c r="CI626" s="10"/>
      <c r="CJ626" s="10"/>
      <c r="CK626" s="10"/>
      <c r="CL626" s="10"/>
      <c r="CM626" s="10"/>
      <c r="CN626" s="10"/>
      <c r="CO626" s="10"/>
      <c r="CP626" s="10"/>
      <c r="CQ626" s="10"/>
      <c r="CR626" s="10"/>
      <c r="CS626" s="10"/>
      <c r="CT626" s="10"/>
      <c r="CU626" s="10"/>
      <c r="CV626" s="10"/>
      <c r="CW626" s="10"/>
      <c r="CX626" s="10"/>
      <c r="CY626" s="10"/>
      <c r="CZ626" s="10"/>
      <c r="DA626" s="10"/>
      <c r="DB626" s="10"/>
      <c r="DC626" s="10"/>
      <c r="DD626" s="10"/>
      <c r="DE626" s="10"/>
      <c r="DF626" s="10"/>
      <c r="DG626" s="10"/>
      <c r="DH626" s="10"/>
      <c r="DI626" s="10"/>
      <c r="DJ626" s="10"/>
      <c r="DK626" s="10"/>
      <c r="DL626" s="10"/>
      <c r="DM626" s="10"/>
      <c r="DN626" s="10"/>
      <c r="DO626" s="10"/>
      <c r="DP626" s="10"/>
      <c r="DQ626" s="10"/>
      <c r="DR626" s="10"/>
      <c r="DS626" s="10"/>
      <c r="DT626" s="10"/>
      <c r="DU626" s="10"/>
      <c r="DV626" s="10"/>
      <c r="DW626" s="10"/>
      <c r="DX626" s="10"/>
      <c r="DY626" s="10"/>
      <c r="DZ626" s="10"/>
    </row>
    <row r="627" spans="1:130" ht="15" customHeight="1" thickBot="1">
      <c r="A627" s="10"/>
      <c r="B627" s="10"/>
      <c r="C627" s="12" t="s">
        <v>1032</v>
      </c>
      <c r="D627" s="12"/>
      <c r="E627" s="12"/>
      <c r="F627" s="12"/>
      <c r="G627" s="12"/>
      <c r="H627" s="12"/>
      <c r="I627" s="12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  <c r="BA627" s="10"/>
      <c r="BB627" s="10"/>
      <c r="BC627" s="10"/>
      <c r="BD627" s="10"/>
      <c r="BE627" s="10"/>
      <c r="BF627" s="10"/>
      <c r="BG627" s="10"/>
      <c r="BH627" s="10"/>
      <c r="BI627" s="10"/>
      <c r="BJ627" s="10"/>
      <c r="BK627" s="10"/>
      <c r="BL627" s="10"/>
      <c r="BM627" s="10"/>
      <c r="BN627" s="10"/>
      <c r="BO627" s="10"/>
      <c r="BP627" s="10"/>
      <c r="BQ627" s="10"/>
      <c r="BR627" s="10"/>
      <c r="BS627" s="10"/>
      <c r="BT627" s="10"/>
      <c r="BU627" s="10"/>
      <c r="BV627" s="10"/>
      <c r="BW627" s="10"/>
      <c r="BX627" s="10"/>
      <c r="BY627" s="10"/>
      <c r="BZ627" s="10"/>
      <c r="CA627" s="10"/>
      <c r="CB627" s="10"/>
      <c r="CC627" s="10"/>
      <c r="CD627" s="10"/>
      <c r="CE627" s="10"/>
      <c r="CF627" s="10"/>
      <c r="CG627" s="10"/>
      <c r="CH627" s="10"/>
      <c r="CI627" s="10"/>
      <c r="CJ627" s="10"/>
      <c r="CK627" s="10"/>
      <c r="CL627" s="10"/>
      <c r="CM627" s="10"/>
      <c r="CN627" s="10"/>
      <c r="CO627" s="10"/>
      <c r="CP627" s="10"/>
      <c r="CQ627" s="10"/>
      <c r="CR627" s="10"/>
      <c r="CS627" s="10"/>
      <c r="CT627" s="10"/>
      <c r="CU627" s="10"/>
      <c r="CV627" s="10"/>
      <c r="CW627" s="10"/>
      <c r="CX627" s="10"/>
      <c r="CY627" s="10"/>
      <c r="CZ627" s="10"/>
      <c r="DA627" s="10"/>
      <c r="DB627" s="10"/>
      <c r="DC627" s="10"/>
      <c r="DD627" s="10"/>
      <c r="DE627" s="10"/>
      <c r="DF627" s="10"/>
      <c r="DG627" s="10"/>
      <c r="DH627" s="10"/>
      <c r="DI627" s="10"/>
      <c r="DJ627" s="10"/>
      <c r="DK627" s="10"/>
      <c r="DL627" s="10"/>
      <c r="DM627" s="10"/>
      <c r="DN627" s="10"/>
      <c r="DO627" s="10"/>
      <c r="DP627" s="10"/>
      <c r="DQ627" s="10"/>
      <c r="DR627" s="10"/>
      <c r="DS627" s="10"/>
      <c r="DT627" s="10"/>
      <c r="DU627" s="10"/>
      <c r="DV627" s="10"/>
      <c r="DW627" s="10"/>
      <c r="DX627" s="10"/>
      <c r="DY627" s="10"/>
      <c r="DZ627" s="10"/>
    </row>
    <row r="628" spans="1:130" ht="15" customHeight="1">
      <c r="A628" s="10"/>
      <c r="B628" s="10"/>
      <c r="C628" s="17" t="s">
        <v>1155</v>
      </c>
      <c r="D628" s="10"/>
      <c r="E628" s="80">
        <v>0.13</v>
      </c>
      <c r="F628" s="3"/>
      <c r="G628" s="142" t="s">
        <v>28</v>
      </c>
      <c r="H628" s="10" t="s">
        <v>117</v>
      </c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  <c r="BA628" s="10"/>
      <c r="BB628" s="10"/>
      <c r="BC628" s="10"/>
      <c r="BD628" s="10"/>
      <c r="BE628" s="10"/>
      <c r="BF628" s="10"/>
      <c r="BG628" s="10"/>
      <c r="BH628" s="10"/>
      <c r="BI628" s="10"/>
      <c r="BJ628" s="10"/>
      <c r="BK628" s="10"/>
      <c r="BL628" s="10"/>
      <c r="BM628" s="10"/>
      <c r="BN628" s="10"/>
      <c r="BO628" s="10"/>
      <c r="BP628" s="10"/>
      <c r="BQ628" s="10"/>
      <c r="BR628" s="10"/>
      <c r="BS628" s="10"/>
      <c r="BT628" s="10"/>
      <c r="BU628" s="10"/>
      <c r="BV628" s="10"/>
      <c r="BW628" s="10"/>
      <c r="BX628" s="10"/>
      <c r="BY628" s="10"/>
      <c r="BZ628" s="10"/>
      <c r="CA628" s="10"/>
      <c r="CB628" s="10"/>
      <c r="CC628" s="10"/>
      <c r="CD628" s="10"/>
      <c r="CE628" s="10"/>
      <c r="CF628" s="10"/>
      <c r="CG628" s="10"/>
      <c r="CH628" s="10"/>
      <c r="CI628" s="10"/>
      <c r="CJ628" s="10"/>
      <c r="CK628" s="10"/>
      <c r="CL628" s="10"/>
      <c r="CM628" s="10"/>
      <c r="CN628" s="10"/>
      <c r="CO628" s="10"/>
      <c r="CP628" s="10"/>
      <c r="CQ628" s="10"/>
      <c r="CR628" s="10"/>
      <c r="CS628" s="10"/>
      <c r="CT628" s="10"/>
      <c r="CU628" s="10"/>
      <c r="CV628" s="10"/>
      <c r="CW628" s="10"/>
      <c r="CX628" s="10"/>
      <c r="CY628" s="10"/>
      <c r="CZ628" s="10"/>
      <c r="DA628" s="10"/>
      <c r="DB628" s="10"/>
      <c r="DC628" s="10"/>
      <c r="DD628" s="10"/>
      <c r="DE628" s="10"/>
      <c r="DF628" s="10"/>
      <c r="DG628" s="10"/>
      <c r="DH628" s="10"/>
      <c r="DI628" s="10"/>
      <c r="DJ628" s="10"/>
      <c r="DK628" s="10"/>
      <c r="DL628" s="10"/>
      <c r="DM628" s="10"/>
      <c r="DN628" s="10"/>
      <c r="DO628" s="10"/>
      <c r="DP628" s="10"/>
      <c r="DQ628" s="10"/>
      <c r="DR628" s="10"/>
      <c r="DS628" s="10"/>
      <c r="DT628" s="10"/>
      <c r="DU628" s="10"/>
      <c r="DV628" s="10"/>
      <c r="DW628" s="10"/>
      <c r="DX628" s="10"/>
      <c r="DY628" s="10"/>
      <c r="DZ628" s="10"/>
    </row>
    <row r="629" spans="1:130" ht="15" customHeight="1">
      <c r="A629" s="10"/>
      <c r="B629" s="10"/>
      <c r="C629" s="17" t="s">
        <v>1152</v>
      </c>
      <c r="D629" s="10"/>
      <c r="E629" s="80">
        <v>0.85</v>
      </c>
      <c r="F629" s="3"/>
      <c r="G629" s="142" t="s">
        <v>28</v>
      </c>
      <c r="H629" s="10" t="s">
        <v>117</v>
      </c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  <c r="BA629" s="10"/>
      <c r="BB629" s="10"/>
      <c r="BC629" s="10"/>
      <c r="BD629" s="10"/>
      <c r="BE629" s="10"/>
      <c r="BF629" s="10"/>
      <c r="BG629" s="10"/>
      <c r="BH629" s="10"/>
      <c r="BI629" s="10"/>
      <c r="BJ629" s="10"/>
      <c r="BK629" s="10"/>
      <c r="BL629" s="10"/>
      <c r="BM629" s="10"/>
      <c r="BN629" s="10"/>
      <c r="BO629" s="10"/>
      <c r="BP629" s="10"/>
      <c r="BQ629" s="10"/>
      <c r="BR629" s="10"/>
      <c r="BS629" s="10"/>
      <c r="BT629" s="10"/>
      <c r="BU629" s="10"/>
      <c r="BV629" s="10"/>
      <c r="BW629" s="10"/>
      <c r="BX629" s="10"/>
      <c r="BY629" s="10"/>
      <c r="BZ629" s="10"/>
      <c r="CA629" s="10"/>
      <c r="CB629" s="10"/>
      <c r="CC629" s="10"/>
      <c r="CD629" s="10"/>
      <c r="CE629" s="10"/>
      <c r="CF629" s="10"/>
      <c r="CG629" s="10"/>
      <c r="CH629" s="10"/>
      <c r="CI629" s="10"/>
      <c r="CJ629" s="10"/>
      <c r="CK629" s="10"/>
      <c r="CL629" s="10"/>
      <c r="CM629" s="10"/>
      <c r="CN629" s="10"/>
      <c r="CO629" s="10"/>
      <c r="CP629" s="10"/>
      <c r="CQ629" s="10"/>
      <c r="CR629" s="10"/>
      <c r="CS629" s="10"/>
      <c r="CT629" s="10"/>
      <c r="CU629" s="10"/>
      <c r="CV629" s="10"/>
      <c r="CW629" s="10"/>
      <c r="CX629" s="10"/>
      <c r="CY629" s="10"/>
      <c r="CZ629" s="10"/>
      <c r="DA629" s="10"/>
      <c r="DB629" s="10"/>
      <c r="DC629" s="10"/>
      <c r="DD629" s="10"/>
      <c r="DE629" s="10"/>
      <c r="DF629" s="10"/>
      <c r="DG629" s="10"/>
      <c r="DH629" s="10"/>
      <c r="DI629" s="10"/>
      <c r="DJ629" s="10"/>
      <c r="DK629" s="10"/>
      <c r="DL629" s="10"/>
      <c r="DM629" s="10"/>
      <c r="DN629" s="10"/>
      <c r="DO629" s="10"/>
      <c r="DP629" s="10"/>
      <c r="DQ629" s="10"/>
      <c r="DR629" s="10"/>
      <c r="DS629" s="10"/>
      <c r="DT629" s="10"/>
      <c r="DU629" s="10"/>
      <c r="DV629" s="10"/>
      <c r="DW629" s="10"/>
      <c r="DX629" s="10"/>
      <c r="DY629" s="10"/>
      <c r="DZ629" s="10"/>
    </row>
    <row r="630" spans="1:130" ht="15" customHeight="1">
      <c r="A630" s="10"/>
      <c r="B630" s="10"/>
      <c r="C630" s="17" t="s">
        <v>1153</v>
      </c>
      <c r="D630" s="10"/>
      <c r="E630" s="80">
        <v>0.05</v>
      </c>
      <c r="F630" s="3"/>
      <c r="G630" s="142" t="s">
        <v>28</v>
      </c>
      <c r="H630" s="10" t="s">
        <v>117</v>
      </c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  <c r="BA630" s="10"/>
      <c r="BB630" s="10"/>
      <c r="BC630" s="10"/>
      <c r="BD630" s="10"/>
      <c r="BE630" s="10"/>
      <c r="BF630" s="10"/>
      <c r="BG630" s="10"/>
      <c r="BH630" s="10"/>
      <c r="BI630" s="10"/>
      <c r="BJ630" s="10"/>
      <c r="BK630" s="10"/>
      <c r="BL630" s="10"/>
      <c r="BM630" s="10"/>
      <c r="BN630" s="10"/>
      <c r="BO630" s="10"/>
      <c r="BP630" s="10"/>
      <c r="BQ630" s="10"/>
      <c r="BR630" s="10"/>
      <c r="BS630" s="10"/>
      <c r="BT630" s="10"/>
      <c r="BU630" s="10"/>
      <c r="BV630" s="10"/>
      <c r="BW630" s="10"/>
      <c r="BX630" s="10"/>
      <c r="BY630" s="10"/>
      <c r="BZ630" s="10"/>
      <c r="CA630" s="10"/>
      <c r="CB630" s="10"/>
      <c r="CC630" s="10"/>
      <c r="CD630" s="10"/>
      <c r="CE630" s="10"/>
      <c r="CF630" s="10"/>
      <c r="CG630" s="10"/>
      <c r="CH630" s="10"/>
      <c r="CI630" s="10"/>
      <c r="CJ630" s="10"/>
      <c r="CK630" s="10"/>
      <c r="CL630" s="10"/>
      <c r="CM630" s="10"/>
      <c r="CN630" s="10"/>
      <c r="CO630" s="10"/>
      <c r="CP630" s="10"/>
      <c r="CQ630" s="10"/>
      <c r="CR630" s="10"/>
      <c r="CS630" s="10"/>
      <c r="CT630" s="10"/>
      <c r="CU630" s="10"/>
      <c r="CV630" s="10"/>
      <c r="CW630" s="10"/>
      <c r="CX630" s="10"/>
      <c r="CY630" s="10"/>
      <c r="CZ630" s="10"/>
      <c r="DA630" s="10"/>
      <c r="DB630" s="10"/>
      <c r="DC630" s="10"/>
      <c r="DD630" s="10"/>
      <c r="DE630" s="10"/>
      <c r="DF630" s="10"/>
      <c r="DG630" s="10"/>
      <c r="DH630" s="10"/>
      <c r="DI630" s="10"/>
      <c r="DJ630" s="10"/>
      <c r="DK630" s="10"/>
      <c r="DL630" s="10"/>
      <c r="DM630" s="10"/>
      <c r="DN630" s="10"/>
      <c r="DO630" s="10"/>
      <c r="DP630" s="10"/>
      <c r="DQ630" s="10"/>
      <c r="DR630" s="10"/>
      <c r="DS630" s="10"/>
      <c r="DT630" s="10"/>
      <c r="DU630" s="10"/>
      <c r="DV630" s="10"/>
      <c r="DW630" s="10"/>
      <c r="DX630" s="10"/>
      <c r="DY630" s="10"/>
      <c r="DZ630" s="10"/>
    </row>
    <row r="631" spans="1:130" ht="15" customHeight="1">
      <c r="A631" s="10"/>
      <c r="B631" s="10"/>
      <c r="C631" s="17" t="s">
        <v>1154</v>
      </c>
      <c r="D631" s="10"/>
      <c r="E631" s="80">
        <v>0.1</v>
      </c>
      <c r="F631" s="3"/>
      <c r="G631" s="142" t="s">
        <v>28</v>
      </c>
      <c r="H631" s="10" t="s">
        <v>117</v>
      </c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  <c r="BA631" s="10"/>
      <c r="BB631" s="10"/>
      <c r="BC631" s="10"/>
      <c r="BD631" s="10"/>
      <c r="BE631" s="10"/>
      <c r="BF631" s="10"/>
      <c r="BG631" s="10"/>
      <c r="BH631" s="10"/>
      <c r="BI631" s="10"/>
      <c r="BJ631" s="10"/>
      <c r="BK631" s="10"/>
      <c r="BL631" s="10"/>
      <c r="BM631" s="10"/>
      <c r="BN631" s="10"/>
      <c r="BO631" s="10"/>
      <c r="BP631" s="10"/>
      <c r="BQ631" s="10"/>
      <c r="BR631" s="10"/>
      <c r="BS631" s="10"/>
      <c r="BT631" s="10"/>
      <c r="BU631" s="10"/>
      <c r="BV631" s="10"/>
      <c r="BW631" s="10"/>
      <c r="BX631" s="10"/>
      <c r="BY631" s="10"/>
      <c r="BZ631" s="10"/>
      <c r="CA631" s="10"/>
      <c r="CB631" s="10"/>
      <c r="CC631" s="10"/>
      <c r="CD631" s="10"/>
      <c r="CE631" s="10"/>
      <c r="CF631" s="10"/>
      <c r="CG631" s="10"/>
      <c r="CH631" s="10"/>
      <c r="CI631" s="10"/>
      <c r="CJ631" s="10"/>
      <c r="CK631" s="10"/>
      <c r="CL631" s="10"/>
      <c r="CM631" s="10"/>
      <c r="CN631" s="10"/>
      <c r="CO631" s="10"/>
      <c r="CP631" s="10"/>
      <c r="CQ631" s="10"/>
      <c r="CR631" s="10"/>
      <c r="CS631" s="10"/>
      <c r="CT631" s="10"/>
      <c r="CU631" s="10"/>
      <c r="CV631" s="10"/>
      <c r="CW631" s="10"/>
      <c r="CX631" s="10"/>
      <c r="CY631" s="10"/>
      <c r="CZ631" s="10"/>
      <c r="DA631" s="10"/>
      <c r="DB631" s="10"/>
      <c r="DC631" s="10"/>
      <c r="DD631" s="10"/>
      <c r="DE631" s="10"/>
      <c r="DF631" s="10"/>
      <c r="DG631" s="10"/>
      <c r="DH631" s="10"/>
      <c r="DI631" s="10"/>
      <c r="DJ631" s="10"/>
      <c r="DK631" s="10"/>
      <c r="DL631" s="10"/>
      <c r="DM631" s="10"/>
      <c r="DN631" s="10"/>
      <c r="DO631" s="10"/>
      <c r="DP631" s="10"/>
      <c r="DQ631" s="10"/>
      <c r="DR631" s="10"/>
      <c r="DS631" s="10"/>
      <c r="DT631" s="10"/>
      <c r="DU631" s="10"/>
      <c r="DV631" s="10"/>
      <c r="DW631" s="10"/>
      <c r="DX631" s="10"/>
      <c r="DY631" s="10"/>
      <c r="DZ631" s="10"/>
    </row>
    <row r="632" spans="1:130" ht="15" customHeight="1">
      <c r="A632" s="10"/>
      <c r="B632" s="10"/>
      <c r="C632" s="10"/>
      <c r="D632" s="10"/>
      <c r="E632" s="59"/>
      <c r="F632" s="3"/>
      <c r="G632" s="142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  <c r="BA632" s="10"/>
      <c r="BB632" s="10"/>
      <c r="BC632" s="10"/>
      <c r="BD632" s="10"/>
      <c r="BE632" s="10"/>
      <c r="BF632" s="10"/>
      <c r="BG632" s="10"/>
      <c r="BH632" s="10"/>
      <c r="BI632" s="10"/>
      <c r="BJ632" s="10"/>
      <c r="BK632" s="10"/>
      <c r="BL632" s="10"/>
      <c r="BM632" s="10"/>
      <c r="BN632" s="10"/>
      <c r="BO632" s="10"/>
      <c r="BP632" s="10"/>
      <c r="BQ632" s="10"/>
      <c r="BR632" s="10"/>
      <c r="BS632" s="10"/>
      <c r="BT632" s="10"/>
      <c r="BU632" s="10"/>
      <c r="BV632" s="10"/>
      <c r="BW632" s="10"/>
      <c r="BX632" s="10"/>
      <c r="BY632" s="10"/>
      <c r="BZ632" s="10"/>
      <c r="CA632" s="10"/>
      <c r="CB632" s="10"/>
      <c r="CC632" s="10"/>
      <c r="CD632" s="10"/>
      <c r="CE632" s="10"/>
      <c r="CF632" s="10"/>
      <c r="CG632" s="10"/>
      <c r="CH632" s="10"/>
      <c r="CI632" s="10"/>
      <c r="CJ632" s="10"/>
      <c r="CK632" s="10"/>
      <c r="CL632" s="10"/>
      <c r="CM632" s="10"/>
      <c r="CN632" s="10"/>
      <c r="CO632" s="10"/>
      <c r="CP632" s="10"/>
      <c r="CQ632" s="10"/>
      <c r="CR632" s="10"/>
      <c r="CS632" s="10"/>
      <c r="CT632" s="10"/>
      <c r="CU632" s="10"/>
      <c r="CV632" s="10"/>
      <c r="CW632" s="10"/>
      <c r="CX632" s="10"/>
      <c r="CY632" s="10"/>
      <c r="CZ632" s="10"/>
      <c r="DA632" s="10"/>
      <c r="DB632" s="10"/>
      <c r="DC632" s="10"/>
      <c r="DD632" s="10"/>
      <c r="DE632" s="10"/>
      <c r="DF632" s="10"/>
      <c r="DG632" s="10"/>
      <c r="DH632" s="10"/>
      <c r="DI632" s="10"/>
      <c r="DJ632" s="10"/>
      <c r="DK632" s="10"/>
      <c r="DL632" s="10"/>
      <c r="DM632" s="10"/>
      <c r="DN632" s="10"/>
      <c r="DO632" s="10"/>
      <c r="DP632" s="10"/>
      <c r="DQ632" s="10"/>
      <c r="DR632" s="10"/>
      <c r="DS632" s="10"/>
      <c r="DT632" s="10"/>
      <c r="DU632" s="10"/>
      <c r="DV632" s="10"/>
      <c r="DW632" s="10"/>
      <c r="DX632" s="10"/>
      <c r="DY632" s="10"/>
      <c r="DZ632" s="10"/>
    </row>
    <row r="633" spans="1:130" ht="15" customHeight="1" thickBot="1">
      <c r="A633" s="10"/>
      <c r="B633" s="10"/>
      <c r="C633" s="12" t="s">
        <v>1156</v>
      </c>
      <c r="D633" s="12"/>
      <c r="E633" s="12"/>
      <c r="F633" s="12"/>
      <c r="G633" s="12"/>
      <c r="H633" s="12"/>
      <c r="I633" s="12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  <c r="BA633" s="10"/>
      <c r="BB633" s="10"/>
      <c r="BC633" s="10"/>
      <c r="BD633" s="10"/>
      <c r="BE633" s="10"/>
      <c r="BF633" s="10"/>
      <c r="BG633" s="10"/>
      <c r="BH633" s="10"/>
      <c r="BI633" s="10"/>
      <c r="BJ633" s="10"/>
      <c r="BK633" s="10"/>
      <c r="BL633" s="10"/>
      <c r="BM633" s="10"/>
      <c r="BN633" s="10"/>
      <c r="BO633" s="10"/>
      <c r="BP633" s="10"/>
      <c r="BQ633" s="10"/>
      <c r="BR633" s="10"/>
      <c r="BS633" s="10"/>
      <c r="BT633" s="10"/>
      <c r="BU633" s="10"/>
      <c r="BV633" s="10"/>
      <c r="BW633" s="10"/>
      <c r="BX633" s="10"/>
      <c r="BY633" s="10"/>
      <c r="BZ633" s="10"/>
      <c r="CA633" s="10"/>
      <c r="CB633" s="10"/>
      <c r="CC633" s="10"/>
      <c r="CD633" s="10"/>
      <c r="CE633" s="10"/>
      <c r="CF633" s="10"/>
      <c r="CG633" s="10"/>
      <c r="CH633" s="10"/>
      <c r="CI633" s="10"/>
      <c r="CJ633" s="10"/>
      <c r="CK633" s="10"/>
      <c r="CL633" s="10"/>
      <c r="CM633" s="10"/>
      <c r="CN633" s="10"/>
      <c r="CO633" s="10"/>
      <c r="CP633" s="10"/>
      <c r="CQ633" s="10"/>
      <c r="CR633" s="10"/>
      <c r="CS633" s="10"/>
      <c r="CT633" s="10"/>
      <c r="CU633" s="10"/>
      <c r="CV633" s="10"/>
      <c r="CW633" s="10"/>
      <c r="CX633" s="10"/>
      <c r="CY633" s="10"/>
      <c r="CZ633" s="10"/>
      <c r="DA633" s="10"/>
      <c r="DB633" s="10"/>
      <c r="DC633" s="10"/>
      <c r="DD633" s="10"/>
      <c r="DE633" s="10"/>
      <c r="DF633" s="10"/>
      <c r="DG633" s="10"/>
      <c r="DH633" s="10"/>
      <c r="DI633" s="10"/>
      <c r="DJ633" s="10"/>
      <c r="DK633" s="10"/>
      <c r="DL633" s="10"/>
      <c r="DM633" s="10"/>
      <c r="DN633" s="10"/>
      <c r="DO633" s="10"/>
      <c r="DP633" s="10"/>
      <c r="DQ633" s="10"/>
      <c r="DR633" s="10"/>
      <c r="DS633" s="10"/>
      <c r="DT633" s="10"/>
      <c r="DU633" s="10"/>
      <c r="DV633" s="10"/>
      <c r="DW633" s="10"/>
      <c r="DX633" s="10"/>
      <c r="DY633" s="10"/>
      <c r="DZ633" s="10"/>
    </row>
    <row r="634" spans="1:130" ht="15" customHeight="1">
      <c r="A634" s="10"/>
      <c r="B634" s="10"/>
      <c r="C634" s="17" t="s">
        <v>1027</v>
      </c>
      <c r="D634" s="10"/>
      <c r="E634" s="80">
        <v>0.22</v>
      </c>
      <c r="F634" s="3"/>
      <c r="G634" s="142" t="s">
        <v>28</v>
      </c>
      <c r="H634" s="10" t="s">
        <v>117</v>
      </c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  <c r="BA634" s="10"/>
      <c r="BB634" s="10"/>
      <c r="BC634" s="10"/>
      <c r="BD634" s="10"/>
      <c r="BE634" s="10"/>
      <c r="BF634" s="10"/>
      <c r="BG634" s="10"/>
      <c r="BH634" s="10"/>
      <c r="BI634" s="10"/>
      <c r="BJ634" s="10"/>
      <c r="BK634" s="10"/>
      <c r="BL634" s="10"/>
      <c r="BM634" s="10"/>
      <c r="BN634" s="10"/>
      <c r="BO634" s="10"/>
      <c r="BP634" s="10"/>
      <c r="BQ634" s="10"/>
      <c r="BR634" s="10"/>
      <c r="BS634" s="10"/>
      <c r="BT634" s="10"/>
      <c r="BU634" s="10"/>
      <c r="BV634" s="10"/>
      <c r="BW634" s="10"/>
      <c r="BX634" s="10"/>
      <c r="BY634" s="10"/>
      <c r="BZ634" s="10"/>
      <c r="CA634" s="10"/>
      <c r="CB634" s="10"/>
      <c r="CC634" s="10"/>
      <c r="CD634" s="10"/>
      <c r="CE634" s="10"/>
      <c r="CF634" s="10"/>
      <c r="CG634" s="10"/>
      <c r="CH634" s="10"/>
      <c r="CI634" s="10"/>
      <c r="CJ634" s="10"/>
      <c r="CK634" s="10"/>
      <c r="CL634" s="10"/>
      <c r="CM634" s="10"/>
      <c r="CN634" s="10"/>
      <c r="CO634" s="10"/>
      <c r="CP634" s="10"/>
      <c r="CQ634" s="10"/>
      <c r="CR634" s="10"/>
      <c r="CS634" s="10"/>
      <c r="CT634" s="10"/>
      <c r="CU634" s="10"/>
      <c r="CV634" s="10"/>
      <c r="CW634" s="10"/>
      <c r="CX634" s="10"/>
      <c r="CY634" s="10"/>
      <c r="CZ634" s="10"/>
      <c r="DA634" s="10"/>
      <c r="DB634" s="10"/>
      <c r="DC634" s="10"/>
      <c r="DD634" s="10"/>
      <c r="DE634" s="10"/>
      <c r="DF634" s="10"/>
      <c r="DG634" s="10"/>
      <c r="DH634" s="10"/>
      <c r="DI634" s="10"/>
      <c r="DJ634" s="10"/>
      <c r="DK634" s="10"/>
      <c r="DL634" s="10"/>
      <c r="DM634" s="10"/>
      <c r="DN634" s="10"/>
      <c r="DO634" s="10"/>
      <c r="DP634" s="10"/>
      <c r="DQ634" s="10"/>
      <c r="DR634" s="10"/>
      <c r="DS634" s="10"/>
      <c r="DT634" s="10"/>
      <c r="DU634" s="10"/>
      <c r="DV634" s="10"/>
      <c r="DW634" s="10"/>
      <c r="DX634" s="10"/>
      <c r="DY634" s="10"/>
      <c r="DZ634" s="10"/>
    </row>
    <row r="635" spans="1:130" ht="15" customHeight="1">
      <c r="A635" s="10"/>
      <c r="B635" s="10"/>
      <c r="C635" s="17" t="s">
        <v>1028</v>
      </c>
      <c r="D635" s="10"/>
      <c r="E635" s="80">
        <v>2.9000000000000001E-2</v>
      </c>
      <c r="F635" s="3"/>
      <c r="G635" s="142" t="s">
        <v>28</v>
      </c>
      <c r="H635" s="10" t="s">
        <v>117</v>
      </c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  <c r="BA635" s="10"/>
      <c r="BB635" s="10"/>
      <c r="BC635" s="10"/>
      <c r="BD635" s="10"/>
      <c r="BE635" s="10"/>
      <c r="BF635" s="10"/>
      <c r="BG635" s="10"/>
      <c r="BH635" s="10"/>
      <c r="BI635" s="10"/>
      <c r="BJ635" s="10"/>
      <c r="BK635" s="10"/>
      <c r="BL635" s="10"/>
      <c r="BM635" s="10"/>
      <c r="BN635" s="10"/>
      <c r="BO635" s="10"/>
      <c r="BP635" s="10"/>
      <c r="BQ635" s="10"/>
      <c r="BR635" s="10"/>
      <c r="BS635" s="10"/>
      <c r="BT635" s="10"/>
      <c r="BU635" s="10"/>
      <c r="BV635" s="10"/>
      <c r="BW635" s="10"/>
      <c r="BX635" s="10"/>
      <c r="BY635" s="10"/>
      <c r="BZ635" s="10"/>
      <c r="CA635" s="10"/>
      <c r="CB635" s="10"/>
      <c r="CC635" s="10"/>
      <c r="CD635" s="10"/>
      <c r="CE635" s="10"/>
      <c r="CF635" s="10"/>
      <c r="CG635" s="10"/>
      <c r="CH635" s="10"/>
      <c r="CI635" s="10"/>
      <c r="CJ635" s="10"/>
      <c r="CK635" s="10"/>
      <c r="CL635" s="10"/>
      <c r="CM635" s="10"/>
      <c r="CN635" s="10"/>
      <c r="CO635" s="10"/>
      <c r="CP635" s="10"/>
      <c r="CQ635" s="10"/>
      <c r="CR635" s="10"/>
      <c r="CS635" s="10"/>
      <c r="CT635" s="10"/>
      <c r="CU635" s="10"/>
      <c r="CV635" s="10"/>
      <c r="CW635" s="10"/>
      <c r="CX635" s="10"/>
      <c r="CY635" s="10"/>
      <c r="CZ635" s="10"/>
      <c r="DA635" s="10"/>
      <c r="DB635" s="10"/>
      <c r="DC635" s="10"/>
      <c r="DD635" s="10"/>
      <c r="DE635" s="10"/>
      <c r="DF635" s="10"/>
      <c r="DG635" s="10"/>
      <c r="DH635" s="10"/>
      <c r="DI635" s="10"/>
      <c r="DJ635" s="10"/>
      <c r="DK635" s="10"/>
      <c r="DL635" s="10"/>
      <c r="DM635" s="10"/>
      <c r="DN635" s="10"/>
      <c r="DO635" s="10"/>
      <c r="DP635" s="10"/>
      <c r="DQ635" s="10"/>
      <c r="DR635" s="10"/>
      <c r="DS635" s="10"/>
      <c r="DT635" s="10"/>
      <c r="DU635" s="10"/>
      <c r="DV635" s="10"/>
      <c r="DW635" s="10"/>
      <c r="DX635" s="10"/>
      <c r="DY635" s="10"/>
      <c r="DZ635" s="10"/>
    </row>
    <row r="636" spans="1:130" ht="15" customHeight="1">
      <c r="A636" s="10"/>
      <c r="B636" s="10"/>
      <c r="C636" s="17" t="s">
        <v>1029</v>
      </c>
      <c r="D636" s="10"/>
      <c r="E636" s="80">
        <v>5.0999999999999997E-2</v>
      </c>
      <c r="F636" s="3"/>
      <c r="G636" s="142" t="s">
        <v>28</v>
      </c>
      <c r="H636" s="10" t="s">
        <v>117</v>
      </c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  <c r="BA636" s="10"/>
      <c r="BB636" s="10"/>
      <c r="BC636" s="10"/>
      <c r="BD636" s="10"/>
      <c r="BE636" s="10"/>
      <c r="BF636" s="10"/>
      <c r="BG636" s="10"/>
      <c r="BH636" s="10"/>
      <c r="BI636" s="10"/>
      <c r="BJ636" s="10"/>
      <c r="BK636" s="10"/>
      <c r="BL636" s="10"/>
      <c r="BM636" s="10"/>
      <c r="BN636" s="10"/>
      <c r="BO636" s="10"/>
      <c r="BP636" s="10"/>
      <c r="BQ636" s="10"/>
      <c r="BR636" s="10"/>
      <c r="BS636" s="10"/>
      <c r="BT636" s="10"/>
      <c r="BU636" s="10"/>
      <c r="BV636" s="10"/>
      <c r="BW636" s="10"/>
      <c r="BX636" s="10"/>
      <c r="BY636" s="10"/>
      <c r="BZ636" s="10"/>
      <c r="CA636" s="10"/>
      <c r="CB636" s="10"/>
      <c r="CC636" s="10"/>
      <c r="CD636" s="10"/>
      <c r="CE636" s="10"/>
      <c r="CF636" s="10"/>
      <c r="CG636" s="10"/>
      <c r="CH636" s="10"/>
      <c r="CI636" s="10"/>
      <c r="CJ636" s="10"/>
      <c r="CK636" s="10"/>
      <c r="CL636" s="10"/>
      <c r="CM636" s="10"/>
      <c r="CN636" s="10"/>
      <c r="CO636" s="10"/>
      <c r="CP636" s="10"/>
      <c r="CQ636" s="10"/>
      <c r="CR636" s="10"/>
      <c r="CS636" s="10"/>
      <c r="CT636" s="10"/>
      <c r="CU636" s="10"/>
      <c r="CV636" s="10"/>
      <c r="CW636" s="10"/>
      <c r="CX636" s="10"/>
      <c r="CY636" s="10"/>
      <c r="CZ636" s="10"/>
      <c r="DA636" s="10"/>
      <c r="DB636" s="10"/>
      <c r="DC636" s="10"/>
      <c r="DD636" s="10"/>
      <c r="DE636" s="10"/>
      <c r="DF636" s="10"/>
      <c r="DG636" s="10"/>
      <c r="DH636" s="10"/>
      <c r="DI636" s="10"/>
      <c r="DJ636" s="10"/>
      <c r="DK636" s="10"/>
      <c r="DL636" s="10"/>
      <c r="DM636" s="10"/>
      <c r="DN636" s="10"/>
      <c r="DO636" s="10"/>
      <c r="DP636" s="10"/>
      <c r="DQ636" s="10"/>
      <c r="DR636" s="10"/>
      <c r="DS636" s="10"/>
      <c r="DT636" s="10"/>
      <c r="DU636" s="10"/>
      <c r="DV636" s="10"/>
      <c r="DW636" s="10"/>
      <c r="DX636" s="10"/>
      <c r="DY636" s="10"/>
      <c r="DZ636" s="10"/>
    </row>
    <row r="637" spans="1:130" ht="15" customHeight="1">
      <c r="A637" s="10"/>
      <c r="B637" s="10"/>
      <c r="C637" s="17" t="s">
        <v>1030</v>
      </c>
      <c r="D637" s="10"/>
      <c r="E637" s="80">
        <v>2E-3</v>
      </c>
      <c r="F637" s="3"/>
      <c r="G637" s="142" t="s">
        <v>28</v>
      </c>
      <c r="H637" s="10" t="s">
        <v>117</v>
      </c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  <c r="BA637" s="10"/>
      <c r="BB637" s="10"/>
      <c r="BC637" s="10"/>
      <c r="BD637" s="10"/>
      <c r="BE637" s="10"/>
      <c r="BF637" s="10"/>
      <c r="BG637" s="10"/>
      <c r="BH637" s="10"/>
      <c r="BI637" s="10"/>
      <c r="BJ637" s="10"/>
      <c r="BK637" s="10"/>
      <c r="BL637" s="10"/>
      <c r="BM637" s="10"/>
      <c r="BN637" s="10"/>
      <c r="BO637" s="10"/>
      <c r="BP637" s="10"/>
      <c r="BQ637" s="10"/>
      <c r="BR637" s="10"/>
      <c r="BS637" s="10"/>
      <c r="BT637" s="10"/>
      <c r="BU637" s="10"/>
      <c r="BV637" s="10"/>
      <c r="BW637" s="10"/>
      <c r="BX637" s="10"/>
      <c r="BY637" s="10"/>
      <c r="BZ637" s="10"/>
      <c r="CA637" s="10"/>
      <c r="CB637" s="10"/>
      <c r="CC637" s="10"/>
      <c r="CD637" s="10"/>
      <c r="CE637" s="10"/>
      <c r="CF637" s="10"/>
      <c r="CG637" s="10"/>
      <c r="CH637" s="10"/>
      <c r="CI637" s="10"/>
      <c r="CJ637" s="10"/>
      <c r="CK637" s="10"/>
      <c r="CL637" s="10"/>
      <c r="CM637" s="10"/>
      <c r="CN637" s="10"/>
      <c r="CO637" s="10"/>
      <c r="CP637" s="10"/>
      <c r="CQ637" s="10"/>
      <c r="CR637" s="10"/>
      <c r="CS637" s="10"/>
      <c r="CT637" s="10"/>
      <c r="CU637" s="10"/>
      <c r="CV637" s="10"/>
      <c r="CW637" s="10"/>
      <c r="CX637" s="10"/>
      <c r="CY637" s="10"/>
      <c r="CZ637" s="10"/>
      <c r="DA637" s="10"/>
      <c r="DB637" s="10"/>
      <c r="DC637" s="10"/>
      <c r="DD637" s="10"/>
      <c r="DE637" s="10"/>
      <c r="DF637" s="10"/>
      <c r="DG637" s="10"/>
      <c r="DH637" s="10"/>
      <c r="DI637" s="10"/>
      <c r="DJ637" s="10"/>
      <c r="DK637" s="10"/>
      <c r="DL637" s="10"/>
      <c r="DM637" s="10"/>
      <c r="DN637" s="10"/>
      <c r="DO637" s="10"/>
      <c r="DP637" s="10"/>
      <c r="DQ637" s="10"/>
      <c r="DR637" s="10"/>
      <c r="DS637" s="10"/>
      <c r="DT637" s="10"/>
      <c r="DU637" s="10"/>
      <c r="DV637" s="10"/>
      <c r="DW637" s="10"/>
      <c r="DX637" s="10"/>
      <c r="DY637" s="10"/>
      <c r="DZ637" s="10"/>
    </row>
    <row r="638" spans="1:130" ht="15" customHeight="1">
      <c r="A638" s="10"/>
      <c r="B638" s="10"/>
      <c r="C638" s="17"/>
      <c r="D638" s="10"/>
      <c r="E638" s="17"/>
      <c r="F638" s="68"/>
      <c r="G638" s="142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  <c r="BL638" s="10"/>
      <c r="BM638" s="10"/>
      <c r="BN638" s="10"/>
      <c r="BO638" s="10"/>
      <c r="BP638" s="10"/>
      <c r="BQ638" s="10"/>
      <c r="BR638" s="10"/>
      <c r="BS638" s="10"/>
      <c r="BT638" s="10"/>
      <c r="BU638" s="10"/>
      <c r="BV638" s="10"/>
      <c r="BW638" s="10"/>
      <c r="BX638" s="10"/>
      <c r="BY638" s="10"/>
      <c r="BZ638" s="10"/>
      <c r="CA638" s="10"/>
      <c r="CB638" s="10"/>
      <c r="CC638" s="10"/>
      <c r="CD638" s="10"/>
      <c r="CE638" s="10"/>
      <c r="CF638" s="10"/>
      <c r="CG638" s="10"/>
      <c r="CH638" s="10"/>
      <c r="CI638" s="10"/>
      <c r="CJ638" s="10"/>
      <c r="CK638" s="10"/>
      <c r="CL638" s="10"/>
      <c r="CM638" s="10"/>
      <c r="CN638" s="10"/>
      <c r="CO638" s="10"/>
      <c r="CP638" s="10"/>
    </row>
    <row r="639" spans="1:130" s="318" customFormat="1" ht="19.149999999999999" customHeight="1">
      <c r="A639" s="314"/>
      <c r="B639" s="315" t="s">
        <v>578</v>
      </c>
      <c r="C639" s="315"/>
      <c r="D639" s="316"/>
      <c r="E639" s="315"/>
      <c r="F639" s="315"/>
      <c r="G639" s="317"/>
      <c r="H639" s="316"/>
      <c r="I639" s="315"/>
      <c r="J639" s="315"/>
      <c r="K639" s="316"/>
      <c r="L639" s="316"/>
      <c r="M639" s="316"/>
      <c r="N639" s="316"/>
      <c r="O639" s="316"/>
      <c r="P639" s="316"/>
      <c r="Q639" s="316"/>
      <c r="R639" s="316"/>
      <c r="S639" s="316"/>
      <c r="T639" s="316"/>
      <c r="U639" s="316"/>
      <c r="V639" s="316"/>
      <c r="W639" s="316"/>
      <c r="X639" s="316"/>
      <c r="Y639" s="316"/>
      <c r="Z639" s="316"/>
      <c r="AA639" s="316"/>
      <c r="AB639" s="316"/>
      <c r="AC639" s="316"/>
      <c r="AD639" s="316"/>
      <c r="AE639" s="316"/>
      <c r="AF639" s="316"/>
      <c r="AG639" s="316"/>
      <c r="AH639" s="316"/>
      <c r="AI639" s="316"/>
      <c r="AJ639" s="316"/>
      <c r="AK639" s="316"/>
      <c r="AL639" s="316"/>
      <c r="AM639" s="316"/>
      <c r="AN639" s="316"/>
      <c r="AO639" s="316"/>
      <c r="AP639" s="316"/>
      <c r="AQ639" s="316"/>
      <c r="AR639" s="316"/>
      <c r="AS639" s="316"/>
      <c r="AT639" s="316"/>
      <c r="AU639" s="316"/>
      <c r="AV639" s="316"/>
      <c r="AW639" s="316"/>
      <c r="AX639" s="316"/>
      <c r="AY639" s="316"/>
      <c r="AZ639" s="316"/>
      <c r="BA639" s="316"/>
      <c r="BB639" s="316"/>
      <c r="BC639" s="316"/>
      <c r="BD639" s="316"/>
      <c r="BE639" s="316"/>
      <c r="BF639" s="316"/>
      <c r="BG639" s="316"/>
      <c r="BH639" s="316"/>
      <c r="BI639" s="316"/>
      <c r="BJ639" s="316"/>
      <c r="BK639" s="316"/>
      <c r="BL639" s="316"/>
      <c r="BM639" s="316"/>
      <c r="BN639" s="316"/>
      <c r="BO639" s="316"/>
      <c r="BP639" s="316"/>
      <c r="BQ639" s="316"/>
      <c r="BR639" s="316"/>
      <c r="BS639" s="316"/>
      <c r="BT639" s="316"/>
      <c r="BU639" s="316"/>
      <c r="BV639" s="316"/>
      <c r="BW639" s="316"/>
      <c r="BX639" s="316"/>
      <c r="BY639" s="316"/>
      <c r="BZ639" s="316"/>
      <c r="CA639" s="316"/>
      <c r="CB639" s="316"/>
      <c r="CC639" s="316"/>
      <c r="CD639" s="316"/>
      <c r="CE639" s="316"/>
      <c r="CF639" s="316"/>
      <c r="CG639" s="316"/>
      <c r="CH639" s="316"/>
      <c r="CI639" s="316"/>
      <c r="CJ639" s="316"/>
      <c r="CK639" s="316"/>
      <c r="CL639" s="316"/>
      <c r="CM639" s="316"/>
      <c r="CN639" s="316"/>
      <c r="CO639" s="316"/>
      <c r="CP639" s="314"/>
    </row>
    <row r="640" spans="1:130" hidden="1">
      <c r="A640"/>
      <c r="G640" s="207"/>
      <c r="CP640"/>
    </row>
    <row r="641" spans="1:94" hidden="1">
      <c r="A641"/>
      <c r="G641" s="207"/>
      <c r="CP641"/>
    </row>
    <row r="642" spans="1:94" hidden="1">
      <c r="A642"/>
      <c r="G642" s="207"/>
      <c r="CP642"/>
    </row>
    <row r="643" spans="1:94" hidden="1">
      <c r="A643"/>
      <c r="G643" s="207"/>
      <c r="CP643"/>
    </row>
    <row r="644" spans="1:94" hidden="1">
      <c r="A644"/>
      <c r="G644" s="207"/>
      <c r="CP644"/>
    </row>
    <row r="645" spans="1:94" hidden="1">
      <c r="A645"/>
      <c r="G645" s="207"/>
      <c r="CP645"/>
    </row>
    <row r="646" spans="1:94" hidden="1">
      <c r="A646"/>
      <c r="G646" s="207"/>
      <c r="CP646"/>
    </row>
    <row r="647" spans="1:94" hidden="1">
      <c r="A647"/>
      <c r="G647" s="207"/>
      <c r="CP647"/>
    </row>
    <row r="648" spans="1:94" hidden="1">
      <c r="A648"/>
      <c r="G648" s="207"/>
      <c r="CP648"/>
    </row>
    <row r="649" spans="1:94" hidden="1">
      <c r="A649"/>
      <c r="G649" s="207"/>
      <c r="CP649"/>
    </row>
    <row r="650" spans="1:94" hidden="1">
      <c r="A650"/>
      <c r="G650" s="207"/>
      <c r="CP650"/>
    </row>
    <row r="651" spans="1:94" hidden="1">
      <c r="A651"/>
      <c r="G651" s="207"/>
      <c r="CP651"/>
    </row>
    <row r="652" spans="1:94" hidden="1">
      <c r="A652"/>
      <c r="G652" s="207"/>
      <c r="CP652"/>
    </row>
    <row r="653" spans="1:94" hidden="1">
      <c r="A653"/>
      <c r="G653" s="207"/>
      <c r="CP653"/>
    </row>
    <row r="654" spans="1:94" hidden="1">
      <c r="A654"/>
      <c r="G654" s="207"/>
      <c r="CP654"/>
    </row>
    <row r="655" spans="1:94" hidden="1">
      <c r="A655"/>
      <c r="G655" s="207"/>
      <c r="CP655"/>
    </row>
    <row r="656" spans="1:94" hidden="1">
      <c r="A656"/>
      <c r="G656" s="207"/>
      <c r="CP656"/>
    </row>
    <row r="657" spans="1:94" hidden="1">
      <c r="A657"/>
      <c r="G657" s="207"/>
      <c r="CP657"/>
    </row>
    <row r="658" spans="1:94" hidden="1">
      <c r="A658"/>
      <c r="G658" s="207"/>
      <c r="CP658"/>
    </row>
    <row r="659" spans="1:94" hidden="1">
      <c r="A659"/>
      <c r="G659" s="207"/>
      <c r="CP659"/>
    </row>
    <row r="660" spans="1:94" hidden="1">
      <c r="A660"/>
      <c r="G660" s="207"/>
      <c r="CP660"/>
    </row>
    <row r="661" spans="1:94" hidden="1">
      <c r="A661"/>
      <c r="G661" s="207"/>
      <c r="CP661"/>
    </row>
    <row r="662" spans="1:94" hidden="1">
      <c r="A662"/>
      <c r="G662" s="207"/>
      <c r="CP662"/>
    </row>
    <row r="663" spans="1:94" hidden="1">
      <c r="A663"/>
      <c r="G663" s="207"/>
      <c r="CP663"/>
    </row>
    <row r="664" spans="1:94" hidden="1">
      <c r="A664"/>
      <c r="G664" s="207"/>
      <c r="CP664"/>
    </row>
    <row r="665" spans="1:94" hidden="1">
      <c r="A665"/>
      <c r="G665" s="207"/>
      <c r="CP665"/>
    </row>
    <row r="666" spans="1:94" hidden="1">
      <c r="A666"/>
      <c r="G666" s="207"/>
      <c r="CP666"/>
    </row>
    <row r="667" spans="1:94" hidden="1">
      <c r="A667"/>
      <c r="G667" s="207"/>
      <c r="CP667"/>
    </row>
    <row r="668" spans="1:94" hidden="1">
      <c r="A668"/>
      <c r="G668" s="207"/>
      <c r="CP668"/>
    </row>
    <row r="669" spans="1:94" hidden="1">
      <c r="A669"/>
      <c r="G669" s="207"/>
      <c r="CP669"/>
    </row>
    <row r="670" spans="1:94" hidden="1">
      <c r="A670"/>
      <c r="G670" s="207"/>
      <c r="CP670"/>
    </row>
    <row r="671" spans="1:94" hidden="1">
      <c r="A671"/>
      <c r="G671" s="207"/>
      <c r="CP671"/>
    </row>
    <row r="672" spans="1:94" hidden="1">
      <c r="A672"/>
      <c r="G672" s="207"/>
      <c r="CP672"/>
    </row>
    <row r="673" spans="1:94" hidden="1">
      <c r="A673"/>
      <c r="G673" s="207"/>
      <c r="CP673"/>
    </row>
    <row r="674" spans="1:94" hidden="1">
      <c r="A674"/>
      <c r="G674" s="207"/>
      <c r="CP674"/>
    </row>
    <row r="675" spans="1:94" hidden="1">
      <c r="A675"/>
      <c r="G675" s="207"/>
      <c r="CP675"/>
    </row>
    <row r="676" spans="1:94" hidden="1">
      <c r="A676"/>
      <c r="G676" s="207"/>
      <c r="CP676"/>
    </row>
    <row r="677" spans="1:94" hidden="1">
      <c r="A677"/>
      <c r="G677" s="207"/>
      <c r="CP677"/>
    </row>
    <row r="678" spans="1:94" hidden="1">
      <c r="A678"/>
      <c r="G678" s="207"/>
      <c r="CP678"/>
    </row>
    <row r="679" spans="1:94" hidden="1">
      <c r="A679"/>
      <c r="G679" s="207"/>
      <c r="CP679"/>
    </row>
    <row r="680" spans="1:94" hidden="1">
      <c r="A680"/>
      <c r="G680" s="207"/>
      <c r="CP680"/>
    </row>
    <row r="681" spans="1:94" hidden="1">
      <c r="A681"/>
      <c r="G681" s="207"/>
      <c r="CP681"/>
    </row>
    <row r="682" spans="1:94" hidden="1">
      <c r="A682"/>
      <c r="G682" s="207"/>
      <c r="CP682"/>
    </row>
    <row r="683" spans="1:94" hidden="1">
      <c r="A683"/>
      <c r="G683" s="207"/>
      <c r="CP683"/>
    </row>
    <row r="684" spans="1:94" hidden="1">
      <c r="A684"/>
      <c r="G684" s="207"/>
      <c r="CP684"/>
    </row>
    <row r="685" spans="1:94" hidden="1">
      <c r="A685"/>
      <c r="G685" s="207"/>
      <c r="CP685"/>
    </row>
    <row r="686" spans="1:94" hidden="1">
      <c r="A686"/>
      <c r="G686" s="207"/>
      <c r="CP686"/>
    </row>
    <row r="687" spans="1:94" hidden="1">
      <c r="A687"/>
      <c r="G687" s="207"/>
      <c r="CP687"/>
    </row>
    <row r="688" spans="1:94" hidden="1">
      <c r="A688"/>
      <c r="G688" s="207"/>
      <c r="CP688"/>
    </row>
    <row r="689" spans="1:94" hidden="1">
      <c r="A689"/>
      <c r="G689" s="207"/>
      <c r="CP689"/>
    </row>
    <row r="690" spans="1:94" hidden="1">
      <c r="A690"/>
      <c r="G690" s="207"/>
      <c r="CP690"/>
    </row>
    <row r="691" spans="1:94" hidden="1">
      <c r="A691"/>
      <c r="G691" s="207"/>
      <c r="CP691"/>
    </row>
    <row r="692" spans="1:94" hidden="1">
      <c r="A692"/>
      <c r="G692" s="207"/>
      <c r="CP692"/>
    </row>
    <row r="693" spans="1:94" hidden="1">
      <c r="A693"/>
      <c r="G693" s="207"/>
      <c r="CP693"/>
    </row>
    <row r="694" spans="1:94" hidden="1">
      <c r="A694"/>
      <c r="G694" s="207"/>
      <c r="CP694"/>
    </row>
    <row r="695" spans="1:94" hidden="1">
      <c r="A695"/>
      <c r="G695" s="207"/>
      <c r="CP695"/>
    </row>
    <row r="696" spans="1:94" hidden="1">
      <c r="A696"/>
      <c r="G696" s="207"/>
      <c r="CP696"/>
    </row>
    <row r="697" spans="1:94" hidden="1">
      <c r="A697"/>
      <c r="G697" s="207"/>
      <c r="CP697"/>
    </row>
    <row r="698" spans="1:94" hidden="1">
      <c r="A698"/>
      <c r="G698" s="207"/>
      <c r="CP698"/>
    </row>
    <row r="699" spans="1:94" hidden="1">
      <c r="A699"/>
      <c r="G699" s="207"/>
      <c r="CP699"/>
    </row>
    <row r="700" spans="1:94" hidden="1">
      <c r="A700"/>
      <c r="G700" s="207"/>
      <c r="CP700"/>
    </row>
    <row r="701" spans="1:94" hidden="1">
      <c r="A701"/>
      <c r="G701" s="207"/>
      <c r="CP701"/>
    </row>
    <row r="702" spans="1:94" hidden="1">
      <c r="A702"/>
      <c r="G702" s="207"/>
      <c r="CP702"/>
    </row>
    <row r="703" spans="1:94" hidden="1">
      <c r="A703"/>
      <c r="G703" s="207"/>
      <c r="CP703"/>
    </row>
    <row r="704" spans="1:94" hidden="1">
      <c r="A704"/>
      <c r="G704" s="207"/>
      <c r="CP704"/>
    </row>
    <row r="705" spans="1:94" hidden="1">
      <c r="A705"/>
      <c r="G705" s="207"/>
      <c r="CP705"/>
    </row>
    <row r="706" spans="1:94" hidden="1">
      <c r="A706"/>
      <c r="G706" s="207"/>
      <c r="CP706"/>
    </row>
    <row r="707" spans="1:94" hidden="1">
      <c r="A707"/>
      <c r="G707" s="207"/>
      <c r="CP707"/>
    </row>
    <row r="708" spans="1:94" hidden="1">
      <c r="A708"/>
      <c r="G708" s="207"/>
      <c r="CP708"/>
    </row>
    <row r="709" spans="1:94" hidden="1">
      <c r="A709"/>
      <c r="G709" s="207"/>
      <c r="CP709"/>
    </row>
    <row r="710" spans="1:94" hidden="1">
      <c r="A710"/>
      <c r="G710" s="207"/>
      <c r="CP710"/>
    </row>
    <row r="711" spans="1:94" hidden="1">
      <c r="A711"/>
      <c r="G711" s="207"/>
      <c r="CP711"/>
    </row>
    <row r="712" spans="1:94" hidden="1">
      <c r="A712"/>
      <c r="G712" s="207"/>
      <c r="CP712"/>
    </row>
    <row r="713" spans="1:94" hidden="1">
      <c r="A713"/>
      <c r="G713" s="207"/>
      <c r="CP713"/>
    </row>
    <row r="714" spans="1:94" hidden="1">
      <c r="A714"/>
      <c r="G714" s="207"/>
      <c r="CP714"/>
    </row>
    <row r="715" spans="1:94" hidden="1">
      <c r="A715"/>
      <c r="G715" s="207"/>
      <c r="CP715"/>
    </row>
    <row r="716" spans="1:94" hidden="1">
      <c r="A716"/>
      <c r="G716" s="207"/>
      <c r="CP716"/>
    </row>
    <row r="717" spans="1:94" hidden="1">
      <c r="A717"/>
      <c r="G717" s="207"/>
      <c r="CP717"/>
    </row>
    <row r="718" spans="1:94" hidden="1">
      <c r="A718"/>
      <c r="G718" s="207"/>
      <c r="CP718"/>
    </row>
    <row r="719" spans="1:94" hidden="1">
      <c r="A719"/>
      <c r="G719" s="207"/>
      <c r="CP719"/>
    </row>
    <row r="720" spans="1:94" hidden="1">
      <c r="A720"/>
      <c r="G720" s="207"/>
      <c r="CP720"/>
    </row>
    <row r="721" spans="1:94" hidden="1">
      <c r="A721"/>
      <c r="G721" s="207"/>
      <c r="CP721"/>
    </row>
    <row r="722" spans="1:94" hidden="1">
      <c r="A722"/>
      <c r="G722" s="207"/>
      <c r="CP722"/>
    </row>
    <row r="723" spans="1:94" hidden="1">
      <c r="A723"/>
      <c r="G723" s="207"/>
      <c r="CP723"/>
    </row>
    <row r="724" spans="1:94" hidden="1">
      <c r="A724"/>
      <c r="G724" s="207"/>
      <c r="CP724"/>
    </row>
    <row r="725" spans="1:94" hidden="1">
      <c r="A725"/>
      <c r="G725" s="207"/>
      <c r="CP725"/>
    </row>
    <row r="726" spans="1:94" hidden="1">
      <c r="A726"/>
      <c r="G726" s="207"/>
      <c r="CP726"/>
    </row>
    <row r="727" spans="1:94" hidden="1">
      <c r="A727"/>
      <c r="G727" s="207"/>
      <c r="CP727"/>
    </row>
    <row r="728" spans="1:94" hidden="1">
      <c r="A728"/>
      <c r="G728" s="207"/>
      <c r="CP728"/>
    </row>
    <row r="729" spans="1:94" hidden="1">
      <c r="A729"/>
      <c r="G729" s="207"/>
      <c r="CP729"/>
    </row>
    <row r="730" spans="1:94" hidden="1">
      <c r="A730"/>
      <c r="G730" s="207"/>
      <c r="CP730"/>
    </row>
    <row r="731" spans="1:94" hidden="1">
      <c r="A731"/>
      <c r="G731" s="207"/>
      <c r="CP731"/>
    </row>
    <row r="732" spans="1:94" hidden="1">
      <c r="A732"/>
      <c r="G732" s="207"/>
      <c r="CP732"/>
    </row>
    <row r="733" spans="1:94" hidden="1">
      <c r="A733"/>
      <c r="G733" s="207"/>
      <c r="CP733"/>
    </row>
    <row r="734" spans="1:94" hidden="1">
      <c r="A734"/>
      <c r="G734" s="207"/>
      <c r="CP734"/>
    </row>
    <row r="735" spans="1:94" hidden="1">
      <c r="A735"/>
      <c r="G735" s="207"/>
      <c r="CP735"/>
    </row>
    <row r="736" spans="1:94" hidden="1">
      <c r="A736"/>
      <c r="G736" s="207"/>
      <c r="CP736"/>
    </row>
    <row r="737" spans="1:94" hidden="1">
      <c r="A737"/>
      <c r="G737" s="207"/>
      <c r="CP737"/>
    </row>
    <row r="738" spans="1:94" hidden="1">
      <c r="A738"/>
      <c r="G738" s="207"/>
      <c r="CP738"/>
    </row>
    <row r="739" spans="1:94" hidden="1">
      <c r="A739"/>
      <c r="G739" s="207"/>
      <c r="CP739"/>
    </row>
    <row r="740" spans="1:94" hidden="1">
      <c r="A740"/>
      <c r="G740" s="207"/>
      <c r="CP740"/>
    </row>
    <row r="741" spans="1:94" hidden="1">
      <c r="A741"/>
      <c r="G741" s="207"/>
      <c r="CP741"/>
    </row>
    <row r="742" spans="1:94" hidden="1">
      <c r="A742"/>
      <c r="G742" s="207"/>
      <c r="CP742"/>
    </row>
    <row r="743" spans="1:94" hidden="1">
      <c r="A743"/>
      <c r="G743" s="207"/>
      <c r="CP743"/>
    </row>
    <row r="744" spans="1:94" hidden="1">
      <c r="A744"/>
      <c r="G744" s="207"/>
      <c r="CP744"/>
    </row>
    <row r="745" spans="1:94" hidden="1">
      <c r="A745"/>
      <c r="G745" s="207"/>
      <c r="CP745"/>
    </row>
    <row r="746" spans="1:94" hidden="1">
      <c r="A746"/>
      <c r="G746" s="207"/>
      <c r="CP746"/>
    </row>
    <row r="747" spans="1:94" hidden="1">
      <c r="A747"/>
      <c r="G747" s="207"/>
      <c r="CP747"/>
    </row>
    <row r="748" spans="1:94" hidden="1">
      <c r="A748"/>
      <c r="G748" s="207"/>
      <c r="CP748"/>
    </row>
    <row r="749" spans="1:94" hidden="1">
      <c r="A749"/>
      <c r="G749" s="207"/>
      <c r="CP749"/>
    </row>
    <row r="750" spans="1:94" hidden="1">
      <c r="A750"/>
      <c r="G750" s="207"/>
      <c r="CP750"/>
    </row>
    <row r="751" spans="1:94" hidden="1">
      <c r="A751"/>
      <c r="G751" s="207"/>
      <c r="CP751"/>
    </row>
    <row r="752" spans="1:94" hidden="1">
      <c r="A752"/>
      <c r="G752" s="207"/>
      <c r="CP752"/>
    </row>
    <row r="753" spans="1:94" hidden="1">
      <c r="A753"/>
      <c r="G753" s="207"/>
      <c r="CP753"/>
    </row>
    <row r="754" spans="1:94" hidden="1">
      <c r="A754"/>
      <c r="G754" s="207"/>
      <c r="CP754"/>
    </row>
    <row r="755" spans="1:94" hidden="1">
      <c r="A755"/>
      <c r="G755" s="207"/>
      <c r="CP755"/>
    </row>
    <row r="756" spans="1:94" hidden="1">
      <c r="A756"/>
      <c r="G756" s="207"/>
      <c r="CP756"/>
    </row>
    <row r="757" spans="1:94" hidden="1">
      <c r="A757"/>
      <c r="G757" s="207"/>
      <c r="CP757"/>
    </row>
    <row r="758" spans="1:94" hidden="1">
      <c r="A758"/>
      <c r="G758" s="207"/>
      <c r="CP758"/>
    </row>
    <row r="759" spans="1:94" hidden="1">
      <c r="A759"/>
      <c r="G759" s="207"/>
      <c r="CP759"/>
    </row>
    <row r="760" spans="1:94" hidden="1">
      <c r="A760"/>
      <c r="G760" s="207"/>
      <c r="CP760"/>
    </row>
    <row r="761" spans="1:94" hidden="1">
      <c r="A761"/>
      <c r="G761" s="207"/>
      <c r="CP761"/>
    </row>
    <row r="762" spans="1:94" hidden="1">
      <c r="A762"/>
      <c r="G762" s="207"/>
      <c r="CP762"/>
    </row>
    <row r="763" spans="1:94" hidden="1">
      <c r="A763"/>
      <c r="G763" s="207"/>
      <c r="CP763"/>
    </row>
    <row r="764" spans="1:94" hidden="1">
      <c r="A764"/>
      <c r="G764" s="207"/>
      <c r="CP764"/>
    </row>
    <row r="765" spans="1:94" hidden="1">
      <c r="A765"/>
      <c r="G765" s="207"/>
      <c r="CP765"/>
    </row>
    <row r="766" spans="1:94" hidden="1">
      <c r="A766"/>
      <c r="G766" s="207"/>
      <c r="CP766"/>
    </row>
    <row r="767" spans="1:94" hidden="1">
      <c r="A767"/>
      <c r="G767" s="207"/>
      <c r="CP767"/>
    </row>
    <row r="768" spans="1:94" hidden="1">
      <c r="A768"/>
      <c r="G768" s="207"/>
      <c r="CP768"/>
    </row>
    <row r="769" spans="1:94" hidden="1">
      <c r="A769"/>
      <c r="G769" s="207"/>
      <c r="CP769"/>
    </row>
    <row r="770" spans="1:94" hidden="1">
      <c r="A770"/>
      <c r="G770" s="207"/>
      <c r="CP770"/>
    </row>
    <row r="771" spans="1:94" hidden="1">
      <c r="A771"/>
      <c r="G771" s="207"/>
      <c r="CP771"/>
    </row>
    <row r="772" spans="1:94" hidden="1">
      <c r="A772"/>
      <c r="G772" s="207"/>
      <c r="CP772"/>
    </row>
    <row r="773" spans="1:94" hidden="1">
      <c r="A773"/>
      <c r="G773" s="207"/>
      <c r="CP773"/>
    </row>
    <row r="774" spans="1:94" hidden="1">
      <c r="A774"/>
      <c r="G774" s="207"/>
      <c r="CP774"/>
    </row>
    <row r="775" spans="1:94" hidden="1">
      <c r="A775"/>
      <c r="G775" s="207"/>
      <c r="CP775"/>
    </row>
    <row r="776" spans="1:94" hidden="1">
      <c r="A776"/>
      <c r="G776" s="207"/>
      <c r="CP776"/>
    </row>
    <row r="777" spans="1:94" hidden="1">
      <c r="A777"/>
      <c r="G777" s="207"/>
      <c r="CP777"/>
    </row>
    <row r="778" spans="1:94" hidden="1">
      <c r="A778"/>
      <c r="G778" s="207"/>
      <c r="CP778"/>
    </row>
    <row r="779" spans="1:94" hidden="1">
      <c r="A779"/>
      <c r="G779" s="207"/>
      <c r="CP779"/>
    </row>
    <row r="780" spans="1:94" hidden="1">
      <c r="A780"/>
      <c r="G780" s="207"/>
      <c r="CP780"/>
    </row>
    <row r="781" spans="1:94" hidden="1">
      <c r="A781"/>
      <c r="G781" s="207"/>
      <c r="CP781"/>
    </row>
    <row r="782" spans="1:94" hidden="1">
      <c r="A782"/>
      <c r="G782" s="207"/>
      <c r="CP782"/>
    </row>
    <row r="783" spans="1:94" hidden="1">
      <c r="A783"/>
      <c r="G783" s="207"/>
      <c r="CP783"/>
    </row>
    <row r="784" spans="1:94" hidden="1">
      <c r="A784"/>
      <c r="G784" s="207"/>
      <c r="CP784"/>
    </row>
    <row r="785" spans="1:94" hidden="1">
      <c r="A785"/>
      <c r="G785" s="207"/>
      <c r="CP785"/>
    </row>
    <row r="786" spans="1:94" hidden="1">
      <c r="A786"/>
      <c r="G786" s="207"/>
      <c r="CP786"/>
    </row>
    <row r="787" spans="1:94" hidden="1">
      <c r="A787"/>
      <c r="G787" s="207"/>
      <c r="CP787"/>
    </row>
    <row r="788" spans="1:94" hidden="1">
      <c r="A788"/>
      <c r="G788" s="207"/>
      <c r="CP788"/>
    </row>
    <row r="789" spans="1:94" hidden="1">
      <c r="A789"/>
      <c r="G789" s="207"/>
      <c r="CP789"/>
    </row>
    <row r="790" spans="1:94" hidden="1">
      <c r="A790"/>
      <c r="G790" s="207"/>
      <c r="CP790"/>
    </row>
    <row r="791" spans="1:94" hidden="1">
      <c r="A791"/>
      <c r="G791" s="207"/>
      <c r="CP791"/>
    </row>
    <row r="792" spans="1:94" hidden="1">
      <c r="A792"/>
      <c r="G792" s="207"/>
      <c r="CP792"/>
    </row>
    <row r="793" spans="1:94" hidden="1">
      <c r="A793"/>
      <c r="G793" s="207"/>
      <c r="CP793"/>
    </row>
    <row r="794" spans="1:94" hidden="1">
      <c r="A794"/>
      <c r="G794" s="207"/>
      <c r="CP794"/>
    </row>
    <row r="795" spans="1:94" hidden="1">
      <c r="A795"/>
      <c r="G795" s="207"/>
      <c r="CP795"/>
    </row>
    <row r="796" spans="1:94" hidden="1">
      <c r="A796"/>
      <c r="G796" s="207"/>
      <c r="CP796"/>
    </row>
    <row r="797" spans="1:94" hidden="1">
      <c r="A797"/>
      <c r="G797" s="207"/>
      <c r="CP797"/>
    </row>
    <row r="798" spans="1:94" hidden="1">
      <c r="A798"/>
      <c r="G798" s="207"/>
      <c r="CP798"/>
    </row>
    <row r="799" spans="1:94" hidden="1">
      <c r="A799"/>
      <c r="G799" s="207"/>
      <c r="CP799"/>
    </row>
    <row r="800" spans="1:94" hidden="1">
      <c r="A800"/>
      <c r="G800" s="207"/>
      <c r="CP800"/>
    </row>
    <row r="801" spans="1:94" hidden="1">
      <c r="A801"/>
      <c r="G801" s="207"/>
      <c r="CP801"/>
    </row>
    <row r="802" spans="1:94" hidden="1">
      <c r="A802"/>
      <c r="G802" s="207"/>
      <c r="CP802"/>
    </row>
    <row r="803" spans="1:94" hidden="1">
      <c r="A803"/>
      <c r="G803" s="207"/>
      <c r="CP803"/>
    </row>
    <row r="804" spans="1:94" hidden="1">
      <c r="A804"/>
      <c r="G804" s="207"/>
      <c r="CP804"/>
    </row>
    <row r="805" spans="1:94" hidden="1">
      <c r="A805"/>
      <c r="G805" s="207"/>
      <c r="CP805"/>
    </row>
    <row r="806" spans="1:94" hidden="1">
      <c r="A806"/>
      <c r="G806" s="207"/>
      <c r="CP806"/>
    </row>
    <row r="807" spans="1:94" hidden="1">
      <c r="A807"/>
      <c r="G807" s="207"/>
      <c r="CP807"/>
    </row>
    <row r="808" spans="1:94" hidden="1">
      <c r="A808"/>
      <c r="G808" s="207"/>
      <c r="CP808"/>
    </row>
    <row r="809" spans="1:94" hidden="1">
      <c r="A809"/>
      <c r="G809" s="207"/>
      <c r="CP809"/>
    </row>
    <row r="810" spans="1:94" hidden="1">
      <c r="A810"/>
      <c r="G810" s="207"/>
      <c r="CP810"/>
    </row>
    <row r="811" spans="1:94" hidden="1">
      <c r="A811"/>
      <c r="G811" s="207"/>
      <c r="CP811"/>
    </row>
    <row r="812" spans="1:94" hidden="1">
      <c r="A812"/>
      <c r="G812" s="207"/>
      <c r="CP812"/>
    </row>
    <row r="813" spans="1:94" hidden="1">
      <c r="A813"/>
      <c r="G813" s="207"/>
      <c r="CP813"/>
    </row>
    <row r="814" spans="1:94" hidden="1">
      <c r="A814"/>
      <c r="G814" s="207"/>
      <c r="CP814"/>
    </row>
    <row r="815" spans="1:94" hidden="1">
      <c r="A815"/>
      <c r="G815" s="207"/>
      <c r="CP815"/>
    </row>
    <row r="816" spans="1:94" hidden="1">
      <c r="A816"/>
      <c r="G816" s="207"/>
      <c r="CP816"/>
    </row>
    <row r="817" spans="1:94" hidden="1">
      <c r="A817"/>
      <c r="G817" s="207"/>
      <c r="CP817"/>
    </row>
    <row r="818" spans="1:94" hidden="1">
      <c r="A818"/>
      <c r="G818" s="207"/>
      <c r="CP818"/>
    </row>
    <row r="819" spans="1:94" hidden="1">
      <c r="A819"/>
      <c r="G819" s="207"/>
      <c r="CP819"/>
    </row>
    <row r="820" spans="1:94" hidden="1">
      <c r="A820"/>
      <c r="G820" s="207"/>
      <c r="CP820"/>
    </row>
    <row r="821" spans="1:94" hidden="1">
      <c r="A821"/>
      <c r="G821" s="207"/>
      <c r="CP821"/>
    </row>
    <row r="822" spans="1:94" hidden="1">
      <c r="A822"/>
      <c r="G822" s="207"/>
      <c r="CP822"/>
    </row>
    <row r="823" spans="1:94" hidden="1">
      <c r="A823"/>
      <c r="G823" s="207"/>
      <c r="CP823"/>
    </row>
    <row r="824" spans="1:94" hidden="1">
      <c r="A824"/>
      <c r="G824" s="207"/>
      <c r="CP824"/>
    </row>
    <row r="825" spans="1:94" hidden="1">
      <c r="A825"/>
      <c r="G825" s="207"/>
      <c r="CP825"/>
    </row>
    <row r="826" spans="1:94" hidden="1">
      <c r="A826"/>
      <c r="G826" s="207"/>
      <c r="CP826"/>
    </row>
    <row r="827" spans="1:94" hidden="1">
      <c r="A827"/>
      <c r="G827" s="207"/>
      <c r="CP827"/>
    </row>
    <row r="828" spans="1:94" hidden="1">
      <c r="A828"/>
      <c r="G828" s="207"/>
      <c r="CP828"/>
    </row>
    <row r="829" spans="1:94" hidden="1">
      <c r="A829"/>
      <c r="G829" s="207"/>
      <c r="CP829"/>
    </row>
    <row r="830" spans="1:94" hidden="1">
      <c r="A830"/>
      <c r="G830" s="207"/>
      <c r="CP830"/>
    </row>
    <row r="831" spans="1:94" hidden="1">
      <c r="A831"/>
      <c r="G831" s="207"/>
      <c r="CP831"/>
    </row>
    <row r="832" spans="1:94" hidden="1">
      <c r="A832"/>
      <c r="G832" s="207"/>
      <c r="CP832"/>
    </row>
    <row r="833" spans="1:94" hidden="1">
      <c r="A833"/>
      <c r="G833" s="207"/>
      <c r="CP833"/>
    </row>
    <row r="834" spans="1:94" hidden="1">
      <c r="A834"/>
      <c r="G834" s="207"/>
      <c r="CP834"/>
    </row>
    <row r="835" spans="1:94" hidden="1">
      <c r="A835"/>
      <c r="G835" s="207"/>
      <c r="CP835"/>
    </row>
    <row r="836" spans="1:94" hidden="1">
      <c r="A836"/>
      <c r="G836" s="207"/>
      <c r="CP836"/>
    </row>
    <row r="837" spans="1:94" hidden="1">
      <c r="A837"/>
      <c r="G837" s="207"/>
      <c r="CP837"/>
    </row>
    <row r="838" spans="1:94" hidden="1">
      <c r="A838"/>
      <c r="G838" s="207"/>
      <c r="CP838"/>
    </row>
    <row r="839" spans="1:94" hidden="1">
      <c r="A839"/>
      <c r="G839" s="207"/>
      <c r="CP839"/>
    </row>
    <row r="840" spans="1:94" hidden="1">
      <c r="A840"/>
      <c r="G840" s="207"/>
      <c r="CP840"/>
    </row>
    <row r="841" spans="1:94" hidden="1">
      <c r="A841"/>
      <c r="G841" s="207"/>
      <c r="CP841"/>
    </row>
    <row r="842" spans="1:94" hidden="1">
      <c r="A842"/>
      <c r="G842" s="207"/>
      <c r="CP842"/>
    </row>
    <row r="843" spans="1:94" hidden="1">
      <c r="A843"/>
      <c r="G843" s="207"/>
      <c r="CP843"/>
    </row>
    <row r="844" spans="1:94" hidden="1">
      <c r="A844"/>
      <c r="G844" s="207"/>
      <c r="CP844"/>
    </row>
    <row r="845" spans="1:94" hidden="1">
      <c r="A845"/>
      <c r="G845" s="207"/>
      <c r="CP845"/>
    </row>
    <row r="846" spans="1:94" hidden="1">
      <c r="A846"/>
      <c r="G846" s="207"/>
      <c r="CP846"/>
    </row>
    <row r="847" spans="1:94" hidden="1">
      <c r="A847"/>
      <c r="G847" s="207"/>
      <c r="CP847"/>
    </row>
    <row r="848" spans="1:94" hidden="1">
      <c r="A848"/>
      <c r="G848" s="207"/>
      <c r="CP848"/>
    </row>
    <row r="849" spans="1:94" hidden="1">
      <c r="A849"/>
      <c r="G849" s="207"/>
      <c r="CP849"/>
    </row>
    <row r="850" spans="1:94" hidden="1">
      <c r="A850"/>
      <c r="G850" s="207"/>
      <c r="CP850"/>
    </row>
    <row r="851" spans="1:94" hidden="1">
      <c r="A851"/>
      <c r="G851" s="207"/>
      <c r="CP851"/>
    </row>
    <row r="852" spans="1:94" hidden="1">
      <c r="A852"/>
      <c r="G852" s="207"/>
      <c r="CP852"/>
    </row>
    <row r="853" spans="1:94" hidden="1">
      <c r="A853"/>
      <c r="G853" s="207"/>
      <c r="CP853"/>
    </row>
    <row r="854" spans="1:94" hidden="1">
      <c r="A854"/>
      <c r="G854" s="207"/>
      <c r="CP854"/>
    </row>
    <row r="855" spans="1:94" hidden="1">
      <c r="A855"/>
      <c r="G855" s="207"/>
      <c r="CP855"/>
    </row>
    <row r="856" spans="1:94" hidden="1">
      <c r="A856"/>
      <c r="G856" s="207"/>
      <c r="CP856"/>
    </row>
    <row r="857" spans="1:94" hidden="1">
      <c r="A857"/>
      <c r="G857" s="207"/>
      <c r="CP857"/>
    </row>
    <row r="858" spans="1:94" hidden="1">
      <c r="A858"/>
      <c r="G858" s="207"/>
      <c r="CP858"/>
    </row>
    <row r="859" spans="1:94" hidden="1">
      <c r="A859"/>
      <c r="G859" s="207"/>
      <c r="CP859"/>
    </row>
    <row r="860" spans="1:94" hidden="1">
      <c r="A860"/>
      <c r="G860" s="207"/>
      <c r="CP860"/>
    </row>
    <row r="861" spans="1:94" hidden="1">
      <c r="A861"/>
      <c r="G861" s="207"/>
      <c r="CP861"/>
    </row>
    <row r="862" spans="1:94" hidden="1">
      <c r="A862"/>
      <c r="G862" s="207"/>
      <c r="CP862"/>
    </row>
    <row r="863" spans="1:94" hidden="1">
      <c r="A863"/>
      <c r="G863" s="207"/>
      <c r="CP863"/>
    </row>
    <row r="864" spans="1:94" hidden="1">
      <c r="A864"/>
      <c r="G864" s="207"/>
      <c r="CP864"/>
    </row>
    <row r="865" spans="1:94" hidden="1">
      <c r="A865"/>
      <c r="G865" s="207"/>
      <c r="CP865"/>
    </row>
    <row r="866" spans="1:94" hidden="1">
      <c r="A866"/>
      <c r="G866" s="207"/>
      <c r="CP866"/>
    </row>
    <row r="867" spans="1:94" hidden="1">
      <c r="A867"/>
      <c r="G867" s="207"/>
      <c r="CP867"/>
    </row>
    <row r="868" spans="1:94" hidden="1">
      <c r="A868"/>
      <c r="G868" s="207"/>
      <c r="CP868"/>
    </row>
    <row r="869" spans="1:94" hidden="1">
      <c r="A869"/>
      <c r="G869" s="207"/>
      <c r="CP869"/>
    </row>
    <row r="870" spans="1:94" hidden="1">
      <c r="A870"/>
      <c r="G870" s="207"/>
      <c r="CP870"/>
    </row>
    <row r="871" spans="1:94" hidden="1">
      <c r="A871"/>
      <c r="G871" s="207"/>
      <c r="CP871"/>
    </row>
    <row r="872" spans="1:94" hidden="1">
      <c r="A872"/>
      <c r="G872" s="207"/>
      <c r="CP872"/>
    </row>
    <row r="873" spans="1:94" hidden="1">
      <c r="A873"/>
      <c r="G873" s="207"/>
      <c r="CP873"/>
    </row>
    <row r="874" spans="1:94" hidden="1">
      <c r="A874"/>
      <c r="G874" s="207"/>
      <c r="CP874"/>
    </row>
    <row r="875" spans="1:94" hidden="1">
      <c r="A875"/>
      <c r="G875" s="207"/>
      <c r="CP875"/>
    </row>
    <row r="876" spans="1:94" hidden="1">
      <c r="A876"/>
      <c r="G876" s="207"/>
      <c r="CP876"/>
    </row>
    <row r="877" spans="1:94" hidden="1">
      <c r="A877"/>
      <c r="G877" s="207"/>
      <c r="CP877"/>
    </row>
    <row r="878" spans="1:94" hidden="1">
      <c r="A878"/>
      <c r="G878" s="207"/>
      <c r="CP878"/>
    </row>
    <row r="879" spans="1:94" hidden="1">
      <c r="A879"/>
      <c r="G879" s="207"/>
      <c r="CP879"/>
    </row>
    <row r="880" spans="1:94" hidden="1">
      <c r="A880"/>
      <c r="G880" s="207"/>
      <c r="CP880"/>
    </row>
    <row r="881" spans="1:94" hidden="1">
      <c r="A881"/>
      <c r="G881" s="207"/>
      <c r="CP881"/>
    </row>
    <row r="882" spans="1:94" hidden="1">
      <c r="A882"/>
      <c r="G882" s="207"/>
      <c r="CP882"/>
    </row>
    <row r="883" spans="1:94" hidden="1">
      <c r="A883"/>
      <c r="G883" s="207"/>
      <c r="CP883"/>
    </row>
    <row r="884" spans="1:94" hidden="1">
      <c r="A884"/>
      <c r="G884" s="207"/>
      <c r="CP884"/>
    </row>
    <row r="885" spans="1:94" hidden="1">
      <c r="A885"/>
      <c r="G885" s="207"/>
      <c r="CP885"/>
    </row>
    <row r="886" spans="1:94" hidden="1">
      <c r="A886"/>
      <c r="G886" s="207"/>
      <c r="CP886"/>
    </row>
    <row r="887" spans="1:94" hidden="1">
      <c r="A887"/>
      <c r="G887" s="207"/>
      <c r="CP887"/>
    </row>
    <row r="888" spans="1:94" hidden="1">
      <c r="A888"/>
      <c r="G888" s="207"/>
      <c r="CP888"/>
    </row>
    <row r="889" spans="1:94" hidden="1">
      <c r="A889"/>
      <c r="G889" s="207"/>
      <c r="CP889"/>
    </row>
    <row r="890" spans="1:94" hidden="1">
      <c r="A890"/>
      <c r="G890" s="207"/>
      <c r="CP890"/>
    </row>
    <row r="891" spans="1:94" hidden="1">
      <c r="A891"/>
      <c r="G891" s="207"/>
      <c r="CP891"/>
    </row>
    <row r="892" spans="1:94" hidden="1">
      <c r="A892"/>
      <c r="G892" s="207"/>
      <c r="CP892"/>
    </row>
    <row r="893" spans="1:94" hidden="1">
      <c r="A893"/>
      <c r="G893" s="207"/>
      <c r="CP893"/>
    </row>
    <row r="894" spans="1:94" hidden="1">
      <c r="A894"/>
      <c r="G894" s="207"/>
      <c r="CP894"/>
    </row>
    <row r="895" spans="1:94" hidden="1">
      <c r="A895"/>
      <c r="G895" s="207"/>
      <c r="CP895"/>
    </row>
    <row r="896" spans="1:94" hidden="1">
      <c r="A896"/>
      <c r="G896" s="207"/>
      <c r="CP896"/>
    </row>
    <row r="897" spans="1:94" hidden="1">
      <c r="A897"/>
      <c r="G897" s="207"/>
      <c r="CP897"/>
    </row>
    <row r="898" spans="1:94" hidden="1">
      <c r="A898"/>
      <c r="G898" s="207"/>
      <c r="CP898"/>
    </row>
    <row r="899" spans="1:94" hidden="1">
      <c r="A899"/>
      <c r="G899" s="207"/>
      <c r="CP899"/>
    </row>
    <row r="900" spans="1:94" hidden="1">
      <c r="A900"/>
      <c r="G900" s="207"/>
      <c r="CP900"/>
    </row>
    <row r="901" spans="1:94" hidden="1">
      <c r="A901"/>
      <c r="G901" s="207"/>
      <c r="CP901"/>
    </row>
    <row r="902" spans="1:94" hidden="1">
      <c r="A902"/>
      <c r="G902" s="207"/>
      <c r="CP902"/>
    </row>
    <row r="903" spans="1:94" hidden="1">
      <c r="A903"/>
      <c r="G903" s="207"/>
      <c r="CP903"/>
    </row>
    <row r="904" spans="1:94" hidden="1">
      <c r="A904"/>
      <c r="G904" s="207"/>
      <c r="CP904"/>
    </row>
    <row r="905" spans="1:94" hidden="1">
      <c r="A905"/>
      <c r="G905" s="207"/>
      <c r="CP905"/>
    </row>
    <row r="906" spans="1:94" hidden="1">
      <c r="A906"/>
      <c r="G906" s="207"/>
      <c r="CP906"/>
    </row>
    <row r="907" spans="1:94" hidden="1">
      <c r="A907"/>
      <c r="G907" s="207"/>
      <c r="CP907"/>
    </row>
    <row r="908" spans="1:94" hidden="1">
      <c r="A908"/>
      <c r="G908" s="207"/>
      <c r="CP908"/>
    </row>
    <row r="909" spans="1:94" hidden="1">
      <c r="A909"/>
      <c r="G909" s="207"/>
      <c r="CP909"/>
    </row>
    <row r="910" spans="1:94" hidden="1">
      <c r="A910"/>
      <c r="G910" s="207"/>
      <c r="CP910"/>
    </row>
    <row r="911" spans="1:94" hidden="1">
      <c r="A911"/>
      <c r="G911" s="207"/>
      <c r="CP911"/>
    </row>
    <row r="912" spans="1:94" hidden="1">
      <c r="A912"/>
      <c r="G912" s="207"/>
      <c r="CP912"/>
    </row>
    <row r="913" spans="1:94" hidden="1">
      <c r="A913"/>
      <c r="G913" s="207"/>
      <c r="CP913"/>
    </row>
    <row r="914" spans="1:94" hidden="1">
      <c r="A914"/>
      <c r="G914" s="207"/>
      <c r="CP914"/>
    </row>
    <row r="915" spans="1:94" hidden="1">
      <c r="A915"/>
      <c r="G915" s="207"/>
      <c r="CP915"/>
    </row>
    <row r="916" spans="1:94" hidden="1">
      <c r="A916"/>
      <c r="G916" s="207"/>
      <c r="CP916"/>
    </row>
    <row r="917" spans="1:94" hidden="1">
      <c r="A917"/>
      <c r="G917" s="207"/>
      <c r="CP917"/>
    </row>
    <row r="918" spans="1:94" hidden="1">
      <c r="A918"/>
      <c r="G918" s="207"/>
      <c r="CP918"/>
    </row>
    <row r="919" spans="1:94" hidden="1">
      <c r="A919"/>
      <c r="G919" s="207"/>
      <c r="CP919"/>
    </row>
    <row r="920" spans="1:94" hidden="1">
      <c r="A920"/>
      <c r="G920" s="207"/>
      <c r="CP920"/>
    </row>
    <row r="921" spans="1:94" hidden="1">
      <c r="A921"/>
      <c r="G921" s="207"/>
      <c r="CP921"/>
    </row>
    <row r="922" spans="1:94" hidden="1">
      <c r="A922"/>
      <c r="G922" s="207"/>
      <c r="CP922"/>
    </row>
    <row r="923" spans="1:94" hidden="1">
      <c r="A923"/>
      <c r="G923" s="207"/>
      <c r="CP923"/>
    </row>
    <row r="924" spans="1:94" hidden="1">
      <c r="A924"/>
      <c r="G924" s="207"/>
      <c r="CP924"/>
    </row>
    <row r="925" spans="1:94" hidden="1">
      <c r="A925"/>
      <c r="G925" s="207"/>
      <c r="CP925"/>
    </row>
    <row r="926" spans="1:94" hidden="1">
      <c r="A926"/>
      <c r="G926" s="207"/>
      <c r="CP926"/>
    </row>
    <row r="927" spans="1:94" hidden="1">
      <c r="A927"/>
      <c r="G927" s="207"/>
      <c r="CP927"/>
    </row>
    <row r="928" spans="1:94" hidden="1">
      <c r="A928"/>
      <c r="G928" s="207"/>
      <c r="CP928"/>
    </row>
    <row r="929" spans="1:94" hidden="1">
      <c r="A929"/>
      <c r="G929" s="207"/>
      <c r="CP929"/>
    </row>
    <row r="930" spans="1:94" hidden="1">
      <c r="A930"/>
      <c r="G930" s="207"/>
      <c r="CP930"/>
    </row>
    <row r="931" spans="1:94" hidden="1">
      <c r="A931"/>
      <c r="G931" s="207"/>
      <c r="CP931"/>
    </row>
    <row r="932" spans="1:94" hidden="1">
      <c r="A932"/>
      <c r="G932" s="207"/>
      <c r="CP932"/>
    </row>
    <row r="933" spans="1:94" hidden="1">
      <c r="A933"/>
      <c r="G933" s="207"/>
      <c r="CP933"/>
    </row>
    <row r="934" spans="1:94" hidden="1">
      <c r="A934"/>
      <c r="G934" s="207"/>
      <c r="CP934"/>
    </row>
    <row r="935" spans="1:94" hidden="1">
      <c r="A935"/>
      <c r="G935" s="207"/>
      <c r="CP935"/>
    </row>
    <row r="936" spans="1:94" hidden="1">
      <c r="A936"/>
      <c r="G936" s="207"/>
      <c r="CP936"/>
    </row>
    <row r="937" spans="1:94" hidden="1">
      <c r="A937"/>
      <c r="G937" s="207"/>
      <c r="CP937"/>
    </row>
    <row r="938" spans="1:94" hidden="1">
      <c r="A938"/>
      <c r="G938" s="207"/>
      <c r="CP938"/>
    </row>
    <row r="939" spans="1:94" hidden="1">
      <c r="A939"/>
      <c r="G939" s="207"/>
      <c r="CP939"/>
    </row>
    <row r="940" spans="1:94" hidden="1">
      <c r="A940"/>
      <c r="G940" s="207"/>
      <c r="CP940"/>
    </row>
    <row r="941" spans="1:94" hidden="1">
      <c r="A941"/>
      <c r="G941" s="207"/>
      <c r="CP941"/>
    </row>
    <row r="942" spans="1:94" hidden="1">
      <c r="A942"/>
      <c r="G942" s="207"/>
      <c r="CP942"/>
    </row>
    <row r="943" spans="1:94" hidden="1">
      <c r="A943"/>
      <c r="G943" s="207"/>
      <c r="CP943"/>
    </row>
    <row r="944" spans="1:94" hidden="1">
      <c r="A944"/>
      <c r="G944" s="207"/>
      <c r="CP944"/>
    </row>
    <row r="945" spans="1:94" hidden="1">
      <c r="A945"/>
      <c r="G945" s="207"/>
      <c r="CP945"/>
    </row>
    <row r="946" spans="1:94" hidden="1">
      <c r="A946"/>
      <c r="G946" s="207"/>
      <c r="CP946"/>
    </row>
    <row r="947" spans="1:94" hidden="1">
      <c r="A947"/>
      <c r="G947" s="207"/>
      <c r="CP947"/>
    </row>
    <row r="948" spans="1:94" hidden="1">
      <c r="A948"/>
      <c r="G948" s="207"/>
      <c r="CP948"/>
    </row>
    <row r="949" spans="1:94" hidden="1">
      <c r="A949"/>
      <c r="G949" s="207"/>
      <c r="CP949"/>
    </row>
    <row r="950" spans="1:94" hidden="1">
      <c r="A950"/>
      <c r="G950" s="207"/>
      <c r="CP950"/>
    </row>
    <row r="951" spans="1:94" hidden="1">
      <c r="A951"/>
      <c r="G951" s="207"/>
      <c r="CP951"/>
    </row>
    <row r="952" spans="1:94" hidden="1">
      <c r="A952"/>
      <c r="G952" s="207"/>
      <c r="CP952"/>
    </row>
    <row r="953" spans="1:94" hidden="1">
      <c r="A953"/>
      <c r="G953" s="207"/>
      <c r="CP953"/>
    </row>
    <row r="954" spans="1:94" hidden="1">
      <c r="A954"/>
      <c r="G954" s="207"/>
      <c r="CP954"/>
    </row>
    <row r="955" spans="1:94" hidden="1">
      <c r="A955"/>
      <c r="G955" s="207"/>
      <c r="CP955"/>
    </row>
    <row r="956" spans="1:94" hidden="1">
      <c r="A956"/>
      <c r="G956" s="207"/>
      <c r="CP956"/>
    </row>
    <row r="957" spans="1:94" hidden="1">
      <c r="A957"/>
      <c r="G957" s="207"/>
      <c r="CP957"/>
    </row>
    <row r="958" spans="1:94" hidden="1">
      <c r="A958"/>
      <c r="G958" s="207"/>
      <c r="CP958"/>
    </row>
    <row r="959" spans="1:94" hidden="1">
      <c r="A959"/>
      <c r="G959" s="207"/>
      <c r="CP959"/>
    </row>
    <row r="960" spans="1:94" hidden="1">
      <c r="A960"/>
      <c r="G960" s="207"/>
      <c r="CP960"/>
    </row>
    <row r="961" spans="1:94" hidden="1">
      <c r="A961"/>
      <c r="G961" s="207"/>
      <c r="CP961"/>
    </row>
    <row r="962" spans="1:94" hidden="1">
      <c r="A962"/>
      <c r="G962" s="207"/>
      <c r="CP962"/>
    </row>
    <row r="963" spans="1:94" hidden="1">
      <c r="A963"/>
      <c r="G963" s="207"/>
      <c r="CP963"/>
    </row>
    <row r="964" spans="1:94" hidden="1">
      <c r="A964"/>
      <c r="G964" s="207"/>
      <c r="CP964"/>
    </row>
    <row r="965" spans="1:94" hidden="1">
      <c r="A965"/>
      <c r="G965" s="207"/>
      <c r="CP965"/>
    </row>
    <row r="966" spans="1:94" hidden="1">
      <c r="A966"/>
      <c r="G966" s="207"/>
      <c r="CP966"/>
    </row>
    <row r="967" spans="1:94" hidden="1">
      <c r="A967"/>
      <c r="G967" s="207"/>
      <c r="CP967"/>
    </row>
    <row r="968" spans="1:94" hidden="1">
      <c r="A968"/>
      <c r="G968" s="207"/>
      <c r="CP968"/>
    </row>
    <row r="969" spans="1:94" hidden="1">
      <c r="A969"/>
      <c r="G969" s="207"/>
      <c r="CP969"/>
    </row>
    <row r="970" spans="1:94" hidden="1">
      <c r="A970"/>
      <c r="G970" s="207"/>
      <c r="CP970"/>
    </row>
    <row r="971" spans="1:94" hidden="1">
      <c r="A971"/>
      <c r="G971" s="207"/>
      <c r="CP971"/>
    </row>
    <row r="972" spans="1:94" hidden="1">
      <c r="A972"/>
      <c r="G972" s="207"/>
      <c r="CP972"/>
    </row>
    <row r="973" spans="1:94" hidden="1">
      <c r="A973"/>
      <c r="G973" s="207"/>
      <c r="CP973"/>
    </row>
    <row r="974" spans="1:94" hidden="1">
      <c r="A974"/>
      <c r="G974" s="207"/>
      <c r="CP974"/>
    </row>
    <row r="975" spans="1:94" hidden="1">
      <c r="A975"/>
      <c r="G975" s="207"/>
      <c r="CP975"/>
    </row>
    <row r="976" spans="1:94" hidden="1">
      <c r="A976"/>
      <c r="G976" s="207"/>
      <c r="CP976"/>
    </row>
    <row r="977" spans="1:94" hidden="1">
      <c r="A977"/>
      <c r="G977" s="207"/>
      <c r="CP977"/>
    </row>
    <row r="978" spans="1:94" hidden="1">
      <c r="A978"/>
      <c r="G978" s="207"/>
      <c r="CP978"/>
    </row>
    <row r="979" spans="1:94" hidden="1">
      <c r="A979"/>
      <c r="G979" s="207"/>
      <c r="CP979"/>
    </row>
    <row r="980" spans="1:94" hidden="1">
      <c r="A980"/>
      <c r="G980" s="207"/>
      <c r="CP980"/>
    </row>
    <row r="981" spans="1:94" hidden="1">
      <c r="A981"/>
      <c r="G981" s="207"/>
      <c r="CP981"/>
    </row>
    <row r="982" spans="1:94" hidden="1">
      <c r="A982"/>
      <c r="G982" s="207"/>
      <c r="CP982"/>
    </row>
    <row r="983" spans="1:94" hidden="1">
      <c r="A983"/>
      <c r="G983" s="207"/>
      <c r="CP983"/>
    </row>
    <row r="984" spans="1:94" hidden="1">
      <c r="A984"/>
      <c r="G984" s="207"/>
      <c r="CP984"/>
    </row>
    <row r="985" spans="1:94" hidden="1">
      <c r="A985"/>
      <c r="G985" s="207"/>
      <c r="CP985"/>
    </row>
    <row r="986" spans="1:94" hidden="1">
      <c r="A986"/>
      <c r="G986" s="207"/>
      <c r="CP986"/>
    </row>
    <row r="987" spans="1:94" hidden="1">
      <c r="A987"/>
      <c r="G987" s="207"/>
      <c r="CP987"/>
    </row>
    <row r="988" spans="1:94" hidden="1">
      <c r="A988"/>
      <c r="G988" s="207"/>
      <c r="CP988"/>
    </row>
    <row r="989" spans="1:94" hidden="1">
      <c r="A989"/>
      <c r="G989" s="207"/>
      <c r="CP989"/>
    </row>
    <row r="990" spans="1:94" hidden="1">
      <c r="A990"/>
      <c r="G990" s="207"/>
      <c r="CP990"/>
    </row>
    <row r="991" spans="1:94" hidden="1">
      <c r="A991"/>
      <c r="G991" s="207"/>
      <c r="CP991"/>
    </row>
    <row r="992" spans="1:94" hidden="1">
      <c r="A992"/>
      <c r="G992" s="207"/>
      <c r="CP992"/>
    </row>
    <row r="993" spans="1:94" hidden="1">
      <c r="A993"/>
      <c r="G993" s="207"/>
      <c r="CP993"/>
    </row>
    <row r="994" spans="1:94" hidden="1">
      <c r="A994"/>
      <c r="G994" s="207"/>
      <c r="CP994"/>
    </row>
    <row r="995" spans="1:94" hidden="1">
      <c r="A995"/>
      <c r="G995" s="207"/>
      <c r="CP995"/>
    </row>
    <row r="996" spans="1:94" hidden="1">
      <c r="A996"/>
      <c r="G996" s="207"/>
      <c r="CP996"/>
    </row>
    <row r="997" spans="1:94" hidden="1">
      <c r="A997"/>
      <c r="G997" s="207"/>
      <c r="CP997"/>
    </row>
    <row r="998" spans="1:94" hidden="1">
      <c r="A998"/>
      <c r="G998" s="207"/>
      <c r="CP998"/>
    </row>
    <row r="999" spans="1:94" hidden="1">
      <c r="A999"/>
      <c r="G999" s="207"/>
      <c r="CP999"/>
    </row>
    <row r="1000" spans="1:94" hidden="1">
      <c r="A1000"/>
      <c r="G1000" s="207"/>
      <c r="CP1000"/>
    </row>
    <row r="1001" spans="1:94" hidden="1">
      <c r="A1001"/>
      <c r="G1001" s="207"/>
      <c r="CP1001"/>
    </row>
    <row r="1002" spans="1:94" hidden="1">
      <c r="A1002"/>
      <c r="G1002" s="207"/>
      <c r="CP1002"/>
    </row>
    <row r="1003" spans="1:94" hidden="1">
      <c r="A1003"/>
      <c r="G1003" s="207"/>
      <c r="CP1003"/>
    </row>
    <row r="1004" spans="1:94" hidden="1">
      <c r="A1004"/>
      <c r="G1004" s="207"/>
      <c r="CP1004"/>
    </row>
    <row r="1005" spans="1:94" hidden="1">
      <c r="A1005"/>
      <c r="G1005" s="207"/>
      <c r="CP1005"/>
    </row>
    <row r="1006" spans="1:94" hidden="1">
      <c r="A1006"/>
      <c r="G1006" s="207"/>
      <c r="CP1006"/>
    </row>
    <row r="1007" spans="1:94" hidden="1">
      <c r="A1007"/>
      <c r="G1007" s="207"/>
      <c r="CP1007"/>
    </row>
    <row r="1008" spans="1:94" hidden="1">
      <c r="A1008"/>
      <c r="G1008" s="207"/>
      <c r="CP1008"/>
    </row>
    <row r="1009" spans="1:94" hidden="1">
      <c r="A1009"/>
      <c r="G1009" s="207"/>
      <c r="CP1009"/>
    </row>
    <row r="1010" spans="1:94" hidden="1">
      <c r="A1010"/>
      <c r="G1010" s="207"/>
      <c r="CP1010"/>
    </row>
    <row r="1011" spans="1:94" hidden="1">
      <c r="A1011"/>
      <c r="G1011" s="207"/>
      <c r="CP1011"/>
    </row>
    <row r="1012" spans="1:94" hidden="1">
      <c r="A1012"/>
      <c r="G1012" s="207"/>
      <c r="CP1012"/>
    </row>
    <row r="1013" spans="1:94" hidden="1">
      <c r="A1013"/>
      <c r="G1013" s="207"/>
      <c r="CP1013"/>
    </row>
    <row r="1014" spans="1:94" hidden="1">
      <c r="A1014"/>
      <c r="G1014" s="207"/>
      <c r="CP1014"/>
    </row>
    <row r="1015" spans="1:94" hidden="1">
      <c r="A1015"/>
      <c r="G1015" s="207"/>
      <c r="CP1015"/>
    </row>
    <row r="1016" spans="1:94" hidden="1">
      <c r="A1016"/>
      <c r="G1016" s="207"/>
      <c r="CP1016"/>
    </row>
    <row r="1017" spans="1:94" hidden="1">
      <c r="A1017"/>
      <c r="G1017" s="207"/>
      <c r="CP1017"/>
    </row>
    <row r="1018" spans="1:94" hidden="1">
      <c r="A1018"/>
      <c r="G1018" s="207"/>
      <c r="CP1018"/>
    </row>
    <row r="1019" spans="1:94" hidden="1">
      <c r="A1019"/>
      <c r="G1019" s="207"/>
      <c r="CP1019"/>
    </row>
    <row r="1020" spans="1:94" hidden="1">
      <c r="A1020"/>
      <c r="G1020" s="207"/>
      <c r="CP1020"/>
    </row>
    <row r="1021" spans="1:94" hidden="1">
      <c r="A1021"/>
      <c r="G1021" s="207"/>
      <c r="CP1021"/>
    </row>
    <row r="1022" spans="1:94" hidden="1">
      <c r="A1022"/>
      <c r="G1022" s="207"/>
      <c r="CP1022"/>
    </row>
    <row r="1023" spans="1:94" hidden="1">
      <c r="A1023"/>
      <c r="G1023" s="207"/>
      <c r="CP1023"/>
    </row>
    <row r="1024" spans="1:94" hidden="1">
      <c r="A1024"/>
      <c r="G1024" s="207"/>
      <c r="CP1024"/>
    </row>
    <row r="1025" spans="1:94" hidden="1">
      <c r="A1025"/>
      <c r="G1025" s="207"/>
      <c r="CP1025"/>
    </row>
    <row r="1026" spans="1:94" hidden="1">
      <c r="A1026"/>
      <c r="G1026" s="207"/>
      <c r="CP1026"/>
    </row>
    <row r="1027" spans="1:94" hidden="1">
      <c r="A1027"/>
      <c r="G1027" s="207"/>
      <c r="CP1027"/>
    </row>
    <row r="1028" spans="1:94" hidden="1">
      <c r="A1028"/>
      <c r="G1028" s="207"/>
      <c r="CP1028"/>
    </row>
    <row r="1029" spans="1:94" hidden="1">
      <c r="A1029"/>
      <c r="G1029" s="207"/>
      <c r="CP1029"/>
    </row>
    <row r="1030" spans="1:94" hidden="1">
      <c r="A1030"/>
      <c r="G1030" s="207"/>
      <c r="CP1030"/>
    </row>
    <row r="1031" spans="1:94" hidden="1">
      <c r="A1031"/>
      <c r="G1031" s="207"/>
      <c r="CP1031"/>
    </row>
    <row r="1032" spans="1:94" hidden="1">
      <c r="A1032"/>
      <c r="G1032" s="207"/>
      <c r="CP1032"/>
    </row>
    <row r="1033" spans="1:94" hidden="1">
      <c r="A1033"/>
      <c r="G1033" s="207"/>
      <c r="CP1033"/>
    </row>
    <row r="1034" spans="1:94" hidden="1">
      <c r="A1034"/>
      <c r="G1034" s="207"/>
      <c r="CP1034"/>
    </row>
    <row r="1035" spans="1:94" hidden="1">
      <c r="A1035"/>
      <c r="G1035" s="207"/>
      <c r="CP1035"/>
    </row>
    <row r="1036" spans="1:94" hidden="1">
      <c r="A1036"/>
      <c r="G1036" s="207"/>
      <c r="CP1036"/>
    </row>
    <row r="1037" spans="1:94" hidden="1">
      <c r="A1037"/>
      <c r="G1037" s="207"/>
      <c r="CP1037"/>
    </row>
    <row r="1038" spans="1:94" hidden="1">
      <c r="A1038"/>
      <c r="G1038" s="207"/>
      <c r="CP1038"/>
    </row>
    <row r="1039" spans="1:94" hidden="1">
      <c r="A1039"/>
      <c r="G1039" s="207"/>
      <c r="CP1039"/>
    </row>
    <row r="1040" spans="1:94" hidden="1">
      <c r="A1040"/>
      <c r="G1040" s="207"/>
      <c r="CP1040"/>
    </row>
    <row r="1041" spans="1:94" hidden="1">
      <c r="A1041"/>
      <c r="G1041" s="207"/>
      <c r="CP1041"/>
    </row>
    <row r="1042" spans="1:94" hidden="1">
      <c r="A1042"/>
      <c r="G1042" s="207"/>
      <c r="CP1042"/>
    </row>
    <row r="1043" spans="1:94" hidden="1">
      <c r="A1043"/>
      <c r="G1043" s="207"/>
      <c r="CP1043"/>
    </row>
    <row r="1044" spans="1:94" hidden="1">
      <c r="A1044"/>
      <c r="G1044" s="207"/>
      <c r="CP1044"/>
    </row>
    <row r="1045" spans="1:94" hidden="1">
      <c r="A1045"/>
      <c r="G1045" s="207"/>
      <c r="CP1045"/>
    </row>
    <row r="1046" spans="1:94" hidden="1">
      <c r="A1046"/>
      <c r="G1046" s="207"/>
      <c r="CP1046"/>
    </row>
    <row r="1047" spans="1:94" hidden="1">
      <c r="A1047"/>
      <c r="G1047" s="207"/>
      <c r="CP1047"/>
    </row>
    <row r="1048" spans="1:94" hidden="1">
      <c r="A1048"/>
      <c r="G1048" s="207"/>
      <c r="CP1048"/>
    </row>
    <row r="1049" spans="1:94" hidden="1">
      <c r="A1049"/>
      <c r="G1049" s="207"/>
      <c r="CP1049"/>
    </row>
    <row r="1050" spans="1:94" hidden="1">
      <c r="A1050"/>
      <c r="G1050" s="207"/>
      <c r="CP1050"/>
    </row>
    <row r="1051" spans="1:94" hidden="1">
      <c r="A1051"/>
      <c r="G1051" s="207"/>
      <c r="CP1051"/>
    </row>
    <row r="1052" spans="1:94" hidden="1">
      <c r="A1052"/>
      <c r="G1052" s="207"/>
      <c r="CP1052"/>
    </row>
    <row r="1053" spans="1:94" hidden="1">
      <c r="A1053"/>
      <c r="G1053" s="207"/>
      <c r="CP1053"/>
    </row>
    <row r="1054" spans="1:94" hidden="1">
      <c r="A1054"/>
      <c r="G1054" s="207"/>
      <c r="CP1054"/>
    </row>
    <row r="1055" spans="1:94" hidden="1">
      <c r="A1055"/>
      <c r="G1055" s="207"/>
      <c r="CP1055"/>
    </row>
    <row r="1056" spans="1:94" hidden="1">
      <c r="A1056"/>
      <c r="G1056" s="207"/>
      <c r="CP1056"/>
    </row>
    <row r="1057" spans="1:94" hidden="1">
      <c r="A1057"/>
      <c r="G1057" s="207"/>
      <c r="CP1057"/>
    </row>
    <row r="1058" spans="1:94" hidden="1">
      <c r="A1058"/>
      <c r="G1058" s="207"/>
      <c r="CP1058"/>
    </row>
    <row r="1059" spans="1:94" hidden="1">
      <c r="A1059"/>
      <c r="G1059" s="207"/>
      <c r="CP1059"/>
    </row>
    <row r="1060" spans="1:94" hidden="1">
      <c r="A1060"/>
      <c r="G1060" s="207"/>
      <c r="CP1060"/>
    </row>
    <row r="1061" spans="1:94" hidden="1">
      <c r="A1061"/>
      <c r="G1061" s="207"/>
      <c r="CP1061"/>
    </row>
    <row r="1062" spans="1:94" hidden="1">
      <c r="A1062"/>
      <c r="G1062" s="207"/>
      <c r="CP1062"/>
    </row>
    <row r="1063" spans="1:94" hidden="1">
      <c r="A1063"/>
      <c r="G1063" s="207"/>
      <c r="CP1063"/>
    </row>
    <row r="1064" spans="1:94" hidden="1">
      <c r="A1064"/>
      <c r="G1064" s="207"/>
      <c r="CP1064"/>
    </row>
    <row r="1065" spans="1:94" hidden="1">
      <c r="A1065"/>
      <c r="G1065" s="207"/>
      <c r="CP1065"/>
    </row>
    <row r="1066" spans="1:94" hidden="1">
      <c r="A1066"/>
      <c r="G1066" s="207"/>
      <c r="CP1066"/>
    </row>
    <row r="1067" spans="1:94" hidden="1">
      <c r="A1067"/>
      <c r="G1067" s="207"/>
      <c r="CP1067"/>
    </row>
    <row r="1068" spans="1:94" hidden="1">
      <c r="A1068"/>
      <c r="G1068" s="207"/>
      <c r="CP1068"/>
    </row>
    <row r="1069" spans="1:94" hidden="1">
      <c r="A1069"/>
      <c r="G1069" s="207"/>
      <c r="CP1069"/>
    </row>
    <row r="1070" spans="1:94" hidden="1">
      <c r="A1070"/>
      <c r="G1070" s="207"/>
      <c r="CP1070"/>
    </row>
    <row r="1071" spans="1:94" hidden="1">
      <c r="A1071"/>
      <c r="G1071" s="207"/>
      <c r="CP1071"/>
    </row>
    <row r="1072" spans="1:94" hidden="1">
      <c r="A1072"/>
      <c r="G1072" s="207"/>
      <c r="CP1072"/>
    </row>
    <row r="1073" spans="1:94" hidden="1">
      <c r="A1073"/>
      <c r="G1073" s="207"/>
      <c r="CP1073"/>
    </row>
    <row r="1074" spans="1:94" hidden="1">
      <c r="A1074"/>
      <c r="G1074" s="207"/>
      <c r="CP1074"/>
    </row>
    <row r="1075" spans="1:94" hidden="1">
      <c r="A1075"/>
      <c r="G1075" s="207"/>
      <c r="CP1075"/>
    </row>
    <row r="1076" spans="1:94" hidden="1">
      <c r="A1076"/>
      <c r="G1076" s="207"/>
      <c r="CP1076"/>
    </row>
    <row r="1077" spans="1:94" hidden="1">
      <c r="A1077"/>
      <c r="G1077" s="207"/>
      <c r="CP1077"/>
    </row>
    <row r="1078" spans="1:94" hidden="1">
      <c r="A1078"/>
      <c r="G1078" s="207"/>
      <c r="CP1078"/>
    </row>
    <row r="1079" spans="1:94" hidden="1">
      <c r="A1079"/>
      <c r="G1079" s="207"/>
      <c r="CP1079"/>
    </row>
    <row r="1080" spans="1:94" hidden="1">
      <c r="A1080"/>
      <c r="G1080" s="207"/>
      <c r="CP1080"/>
    </row>
    <row r="1081" spans="1:94" hidden="1">
      <c r="A1081"/>
      <c r="G1081" s="207"/>
      <c r="CP1081"/>
    </row>
    <row r="1082" spans="1:94" hidden="1">
      <c r="A1082"/>
      <c r="G1082" s="207"/>
      <c r="CP1082"/>
    </row>
    <row r="1083" spans="1:94" hidden="1">
      <c r="A1083"/>
      <c r="G1083" s="207"/>
      <c r="CP1083"/>
    </row>
    <row r="1084" spans="1:94" hidden="1">
      <c r="A1084"/>
      <c r="G1084" s="207"/>
      <c r="CP1084"/>
    </row>
    <row r="1085" spans="1:94" hidden="1">
      <c r="A1085"/>
      <c r="G1085" s="207"/>
      <c r="CP1085"/>
    </row>
    <row r="1086" spans="1:94" hidden="1">
      <c r="A1086"/>
      <c r="G1086" s="207"/>
      <c r="CP1086"/>
    </row>
    <row r="1087" spans="1:94" hidden="1">
      <c r="A1087"/>
      <c r="G1087" s="207"/>
      <c r="CP1087"/>
    </row>
    <row r="1088" spans="1:94" hidden="1">
      <c r="A1088"/>
      <c r="G1088" s="207"/>
      <c r="CP1088"/>
    </row>
    <row r="1089" spans="1:94" hidden="1">
      <c r="A1089"/>
      <c r="G1089" s="207"/>
      <c r="CP1089"/>
    </row>
    <row r="1090" spans="1:94" hidden="1">
      <c r="A1090"/>
      <c r="G1090" s="207"/>
      <c r="CP1090"/>
    </row>
    <row r="1091" spans="1:94" hidden="1">
      <c r="A1091"/>
      <c r="G1091" s="207"/>
      <c r="CP1091"/>
    </row>
    <row r="1092" spans="1:94" hidden="1">
      <c r="A1092"/>
      <c r="G1092" s="207"/>
      <c r="CP1092"/>
    </row>
    <row r="1093" spans="1:94" hidden="1">
      <c r="A1093"/>
      <c r="G1093" s="207"/>
      <c r="CP1093"/>
    </row>
    <row r="1094" spans="1:94" hidden="1">
      <c r="A1094"/>
      <c r="G1094" s="207"/>
      <c r="CP1094"/>
    </row>
    <row r="1095" spans="1:94" hidden="1">
      <c r="A1095"/>
      <c r="G1095" s="207"/>
      <c r="CP1095"/>
    </row>
    <row r="1096" spans="1:94" hidden="1">
      <c r="A1096"/>
      <c r="G1096" s="207"/>
      <c r="CP1096"/>
    </row>
    <row r="1097" spans="1:94" hidden="1">
      <c r="A1097"/>
      <c r="G1097" s="207"/>
      <c r="CP1097"/>
    </row>
    <row r="1098" spans="1:94" hidden="1">
      <c r="A1098"/>
      <c r="G1098" s="207"/>
      <c r="CP1098"/>
    </row>
    <row r="1099" spans="1:94" hidden="1">
      <c r="A1099"/>
      <c r="G1099" s="207"/>
      <c r="CP1099"/>
    </row>
    <row r="1100" spans="1:94" hidden="1">
      <c r="A1100"/>
      <c r="G1100" s="207"/>
      <c r="CP1100"/>
    </row>
    <row r="1101" spans="1:94" hidden="1">
      <c r="A1101"/>
      <c r="G1101" s="207"/>
      <c r="CP1101"/>
    </row>
    <row r="1102" spans="1:94" hidden="1">
      <c r="A1102"/>
      <c r="G1102" s="207"/>
      <c r="CP1102"/>
    </row>
    <row r="1103" spans="1:94" hidden="1">
      <c r="A1103"/>
      <c r="G1103" s="207"/>
      <c r="CP1103"/>
    </row>
    <row r="1104" spans="1:94" hidden="1">
      <c r="A1104"/>
      <c r="G1104" s="207"/>
      <c r="CP1104"/>
    </row>
    <row r="1105" spans="1:94" hidden="1">
      <c r="A1105"/>
      <c r="G1105" s="207"/>
      <c r="CP1105"/>
    </row>
    <row r="1106" spans="1:94" hidden="1">
      <c r="A1106"/>
      <c r="G1106" s="207"/>
      <c r="CP1106"/>
    </row>
    <row r="1107" spans="1:94" hidden="1">
      <c r="A1107"/>
      <c r="G1107" s="207"/>
      <c r="CP1107"/>
    </row>
    <row r="1108" spans="1:94" hidden="1">
      <c r="A1108"/>
      <c r="G1108" s="207"/>
      <c r="CP1108"/>
    </row>
    <row r="1109" spans="1:94" hidden="1">
      <c r="A1109"/>
      <c r="G1109" s="207"/>
      <c r="CP1109"/>
    </row>
    <row r="1110" spans="1:94" hidden="1">
      <c r="A1110"/>
      <c r="G1110" s="207"/>
      <c r="CP1110"/>
    </row>
    <row r="1111" spans="1:94" hidden="1">
      <c r="A1111"/>
      <c r="G1111" s="207"/>
      <c r="CP1111"/>
    </row>
    <row r="1112" spans="1:94" hidden="1">
      <c r="A1112"/>
      <c r="G1112" s="207"/>
      <c r="CP1112"/>
    </row>
    <row r="1113" spans="1:94" hidden="1">
      <c r="A1113"/>
      <c r="G1113" s="207"/>
      <c r="CP1113"/>
    </row>
    <row r="1114" spans="1:94" hidden="1">
      <c r="A1114"/>
      <c r="G1114" s="207"/>
      <c r="CP1114"/>
    </row>
    <row r="1115" spans="1:94" hidden="1">
      <c r="A1115"/>
      <c r="G1115" s="207"/>
      <c r="CP1115"/>
    </row>
    <row r="1116" spans="1:94" hidden="1">
      <c r="A1116"/>
      <c r="G1116" s="207"/>
      <c r="CP1116"/>
    </row>
    <row r="1117" spans="1:94" hidden="1">
      <c r="A1117"/>
      <c r="G1117" s="207"/>
      <c r="CP1117"/>
    </row>
    <row r="1118" spans="1:94" hidden="1">
      <c r="A1118"/>
      <c r="G1118" s="207"/>
      <c r="CP1118"/>
    </row>
    <row r="1119" spans="1:94" hidden="1">
      <c r="A1119"/>
      <c r="G1119" s="207"/>
      <c r="CP1119"/>
    </row>
    <row r="1120" spans="1:94" hidden="1">
      <c r="A1120"/>
      <c r="G1120" s="207"/>
      <c r="CP1120"/>
    </row>
    <row r="1121" spans="1:94" hidden="1">
      <c r="A1121"/>
      <c r="G1121" s="207"/>
      <c r="CP1121"/>
    </row>
    <row r="1122" spans="1:94" hidden="1">
      <c r="A1122"/>
      <c r="G1122" s="207"/>
      <c r="CP1122"/>
    </row>
    <row r="1123" spans="1:94" hidden="1">
      <c r="A1123"/>
      <c r="G1123" s="207"/>
      <c r="CP1123"/>
    </row>
    <row r="1124" spans="1:94" hidden="1">
      <c r="A1124"/>
      <c r="G1124" s="207"/>
      <c r="CP1124"/>
    </row>
    <row r="1125" spans="1:94" hidden="1">
      <c r="A1125"/>
      <c r="G1125" s="207"/>
      <c r="CP1125"/>
    </row>
    <row r="1126" spans="1:94" hidden="1">
      <c r="A1126"/>
      <c r="G1126" s="207"/>
      <c r="CP1126"/>
    </row>
    <row r="1127" spans="1:94" hidden="1">
      <c r="A1127"/>
      <c r="G1127" s="207"/>
      <c r="CP1127"/>
    </row>
    <row r="1128" spans="1:94" hidden="1">
      <c r="A1128"/>
      <c r="G1128" s="207"/>
      <c r="CP1128"/>
    </row>
    <row r="1129" spans="1:94" hidden="1">
      <c r="A1129"/>
      <c r="G1129" s="207"/>
      <c r="CP1129"/>
    </row>
    <row r="1130" spans="1:94" hidden="1">
      <c r="A1130"/>
      <c r="G1130" s="207"/>
      <c r="CP1130"/>
    </row>
    <row r="1131" spans="1:94" hidden="1">
      <c r="A1131"/>
      <c r="G1131" s="207"/>
      <c r="CP1131"/>
    </row>
    <row r="1132" spans="1:94" hidden="1">
      <c r="A1132"/>
      <c r="G1132" s="207"/>
      <c r="CP1132"/>
    </row>
    <row r="1133" spans="1:94" hidden="1">
      <c r="A1133"/>
      <c r="G1133" s="207"/>
      <c r="CP1133"/>
    </row>
    <row r="1134" spans="1:94" hidden="1">
      <c r="A1134"/>
      <c r="G1134" s="207"/>
      <c r="CP1134"/>
    </row>
    <row r="1135" spans="1:94" hidden="1">
      <c r="A1135"/>
      <c r="G1135" s="207"/>
      <c r="CP1135"/>
    </row>
    <row r="1136" spans="1:94" hidden="1">
      <c r="A1136"/>
      <c r="G1136" s="207"/>
      <c r="CP1136"/>
    </row>
    <row r="1137" spans="1:94" hidden="1">
      <c r="A1137"/>
      <c r="G1137" s="207"/>
      <c r="CP1137"/>
    </row>
    <row r="1138" spans="1:94" hidden="1">
      <c r="A1138"/>
      <c r="G1138" s="207"/>
      <c r="CP1138"/>
    </row>
    <row r="1139" spans="1:94" hidden="1">
      <c r="A1139"/>
      <c r="G1139" s="207"/>
      <c r="CP1139"/>
    </row>
    <row r="1140" spans="1:94" hidden="1">
      <c r="A1140"/>
      <c r="G1140" s="207"/>
      <c r="CP1140"/>
    </row>
    <row r="1141" spans="1:94" hidden="1">
      <c r="A1141"/>
      <c r="G1141" s="207"/>
      <c r="CP1141"/>
    </row>
    <row r="1142" spans="1:94" hidden="1">
      <c r="A1142"/>
      <c r="G1142" s="207"/>
      <c r="CP1142"/>
    </row>
    <row r="1143" spans="1:94" hidden="1">
      <c r="A1143"/>
      <c r="G1143" s="207"/>
      <c r="CP1143"/>
    </row>
    <row r="1144" spans="1:94" hidden="1">
      <c r="A1144"/>
      <c r="G1144" s="207"/>
      <c r="CP1144"/>
    </row>
    <row r="1145" spans="1:94" hidden="1">
      <c r="A1145"/>
      <c r="G1145" s="207"/>
      <c r="CP1145"/>
    </row>
    <row r="1146" spans="1:94" hidden="1">
      <c r="A1146"/>
      <c r="G1146" s="207"/>
      <c r="CP1146"/>
    </row>
    <row r="1147" spans="1:94" hidden="1">
      <c r="A1147"/>
      <c r="G1147" s="207"/>
      <c r="CP1147"/>
    </row>
    <row r="1148" spans="1:94" hidden="1">
      <c r="A1148"/>
      <c r="G1148" s="207"/>
      <c r="CP1148"/>
    </row>
    <row r="1149" spans="1:94" hidden="1">
      <c r="A1149"/>
      <c r="G1149" s="207"/>
      <c r="CP1149"/>
    </row>
    <row r="1150" spans="1:94" hidden="1">
      <c r="A1150"/>
      <c r="G1150" s="207"/>
      <c r="CP1150"/>
    </row>
    <row r="1151" spans="1:94" hidden="1">
      <c r="A1151"/>
      <c r="G1151" s="207"/>
      <c r="CP1151"/>
    </row>
    <row r="1152" spans="1:94" hidden="1">
      <c r="A1152"/>
      <c r="G1152" s="207"/>
      <c r="CP1152"/>
    </row>
    <row r="1153" spans="1:94" hidden="1">
      <c r="A1153"/>
      <c r="G1153" s="207"/>
      <c r="CP1153"/>
    </row>
    <row r="1154" spans="1:94" hidden="1">
      <c r="A1154"/>
      <c r="G1154" s="207"/>
      <c r="CP1154"/>
    </row>
    <row r="1155" spans="1:94" hidden="1">
      <c r="A1155"/>
      <c r="G1155" s="207"/>
      <c r="CP1155"/>
    </row>
    <row r="1156" spans="1:94" hidden="1">
      <c r="A1156"/>
      <c r="G1156" s="207"/>
      <c r="CP1156"/>
    </row>
    <row r="1157" spans="1:94" hidden="1">
      <c r="A1157"/>
      <c r="G1157" s="207"/>
      <c r="CP1157"/>
    </row>
    <row r="1158" spans="1:94" hidden="1">
      <c r="A1158"/>
      <c r="G1158" s="207"/>
      <c r="CP1158"/>
    </row>
    <row r="1159" spans="1:94" hidden="1">
      <c r="A1159"/>
      <c r="G1159" s="207"/>
      <c r="CP1159"/>
    </row>
    <row r="1160" spans="1:94" hidden="1">
      <c r="A1160"/>
      <c r="G1160" s="207"/>
      <c r="CP1160"/>
    </row>
    <row r="1161" spans="1:94" hidden="1">
      <c r="A1161"/>
      <c r="G1161" s="207"/>
      <c r="CP1161"/>
    </row>
    <row r="1162" spans="1:94" hidden="1">
      <c r="A1162"/>
      <c r="G1162" s="207"/>
      <c r="CP1162"/>
    </row>
    <row r="1163" spans="1:94" hidden="1">
      <c r="A1163"/>
      <c r="G1163" s="207"/>
      <c r="CP1163"/>
    </row>
    <row r="1164" spans="1:94" hidden="1">
      <c r="A1164"/>
      <c r="G1164" s="207"/>
      <c r="CP1164"/>
    </row>
    <row r="1165" spans="1:94" hidden="1">
      <c r="A1165"/>
      <c r="G1165" s="207"/>
      <c r="CP1165"/>
    </row>
    <row r="1166" spans="1:94" hidden="1">
      <c r="A1166"/>
      <c r="G1166" s="207"/>
      <c r="CP1166"/>
    </row>
    <row r="1167" spans="1:94" hidden="1">
      <c r="A1167"/>
      <c r="G1167" s="207"/>
      <c r="CP1167"/>
    </row>
    <row r="1168" spans="1:94" hidden="1">
      <c r="A1168"/>
      <c r="G1168" s="207"/>
      <c r="CP1168"/>
    </row>
    <row r="1169" spans="1:94" hidden="1">
      <c r="A1169"/>
      <c r="G1169" s="207"/>
      <c r="CP1169"/>
    </row>
    <row r="1170" spans="1:94" hidden="1">
      <c r="A1170"/>
      <c r="G1170" s="207"/>
      <c r="CP1170"/>
    </row>
    <row r="1171" spans="1:94" hidden="1">
      <c r="A1171"/>
      <c r="G1171" s="207"/>
      <c r="CP1171"/>
    </row>
    <row r="1172" spans="1:94" hidden="1">
      <c r="A1172"/>
      <c r="G1172" s="207"/>
      <c r="CP1172"/>
    </row>
    <row r="1173" spans="1:94" hidden="1">
      <c r="A1173"/>
      <c r="G1173" s="207"/>
      <c r="CP1173"/>
    </row>
    <row r="1174" spans="1:94" hidden="1">
      <c r="A1174"/>
      <c r="G1174" s="207"/>
      <c r="CP1174"/>
    </row>
    <row r="1175" spans="1:94" hidden="1">
      <c r="A1175"/>
      <c r="G1175" s="207"/>
      <c r="CP1175"/>
    </row>
    <row r="1176" spans="1:94" hidden="1">
      <c r="A1176"/>
      <c r="G1176" s="207"/>
      <c r="CP1176"/>
    </row>
    <row r="1177" spans="1:94" hidden="1">
      <c r="A1177"/>
      <c r="G1177" s="207"/>
      <c r="CP1177"/>
    </row>
    <row r="1178" spans="1:94" hidden="1">
      <c r="A1178"/>
      <c r="G1178" s="207"/>
      <c r="CP1178"/>
    </row>
    <row r="1179" spans="1:94" hidden="1">
      <c r="A1179"/>
      <c r="G1179" s="207"/>
      <c r="CP1179"/>
    </row>
    <row r="1180" spans="1:94" hidden="1">
      <c r="A1180"/>
      <c r="G1180" s="207"/>
      <c r="CP1180"/>
    </row>
    <row r="1181" spans="1:94" hidden="1">
      <c r="A1181"/>
      <c r="G1181" s="207"/>
      <c r="CP1181"/>
    </row>
    <row r="1182" spans="1:94" hidden="1">
      <c r="A1182"/>
      <c r="G1182" s="207"/>
      <c r="CP1182"/>
    </row>
    <row r="1183" spans="1:94" hidden="1">
      <c r="A1183"/>
      <c r="G1183" s="207"/>
      <c r="CP1183"/>
    </row>
    <row r="1184" spans="1:94" hidden="1">
      <c r="A1184"/>
      <c r="G1184" s="207"/>
      <c r="CP1184"/>
    </row>
    <row r="1185" spans="1:94" hidden="1">
      <c r="A1185"/>
      <c r="G1185" s="207"/>
      <c r="CP1185"/>
    </row>
    <row r="1186" spans="1:94" hidden="1">
      <c r="A1186"/>
      <c r="G1186" s="207"/>
      <c r="CP1186"/>
    </row>
    <row r="1187" spans="1:94" hidden="1">
      <c r="A1187"/>
      <c r="G1187" s="207"/>
      <c r="CP1187"/>
    </row>
    <row r="1188" spans="1:94" hidden="1">
      <c r="A1188"/>
      <c r="G1188" s="207"/>
      <c r="CP1188"/>
    </row>
    <row r="1189" spans="1:94" hidden="1">
      <c r="A1189"/>
      <c r="G1189" s="207"/>
      <c r="CP1189"/>
    </row>
    <row r="1190" spans="1:94" hidden="1">
      <c r="A1190"/>
      <c r="G1190" s="207"/>
      <c r="CP1190"/>
    </row>
    <row r="1191" spans="1:94" hidden="1">
      <c r="A1191"/>
      <c r="G1191" s="207"/>
      <c r="CP1191"/>
    </row>
    <row r="1192" spans="1:94" hidden="1">
      <c r="A1192"/>
      <c r="G1192" s="207"/>
      <c r="CP1192"/>
    </row>
    <row r="1193" spans="1:94" hidden="1">
      <c r="A1193"/>
      <c r="G1193" s="207"/>
      <c r="CP1193"/>
    </row>
    <row r="1194" spans="1:94" hidden="1">
      <c r="A1194"/>
      <c r="G1194" s="207"/>
      <c r="CP1194"/>
    </row>
    <row r="1195" spans="1:94" hidden="1">
      <c r="A1195"/>
      <c r="G1195" s="207"/>
      <c r="CP1195"/>
    </row>
    <row r="1196" spans="1:94" hidden="1">
      <c r="A1196"/>
      <c r="G1196" s="207"/>
      <c r="CP1196"/>
    </row>
    <row r="1197" spans="1:94" hidden="1">
      <c r="A1197"/>
      <c r="G1197" s="207"/>
      <c r="CP1197"/>
    </row>
    <row r="1198" spans="1:94" hidden="1">
      <c r="A1198"/>
      <c r="G1198" s="207"/>
      <c r="CP1198"/>
    </row>
    <row r="1199" spans="1:94" hidden="1">
      <c r="A1199"/>
      <c r="G1199" s="207"/>
      <c r="CP1199"/>
    </row>
    <row r="1200" spans="1:94" hidden="1">
      <c r="A1200"/>
      <c r="G1200" s="207"/>
      <c r="CP1200"/>
    </row>
    <row r="1201" spans="1:94" hidden="1">
      <c r="A1201"/>
      <c r="G1201" s="207"/>
      <c r="CP1201"/>
    </row>
    <row r="1202" spans="1:94" hidden="1">
      <c r="A1202"/>
      <c r="G1202" s="207"/>
      <c r="CP1202"/>
    </row>
    <row r="1203" spans="1:94" hidden="1">
      <c r="A1203"/>
      <c r="G1203" s="207"/>
      <c r="CP1203"/>
    </row>
    <row r="1204" spans="1:94" hidden="1">
      <c r="A1204"/>
      <c r="G1204" s="207"/>
      <c r="CP1204"/>
    </row>
    <row r="1205" spans="1:94" hidden="1">
      <c r="A1205"/>
      <c r="G1205" s="207"/>
      <c r="CP1205"/>
    </row>
    <row r="1206" spans="1:94" hidden="1">
      <c r="A1206"/>
      <c r="G1206" s="207"/>
      <c r="CP1206"/>
    </row>
    <row r="1207" spans="1:94" hidden="1">
      <c r="A1207"/>
      <c r="G1207" s="207"/>
      <c r="CP1207"/>
    </row>
    <row r="1208" spans="1:94" hidden="1">
      <c r="A1208"/>
      <c r="G1208" s="207"/>
      <c r="CP1208"/>
    </row>
    <row r="1209" spans="1:94" hidden="1">
      <c r="A1209"/>
      <c r="G1209" s="207"/>
      <c r="CP1209"/>
    </row>
    <row r="1210" spans="1:94" hidden="1">
      <c r="A1210"/>
      <c r="G1210" s="207"/>
      <c r="CP1210"/>
    </row>
    <row r="1211" spans="1:94" hidden="1">
      <c r="A1211"/>
      <c r="G1211" s="207"/>
      <c r="CP1211"/>
    </row>
    <row r="1212" spans="1:94" hidden="1">
      <c r="A1212"/>
      <c r="G1212" s="207"/>
      <c r="CP1212"/>
    </row>
    <row r="1213" spans="1:94" hidden="1">
      <c r="A1213"/>
      <c r="G1213" s="207"/>
      <c r="CP1213"/>
    </row>
    <row r="1214" spans="1:94" hidden="1">
      <c r="A1214"/>
      <c r="G1214" s="207"/>
      <c r="CP1214"/>
    </row>
    <row r="1215" spans="1:94" hidden="1">
      <c r="A1215"/>
      <c r="G1215" s="207"/>
      <c r="CP1215"/>
    </row>
    <row r="1216" spans="1:94" hidden="1">
      <c r="A1216"/>
      <c r="G1216" s="207"/>
      <c r="CP1216"/>
    </row>
    <row r="1217" spans="1:94" hidden="1">
      <c r="A1217"/>
      <c r="G1217" s="207"/>
      <c r="CP1217"/>
    </row>
    <row r="1218" spans="1:94" hidden="1">
      <c r="A1218"/>
      <c r="G1218" s="207"/>
      <c r="CP1218"/>
    </row>
    <row r="1219" spans="1:94" hidden="1">
      <c r="A1219"/>
      <c r="G1219" s="207"/>
      <c r="CP1219"/>
    </row>
    <row r="1220" spans="1:94" hidden="1">
      <c r="A1220"/>
      <c r="G1220" s="207"/>
      <c r="CP1220"/>
    </row>
    <row r="1221" spans="1:94" hidden="1">
      <c r="A1221"/>
      <c r="G1221" s="207"/>
      <c r="CP1221"/>
    </row>
    <row r="1222" spans="1:94" hidden="1">
      <c r="A1222"/>
      <c r="G1222" s="207"/>
      <c r="CP1222"/>
    </row>
    <row r="1223" spans="1:94" hidden="1">
      <c r="A1223"/>
      <c r="G1223" s="207"/>
      <c r="CP1223"/>
    </row>
    <row r="1224" spans="1:94" hidden="1">
      <c r="A1224"/>
      <c r="G1224" s="207"/>
      <c r="CP1224"/>
    </row>
    <row r="1225" spans="1:94" hidden="1">
      <c r="A1225"/>
      <c r="G1225" s="207"/>
      <c r="CP1225"/>
    </row>
    <row r="1226" spans="1:94" hidden="1">
      <c r="A1226"/>
      <c r="G1226" s="207"/>
      <c r="CP1226"/>
    </row>
    <row r="1227" spans="1:94" hidden="1">
      <c r="A1227"/>
      <c r="G1227" s="207"/>
      <c r="CP1227"/>
    </row>
    <row r="1228" spans="1:94" hidden="1">
      <c r="A1228"/>
      <c r="G1228" s="207"/>
      <c r="CP1228"/>
    </row>
    <row r="1229" spans="1:94" hidden="1">
      <c r="A1229"/>
      <c r="G1229" s="207"/>
      <c r="CP1229"/>
    </row>
    <row r="1230" spans="1:94" hidden="1">
      <c r="A1230"/>
      <c r="G1230" s="207"/>
      <c r="CP1230"/>
    </row>
    <row r="1231" spans="1:94" hidden="1">
      <c r="A1231"/>
      <c r="G1231" s="207"/>
      <c r="CP1231"/>
    </row>
    <row r="1232" spans="1:94" hidden="1">
      <c r="A1232"/>
      <c r="G1232" s="207"/>
      <c r="CP1232"/>
    </row>
    <row r="1233" spans="1:94" hidden="1">
      <c r="A1233"/>
      <c r="G1233" s="207"/>
      <c r="CP1233"/>
    </row>
    <row r="1234" spans="1:94" hidden="1">
      <c r="A1234"/>
      <c r="G1234" s="207"/>
      <c r="CP1234"/>
    </row>
    <row r="1235" spans="1:94" hidden="1">
      <c r="A1235"/>
      <c r="G1235" s="207"/>
      <c r="CP1235"/>
    </row>
    <row r="1236" spans="1:94" hidden="1">
      <c r="A1236"/>
      <c r="G1236" s="207"/>
      <c r="CP1236"/>
    </row>
    <row r="1237" spans="1:94" hidden="1">
      <c r="A1237"/>
      <c r="G1237" s="207"/>
      <c r="CP1237"/>
    </row>
    <row r="1238" spans="1:94" hidden="1">
      <c r="A1238"/>
      <c r="G1238" s="207"/>
      <c r="CP1238"/>
    </row>
    <row r="1239" spans="1:94" hidden="1">
      <c r="A1239"/>
      <c r="G1239" s="207"/>
      <c r="CP1239"/>
    </row>
    <row r="1240" spans="1:94" hidden="1">
      <c r="A1240"/>
      <c r="G1240" s="207"/>
      <c r="CP1240"/>
    </row>
    <row r="1241" spans="1:94" hidden="1">
      <c r="A1241"/>
      <c r="G1241" s="207"/>
      <c r="CP1241"/>
    </row>
    <row r="1242" spans="1:94" hidden="1">
      <c r="A1242"/>
      <c r="G1242" s="207"/>
      <c r="CP1242"/>
    </row>
    <row r="1243" spans="1:94" hidden="1">
      <c r="A1243"/>
      <c r="G1243" s="207"/>
      <c r="CP1243"/>
    </row>
    <row r="1244" spans="1:94" hidden="1">
      <c r="A1244"/>
      <c r="G1244" s="207"/>
      <c r="CP1244"/>
    </row>
    <row r="1245" spans="1:94" hidden="1">
      <c r="A1245"/>
      <c r="G1245" s="207"/>
      <c r="CP1245"/>
    </row>
    <row r="1246" spans="1:94" hidden="1">
      <c r="A1246"/>
      <c r="G1246" s="207"/>
      <c r="CP1246"/>
    </row>
    <row r="1247" spans="1:94" hidden="1">
      <c r="A1247"/>
      <c r="G1247" s="207"/>
      <c r="CP1247"/>
    </row>
    <row r="1248" spans="1:94" hidden="1">
      <c r="A1248"/>
      <c r="G1248" s="207"/>
      <c r="CP1248"/>
    </row>
    <row r="1249" spans="1:94" hidden="1">
      <c r="A1249"/>
      <c r="G1249" s="207"/>
      <c r="CP1249"/>
    </row>
    <row r="1250" spans="1:94" hidden="1">
      <c r="A1250"/>
      <c r="G1250" s="207"/>
      <c r="CP1250"/>
    </row>
    <row r="1251" spans="1:94" hidden="1">
      <c r="A1251"/>
      <c r="G1251" s="207"/>
      <c r="CP1251"/>
    </row>
    <row r="1252" spans="1:94" hidden="1">
      <c r="A1252"/>
      <c r="G1252" s="207"/>
      <c r="CP1252"/>
    </row>
    <row r="1253" spans="1:94" hidden="1">
      <c r="A1253"/>
      <c r="G1253" s="207"/>
      <c r="CP1253"/>
    </row>
    <row r="1254" spans="1:94" hidden="1">
      <c r="A1254"/>
      <c r="G1254" s="207"/>
      <c r="CP1254"/>
    </row>
    <row r="1255" spans="1:94" hidden="1">
      <c r="A1255"/>
      <c r="G1255" s="207"/>
      <c r="CP1255"/>
    </row>
    <row r="1256" spans="1:94" hidden="1">
      <c r="A1256"/>
      <c r="G1256" s="207"/>
      <c r="CP1256"/>
    </row>
    <row r="1257" spans="1:94" hidden="1">
      <c r="A1257"/>
      <c r="G1257" s="207"/>
      <c r="CP1257"/>
    </row>
    <row r="1258" spans="1:94" hidden="1">
      <c r="A1258"/>
      <c r="G1258" s="207"/>
      <c r="CP1258"/>
    </row>
    <row r="1259" spans="1:94" hidden="1">
      <c r="A1259"/>
      <c r="G1259" s="207"/>
      <c r="CP1259"/>
    </row>
    <row r="1260" spans="1:94" hidden="1">
      <c r="A1260"/>
      <c r="G1260" s="207"/>
      <c r="CP1260"/>
    </row>
    <row r="1261" spans="1:94" hidden="1">
      <c r="A1261"/>
      <c r="G1261" s="207"/>
      <c r="CP1261"/>
    </row>
    <row r="1262" spans="1:94" hidden="1">
      <c r="A1262"/>
      <c r="G1262" s="207"/>
      <c r="CP1262"/>
    </row>
    <row r="1263" spans="1:94" hidden="1">
      <c r="A1263"/>
      <c r="G1263" s="207"/>
      <c r="CP1263"/>
    </row>
    <row r="1264" spans="1:94" hidden="1">
      <c r="A1264"/>
      <c r="G1264" s="207"/>
      <c r="CP1264"/>
    </row>
    <row r="1265" spans="1:94" hidden="1">
      <c r="A1265"/>
      <c r="G1265" s="207"/>
      <c r="CP1265"/>
    </row>
    <row r="1266" spans="1:94" hidden="1">
      <c r="A1266"/>
      <c r="G1266" s="207"/>
      <c r="CP1266"/>
    </row>
    <row r="1267" spans="1:94" hidden="1">
      <c r="A1267"/>
      <c r="G1267" s="207"/>
      <c r="CP1267"/>
    </row>
    <row r="1268" spans="1:94" hidden="1">
      <c r="A1268"/>
      <c r="G1268" s="207"/>
      <c r="CP1268"/>
    </row>
    <row r="1269" spans="1:94" hidden="1">
      <c r="A1269"/>
      <c r="G1269" s="207"/>
      <c r="CP1269"/>
    </row>
    <row r="1270" spans="1:94" hidden="1">
      <c r="A1270"/>
      <c r="G1270" s="207"/>
      <c r="CP1270"/>
    </row>
    <row r="1271" spans="1:94" hidden="1">
      <c r="A1271"/>
      <c r="G1271" s="207"/>
      <c r="CP1271"/>
    </row>
    <row r="1272" spans="1:94" hidden="1">
      <c r="A1272"/>
      <c r="G1272" s="207"/>
      <c r="CP1272"/>
    </row>
    <row r="1273" spans="1:94" hidden="1">
      <c r="A1273"/>
      <c r="G1273" s="207"/>
      <c r="CP1273"/>
    </row>
    <row r="1274" spans="1:94" hidden="1">
      <c r="A1274"/>
      <c r="G1274" s="207"/>
      <c r="CP1274"/>
    </row>
    <row r="1275" spans="1:94" hidden="1">
      <c r="A1275"/>
      <c r="G1275" s="207"/>
      <c r="CP1275"/>
    </row>
    <row r="1276" spans="1:94" hidden="1">
      <c r="A1276"/>
      <c r="G1276" s="207"/>
      <c r="CP1276"/>
    </row>
    <row r="1277" spans="1:94" hidden="1">
      <c r="A1277"/>
      <c r="G1277" s="207"/>
      <c r="CP1277"/>
    </row>
    <row r="1278" spans="1:94" hidden="1">
      <c r="A1278"/>
      <c r="G1278" s="207"/>
      <c r="CP1278"/>
    </row>
    <row r="1279" spans="1:94" hidden="1">
      <c r="A1279"/>
      <c r="G1279" s="207"/>
      <c r="CP1279"/>
    </row>
    <row r="1280" spans="1:94" hidden="1">
      <c r="A1280"/>
      <c r="G1280" s="207"/>
      <c r="CP1280"/>
    </row>
    <row r="1281" spans="1:94" hidden="1">
      <c r="A1281"/>
      <c r="G1281" s="207"/>
      <c r="CP1281"/>
    </row>
    <row r="1282" spans="1:94" hidden="1">
      <c r="A1282"/>
      <c r="G1282" s="207"/>
      <c r="CP1282"/>
    </row>
    <row r="1283" spans="1:94" hidden="1">
      <c r="A1283"/>
      <c r="G1283" s="207"/>
      <c r="CP1283"/>
    </row>
    <row r="1284" spans="1:94" hidden="1">
      <c r="A1284"/>
      <c r="G1284" s="207"/>
      <c r="CP1284"/>
    </row>
    <row r="1285" spans="1:94" hidden="1">
      <c r="A1285"/>
      <c r="G1285" s="207"/>
      <c r="CP1285"/>
    </row>
    <row r="1286" spans="1:94" hidden="1">
      <c r="A1286"/>
      <c r="G1286" s="207"/>
      <c r="CP1286"/>
    </row>
    <row r="1287" spans="1:94" hidden="1">
      <c r="A1287"/>
      <c r="G1287" s="207"/>
      <c r="CP1287"/>
    </row>
    <row r="1288" spans="1:94" hidden="1">
      <c r="A1288"/>
      <c r="G1288" s="207"/>
      <c r="CP1288"/>
    </row>
    <row r="1289" spans="1:94" hidden="1">
      <c r="A1289"/>
      <c r="G1289" s="207"/>
      <c r="CP1289"/>
    </row>
    <row r="1290" spans="1:94" hidden="1">
      <c r="A1290"/>
      <c r="G1290" s="207"/>
      <c r="CP1290"/>
    </row>
    <row r="1291" spans="1:94" hidden="1">
      <c r="A1291"/>
      <c r="G1291" s="207"/>
      <c r="CP1291"/>
    </row>
    <row r="1292" spans="1:94" hidden="1">
      <c r="A1292"/>
      <c r="G1292" s="207"/>
      <c r="CP1292"/>
    </row>
    <row r="1293" spans="1:94" hidden="1">
      <c r="A1293"/>
      <c r="G1293" s="207"/>
      <c r="CP1293"/>
    </row>
    <row r="1294" spans="1:94" hidden="1">
      <c r="A1294"/>
      <c r="G1294" s="207"/>
      <c r="CP1294"/>
    </row>
    <row r="1295" spans="1:94" hidden="1">
      <c r="A1295"/>
      <c r="G1295" s="207"/>
      <c r="CP1295"/>
    </row>
    <row r="1296" spans="1:94" hidden="1">
      <c r="A1296"/>
      <c r="G1296" s="207"/>
      <c r="CP1296"/>
    </row>
    <row r="1297" spans="1:94" hidden="1">
      <c r="A1297"/>
      <c r="G1297" s="207"/>
      <c r="CP1297"/>
    </row>
    <row r="1298" spans="1:94" hidden="1">
      <c r="A1298"/>
      <c r="G1298" s="207"/>
      <c r="CP1298"/>
    </row>
    <row r="1299" spans="1:94" hidden="1">
      <c r="A1299"/>
      <c r="G1299" s="207"/>
      <c r="CP1299"/>
    </row>
    <row r="1300" spans="1:94" hidden="1">
      <c r="A1300"/>
      <c r="G1300" s="207"/>
      <c r="CP1300"/>
    </row>
    <row r="1301" spans="1:94" hidden="1">
      <c r="A1301"/>
      <c r="G1301" s="207"/>
      <c r="CP1301"/>
    </row>
    <row r="1302" spans="1:94" hidden="1">
      <c r="A1302"/>
      <c r="G1302" s="207"/>
      <c r="CP1302"/>
    </row>
    <row r="1303" spans="1:94" hidden="1">
      <c r="A1303"/>
      <c r="G1303" s="207"/>
      <c r="CP1303"/>
    </row>
    <row r="1304" spans="1:94" hidden="1">
      <c r="A1304"/>
      <c r="G1304" s="207"/>
      <c r="CP1304"/>
    </row>
    <row r="1305" spans="1:94" hidden="1">
      <c r="A1305"/>
      <c r="G1305" s="207"/>
      <c r="CP1305"/>
    </row>
    <row r="1306" spans="1:94" hidden="1">
      <c r="A1306"/>
      <c r="G1306" s="207"/>
      <c r="CP1306"/>
    </row>
    <row r="1307" spans="1:94" hidden="1">
      <c r="A1307"/>
      <c r="G1307" s="207"/>
      <c r="CP1307"/>
    </row>
    <row r="1308" spans="1:94" hidden="1">
      <c r="A1308"/>
      <c r="G1308" s="207"/>
      <c r="CP1308"/>
    </row>
    <row r="1309" spans="1:94" hidden="1">
      <c r="A1309"/>
      <c r="G1309" s="207"/>
      <c r="CP1309"/>
    </row>
    <row r="1310" spans="1:94" hidden="1">
      <c r="A1310"/>
      <c r="G1310" s="207"/>
      <c r="CP1310"/>
    </row>
    <row r="1311" spans="1:94" hidden="1">
      <c r="A1311"/>
      <c r="G1311" s="207"/>
      <c r="CP1311"/>
    </row>
    <row r="1312" spans="1:94" hidden="1">
      <c r="A1312"/>
      <c r="G1312" s="207"/>
      <c r="CP1312"/>
    </row>
    <row r="1313" spans="1:94" hidden="1">
      <c r="A1313"/>
      <c r="G1313" s="207"/>
      <c r="CP1313"/>
    </row>
    <row r="1314" spans="1:94" hidden="1">
      <c r="A1314"/>
      <c r="G1314" s="207"/>
      <c r="CP1314"/>
    </row>
    <row r="1315" spans="1:94" hidden="1">
      <c r="A1315"/>
      <c r="G1315" s="207"/>
      <c r="CP1315"/>
    </row>
    <row r="1316" spans="1:94" hidden="1">
      <c r="A1316"/>
      <c r="G1316" s="207"/>
      <c r="CP1316"/>
    </row>
    <row r="1317" spans="1:94" hidden="1">
      <c r="A1317"/>
      <c r="G1317" s="207"/>
      <c r="CP1317"/>
    </row>
    <row r="1318" spans="1:94" hidden="1">
      <c r="A1318"/>
      <c r="G1318" s="207"/>
      <c r="CP1318"/>
    </row>
    <row r="1319" spans="1:94" hidden="1">
      <c r="A1319"/>
      <c r="G1319" s="207"/>
      <c r="CP1319"/>
    </row>
    <row r="1320" spans="1:94" hidden="1">
      <c r="A1320"/>
      <c r="G1320" s="207"/>
      <c r="CP1320"/>
    </row>
    <row r="1321" spans="1:94" hidden="1">
      <c r="A1321"/>
      <c r="G1321" s="207"/>
      <c r="CP1321"/>
    </row>
    <row r="1322" spans="1:94" hidden="1">
      <c r="A1322"/>
      <c r="G1322" s="207"/>
      <c r="CP1322"/>
    </row>
    <row r="1323" spans="1:94" hidden="1">
      <c r="A1323"/>
      <c r="G1323" s="207"/>
      <c r="CP1323"/>
    </row>
    <row r="1324" spans="1:94" hidden="1">
      <c r="A1324"/>
      <c r="G1324" s="207"/>
      <c r="CP1324"/>
    </row>
    <row r="1325" spans="1:94" hidden="1">
      <c r="A1325"/>
      <c r="G1325" s="207"/>
      <c r="CP1325"/>
    </row>
    <row r="1326" spans="1:94" hidden="1">
      <c r="A1326"/>
      <c r="G1326" s="207"/>
      <c r="CP1326"/>
    </row>
    <row r="1327" spans="1:94" hidden="1">
      <c r="A1327"/>
      <c r="G1327" s="207"/>
      <c r="CP1327"/>
    </row>
    <row r="1328" spans="1:94" hidden="1">
      <c r="A1328"/>
      <c r="G1328" s="207"/>
      <c r="CP1328"/>
    </row>
    <row r="1329" spans="1:94" hidden="1">
      <c r="A1329"/>
      <c r="G1329" s="207"/>
      <c r="CP1329"/>
    </row>
    <row r="1330" spans="1:94" hidden="1">
      <c r="A1330"/>
      <c r="G1330" s="207"/>
      <c r="CP1330"/>
    </row>
    <row r="1331" spans="1:94" hidden="1">
      <c r="A1331"/>
      <c r="G1331" s="207"/>
      <c r="CP1331"/>
    </row>
    <row r="1332" spans="1:94" hidden="1">
      <c r="A1332"/>
      <c r="G1332" s="207"/>
      <c r="CP1332"/>
    </row>
    <row r="1333" spans="1:94" hidden="1">
      <c r="A1333"/>
      <c r="G1333" s="207"/>
      <c r="CP1333"/>
    </row>
    <row r="1334" spans="1:94" hidden="1">
      <c r="A1334"/>
      <c r="G1334" s="207"/>
      <c r="CP1334"/>
    </row>
    <row r="1335" spans="1:94" hidden="1">
      <c r="A1335"/>
      <c r="G1335" s="207"/>
      <c r="CP1335"/>
    </row>
    <row r="1336" spans="1:94" hidden="1">
      <c r="A1336"/>
      <c r="G1336" s="207"/>
      <c r="CP1336"/>
    </row>
    <row r="1337" spans="1:94" hidden="1">
      <c r="A1337"/>
      <c r="G1337" s="207"/>
      <c r="CP1337"/>
    </row>
    <row r="1338" spans="1:94" hidden="1">
      <c r="A1338"/>
      <c r="G1338" s="207"/>
      <c r="CP1338"/>
    </row>
    <row r="1339" spans="1:94" hidden="1">
      <c r="A1339"/>
      <c r="G1339" s="207"/>
      <c r="CP1339"/>
    </row>
    <row r="1340" spans="1:94" hidden="1">
      <c r="A1340"/>
      <c r="G1340" s="207"/>
      <c r="CP1340"/>
    </row>
    <row r="1341" spans="1:94" hidden="1">
      <c r="A1341"/>
      <c r="G1341" s="207"/>
      <c r="CP1341"/>
    </row>
    <row r="1342" spans="1:94" hidden="1">
      <c r="A1342"/>
      <c r="G1342" s="207"/>
      <c r="CP1342"/>
    </row>
    <row r="1343" spans="1:94" hidden="1">
      <c r="A1343"/>
      <c r="G1343" s="207"/>
      <c r="CP1343"/>
    </row>
    <row r="1344" spans="1:94" hidden="1">
      <c r="A1344"/>
      <c r="G1344" s="207"/>
      <c r="CP1344"/>
    </row>
    <row r="1345" spans="1:94" hidden="1">
      <c r="A1345"/>
      <c r="G1345" s="207"/>
      <c r="CP1345"/>
    </row>
    <row r="1346" spans="1:94" hidden="1">
      <c r="A1346"/>
      <c r="G1346" s="207"/>
      <c r="CP1346"/>
    </row>
    <row r="1347" spans="1:94" hidden="1">
      <c r="A1347"/>
      <c r="G1347" s="207"/>
      <c r="CP1347"/>
    </row>
    <row r="1348" spans="1:94" hidden="1">
      <c r="A1348"/>
      <c r="G1348" s="207"/>
      <c r="CP1348"/>
    </row>
    <row r="1349" spans="1:94" hidden="1">
      <c r="A1349"/>
      <c r="G1349" s="207"/>
      <c r="CP1349"/>
    </row>
    <row r="1350" spans="1:94" hidden="1">
      <c r="A1350"/>
      <c r="G1350" s="207"/>
      <c r="CP1350"/>
    </row>
    <row r="1351" spans="1:94" hidden="1">
      <c r="A1351"/>
      <c r="G1351" s="207"/>
      <c r="CP1351"/>
    </row>
    <row r="1352" spans="1:94" hidden="1">
      <c r="A1352"/>
      <c r="G1352" s="207"/>
      <c r="CP1352"/>
    </row>
    <row r="1353" spans="1:94" hidden="1">
      <c r="A1353"/>
      <c r="G1353" s="207"/>
      <c r="CP1353"/>
    </row>
    <row r="1354" spans="1:94" hidden="1">
      <c r="A1354"/>
      <c r="G1354" s="207"/>
      <c r="CP1354"/>
    </row>
    <row r="1355" spans="1:94" hidden="1">
      <c r="A1355"/>
      <c r="G1355" s="207"/>
      <c r="CP1355"/>
    </row>
    <row r="1356" spans="1:94" hidden="1">
      <c r="A1356"/>
      <c r="G1356" s="207"/>
      <c r="CP1356"/>
    </row>
    <row r="1357" spans="1:94" hidden="1">
      <c r="A1357"/>
      <c r="G1357" s="207"/>
      <c r="CP1357"/>
    </row>
    <row r="1358" spans="1:94" hidden="1">
      <c r="A1358"/>
      <c r="G1358" s="207"/>
      <c r="CP1358"/>
    </row>
    <row r="1359" spans="1:94" hidden="1">
      <c r="A1359"/>
      <c r="G1359" s="207"/>
      <c r="CP1359"/>
    </row>
    <row r="1360" spans="1:94" hidden="1">
      <c r="A1360"/>
      <c r="G1360" s="207"/>
      <c r="CP1360"/>
    </row>
    <row r="1361" spans="1:94" hidden="1">
      <c r="A1361"/>
      <c r="G1361" s="207"/>
      <c r="CP1361"/>
    </row>
    <row r="1362" spans="1:94" hidden="1">
      <c r="A1362"/>
      <c r="G1362" s="207"/>
      <c r="CP1362"/>
    </row>
    <row r="1363" spans="1:94" hidden="1">
      <c r="A1363"/>
      <c r="G1363" s="207"/>
      <c r="CP1363"/>
    </row>
    <row r="1364" spans="1:94" hidden="1">
      <c r="A1364"/>
      <c r="G1364" s="207"/>
      <c r="CP1364"/>
    </row>
    <row r="1365" spans="1:94" hidden="1">
      <c r="A1365"/>
      <c r="G1365" s="207"/>
      <c r="CP1365"/>
    </row>
    <row r="1366" spans="1:94" hidden="1">
      <c r="A1366"/>
      <c r="G1366" s="207"/>
      <c r="CP1366"/>
    </row>
    <row r="1367" spans="1:94" hidden="1">
      <c r="A1367"/>
      <c r="G1367" s="207"/>
      <c r="CP1367"/>
    </row>
    <row r="1368" spans="1:94" hidden="1">
      <c r="A1368"/>
      <c r="G1368" s="207"/>
      <c r="CP1368"/>
    </row>
    <row r="1369" spans="1:94" hidden="1">
      <c r="A1369"/>
      <c r="G1369" s="207"/>
      <c r="CP1369"/>
    </row>
    <row r="1370" spans="1:94" hidden="1">
      <c r="A1370"/>
      <c r="G1370" s="207"/>
      <c r="CP1370"/>
    </row>
    <row r="1371" spans="1:94" hidden="1">
      <c r="A1371"/>
      <c r="G1371" s="207"/>
      <c r="CP1371"/>
    </row>
    <row r="1372" spans="1:94" hidden="1">
      <c r="A1372"/>
      <c r="G1372" s="207"/>
      <c r="CP1372"/>
    </row>
    <row r="1373" spans="1:94" hidden="1">
      <c r="A1373"/>
      <c r="G1373" s="207"/>
      <c r="CP1373"/>
    </row>
    <row r="1374" spans="1:94" hidden="1">
      <c r="A1374"/>
      <c r="G1374" s="207"/>
      <c r="CP1374"/>
    </row>
    <row r="1375" spans="1:94" hidden="1">
      <c r="A1375"/>
      <c r="G1375" s="207"/>
      <c r="CP1375"/>
    </row>
    <row r="1376" spans="1:94" hidden="1">
      <c r="A1376"/>
      <c r="G1376" s="207"/>
      <c r="CP1376"/>
    </row>
    <row r="1377" spans="1:94" hidden="1">
      <c r="A1377"/>
      <c r="G1377" s="207"/>
      <c r="CP1377"/>
    </row>
    <row r="1378" spans="1:94" hidden="1">
      <c r="A1378"/>
      <c r="G1378" s="207"/>
      <c r="CP1378"/>
    </row>
    <row r="1379" spans="1:94" hidden="1">
      <c r="A1379"/>
      <c r="G1379" s="207"/>
      <c r="CP1379"/>
    </row>
    <row r="1380" spans="1:94" hidden="1">
      <c r="A1380"/>
      <c r="G1380" s="207"/>
      <c r="CP1380"/>
    </row>
    <row r="1381" spans="1:94" hidden="1">
      <c r="A1381"/>
      <c r="G1381" s="207"/>
      <c r="CP1381"/>
    </row>
    <row r="1382" spans="1:94" hidden="1">
      <c r="A1382"/>
      <c r="G1382" s="207"/>
      <c r="CP1382"/>
    </row>
    <row r="1383" spans="1:94" hidden="1">
      <c r="A1383"/>
      <c r="G1383" s="207"/>
      <c r="CP1383"/>
    </row>
    <row r="1384" spans="1:94" hidden="1">
      <c r="A1384"/>
      <c r="G1384" s="207"/>
      <c r="CP1384"/>
    </row>
    <row r="1385" spans="1:94" hidden="1">
      <c r="A1385"/>
      <c r="G1385" s="207"/>
      <c r="CP1385"/>
    </row>
    <row r="1386" spans="1:94" hidden="1">
      <c r="A1386"/>
      <c r="G1386" s="207"/>
      <c r="CP1386"/>
    </row>
    <row r="1387" spans="1:94" hidden="1">
      <c r="A1387"/>
      <c r="G1387" s="207"/>
      <c r="CP1387"/>
    </row>
    <row r="1388" spans="1:94" hidden="1">
      <c r="A1388"/>
      <c r="G1388" s="207"/>
      <c r="CP1388"/>
    </row>
    <row r="1389" spans="1:94" hidden="1">
      <c r="A1389"/>
      <c r="G1389" s="207"/>
      <c r="CP1389"/>
    </row>
    <row r="1390" spans="1:94" hidden="1">
      <c r="A1390"/>
      <c r="G1390" s="207"/>
      <c r="CP1390"/>
    </row>
    <row r="1391" spans="1:94" hidden="1">
      <c r="A1391"/>
      <c r="G1391" s="207"/>
      <c r="CP1391"/>
    </row>
    <row r="1392" spans="1:94" hidden="1">
      <c r="A1392"/>
      <c r="G1392" s="207"/>
      <c r="CP1392"/>
    </row>
    <row r="1393" spans="1:94" hidden="1">
      <c r="A1393"/>
      <c r="G1393" s="207"/>
      <c r="CP1393"/>
    </row>
    <row r="1394" spans="1:94" hidden="1">
      <c r="A1394"/>
      <c r="G1394" s="207"/>
      <c r="CP1394"/>
    </row>
    <row r="1395" spans="1:94" hidden="1">
      <c r="A1395"/>
      <c r="G1395" s="207"/>
      <c r="CP1395"/>
    </row>
    <row r="1396" spans="1:94" hidden="1">
      <c r="A1396"/>
      <c r="G1396" s="207"/>
      <c r="CP1396"/>
    </row>
    <row r="1397" spans="1:94" hidden="1">
      <c r="A1397"/>
      <c r="G1397" s="207"/>
      <c r="CP1397"/>
    </row>
    <row r="1398" spans="1:94" hidden="1">
      <c r="A1398"/>
      <c r="G1398" s="207"/>
      <c r="CP1398"/>
    </row>
    <row r="1399" spans="1:94" hidden="1">
      <c r="A1399"/>
      <c r="G1399" s="207"/>
      <c r="CP1399"/>
    </row>
    <row r="1400" spans="1:94" hidden="1">
      <c r="A1400"/>
      <c r="G1400" s="207"/>
      <c r="CP1400"/>
    </row>
    <row r="1401" spans="1:94" hidden="1">
      <c r="A1401"/>
      <c r="G1401" s="207"/>
      <c r="CP1401"/>
    </row>
    <row r="1402" spans="1:94" hidden="1">
      <c r="A1402"/>
      <c r="G1402" s="207"/>
      <c r="CP1402"/>
    </row>
    <row r="1403" spans="1:94" hidden="1">
      <c r="A1403"/>
      <c r="G1403" s="207"/>
      <c r="CP1403"/>
    </row>
    <row r="1404" spans="1:94" hidden="1">
      <c r="A1404"/>
      <c r="G1404" s="207"/>
      <c r="CP1404"/>
    </row>
    <row r="1405" spans="1:94" hidden="1">
      <c r="A1405"/>
      <c r="G1405" s="207"/>
      <c r="CP1405"/>
    </row>
    <row r="1406" spans="1:94" hidden="1">
      <c r="A1406"/>
      <c r="G1406" s="207"/>
      <c r="CP1406"/>
    </row>
    <row r="1407" spans="1:94" hidden="1">
      <c r="A1407"/>
      <c r="G1407" s="207"/>
      <c r="CP1407"/>
    </row>
    <row r="1408" spans="1:94" hidden="1">
      <c r="A1408"/>
      <c r="G1408" s="207"/>
      <c r="CP1408"/>
    </row>
    <row r="1409" spans="1:94" hidden="1">
      <c r="A1409"/>
      <c r="G1409" s="207"/>
      <c r="CP1409"/>
    </row>
    <row r="1410" spans="1:94" hidden="1">
      <c r="A1410"/>
      <c r="G1410" s="207"/>
      <c r="CP1410"/>
    </row>
    <row r="1411" spans="1:94" hidden="1">
      <c r="A1411"/>
      <c r="G1411" s="207"/>
      <c r="CP1411"/>
    </row>
    <row r="1412" spans="1:94" hidden="1">
      <c r="A1412"/>
      <c r="G1412" s="207"/>
      <c r="CP1412"/>
    </row>
    <row r="1413" spans="1:94" hidden="1">
      <c r="A1413"/>
      <c r="G1413" s="207"/>
      <c r="CP1413"/>
    </row>
    <row r="1414" spans="1:94" hidden="1">
      <c r="A1414"/>
      <c r="G1414" s="207"/>
      <c r="CP1414"/>
    </row>
    <row r="1415" spans="1:94" hidden="1">
      <c r="A1415"/>
      <c r="G1415" s="207"/>
      <c r="CP1415"/>
    </row>
    <row r="1416" spans="1:94" hidden="1">
      <c r="A1416"/>
      <c r="G1416" s="207"/>
      <c r="CP1416"/>
    </row>
    <row r="1417" spans="1:94" hidden="1">
      <c r="A1417"/>
      <c r="G1417" s="207"/>
      <c r="CP1417"/>
    </row>
    <row r="1418" spans="1:94" hidden="1">
      <c r="A1418"/>
      <c r="G1418" s="207"/>
      <c r="CP1418"/>
    </row>
    <row r="1419" spans="1:94" hidden="1">
      <c r="A1419"/>
      <c r="G1419" s="207"/>
      <c r="CP1419"/>
    </row>
    <row r="1420" spans="1:94" hidden="1">
      <c r="A1420"/>
      <c r="G1420" s="207"/>
      <c r="CP1420"/>
    </row>
    <row r="1421" spans="1:94" hidden="1">
      <c r="A1421"/>
      <c r="G1421" s="207"/>
      <c r="CP1421"/>
    </row>
    <row r="1422" spans="1:94" hidden="1">
      <c r="A1422"/>
      <c r="G1422" s="207"/>
      <c r="CP1422"/>
    </row>
    <row r="1423" spans="1:94" hidden="1">
      <c r="A1423"/>
      <c r="G1423" s="207"/>
      <c r="CP1423"/>
    </row>
    <row r="1424" spans="1:94" hidden="1">
      <c r="A1424"/>
      <c r="G1424" s="207"/>
      <c r="CP1424"/>
    </row>
    <row r="1425" spans="1:94" hidden="1">
      <c r="A1425"/>
      <c r="G1425" s="207"/>
      <c r="CP1425"/>
    </row>
    <row r="1426" spans="1:94" hidden="1">
      <c r="A1426"/>
      <c r="G1426" s="207"/>
      <c r="CP1426"/>
    </row>
    <row r="1427" spans="1:94" hidden="1">
      <c r="A1427"/>
      <c r="G1427" s="207"/>
      <c r="CP1427"/>
    </row>
    <row r="1428" spans="1:94" hidden="1">
      <c r="A1428"/>
      <c r="G1428" s="207"/>
      <c r="CP1428"/>
    </row>
    <row r="1429" spans="1:94" hidden="1">
      <c r="A1429"/>
      <c r="G1429" s="207"/>
      <c r="CP1429"/>
    </row>
    <row r="1430" spans="1:94" hidden="1">
      <c r="A1430"/>
      <c r="G1430" s="207"/>
      <c r="CP1430"/>
    </row>
    <row r="1431" spans="1:94" hidden="1">
      <c r="A1431"/>
      <c r="G1431" s="207"/>
      <c r="CP1431"/>
    </row>
    <row r="1432" spans="1:94" hidden="1">
      <c r="A1432"/>
      <c r="G1432" s="207"/>
      <c r="CP1432"/>
    </row>
    <row r="1433" spans="1:94" hidden="1">
      <c r="A1433"/>
      <c r="G1433" s="207"/>
      <c r="CP1433"/>
    </row>
    <row r="1434" spans="1:94" hidden="1">
      <c r="A1434"/>
      <c r="G1434" s="207"/>
      <c r="CP1434"/>
    </row>
    <row r="1435" spans="1:94" hidden="1">
      <c r="A1435"/>
      <c r="G1435" s="207"/>
      <c r="CP1435"/>
    </row>
    <row r="1436" spans="1:94" hidden="1">
      <c r="A1436"/>
      <c r="G1436" s="207"/>
      <c r="CP1436"/>
    </row>
    <row r="1437" spans="1:94" hidden="1">
      <c r="A1437"/>
      <c r="G1437" s="207"/>
      <c r="CP1437"/>
    </row>
    <row r="1438" spans="1:94" hidden="1">
      <c r="A1438"/>
      <c r="G1438" s="207"/>
      <c r="CP1438"/>
    </row>
    <row r="1439" spans="1:94" hidden="1">
      <c r="A1439"/>
      <c r="G1439" s="207"/>
      <c r="CP1439"/>
    </row>
    <row r="1440" spans="1:94" hidden="1">
      <c r="A1440"/>
      <c r="G1440" s="207"/>
      <c r="CP1440"/>
    </row>
    <row r="1441" spans="1:94" hidden="1">
      <c r="A1441"/>
      <c r="G1441" s="207"/>
      <c r="CP1441"/>
    </row>
    <row r="1442" spans="1:94" hidden="1">
      <c r="A1442"/>
      <c r="G1442" s="207"/>
      <c r="CP1442"/>
    </row>
    <row r="1443" spans="1:94" hidden="1">
      <c r="A1443"/>
      <c r="G1443" s="207"/>
      <c r="CP1443"/>
    </row>
    <row r="1444" spans="1:94" hidden="1">
      <c r="A1444"/>
      <c r="G1444" s="207"/>
      <c r="CP1444"/>
    </row>
    <row r="1445" spans="1:94" hidden="1">
      <c r="A1445"/>
      <c r="G1445" s="207"/>
      <c r="CP1445"/>
    </row>
    <row r="1446" spans="1:94" hidden="1">
      <c r="A1446"/>
      <c r="G1446" s="207"/>
      <c r="CP1446"/>
    </row>
    <row r="1447" spans="1:94" hidden="1">
      <c r="A1447"/>
      <c r="G1447" s="207"/>
      <c r="CP1447"/>
    </row>
    <row r="1448" spans="1:94" hidden="1">
      <c r="A1448"/>
      <c r="G1448" s="207"/>
      <c r="CP1448"/>
    </row>
    <row r="1449" spans="1:94" hidden="1">
      <c r="A1449"/>
      <c r="G1449" s="207"/>
      <c r="CP1449"/>
    </row>
    <row r="1450" spans="1:94" hidden="1">
      <c r="A1450"/>
      <c r="G1450" s="207"/>
      <c r="CP1450"/>
    </row>
    <row r="1451" spans="1:94" hidden="1">
      <c r="A1451"/>
      <c r="G1451" s="207"/>
      <c r="CP1451"/>
    </row>
    <row r="1452" spans="1:94" hidden="1">
      <c r="A1452"/>
      <c r="G1452" s="207"/>
      <c r="CP1452"/>
    </row>
    <row r="1453" spans="1:94" hidden="1">
      <c r="A1453"/>
      <c r="G1453" s="207"/>
      <c r="CP1453"/>
    </row>
    <row r="1454" spans="1:94" hidden="1">
      <c r="A1454"/>
      <c r="G1454" s="207"/>
      <c r="CP1454"/>
    </row>
    <row r="1455" spans="1:94" hidden="1">
      <c r="A1455"/>
      <c r="G1455" s="207"/>
      <c r="CP1455"/>
    </row>
    <row r="1456" spans="1:94" hidden="1">
      <c r="A1456"/>
      <c r="G1456" s="207"/>
      <c r="CP1456"/>
    </row>
    <row r="1457" spans="1:94" hidden="1">
      <c r="A1457"/>
      <c r="G1457" s="207"/>
      <c r="CP1457"/>
    </row>
    <row r="1458" spans="1:94" hidden="1">
      <c r="A1458"/>
      <c r="G1458" s="207"/>
      <c r="CP1458"/>
    </row>
    <row r="1459" spans="1:94" hidden="1">
      <c r="A1459"/>
      <c r="G1459" s="207"/>
      <c r="CP1459"/>
    </row>
    <row r="1460" spans="1:94" hidden="1">
      <c r="A1460"/>
      <c r="G1460" s="207"/>
      <c r="CP1460"/>
    </row>
    <row r="1461" spans="1:94" hidden="1">
      <c r="A1461"/>
      <c r="G1461" s="207"/>
      <c r="CP1461"/>
    </row>
    <row r="1462" spans="1:94" hidden="1">
      <c r="A1462"/>
      <c r="G1462" s="207"/>
      <c r="CP1462"/>
    </row>
    <row r="1463" spans="1:94" hidden="1">
      <c r="A1463"/>
      <c r="G1463" s="207"/>
      <c r="CP1463"/>
    </row>
    <row r="1464" spans="1:94" hidden="1">
      <c r="A1464"/>
      <c r="G1464" s="207"/>
      <c r="CP1464"/>
    </row>
    <row r="1465" spans="1:94" hidden="1">
      <c r="A1465"/>
      <c r="G1465" s="207"/>
      <c r="CP1465"/>
    </row>
    <row r="1466" spans="1:94" hidden="1">
      <c r="A1466"/>
      <c r="G1466" s="207"/>
      <c r="CP1466"/>
    </row>
    <row r="1467" spans="1:94" hidden="1">
      <c r="A1467"/>
      <c r="G1467" s="207"/>
      <c r="CP1467"/>
    </row>
    <row r="1468" spans="1:94" hidden="1">
      <c r="A1468"/>
      <c r="G1468" s="207"/>
      <c r="CP1468"/>
    </row>
    <row r="1469" spans="1:94" hidden="1">
      <c r="A1469"/>
      <c r="G1469" s="207"/>
      <c r="CP1469"/>
    </row>
    <row r="1470" spans="1:94" hidden="1">
      <c r="A1470"/>
      <c r="G1470" s="207"/>
      <c r="CP1470"/>
    </row>
    <row r="1471" spans="1:94" hidden="1">
      <c r="A1471"/>
      <c r="G1471" s="207"/>
      <c r="CP1471"/>
    </row>
    <row r="1472" spans="1:94" hidden="1">
      <c r="A1472"/>
      <c r="G1472" s="207"/>
      <c r="CP1472"/>
    </row>
    <row r="1473" spans="1:94" hidden="1">
      <c r="A1473"/>
      <c r="G1473" s="207"/>
      <c r="CP1473"/>
    </row>
    <row r="1474" spans="1:94" hidden="1">
      <c r="A1474"/>
      <c r="G1474" s="207"/>
      <c r="CP1474"/>
    </row>
    <row r="1475" spans="1:94" hidden="1">
      <c r="A1475"/>
      <c r="G1475" s="207"/>
      <c r="CP1475"/>
    </row>
    <row r="1476" spans="1:94" hidden="1">
      <c r="A1476"/>
      <c r="G1476" s="207"/>
      <c r="CP1476"/>
    </row>
    <row r="1477" spans="1:94" hidden="1">
      <c r="A1477"/>
      <c r="G1477" s="207"/>
      <c r="CP1477"/>
    </row>
    <row r="1478" spans="1:94" hidden="1">
      <c r="A1478"/>
      <c r="G1478" s="207"/>
      <c r="CP1478"/>
    </row>
    <row r="1479" spans="1:94" hidden="1">
      <c r="A1479"/>
      <c r="G1479" s="207"/>
      <c r="CP1479"/>
    </row>
    <row r="1480" spans="1:94" hidden="1">
      <c r="A1480"/>
      <c r="G1480" s="207"/>
      <c r="CP1480"/>
    </row>
    <row r="1481" spans="1:94" hidden="1">
      <c r="A1481"/>
      <c r="G1481" s="207"/>
      <c r="CP1481"/>
    </row>
    <row r="1482" spans="1:94" hidden="1">
      <c r="A1482"/>
      <c r="G1482" s="207"/>
      <c r="CP1482"/>
    </row>
    <row r="1483" spans="1:94" hidden="1">
      <c r="A1483"/>
      <c r="G1483" s="207"/>
      <c r="CP1483"/>
    </row>
    <row r="1484" spans="1:94" hidden="1">
      <c r="A1484"/>
      <c r="G1484" s="207"/>
      <c r="CP1484"/>
    </row>
    <row r="1485" spans="1:94" hidden="1">
      <c r="A1485"/>
      <c r="G1485" s="207"/>
      <c r="CP1485"/>
    </row>
    <row r="1486" spans="1:94" hidden="1">
      <c r="A1486"/>
      <c r="G1486" s="207"/>
      <c r="CP1486"/>
    </row>
    <row r="1487" spans="1:94" hidden="1">
      <c r="A1487"/>
      <c r="G1487" s="207"/>
      <c r="CP1487"/>
    </row>
    <row r="1488" spans="1:94" hidden="1">
      <c r="A1488"/>
      <c r="G1488" s="207"/>
      <c r="CP1488"/>
    </row>
    <row r="1489" spans="1:94" hidden="1">
      <c r="A1489"/>
      <c r="G1489" s="207"/>
      <c r="CP1489"/>
    </row>
    <row r="1490" spans="1:94" hidden="1">
      <c r="A1490"/>
      <c r="G1490" s="207"/>
      <c r="CP1490"/>
    </row>
    <row r="1491" spans="1:94" hidden="1">
      <c r="A1491"/>
      <c r="G1491" s="207"/>
      <c r="CP1491"/>
    </row>
    <row r="1492" spans="1:94" hidden="1">
      <c r="A1492"/>
      <c r="G1492" s="207"/>
      <c r="CP1492"/>
    </row>
    <row r="1493" spans="1:94" hidden="1">
      <c r="A1493"/>
      <c r="G1493" s="207"/>
      <c r="CP1493"/>
    </row>
    <row r="1494" spans="1:94" hidden="1">
      <c r="A1494"/>
      <c r="G1494" s="207"/>
      <c r="CP1494"/>
    </row>
    <row r="1495" spans="1:94" hidden="1">
      <c r="A1495"/>
      <c r="G1495" s="207"/>
      <c r="CP1495"/>
    </row>
    <row r="1496" spans="1:94" hidden="1">
      <c r="A1496"/>
      <c r="G1496" s="207"/>
      <c r="CP1496"/>
    </row>
    <row r="1497" spans="1:94" hidden="1">
      <c r="A1497"/>
      <c r="G1497" s="207"/>
      <c r="CP1497"/>
    </row>
    <row r="1498" spans="1:94" hidden="1">
      <c r="A1498"/>
      <c r="G1498" s="207"/>
      <c r="CP1498"/>
    </row>
    <row r="1499" spans="1:94" hidden="1">
      <c r="A1499"/>
      <c r="G1499" s="207"/>
      <c r="CP1499"/>
    </row>
    <row r="1500" spans="1:94" hidden="1">
      <c r="A1500"/>
      <c r="G1500" s="207"/>
      <c r="CP1500"/>
    </row>
    <row r="1501" spans="1:94" hidden="1">
      <c r="A1501"/>
      <c r="G1501" s="207"/>
      <c r="CP1501"/>
    </row>
    <row r="1502" spans="1:94" hidden="1">
      <c r="A1502"/>
      <c r="G1502" s="207"/>
      <c r="CP1502"/>
    </row>
    <row r="1503" spans="1:94" hidden="1">
      <c r="A1503"/>
      <c r="G1503" s="207"/>
      <c r="CP1503"/>
    </row>
    <row r="1504" spans="1:94" hidden="1">
      <c r="A1504"/>
      <c r="G1504" s="207"/>
      <c r="CP1504"/>
    </row>
    <row r="1505" spans="1:94" hidden="1">
      <c r="A1505"/>
      <c r="G1505" s="207"/>
      <c r="CP1505"/>
    </row>
    <row r="1506" spans="1:94" hidden="1">
      <c r="A1506"/>
      <c r="G1506" s="207"/>
      <c r="CP1506"/>
    </row>
    <row r="1507" spans="1:94" hidden="1">
      <c r="A1507"/>
      <c r="G1507" s="207"/>
      <c r="CP1507"/>
    </row>
    <row r="1508" spans="1:94" hidden="1">
      <c r="A1508"/>
      <c r="G1508" s="207"/>
      <c r="CP1508"/>
    </row>
    <row r="1509" spans="1:94" hidden="1">
      <c r="A1509"/>
      <c r="G1509" s="207"/>
      <c r="CP1509"/>
    </row>
    <row r="1510" spans="1:94" hidden="1">
      <c r="A1510"/>
      <c r="G1510" s="207"/>
      <c r="CP1510"/>
    </row>
    <row r="1511" spans="1:94" hidden="1">
      <c r="A1511"/>
      <c r="G1511" s="207"/>
      <c r="CP1511"/>
    </row>
    <row r="1512" spans="1:94" hidden="1">
      <c r="A1512"/>
      <c r="G1512" s="207"/>
      <c r="CP1512"/>
    </row>
    <row r="1513" spans="1:94" hidden="1">
      <c r="A1513"/>
      <c r="G1513" s="207"/>
      <c r="CP1513"/>
    </row>
    <row r="1514" spans="1:94" hidden="1">
      <c r="A1514"/>
      <c r="G1514" s="207"/>
      <c r="CP1514"/>
    </row>
    <row r="1515" spans="1:94" hidden="1">
      <c r="A1515"/>
      <c r="G1515" s="207"/>
      <c r="CP1515"/>
    </row>
    <row r="1516" spans="1:94" hidden="1">
      <c r="A1516"/>
      <c r="G1516" s="207"/>
      <c r="CP1516"/>
    </row>
    <row r="1517" spans="1:94" hidden="1">
      <c r="A1517"/>
      <c r="G1517" s="207"/>
      <c r="CP1517"/>
    </row>
    <row r="1518" spans="1:94" hidden="1">
      <c r="A1518"/>
      <c r="G1518" s="207"/>
      <c r="CP1518"/>
    </row>
    <row r="1519" spans="1:94" hidden="1">
      <c r="A1519"/>
      <c r="G1519" s="207"/>
      <c r="CP1519"/>
    </row>
    <row r="1520" spans="1:94" hidden="1">
      <c r="A1520"/>
      <c r="G1520" s="207"/>
      <c r="CP1520"/>
    </row>
    <row r="1521" spans="1:94" hidden="1">
      <c r="A1521"/>
      <c r="G1521" s="207"/>
      <c r="CP1521"/>
    </row>
    <row r="1522" spans="1:94" hidden="1">
      <c r="A1522"/>
      <c r="G1522" s="207"/>
      <c r="CP1522"/>
    </row>
    <row r="1523" spans="1:94" hidden="1">
      <c r="A1523"/>
      <c r="G1523" s="207"/>
      <c r="CP1523"/>
    </row>
    <row r="1524" spans="1:94" hidden="1">
      <c r="A1524"/>
      <c r="G1524" s="207"/>
      <c r="CP1524"/>
    </row>
    <row r="1525" spans="1:94" hidden="1">
      <c r="A1525"/>
      <c r="G1525" s="207"/>
      <c r="CP1525"/>
    </row>
    <row r="1526" spans="1:94" hidden="1">
      <c r="A1526"/>
      <c r="G1526" s="207"/>
      <c r="CP1526"/>
    </row>
    <row r="1527" spans="1:94" hidden="1">
      <c r="A1527"/>
      <c r="G1527" s="207"/>
      <c r="CP1527"/>
    </row>
    <row r="1528" spans="1:94" hidden="1">
      <c r="A1528"/>
      <c r="G1528" s="207"/>
      <c r="CP1528"/>
    </row>
    <row r="1529" spans="1:94" hidden="1">
      <c r="A1529"/>
      <c r="G1529" s="207"/>
      <c r="CP1529"/>
    </row>
    <row r="1530" spans="1:94" hidden="1">
      <c r="A1530"/>
      <c r="G1530" s="207"/>
      <c r="CP1530"/>
    </row>
    <row r="1531" spans="1:94" hidden="1">
      <c r="A1531"/>
      <c r="G1531" s="207"/>
      <c r="CP1531"/>
    </row>
    <row r="1532" spans="1:94" hidden="1">
      <c r="A1532"/>
      <c r="G1532" s="207"/>
      <c r="CP1532"/>
    </row>
    <row r="1533" spans="1:94" hidden="1">
      <c r="A1533"/>
      <c r="G1533" s="207"/>
      <c r="CP1533"/>
    </row>
    <row r="1534" spans="1:94" hidden="1">
      <c r="A1534"/>
      <c r="G1534" s="207"/>
      <c r="CP1534"/>
    </row>
    <row r="1535" spans="1:94" hidden="1">
      <c r="A1535"/>
      <c r="G1535" s="207"/>
      <c r="CP1535"/>
    </row>
    <row r="1536" spans="1:94" hidden="1">
      <c r="A1536"/>
      <c r="G1536" s="207"/>
      <c r="CP1536"/>
    </row>
    <row r="1537" spans="1:94" hidden="1">
      <c r="A1537"/>
      <c r="G1537" s="207"/>
      <c r="CP1537"/>
    </row>
    <row r="1538" spans="1:94" hidden="1">
      <c r="A1538"/>
      <c r="G1538" s="207"/>
      <c r="CP1538"/>
    </row>
    <row r="1539" spans="1:94" hidden="1">
      <c r="A1539"/>
      <c r="G1539" s="207"/>
      <c r="CP1539"/>
    </row>
    <row r="1540" spans="1:94" hidden="1">
      <c r="A1540"/>
      <c r="G1540" s="207"/>
      <c r="CP1540"/>
    </row>
    <row r="1541" spans="1:94" hidden="1">
      <c r="A1541"/>
      <c r="G1541" s="207"/>
      <c r="CP1541"/>
    </row>
    <row r="1542" spans="1:94" hidden="1">
      <c r="A1542"/>
      <c r="G1542" s="207"/>
      <c r="CP1542"/>
    </row>
    <row r="1543" spans="1:94" hidden="1">
      <c r="A1543"/>
      <c r="G1543" s="207"/>
      <c r="CP1543"/>
    </row>
    <row r="1544" spans="1:94" hidden="1">
      <c r="A1544"/>
      <c r="G1544" s="207"/>
      <c r="CP1544"/>
    </row>
    <row r="1545" spans="1:94" hidden="1">
      <c r="A1545"/>
      <c r="G1545" s="207"/>
      <c r="CP1545"/>
    </row>
    <row r="1546" spans="1:94" hidden="1">
      <c r="A1546"/>
      <c r="G1546" s="207"/>
      <c r="CP1546"/>
    </row>
    <row r="1547" spans="1:94" hidden="1">
      <c r="A1547"/>
      <c r="G1547" s="207"/>
      <c r="CP1547"/>
    </row>
    <row r="1548" spans="1:94" hidden="1">
      <c r="A1548"/>
      <c r="G1548" s="207"/>
      <c r="CP1548"/>
    </row>
    <row r="1549" spans="1:94" hidden="1">
      <c r="A1549"/>
      <c r="G1549" s="207"/>
      <c r="CP1549"/>
    </row>
    <row r="1550" spans="1:94" hidden="1">
      <c r="A1550"/>
      <c r="G1550" s="207"/>
      <c r="CP1550"/>
    </row>
    <row r="1551" spans="1:94" hidden="1">
      <c r="A1551"/>
      <c r="G1551" s="207"/>
      <c r="CP1551"/>
    </row>
    <row r="1552" spans="1:94" hidden="1">
      <c r="A1552"/>
      <c r="G1552" s="207"/>
      <c r="CP1552"/>
    </row>
    <row r="1553" spans="1:94" hidden="1">
      <c r="A1553"/>
      <c r="G1553" s="207"/>
      <c r="CP1553"/>
    </row>
    <row r="1554" spans="1:94" hidden="1">
      <c r="A1554"/>
      <c r="G1554" s="207"/>
      <c r="CP1554"/>
    </row>
    <row r="1555" spans="1:94" hidden="1">
      <c r="A1555"/>
      <c r="G1555" s="207"/>
      <c r="CP1555"/>
    </row>
    <row r="1556" spans="1:94" hidden="1">
      <c r="A1556"/>
      <c r="G1556" s="207"/>
      <c r="CP1556"/>
    </row>
    <row r="1557" spans="1:94" hidden="1">
      <c r="A1557"/>
      <c r="G1557" s="207"/>
      <c r="CP1557"/>
    </row>
    <row r="1558" spans="1:94" hidden="1">
      <c r="A1558"/>
      <c r="G1558" s="207"/>
      <c r="CP1558"/>
    </row>
    <row r="1559" spans="1:94" hidden="1">
      <c r="A1559"/>
      <c r="G1559" s="207"/>
      <c r="CP1559"/>
    </row>
    <row r="1560" spans="1:94" hidden="1">
      <c r="A1560"/>
      <c r="G1560" s="207"/>
      <c r="CP1560"/>
    </row>
    <row r="1561" spans="1:94" hidden="1">
      <c r="A1561"/>
      <c r="G1561" s="207"/>
      <c r="CP1561"/>
    </row>
    <row r="1562" spans="1:94" hidden="1">
      <c r="A1562"/>
      <c r="G1562" s="207"/>
      <c r="CP1562"/>
    </row>
    <row r="1563" spans="1:94" hidden="1">
      <c r="A1563"/>
      <c r="G1563" s="207"/>
      <c r="CP1563"/>
    </row>
    <row r="1564" spans="1:94" hidden="1">
      <c r="A1564"/>
      <c r="G1564" s="207"/>
      <c r="CP1564"/>
    </row>
    <row r="1565" spans="1:94" hidden="1">
      <c r="A1565"/>
      <c r="G1565" s="207"/>
      <c r="CP1565"/>
    </row>
    <row r="1566" spans="1:94" hidden="1">
      <c r="A1566"/>
      <c r="G1566" s="207"/>
      <c r="CP1566"/>
    </row>
    <row r="1567" spans="1:94" hidden="1">
      <c r="A1567"/>
      <c r="G1567" s="207"/>
      <c r="CP1567"/>
    </row>
    <row r="1568" spans="1:94" hidden="1">
      <c r="A1568"/>
      <c r="G1568" s="207"/>
      <c r="CP1568"/>
    </row>
    <row r="1569" spans="1:94" hidden="1">
      <c r="A1569"/>
      <c r="G1569" s="207"/>
      <c r="CP1569"/>
    </row>
    <row r="1570" spans="1:94" hidden="1">
      <c r="A1570"/>
      <c r="G1570" s="207"/>
      <c r="CP1570"/>
    </row>
    <row r="1571" spans="1:94" hidden="1">
      <c r="A1571"/>
      <c r="G1571" s="207"/>
      <c r="CP1571"/>
    </row>
    <row r="1572" spans="1:94" hidden="1">
      <c r="A1572"/>
      <c r="G1572" s="207"/>
      <c r="CP1572"/>
    </row>
    <row r="1573" spans="1:94" hidden="1">
      <c r="A1573"/>
      <c r="G1573" s="207"/>
      <c r="CP1573"/>
    </row>
    <row r="1574" spans="1:94" hidden="1">
      <c r="A1574"/>
      <c r="G1574" s="207"/>
      <c r="CP1574"/>
    </row>
    <row r="1575" spans="1:94" hidden="1">
      <c r="A1575"/>
      <c r="G1575" s="207"/>
      <c r="CP1575"/>
    </row>
    <row r="1576" spans="1:94" hidden="1">
      <c r="A1576"/>
      <c r="G1576" s="207"/>
      <c r="CP1576"/>
    </row>
    <row r="1577" spans="1:94" hidden="1">
      <c r="A1577"/>
      <c r="G1577" s="207"/>
      <c r="CP1577"/>
    </row>
    <row r="1578" spans="1:94" hidden="1">
      <c r="A1578"/>
      <c r="G1578" s="207"/>
      <c r="CP1578"/>
    </row>
    <row r="1579" spans="1:94" hidden="1">
      <c r="A1579"/>
      <c r="G1579" s="207"/>
      <c r="CP1579"/>
    </row>
    <row r="1580" spans="1:94" hidden="1">
      <c r="A1580"/>
      <c r="G1580" s="207"/>
      <c r="CP1580"/>
    </row>
    <row r="1581" spans="1:94" hidden="1">
      <c r="A1581"/>
      <c r="G1581" s="207"/>
      <c r="CP1581"/>
    </row>
    <row r="1582" spans="1:94" hidden="1">
      <c r="A1582"/>
      <c r="G1582" s="207"/>
      <c r="CP1582"/>
    </row>
    <row r="1583" spans="1:94" hidden="1">
      <c r="A1583"/>
      <c r="G1583" s="207"/>
      <c r="CP1583"/>
    </row>
    <row r="1584" spans="1:94" hidden="1">
      <c r="A1584"/>
      <c r="G1584" s="207"/>
      <c r="CP1584"/>
    </row>
    <row r="1585" spans="1:94" hidden="1">
      <c r="A1585"/>
      <c r="G1585" s="207"/>
      <c r="CP1585"/>
    </row>
    <row r="1586" spans="1:94" hidden="1">
      <c r="A1586"/>
      <c r="G1586" s="207"/>
      <c r="CP1586"/>
    </row>
    <row r="1587" spans="1:94" hidden="1">
      <c r="A1587"/>
      <c r="G1587" s="207"/>
      <c r="CP1587"/>
    </row>
    <row r="1588" spans="1:94" hidden="1">
      <c r="A1588"/>
      <c r="G1588" s="207"/>
      <c r="CP1588"/>
    </row>
    <row r="1589" spans="1:94" hidden="1">
      <c r="A1589"/>
      <c r="G1589" s="207"/>
      <c r="CP1589"/>
    </row>
    <row r="1590" spans="1:94" hidden="1">
      <c r="A1590"/>
      <c r="G1590" s="207"/>
      <c r="CP1590"/>
    </row>
    <row r="1591" spans="1:94" hidden="1">
      <c r="A1591"/>
      <c r="G1591" s="207"/>
      <c r="CP1591"/>
    </row>
    <row r="1592" spans="1:94" hidden="1">
      <c r="A1592"/>
      <c r="G1592" s="207"/>
      <c r="CP1592"/>
    </row>
    <row r="1593" spans="1:94" hidden="1">
      <c r="A1593"/>
      <c r="G1593" s="207"/>
      <c r="CP1593"/>
    </row>
    <row r="1594" spans="1:94" hidden="1">
      <c r="A1594"/>
      <c r="G1594" s="207"/>
      <c r="CP1594"/>
    </row>
    <row r="1595" spans="1:94" hidden="1">
      <c r="A1595"/>
      <c r="G1595" s="207"/>
      <c r="CP1595"/>
    </row>
    <row r="1596" spans="1:94" hidden="1">
      <c r="A1596"/>
      <c r="G1596" s="207"/>
      <c r="CP1596"/>
    </row>
    <row r="1597" spans="1:94" hidden="1">
      <c r="A1597"/>
      <c r="G1597" s="207"/>
      <c r="CP1597"/>
    </row>
    <row r="1598" spans="1:94" hidden="1">
      <c r="A1598"/>
      <c r="G1598" s="207"/>
      <c r="CP1598"/>
    </row>
    <row r="1599" spans="1:94" hidden="1">
      <c r="A1599"/>
      <c r="G1599" s="207"/>
      <c r="CP1599"/>
    </row>
    <row r="1600" spans="1:94" hidden="1">
      <c r="A1600"/>
      <c r="G1600" s="207"/>
      <c r="CP1600"/>
    </row>
    <row r="1601" spans="1:94" hidden="1">
      <c r="A1601"/>
      <c r="G1601" s="207"/>
      <c r="CP1601"/>
    </row>
    <row r="1602" spans="1:94" hidden="1">
      <c r="A1602"/>
      <c r="G1602" s="207"/>
      <c r="CP1602"/>
    </row>
    <row r="1603" spans="1:94" hidden="1">
      <c r="A1603"/>
      <c r="G1603" s="207"/>
      <c r="CP1603"/>
    </row>
    <row r="1604" spans="1:94" hidden="1">
      <c r="A1604"/>
      <c r="G1604" s="207"/>
      <c r="CP1604"/>
    </row>
    <row r="1605" spans="1:94" hidden="1">
      <c r="A1605"/>
      <c r="G1605" s="207"/>
      <c r="CP1605"/>
    </row>
    <row r="1606" spans="1:94" hidden="1">
      <c r="A1606"/>
      <c r="G1606" s="207"/>
      <c r="CP1606"/>
    </row>
    <row r="1607" spans="1:94" hidden="1">
      <c r="A1607"/>
      <c r="G1607" s="207"/>
      <c r="CP1607"/>
    </row>
    <row r="1608" spans="1:94" hidden="1">
      <c r="A1608"/>
      <c r="G1608" s="207"/>
      <c r="CP1608"/>
    </row>
    <row r="1609" spans="1:94" hidden="1">
      <c r="A1609"/>
      <c r="G1609" s="207"/>
      <c r="CP1609"/>
    </row>
    <row r="1610" spans="1:94" hidden="1">
      <c r="A1610"/>
      <c r="G1610" s="207"/>
      <c r="CP1610"/>
    </row>
    <row r="1611" spans="1:94" hidden="1">
      <c r="A1611"/>
      <c r="G1611" s="207"/>
      <c r="CP1611"/>
    </row>
    <row r="1612" spans="1:94" hidden="1">
      <c r="A1612"/>
      <c r="G1612" s="207"/>
      <c r="CP1612"/>
    </row>
    <row r="1613" spans="1:94" hidden="1">
      <c r="A1613"/>
      <c r="G1613" s="207"/>
      <c r="CP1613"/>
    </row>
    <row r="1614" spans="1:94" hidden="1">
      <c r="A1614"/>
      <c r="G1614" s="207"/>
      <c r="CP1614"/>
    </row>
    <row r="1615" spans="1:94" hidden="1">
      <c r="A1615"/>
      <c r="G1615" s="207"/>
      <c r="CP1615"/>
    </row>
    <row r="1616" spans="1:94" hidden="1">
      <c r="A1616"/>
      <c r="G1616" s="207"/>
      <c r="CP1616"/>
    </row>
    <row r="1617" spans="1:94" hidden="1">
      <c r="A1617"/>
      <c r="G1617" s="207"/>
      <c r="CP1617"/>
    </row>
    <row r="1618" spans="1:94" hidden="1">
      <c r="A1618"/>
      <c r="G1618" s="207"/>
      <c r="CP1618"/>
    </row>
    <row r="1619" spans="1:94" hidden="1">
      <c r="A1619"/>
      <c r="G1619" s="207"/>
      <c r="CP1619"/>
    </row>
    <row r="1620" spans="1:94" hidden="1">
      <c r="A1620"/>
      <c r="G1620" s="207"/>
      <c r="CP1620"/>
    </row>
    <row r="1621" spans="1:94" hidden="1">
      <c r="A1621"/>
      <c r="G1621" s="207"/>
      <c r="CP1621"/>
    </row>
    <row r="1622" spans="1:94" hidden="1">
      <c r="A1622"/>
      <c r="G1622" s="207"/>
      <c r="CP1622"/>
    </row>
    <row r="1623" spans="1:94" hidden="1">
      <c r="A1623"/>
      <c r="G1623" s="207"/>
      <c r="CP1623"/>
    </row>
    <row r="1624" spans="1:94" hidden="1">
      <c r="A1624"/>
      <c r="G1624" s="207"/>
      <c r="CP1624"/>
    </row>
    <row r="1625" spans="1:94" hidden="1">
      <c r="A1625"/>
      <c r="G1625" s="207"/>
      <c r="CP1625"/>
    </row>
    <row r="1626" spans="1:94" hidden="1">
      <c r="A1626"/>
      <c r="G1626" s="207"/>
      <c r="CP1626"/>
    </row>
    <row r="1627" spans="1:94" hidden="1">
      <c r="A1627"/>
      <c r="G1627" s="207"/>
      <c r="CP1627"/>
    </row>
    <row r="1628" spans="1:94" hidden="1">
      <c r="A1628"/>
      <c r="G1628" s="207"/>
      <c r="CP1628"/>
    </row>
    <row r="1629" spans="1:94" hidden="1">
      <c r="A1629"/>
      <c r="G1629" s="207"/>
      <c r="CP1629"/>
    </row>
    <row r="1630" spans="1:94" hidden="1">
      <c r="A1630"/>
      <c r="G1630" s="207"/>
      <c r="CP1630"/>
    </row>
    <row r="1631" spans="1:94" hidden="1">
      <c r="A1631"/>
      <c r="G1631" s="207"/>
      <c r="CP1631"/>
    </row>
    <row r="1632" spans="1:94" hidden="1">
      <c r="A1632"/>
      <c r="G1632" s="207"/>
      <c r="CP1632"/>
    </row>
    <row r="1633" spans="1:94" hidden="1">
      <c r="A1633"/>
      <c r="G1633" s="207"/>
      <c r="CP1633"/>
    </row>
    <row r="1634" spans="1:94" hidden="1">
      <c r="A1634"/>
      <c r="G1634" s="207"/>
      <c r="CP1634"/>
    </row>
    <row r="1635" spans="1:94" hidden="1">
      <c r="A1635"/>
      <c r="G1635" s="207"/>
      <c r="CP1635"/>
    </row>
    <row r="1636" spans="1:94" hidden="1">
      <c r="A1636"/>
      <c r="G1636" s="207"/>
      <c r="CP1636"/>
    </row>
    <row r="1637" spans="1:94" hidden="1">
      <c r="A1637"/>
      <c r="G1637" s="207"/>
      <c r="CP1637"/>
    </row>
    <row r="1638" spans="1:94" hidden="1">
      <c r="A1638"/>
      <c r="G1638" s="207"/>
      <c r="CP1638"/>
    </row>
    <row r="1639" spans="1:94" hidden="1">
      <c r="A1639"/>
      <c r="G1639" s="207"/>
      <c r="CP1639"/>
    </row>
    <row r="1640" spans="1:94" hidden="1">
      <c r="A1640"/>
      <c r="G1640" s="207"/>
      <c r="CP1640"/>
    </row>
    <row r="1641" spans="1:94" hidden="1">
      <c r="A1641"/>
      <c r="G1641" s="207"/>
      <c r="CP1641"/>
    </row>
    <row r="1642" spans="1:94" hidden="1">
      <c r="A1642"/>
      <c r="G1642" s="207"/>
      <c r="CP1642"/>
    </row>
    <row r="1643" spans="1:94" hidden="1">
      <c r="A1643"/>
      <c r="G1643" s="207"/>
      <c r="CP1643"/>
    </row>
    <row r="1644" spans="1:94" hidden="1">
      <c r="A1644"/>
      <c r="G1644" s="207"/>
      <c r="CP1644"/>
    </row>
    <row r="1645" spans="1:94" hidden="1">
      <c r="A1645"/>
      <c r="G1645" s="207"/>
      <c r="CP1645"/>
    </row>
    <row r="1646" spans="1:94" hidden="1">
      <c r="A1646"/>
      <c r="G1646" s="207"/>
      <c r="CP1646"/>
    </row>
    <row r="1647" spans="1:94" hidden="1">
      <c r="A1647"/>
      <c r="G1647" s="207"/>
      <c r="CP1647"/>
    </row>
    <row r="1648" spans="1:94" hidden="1">
      <c r="A1648"/>
      <c r="G1648" s="207"/>
      <c r="CP1648"/>
    </row>
    <row r="1649" spans="1:94" hidden="1">
      <c r="A1649"/>
      <c r="G1649" s="207"/>
      <c r="CP1649"/>
    </row>
    <row r="1650" spans="1:94" hidden="1">
      <c r="A1650"/>
      <c r="G1650" s="207"/>
      <c r="CP1650"/>
    </row>
    <row r="1651" spans="1:94" hidden="1">
      <c r="A1651"/>
      <c r="G1651" s="207"/>
      <c r="CP1651"/>
    </row>
    <row r="1652" spans="1:94" hidden="1">
      <c r="A1652"/>
      <c r="G1652" s="207"/>
      <c r="CP1652"/>
    </row>
    <row r="1653" spans="1:94" hidden="1">
      <c r="A1653"/>
      <c r="G1653" s="207"/>
      <c r="CP1653"/>
    </row>
    <row r="1654" spans="1:94" hidden="1">
      <c r="A1654"/>
      <c r="G1654" s="207"/>
      <c r="CP1654"/>
    </row>
    <row r="1655" spans="1:94" hidden="1">
      <c r="A1655"/>
      <c r="G1655" s="207"/>
      <c r="CP1655"/>
    </row>
    <row r="1656" spans="1:94" hidden="1">
      <c r="A1656"/>
      <c r="G1656" s="207"/>
      <c r="CP1656"/>
    </row>
    <row r="1657" spans="1:94" hidden="1">
      <c r="A1657"/>
      <c r="G1657" s="207"/>
      <c r="CP1657"/>
    </row>
    <row r="1658" spans="1:94" hidden="1">
      <c r="A1658"/>
      <c r="G1658" s="207"/>
      <c r="CP1658"/>
    </row>
    <row r="1659" spans="1:94" hidden="1">
      <c r="A1659"/>
      <c r="G1659" s="207"/>
      <c r="CP1659"/>
    </row>
    <row r="1660" spans="1:94" hidden="1">
      <c r="A1660"/>
      <c r="G1660" s="207"/>
      <c r="CP1660"/>
    </row>
    <row r="1661" spans="1:94" hidden="1">
      <c r="A1661"/>
      <c r="G1661" s="207"/>
      <c r="CP1661"/>
    </row>
    <row r="1662" spans="1:94" hidden="1">
      <c r="A1662"/>
      <c r="G1662" s="207"/>
      <c r="CP1662"/>
    </row>
    <row r="1663" spans="1:94" hidden="1">
      <c r="A1663"/>
      <c r="G1663" s="207"/>
      <c r="CP1663"/>
    </row>
    <row r="1664" spans="1:94" hidden="1">
      <c r="A1664"/>
      <c r="G1664" s="207"/>
      <c r="CP1664"/>
    </row>
    <row r="1665" spans="1:94" hidden="1">
      <c r="A1665"/>
      <c r="G1665" s="207"/>
      <c r="CP1665"/>
    </row>
    <row r="1666" spans="1:94" hidden="1">
      <c r="A1666"/>
      <c r="G1666" s="207"/>
      <c r="CP1666"/>
    </row>
    <row r="1667" spans="1:94" hidden="1">
      <c r="A1667"/>
      <c r="G1667" s="207"/>
      <c r="CP1667"/>
    </row>
    <row r="1668" spans="1:94" hidden="1">
      <c r="A1668"/>
      <c r="G1668" s="207"/>
      <c r="CP1668"/>
    </row>
    <row r="1669" spans="1:94" hidden="1">
      <c r="A1669"/>
      <c r="G1669" s="207"/>
      <c r="CP1669"/>
    </row>
    <row r="1670" spans="1:94" hidden="1">
      <c r="A1670"/>
      <c r="G1670" s="207"/>
      <c r="CP1670"/>
    </row>
    <row r="1671" spans="1:94" hidden="1">
      <c r="A1671"/>
      <c r="G1671" s="207"/>
      <c r="CP1671"/>
    </row>
    <row r="1672" spans="1:94" hidden="1">
      <c r="A1672"/>
      <c r="G1672" s="207"/>
      <c r="CP1672"/>
    </row>
    <row r="1673" spans="1:94" hidden="1">
      <c r="A1673"/>
      <c r="G1673" s="207"/>
      <c r="CP1673"/>
    </row>
    <row r="1674" spans="1:94" hidden="1">
      <c r="A1674"/>
      <c r="G1674" s="207"/>
      <c r="CP1674"/>
    </row>
    <row r="1675" spans="1:94" hidden="1">
      <c r="A1675"/>
      <c r="G1675" s="207"/>
      <c r="CP1675"/>
    </row>
    <row r="1676" spans="1:94" hidden="1">
      <c r="A1676"/>
      <c r="G1676" s="207"/>
      <c r="CP1676"/>
    </row>
    <row r="1677" spans="1:94" hidden="1">
      <c r="A1677"/>
      <c r="G1677" s="207"/>
      <c r="CP1677"/>
    </row>
    <row r="1678" spans="1:94" hidden="1">
      <c r="A1678"/>
      <c r="G1678" s="207"/>
      <c r="CP1678"/>
    </row>
    <row r="1679" spans="1:94" hidden="1">
      <c r="A1679"/>
      <c r="G1679" s="207"/>
      <c r="CP1679"/>
    </row>
    <row r="1680" spans="1:94" hidden="1">
      <c r="A1680"/>
      <c r="G1680" s="207"/>
      <c r="CP1680"/>
    </row>
    <row r="1681" spans="1:94" hidden="1">
      <c r="A1681"/>
      <c r="G1681" s="207"/>
      <c r="CP1681"/>
    </row>
    <row r="1682" spans="1:94" hidden="1">
      <c r="A1682"/>
      <c r="G1682" s="207"/>
      <c r="CP1682"/>
    </row>
    <row r="1683" spans="1:94" hidden="1">
      <c r="A1683"/>
      <c r="G1683" s="207"/>
      <c r="CP1683"/>
    </row>
    <row r="1684" spans="1:94" hidden="1">
      <c r="A1684"/>
      <c r="G1684" s="207"/>
      <c r="CP1684"/>
    </row>
    <row r="1685" spans="1:94" hidden="1">
      <c r="A1685"/>
      <c r="G1685" s="207"/>
      <c r="CP1685"/>
    </row>
    <row r="1686" spans="1:94" hidden="1">
      <c r="A1686"/>
      <c r="G1686" s="207"/>
      <c r="CP1686"/>
    </row>
    <row r="1687" spans="1:94" hidden="1">
      <c r="A1687"/>
      <c r="G1687" s="207"/>
      <c r="CP1687"/>
    </row>
    <row r="1688" spans="1:94" hidden="1">
      <c r="A1688"/>
      <c r="G1688" s="207"/>
      <c r="CP1688"/>
    </row>
    <row r="1689" spans="1:94" hidden="1">
      <c r="A1689"/>
      <c r="G1689" s="207"/>
      <c r="CP1689"/>
    </row>
    <row r="1690" spans="1:94" hidden="1">
      <c r="A1690"/>
      <c r="G1690" s="207"/>
      <c r="CP1690"/>
    </row>
    <row r="1691" spans="1:94" hidden="1">
      <c r="A1691"/>
      <c r="G1691" s="207"/>
      <c r="CP1691"/>
    </row>
    <row r="1692" spans="1:94" hidden="1">
      <c r="A1692"/>
      <c r="G1692" s="207"/>
      <c r="CP1692"/>
    </row>
    <row r="1693" spans="1:94" hidden="1">
      <c r="A1693"/>
      <c r="G1693" s="207"/>
      <c r="CP1693"/>
    </row>
    <row r="1694" spans="1:94" hidden="1">
      <c r="A1694"/>
      <c r="G1694" s="207"/>
      <c r="CP1694"/>
    </row>
    <row r="1695" spans="1:94" hidden="1">
      <c r="A1695"/>
      <c r="G1695" s="207"/>
      <c r="CP1695"/>
    </row>
    <row r="1696" spans="1:94" hidden="1">
      <c r="A1696"/>
      <c r="G1696" s="207"/>
      <c r="CP1696"/>
    </row>
    <row r="1697" spans="1:94" hidden="1">
      <c r="A1697"/>
      <c r="G1697" s="207"/>
      <c r="CP1697"/>
    </row>
    <row r="1698" spans="1:94" hidden="1">
      <c r="A1698"/>
      <c r="G1698" s="207"/>
      <c r="CP1698"/>
    </row>
    <row r="1699" spans="1:94" hidden="1">
      <c r="A1699"/>
      <c r="G1699" s="207"/>
      <c r="CP1699"/>
    </row>
    <row r="1700" spans="1:94" hidden="1">
      <c r="A1700"/>
      <c r="G1700" s="207"/>
      <c r="CP1700"/>
    </row>
    <row r="1701" spans="1:94" hidden="1">
      <c r="A1701"/>
      <c r="G1701" s="207"/>
      <c r="CP1701"/>
    </row>
    <row r="1702" spans="1:94" hidden="1">
      <c r="A1702"/>
      <c r="G1702" s="207"/>
      <c r="CP1702"/>
    </row>
    <row r="1703" spans="1:94" hidden="1">
      <c r="A1703"/>
      <c r="G1703" s="207"/>
      <c r="CP1703"/>
    </row>
    <row r="1704" spans="1:94" hidden="1">
      <c r="A1704"/>
      <c r="G1704" s="207"/>
      <c r="CP1704"/>
    </row>
    <row r="1705" spans="1:94" hidden="1">
      <c r="A1705"/>
      <c r="G1705" s="207"/>
      <c r="CP1705"/>
    </row>
    <row r="1706" spans="1:94" hidden="1">
      <c r="A1706"/>
      <c r="G1706" s="207"/>
      <c r="CP1706"/>
    </row>
    <row r="1707" spans="1:94" hidden="1">
      <c r="A1707"/>
      <c r="G1707" s="207"/>
      <c r="CP1707"/>
    </row>
    <row r="1708" spans="1:94" hidden="1">
      <c r="A1708"/>
      <c r="G1708" s="207"/>
      <c r="CP1708"/>
    </row>
    <row r="1709" spans="1:94" hidden="1">
      <c r="A1709"/>
      <c r="G1709" s="207"/>
      <c r="CP1709"/>
    </row>
    <row r="1710" spans="1:94" hidden="1">
      <c r="A1710"/>
      <c r="G1710" s="207"/>
      <c r="CP1710"/>
    </row>
    <row r="1711" spans="1:94" hidden="1">
      <c r="A1711"/>
      <c r="G1711" s="207"/>
      <c r="CP1711"/>
    </row>
    <row r="1712" spans="1:94" hidden="1">
      <c r="A1712"/>
      <c r="G1712" s="207"/>
      <c r="CP1712"/>
    </row>
    <row r="1713" spans="1:94" hidden="1">
      <c r="A1713"/>
      <c r="G1713" s="207"/>
      <c r="CP1713"/>
    </row>
    <row r="1714" spans="1:94" hidden="1">
      <c r="A1714"/>
      <c r="G1714" s="207"/>
      <c r="CP1714"/>
    </row>
    <row r="1715" spans="1:94" hidden="1">
      <c r="A1715"/>
      <c r="G1715" s="207"/>
      <c r="CP1715"/>
    </row>
    <row r="1716" spans="1:94" hidden="1">
      <c r="A1716"/>
      <c r="G1716" s="207"/>
      <c r="CP1716"/>
    </row>
    <row r="1717" spans="1:94" hidden="1">
      <c r="A1717"/>
      <c r="G1717" s="207"/>
      <c r="CP1717"/>
    </row>
    <row r="1718" spans="1:94" hidden="1">
      <c r="A1718"/>
      <c r="G1718" s="207"/>
      <c r="CP1718"/>
    </row>
    <row r="1719" spans="1:94" hidden="1">
      <c r="A1719"/>
      <c r="G1719" s="207"/>
      <c r="CP1719"/>
    </row>
    <row r="1720" spans="1:94" hidden="1">
      <c r="A1720"/>
      <c r="G1720" s="207"/>
      <c r="CP1720"/>
    </row>
    <row r="1721" spans="1:94" hidden="1">
      <c r="A1721"/>
      <c r="G1721" s="207"/>
      <c r="CP1721"/>
    </row>
    <row r="1722" spans="1:94" hidden="1">
      <c r="A1722"/>
      <c r="G1722" s="207"/>
      <c r="CP1722"/>
    </row>
    <row r="1723" spans="1:94" hidden="1">
      <c r="A1723"/>
      <c r="G1723" s="207"/>
      <c r="CP1723"/>
    </row>
    <row r="1724" spans="1:94" hidden="1">
      <c r="A1724"/>
      <c r="G1724" s="207"/>
      <c r="CP1724"/>
    </row>
    <row r="1725" spans="1:94" hidden="1">
      <c r="A1725"/>
      <c r="G1725" s="207"/>
      <c r="CP1725"/>
    </row>
    <row r="1726" spans="1:94" hidden="1">
      <c r="A1726"/>
      <c r="G1726" s="207"/>
      <c r="CP1726"/>
    </row>
    <row r="1727" spans="1:94" hidden="1">
      <c r="A1727"/>
      <c r="G1727" s="207"/>
      <c r="CP1727"/>
    </row>
    <row r="1728" spans="1:94" hidden="1">
      <c r="A1728"/>
      <c r="G1728" s="207"/>
      <c r="CP1728"/>
    </row>
    <row r="1729" spans="1:94" hidden="1">
      <c r="A1729"/>
      <c r="G1729" s="207"/>
      <c r="CP1729"/>
    </row>
    <row r="1730" spans="1:94" hidden="1">
      <c r="A1730"/>
      <c r="G1730" s="207"/>
      <c r="CP1730"/>
    </row>
    <row r="1731" spans="1:94" hidden="1">
      <c r="A1731"/>
      <c r="G1731" s="207"/>
      <c r="CP1731"/>
    </row>
    <row r="1732" spans="1:94" hidden="1">
      <c r="A1732"/>
      <c r="G1732" s="207"/>
      <c r="CP1732"/>
    </row>
    <row r="1733" spans="1:94" hidden="1">
      <c r="A1733"/>
      <c r="G1733" s="207"/>
      <c r="CP1733"/>
    </row>
    <row r="1734" spans="1:94" hidden="1">
      <c r="A1734"/>
      <c r="G1734" s="207"/>
      <c r="CP1734"/>
    </row>
    <row r="1735" spans="1:94" hidden="1">
      <c r="A1735"/>
      <c r="G1735" s="207"/>
      <c r="CP1735"/>
    </row>
    <row r="1736" spans="1:94" hidden="1">
      <c r="A1736"/>
      <c r="G1736" s="207"/>
      <c r="CP1736"/>
    </row>
    <row r="1737" spans="1:94" hidden="1">
      <c r="A1737"/>
      <c r="G1737" s="207"/>
      <c r="CP1737"/>
    </row>
    <row r="1738" spans="1:94" hidden="1">
      <c r="A1738"/>
      <c r="G1738" s="207"/>
      <c r="CP1738"/>
    </row>
    <row r="1739" spans="1:94" hidden="1">
      <c r="A1739"/>
      <c r="G1739" s="207"/>
      <c r="CP1739"/>
    </row>
    <row r="1740" spans="1:94" hidden="1">
      <c r="A1740"/>
      <c r="G1740" s="207"/>
      <c r="CP1740"/>
    </row>
    <row r="1741" spans="1:94" hidden="1">
      <c r="A1741"/>
      <c r="G1741" s="207"/>
      <c r="CP1741"/>
    </row>
    <row r="1742" spans="1:94" hidden="1">
      <c r="A1742"/>
      <c r="G1742" s="207"/>
      <c r="CP1742"/>
    </row>
    <row r="1743" spans="1:94" hidden="1">
      <c r="A1743"/>
      <c r="G1743" s="207"/>
      <c r="CP1743"/>
    </row>
    <row r="1744" spans="1:94" hidden="1">
      <c r="A1744"/>
      <c r="G1744" s="207"/>
      <c r="CP1744"/>
    </row>
    <row r="1745" spans="1:94" hidden="1">
      <c r="A1745"/>
      <c r="G1745" s="207"/>
      <c r="CP1745"/>
    </row>
    <row r="1746" spans="1:94" hidden="1">
      <c r="A1746"/>
      <c r="G1746" s="207"/>
      <c r="CP1746"/>
    </row>
    <row r="1747" spans="1:94" hidden="1">
      <c r="A1747"/>
      <c r="G1747" s="207"/>
      <c r="CP1747"/>
    </row>
    <row r="1748" spans="1:94" hidden="1">
      <c r="A1748"/>
      <c r="G1748" s="207"/>
      <c r="CP1748"/>
    </row>
    <row r="1749" spans="1:94" hidden="1">
      <c r="A1749"/>
      <c r="G1749" s="207"/>
      <c r="CP1749"/>
    </row>
    <row r="1750" spans="1:94" hidden="1">
      <c r="A1750"/>
      <c r="G1750" s="207"/>
      <c r="CP1750"/>
    </row>
    <row r="1751" spans="1:94" hidden="1">
      <c r="A1751"/>
      <c r="G1751" s="207"/>
      <c r="CP1751"/>
    </row>
    <row r="1752" spans="1:94" hidden="1">
      <c r="A1752"/>
      <c r="G1752" s="207"/>
      <c r="CP1752"/>
    </row>
    <row r="1753" spans="1:94" hidden="1">
      <c r="A1753"/>
      <c r="G1753" s="207"/>
      <c r="CP1753"/>
    </row>
    <row r="1754" spans="1:94" hidden="1">
      <c r="A1754"/>
      <c r="G1754" s="207"/>
      <c r="CP1754"/>
    </row>
    <row r="1755" spans="1:94" hidden="1">
      <c r="A1755"/>
      <c r="G1755" s="207"/>
      <c r="CP1755"/>
    </row>
    <row r="1756" spans="1:94" hidden="1">
      <c r="A1756"/>
      <c r="G1756" s="207"/>
      <c r="CP1756"/>
    </row>
    <row r="1757" spans="1:94" hidden="1">
      <c r="A1757"/>
      <c r="G1757" s="207"/>
      <c r="CP1757"/>
    </row>
    <row r="1758" spans="1:94" hidden="1">
      <c r="A1758"/>
      <c r="G1758" s="207"/>
      <c r="CP1758"/>
    </row>
    <row r="1759" spans="1:94" hidden="1">
      <c r="A1759"/>
      <c r="G1759" s="207"/>
      <c r="CP1759"/>
    </row>
    <row r="1760" spans="1:94" hidden="1">
      <c r="A1760"/>
      <c r="G1760" s="207"/>
      <c r="CP1760"/>
    </row>
    <row r="1761" spans="1:94" hidden="1">
      <c r="A1761"/>
      <c r="G1761" s="207"/>
      <c r="CP1761"/>
    </row>
    <row r="1762" spans="1:94" hidden="1">
      <c r="A1762"/>
      <c r="G1762" s="207"/>
      <c r="CP1762"/>
    </row>
    <row r="1763" spans="1:94" hidden="1">
      <c r="A1763"/>
      <c r="G1763" s="207"/>
      <c r="CP1763"/>
    </row>
    <row r="1764" spans="1:94" hidden="1">
      <c r="A1764"/>
      <c r="G1764" s="207"/>
      <c r="CP1764"/>
    </row>
    <row r="1765" spans="1:94" hidden="1">
      <c r="A1765"/>
      <c r="G1765" s="207"/>
      <c r="CP1765"/>
    </row>
    <row r="1766" spans="1:94" hidden="1">
      <c r="A1766"/>
      <c r="G1766" s="207"/>
      <c r="CP1766"/>
    </row>
    <row r="1767" spans="1:94" hidden="1">
      <c r="A1767"/>
      <c r="G1767" s="207"/>
      <c r="CP1767"/>
    </row>
    <row r="1768" spans="1:94" hidden="1">
      <c r="A1768"/>
      <c r="G1768" s="207"/>
      <c r="CP1768"/>
    </row>
    <row r="1769" spans="1:94" hidden="1">
      <c r="A1769"/>
      <c r="G1769" s="207"/>
      <c r="CP1769"/>
    </row>
    <row r="1770" spans="1:94" hidden="1">
      <c r="A1770"/>
      <c r="G1770" s="207"/>
      <c r="CP1770"/>
    </row>
    <row r="1771" spans="1:94" hidden="1">
      <c r="A1771"/>
      <c r="G1771" s="207"/>
      <c r="CP1771"/>
    </row>
    <row r="1772" spans="1:94" hidden="1">
      <c r="A1772"/>
      <c r="G1772" s="207"/>
      <c r="CP1772"/>
    </row>
    <row r="1773" spans="1:94" hidden="1">
      <c r="A1773"/>
      <c r="G1773" s="207"/>
      <c r="CP1773"/>
    </row>
    <row r="1774" spans="1:94" hidden="1">
      <c r="A1774"/>
      <c r="G1774" s="207"/>
      <c r="CP1774"/>
    </row>
    <row r="1775" spans="1:94" hidden="1">
      <c r="A1775"/>
      <c r="G1775" s="207"/>
      <c r="CP1775"/>
    </row>
    <row r="1776" spans="1:94" hidden="1">
      <c r="A1776"/>
      <c r="G1776" s="207"/>
      <c r="CP1776"/>
    </row>
    <row r="1777" spans="1:94" hidden="1">
      <c r="A1777"/>
      <c r="G1777" s="207"/>
      <c r="CP1777"/>
    </row>
    <row r="1778" spans="1:94" hidden="1">
      <c r="A1778"/>
      <c r="G1778" s="207"/>
      <c r="CP1778"/>
    </row>
    <row r="1779" spans="1:94" hidden="1">
      <c r="A1779"/>
      <c r="G1779" s="207"/>
      <c r="CP1779"/>
    </row>
    <row r="1780" spans="1:94" hidden="1">
      <c r="A1780"/>
      <c r="G1780" s="207"/>
      <c r="CP1780"/>
    </row>
    <row r="1781" spans="1:94" hidden="1">
      <c r="A1781"/>
      <c r="G1781" s="207"/>
      <c r="CP1781"/>
    </row>
    <row r="1782" spans="1:94" hidden="1">
      <c r="A1782"/>
      <c r="G1782" s="207"/>
      <c r="CP1782"/>
    </row>
    <row r="1783" spans="1:94" hidden="1">
      <c r="A1783"/>
      <c r="G1783" s="207"/>
      <c r="CP1783"/>
    </row>
    <row r="1784" spans="1:94" hidden="1">
      <c r="A1784"/>
      <c r="G1784" s="207"/>
      <c r="CP1784"/>
    </row>
    <row r="1785" spans="1:94" hidden="1">
      <c r="A1785"/>
      <c r="G1785" s="207"/>
      <c r="CP1785"/>
    </row>
    <row r="1786" spans="1:94" hidden="1">
      <c r="A1786"/>
      <c r="G1786" s="207"/>
      <c r="CP1786"/>
    </row>
    <row r="1787" spans="1:94" hidden="1">
      <c r="A1787"/>
      <c r="G1787" s="207"/>
      <c r="CP1787"/>
    </row>
    <row r="1788" spans="1:94" hidden="1">
      <c r="A1788"/>
      <c r="G1788" s="207"/>
      <c r="CP1788"/>
    </row>
    <row r="1789" spans="1:94" hidden="1">
      <c r="A1789"/>
      <c r="G1789" s="207"/>
      <c r="CP1789"/>
    </row>
    <row r="1790" spans="1:94" hidden="1">
      <c r="A1790"/>
      <c r="G1790" s="207"/>
      <c r="CP1790"/>
    </row>
    <row r="1791" spans="1:94" hidden="1">
      <c r="A1791"/>
      <c r="G1791" s="207"/>
      <c r="CP1791"/>
    </row>
    <row r="1792" spans="1:94" hidden="1">
      <c r="A1792"/>
      <c r="G1792" s="207"/>
      <c r="CP1792"/>
    </row>
    <row r="1793" spans="1:94" hidden="1">
      <c r="A1793"/>
      <c r="G1793" s="207"/>
      <c r="CP1793"/>
    </row>
    <row r="1794" spans="1:94" hidden="1">
      <c r="A1794"/>
      <c r="G1794" s="207"/>
      <c r="CP1794"/>
    </row>
    <row r="1795" spans="1:94" hidden="1">
      <c r="A1795"/>
      <c r="G1795" s="207"/>
      <c r="CP1795"/>
    </row>
    <row r="1796" spans="1:94" hidden="1">
      <c r="A1796"/>
      <c r="G1796" s="207"/>
      <c r="CP1796"/>
    </row>
    <row r="1797" spans="1:94" hidden="1">
      <c r="A1797"/>
      <c r="G1797" s="207"/>
      <c r="CP1797"/>
    </row>
    <row r="1798" spans="1:94" hidden="1">
      <c r="A1798"/>
      <c r="G1798" s="207"/>
      <c r="CP1798"/>
    </row>
    <row r="1799" spans="1:94" hidden="1">
      <c r="A1799"/>
      <c r="G1799" s="207"/>
      <c r="CP1799"/>
    </row>
    <row r="1800" spans="1:94" hidden="1">
      <c r="A1800"/>
      <c r="G1800" s="207"/>
      <c r="CP1800"/>
    </row>
    <row r="1801" spans="1:94" hidden="1">
      <c r="A1801"/>
      <c r="G1801" s="207"/>
      <c r="CP1801"/>
    </row>
    <row r="1802" spans="1:94" hidden="1">
      <c r="A1802"/>
      <c r="G1802" s="207"/>
      <c r="CP1802"/>
    </row>
    <row r="1803" spans="1:94" hidden="1">
      <c r="A1803"/>
      <c r="G1803" s="207"/>
      <c r="CP1803"/>
    </row>
    <row r="1804" spans="1:94" hidden="1">
      <c r="A1804"/>
      <c r="G1804" s="207"/>
      <c r="CP1804"/>
    </row>
    <row r="1805" spans="1:94" hidden="1">
      <c r="A1805"/>
      <c r="G1805" s="207"/>
      <c r="CP1805"/>
    </row>
    <row r="1806" spans="1:94" hidden="1">
      <c r="A1806"/>
      <c r="G1806" s="207"/>
      <c r="CP1806"/>
    </row>
    <row r="1807" spans="1:94" hidden="1">
      <c r="A1807"/>
      <c r="G1807" s="207"/>
      <c r="CP1807"/>
    </row>
    <row r="1808" spans="1:94" hidden="1">
      <c r="A1808"/>
      <c r="G1808" s="207"/>
      <c r="CP1808"/>
    </row>
    <row r="1809" spans="1:94" hidden="1">
      <c r="A1809"/>
      <c r="G1809" s="207"/>
      <c r="CP1809"/>
    </row>
    <row r="1810" spans="1:94" hidden="1">
      <c r="A1810"/>
      <c r="G1810" s="207"/>
      <c r="CP1810"/>
    </row>
    <row r="1811" spans="1:94" hidden="1">
      <c r="A1811"/>
      <c r="G1811" s="207"/>
      <c r="CP1811"/>
    </row>
    <row r="1812" spans="1:94" hidden="1">
      <c r="A1812"/>
      <c r="G1812" s="207"/>
      <c r="CP1812"/>
    </row>
    <row r="1813" spans="1:94" hidden="1">
      <c r="A1813"/>
      <c r="G1813" s="207"/>
      <c r="CP1813"/>
    </row>
    <row r="1814" spans="1:94" hidden="1">
      <c r="A1814"/>
      <c r="G1814" s="207"/>
      <c r="CP1814"/>
    </row>
    <row r="1815" spans="1:94" hidden="1">
      <c r="A1815"/>
      <c r="G1815" s="207"/>
      <c r="CP1815"/>
    </row>
    <row r="1816" spans="1:94" hidden="1">
      <c r="A1816"/>
      <c r="G1816" s="207"/>
      <c r="CP1816"/>
    </row>
    <row r="1817" spans="1:94" hidden="1">
      <c r="A1817"/>
      <c r="G1817" s="207"/>
      <c r="CP1817"/>
    </row>
    <row r="1818" spans="1:94" hidden="1">
      <c r="A1818"/>
      <c r="G1818" s="207"/>
      <c r="CP1818"/>
    </row>
    <row r="1819" spans="1:94" hidden="1">
      <c r="A1819"/>
      <c r="G1819" s="207"/>
      <c r="CP1819"/>
    </row>
    <row r="1820" spans="1:94" hidden="1">
      <c r="A1820"/>
      <c r="G1820" s="207"/>
      <c r="CP1820"/>
    </row>
    <row r="1821" spans="1:94" hidden="1">
      <c r="A1821"/>
      <c r="G1821" s="207"/>
      <c r="CP1821"/>
    </row>
    <row r="1822" spans="1:94" hidden="1">
      <c r="A1822"/>
      <c r="G1822" s="207"/>
      <c r="CP1822"/>
    </row>
    <row r="1823" spans="1:94" hidden="1">
      <c r="A1823"/>
      <c r="G1823" s="207"/>
      <c r="CP1823"/>
    </row>
    <row r="1824" spans="1:94" hidden="1">
      <c r="A1824"/>
      <c r="G1824" s="207"/>
      <c r="CP1824"/>
    </row>
    <row r="1825" spans="1:94" hidden="1">
      <c r="A1825"/>
      <c r="G1825" s="207"/>
      <c r="CP1825"/>
    </row>
    <row r="1826" spans="1:94" hidden="1">
      <c r="A1826"/>
      <c r="G1826" s="207"/>
      <c r="CP1826"/>
    </row>
    <row r="1827" spans="1:94" hidden="1">
      <c r="A1827"/>
      <c r="G1827" s="207"/>
      <c r="CP1827"/>
    </row>
    <row r="1828" spans="1:94" hidden="1">
      <c r="A1828"/>
      <c r="G1828" s="207"/>
      <c r="CP1828"/>
    </row>
    <row r="1829" spans="1:94" hidden="1">
      <c r="A1829"/>
      <c r="G1829" s="207"/>
      <c r="CP1829"/>
    </row>
    <row r="1830" spans="1:94" hidden="1">
      <c r="A1830"/>
      <c r="G1830" s="207"/>
      <c r="CP1830"/>
    </row>
    <row r="1831" spans="1:94" hidden="1">
      <c r="A1831"/>
      <c r="G1831" s="207"/>
      <c r="CP1831"/>
    </row>
    <row r="1832" spans="1:94" hidden="1">
      <c r="A1832"/>
      <c r="G1832" s="207"/>
      <c r="CP1832"/>
    </row>
    <row r="1833" spans="1:94" hidden="1">
      <c r="A1833"/>
      <c r="G1833" s="207"/>
      <c r="CP1833"/>
    </row>
    <row r="1834" spans="1:94" hidden="1">
      <c r="A1834"/>
      <c r="G1834" s="207"/>
      <c r="CP1834"/>
    </row>
    <row r="1835" spans="1:94" hidden="1">
      <c r="A1835"/>
      <c r="G1835" s="207"/>
      <c r="CP1835"/>
    </row>
    <row r="1836" spans="1:94" hidden="1">
      <c r="A1836"/>
      <c r="G1836" s="207"/>
      <c r="CP1836"/>
    </row>
    <row r="1837" spans="1:94" hidden="1">
      <c r="A1837"/>
      <c r="G1837" s="207"/>
      <c r="CP1837"/>
    </row>
    <row r="1838" spans="1:94" hidden="1">
      <c r="A1838"/>
      <c r="G1838" s="207"/>
      <c r="CP1838"/>
    </row>
    <row r="1839" spans="1:94" hidden="1">
      <c r="A1839"/>
      <c r="G1839" s="207"/>
      <c r="CP1839"/>
    </row>
    <row r="1840" spans="1:94" hidden="1">
      <c r="A1840"/>
      <c r="G1840" s="207"/>
      <c r="CP1840"/>
    </row>
    <row r="1841" spans="1:94" hidden="1">
      <c r="A1841"/>
      <c r="G1841" s="207"/>
      <c r="CP1841"/>
    </row>
    <row r="1842" spans="1:94" hidden="1">
      <c r="A1842"/>
      <c r="G1842" s="207"/>
      <c r="CP1842"/>
    </row>
    <row r="1843" spans="1:94" hidden="1">
      <c r="A1843"/>
      <c r="G1843" s="207"/>
      <c r="CP1843"/>
    </row>
    <row r="1844" spans="1:94" hidden="1">
      <c r="A1844"/>
      <c r="G1844" s="207"/>
      <c r="CP1844"/>
    </row>
    <row r="1845" spans="1:94" hidden="1">
      <c r="A1845"/>
      <c r="G1845" s="207"/>
      <c r="CP1845"/>
    </row>
    <row r="1846" spans="1:94" hidden="1">
      <c r="A1846"/>
      <c r="G1846" s="207"/>
      <c r="CP1846"/>
    </row>
    <row r="1847" spans="1:94" hidden="1">
      <c r="A1847"/>
      <c r="G1847" s="207"/>
      <c r="CP1847"/>
    </row>
    <row r="1848" spans="1:94" hidden="1">
      <c r="A1848"/>
      <c r="G1848" s="207"/>
      <c r="CP1848"/>
    </row>
    <row r="1849" spans="1:94" hidden="1">
      <c r="A1849"/>
      <c r="G1849" s="207"/>
      <c r="CP1849"/>
    </row>
    <row r="1850" spans="1:94" hidden="1">
      <c r="A1850"/>
      <c r="G1850" s="207"/>
      <c r="CP1850"/>
    </row>
    <row r="1851" spans="1:94" hidden="1">
      <c r="A1851"/>
      <c r="G1851" s="207"/>
      <c r="CP1851"/>
    </row>
    <row r="1852" spans="1:94" hidden="1">
      <c r="A1852"/>
      <c r="G1852" s="207"/>
      <c r="CP1852"/>
    </row>
    <row r="1853" spans="1:94" hidden="1">
      <c r="A1853"/>
      <c r="G1853" s="207"/>
      <c r="CP1853"/>
    </row>
    <row r="1854" spans="1:94" hidden="1">
      <c r="A1854"/>
      <c r="G1854" s="207"/>
      <c r="CP1854"/>
    </row>
    <row r="1855" spans="1:94" hidden="1">
      <c r="A1855"/>
      <c r="G1855" s="207"/>
      <c r="CP1855"/>
    </row>
    <row r="1856" spans="1:94" hidden="1">
      <c r="A1856"/>
      <c r="G1856" s="207"/>
      <c r="CP1856"/>
    </row>
    <row r="1857" spans="1:94" hidden="1">
      <c r="A1857"/>
      <c r="G1857" s="207"/>
      <c r="CP1857"/>
    </row>
    <row r="1858" spans="1:94" hidden="1">
      <c r="A1858"/>
      <c r="G1858" s="207"/>
      <c r="CP1858"/>
    </row>
    <row r="1859" spans="1:94" hidden="1">
      <c r="A1859"/>
      <c r="G1859" s="207"/>
      <c r="CP1859"/>
    </row>
    <row r="1860" spans="1:94" hidden="1">
      <c r="A1860"/>
      <c r="G1860" s="207"/>
      <c r="CP1860"/>
    </row>
    <row r="1861" spans="1:94" hidden="1">
      <c r="A1861"/>
      <c r="G1861" s="207"/>
      <c r="CP1861"/>
    </row>
    <row r="1862" spans="1:94" hidden="1">
      <c r="A1862"/>
      <c r="G1862" s="207"/>
      <c r="CP1862"/>
    </row>
    <row r="1863" spans="1:94" hidden="1">
      <c r="A1863"/>
      <c r="G1863" s="207"/>
      <c r="CP1863"/>
    </row>
    <row r="1864" spans="1:94" hidden="1">
      <c r="A1864"/>
      <c r="G1864" s="207"/>
      <c r="CP1864"/>
    </row>
    <row r="1865" spans="1:94" hidden="1">
      <c r="A1865"/>
      <c r="G1865" s="207"/>
      <c r="CP1865"/>
    </row>
    <row r="1866" spans="1:94" hidden="1">
      <c r="A1866"/>
      <c r="G1866" s="207"/>
      <c r="CP1866"/>
    </row>
    <row r="1867" spans="1:94" hidden="1">
      <c r="A1867"/>
      <c r="G1867" s="207"/>
      <c r="CP1867"/>
    </row>
    <row r="1868" spans="1:94" hidden="1">
      <c r="A1868"/>
      <c r="G1868" s="207"/>
      <c r="CP1868"/>
    </row>
    <row r="1869" spans="1:94" hidden="1">
      <c r="A1869"/>
      <c r="G1869" s="207"/>
      <c r="CP1869"/>
    </row>
    <row r="1870" spans="1:94" hidden="1">
      <c r="A1870"/>
      <c r="G1870" s="207"/>
      <c r="CP1870"/>
    </row>
    <row r="1871" spans="1:94" hidden="1">
      <c r="A1871"/>
      <c r="G1871" s="207"/>
      <c r="CP1871"/>
    </row>
    <row r="1872" spans="1:94" hidden="1">
      <c r="A1872"/>
      <c r="G1872" s="207"/>
      <c r="CP1872"/>
    </row>
    <row r="1873" spans="1:94" hidden="1">
      <c r="A1873"/>
      <c r="G1873" s="207"/>
      <c r="CP1873"/>
    </row>
    <row r="1874" spans="1:94" hidden="1">
      <c r="A1874"/>
      <c r="G1874" s="207"/>
      <c r="CP1874"/>
    </row>
    <row r="1875" spans="1:94" hidden="1">
      <c r="A1875"/>
      <c r="G1875" s="207"/>
      <c r="CP1875"/>
    </row>
    <row r="1876" spans="1:94" hidden="1">
      <c r="A1876"/>
      <c r="G1876" s="207"/>
      <c r="CP1876"/>
    </row>
    <row r="1877" spans="1:94" hidden="1">
      <c r="A1877"/>
      <c r="G1877" s="207"/>
      <c r="CP1877"/>
    </row>
    <row r="1878" spans="1:94" hidden="1">
      <c r="A1878"/>
      <c r="G1878" s="207"/>
      <c r="CP1878"/>
    </row>
    <row r="1879" spans="1:94" hidden="1">
      <c r="A1879"/>
      <c r="G1879" s="207"/>
      <c r="CP1879"/>
    </row>
    <row r="1880" spans="1:94" hidden="1">
      <c r="A1880"/>
      <c r="G1880" s="207"/>
      <c r="CP1880"/>
    </row>
    <row r="1881" spans="1:94" hidden="1">
      <c r="A1881"/>
      <c r="G1881" s="207"/>
      <c r="CP1881"/>
    </row>
    <row r="1882" spans="1:94" hidden="1">
      <c r="A1882"/>
      <c r="G1882" s="207"/>
      <c r="CP1882"/>
    </row>
    <row r="1883" spans="1:94" hidden="1">
      <c r="A1883"/>
      <c r="G1883" s="207"/>
      <c r="CP1883"/>
    </row>
    <row r="1884" spans="1:94" hidden="1">
      <c r="A1884"/>
      <c r="G1884" s="207"/>
      <c r="CP1884"/>
    </row>
    <row r="1885" spans="1:94" hidden="1">
      <c r="A1885"/>
      <c r="G1885" s="207"/>
      <c r="CP1885"/>
    </row>
    <row r="1886" spans="1:94" hidden="1">
      <c r="A1886"/>
      <c r="G1886" s="207"/>
      <c r="CP1886"/>
    </row>
    <row r="1887" spans="1:94" hidden="1">
      <c r="A1887"/>
      <c r="G1887" s="207"/>
      <c r="CP1887"/>
    </row>
    <row r="1888" spans="1:94" hidden="1">
      <c r="A1888"/>
      <c r="G1888" s="207"/>
      <c r="CP1888"/>
    </row>
    <row r="1889" spans="1:94" hidden="1">
      <c r="A1889"/>
      <c r="G1889" s="207"/>
      <c r="CP1889"/>
    </row>
    <row r="1890" spans="1:94" hidden="1">
      <c r="A1890"/>
      <c r="G1890" s="207"/>
      <c r="CP1890"/>
    </row>
    <row r="1891" spans="1:94" hidden="1">
      <c r="A1891"/>
      <c r="G1891" s="207"/>
      <c r="CP1891"/>
    </row>
    <row r="1892" spans="1:94" hidden="1">
      <c r="A1892"/>
      <c r="G1892" s="207"/>
      <c r="CP1892"/>
    </row>
    <row r="1893" spans="1:94" hidden="1">
      <c r="A1893"/>
      <c r="G1893" s="207"/>
      <c r="CP1893"/>
    </row>
    <row r="1894" spans="1:94" hidden="1">
      <c r="A1894"/>
      <c r="G1894" s="207"/>
      <c r="CP1894"/>
    </row>
    <row r="1895" spans="1:94" hidden="1">
      <c r="A1895"/>
      <c r="G1895" s="207"/>
      <c r="CP1895"/>
    </row>
    <row r="1896" spans="1:94" hidden="1">
      <c r="A1896"/>
      <c r="G1896" s="207"/>
      <c r="CP1896"/>
    </row>
    <row r="1897" spans="1:94" hidden="1">
      <c r="A1897"/>
      <c r="G1897" s="207"/>
      <c r="CP1897"/>
    </row>
    <row r="1898" spans="1:94" hidden="1">
      <c r="A1898"/>
      <c r="G1898" s="207"/>
      <c r="CP1898"/>
    </row>
    <row r="1899" spans="1:94" hidden="1">
      <c r="A1899"/>
      <c r="G1899" s="207"/>
      <c r="CP1899"/>
    </row>
    <row r="1900" spans="1:94" hidden="1">
      <c r="A1900"/>
      <c r="G1900" s="207"/>
      <c r="CP1900"/>
    </row>
    <row r="1901" spans="1:94" hidden="1">
      <c r="A1901"/>
      <c r="G1901" s="207"/>
      <c r="CP1901"/>
    </row>
    <row r="1902" spans="1:94" hidden="1">
      <c r="A1902"/>
      <c r="G1902" s="207"/>
      <c r="CP1902"/>
    </row>
    <row r="1903" spans="1:94" hidden="1">
      <c r="A1903"/>
      <c r="G1903" s="207"/>
      <c r="CP1903"/>
    </row>
    <row r="1904" spans="1:94" hidden="1">
      <c r="A1904"/>
      <c r="G1904" s="207"/>
      <c r="CP1904"/>
    </row>
    <row r="1905" spans="1:94" hidden="1">
      <c r="A1905"/>
      <c r="G1905" s="207"/>
      <c r="CP1905"/>
    </row>
    <row r="1906" spans="1:94" hidden="1">
      <c r="A1906"/>
      <c r="G1906" s="207"/>
      <c r="CP1906"/>
    </row>
    <row r="1907" spans="1:94" hidden="1">
      <c r="A1907"/>
      <c r="G1907" s="207"/>
      <c r="CP1907"/>
    </row>
    <row r="1908" spans="1:94" hidden="1">
      <c r="A1908"/>
      <c r="G1908" s="207"/>
      <c r="CP1908"/>
    </row>
    <row r="1909" spans="1:94" hidden="1">
      <c r="A1909"/>
      <c r="G1909" s="207"/>
      <c r="CP1909"/>
    </row>
    <row r="1910" spans="1:94" hidden="1">
      <c r="A1910"/>
      <c r="G1910" s="207"/>
      <c r="CP1910"/>
    </row>
    <row r="1911" spans="1:94" hidden="1">
      <c r="A1911"/>
      <c r="G1911" s="207"/>
      <c r="CP1911"/>
    </row>
    <row r="1912" spans="1:94" hidden="1">
      <c r="A1912"/>
      <c r="G1912" s="207"/>
      <c r="CP1912"/>
    </row>
    <row r="1913" spans="1:94" hidden="1">
      <c r="A1913"/>
      <c r="G1913" s="207"/>
      <c r="CP1913"/>
    </row>
    <row r="1914" spans="1:94" hidden="1">
      <c r="A1914"/>
      <c r="G1914" s="207"/>
      <c r="CP1914"/>
    </row>
    <row r="1915" spans="1:94" hidden="1">
      <c r="A1915"/>
      <c r="G1915" s="207"/>
      <c r="CP1915"/>
    </row>
    <row r="1916" spans="1:94" hidden="1">
      <c r="A1916"/>
      <c r="G1916" s="207"/>
      <c r="CP1916"/>
    </row>
    <row r="1917" spans="1:94" hidden="1">
      <c r="A1917"/>
      <c r="G1917" s="207"/>
      <c r="CP1917"/>
    </row>
    <row r="1918" spans="1:94" hidden="1">
      <c r="A1918"/>
      <c r="G1918" s="207"/>
      <c r="CP1918"/>
    </row>
    <row r="1919" spans="1:94" hidden="1">
      <c r="A1919"/>
      <c r="G1919" s="207"/>
      <c r="CP1919"/>
    </row>
    <row r="1920" spans="1:94" hidden="1">
      <c r="A1920"/>
      <c r="G1920" s="207"/>
      <c r="CP1920"/>
    </row>
    <row r="1921" spans="1:94" hidden="1">
      <c r="A1921"/>
      <c r="G1921" s="207"/>
      <c r="CP1921"/>
    </row>
    <row r="1922" spans="1:94" hidden="1">
      <c r="A1922"/>
      <c r="G1922" s="207"/>
      <c r="CP1922"/>
    </row>
    <row r="1923" spans="1:94" hidden="1">
      <c r="A1923"/>
      <c r="G1923" s="207"/>
      <c r="CP1923"/>
    </row>
    <row r="1924" spans="1:94" hidden="1">
      <c r="A1924"/>
      <c r="G1924" s="207"/>
      <c r="CP1924"/>
    </row>
    <row r="1925" spans="1:94" hidden="1">
      <c r="A1925"/>
      <c r="G1925" s="207"/>
      <c r="CP1925"/>
    </row>
    <row r="1926" spans="1:94" hidden="1">
      <c r="A1926"/>
      <c r="G1926" s="207"/>
      <c r="CP1926"/>
    </row>
    <row r="1927" spans="1:94" hidden="1">
      <c r="A1927"/>
      <c r="G1927" s="207"/>
      <c r="CP1927"/>
    </row>
    <row r="1928" spans="1:94" hidden="1">
      <c r="A1928"/>
      <c r="G1928" s="207"/>
      <c r="CP1928"/>
    </row>
    <row r="1929" spans="1:94" hidden="1">
      <c r="A1929"/>
      <c r="G1929" s="207"/>
      <c r="CP1929"/>
    </row>
    <row r="1930" spans="1:94" hidden="1">
      <c r="A1930"/>
      <c r="G1930" s="207"/>
      <c r="CP1930"/>
    </row>
    <row r="1931" spans="1:94" hidden="1">
      <c r="A1931"/>
      <c r="G1931" s="207"/>
      <c r="CP1931"/>
    </row>
    <row r="1932" spans="1:94" hidden="1">
      <c r="A1932"/>
      <c r="G1932" s="207"/>
      <c r="CP1932"/>
    </row>
    <row r="1933" spans="1:94" hidden="1">
      <c r="A1933"/>
      <c r="G1933" s="207"/>
      <c r="CP1933"/>
    </row>
    <row r="1934" spans="1:94" hidden="1">
      <c r="A1934"/>
      <c r="G1934" s="207"/>
      <c r="CP1934"/>
    </row>
    <row r="1935" spans="1:94" hidden="1">
      <c r="A1935"/>
      <c r="G1935" s="207"/>
      <c r="CP1935"/>
    </row>
    <row r="1936" spans="1:94" hidden="1">
      <c r="A1936"/>
      <c r="G1936" s="207"/>
      <c r="CP1936"/>
    </row>
    <row r="1937" spans="1:94" hidden="1">
      <c r="A1937"/>
      <c r="G1937" s="207"/>
      <c r="CP1937"/>
    </row>
    <row r="1938" spans="1:94" hidden="1">
      <c r="A1938"/>
      <c r="G1938" s="207"/>
      <c r="CP1938"/>
    </row>
    <row r="1939" spans="1:94" hidden="1">
      <c r="A1939"/>
      <c r="G1939" s="207"/>
      <c r="CP1939"/>
    </row>
    <row r="1940" spans="1:94" hidden="1">
      <c r="A1940"/>
      <c r="G1940" s="207"/>
      <c r="CP1940"/>
    </row>
    <row r="1941" spans="1:94" hidden="1">
      <c r="A1941"/>
      <c r="G1941" s="207"/>
      <c r="CP1941"/>
    </row>
    <row r="1942" spans="1:94" hidden="1">
      <c r="A1942"/>
      <c r="G1942" s="207"/>
      <c r="CP1942"/>
    </row>
    <row r="1943" spans="1:94" hidden="1">
      <c r="A1943"/>
      <c r="G1943" s="207"/>
      <c r="CP1943"/>
    </row>
    <row r="1944" spans="1:94" hidden="1">
      <c r="A1944"/>
      <c r="G1944" s="207"/>
      <c r="CP1944"/>
    </row>
    <row r="1945" spans="1:94" hidden="1">
      <c r="A1945"/>
      <c r="G1945" s="207"/>
      <c r="CP1945"/>
    </row>
    <row r="1946" spans="1:94" hidden="1">
      <c r="A1946"/>
      <c r="G1946" s="207"/>
      <c r="CP1946"/>
    </row>
    <row r="1947" spans="1:94" hidden="1">
      <c r="A1947"/>
      <c r="G1947" s="207"/>
      <c r="CP1947"/>
    </row>
    <row r="1948" spans="1:94" hidden="1">
      <c r="A1948"/>
      <c r="G1948" s="207"/>
      <c r="CP1948"/>
    </row>
    <row r="1949" spans="1:94" hidden="1">
      <c r="A1949"/>
      <c r="G1949" s="207"/>
      <c r="CP1949"/>
    </row>
    <row r="1950" spans="1:94" hidden="1">
      <c r="A1950"/>
      <c r="G1950" s="207"/>
      <c r="CP1950"/>
    </row>
    <row r="1951" spans="1:94" hidden="1">
      <c r="A1951"/>
      <c r="G1951" s="207"/>
      <c r="CP1951"/>
    </row>
    <row r="1952" spans="1:94" hidden="1">
      <c r="A1952"/>
      <c r="G1952" s="207"/>
      <c r="CP1952"/>
    </row>
    <row r="1953" spans="1:94" hidden="1">
      <c r="A1953"/>
      <c r="G1953" s="207"/>
      <c r="CP1953"/>
    </row>
    <row r="1954" spans="1:94" hidden="1">
      <c r="A1954"/>
      <c r="G1954" s="207"/>
      <c r="CP1954"/>
    </row>
    <row r="1955" spans="1:94" hidden="1">
      <c r="A1955"/>
      <c r="G1955" s="207"/>
      <c r="CP1955"/>
    </row>
    <row r="1956" spans="1:94" hidden="1">
      <c r="A1956"/>
      <c r="G1956" s="207"/>
      <c r="CP1956"/>
    </row>
    <row r="1957" spans="1:94" hidden="1">
      <c r="A1957"/>
      <c r="G1957" s="207"/>
      <c r="CP1957"/>
    </row>
    <row r="1958" spans="1:94" hidden="1">
      <c r="A1958"/>
      <c r="G1958" s="207"/>
      <c r="CP1958"/>
    </row>
    <row r="1959" spans="1:94" hidden="1">
      <c r="A1959"/>
      <c r="G1959" s="207"/>
      <c r="CP1959"/>
    </row>
    <row r="1960" spans="1:94" hidden="1">
      <c r="A1960"/>
      <c r="G1960" s="207"/>
      <c r="CP1960"/>
    </row>
    <row r="1961" spans="1:94" hidden="1">
      <c r="A1961"/>
      <c r="G1961" s="207"/>
      <c r="CP1961"/>
    </row>
    <row r="1962" spans="1:94" hidden="1">
      <c r="A1962"/>
      <c r="G1962" s="207"/>
      <c r="CP1962"/>
    </row>
    <row r="1963" spans="1:94" hidden="1">
      <c r="A1963"/>
      <c r="G1963" s="207"/>
      <c r="CP1963"/>
    </row>
    <row r="1964" spans="1:94" hidden="1">
      <c r="A1964"/>
      <c r="G1964" s="207"/>
      <c r="CP1964"/>
    </row>
    <row r="1965" spans="1:94" hidden="1">
      <c r="A1965"/>
      <c r="G1965" s="207"/>
      <c r="CP1965"/>
    </row>
    <row r="1966" spans="1:94" hidden="1">
      <c r="A1966"/>
      <c r="G1966" s="207"/>
      <c r="CP1966"/>
    </row>
    <row r="1967" spans="1:94" hidden="1">
      <c r="A1967"/>
      <c r="G1967" s="207"/>
      <c r="CP1967"/>
    </row>
    <row r="1968" spans="1:94" hidden="1">
      <c r="A1968"/>
      <c r="G1968" s="207"/>
      <c r="CP1968"/>
    </row>
    <row r="1969" spans="1:94" hidden="1">
      <c r="A1969"/>
      <c r="G1969" s="207"/>
      <c r="CP1969"/>
    </row>
    <row r="1970" spans="1:94" hidden="1">
      <c r="A1970"/>
      <c r="G1970" s="207"/>
      <c r="CP1970"/>
    </row>
    <row r="1971" spans="1:94" hidden="1">
      <c r="A1971"/>
      <c r="G1971" s="207"/>
      <c r="CP1971"/>
    </row>
    <row r="1972" spans="1:94" hidden="1">
      <c r="A1972"/>
      <c r="G1972" s="207"/>
      <c r="CP1972"/>
    </row>
    <row r="1973" spans="1:94" hidden="1">
      <c r="A1973"/>
      <c r="G1973" s="207"/>
      <c r="CP1973"/>
    </row>
    <row r="1974" spans="1:94" hidden="1">
      <c r="A1974"/>
      <c r="G1974" s="207"/>
      <c r="CP1974"/>
    </row>
    <row r="1975" spans="1:94" hidden="1">
      <c r="A1975"/>
      <c r="G1975" s="207"/>
      <c r="CP1975"/>
    </row>
    <row r="1976" spans="1:94" hidden="1">
      <c r="A1976"/>
      <c r="G1976" s="207"/>
      <c r="CP1976"/>
    </row>
    <row r="1977" spans="1:94" hidden="1">
      <c r="A1977"/>
      <c r="G1977" s="207"/>
      <c r="CP1977"/>
    </row>
    <row r="1978" spans="1:94" hidden="1">
      <c r="A1978"/>
      <c r="G1978" s="207"/>
      <c r="CP1978"/>
    </row>
    <row r="1979" spans="1:94" hidden="1">
      <c r="A1979"/>
      <c r="G1979" s="207"/>
      <c r="CP1979"/>
    </row>
    <row r="1980" spans="1:94" hidden="1">
      <c r="A1980"/>
      <c r="G1980" s="207"/>
      <c r="CP1980"/>
    </row>
    <row r="1981" spans="1:94" hidden="1">
      <c r="A1981"/>
      <c r="G1981" s="207"/>
      <c r="CP1981"/>
    </row>
    <row r="1982" spans="1:94" hidden="1">
      <c r="A1982"/>
      <c r="G1982" s="207"/>
      <c r="CP1982"/>
    </row>
    <row r="1983" spans="1:94" hidden="1">
      <c r="A1983"/>
      <c r="G1983" s="207"/>
      <c r="CP1983"/>
    </row>
    <row r="1984" spans="1:94" hidden="1">
      <c r="A1984"/>
      <c r="G1984" s="207"/>
      <c r="CP1984"/>
    </row>
    <row r="1985" spans="1:94" hidden="1">
      <c r="A1985"/>
      <c r="G1985" s="207"/>
      <c r="CP1985"/>
    </row>
    <row r="1986" spans="1:94" hidden="1">
      <c r="A1986"/>
      <c r="G1986" s="207"/>
      <c r="CP1986"/>
    </row>
    <row r="1987" spans="1:94" hidden="1">
      <c r="A1987"/>
      <c r="G1987" s="207"/>
      <c r="CP1987"/>
    </row>
    <row r="1988" spans="1:94" hidden="1">
      <c r="A1988"/>
      <c r="G1988" s="207"/>
      <c r="CP1988"/>
    </row>
    <row r="1989" spans="1:94" hidden="1">
      <c r="A1989"/>
      <c r="G1989" s="207"/>
      <c r="CP1989"/>
    </row>
    <row r="1990" spans="1:94" hidden="1">
      <c r="A1990"/>
      <c r="G1990" s="207"/>
      <c r="CP1990"/>
    </row>
    <row r="1991" spans="1:94" hidden="1">
      <c r="A1991"/>
      <c r="G1991" s="207"/>
      <c r="CP1991"/>
    </row>
    <row r="1992" spans="1:94" hidden="1">
      <c r="A1992"/>
      <c r="G1992" s="207"/>
      <c r="CP1992"/>
    </row>
    <row r="1993" spans="1:94" hidden="1">
      <c r="A1993"/>
      <c r="G1993" s="207"/>
      <c r="CP1993"/>
    </row>
    <row r="1994" spans="1:94" hidden="1">
      <c r="A1994"/>
      <c r="G1994" s="207"/>
      <c r="CP1994"/>
    </row>
    <row r="1995" spans="1:94" hidden="1">
      <c r="A1995"/>
      <c r="G1995" s="207"/>
      <c r="CP1995"/>
    </row>
    <row r="1996" spans="1:94" hidden="1">
      <c r="A1996"/>
      <c r="G1996" s="207"/>
      <c r="CP1996"/>
    </row>
    <row r="1997" spans="1:94" hidden="1">
      <c r="A1997"/>
      <c r="G1997" s="207"/>
      <c r="CP1997"/>
    </row>
    <row r="1998" spans="1:94" hidden="1">
      <c r="A1998"/>
      <c r="G1998" s="207"/>
      <c r="CP1998"/>
    </row>
    <row r="1999" spans="1:94" hidden="1">
      <c r="A1999"/>
      <c r="G1999" s="207"/>
      <c r="CP1999"/>
    </row>
    <row r="2000" spans="1:94" hidden="1">
      <c r="A2000"/>
      <c r="G2000" s="207"/>
      <c r="CP2000"/>
    </row>
    <row r="2001" spans="1:94" hidden="1">
      <c r="A2001"/>
      <c r="G2001" s="207"/>
      <c r="CP2001"/>
    </row>
    <row r="2002" spans="1:94" hidden="1">
      <c r="A2002"/>
      <c r="G2002" s="207"/>
      <c r="CP2002"/>
    </row>
    <row r="2003" spans="1:94" hidden="1">
      <c r="A2003"/>
      <c r="G2003" s="207"/>
      <c r="CP2003"/>
    </row>
    <row r="2004" spans="1:94" hidden="1">
      <c r="A2004"/>
      <c r="G2004" s="207"/>
      <c r="CP2004"/>
    </row>
    <row r="2005" spans="1:94" hidden="1">
      <c r="A2005"/>
      <c r="G2005" s="207"/>
      <c r="CP2005"/>
    </row>
    <row r="2006" spans="1:94" hidden="1">
      <c r="A2006"/>
      <c r="G2006" s="207"/>
      <c r="CP2006"/>
    </row>
    <row r="2007" spans="1:94" hidden="1">
      <c r="A2007"/>
      <c r="G2007" s="207"/>
      <c r="CP2007"/>
    </row>
    <row r="2008" spans="1:94" hidden="1">
      <c r="A2008"/>
      <c r="G2008" s="207"/>
      <c r="CP2008"/>
    </row>
    <row r="2009" spans="1:94" hidden="1">
      <c r="A2009"/>
      <c r="G2009" s="207"/>
      <c r="CP2009"/>
    </row>
    <row r="2010" spans="1:94" hidden="1">
      <c r="A2010"/>
      <c r="G2010" s="207"/>
      <c r="CP2010"/>
    </row>
    <row r="2011" spans="1:94" hidden="1">
      <c r="A2011"/>
      <c r="G2011" s="207"/>
      <c r="CP2011"/>
    </row>
    <row r="2012" spans="1:94" hidden="1">
      <c r="A2012"/>
      <c r="G2012" s="207"/>
      <c r="CP2012"/>
    </row>
    <row r="2013" spans="1:94" hidden="1">
      <c r="A2013"/>
      <c r="G2013" s="207"/>
      <c r="CP2013"/>
    </row>
    <row r="2014" spans="1:94" hidden="1">
      <c r="A2014"/>
      <c r="G2014" s="207"/>
      <c r="CP2014"/>
    </row>
    <row r="2015" spans="1:94" hidden="1">
      <c r="A2015"/>
      <c r="G2015" s="207"/>
      <c r="CP2015"/>
    </row>
    <row r="2016" spans="1:94" hidden="1">
      <c r="A2016"/>
      <c r="G2016" s="207"/>
      <c r="CP2016"/>
    </row>
    <row r="2017" spans="1:94" hidden="1">
      <c r="A2017"/>
      <c r="G2017" s="207"/>
      <c r="CP2017"/>
    </row>
    <row r="2018" spans="1:94" hidden="1">
      <c r="A2018"/>
      <c r="G2018" s="207"/>
      <c r="CP2018"/>
    </row>
    <row r="2019" spans="1:94" hidden="1">
      <c r="A2019"/>
      <c r="G2019" s="207"/>
      <c r="CP2019"/>
    </row>
    <row r="2020" spans="1:94" hidden="1">
      <c r="A2020"/>
      <c r="G2020" s="207"/>
      <c r="CP2020"/>
    </row>
    <row r="2021" spans="1:94" hidden="1">
      <c r="A2021"/>
      <c r="G2021" s="207"/>
      <c r="CP2021"/>
    </row>
    <row r="2022" spans="1:94" hidden="1">
      <c r="A2022"/>
      <c r="G2022" s="207"/>
      <c r="CP2022"/>
    </row>
    <row r="2023" spans="1:94" hidden="1">
      <c r="A2023"/>
      <c r="G2023" s="207"/>
      <c r="CP2023"/>
    </row>
    <row r="2024" spans="1:94" hidden="1">
      <c r="A2024"/>
      <c r="G2024" s="207"/>
      <c r="CP2024"/>
    </row>
    <row r="2025" spans="1:94" hidden="1">
      <c r="A2025"/>
      <c r="G2025" s="207"/>
      <c r="CP2025"/>
    </row>
    <row r="2026" spans="1:94" hidden="1">
      <c r="A2026"/>
      <c r="G2026" s="207"/>
      <c r="CP2026"/>
    </row>
    <row r="2027" spans="1:94" hidden="1">
      <c r="A2027"/>
      <c r="G2027" s="207"/>
      <c r="CP2027"/>
    </row>
    <row r="2028" spans="1:94" hidden="1">
      <c r="A2028"/>
      <c r="G2028" s="207"/>
      <c r="CP2028"/>
    </row>
    <row r="2029" spans="1:94" hidden="1">
      <c r="A2029"/>
      <c r="G2029" s="207"/>
      <c r="CP2029"/>
    </row>
    <row r="2030" spans="1:94" hidden="1">
      <c r="A2030"/>
      <c r="G2030" s="207"/>
      <c r="CP2030"/>
    </row>
    <row r="2031" spans="1:94" hidden="1">
      <c r="A2031"/>
      <c r="G2031" s="207"/>
      <c r="CP2031"/>
    </row>
    <row r="2032" spans="1:94" hidden="1">
      <c r="A2032"/>
      <c r="G2032" s="207"/>
      <c r="CP2032"/>
    </row>
    <row r="2033" spans="1:94" hidden="1">
      <c r="A2033"/>
      <c r="G2033" s="207"/>
      <c r="CP2033"/>
    </row>
    <row r="2034" spans="1:94" hidden="1">
      <c r="A2034"/>
      <c r="G2034" s="207"/>
      <c r="CP2034"/>
    </row>
    <row r="2035" spans="1:94" hidden="1">
      <c r="A2035"/>
      <c r="G2035" s="207"/>
      <c r="CP2035"/>
    </row>
    <row r="2036" spans="1:94" hidden="1">
      <c r="A2036"/>
      <c r="G2036" s="207"/>
      <c r="CP2036"/>
    </row>
    <row r="2037" spans="1:94" hidden="1">
      <c r="A2037"/>
      <c r="G2037" s="207"/>
      <c r="CP2037"/>
    </row>
    <row r="2038" spans="1:94" hidden="1">
      <c r="A2038"/>
      <c r="G2038" s="207"/>
      <c r="CP2038"/>
    </row>
    <row r="2039" spans="1:94" hidden="1">
      <c r="A2039"/>
      <c r="G2039" s="207"/>
      <c r="CP2039"/>
    </row>
    <row r="2040" spans="1:94" hidden="1">
      <c r="A2040"/>
      <c r="G2040" s="207"/>
      <c r="CP2040"/>
    </row>
    <row r="2041" spans="1:94" hidden="1">
      <c r="A2041"/>
      <c r="G2041" s="207"/>
      <c r="CP2041"/>
    </row>
    <row r="2042" spans="1:94" hidden="1">
      <c r="A2042"/>
      <c r="G2042" s="207"/>
      <c r="CP2042"/>
    </row>
    <row r="2043" spans="1:94" hidden="1">
      <c r="A2043"/>
      <c r="G2043" s="207"/>
      <c r="CP2043"/>
    </row>
    <row r="2044" spans="1:94" hidden="1">
      <c r="A2044"/>
      <c r="G2044" s="207"/>
      <c r="CP2044"/>
    </row>
    <row r="2045" spans="1:94" hidden="1">
      <c r="A2045"/>
      <c r="G2045" s="207"/>
      <c r="CP2045"/>
    </row>
    <row r="2046" spans="1:94" hidden="1">
      <c r="A2046"/>
      <c r="G2046" s="207"/>
      <c r="CP2046"/>
    </row>
    <row r="2047" spans="1:94" hidden="1">
      <c r="A2047"/>
      <c r="G2047" s="207"/>
      <c r="CP2047"/>
    </row>
    <row r="2048" spans="1:94" hidden="1">
      <c r="A2048"/>
      <c r="G2048" s="207"/>
      <c r="CP2048"/>
    </row>
    <row r="2049" spans="1:94" hidden="1">
      <c r="A2049"/>
      <c r="G2049" s="207"/>
      <c r="CP2049"/>
    </row>
    <row r="2050" spans="1:94" hidden="1">
      <c r="A2050"/>
      <c r="G2050" s="207"/>
      <c r="CP2050"/>
    </row>
    <row r="2051" spans="1:94" hidden="1">
      <c r="A2051"/>
      <c r="G2051" s="207"/>
      <c r="CP2051"/>
    </row>
    <row r="2052" spans="1:94" hidden="1">
      <c r="A2052"/>
      <c r="G2052" s="207"/>
      <c r="CP2052"/>
    </row>
    <row r="2053" spans="1:94" hidden="1">
      <c r="A2053"/>
      <c r="G2053" s="207"/>
      <c r="CP2053"/>
    </row>
    <row r="2054" spans="1:94" hidden="1">
      <c r="A2054"/>
      <c r="G2054" s="207"/>
      <c r="CP2054"/>
    </row>
    <row r="2055" spans="1:94" hidden="1">
      <c r="A2055"/>
      <c r="G2055" s="207"/>
      <c r="CP2055"/>
    </row>
    <row r="2056" spans="1:94" hidden="1">
      <c r="A2056"/>
      <c r="G2056" s="207"/>
      <c r="CP2056"/>
    </row>
    <row r="2057" spans="1:94" hidden="1">
      <c r="A2057"/>
      <c r="G2057" s="207"/>
      <c r="CP2057"/>
    </row>
    <row r="2058" spans="1:94" hidden="1">
      <c r="A2058"/>
      <c r="G2058" s="207"/>
      <c r="CP2058"/>
    </row>
    <row r="2059" spans="1:94" hidden="1">
      <c r="A2059"/>
      <c r="G2059" s="207"/>
      <c r="CP2059"/>
    </row>
    <row r="2060" spans="1:94" hidden="1">
      <c r="A2060"/>
      <c r="G2060" s="207"/>
      <c r="CP2060"/>
    </row>
    <row r="2061" spans="1:94" hidden="1">
      <c r="A2061"/>
      <c r="G2061" s="207"/>
      <c r="CP2061"/>
    </row>
    <row r="2062" spans="1:94" hidden="1">
      <c r="A2062"/>
      <c r="G2062" s="207"/>
      <c r="CP2062"/>
    </row>
    <row r="2063" spans="1:94" hidden="1">
      <c r="A2063"/>
      <c r="G2063" s="207"/>
      <c r="CP2063"/>
    </row>
    <row r="2064" spans="1:94" hidden="1">
      <c r="A2064"/>
      <c r="G2064" s="207"/>
      <c r="CP2064"/>
    </row>
    <row r="2065" spans="1:94" hidden="1">
      <c r="A2065"/>
      <c r="G2065" s="207"/>
      <c r="CP2065"/>
    </row>
    <row r="2066" spans="1:94" hidden="1">
      <c r="A2066"/>
      <c r="G2066" s="207"/>
      <c r="CP2066"/>
    </row>
    <row r="2067" spans="1:94" hidden="1">
      <c r="A2067"/>
      <c r="G2067" s="207"/>
      <c r="CP2067"/>
    </row>
    <row r="2068" spans="1:94" hidden="1">
      <c r="A2068"/>
      <c r="G2068" s="207"/>
      <c r="CP2068"/>
    </row>
    <row r="2069" spans="1:94" hidden="1">
      <c r="A2069"/>
      <c r="G2069" s="207"/>
      <c r="CP2069"/>
    </row>
    <row r="2070" spans="1:94" hidden="1">
      <c r="A2070"/>
      <c r="G2070" s="207"/>
      <c r="CP2070"/>
    </row>
    <row r="2071" spans="1:94" hidden="1">
      <c r="A2071"/>
      <c r="G2071" s="207"/>
      <c r="CP2071"/>
    </row>
    <row r="2072" spans="1:94" hidden="1">
      <c r="A2072"/>
      <c r="G2072" s="207"/>
      <c r="CP2072"/>
    </row>
    <row r="2073" spans="1:94" hidden="1">
      <c r="A2073"/>
      <c r="G2073" s="207"/>
      <c r="CP2073"/>
    </row>
    <row r="2074" spans="1:94" hidden="1">
      <c r="A2074"/>
      <c r="G2074" s="207"/>
      <c r="CP2074"/>
    </row>
    <row r="2075" spans="1:94" hidden="1">
      <c r="A2075"/>
      <c r="G2075" s="207"/>
      <c r="CP2075"/>
    </row>
    <row r="2076" spans="1:94" hidden="1">
      <c r="A2076"/>
      <c r="G2076" s="207"/>
      <c r="CP2076"/>
    </row>
    <row r="2077" spans="1:94" hidden="1">
      <c r="A2077"/>
      <c r="G2077" s="207"/>
      <c r="CP2077"/>
    </row>
    <row r="2078" spans="1:94" hidden="1">
      <c r="A2078"/>
      <c r="G2078" s="207"/>
      <c r="CP2078"/>
    </row>
    <row r="2079" spans="1:94" hidden="1">
      <c r="A2079"/>
      <c r="G2079" s="207"/>
      <c r="CP2079"/>
    </row>
    <row r="2080" spans="1:94" hidden="1">
      <c r="A2080"/>
      <c r="G2080" s="207"/>
      <c r="CP2080"/>
    </row>
    <row r="2081" spans="1:94" hidden="1">
      <c r="A2081"/>
      <c r="G2081" s="207"/>
      <c r="CP2081"/>
    </row>
    <row r="2082" spans="1:94" hidden="1">
      <c r="A2082"/>
      <c r="G2082" s="207"/>
      <c r="CP2082"/>
    </row>
    <row r="2083" spans="1:94" hidden="1">
      <c r="A2083"/>
      <c r="G2083" s="207"/>
      <c r="CP2083"/>
    </row>
    <row r="2084" spans="1:94" hidden="1">
      <c r="A2084"/>
      <c r="G2084" s="207"/>
      <c r="CP2084"/>
    </row>
    <row r="2085" spans="1:94" hidden="1">
      <c r="A2085"/>
      <c r="G2085" s="207"/>
      <c r="CP2085"/>
    </row>
    <row r="2086" spans="1:94" hidden="1">
      <c r="A2086"/>
      <c r="G2086" s="207"/>
      <c r="CP2086"/>
    </row>
    <row r="2087" spans="1:94" hidden="1">
      <c r="A2087"/>
      <c r="G2087" s="207"/>
      <c r="CP2087"/>
    </row>
    <row r="2088" spans="1:94" hidden="1">
      <c r="A2088"/>
      <c r="G2088" s="207"/>
      <c r="CP2088"/>
    </row>
    <row r="2089" spans="1:94" hidden="1">
      <c r="A2089"/>
      <c r="G2089" s="207"/>
      <c r="CP2089"/>
    </row>
    <row r="2090" spans="1:94" hidden="1">
      <c r="A2090"/>
      <c r="G2090" s="207"/>
      <c r="CP2090"/>
    </row>
    <row r="2091" spans="1:94" hidden="1">
      <c r="A2091"/>
      <c r="G2091" s="207"/>
      <c r="CP2091"/>
    </row>
    <row r="2092" spans="1:94" hidden="1">
      <c r="A2092"/>
      <c r="G2092" s="207"/>
      <c r="CP2092"/>
    </row>
    <row r="2093" spans="1:94" hidden="1">
      <c r="A2093"/>
      <c r="G2093" s="207"/>
      <c r="CP2093"/>
    </row>
    <row r="2094" spans="1:94" hidden="1">
      <c r="A2094"/>
      <c r="G2094" s="207"/>
      <c r="CP2094"/>
    </row>
    <row r="2095" spans="1:94" hidden="1">
      <c r="A2095"/>
      <c r="G2095" s="207"/>
      <c r="CP2095"/>
    </row>
    <row r="2096" spans="1:94" hidden="1">
      <c r="A2096"/>
      <c r="G2096" s="207"/>
      <c r="CP2096"/>
    </row>
    <row r="2097" spans="1:94" hidden="1">
      <c r="A2097"/>
      <c r="G2097" s="207"/>
      <c r="CP2097"/>
    </row>
    <row r="2098" spans="1:94" hidden="1">
      <c r="A2098"/>
      <c r="G2098" s="207"/>
      <c r="CP2098"/>
    </row>
    <row r="2099" spans="1:94" hidden="1">
      <c r="A2099"/>
      <c r="G2099" s="207"/>
      <c r="CP2099"/>
    </row>
    <row r="2100" spans="1:94" hidden="1">
      <c r="A2100"/>
      <c r="G2100" s="207"/>
      <c r="CP2100"/>
    </row>
    <row r="2101" spans="1:94" hidden="1">
      <c r="A2101"/>
      <c r="G2101" s="207"/>
      <c r="CP2101"/>
    </row>
    <row r="2102" spans="1:94" hidden="1">
      <c r="A2102"/>
      <c r="G2102" s="207"/>
      <c r="CP2102"/>
    </row>
    <row r="2103" spans="1:94" hidden="1">
      <c r="A2103"/>
      <c r="G2103" s="207"/>
      <c r="CP2103"/>
    </row>
    <row r="2104" spans="1:94" hidden="1">
      <c r="A2104"/>
      <c r="G2104" s="207"/>
      <c r="CP2104"/>
    </row>
    <row r="2105" spans="1:94" hidden="1">
      <c r="A2105"/>
      <c r="G2105" s="207"/>
      <c r="CP2105"/>
    </row>
    <row r="2106" spans="1:94" hidden="1">
      <c r="A2106"/>
      <c r="G2106" s="207"/>
      <c r="CP2106"/>
    </row>
    <row r="2107" spans="1:94" hidden="1">
      <c r="A2107"/>
      <c r="G2107" s="207"/>
      <c r="CP2107"/>
    </row>
    <row r="2108" spans="1:94" hidden="1">
      <c r="A2108"/>
      <c r="G2108" s="207"/>
      <c r="CP2108"/>
    </row>
    <row r="2109" spans="1:94" hidden="1">
      <c r="A2109"/>
      <c r="G2109" s="207"/>
      <c r="CP2109"/>
    </row>
    <row r="2110" spans="1:94" hidden="1">
      <c r="A2110"/>
      <c r="G2110" s="207"/>
      <c r="CP2110"/>
    </row>
    <row r="2111" spans="1:94" hidden="1">
      <c r="A2111"/>
      <c r="G2111" s="207"/>
      <c r="CP2111"/>
    </row>
    <row r="2112" spans="1:94" hidden="1">
      <c r="A2112"/>
      <c r="G2112" s="207"/>
      <c r="CP2112"/>
    </row>
    <row r="2113" spans="1:94" hidden="1">
      <c r="A2113"/>
      <c r="G2113" s="207"/>
      <c r="CP2113"/>
    </row>
    <row r="2114" spans="1:94" hidden="1">
      <c r="A2114"/>
      <c r="G2114" s="207"/>
      <c r="CP2114"/>
    </row>
    <row r="2115" spans="1:94" hidden="1">
      <c r="A2115"/>
      <c r="G2115" s="207"/>
      <c r="CP2115"/>
    </row>
    <row r="2116" spans="1:94" hidden="1">
      <c r="A2116"/>
      <c r="G2116" s="207"/>
      <c r="CP2116"/>
    </row>
    <row r="2117" spans="1:94" hidden="1">
      <c r="A2117"/>
      <c r="G2117" s="207"/>
      <c r="CP2117"/>
    </row>
    <row r="2118" spans="1:94" hidden="1">
      <c r="A2118"/>
      <c r="G2118" s="207"/>
      <c r="CP2118"/>
    </row>
    <row r="2119" spans="1:94" hidden="1">
      <c r="A2119"/>
      <c r="G2119" s="207"/>
      <c r="CP2119"/>
    </row>
    <row r="2120" spans="1:94" hidden="1">
      <c r="A2120"/>
      <c r="G2120" s="207"/>
      <c r="CP2120"/>
    </row>
    <row r="2121" spans="1:94" hidden="1">
      <c r="A2121"/>
      <c r="G2121" s="207"/>
      <c r="CP2121"/>
    </row>
    <row r="2122" spans="1:94" hidden="1">
      <c r="A2122"/>
      <c r="G2122" s="207"/>
      <c r="CP2122"/>
    </row>
    <row r="2123" spans="1:94" hidden="1">
      <c r="A2123"/>
      <c r="G2123" s="207"/>
      <c r="CP2123"/>
    </row>
    <row r="2124" spans="1:94" hidden="1">
      <c r="A2124"/>
      <c r="G2124" s="207"/>
      <c r="CP2124"/>
    </row>
    <row r="2125" spans="1:94" hidden="1">
      <c r="A2125"/>
      <c r="G2125" s="207"/>
      <c r="CP2125"/>
    </row>
    <row r="2126" spans="1:94" hidden="1">
      <c r="A2126"/>
      <c r="G2126" s="207"/>
      <c r="CP2126"/>
    </row>
    <row r="2127" spans="1:94" hidden="1">
      <c r="A2127"/>
      <c r="G2127" s="207"/>
      <c r="CP2127"/>
    </row>
    <row r="2128" spans="1:94" hidden="1">
      <c r="A2128"/>
      <c r="G2128" s="207"/>
      <c r="CP2128"/>
    </row>
    <row r="2129" spans="1:94" hidden="1">
      <c r="A2129"/>
      <c r="G2129" s="207"/>
      <c r="CP2129"/>
    </row>
    <row r="2130" spans="1:94" hidden="1">
      <c r="A2130"/>
      <c r="G2130" s="207"/>
      <c r="CP2130"/>
    </row>
    <row r="2131" spans="1:94" hidden="1">
      <c r="A2131"/>
      <c r="G2131" s="207"/>
      <c r="CP2131"/>
    </row>
    <row r="2132" spans="1:94" hidden="1">
      <c r="A2132"/>
      <c r="G2132" s="207"/>
      <c r="CP2132"/>
    </row>
    <row r="2133" spans="1:94" hidden="1">
      <c r="A2133"/>
      <c r="G2133" s="207"/>
      <c r="CP2133"/>
    </row>
    <row r="2134" spans="1:94" hidden="1">
      <c r="A2134"/>
      <c r="G2134" s="207"/>
      <c r="CP2134"/>
    </row>
    <row r="2135" spans="1:94" hidden="1">
      <c r="A2135"/>
      <c r="G2135" s="207"/>
      <c r="CP2135"/>
    </row>
    <row r="2136" spans="1:94" hidden="1">
      <c r="A2136"/>
      <c r="G2136" s="207"/>
      <c r="CP2136"/>
    </row>
    <row r="2137" spans="1:94" hidden="1">
      <c r="A2137"/>
      <c r="G2137" s="207"/>
      <c r="CP2137"/>
    </row>
    <row r="2138" spans="1:94" hidden="1">
      <c r="A2138"/>
      <c r="G2138" s="207"/>
      <c r="CP2138"/>
    </row>
    <row r="2139" spans="1:94" hidden="1">
      <c r="A2139"/>
      <c r="G2139" s="207"/>
      <c r="CP2139"/>
    </row>
    <row r="2140" spans="1:94" hidden="1">
      <c r="A2140"/>
      <c r="G2140" s="207"/>
      <c r="CP2140"/>
    </row>
    <row r="2141" spans="1:94" hidden="1">
      <c r="A2141"/>
      <c r="G2141" s="207"/>
      <c r="CP2141"/>
    </row>
    <row r="2142" spans="1:94" hidden="1">
      <c r="A2142"/>
      <c r="G2142" s="207"/>
      <c r="CP2142"/>
    </row>
    <row r="2143" spans="1:94" hidden="1">
      <c r="A2143"/>
      <c r="G2143" s="207"/>
      <c r="CP2143"/>
    </row>
    <row r="2144" spans="1:94" hidden="1">
      <c r="A2144"/>
      <c r="G2144" s="207"/>
      <c r="CP2144"/>
    </row>
    <row r="2145" spans="1:94" hidden="1">
      <c r="A2145"/>
      <c r="G2145" s="207"/>
      <c r="CP2145"/>
    </row>
    <row r="2146" spans="1:94" hidden="1">
      <c r="A2146"/>
      <c r="G2146" s="207"/>
      <c r="CP2146"/>
    </row>
    <row r="2147" spans="1:94" hidden="1">
      <c r="A2147"/>
      <c r="G2147" s="207"/>
      <c r="CP2147"/>
    </row>
    <row r="2148" spans="1:94" hidden="1">
      <c r="A2148"/>
      <c r="G2148" s="207"/>
      <c r="CP2148"/>
    </row>
    <row r="2149" spans="1:94" hidden="1">
      <c r="A2149"/>
      <c r="G2149" s="207"/>
      <c r="CP2149"/>
    </row>
    <row r="2150" spans="1:94" hidden="1">
      <c r="A2150"/>
      <c r="G2150" s="207"/>
      <c r="CP2150"/>
    </row>
    <row r="2151" spans="1:94" hidden="1">
      <c r="A2151"/>
      <c r="G2151" s="207"/>
      <c r="CP2151"/>
    </row>
    <row r="2152" spans="1:94" hidden="1">
      <c r="A2152"/>
      <c r="G2152" s="207"/>
      <c r="CP2152"/>
    </row>
    <row r="2153" spans="1:94" hidden="1">
      <c r="A2153"/>
      <c r="G2153" s="207"/>
      <c r="CP2153"/>
    </row>
    <row r="2154" spans="1:94" hidden="1">
      <c r="A2154"/>
      <c r="G2154" s="207"/>
      <c r="CP2154"/>
    </row>
    <row r="2155" spans="1:94" hidden="1">
      <c r="A2155"/>
      <c r="G2155" s="207"/>
      <c r="CP2155"/>
    </row>
    <row r="2156" spans="1:94" hidden="1">
      <c r="A2156"/>
      <c r="G2156" s="207"/>
      <c r="CP2156"/>
    </row>
    <row r="2157" spans="1:94" hidden="1">
      <c r="A2157"/>
      <c r="G2157" s="207"/>
      <c r="CP2157"/>
    </row>
    <row r="2158" spans="1:94" hidden="1">
      <c r="A2158"/>
      <c r="G2158" s="207"/>
      <c r="CP2158"/>
    </row>
    <row r="2159" spans="1:94" hidden="1">
      <c r="A2159"/>
      <c r="G2159" s="207"/>
      <c r="CP2159"/>
    </row>
    <row r="2160" spans="1:94" hidden="1">
      <c r="A2160"/>
      <c r="G2160" s="207"/>
      <c r="CP2160"/>
    </row>
    <row r="2161" spans="1:94" hidden="1">
      <c r="A2161"/>
      <c r="G2161" s="207"/>
      <c r="CP2161"/>
    </row>
    <row r="2162" spans="1:94" hidden="1">
      <c r="A2162"/>
      <c r="G2162" s="207"/>
      <c r="CP2162"/>
    </row>
    <row r="2163" spans="1:94" hidden="1">
      <c r="A2163"/>
      <c r="G2163" s="207"/>
      <c r="CP2163"/>
    </row>
    <row r="2164" spans="1:94" hidden="1">
      <c r="A2164"/>
      <c r="G2164" s="207"/>
      <c r="CP2164"/>
    </row>
    <row r="2165" spans="1:94" hidden="1">
      <c r="A2165"/>
      <c r="G2165" s="207"/>
      <c r="CP2165"/>
    </row>
    <row r="2166" spans="1:94" hidden="1">
      <c r="A2166"/>
      <c r="G2166" s="207"/>
      <c r="CP2166"/>
    </row>
    <row r="2167" spans="1:94" hidden="1">
      <c r="A2167"/>
      <c r="G2167" s="207"/>
      <c r="CP2167"/>
    </row>
    <row r="2168" spans="1:94" hidden="1">
      <c r="A2168"/>
      <c r="G2168" s="207"/>
      <c r="CP2168"/>
    </row>
    <row r="2169" spans="1:94" hidden="1">
      <c r="A2169"/>
      <c r="G2169" s="207"/>
      <c r="CP2169"/>
    </row>
    <row r="2170" spans="1:94" hidden="1">
      <c r="A2170"/>
      <c r="G2170" s="207"/>
      <c r="CP2170"/>
    </row>
    <row r="2171" spans="1:94" hidden="1">
      <c r="A2171"/>
      <c r="G2171" s="207"/>
      <c r="CP2171"/>
    </row>
    <row r="2172" spans="1:94" hidden="1">
      <c r="A2172"/>
      <c r="G2172" s="207"/>
      <c r="CP2172"/>
    </row>
    <row r="2173" spans="1:94" hidden="1">
      <c r="A2173"/>
      <c r="G2173" s="207"/>
      <c r="CP2173"/>
    </row>
    <row r="2174" spans="1:94" hidden="1">
      <c r="A2174"/>
      <c r="G2174" s="207"/>
      <c r="CP2174"/>
    </row>
    <row r="2175" spans="1:94" hidden="1">
      <c r="A2175"/>
      <c r="G2175" s="207"/>
      <c r="CP2175"/>
    </row>
    <row r="2176" spans="1:94" hidden="1">
      <c r="A2176"/>
      <c r="G2176" s="207"/>
      <c r="CP2176"/>
    </row>
    <row r="2177" spans="1:94" hidden="1">
      <c r="A2177"/>
      <c r="G2177" s="207"/>
      <c r="CP2177"/>
    </row>
    <row r="2178" spans="1:94" hidden="1">
      <c r="A2178"/>
      <c r="G2178" s="207"/>
      <c r="CP2178"/>
    </row>
    <row r="2179" spans="1:94" hidden="1">
      <c r="A2179"/>
      <c r="G2179" s="207"/>
      <c r="CP2179"/>
    </row>
    <row r="2180" spans="1:94" hidden="1">
      <c r="A2180"/>
      <c r="G2180" s="207"/>
      <c r="CP2180"/>
    </row>
    <row r="2181" spans="1:94" hidden="1">
      <c r="A2181"/>
      <c r="G2181" s="207"/>
      <c r="CP2181"/>
    </row>
    <row r="2182" spans="1:94" hidden="1">
      <c r="A2182"/>
      <c r="G2182" s="207"/>
      <c r="CP2182"/>
    </row>
    <row r="2183" spans="1:94" hidden="1">
      <c r="A2183"/>
      <c r="G2183" s="207"/>
      <c r="CP2183"/>
    </row>
    <row r="2184" spans="1:94" hidden="1">
      <c r="A2184"/>
      <c r="G2184" s="207"/>
      <c r="CP2184"/>
    </row>
    <row r="2185" spans="1:94" hidden="1">
      <c r="A2185"/>
      <c r="G2185" s="207"/>
      <c r="CP2185"/>
    </row>
    <row r="2186" spans="1:94" hidden="1">
      <c r="A2186"/>
      <c r="G2186" s="207"/>
      <c r="CP2186"/>
    </row>
    <row r="2187" spans="1:94" hidden="1">
      <c r="A2187"/>
      <c r="G2187" s="207"/>
      <c r="CP2187"/>
    </row>
    <row r="2188" spans="1:94" hidden="1">
      <c r="A2188"/>
      <c r="G2188" s="207"/>
      <c r="CP2188"/>
    </row>
    <row r="2189" spans="1:94" hidden="1">
      <c r="A2189"/>
      <c r="G2189" s="207"/>
      <c r="CP2189"/>
    </row>
    <row r="2190" spans="1:94" hidden="1">
      <c r="A2190"/>
      <c r="G2190" s="207"/>
      <c r="CP2190"/>
    </row>
    <row r="2191" spans="1:94" hidden="1">
      <c r="A2191"/>
      <c r="G2191" s="207"/>
      <c r="CP2191"/>
    </row>
    <row r="2192" spans="1:94" hidden="1">
      <c r="A2192"/>
      <c r="G2192" s="207"/>
      <c r="CP2192"/>
    </row>
    <row r="2193" spans="1:94" hidden="1">
      <c r="A2193"/>
      <c r="G2193" s="207"/>
      <c r="CP2193"/>
    </row>
    <row r="2194" spans="1:94" hidden="1">
      <c r="A2194"/>
      <c r="G2194" s="207"/>
      <c r="CP2194"/>
    </row>
    <row r="2195" spans="1:94" hidden="1">
      <c r="A2195"/>
      <c r="G2195" s="207"/>
      <c r="CP2195"/>
    </row>
    <row r="2196" spans="1:94" hidden="1">
      <c r="A2196"/>
      <c r="G2196" s="207"/>
      <c r="CP2196"/>
    </row>
    <row r="2197" spans="1:94" hidden="1">
      <c r="A2197"/>
      <c r="G2197" s="207"/>
      <c r="CP2197"/>
    </row>
    <row r="2198" spans="1:94" hidden="1">
      <c r="A2198"/>
      <c r="G2198" s="207"/>
      <c r="CP2198"/>
    </row>
    <row r="2199" spans="1:94" hidden="1">
      <c r="A2199"/>
      <c r="G2199" s="207"/>
      <c r="CP2199"/>
    </row>
    <row r="2200" spans="1:94" hidden="1">
      <c r="A2200"/>
      <c r="G2200" s="207"/>
      <c r="CP2200"/>
    </row>
    <row r="2201" spans="1:94" hidden="1">
      <c r="A2201"/>
      <c r="G2201" s="207"/>
      <c r="CP2201"/>
    </row>
    <row r="2202" spans="1:94" hidden="1">
      <c r="A2202"/>
      <c r="G2202" s="207"/>
      <c r="CP2202"/>
    </row>
    <row r="2203" spans="1:94" hidden="1">
      <c r="A2203"/>
      <c r="G2203" s="207"/>
      <c r="CP2203"/>
    </row>
    <row r="2204" spans="1:94" hidden="1">
      <c r="A2204"/>
      <c r="G2204" s="207"/>
      <c r="CP2204"/>
    </row>
    <row r="2205" spans="1:94" hidden="1">
      <c r="A2205"/>
      <c r="G2205" s="207"/>
      <c r="CP2205"/>
    </row>
    <row r="2206" spans="1:94" hidden="1">
      <c r="A2206"/>
      <c r="G2206" s="207"/>
      <c r="CP2206"/>
    </row>
    <row r="2207" spans="1:94" hidden="1">
      <c r="A2207"/>
      <c r="G2207" s="207"/>
      <c r="CP2207"/>
    </row>
    <row r="2208" spans="1:94" hidden="1">
      <c r="A2208"/>
      <c r="G2208" s="207"/>
      <c r="CP2208"/>
    </row>
    <row r="2209" spans="1:94" hidden="1">
      <c r="A2209"/>
      <c r="G2209" s="207"/>
      <c r="CP2209"/>
    </row>
    <row r="2210" spans="1:94" hidden="1">
      <c r="A2210"/>
      <c r="G2210" s="207"/>
      <c r="CP2210"/>
    </row>
    <row r="2211" spans="1:94" hidden="1">
      <c r="A2211"/>
      <c r="G2211" s="207"/>
      <c r="CP2211"/>
    </row>
    <row r="2212" spans="1:94" hidden="1">
      <c r="A2212"/>
      <c r="G2212" s="207"/>
      <c r="CP2212"/>
    </row>
    <row r="2213" spans="1:94" hidden="1">
      <c r="A2213"/>
      <c r="G2213" s="207"/>
      <c r="CP2213"/>
    </row>
    <row r="2214" spans="1:94" hidden="1">
      <c r="A2214"/>
      <c r="G2214" s="207"/>
      <c r="CP2214"/>
    </row>
    <row r="2215" spans="1:94" hidden="1">
      <c r="A2215"/>
      <c r="G2215" s="207"/>
      <c r="CP2215"/>
    </row>
    <row r="2216" spans="1:94" hidden="1">
      <c r="A2216"/>
      <c r="G2216" s="207"/>
      <c r="CP2216"/>
    </row>
    <row r="2217" spans="1:94" hidden="1">
      <c r="A2217"/>
      <c r="G2217" s="207"/>
      <c r="CP2217"/>
    </row>
    <row r="2218" spans="1:94" hidden="1">
      <c r="A2218"/>
      <c r="G2218" s="207"/>
      <c r="CP2218"/>
    </row>
    <row r="2219" spans="1:94" hidden="1">
      <c r="A2219"/>
      <c r="G2219" s="207"/>
      <c r="CP2219"/>
    </row>
    <row r="2220" spans="1:94" hidden="1">
      <c r="A2220"/>
      <c r="G2220" s="207"/>
      <c r="CP2220"/>
    </row>
    <row r="2221" spans="1:94" hidden="1">
      <c r="A2221"/>
      <c r="G2221" s="207"/>
      <c r="CP2221"/>
    </row>
    <row r="2222" spans="1:94" hidden="1">
      <c r="A2222"/>
      <c r="G2222" s="207"/>
      <c r="CP2222"/>
    </row>
    <row r="2223" spans="1:94" hidden="1">
      <c r="A2223"/>
      <c r="G2223" s="207"/>
      <c r="CP2223"/>
    </row>
    <row r="2224" spans="1:94" hidden="1">
      <c r="A2224"/>
      <c r="G2224" s="207"/>
      <c r="CP2224"/>
    </row>
    <row r="2225" spans="1:94" hidden="1">
      <c r="A2225"/>
      <c r="G2225" s="207"/>
      <c r="CP2225"/>
    </row>
    <row r="2226" spans="1:94" hidden="1">
      <c r="A2226"/>
      <c r="G2226" s="207"/>
      <c r="CP2226"/>
    </row>
    <row r="2227" spans="1:94" hidden="1">
      <c r="A2227"/>
      <c r="G2227" s="207"/>
      <c r="CP2227"/>
    </row>
    <row r="2228" spans="1:94" hidden="1">
      <c r="A2228"/>
      <c r="G2228" s="207"/>
      <c r="CP2228"/>
    </row>
    <row r="2229" spans="1:94" hidden="1">
      <c r="A2229"/>
      <c r="G2229" s="207"/>
      <c r="CP2229"/>
    </row>
    <row r="2230" spans="1:94" hidden="1">
      <c r="A2230"/>
      <c r="G2230" s="207"/>
      <c r="CP2230"/>
    </row>
    <row r="2231" spans="1:94" hidden="1">
      <c r="A2231"/>
      <c r="G2231" s="207"/>
      <c r="CP2231"/>
    </row>
    <row r="2232" spans="1:94" hidden="1">
      <c r="A2232"/>
      <c r="G2232" s="207"/>
      <c r="CP2232"/>
    </row>
    <row r="2233" spans="1:94" hidden="1">
      <c r="A2233"/>
      <c r="G2233" s="207"/>
      <c r="CP2233"/>
    </row>
    <row r="2234" spans="1:94" hidden="1">
      <c r="A2234"/>
      <c r="G2234" s="207"/>
      <c r="CP2234"/>
    </row>
    <row r="2235" spans="1:94" hidden="1">
      <c r="A2235"/>
      <c r="G2235" s="207"/>
      <c r="CP2235"/>
    </row>
    <row r="2236" spans="1:94" hidden="1">
      <c r="A2236"/>
      <c r="G2236" s="207"/>
      <c r="CP2236"/>
    </row>
    <row r="2237" spans="1:94" hidden="1">
      <c r="A2237"/>
      <c r="G2237" s="207"/>
      <c r="CP2237"/>
    </row>
    <row r="2238" spans="1:94" hidden="1">
      <c r="A2238"/>
      <c r="G2238" s="207"/>
      <c r="CP2238"/>
    </row>
    <row r="2239" spans="1:94" hidden="1">
      <c r="A2239"/>
      <c r="G2239" s="207"/>
      <c r="CP2239"/>
    </row>
    <row r="2240" spans="1:94" hidden="1">
      <c r="A2240"/>
      <c r="G2240" s="207"/>
      <c r="CP2240"/>
    </row>
    <row r="2241" spans="1:94" hidden="1">
      <c r="A2241"/>
      <c r="G2241" s="207"/>
      <c r="CP2241"/>
    </row>
    <row r="2242" spans="1:94" hidden="1">
      <c r="A2242"/>
      <c r="G2242" s="207"/>
      <c r="CP2242"/>
    </row>
    <row r="2243" spans="1:94" hidden="1">
      <c r="A2243"/>
      <c r="G2243" s="207"/>
      <c r="CP2243"/>
    </row>
    <row r="2244" spans="1:94" hidden="1">
      <c r="A2244"/>
      <c r="G2244" s="207"/>
      <c r="CP2244"/>
    </row>
    <row r="2245" spans="1:94" hidden="1">
      <c r="A2245"/>
      <c r="G2245" s="207"/>
      <c r="CP2245"/>
    </row>
    <row r="2246" spans="1:94" hidden="1">
      <c r="A2246"/>
      <c r="G2246" s="207"/>
      <c r="CP2246"/>
    </row>
    <row r="2247" spans="1:94" hidden="1">
      <c r="A2247"/>
      <c r="G2247" s="207"/>
      <c r="CP2247"/>
    </row>
    <row r="2248" spans="1:94" hidden="1">
      <c r="A2248"/>
      <c r="G2248" s="207"/>
      <c r="CP2248"/>
    </row>
    <row r="2249" spans="1:94" hidden="1">
      <c r="A2249"/>
      <c r="G2249" s="207"/>
      <c r="CP2249"/>
    </row>
    <row r="2250" spans="1:94" hidden="1">
      <c r="A2250"/>
      <c r="G2250" s="207"/>
      <c r="CP2250"/>
    </row>
    <row r="2251" spans="1:94" hidden="1">
      <c r="A2251"/>
      <c r="G2251" s="207"/>
      <c r="CP2251"/>
    </row>
    <row r="2252" spans="1:94" hidden="1">
      <c r="A2252"/>
      <c r="G2252" s="207"/>
      <c r="CP2252"/>
    </row>
    <row r="2253" spans="1:94" hidden="1">
      <c r="A2253"/>
      <c r="G2253" s="207"/>
      <c r="CP2253"/>
    </row>
    <row r="2254" spans="1:94" hidden="1">
      <c r="A2254"/>
      <c r="G2254" s="207"/>
      <c r="CP2254"/>
    </row>
    <row r="2255" spans="1:94" hidden="1">
      <c r="A2255"/>
      <c r="G2255" s="207"/>
      <c r="CP2255"/>
    </row>
    <row r="2256" spans="1:94" hidden="1">
      <c r="A2256"/>
      <c r="G2256" s="207"/>
      <c r="CP2256"/>
    </row>
    <row r="2257" spans="1:94" hidden="1">
      <c r="A2257"/>
      <c r="G2257" s="207"/>
      <c r="CP2257"/>
    </row>
    <row r="2258" spans="1:94" hidden="1">
      <c r="A2258"/>
      <c r="G2258" s="207"/>
      <c r="CP2258"/>
    </row>
    <row r="2259" spans="1:94" hidden="1">
      <c r="A2259"/>
      <c r="G2259" s="207"/>
      <c r="CP2259"/>
    </row>
    <row r="2260" spans="1:94" hidden="1">
      <c r="A2260"/>
      <c r="G2260" s="207"/>
      <c r="CP2260"/>
    </row>
    <row r="2261" spans="1:94" hidden="1">
      <c r="A2261"/>
      <c r="G2261" s="207"/>
      <c r="CP2261"/>
    </row>
    <row r="2262" spans="1:94" hidden="1">
      <c r="A2262"/>
      <c r="G2262" s="207"/>
      <c r="CP2262"/>
    </row>
    <row r="2263" spans="1:94" hidden="1">
      <c r="A2263"/>
      <c r="G2263" s="207"/>
      <c r="CP2263"/>
    </row>
    <row r="2264" spans="1:94" hidden="1">
      <c r="A2264"/>
      <c r="G2264" s="207"/>
      <c r="CP2264"/>
    </row>
    <row r="2265" spans="1:94" hidden="1">
      <c r="A2265"/>
      <c r="G2265" s="207"/>
      <c r="CP2265"/>
    </row>
    <row r="2266" spans="1:94" hidden="1">
      <c r="A2266"/>
      <c r="G2266" s="207"/>
      <c r="CP2266"/>
    </row>
    <row r="2267" spans="1:94" hidden="1">
      <c r="A2267"/>
      <c r="G2267" s="207"/>
      <c r="CP2267"/>
    </row>
    <row r="2268" spans="1:94" hidden="1">
      <c r="A2268"/>
      <c r="G2268" s="207"/>
      <c r="CP2268"/>
    </row>
    <row r="2269" spans="1:94" hidden="1">
      <c r="A2269"/>
      <c r="G2269" s="207"/>
      <c r="CP2269"/>
    </row>
    <row r="2270" spans="1:94" hidden="1">
      <c r="A2270"/>
      <c r="G2270" s="207"/>
      <c r="CP2270"/>
    </row>
    <row r="2271" spans="1:94" hidden="1">
      <c r="A2271"/>
      <c r="G2271" s="207"/>
      <c r="CP2271"/>
    </row>
    <row r="2272" spans="1:94" hidden="1">
      <c r="A2272"/>
      <c r="G2272" s="207"/>
      <c r="CP2272"/>
    </row>
    <row r="2273" spans="1:94" hidden="1">
      <c r="A2273"/>
      <c r="G2273" s="207"/>
      <c r="CP2273"/>
    </row>
    <row r="2274" spans="1:94" hidden="1">
      <c r="A2274"/>
      <c r="G2274" s="207"/>
      <c r="CP2274"/>
    </row>
    <row r="2275" spans="1:94" hidden="1">
      <c r="A2275"/>
      <c r="G2275" s="207"/>
      <c r="CP2275"/>
    </row>
    <row r="2276" spans="1:94" hidden="1">
      <c r="A2276"/>
      <c r="G2276" s="207"/>
      <c r="CP2276"/>
    </row>
    <row r="2277" spans="1:94" hidden="1">
      <c r="A2277"/>
      <c r="G2277" s="207"/>
      <c r="CP2277"/>
    </row>
    <row r="2278" spans="1:94" hidden="1">
      <c r="A2278"/>
      <c r="G2278" s="207"/>
      <c r="CP2278"/>
    </row>
    <row r="2279" spans="1:94" hidden="1">
      <c r="A2279"/>
      <c r="G2279" s="207"/>
      <c r="CP2279"/>
    </row>
    <row r="2280" spans="1:94" hidden="1">
      <c r="A2280"/>
      <c r="G2280" s="207"/>
      <c r="CP2280"/>
    </row>
    <row r="2281" spans="1:94" hidden="1">
      <c r="A2281"/>
      <c r="G2281" s="207"/>
      <c r="CP2281"/>
    </row>
    <row r="2282" spans="1:94" hidden="1">
      <c r="A2282"/>
      <c r="G2282" s="207"/>
      <c r="CP2282"/>
    </row>
    <row r="2283" spans="1:94" hidden="1">
      <c r="A2283"/>
      <c r="G2283" s="207"/>
      <c r="CP2283"/>
    </row>
    <row r="2284" spans="1:94" hidden="1">
      <c r="A2284"/>
      <c r="G2284" s="207"/>
      <c r="CP2284"/>
    </row>
    <row r="2285" spans="1:94" hidden="1">
      <c r="A2285"/>
      <c r="G2285" s="207"/>
      <c r="CP2285"/>
    </row>
    <row r="2286" spans="1:94" hidden="1">
      <c r="A2286"/>
      <c r="G2286" s="207"/>
      <c r="CP2286"/>
    </row>
    <row r="2287" spans="1:94" hidden="1">
      <c r="A2287"/>
      <c r="G2287" s="207"/>
      <c r="CP2287"/>
    </row>
    <row r="2288" spans="1:94" hidden="1">
      <c r="A2288"/>
      <c r="G2288" s="207"/>
      <c r="CP2288"/>
    </row>
    <row r="2289" spans="1:94" hidden="1">
      <c r="A2289"/>
      <c r="G2289" s="207"/>
      <c r="CP2289"/>
    </row>
    <row r="2290" spans="1:94" hidden="1">
      <c r="A2290"/>
      <c r="G2290" s="207"/>
      <c r="CP2290"/>
    </row>
    <row r="2291" spans="1:94" hidden="1">
      <c r="A2291"/>
      <c r="G2291" s="207"/>
      <c r="CP2291"/>
    </row>
    <row r="2292" spans="1:94" hidden="1">
      <c r="A2292"/>
      <c r="G2292" s="207"/>
      <c r="CP2292"/>
    </row>
    <row r="2293" spans="1:94" hidden="1">
      <c r="A2293"/>
      <c r="G2293" s="207"/>
      <c r="CP2293"/>
    </row>
    <row r="2294" spans="1:94" hidden="1">
      <c r="A2294"/>
      <c r="G2294" s="207"/>
      <c r="CP2294"/>
    </row>
    <row r="2295" spans="1:94" hidden="1">
      <c r="A2295"/>
      <c r="G2295" s="207"/>
      <c r="CP2295"/>
    </row>
    <row r="2296" spans="1:94" hidden="1">
      <c r="A2296"/>
      <c r="G2296" s="207"/>
      <c r="CP2296"/>
    </row>
    <row r="2297" spans="1:94" hidden="1">
      <c r="A2297"/>
      <c r="G2297" s="207"/>
      <c r="CP2297"/>
    </row>
    <row r="2298" spans="1:94" hidden="1">
      <c r="A2298"/>
      <c r="G2298" s="207"/>
      <c r="CP2298"/>
    </row>
    <row r="2299" spans="1:94" hidden="1">
      <c r="A2299"/>
      <c r="G2299" s="207"/>
      <c r="CP2299"/>
    </row>
    <row r="2300" spans="1:94" hidden="1">
      <c r="A2300"/>
      <c r="G2300" s="207"/>
      <c r="CP2300"/>
    </row>
    <row r="2301" spans="1:94" hidden="1">
      <c r="A2301"/>
      <c r="G2301" s="207"/>
      <c r="CP2301"/>
    </row>
    <row r="2302" spans="1:94" hidden="1">
      <c r="A2302"/>
      <c r="G2302" s="207"/>
      <c r="CP2302"/>
    </row>
    <row r="2303" spans="1:94" hidden="1">
      <c r="A2303"/>
      <c r="G2303" s="207"/>
      <c r="CP2303"/>
    </row>
    <row r="2304" spans="1:94" hidden="1">
      <c r="A2304"/>
      <c r="G2304" s="207"/>
      <c r="CP2304"/>
    </row>
    <row r="2305" spans="1:94" hidden="1">
      <c r="A2305"/>
      <c r="G2305" s="207"/>
      <c r="CP2305"/>
    </row>
    <row r="2306" spans="1:94" hidden="1">
      <c r="A2306"/>
      <c r="G2306" s="207"/>
      <c r="CP2306"/>
    </row>
    <row r="2307" spans="1:94" hidden="1">
      <c r="A2307"/>
      <c r="G2307" s="207"/>
      <c r="CP2307"/>
    </row>
    <row r="2308" spans="1:94" hidden="1">
      <c r="A2308"/>
      <c r="G2308" s="207"/>
      <c r="CP2308"/>
    </row>
    <row r="2309" spans="1:94" hidden="1">
      <c r="A2309"/>
      <c r="G2309" s="207"/>
      <c r="CP2309"/>
    </row>
    <row r="2310" spans="1:94" hidden="1">
      <c r="A2310"/>
      <c r="G2310" s="207"/>
      <c r="CP2310"/>
    </row>
    <row r="2311" spans="1:94" hidden="1">
      <c r="A2311"/>
      <c r="G2311" s="207"/>
      <c r="CP2311"/>
    </row>
    <row r="2312" spans="1:94" hidden="1">
      <c r="A2312"/>
      <c r="G2312" s="207"/>
      <c r="CP2312"/>
    </row>
    <row r="2313" spans="1:94" hidden="1">
      <c r="A2313"/>
      <c r="G2313" s="207"/>
      <c r="CP2313"/>
    </row>
    <row r="2314" spans="1:94" hidden="1">
      <c r="A2314"/>
      <c r="G2314" s="207"/>
      <c r="CP2314"/>
    </row>
    <row r="2315" spans="1:94" hidden="1">
      <c r="A2315"/>
      <c r="G2315" s="207"/>
      <c r="CP2315"/>
    </row>
    <row r="2316" spans="1:94" hidden="1">
      <c r="A2316"/>
      <c r="G2316" s="207"/>
      <c r="CP2316"/>
    </row>
    <row r="2317" spans="1:94" hidden="1">
      <c r="A2317"/>
      <c r="G2317" s="207"/>
      <c r="CP2317"/>
    </row>
    <row r="2318" spans="1:94" hidden="1">
      <c r="A2318"/>
      <c r="G2318" s="207"/>
      <c r="CP2318"/>
    </row>
    <row r="2319" spans="1:94" hidden="1">
      <c r="A2319"/>
      <c r="G2319" s="207"/>
      <c r="CP2319"/>
    </row>
    <row r="2320" spans="1:94" hidden="1">
      <c r="A2320"/>
      <c r="G2320" s="207"/>
      <c r="CP2320"/>
    </row>
    <row r="2321" spans="1:94" hidden="1">
      <c r="A2321"/>
      <c r="G2321" s="207"/>
      <c r="CP2321"/>
    </row>
    <row r="2322" spans="1:94" hidden="1">
      <c r="A2322"/>
      <c r="G2322" s="207"/>
      <c r="CP2322"/>
    </row>
    <row r="2323" spans="1:94" hidden="1">
      <c r="A2323"/>
      <c r="G2323" s="207"/>
      <c r="CP2323"/>
    </row>
    <row r="2324" spans="1:94" hidden="1">
      <c r="A2324"/>
      <c r="G2324" s="207"/>
      <c r="CP2324"/>
    </row>
    <row r="2325" spans="1:94" hidden="1">
      <c r="A2325"/>
      <c r="G2325" s="207"/>
      <c r="CP2325"/>
    </row>
    <row r="2326" spans="1:94" hidden="1">
      <c r="A2326"/>
      <c r="G2326" s="207"/>
      <c r="CP2326"/>
    </row>
    <row r="2327" spans="1:94" hidden="1">
      <c r="A2327"/>
      <c r="G2327" s="207"/>
      <c r="CP2327"/>
    </row>
    <row r="2328" spans="1:94" hidden="1">
      <c r="A2328"/>
      <c r="G2328" s="207"/>
      <c r="CP2328"/>
    </row>
    <row r="2329" spans="1:94" hidden="1">
      <c r="A2329"/>
      <c r="G2329" s="207"/>
      <c r="CP2329"/>
    </row>
    <row r="2330" spans="1:94" hidden="1">
      <c r="A2330"/>
      <c r="G2330" s="207"/>
      <c r="CP2330"/>
    </row>
    <row r="2331" spans="1:94" hidden="1">
      <c r="A2331"/>
      <c r="G2331" s="207"/>
      <c r="CP2331"/>
    </row>
    <row r="2332" spans="1:94" hidden="1">
      <c r="A2332"/>
      <c r="G2332" s="207"/>
      <c r="CP2332"/>
    </row>
    <row r="2333" spans="1:94" hidden="1">
      <c r="A2333"/>
      <c r="G2333" s="207"/>
      <c r="CP2333"/>
    </row>
    <row r="2334" spans="1:94" hidden="1">
      <c r="A2334"/>
      <c r="G2334" s="207"/>
      <c r="CP2334"/>
    </row>
    <row r="2335" spans="1:94" hidden="1">
      <c r="A2335"/>
      <c r="G2335" s="207"/>
      <c r="CP2335"/>
    </row>
    <row r="2336" spans="1:94" hidden="1">
      <c r="A2336"/>
      <c r="G2336" s="207"/>
      <c r="CP2336"/>
    </row>
    <row r="2337" spans="1:94" hidden="1">
      <c r="A2337"/>
      <c r="G2337" s="207"/>
      <c r="CP2337"/>
    </row>
    <row r="2338" spans="1:94" hidden="1">
      <c r="A2338"/>
      <c r="G2338" s="207"/>
      <c r="CP2338"/>
    </row>
    <row r="2339" spans="1:94" hidden="1">
      <c r="A2339"/>
      <c r="G2339" s="207"/>
      <c r="CP2339"/>
    </row>
    <row r="2340" spans="1:94" hidden="1">
      <c r="A2340"/>
      <c r="G2340" s="207"/>
      <c r="CP2340"/>
    </row>
    <row r="2341" spans="1:94" hidden="1">
      <c r="A2341"/>
      <c r="G2341" s="207"/>
      <c r="CP2341"/>
    </row>
    <row r="2342" spans="1:94" hidden="1">
      <c r="A2342"/>
      <c r="G2342" s="207"/>
      <c r="CP2342"/>
    </row>
    <row r="2343" spans="1:94" hidden="1">
      <c r="A2343"/>
      <c r="G2343" s="207"/>
      <c r="CP2343"/>
    </row>
    <row r="2344" spans="1:94" hidden="1">
      <c r="A2344"/>
      <c r="G2344" s="207"/>
      <c r="CP2344"/>
    </row>
    <row r="2345" spans="1:94" hidden="1">
      <c r="A2345"/>
      <c r="G2345" s="207"/>
      <c r="CP2345"/>
    </row>
    <row r="2346" spans="1:94" hidden="1">
      <c r="A2346"/>
      <c r="G2346" s="207"/>
      <c r="CP2346"/>
    </row>
    <row r="2347" spans="1:94" hidden="1">
      <c r="A2347"/>
      <c r="G2347" s="207"/>
      <c r="CP2347"/>
    </row>
    <row r="2348" spans="1:94" hidden="1">
      <c r="A2348"/>
      <c r="G2348" s="207"/>
      <c r="CP2348"/>
    </row>
    <row r="2349" spans="1:94" hidden="1">
      <c r="A2349"/>
      <c r="G2349" s="207"/>
      <c r="CP2349"/>
    </row>
    <row r="2350" spans="1:94" hidden="1">
      <c r="A2350"/>
      <c r="G2350" s="207"/>
      <c r="CP2350"/>
    </row>
    <row r="2351" spans="1:94" hidden="1">
      <c r="A2351"/>
      <c r="G2351" s="207"/>
      <c r="CP2351"/>
    </row>
    <row r="2352" spans="1:94" hidden="1">
      <c r="A2352"/>
      <c r="G2352" s="207"/>
      <c r="CP2352"/>
    </row>
    <row r="2353" spans="1:94" hidden="1">
      <c r="A2353"/>
      <c r="G2353" s="207"/>
      <c r="CP2353"/>
    </row>
    <row r="2354" spans="1:94" hidden="1">
      <c r="A2354"/>
      <c r="G2354" s="207"/>
      <c r="CP2354"/>
    </row>
    <row r="2355" spans="1:94" hidden="1">
      <c r="A2355"/>
      <c r="G2355" s="207"/>
      <c r="CP2355"/>
    </row>
    <row r="2356" spans="1:94" hidden="1">
      <c r="A2356"/>
      <c r="G2356" s="207"/>
      <c r="CP2356"/>
    </row>
    <row r="2357" spans="1:94" hidden="1">
      <c r="A2357"/>
      <c r="G2357" s="207"/>
      <c r="CP2357"/>
    </row>
    <row r="2358" spans="1:94" hidden="1">
      <c r="A2358"/>
      <c r="G2358" s="207"/>
      <c r="CP2358"/>
    </row>
    <row r="2359" spans="1:94" hidden="1">
      <c r="A2359"/>
      <c r="G2359" s="207"/>
      <c r="CP2359"/>
    </row>
    <row r="2360" spans="1:94" hidden="1">
      <c r="A2360"/>
      <c r="G2360" s="207"/>
      <c r="CP2360"/>
    </row>
    <row r="2361" spans="1:94" hidden="1">
      <c r="A2361"/>
      <c r="G2361" s="207"/>
      <c r="CP2361"/>
    </row>
    <row r="2362" spans="1:94" hidden="1">
      <c r="A2362"/>
      <c r="G2362" s="207"/>
      <c r="CP2362"/>
    </row>
    <row r="2363" spans="1:94" hidden="1">
      <c r="A2363"/>
      <c r="G2363" s="207"/>
      <c r="CP2363"/>
    </row>
    <row r="2364" spans="1:94" hidden="1">
      <c r="A2364"/>
      <c r="G2364" s="207"/>
      <c r="CP2364"/>
    </row>
    <row r="2365" spans="1:94" hidden="1">
      <c r="A2365"/>
      <c r="G2365" s="207"/>
      <c r="CP2365"/>
    </row>
    <row r="2366" spans="1:94" hidden="1">
      <c r="A2366"/>
      <c r="G2366" s="207"/>
      <c r="CP2366"/>
    </row>
    <row r="2367" spans="1:94" hidden="1">
      <c r="A2367"/>
      <c r="G2367" s="207"/>
      <c r="CP2367"/>
    </row>
    <row r="2368" spans="1:94" hidden="1">
      <c r="A2368"/>
      <c r="G2368" s="207"/>
      <c r="CP2368"/>
    </row>
    <row r="2369" spans="1:94" hidden="1">
      <c r="A2369"/>
      <c r="G2369" s="207"/>
      <c r="CP2369"/>
    </row>
    <row r="2370" spans="1:94" hidden="1">
      <c r="A2370"/>
      <c r="G2370" s="207"/>
      <c r="CP2370"/>
    </row>
    <row r="2371" spans="1:94" hidden="1">
      <c r="A2371"/>
      <c r="G2371" s="207"/>
      <c r="CP2371"/>
    </row>
    <row r="2372" spans="1:94" hidden="1">
      <c r="A2372"/>
      <c r="G2372" s="207"/>
      <c r="CP2372"/>
    </row>
    <row r="2373" spans="1:94" hidden="1">
      <c r="A2373"/>
      <c r="G2373" s="207"/>
      <c r="CP2373"/>
    </row>
    <row r="2374" spans="1:94" hidden="1">
      <c r="A2374"/>
      <c r="G2374" s="207"/>
      <c r="CP2374"/>
    </row>
    <row r="2375" spans="1:94" hidden="1">
      <c r="A2375"/>
      <c r="G2375" s="207"/>
      <c r="CP2375"/>
    </row>
    <row r="2376" spans="1:94" hidden="1">
      <c r="A2376"/>
      <c r="G2376" s="207"/>
      <c r="CP2376"/>
    </row>
    <row r="2377" spans="1:94" hidden="1">
      <c r="A2377"/>
      <c r="G2377" s="207"/>
      <c r="CP2377"/>
    </row>
    <row r="2378" spans="1:94" hidden="1">
      <c r="A2378"/>
      <c r="G2378" s="207"/>
      <c r="CP2378"/>
    </row>
    <row r="2379" spans="1:94" hidden="1">
      <c r="A2379"/>
      <c r="G2379" s="207"/>
      <c r="CP2379"/>
    </row>
    <row r="2380" spans="1:94" hidden="1">
      <c r="A2380"/>
      <c r="G2380" s="207"/>
      <c r="CP2380"/>
    </row>
    <row r="2381" spans="1:94" hidden="1">
      <c r="A2381"/>
      <c r="G2381" s="207"/>
      <c r="CP2381"/>
    </row>
    <row r="2382" spans="1:94" hidden="1">
      <c r="A2382"/>
      <c r="G2382" s="207"/>
      <c r="CP2382"/>
    </row>
    <row r="2383" spans="1:94" hidden="1">
      <c r="A2383"/>
      <c r="G2383" s="207"/>
      <c r="CP2383"/>
    </row>
    <row r="2384" spans="1:94" hidden="1">
      <c r="A2384"/>
      <c r="G2384" s="207"/>
      <c r="CP2384"/>
    </row>
    <row r="2385" spans="1:94" hidden="1">
      <c r="A2385"/>
      <c r="G2385" s="207"/>
      <c r="CP2385"/>
    </row>
    <row r="2386" spans="1:94" hidden="1">
      <c r="A2386"/>
      <c r="G2386" s="207"/>
      <c r="CP2386"/>
    </row>
    <row r="2387" spans="1:94" hidden="1">
      <c r="A2387"/>
      <c r="G2387" s="207"/>
      <c r="CP2387"/>
    </row>
    <row r="2388" spans="1:94" hidden="1">
      <c r="A2388"/>
      <c r="G2388" s="207"/>
      <c r="CP2388"/>
    </row>
    <row r="2389" spans="1:94" hidden="1">
      <c r="A2389"/>
      <c r="G2389" s="207"/>
      <c r="CP2389"/>
    </row>
    <row r="2390" spans="1:94" hidden="1">
      <c r="A2390"/>
      <c r="G2390" s="207"/>
      <c r="CP2390"/>
    </row>
    <row r="2391" spans="1:94" hidden="1">
      <c r="A2391"/>
      <c r="G2391" s="207"/>
      <c r="CP2391"/>
    </row>
    <row r="2392" spans="1:94" hidden="1">
      <c r="A2392"/>
      <c r="G2392" s="207"/>
      <c r="CP2392"/>
    </row>
    <row r="2393" spans="1:94" hidden="1">
      <c r="A2393"/>
      <c r="G2393" s="207"/>
      <c r="CP2393"/>
    </row>
    <row r="2394" spans="1:94" hidden="1">
      <c r="A2394"/>
      <c r="G2394" s="207"/>
      <c r="CP2394"/>
    </row>
    <row r="2395" spans="1:94" hidden="1">
      <c r="A2395"/>
      <c r="G2395" s="207"/>
      <c r="CP2395"/>
    </row>
    <row r="2396" spans="1:94" hidden="1">
      <c r="A2396"/>
      <c r="G2396" s="207"/>
      <c r="CP2396"/>
    </row>
    <row r="2397" spans="1:94" hidden="1">
      <c r="A2397"/>
      <c r="G2397" s="207"/>
      <c r="CP2397"/>
    </row>
    <row r="2398" spans="1:94" hidden="1">
      <c r="A2398"/>
      <c r="G2398" s="207"/>
      <c r="CP2398"/>
    </row>
    <row r="2399" spans="1:94" hidden="1">
      <c r="A2399"/>
      <c r="G2399" s="207"/>
      <c r="CP2399"/>
    </row>
    <row r="2400" spans="1:94" hidden="1">
      <c r="A2400"/>
      <c r="G2400" s="207"/>
      <c r="CP2400"/>
    </row>
    <row r="2401" spans="1:94" hidden="1">
      <c r="A2401"/>
      <c r="G2401" s="207"/>
      <c r="CP2401"/>
    </row>
    <row r="2402" spans="1:94" hidden="1">
      <c r="A2402"/>
      <c r="G2402" s="207"/>
      <c r="CP2402"/>
    </row>
    <row r="2403" spans="1:94" hidden="1">
      <c r="A2403"/>
      <c r="G2403" s="207"/>
      <c r="CP2403"/>
    </row>
    <row r="2404" spans="1:94" hidden="1">
      <c r="A2404"/>
      <c r="G2404" s="207"/>
      <c r="CP2404"/>
    </row>
    <row r="2405" spans="1:94" hidden="1">
      <c r="A2405"/>
      <c r="G2405" s="207"/>
      <c r="CP2405"/>
    </row>
    <row r="2406" spans="1:94" hidden="1">
      <c r="A2406"/>
      <c r="G2406" s="207"/>
      <c r="CP2406"/>
    </row>
    <row r="2407" spans="1:94" hidden="1">
      <c r="A2407"/>
      <c r="G2407" s="207"/>
      <c r="CP2407"/>
    </row>
    <row r="2408" spans="1:94" hidden="1">
      <c r="A2408"/>
      <c r="G2408" s="207"/>
      <c r="CP2408"/>
    </row>
    <row r="2409" spans="1:94" hidden="1">
      <c r="A2409"/>
      <c r="G2409" s="207"/>
      <c r="CP2409"/>
    </row>
    <row r="2410" spans="1:94" hidden="1">
      <c r="A2410"/>
      <c r="G2410" s="207"/>
      <c r="CP2410"/>
    </row>
    <row r="2411" spans="1:94" hidden="1">
      <c r="A2411"/>
      <c r="G2411" s="207"/>
      <c r="CP2411"/>
    </row>
    <row r="2412" spans="1:94" hidden="1">
      <c r="A2412"/>
      <c r="G2412" s="207"/>
      <c r="CP2412"/>
    </row>
    <row r="2413" spans="1:94" hidden="1">
      <c r="A2413"/>
      <c r="G2413" s="207"/>
      <c r="CP2413"/>
    </row>
    <row r="2414" spans="1:94" hidden="1">
      <c r="A2414"/>
      <c r="G2414" s="207"/>
      <c r="CP2414"/>
    </row>
    <row r="2415" spans="1:94" hidden="1">
      <c r="A2415"/>
      <c r="G2415" s="207"/>
      <c r="CP2415"/>
    </row>
    <row r="2416" spans="1:94" hidden="1">
      <c r="A2416"/>
      <c r="G2416" s="207"/>
      <c r="CP2416"/>
    </row>
    <row r="2417" spans="1:94" hidden="1">
      <c r="A2417"/>
      <c r="G2417" s="207"/>
      <c r="CP2417"/>
    </row>
    <row r="2418" spans="1:94" hidden="1">
      <c r="A2418"/>
      <c r="G2418" s="207"/>
      <c r="CP2418"/>
    </row>
    <row r="2419" spans="1:94" hidden="1">
      <c r="A2419"/>
      <c r="G2419" s="207"/>
      <c r="CP2419"/>
    </row>
    <row r="2420" spans="1:94" hidden="1">
      <c r="A2420"/>
      <c r="G2420" s="207"/>
      <c r="CP2420"/>
    </row>
    <row r="2421" spans="1:94" hidden="1">
      <c r="A2421"/>
      <c r="G2421" s="207"/>
      <c r="CP2421"/>
    </row>
    <row r="2422" spans="1:94" hidden="1">
      <c r="A2422"/>
      <c r="G2422" s="207"/>
      <c r="CP2422"/>
    </row>
    <row r="2423" spans="1:94" hidden="1">
      <c r="A2423"/>
      <c r="G2423" s="207"/>
      <c r="CP2423"/>
    </row>
    <row r="2424" spans="1:94" hidden="1">
      <c r="A2424"/>
      <c r="G2424" s="207"/>
      <c r="CP2424"/>
    </row>
    <row r="2425" spans="1:94" hidden="1">
      <c r="A2425"/>
      <c r="G2425" s="207"/>
      <c r="CP2425"/>
    </row>
    <row r="2426" spans="1:94" hidden="1">
      <c r="A2426"/>
      <c r="G2426" s="207"/>
      <c r="CP2426"/>
    </row>
    <row r="2427" spans="1:94" hidden="1">
      <c r="A2427"/>
      <c r="G2427" s="207"/>
      <c r="CP2427"/>
    </row>
    <row r="2428" spans="1:94" hidden="1">
      <c r="A2428"/>
      <c r="G2428" s="207"/>
      <c r="CP2428"/>
    </row>
    <row r="2429" spans="1:94" hidden="1">
      <c r="A2429"/>
      <c r="G2429" s="207"/>
      <c r="CP2429"/>
    </row>
    <row r="2430" spans="1:94" hidden="1">
      <c r="A2430"/>
      <c r="G2430" s="207"/>
      <c r="CP2430"/>
    </row>
    <row r="2431" spans="1:94" hidden="1">
      <c r="A2431"/>
      <c r="G2431" s="207"/>
      <c r="CP2431"/>
    </row>
    <row r="2432" spans="1:94" hidden="1">
      <c r="A2432"/>
      <c r="G2432" s="207"/>
      <c r="CP2432"/>
    </row>
    <row r="2433" spans="1:94" hidden="1">
      <c r="A2433"/>
      <c r="G2433" s="207"/>
      <c r="CP2433"/>
    </row>
    <row r="2434" spans="1:94" hidden="1">
      <c r="A2434"/>
      <c r="G2434" s="207"/>
      <c r="CP2434"/>
    </row>
    <row r="2435" spans="1:94" hidden="1">
      <c r="A2435"/>
      <c r="G2435" s="207"/>
      <c r="CP2435"/>
    </row>
    <row r="2436" spans="1:94" hidden="1">
      <c r="A2436"/>
      <c r="G2436" s="207"/>
      <c r="CP2436"/>
    </row>
    <row r="2437" spans="1:94" hidden="1">
      <c r="A2437"/>
      <c r="G2437" s="207"/>
      <c r="CP2437"/>
    </row>
    <row r="2438" spans="1:94" hidden="1">
      <c r="A2438"/>
      <c r="G2438" s="207"/>
      <c r="CP2438"/>
    </row>
    <row r="2439" spans="1:94" hidden="1">
      <c r="A2439"/>
      <c r="G2439" s="207"/>
      <c r="CP2439"/>
    </row>
    <row r="2440" spans="1:94" hidden="1">
      <c r="A2440"/>
      <c r="G2440" s="207"/>
      <c r="CP2440"/>
    </row>
    <row r="2441" spans="1:94" hidden="1">
      <c r="A2441"/>
      <c r="G2441" s="207"/>
      <c r="CP2441"/>
    </row>
    <row r="2442" spans="1:94" hidden="1">
      <c r="A2442"/>
      <c r="G2442" s="207"/>
      <c r="CP2442"/>
    </row>
    <row r="2443" spans="1:94" hidden="1">
      <c r="A2443"/>
      <c r="G2443" s="207"/>
      <c r="CP2443"/>
    </row>
    <row r="2444" spans="1:94" hidden="1">
      <c r="A2444"/>
      <c r="G2444" s="207"/>
      <c r="CP2444"/>
    </row>
    <row r="2445" spans="1:94" hidden="1">
      <c r="A2445"/>
      <c r="G2445" s="207"/>
      <c r="CP2445"/>
    </row>
    <row r="2446" spans="1:94" hidden="1">
      <c r="A2446"/>
      <c r="G2446" s="207"/>
      <c r="CP2446"/>
    </row>
    <row r="2447" spans="1:94" hidden="1">
      <c r="A2447"/>
      <c r="G2447" s="207"/>
      <c r="CP2447"/>
    </row>
    <row r="2448" spans="1:94" hidden="1">
      <c r="A2448"/>
      <c r="G2448" s="207"/>
      <c r="CP2448"/>
    </row>
    <row r="2449" spans="1:94" hidden="1">
      <c r="A2449"/>
      <c r="G2449" s="207"/>
      <c r="CP2449"/>
    </row>
    <row r="2450" spans="1:94" hidden="1">
      <c r="A2450"/>
      <c r="G2450" s="207"/>
      <c r="CP2450"/>
    </row>
    <row r="2451" spans="1:94" hidden="1">
      <c r="A2451"/>
      <c r="G2451" s="207"/>
      <c r="CP2451"/>
    </row>
    <row r="2452" spans="1:94" hidden="1">
      <c r="A2452"/>
      <c r="G2452" s="207"/>
      <c r="CP2452"/>
    </row>
    <row r="2453" spans="1:94" hidden="1">
      <c r="A2453"/>
      <c r="G2453" s="207"/>
      <c r="CP2453"/>
    </row>
    <row r="2454" spans="1:94" hidden="1">
      <c r="A2454"/>
      <c r="G2454" s="207"/>
      <c r="CP2454"/>
    </row>
    <row r="2455" spans="1:94" hidden="1">
      <c r="A2455"/>
      <c r="G2455" s="207"/>
      <c r="CP2455"/>
    </row>
    <row r="2456" spans="1:94" hidden="1">
      <c r="A2456"/>
      <c r="G2456" s="207"/>
      <c r="CP2456"/>
    </row>
    <row r="2457" spans="1:94" hidden="1">
      <c r="A2457"/>
      <c r="G2457" s="207"/>
      <c r="CP2457"/>
    </row>
    <row r="2458" spans="1:94" hidden="1">
      <c r="A2458"/>
      <c r="G2458" s="207"/>
      <c r="CP2458"/>
    </row>
    <row r="2459" spans="1:94" hidden="1">
      <c r="A2459"/>
      <c r="G2459" s="207"/>
      <c r="CP2459"/>
    </row>
    <row r="2460" spans="1:94" hidden="1">
      <c r="A2460"/>
      <c r="G2460" s="207"/>
      <c r="CP2460"/>
    </row>
    <row r="2461" spans="1:94" hidden="1">
      <c r="A2461"/>
      <c r="G2461" s="207"/>
      <c r="CP2461"/>
    </row>
    <row r="2462" spans="1:94" hidden="1">
      <c r="A2462"/>
      <c r="G2462" s="207"/>
      <c r="CP2462"/>
    </row>
    <row r="2463" spans="1:94" hidden="1">
      <c r="A2463"/>
      <c r="G2463" s="207"/>
      <c r="CP2463"/>
    </row>
    <row r="2464" spans="1:94" hidden="1">
      <c r="A2464"/>
      <c r="G2464" s="207"/>
      <c r="CP2464"/>
    </row>
    <row r="2465" spans="1:94" hidden="1">
      <c r="A2465"/>
      <c r="G2465" s="207"/>
      <c r="CP2465"/>
    </row>
    <row r="2466" spans="1:94" hidden="1">
      <c r="A2466"/>
      <c r="G2466" s="207"/>
      <c r="CP2466"/>
    </row>
    <row r="2467" spans="1:94" hidden="1">
      <c r="A2467"/>
      <c r="G2467" s="207"/>
      <c r="CP2467"/>
    </row>
    <row r="2468" spans="1:94" hidden="1">
      <c r="A2468"/>
      <c r="G2468" s="207"/>
      <c r="CP2468"/>
    </row>
    <row r="2469" spans="1:94" hidden="1">
      <c r="A2469"/>
      <c r="G2469" s="207"/>
      <c r="CP2469"/>
    </row>
    <row r="2470" spans="1:94" hidden="1">
      <c r="A2470"/>
      <c r="G2470" s="207"/>
      <c r="CP2470"/>
    </row>
    <row r="2471" spans="1:94" hidden="1">
      <c r="A2471"/>
      <c r="G2471" s="207"/>
      <c r="CP2471"/>
    </row>
    <row r="2472" spans="1:94" hidden="1">
      <c r="A2472"/>
      <c r="G2472" s="207"/>
      <c r="CP2472"/>
    </row>
    <row r="2473" spans="1:94" hidden="1">
      <c r="A2473"/>
      <c r="G2473" s="207"/>
      <c r="CP2473"/>
    </row>
    <row r="2474" spans="1:94" hidden="1">
      <c r="A2474"/>
      <c r="G2474" s="207"/>
      <c r="CP2474"/>
    </row>
    <row r="2475" spans="1:94" hidden="1">
      <c r="A2475"/>
      <c r="G2475" s="207"/>
      <c r="CP2475"/>
    </row>
    <row r="2476" spans="1:94" hidden="1">
      <c r="A2476"/>
      <c r="G2476" s="207"/>
      <c r="CP2476"/>
    </row>
    <row r="2477" spans="1:94" hidden="1">
      <c r="A2477"/>
      <c r="G2477" s="207"/>
      <c r="CP2477"/>
    </row>
    <row r="2478" spans="1:94" hidden="1">
      <c r="A2478"/>
      <c r="G2478" s="207"/>
      <c r="CP2478"/>
    </row>
    <row r="2479" spans="1:94" hidden="1">
      <c r="A2479"/>
      <c r="G2479" s="207"/>
      <c r="CP2479"/>
    </row>
    <row r="2480" spans="1:94" hidden="1">
      <c r="A2480"/>
      <c r="G2480" s="207"/>
      <c r="CP2480"/>
    </row>
    <row r="2481" spans="1:94" hidden="1">
      <c r="A2481"/>
      <c r="G2481" s="207"/>
      <c r="CP2481"/>
    </row>
    <row r="2482" spans="1:94" hidden="1">
      <c r="A2482"/>
      <c r="G2482" s="207"/>
      <c r="CP2482"/>
    </row>
    <row r="2483" spans="1:94" hidden="1">
      <c r="A2483"/>
      <c r="G2483" s="207"/>
      <c r="CP2483"/>
    </row>
    <row r="2484" spans="1:94" hidden="1">
      <c r="A2484"/>
      <c r="G2484" s="207"/>
      <c r="CP2484"/>
    </row>
    <row r="2485" spans="1:94" hidden="1">
      <c r="A2485"/>
      <c r="G2485" s="207"/>
      <c r="CP2485"/>
    </row>
    <row r="2486" spans="1:94" hidden="1">
      <c r="A2486"/>
      <c r="G2486" s="207"/>
      <c r="CP2486"/>
    </row>
    <row r="2487" spans="1:94" hidden="1">
      <c r="A2487"/>
      <c r="G2487" s="207"/>
      <c r="CP2487"/>
    </row>
    <row r="2488" spans="1:94" hidden="1">
      <c r="A2488"/>
      <c r="G2488" s="207"/>
      <c r="CP2488"/>
    </row>
    <row r="2489" spans="1:94" hidden="1">
      <c r="A2489"/>
      <c r="G2489" s="207"/>
      <c r="CP2489"/>
    </row>
    <row r="2490" spans="1:94" hidden="1">
      <c r="A2490"/>
      <c r="G2490" s="207"/>
      <c r="CP2490"/>
    </row>
    <row r="2491" spans="1:94" hidden="1">
      <c r="A2491"/>
      <c r="G2491" s="207"/>
      <c r="CP2491"/>
    </row>
    <row r="2492" spans="1:94" hidden="1">
      <c r="A2492"/>
      <c r="G2492" s="207"/>
      <c r="CP2492"/>
    </row>
    <row r="2493" spans="1:94" hidden="1">
      <c r="A2493"/>
      <c r="G2493" s="207"/>
      <c r="CP2493"/>
    </row>
    <row r="2494" spans="1:94" hidden="1">
      <c r="A2494"/>
      <c r="G2494" s="207"/>
      <c r="CP2494"/>
    </row>
    <row r="2495" spans="1:94" hidden="1">
      <c r="A2495"/>
      <c r="G2495" s="207"/>
      <c r="CP2495"/>
    </row>
    <row r="2496" spans="1:94" hidden="1">
      <c r="A2496"/>
      <c r="G2496" s="207"/>
      <c r="CP2496"/>
    </row>
    <row r="2497" spans="1:94" hidden="1">
      <c r="A2497"/>
      <c r="G2497" s="207"/>
      <c r="CP2497"/>
    </row>
    <row r="2498" spans="1:94" hidden="1">
      <c r="A2498"/>
      <c r="G2498" s="207"/>
      <c r="CP2498"/>
    </row>
    <row r="2499" spans="1:94" hidden="1">
      <c r="A2499"/>
      <c r="G2499" s="207"/>
      <c r="CP2499"/>
    </row>
    <row r="2500" spans="1:94" hidden="1">
      <c r="A2500"/>
      <c r="G2500" s="207"/>
      <c r="CP2500"/>
    </row>
    <row r="2501" spans="1:94" hidden="1">
      <c r="A2501"/>
      <c r="G2501" s="207"/>
      <c r="CP2501"/>
    </row>
    <row r="2502" spans="1:94" hidden="1">
      <c r="A2502"/>
      <c r="G2502" s="207"/>
      <c r="CP2502"/>
    </row>
    <row r="2503" spans="1:94" hidden="1">
      <c r="A2503"/>
      <c r="G2503" s="207"/>
      <c r="CP2503"/>
    </row>
    <row r="2504" spans="1:94" hidden="1">
      <c r="A2504"/>
      <c r="G2504" s="207"/>
      <c r="CP2504"/>
    </row>
    <row r="2505" spans="1:94" hidden="1">
      <c r="A2505"/>
      <c r="G2505" s="207"/>
      <c r="CP2505"/>
    </row>
    <row r="2506" spans="1:94" hidden="1">
      <c r="A2506"/>
      <c r="G2506" s="207"/>
      <c r="CP2506"/>
    </row>
    <row r="2507" spans="1:94" hidden="1">
      <c r="A2507"/>
      <c r="G2507" s="207"/>
      <c r="CP2507"/>
    </row>
    <row r="2508" spans="1:94" hidden="1">
      <c r="A2508"/>
      <c r="G2508" s="207"/>
      <c r="CP2508"/>
    </row>
    <row r="2509" spans="1:94" hidden="1">
      <c r="A2509"/>
      <c r="G2509" s="207"/>
      <c r="CP2509"/>
    </row>
    <row r="2510" spans="1:94" hidden="1">
      <c r="A2510"/>
      <c r="G2510" s="207"/>
      <c r="CP2510"/>
    </row>
    <row r="2511" spans="1:94" hidden="1">
      <c r="A2511"/>
      <c r="G2511" s="207"/>
      <c r="CP2511"/>
    </row>
    <row r="2512" spans="1:94" hidden="1">
      <c r="A2512"/>
      <c r="G2512" s="207"/>
      <c r="CP2512"/>
    </row>
    <row r="2513" spans="1:94" hidden="1">
      <c r="A2513"/>
      <c r="G2513" s="207"/>
      <c r="CP2513"/>
    </row>
    <row r="2514" spans="1:94" hidden="1">
      <c r="A2514"/>
      <c r="G2514" s="207"/>
      <c r="CP2514"/>
    </row>
    <row r="2515" spans="1:94" hidden="1">
      <c r="A2515"/>
      <c r="G2515" s="207"/>
      <c r="CP2515"/>
    </row>
    <row r="2516" spans="1:94" hidden="1">
      <c r="A2516"/>
      <c r="G2516" s="207"/>
      <c r="CP2516"/>
    </row>
    <row r="2517" spans="1:94" hidden="1">
      <c r="A2517"/>
      <c r="G2517" s="207"/>
      <c r="CP2517"/>
    </row>
    <row r="2518" spans="1:94" hidden="1">
      <c r="A2518"/>
      <c r="G2518" s="207"/>
      <c r="CP2518"/>
    </row>
    <row r="2519" spans="1:94" hidden="1">
      <c r="A2519"/>
      <c r="G2519" s="207"/>
      <c r="CP2519"/>
    </row>
    <row r="2520" spans="1:94" hidden="1">
      <c r="A2520"/>
      <c r="G2520" s="207"/>
      <c r="CP2520"/>
    </row>
    <row r="2521" spans="1:94" hidden="1">
      <c r="A2521"/>
      <c r="G2521" s="207"/>
      <c r="CP2521"/>
    </row>
    <row r="2522" spans="1:94" hidden="1">
      <c r="A2522"/>
      <c r="G2522" s="207"/>
      <c r="CP2522"/>
    </row>
    <row r="2523" spans="1:94" hidden="1">
      <c r="A2523"/>
      <c r="G2523" s="207"/>
      <c r="CP2523"/>
    </row>
    <row r="2524" spans="1:94" hidden="1">
      <c r="A2524"/>
      <c r="G2524" s="207"/>
      <c r="CP2524"/>
    </row>
    <row r="2525" spans="1:94" hidden="1">
      <c r="A2525"/>
      <c r="G2525" s="207"/>
      <c r="CP2525"/>
    </row>
    <row r="2526" spans="1:94" hidden="1">
      <c r="A2526"/>
      <c r="G2526" s="207"/>
      <c r="CP2526"/>
    </row>
    <row r="2527" spans="1:94" hidden="1">
      <c r="A2527"/>
      <c r="G2527" s="207"/>
      <c r="CP2527"/>
    </row>
    <row r="2528" spans="1:94" hidden="1">
      <c r="A2528"/>
      <c r="G2528" s="207"/>
      <c r="CP2528"/>
    </row>
    <row r="2529" spans="1:94" hidden="1">
      <c r="A2529"/>
      <c r="G2529" s="207"/>
      <c r="CP2529"/>
    </row>
    <row r="2530" spans="1:94" hidden="1">
      <c r="A2530"/>
      <c r="G2530" s="207"/>
      <c r="CP2530"/>
    </row>
    <row r="2531" spans="1:94" hidden="1">
      <c r="A2531"/>
      <c r="G2531" s="207"/>
      <c r="CP2531"/>
    </row>
    <row r="2532" spans="1:94" hidden="1">
      <c r="A2532"/>
      <c r="G2532" s="207"/>
      <c r="CP2532"/>
    </row>
    <row r="2533" spans="1:94" hidden="1">
      <c r="A2533"/>
      <c r="G2533" s="207"/>
      <c r="CP2533"/>
    </row>
    <row r="2534" spans="1:94" hidden="1">
      <c r="A2534"/>
      <c r="G2534" s="207"/>
      <c r="CP2534"/>
    </row>
    <row r="2535" spans="1:94" hidden="1">
      <c r="A2535"/>
      <c r="G2535" s="207"/>
      <c r="CP2535"/>
    </row>
    <row r="2536" spans="1:94" hidden="1">
      <c r="A2536"/>
      <c r="G2536" s="207"/>
      <c r="CP2536"/>
    </row>
    <row r="2537" spans="1:94" hidden="1">
      <c r="A2537"/>
      <c r="G2537" s="207"/>
      <c r="CP2537"/>
    </row>
    <row r="2538" spans="1:94" hidden="1">
      <c r="A2538"/>
      <c r="G2538" s="207"/>
      <c r="CP2538"/>
    </row>
    <row r="2539" spans="1:94" hidden="1">
      <c r="A2539"/>
      <c r="G2539" s="207"/>
      <c r="CP2539"/>
    </row>
    <row r="2540" spans="1:94" hidden="1">
      <c r="A2540"/>
      <c r="G2540" s="207"/>
      <c r="CP2540"/>
    </row>
    <row r="2541" spans="1:94" hidden="1">
      <c r="A2541"/>
      <c r="G2541" s="207"/>
      <c r="CP2541"/>
    </row>
    <row r="2542" spans="1:94" hidden="1">
      <c r="A2542"/>
      <c r="G2542" s="207"/>
      <c r="CP2542"/>
    </row>
    <row r="2543" spans="1:94" hidden="1">
      <c r="A2543"/>
      <c r="G2543" s="207"/>
      <c r="CP2543"/>
    </row>
    <row r="2544" spans="1:94" hidden="1">
      <c r="A2544"/>
      <c r="G2544" s="207"/>
      <c r="CP2544"/>
    </row>
    <row r="2545" spans="1:94" hidden="1">
      <c r="A2545"/>
      <c r="G2545" s="207"/>
      <c r="CP2545"/>
    </row>
    <row r="2546" spans="1:94" hidden="1">
      <c r="A2546"/>
      <c r="G2546" s="207"/>
      <c r="CP2546"/>
    </row>
    <row r="2547" spans="1:94" hidden="1">
      <c r="A2547"/>
      <c r="G2547" s="207"/>
      <c r="CP2547"/>
    </row>
    <row r="2548" spans="1:94" hidden="1">
      <c r="A2548"/>
      <c r="G2548" s="207"/>
      <c r="CP2548"/>
    </row>
    <row r="2549" spans="1:94" hidden="1">
      <c r="A2549"/>
      <c r="G2549" s="207"/>
      <c r="CP2549"/>
    </row>
    <row r="2550" spans="1:94" hidden="1">
      <c r="A2550"/>
      <c r="G2550" s="207"/>
      <c r="CP2550"/>
    </row>
    <row r="2551" spans="1:94" hidden="1">
      <c r="A2551"/>
      <c r="G2551" s="207"/>
      <c r="CP2551"/>
    </row>
    <row r="2552" spans="1:94" hidden="1">
      <c r="A2552"/>
      <c r="G2552" s="207"/>
      <c r="CP2552"/>
    </row>
    <row r="2553" spans="1:94" hidden="1">
      <c r="A2553"/>
      <c r="G2553" s="207"/>
      <c r="CP2553"/>
    </row>
    <row r="2554" spans="1:94" hidden="1">
      <c r="A2554"/>
      <c r="G2554" s="207"/>
      <c r="CP2554"/>
    </row>
    <row r="2555" spans="1:94" hidden="1">
      <c r="A2555"/>
      <c r="G2555" s="207"/>
      <c r="CP2555"/>
    </row>
    <row r="2556" spans="1:94" hidden="1">
      <c r="A2556"/>
      <c r="G2556" s="207"/>
      <c r="CP2556"/>
    </row>
    <row r="2557" spans="1:94" hidden="1">
      <c r="A2557"/>
      <c r="G2557" s="207"/>
      <c r="CP2557"/>
    </row>
    <row r="2558" spans="1:94" hidden="1">
      <c r="A2558"/>
      <c r="G2558" s="207"/>
      <c r="CP2558"/>
    </row>
    <row r="2559" spans="1:94" hidden="1">
      <c r="A2559"/>
      <c r="G2559" s="207"/>
      <c r="CP2559"/>
    </row>
    <row r="2560" spans="1:94" hidden="1">
      <c r="A2560"/>
      <c r="G2560" s="207"/>
      <c r="CP2560"/>
    </row>
    <row r="2561" spans="1:94" hidden="1">
      <c r="A2561"/>
      <c r="G2561" s="207"/>
      <c r="CP2561"/>
    </row>
    <row r="2562" spans="1:94" hidden="1">
      <c r="A2562"/>
      <c r="G2562" s="207"/>
      <c r="CP2562"/>
    </row>
    <row r="2563" spans="1:94" hidden="1">
      <c r="A2563"/>
      <c r="G2563" s="207"/>
      <c r="CP2563"/>
    </row>
    <row r="2564" spans="1:94" hidden="1">
      <c r="A2564"/>
      <c r="G2564" s="207"/>
      <c r="CP2564"/>
    </row>
    <row r="2565" spans="1:94" hidden="1">
      <c r="A2565"/>
      <c r="G2565" s="207"/>
      <c r="CP2565"/>
    </row>
    <row r="2566" spans="1:94" hidden="1">
      <c r="A2566"/>
      <c r="G2566" s="207"/>
      <c r="CP2566"/>
    </row>
    <row r="2567" spans="1:94" hidden="1">
      <c r="A2567"/>
      <c r="G2567" s="207"/>
      <c r="CP2567"/>
    </row>
    <row r="2568" spans="1:94" hidden="1">
      <c r="A2568"/>
      <c r="G2568" s="207"/>
      <c r="CP2568"/>
    </row>
    <row r="2569" spans="1:94" hidden="1">
      <c r="A2569"/>
      <c r="G2569" s="207"/>
      <c r="CP2569"/>
    </row>
    <row r="2570" spans="1:94" hidden="1">
      <c r="A2570"/>
      <c r="G2570" s="207"/>
      <c r="CP2570"/>
    </row>
    <row r="2571" spans="1:94" hidden="1">
      <c r="A2571"/>
      <c r="G2571" s="207"/>
      <c r="CP2571"/>
    </row>
    <row r="2572" spans="1:94" hidden="1">
      <c r="A2572"/>
      <c r="G2572" s="207"/>
      <c r="CP2572"/>
    </row>
    <row r="2573" spans="1:94" hidden="1">
      <c r="A2573"/>
      <c r="G2573" s="207"/>
      <c r="CP2573"/>
    </row>
    <row r="2574" spans="1:94" hidden="1">
      <c r="A2574"/>
      <c r="G2574" s="207"/>
      <c r="CP2574"/>
    </row>
    <row r="2575" spans="1:94" hidden="1">
      <c r="A2575"/>
      <c r="G2575" s="207"/>
      <c r="CP2575"/>
    </row>
    <row r="2576" spans="1:94" hidden="1">
      <c r="A2576"/>
      <c r="G2576" s="207"/>
      <c r="CP2576"/>
    </row>
    <row r="2577" spans="1:94" hidden="1">
      <c r="A2577"/>
      <c r="G2577" s="207"/>
      <c r="CP2577"/>
    </row>
    <row r="2578" spans="1:94" hidden="1">
      <c r="A2578"/>
      <c r="G2578" s="207"/>
      <c r="CP2578"/>
    </row>
    <row r="2579" spans="1:94" hidden="1">
      <c r="A2579"/>
      <c r="G2579" s="207"/>
      <c r="CP2579"/>
    </row>
    <row r="2580" spans="1:94" hidden="1">
      <c r="A2580"/>
      <c r="G2580" s="207"/>
      <c r="CP2580"/>
    </row>
    <row r="2581" spans="1:94" hidden="1">
      <c r="A2581"/>
      <c r="G2581" s="207"/>
      <c r="CP2581"/>
    </row>
    <row r="2582" spans="1:94" hidden="1">
      <c r="A2582"/>
      <c r="G2582" s="207"/>
      <c r="CP2582"/>
    </row>
    <row r="2583" spans="1:94" hidden="1">
      <c r="A2583"/>
      <c r="G2583" s="207"/>
      <c r="CP2583"/>
    </row>
    <row r="2584" spans="1:94" hidden="1">
      <c r="A2584"/>
      <c r="G2584" s="207"/>
      <c r="CP2584"/>
    </row>
    <row r="2585" spans="1:94" hidden="1">
      <c r="A2585"/>
      <c r="G2585" s="207"/>
      <c r="CP2585"/>
    </row>
    <row r="2586" spans="1:94" hidden="1">
      <c r="A2586"/>
      <c r="G2586" s="207"/>
      <c r="CP2586"/>
    </row>
    <row r="2587" spans="1:94" hidden="1">
      <c r="A2587"/>
      <c r="G2587" s="207"/>
      <c r="CP2587"/>
    </row>
    <row r="2588" spans="1:94" hidden="1">
      <c r="A2588"/>
      <c r="G2588" s="207"/>
      <c r="CP2588"/>
    </row>
    <row r="2589" spans="1:94" hidden="1">
      <c r="A2589"/>
      <c r="G2589" s="207"/>
      <c r="CP2589"/>
    </row>
    <row r="2590" spans="1:94" hidden="1">
      <c r="A2590"/>
      <c r="G2590" s="207"/>
      <c r="CP2590"/>
    </row>
    <row r="2591" spans="1:94" hidden="1">
      <c r="A2591"/>
      <c r="G2591" s="207"/>
      <c r="CP2591"/>
    </row>
    <row r="2592" spans="1:94" hidden="1">
      <c r="A2592"/>
      <c r="G2592" s="207"/>
      <c r="CP2592"/>
    </row>
    <row r="2593" spans="1:94" hidden="1">
      <c r="A2593"/>
      <c r="G2593" s="207"/>
      <c r="CP2593"/>
    </row>
    <row r="2594" spans="1:94" hidden="1">
      <c r="A2594"/>
      <c r="G2594" s="207"/>
      <c r="CP2594"/>
    </row>
    <row r="2595" spans="1:94" hidden="1">
      <c r="A2595"/>
      <c r="G2595" s="207"/>
      <c r="CP2595"/>
    </row>
    <row r="2596" spans="1:94" hidden="1">
      <c r="A2596"/>
      <c r="G2596" s="207"/>
      <c r="CP2596"/>
    </row>
    <row r="2597" spans="1:94" hidden="1">
      <c r="A2597"/>
      <c r="G2597" s="207"/>
      <c r="CP2597"/>
    </row>
    <row r="2598" spans="1:94" hidden="1">
      <c r="A2598"/>
      <c r="G2598" s="207"/>
      <c r="CP2598"/>
    </row>
    <row r="2599" spans="1:94" hidden="1">
      <c r="A2599"/>
      <c r="G2599" s="207"/>
      <c r="CP2599"/>
    </row>
    <row r="2600" spans="1:94" hidden="1">
      <c r="A2600"/>
      <c r="G2600" s="207"/>
      <c r="CP2600"/>
    </row>
    <row r="2601" spans="1:94" hidden="1">
      <c r="A2601"/>
      <c r="G2601" s="207"/>
      <c r="CP2601"/>
    </row>
    <row r="2602" spans="1:94" hidden="1">
      <c r="A2602"/>
      <c r="G2602" s="207"/>
      <c r="CP2602"/>
    </row>
    <row r="2603" spans="1:94" hidden="1">
      <c r="A2603"/>
      <c r="G2603" s="207"/>
      <c r="CP2603"/>
    </row>
    <row r="2604" spans="1:94" hidden="1">
      <c r="A2604"/>
      <c r="G2604" s="207"/>
      <c r="CP2604"/>
    </row>
    <row r="2605" spans="1:94" hidden="1">
      <c r="A2605"/>
      <c r="G2605" s="207"/>
      <c r="CP2605"/>
    </row>
    <row r="2606" spans="1:94" hidden="1">
      <c r="A2606"/>
      <c r="G2606" s="207"/>
      <c r="CP2606"/>
    </row>
    <row r="2607" spans="1:94" hidden="1">
      <c r="A2607"/>
      <c r="G2607" s="207"/>
      <c r="CP2607"/>
    </row>
    <row r="2608" spans="1:94" hidden="1">
      <c r="A2608"/>
      <c r="G2608" s="207"/>
      <c r="CP2608"/>
    </row>
    <row r="2609" spans="1:94" hidden="1">
      <c r="A2609"/>
      <c r="G2609" s="207"/>
      <c r="CP2609"/>
    </row>
    <row r="2610" spans="1:94" hidden="1">
      <c r="A2610"/>
      <c r="G2610" s="207"/>
      <c r="CP2610"/>
    </row>
    <row r="2611" spans="1:94" hidden="1">
      <c r="A2611"/>
      <c r="G2611" s="207"/>
      <c r="CP2611"/>
    </row>
    <row r="2612" spans="1:94" hidden="1">
      <c r="A2612"/>
      <c r="G2612" s="207"/>
      <c r="CP2612"/>
    </row>
    <row r="2613" spans="1:94" hidden="1">
      <c r="A2613"/>
      <c r="G2613" s="207"/>
      <c r="CP2613"/>
    </row>
    <row r="2614" spans="1:94" hidden="1">
      <c r="A2614"/>
      <c r="G2614" s="207"/>
      <c r="CP2614"/>
    </row>
    <row r="2615" spans="1:94" hidden="1">
      <c r="A2615"/>
      <c r="G2615" s="207"/>
      <c r="CP2615"/>
    </row>
    <row r="2616" spans="1:94" hidden="1">
      <c r="A2616"/>
      <c r="G2616" s="207"/>
      <c r="CP2616"/>
    </row>
    <row r="2617" spans="1:94" hidden="1">
      <c r="A2617"/>
      <c r="G2617" s="207"/>
      <c r="CP2617"/>
    </row>
    <row r="2618" spans="1:94" hidden="1">
      <c r="A2618"/>
      <c r="G2618" s="207"/>
      <c r="CP2618"/>
    </row>
    <row r="2619" spans="1:94" hidden="1">
      <c r="A2619"/>
      <c r="G2619" s="207"/>
      <c r="CP2619"/>
    </row>
    <row r="2620" spans="1:94" hidden="1">
      <c r="A2620"/>
      <c r="G2620" s="207"/>
      <c r="CP2620"/>
    </row>
    <row r="2621" spans="1:94" hidden="1">
      <c r="A2621"/>
      <c r="G2621" s="207"/>
      <c r="CP2621"/>
    </row>
    <row r="2622" spans="1:94" hidden="1">
      <c r="A2622"/>
      <c r="G2622" s="207"/>
      <c r="CP2622"/>
    </row>
    <row r="2623" spans="1:94" hidden="1">
      <c r="A2623"/>
      <c r="G2623" s="207"/>
      <c r="CP2623"/>
    </row>
    <row r="2624" spans="1:94" hidden="1">
      <c r="A2624"/>
      <c r="G2624" s="207"/>
      <c r="CP2624"/>
    </row>
    <row r="2625" spans="1:94" hidden="1">
      <c r="A2625"/>
      <c r="G2625" s="207"/>
      <c r="CP2625"/>
    </row>
    <row r="2626" spans="1:94" hidden="1">
      <c r="A2626"/>
      <c r="G2626" s="207"/>
      <c r="CP2626"/>
    </row>
    <row r="2627" spans="1:94" hidden="1">
      <c r="A2627"/>
      <c r="G2627" s="207"/>
      <c r="CP2627"/>
    </row>
    <row r="2628" spans="1:94" hidden="1">
      <c r="A2628"/>
      <c r="G2628" s="207"/>
      <c r="CP2628"/>
    </row>
    <row r="2629" spans="1:94" hidden="1">
      <c r="A2629"/>
      <c r="G2629" s="207"/>
      <c r="CP2629"/>
    </row>
    <row r="2630" spans="1:94" hidden="1">
      <c r="A2630"/>
      <c r="G2630" s="207"/>
      <c r="CP2630"/>
    </row>
    <row r="2631" spans="1:94" hidden="1">
      <c r="A2631"/>
      <c r="G2631" s="207"/>
      <c r="CP2631"/>
    </row>
    <row r="2632" spans="1:94" hidden="1">
      <c r="A2632"/>
      <c r="G2632" s="207"/>
      <c r="CP2632"/>
    </row>
    <row r="2633" spans="1:94" hidden="1">
      <c r="A2633"/>
      <c r="G2633" s="207"/>
      <c r="CP2633"/>
    </row>
    <row r="2634" spans="1:94" hidden="1">
      <c r="A2634"/>
      <c r="G2634" s="207"/>
      <c r="CP2634"/>
    </row>
    <row r="2635" spans="1:94" hidden="1">
      <c r="A2635"/>
      <c r="G2635" s="207"/>
      <c r="CP2635"/>
    </row>
    <row r="2636" spans="1:94" hidden="1">
      <c r="A2636"/>
      <c r="G2636" s="207"/>
      <c r="CP2636"/>
    </row>
    <row r="2637" spans="1:94" hidden="1">
      <c r="A2637"/>
      <c r="G2637" s="207"/>
      <c r="CP2637"/>
    </row>
    <row r="2638" spans="1:94" hidden="1">
      <c r="A2638"/>
      <c r="G2638" s="207"/>
      <c r="CP2638"/>
    </row>
    <row r="2639" spans="1:94" hidden="1">
      <c r="A2639"/>
      <c r="G2639" s="207"/>
      <c r="CP2639"/>
    </row>
    <row r="2640" spans="1:94" hidden="1">
      <c r="A2640"/>
      <c r="G2640" s="207"/>
      <c r="CP2640"/>
    </row>
    <row r="2641" spans="1:94" hidden="1">
      <c r="A2641"/>
      <c r="G2641" s="207"/>
      <c r="CP2641"/>
    </row>
    <row r="2642" spans="1:94" hidden="1">
      <c r="A2642"/>
      <c r="G2642" s="207"/>
      <c r="CP2642"/>
    </row>
    <row r="2643" spans="1:94" hidden="1">
      <c r="A2643"/>
      <c r="G2643" s="207"/>
      <c r="CP2643"/>
    </row>
    <row r="2644" spans="1:94" hidden="1">
      <c r="A2644"/>
      <c r="G2644" s="207"/>
      <c r="CP2644"/>
    </row>
    <row r="2645" spans="1:94" hidden="1">
      <c r="A2645"/>
      <c r="G2645" s="207"/>
      <c r="CP2645"/>
    </row>
    <row r="2646" spans="1:94" hidden="1">
      <c r="A2646"/>
      <c r="G2646" s="207"/>
      <c r="CP2646"/>
    </row>
    <row r="2647" spans="1:94" hidden="1">
      <c r="A2647"/>
      <c r="G2647" s="207"/>
      <c r="CP2647"/>
    </row>
    <row r="2648" spans="1:94" hidden="1">
      <c r="A2648"/>
      <c r="G2648" s="207"/>
      <c r="CP2648"/>
    </row>
    <row r="2649" spans="1:94" hidden="1">
      <c r="A2649"/>
      <c r="G2649" s="207"/>
      <c r="CP2649"/>
    </row>
    <row r="2650" spans="1:94" hidden="1">
      <c r="A2650"/>
      <c r="G2650" s="207"/>
      <c r="CP2650"/>
    </row>
    <row r="2651" spans="1:94" hidden="1">
      <c r="A2651"/>
      <c r="G2651" s="207"/>
      <c r="CP2651"/>
    </row>
    <row r="2652" spans="1:94" hidden="1">
      <c r="A2652"/>
      <c r="G2652" s="207"/>
      <c r="CP2652"/>
    </row>
    <row r="2653" spans="1:94" hidden="1">
      <c r="A2653"/>
      <c r="G2653" s="207"/>
      <c r="CP2653"/>
    </row>
    <row r="2654" spans="1:94" hidden="1">
      <c r="A2654"/>
      <c r="G2654" s="207"/>
      <c r="CP2654"/>
    </row>
    <row r="2655" spans="1:94" hidden="1">
      <c r="A2655"/>
      <c r="G2655" s="207"/>
      <c r="CP2655"/>
    </row>
    <row r="2656" spans="1:94" hidden="1">
      <c r="A2656"/>
      <c r="G2656" s="207"/>
      <c r="CP2656"/>
    </row>
    <row r="2657" spans="1:94" hidden="1">
      <c r="A2657"/>
      <c r="G2657" s="207"/>
      <c r="CP2657"/>
    </row>
    <row r="2658" spans="1:94" hidden="1">
      <c r="A2658"/>
      <c r="G2658" s="207"/>
      <c r="CP2658"/>
    </row>
    <row r="2659" spans="1:94" hidden="1">
      <c r="A2659"/>
      <c r="G2659" s="207"/>
      <c r="CP2659"/>
    </row>
    <row r="2660" spans="1:94" hidden="1">
      <c r="A2660"/>
      <c r="G2660" s="207"/>
      <c r="CP2660"/>
    </row>
    <row r="2661" spans="1:94" hidden="1">
      <c r="A2661"/>
      <c r="G2661" s="207"/>
      <c r="CP2661"/>
    </row>
    <row r="2662" spans="1:94" hidden="1">
      <c r="A2662"/>
      <c r="G2662" s="207"/>
      <c r="CP2662"/>
    </row>
    <row r="2663" spans="1:94" hidden="1">
      <c r="A2663"/>
      <c r="G2663" s="207"/>
      <c r="CP2663"/>
    </row>
    <row r="2664" spans="1:94" hidden="1">
      <c r="A2664"/>
      <c r="G2664" s="207"/>
      <c r="CP2664"/>
    </row>
    <row r="2665" spans="1:94" hidden="1">
      <c r="A2665"/>
      <c r="G2665" s="207"/>
      <c r="CP2665"/>
    </row>
    <row r="2666" spans="1:94" hidden="1">
      <c r="A2666"/>
      <c r="G2666" s="207"/>
      <c r="CP2666"/>
    </row>
    <row r="2667" spans="1:94" hidden="1">
      <c r="A2667"/>
      <c r="G2667" s="207"/>
      <c r="CP2667"/>
    </row>
    <row r="2668" spans="1:94" hidden="1">
      <c r="A2668"/>
      <c r="G2668" s="207"/>
      <c r="CP2668"/>
    </row>
    <row r="2669" spans="1:94" hidden="1">
      <c r="A2669"/>
      <c r="G2669" s="207"/>
      <c r="CP2669"/>
    </row>
    <row r="2670" spans="1:94" hidden="1">
      <c r="A2670"/>
      <c r="G2670" s="207"/>
      <c r="CP2670"/>
    </row>
    <row r="2671" spans="1:94" hidden="1">
      <c r="A2671"/>
      <c r="G2671" s="207"/>
      <c r="CP2671"/>
    </row>
    <row r="2672" spans="1:94" hidden="1">
      <c r="A2672"/>
      <c r="G2672" s="207"/>
      <c r="CP2672"/>
    </row>
    <row r="2673" spans="1:94" hidden="1">
      <c r="A2673"/>
      <c r="G2673" s="207"/>
      <c r="CP2673"/>
    </row>
    <row r="2674" spans="1:94" hidden="1">
      <c r="A2674"/>
      <c r="G2674" s="207"/>
      <c r="CP2674"/>
    </row>
    <row r="2675" spans="1:94" hidden="1">
      <c r="A2675"/>
      <c r="G2675" s="207"/>
      <c r="CP2675"/>
    </row>
    <row r="2676" spans="1:94" hidden="1">
      <c r="A2676"/>
      <c r="G2676" s="207"/>
      <c r="CP2676"/>
    </row>
    <row r="2677" spans="1:94" hidden="1">
      <c r="A2677"/>
      <c r="G2677" s="207"/>
      <c r="CP2677"/>
    </row>
    <row r="2678" spans="1:94" hidden="1">
      <c r="A2678"/>
      <c r="G2678" s="207"/>
      <c r="CP2678"/>
    </row>
    <row r="2679" spans="1:94" hidden="1">
      <c r="A2679"/>
      <c r="G2679" s="207"/>
      <c r="CP2679"/>
    </row>
    <row r="2680" spans="1:94" hidden="1">
      <c r="A2680"/>
      <c r="G2680" s="207"/>
      <c r="CP2680"/>
    </row>
    <row r="2681" spans="1:94" hidden="1">
      <c r="A2681"/>
      <c r="G2681" s="207"/>
      <c r="CP2681"/>
    </row>
    <row r="2682" spans="1:94" hidden="1">
      <c r="A2682"/>
      <c r="G2682" s="207"/>
      <c r="CP2682"/>
    </row>
    <row r="2683" spans="1:94" hidden="1">
      <c r="A2683"/>
      <c r="G2683" s="207"/>
      <c r="CP2683"/>
    </row>
    <row r="2684" spans="1:94" hidden="1">
      <c r="A2684"/>
      <c r="G2684" s="207"/>
      <c r="CP2684"/>
    </row>
    <row r="2685" spans="1:94" hidden="1">
      <c r="A2685"/>
      <c r="G2685" s="207"/>
      <c r="CP2685"/>
    </row>
    <row r="2686" spans="1:94" hidden="1">
      <c r="A2686"/>
      <c r="G2686" s="207"/>
      <c r="CP2686"/>
    </row>
    <row r="2687" spans="1:94" hidden="1">
      <c r="A2687"/>
      <c r="G2687" s="207"/>
      <c r="CP2687"/>
    </row>
    <row r="2688" spans="1:94" hidden="1">
      <c r="A2688"/>
      <c r="G2688" s="207"/>
      <c r="CP2688"/>
    </row>
    <row r="2689" spans="1:94" hidden="1">
      <c r="A2689"/>
      <c r="G2689" s="207"/>
      <c r="CP2689"/>
    </row>
    <row r="2690" spans="1:94" hidden="1">
      <c r="A2690"/>
      <c r="G2690" s="207"/>
      <c r="CP2690"/>
    </row>
    <row r="2691" spans="1:94" hidden="1">
      <c r="A2691"/>
      <c r="G2691" s="207"/>
      <c r="CP2691"/>
    </row>
    <row r="2692" spans="1:94" hidden="1">
      <c r="A2692"/>
      <c r="G2692" s="207"/>
      <c r="CP2692"/>
    </row>
    <row r="2693" spans="1:94" hidden="1">
      <c r="A2693"/>
      <c r="G2693" s="207"/>
      <c r="CP2693"/>
    </row>
    <row r="2694" spans="1:94" hidden="1">
      <c r="A2694"/>
      <c r="G2694" s="207"/>
      <c r="CP2694"/>
    </row>
    <row r="2695" spans="1:94" hidden="1">
      <c r="A2695"/>
      <c r="G2695" s="207"/>
      <c r="CP2695"/>
    </row>
    <row r="2696" spans="1:94" hidden="1">
      <c r="A2696"/>
      <c r="G2696" s="207"/>
      <c r="CP2696"/>
    </row>
    <row r="2697" spans="1:94" hidden="1">
      <c r="A2697"/>
      <c r="G2697" s="207"/>
      <c r="CP2697"/>
    </row>
    <row r="2698" spans="1:94" hidden="1">
      <c r="A2698"/>
      <c r="G2698" s="207"/>
      <c r="CP2698"/>
    </row>
    <row r="2699" spans="1:94" hidden="1">
      <c r="A2699"/>
      <c r="G2699" s="207"/>
      <c r="CP2699"/>
    </row>
    <row r="2700" spans="1:94" hidden="1">
      <c r="A2700"/>
      <c r="G2700" s="207"/>
      <c r="CP2700"/>
    </row>
    <row r="2701" spans="1:94" hidden="1">
      <c r="A2701"/>
      <c r="G2701" s="207"/>
      <c r="CP2701"/>
    </row>
    <row r="2702" spans="1:94" hidden="1">
      <c r="A2702"/>
      <c r="G2702" s="207"/>
      <c r="CP2702"/>
    </row>
    <row r="2703" spans="1:94" hidden="1">
      <c r="A2703"/>
      <c r="G2703" s="207"/>
      <c r="CP2703"/>
    </row>
    <row r="2704" spans="1:94" hidden="1">
      <c r="A2704"/>
      <c r="G2704" s="207"/>
      <c r="CP2704"/>
    </row>
    <row r="2705" spans="1:94" hidden="1">
      <c r="A2705"/>
      <c r="G2705" s="207"/>
      <c r="CP2705"/>
    </row>
    <row r="2706" spans="1:94" hidden="1">
      <c r="A2706"/>
      <c r="G2706" s="207"/>
      <c r="CP2706"/>
    </row>
    <row r="2707" spans="1:94" hidden="1">
      <c r="A2707"/>
      <c r="G2707" s="207"/>
      <c r="CP2707"/>
    </row>
    <row r="2708" spans="1:94" hidden="1">
      <c r="A2708"/>
      <c r="G2708" s="207"/>
      <c r="CP2708"/>
    </row>
    <row r="2709" spans="1:94" hidden="1">
      <c r="A2709"/>
      <c r="G2709" s="207"/>
      <c r="CP2709"/>
    </row>
    <row r="2710" spans="1:94" hidden="1">
      <c r="A2710"/>
      <c r="G2710" s="207"/>
      <c r="CP2710"/>
    </row>
    <row r="2711" spans="1:94" hidden="1">
      <c r="A2711"/>
      <c r="G2711" s="207"/>
      <c r="CP2711"/>
    </row>
    <row r="2712" spans="1:94" hidden="1">
      <c r="A2712"/>
      <c r="G2712" s="207"/>
      <c r="CP2712"/>
    </row>
    <row r="2713" spans="1:94" hidden="1">
      <c r="A2713"/>
      <c r="G2713" s="207"/>
      <c r="CP2713"/>
    </row>
    <row r="2714" spans="1:94" hidden="1">
      <c r="A2714"/>
      <c r="G2714" s="207"/>
      <c r="CP2714"/>
    </row>
    <row r="2715" spans="1:94" hidden="1">
      <c r="A2715"/>
      <c r="G2715" s="207"/>
      <c r="CP2715"/>
    </row>
    <row r="2716" spans="1:94" hidden="1">
      <c r="A2716"/>
      <c r="G2716" s="207"/>
      <c r="CP2716"/>
    </row>
    <row r="2717" spans="1:94" hidden="1">
      <c r="A2717"/>
      <c r="G2717" s="207"/>
      <c r="CP2717"/>
    </row>
    <row r="2718" spans="1:94" hidden="1">
      <c r="A2718"/>
      <c r="G2718" s="207"/>
      <c r="CP2718"/>
    </row>
    <row r="2719" spans="1:94" hidden="1">
      <c r="A2719"/>
      <c r="G2719" s="207"/>
      <c r="CP2719"/>
    </row>
    <row r="2720" spans="1:94" hidden="1">
      <c r="A2720"/>
      <c r="G2720" s="207"/>
      <c r="CP2720"/>
    </row>
    <row r="2721" spans="1:94" hidden="1">
      <c r="A2721"/>
      <c r="G2721" s="207"/>
      <c r="CP2721"/>
    </row>
    <row r="2722" spans="1:94" hidden="1">
      <c r="A2722"/>
      <c r="G2722" s="207"/>
      <c r="CP2722"/>
    </row>
    <row r="2723" spans="1:94" hidden="1">
      <c r="A2723"/>
      <c r="G2723" s="207"/>
      <c r="CP2723"/>
    </row>
    <row r="2724" spans="1:94" hidden="1">
      <c r="A2724"/>
      <c r="G2724" s="207"/>
      <c r="CP2724"/>
    </row>
    <row r="2725" spans="1:94" hidden="1">
      <c r="A2725"/>
      <c r="G2725" s="207"/>
      <c r="CP2725"/>
    </row>
    <row r="2726" spans="1:94" hidden="1">
      <c r="A2726"/>
      <c r="G2726" s="207"/>
      <c r="CP2726"/>
    </row>
    <row r="2727" spans="1:94" hidden="1">
      <c r="A2727"/>
      <c r="G2727" s="207"/>
      <c r="CP2727"/>
    </row>
    <row r="2728" spans="1:94" hidden="1">
      <c r="A2728"/>
      <c r="G2728" s="207"/>
      <c r="CP2728"/>
    </row>
    <row r="2729" spans="1:94" hidden="1">
      <c r="A2729"/>
      <c r="G2729" s="207"/>
      <c r="CP2729"/>
    </row>
    <row r="2730" spans="1:94" hidden="1">
      <c r="A2730"/>
      <c r="G2730" s="207"/>
      <c r="CP2730"/>
    </row>
    <row r="2731" spans="1:94" hidden="1">
      <c r="A2731"/>
      <c r="G2731" s="207"/>
      <c r="CP2731"/>
    </row>
    <row r="2732" spans="1:94" hidden="1">
      <c r="A2732"/>
      <c r="G2732" s="207"/>
      <c r="CP2732"/>
    </row>
    <row r="2733" spans="1:94" hidden="1">
      <c r="A2733"/>
      <c r="G2733" s="207"/>
      <c r="CP2733"/>
    </row>
    <row r="2734" spans="1:94" hidden="1">
      <c r="A2734"/>
      <c r="G2734" s="207"/>
      <c r="CP2734"/>
    </row>
    <row r="2735" spans="1:94" hidden="1">
      <c r="A2735"/>
      <c r="G2735" s="207"/>
      <c r="CP2735"/>
    </row>
    <row r="2736" spans="1:94" hidden="1">
      <c r="A2736"/>
      <c r="G2736" s="207"/>
      <c r="CP2736"/>
    </row>
    <row r="2737" spans="1:94" hidden="1">
      <c r="A2737"/>
      <c r="G2737" s="207"/>
      <c r="CP2737"/>
    </row>
    <row r="2738" spans="1:94" hidden="1">
      <c r="A2738"/>
      <c r="G2738" s="207"/>
      <c r="CP2738"/>
    </row>
    <row r="2739" spans="1:94" hidden="1">
      <c r="A2739"/>
      <c r="G2739" s="207"/>
      <c r="CP2739"/>
    </row>
    <row r="2740" spans="1:94" hidden="1">
      <c r="A2740"/>
      <c r="G2740" s="207"/>
      <c r="CP2740"/>
    </row>
    <row r="2741" spans="1:94" hidden="1">
      <c r="A2741"/>
      <c r="G2741" s="207"/>
      <c r="CP2741"/>
    </row>
    <row r="2742" spans="1:94" hidden="1">
      <c r="A2742"/>
      <c r="G2742" s="207"/>
      <c r="CP2742"/>
    </row>
    <row r="2743" spans="1:94" hidden="1">
      <c r="A2743"/>
      <c r="G2743" s="207"/>
      <c r="CP2743"/>
    </row>
    <row r="2744" spans="1:94" hidden="1">
      <c r="A2744"/>
      <c r="G2744" s="207"/>
      <c r="CP2744"/>
    </row>
    <row r="2745" spans="1:94" hidden="1">
      <c r="A2745"/>
      <c r="G2745" s="207"/>
      <c r="CP2745"/>
    </row>
    <row r="2746" spans="1:94" hidden="1">
      <c r="A2746"/>
      <c r="G2746" s="207"/>
      <c r="CP2746"/>
    </row>
    <row r="2747" spans="1:94" hidden="1">
      <c r="A2747"/>
      <c r="G2747" s="207"/>
      <c r="CP2747"/>
    </row>
    <row r="2748" spans="1:94" hidden="1">
      <c r="A2748"/>
      <c r="G2748" s="207"/>
      <c r="CP2748"/>
    </row>
    <row r="2749" spans="1:94" hidden="1">
      <c r="A2749"/>
      <c r="G2749" s="207"/>
      <c r="CP2749"/>
    </row>
    <row r="2750" spans="1:94" hidden="1">
      <c r="A2750"/>
      <c r="G2750" s="207"/>
      <c r="CP2750"/>
    </row>
    <row r="2751" spans="1:94" hidden="1">
      <c r="A2751"/>
      <c r="G2751" s="207"/>
      <c r="CP2751"/>
    </row>
    <row r="2752" spans="1:94" hidden="1">
      <c r="A2752"/>
      <c r="G2752" s="207"/>
      <c r="CP2752"/>
    </row>
    <row r="2753" spans="1:94" hidden="1">
      <c r="A2753"/>
      <c r="G2753" s="207"/>
      <c r="CP2753"/>
    </row>
    <row r="2754" spans="1:94" hidden="1">
      <c r="A2754"/>
      <c r="G2754" s="207"/>
      <c r="CP2754"/>
    </row>
    <row r="2755" spans="1:94" hidden="1">
      <c r="A2755"/>
      <c r="G2755" s="207"/>
      <c r="CP2755"/>
    </row>
    <row r="2756" spans="1:94" hidden="1">
      <c r="A2756"/>
      <c r="G2756" s="207"/>
      <c r="CP2756"/>
    </row>
    <row r="2757" spans="1:94" hidden="1">
      <c r="A2757"/>
      <c r="G2757" s="207"/>
      <c r="CP2757"/>
    </row>
    <row r="2758" spans="1:94" hidden="1">
      <c r="A2758"/>
      <c r="G2758" s="207"/>
      <c r="CP2758"/>
    </row>
    <row r="2759" spans="1:94" hidden="1">
      <c r="A2759"/>
      <c r="G2759" s="207"/>
      <c r="CP2759"/>
    </row>
    <row r="2760" spans="1:94" hidden="1">
      <c r="A2760"/>
      <c r="G2760" s="207"/>
      <c r="CP2760"/>
    </row>
    <row r="2761" spans="1:94" hidden="1">
      <c r="A2761"/>
      <c r="G2761" s="207"/>
      <c r="CP2761"/>
    </row>
    <row r="2762" spans="1:94" hidden="1">
      <c r="A2762"/>
      <c r="G2762" s="207"/>
      <c r="CP2762"/>
    </row>
    <row r="2763" spans="1:94" hidden="1">
      <c r="A2763"/>
      <c r="G2763" s="207"/>
      <c r="CP2763"/>
    </row>
    <row r="2764" spans="1:94" hidden="1">
      <c r="A2764"/>
      <c r="G2764" s="207"/>
      <c r="CP2764"/>
    </row>
    <row r="2765" spans="1:94" hidden="1">
      <c r="A2765"/>
      <c r="G2765" s="207"/>
      <c r="CP2765"/>
    </row>
    <row r="2766" spans="1:94" hidden="1">
      <c r="A2766"/>
      <c r="G2766" s="207"/>
      <c r="CP2766"/>
    </row>
    <row r="2767" spans="1:94" hidden="1">
      <c r="A2767"/>
      <c r="G2767" s="207"/>
      <c r="CP2767"/>
    </row>
    <row r="2768" spans="1:94" hidden="1">
      <c r="A2768"/>
      <c r="G2768" s="207"/>
      <c r="CP2768"/>
    </row>
    <row r="2769" spans="1:94" hidden="1">
      <c r="A2769"/>
      <c r="G2769" s="207"/>
      <c r="CP2769"/>
    </row>
    <row r="2770" spans="1:94" hidden="1">
      <c r="A2770"/>
      <c r="G2770" s="207"/>
      <c r="CP2770"/>
    </row>
    <row r="2771" spans="1:94" hidden="1">
      <c r="A2771"/>
      <c r="G2771" s="207"/>
      <c r="CP2771"/>
    </row>
    <row r="2772" spans="1:94" hidden="1">
      <c r="A2772"/>
      <c r="G2772" s="207"/>
      <c r="CP2772"/>
    </row>
    <row r="2773" spans="1:94" hidden="1">
      <c r="A2773"/>
      <c r="G2773" s="207"/>
      <c r="CP2773"/>
    </row>
    <row r="2774" spans="1:94" hidden="1">
      <c r="A2774"/>
      <c r="G2774" s="207"/>
      <c r="CP2774"/>
    </row>
    <row r="2775" spans="1:94" hidden="1">
      <c r="A2775"/>
      <c r="G2775" s="207"/>
      <c r="CP2775"/>
    </row>
    <row r="2776" spans="1:94" hidden="1">
      <c r="A2776"/>
      <c r="G2776" s="207"/>
      <c r="CP2776"/>
    </row>
    <row r="2777" spans="1:94" hidden="1">
      <c r="A2777"/>
      <c r="G2777" s="207"/>
      <c r="CP2777"/>
    </row>
    <row r="2778" spans="1:94" hidden="1">
      <c r="A2778"/>
      <c r="G2778" s="207"/>
      <c r="CP2778"/>
    </row>
    <row r="2779" spans="1:94" hidden="1">
      <c r="A2779"/>
      <c r="G2779" s="207"/>
      <c r="CP2779"/>
    </row>
    <row r="2780" spans="1:94" hidden="1">
      <c r="A2780"/>
      <c r="G2780" s="207"/>
      <c r="CP2780"/>
    </row>
    <row r="2781" spans="1:94" hidden="1">
      <c r="A2781"/>
      <c r="G2781" s="207"/>
      <c r="CP2781"/>
    </row>
    <row r="2782" spans="1:94" hidden="1">
      <c r="A2782"/>
      <c r="G2782" s="207"/>
      <c r="CP2782"/>
    </row>
    <row r="2783" spans="1:94" hidden="1">
      <c r="A2783"/>
      <c r="G2783" s="207"/>
      <c r="CP2783"/>
    </row>
    <row r="2784" spans="1:94" hidden="1">
      <c r="A2784"/>
      <c r="G2784" s="207"/>
      <c r="CP2784"/>
    </row>
    <row r="2785" spans="1:94" hidden="1">
      <c r="A2785"/>
      <c r="G2785" s="207"/>
      <c r="CP2785"/>
    </row>
    <row r="2786" spans="1:94" hidden="1">
      <c r="A2786"/>
      <c r="G2786" s="207"/>
      <c r="CP2786"/>
    </row>
    <row r="2787" spans="1:94" hidden="1">
      <c r="A2787"/>
      <c r="G2787" s="207"/>
      <c r="CP2787"/>
    </row>
    <row r="2788" spans="1:94" hidden="1">
      <c r="A2788"/>
      <c r="G2788" s="207"/>
      <c r="CP2788"/>
    </row>
    <row r="2789" spans="1:94" hidden="1">
      <c r="A2789"/>
      <c r="G2789" s="207"/>
      <c r="CP2789"/>
    </row>
    <row r="2790" spans="1:94" hidden="1">
      <c r="A2790"/>
      <c r="G2790" s="207"/>
      <c r="CP2790"/>
    </row>
    <row r="2791" spans="1:94" hidden="1">
      <c r="A2791"/>
      <c r="G2791" s="207"/>
      <c r="CP2791"/>
    </row>
    <row r="2792" spans="1:94" hidden="1">
      <c r="A2792"/>
      <c r="G2792" s="207"/>
      <c r="CP2792"/>
    </row>
    <row r="2793" spans="1:94" hidden="1">
      <c r="A2793"/>
      <c r="G2793" s="207"/>
      <c r="CP2793"/>
    </row>
    <row r="2794" spans="1:94" hidden="1">
      <c r="A2794"/>
      <c r="G2794" s="207"/>
      <c r="CP2794"/>
    </row>
    <row r="2795" spans="1:94" hidden="1">
      <c r="A2795"/>
      <c r="G2795" s="207"/>
      <c r="CP2795"/>
    </row>
    <row r="2796" spans="1:94" hidden="1">
      <c r="A2796"/>
      <c r="G2796" s="207"/>
      <c r="CP2796"/>
    </row>
    <row r="2797" spans="1:94" hidden="1">
      <c r="A2797"/>
      <c r="G2797" s="207"/>
      <c r="CP2797"/>
    </row>
    <row r="2798" spans="1:94" hidden="1">
      <c r="A2798"/>
      <c r="G2798" s="207"/>
      <c r="CP2798"/>
    </row>
    <row r="2799" spans="1:94" hidden="1">
      <c r="A2799"/>
      <c r="G2799" s="207"/>
      <c r="CP2799"/>
    </row>
    <row r="2800" spans="1:94" hidden="1">
      <c r="A2800"/>
      <c r="G2800" s="207"/>
      <c r="CP2800"/>
    </row>
    <row r="2801" spans="1:94" hidden="1">
      <c r="A2801"/>
      <c r="G2801" s="207"/>
      <c r="CP2801"/>
    </row>
    <row r="2802" spans="1:94" hidden="1">
      <c r="A2802"/>
      <c r="G2802" s="207"/>
      <c r="CP2802"/>
    </row>
    <row r="2803" spans="1:94" hidden="1">
      <c r="A2803"/>
      <c r="G2803" s="207"/>
      <c r="CP2803"/>
    </row>
    <row r="2804" spans="1:94" hidden="1">
      <c r="A2804"/>
      <c r="G2804" s="207"/>
      <c r="CP2804"/>
    </row>
    <row r="2805" spans="1:94" hidden="1">
      <c r="A2805"/>
      <c r="G2805" s="207"/>
      <c r="CP2805"/>
    </row>
    <row r="2806" spans="1:94" hidden="1">
      <c r="A2806"/>
      <c r="G2806" s="207"/>
      <c r="CP2806"/>
    </row>
    <row r="2807" spans="1:94" hidden="1">
      <c r="A2807"/>
      <c r="G2807" s="207"/>
      <c r="CP2807"/>
    </row>
    <row r="2808" spans="1:94" hidden="1">
      <c r="A2808"/>
      <c r="G2808" s="207"/>
      <c r="CP2808"/>
    </row>
    <row r="2809" spans="1:94" hidden="1">
      <c r="A2809"/>
      <c r="G2809" s="207"/>
      <c r="CP2809"/>
    </row>
    <row r="2810" spans="1:94" hidden="1">
      <c r="A2810"/>
      <c r="G2810" s="207"/>
      <c r="CP2810"/>
    </row>
    <row r="2811" spans="1:94" hidden="1">
      <c r="A2811"/>
      <c r="G2811" s="207"/>
      <c r="CP2811"/>
    </row>
    <row r="2812" spans="1:94" hidden="1">
      <c r="A2812"/>
      <c r="G2812" s="207"/>
      <c r="CP2812"/>
    </row>
    <row r="2813" spans="1:94" hidden="1">
      <c r="A2813"/>
      <c r="G2813" s="207"/>
      <c r="CP2813"/>
    </row>
    <row r="2814" spans="1:94" hidden="1">
      <c r="A2814"/>
      <c r="G2814" s="207"/>
      <c r="CP2814"/>
    </row>
    <row r="2815" spans="1:94" hidden="1">
      <c r="A2815"/>
      <c r="G2815" s="207"/>
      <c r="CP2815"/>
    </row>
    <row r="2816" spans="1:94" hidden="1">
      <c r="A2816"/>
      <c r="G2816" s="207"/>
      <c r="CP2816"/>
    </row>
    <row r="2817" spans="1:94" hidden="1">
      <c r="A2817"/>
      <c r="G2817" s="207"/>
      <c r="CP2817"/>
    </row>
    <row r="2818" spans="1:94" hidden="1">
      <c r="A2818"/>
      <c r="G2818" s="207"/>
      <c r="CP2818"/>
    </row>
    <row r="2819" spans="1:94" hidden="1">
      <c r="A2819"/>
      <c r="G2819" s="207"/>
      <c r="CP2819"/>
    </row>
    <row r="2820" spans="1:94" hidden="1">
      <c r="A2820"/>
      <c r="G2820" s="207"/>
      <c r="CP2820"/>
    </row>
    <row r="2821" spans="1:94" hidden="1">
      <c r="A2821"/>
      <c r="G2821" s="207"/>
      <c r="CP2821"/>
    </row>
    <row r="2822" spans="1:94" hidden="1">
      <c r="A2822"/>
      <c r="G2822" s="207"/>
      <c r="CP2822"/>
    </row>
    <row r="2823" spans="1:94" hidden="1">
      <c r="A2823"/>
      <c r="G2823" s="207"/>
      <c r="CP2823"/>
    </row>
    <row r="2824" spans="1:94" hidden="1">
      <c r="A2824"/>
      <c r="G2824" s="207"/>
      <c r="CP2824"/>
    </row>
    <row r="2825" spans="1:94" hidden="1">
      <c r="A2825"/>
      <c r="G2825" s="207"/>
      <c r="CP2825"/>
    </row>
    <row r="2826" spans="1:94" hidden="1">
      <c r="A2826"/>
      <c r="G2826" s="207"/>
      <c r="CP2826"/>
    </row>
    <row r="2827" spans="1:94" hidden="1">
      <c r="A2827"/>
      <c r="G2827" s="207"/>
      <c r="CP2827"/>
    </row>
    <row r="2828" spans="1:94" hidden="1">
      <c r="A2828"/>
      <c r="G2828" s="207"/>
      <c r="CP2828"/>
    </row>
    <row r="2829" spans="1:94" hidden="1">
      <c r="A2829"/>
      <c r="G2829" s="207"/>
      <c r="CP2829"/>
    </row>
    <row r="2830" spans="1:94" hidden="1">
      <c r="A2830"/>
      <c r="G2830" s="207"/>
      <c r="CP2830"/>
    </row>
    <row r="2831" spans="1:94" hidden="1">
      <c r="A2831"/>
      <c r="G2831" s="207"/>
      <c r="CP2831"/>
    </row>
    <row r="2832" spans="1:94" hidden="1">
      <c r="A2832"/>
      <c r="G2832" s="207"/>
      <c r="CP2832"/>
    </row>
    <row r="2833" spans="1:94" hidden="1">
      <c r="A2833"/>
      <c r="G2833" s="207"/>
      <c r="CP2833"/>
    </row>
    <row r="2834" spans="1:94" hidden="1">
      <c r="A2834"/>
      <c r="G2834" s="207"/>
      <c r="CP2834"/>
    </row>
    <row r="2835" spans="1:94" hidden="1">
      <c r="A2835"/>
      <c r="G2835" s="207"/>
      <c r="CP2835"/>
    </row>
    <row r="2836" spans="1:94" hidden="1">
      <c r="A2836"/>
      <c r="G2836" s="207"/>
      <c r="CP2836"/>
    </row>
    <row r="2837" spans="1:94" hidden="1">
      <c r="A2837"/>
      <c r="G2837" s="207"/>
      <c r="CP2837"/>
    </row>
    <row r="2838" spans="1:94" hidden="1">
      <c r="A2838"/>
      <c r="G2838" s="207"/>
      <c r="CP2838"/>
    </row>
    <row r="2839" spans="1:94" hidden="1">
      <c r="A2839"/>
      <c r="G2839" s="207"/>
      <c r="CP2839"/>
    </row>
    <row r="2840" spans="1:94" hidden="1">
      <c r="A2840"/>
      <c r="G2840" s="207"/>
      <c r="CP2840"/>
    </row>
    <row r="2841" spans="1:94" hidden="1">
      <c r="A2841"/>
      <c r="G2841" s="207"/>
      <c r="CP2841"/>
    </row>
    <row r="2842" spans="1:94" hidden="1">
      <c r="A2842"/>
      <c r="G2842" s="207"/>
      <c r="CP2842"/>
    </row>
    <row r="2843" spans="1:94" hidden="1">
      <c r="A2843"/>
      <c r="G2843" s="207"/>
      <c r="CP2843"/>
    </row>
    <row r="2844" spans="1:94" hidden="1">
      <c r="A2844"/>
      <c r="G2844" s="207"/>
      <c r="CP2844"/>
    </row>
    <row r="2845" spans="1:94" hidden="1">
      <c r="A2845"/>
      <c r="G2845" s="207"/>
      <c r="CP2845"/>
    </row>
    <row r="2846" spans="1:94" hidden="1">
      <c r="A2846"/>
      <c r="G2846" s="207"/>
      <c r="CP2846"/>
    </row>
    <row r="2847" spans="1:94" hidden="1">
      <c r="A2847"/>
      <c r="G2847" s="207"/>
      <c r="CP2847"/>
    </row>
    <row r="2848" spans="1:94" hidden="1">
      <c r="A2848"/>
      <c r="G2848" s="207"/>
      <c r="CP2848"/>
    </row>
    <row r="2849" spans="1:94" hidden="1">
      <c r="A2849"/>
      <c r="G2849" s="207"/>
      <c r="CP2849"/>
    </row>
    <row r="2850" spans="1:94" hidden="1">
      <c r="A2850"/>
      <c r="G2850" s="207"/>
      <c r="CP2850"/>
    </row>
    <row r="2851" spans="1:94" hidden="1">
      <c r="A2851"/>
      <c r="G2851" s="207"/>
      <c r="CP2851"/>
    </row>
    <row r="2852" spans="1:94" hidden="1">
      <c r="A2852"/>
      <c r="G2852" s="207"/>
      <c r="CP2852"/>
    </row>
    <row r="2853" spans="1:94" hidden="1">
      <c r="A2853"/>
      <c r="G2853" s="207"/>
      <c r="CP2853"/>
    </row>
    <row r="2854" spans="1:94" hidden="1">
      <c r="A2854"/>
      <c r="G2854" s="207"/>
      <c r="CP2854"/>
    </row>
    <row r="2855" spans="1:94" hidden="1">
      <c r="A2855"/>
      <c r="G2855" s="207"/>
      <c r="CP2855"/>
    </row>
    <row r="2856" spans="1:94" hidden="1">
      <c r="A2856"/>
      <c r="G2856" s="207"/>
      <c r="CP2856"/>
    </row>
    <row r="2857" spans="1:94" hidden="1">
      <c r="A2857"/>
      <c r="G2857" s="207"/>
      <c r="CP2857"/>
    </row>
    <row r="2858" spans="1:94" hidden="1">
      <c r="A2858"/>
      <c r="G2858" s="207"/>
      <c r="CP2858"/>
    </row>
    <row r="2859" spans="1:94" hidden="1">
      <c r="A2859"/>
      <c r="G2859" s="207"/>
      <c r="CP2859"/>
    </row>
    <row r="2860" spans="1:94" hidden="1">
      <c r="A2860"/>
      <c r="G2860" s="207"/>
      <c r="CP2860"/>
    </row>
    <row r="2861" spans="1:94" hidden="1">
      <c r="A2861"/>
      <c r="G2861" s="207"/>
      <c r="CP2861"/>
    </row>
    <row r="2862" spans="1:94" hidden="1">
      <c r="A2862"/>
      <c r="G2862" s="207"/>
      <c r="CP2862"/>
    </row>
    <row r="2863" spans="1:94" hidden="1">
      <c r="A2863"/>
      <c r="G2863" s="207"/>
      <c r="CP2863"/>
    </row>
    <row r="2864" spans="1:94" hidden="1">
      <c r="A2864"/>
      <c r="G2864" s="207"/>
      <c r="CP2864"/>
    </row>
    <row r="2865" spans="1:94" hidden="1">
      <c r="A2865"/>
      <c r="G2865" s="207"/>
      <c r="CP2865"/>
    </row>
    <row r="2866" spans="1:94" hidden="1">
      <c r="A2866"/>
      <c r="G2866" s="207"/>
      <c r="CP2866"/>
    </row>
    <row r="2867" spans="1:94" hidden="1">
      <c r="A2867"/>
      <c r="G2867" s="207"/>
      <c r="CP2867"/>
    </row>
    <row r="2868" spans="1:94" hidden="1">
      <c r="A2868"/>
      <c r="G2868" s="207"/>
      <c r="CP2868"/>
    </row>
    <row r="2869" spans="1:94" hidden="1">
      <c r="A2869"/>
      <c r="G2869" s="207"/>
      <c r="CP2869"/>
    </row>
    <row r="2870" spans="1:94" hidden="1">
      <c r="A2870"/>
      <c r="G2870" s="207"/>
      <c r="CP2870"/>
    </row>
    <row r="2871" spans="1:94" hidden="1">
      <c r="A2871"/>
      <c r="G2871" s="207"/>
      <c r="CP2871"/>
    </row>
    <row r="2872" spans="1:94" hidden="1">
      <c r="A2872"/>
      <c r="G2872" s="207"/>
      <c r="CP2872"/>
    </row>
    <row r="2873" spans="1:94" hidden="1">
      <c r="A2873"/>
      <c r="G2873" s="207"/>
      <c r="CP2873"/>
    </row>
    <row r="2874" spans="1:94" hidden="1">
      <c r="A2874"/>
      <c r="G2874" s="207"/>
      <c r="CP2874"/>
    </row>
    <row r="2875" spans="1:94" hidden="1">
      <c r="A2875"/>
      <c r="G2875" s="207"/>
      <c r="CP2875"/>
    </row>
    <row r="2876" spans="1:94" hidden="1">
      <c r="A2876"/>
      <c r="G2876" s="207"/>
      <c r="CP2876"/>
    </row>
    <row r="2877" spans="1:94" hidden="1">
      <c r="A2877"/>
      <c r="G2877" s="207"/>
      <c r="CP2877"/>
    </row>
    <row r="2878" spans="1:94" hidden="1">
      <c r="A2878"/>
      <c r="G2878" s="207"/>
      <c r="CP2878"/>
    </row>
    <row r="2879" spans="1:94" hidden="1">
      <c r="A2879"/>
      <c r="G2879" s="207"/>
      <c r="CP2879"/>
    </row>
    <row r="2880" spans="1:94" hidden="1">
      <c r="A2880"/>
      <c r="G2880" s="207"/>
      <c r="CP2880"/>
    </row>
    <row r="2881" spans="1:94" hidden="1">
      <c r="A2881"/>
      <c r="G2881" s="207"/>
      <c r="CP2881"/>
    </row>
    <row r="2882" spans="1:94" hidden="1">
      <c r="A2882"/>
      <c r="G2882" s="207"/>
      <c r="CP2882"/>
    </row>
    <row r="2883" spans="1:94" hidden="1">
      <c r="A2883"/>
      <c r="G2883" s="207"/>
      <c r="CP2883"/>
    </row>
    <row r="2884" spans="1:94" hidden="1">
      <c r="A2884"/>
      <c r="G2884" s="207"/>
      <c r="CP2884"/>
    </row>
    <row r="2885" spans="1:94" hidden="1">
      <c r="A2885"/>
      <c r="G2885" s="207"/>
      <c r="CP2885"/>
    </row>
    <row r="2886" spans="1:94" hidden="1">
      <c r="A2886"/>
      <c r="G2886" s="207"/>
      <c r="CP2886"/>
    </row>
    <row r="2887" spans="1:94" hidden="1">
      <c r="A2887"/>
      <c r="G2887" s="207"/>
      <c r="CP2887"/>
    </row>
    <row r="2888" spans="1:94" hidden="1">
      <c r="A2888"/>
      <c r="G2888" s="207"/>
      <c r="CP2888"/>
    </row>
    <row r="2889" spans="1:94" hidden="1">
      <c r="A2889"/>
      <c r="G2889" s="207"/>
      <c r="CP2889"/>
    </row>
    <row r="2890" spans="1:94" hidden="1">
      <c r="A2890"/>
      <c r="G2890" s="207"/>
      <c r="CP2890"/>
    </row>
    <row r="2891" spans="1:94" hidden="1">
      <c r="A2891"/>
      <c r="G2891" s="207"/>
      <c r="CP2891"/>
    </row>
    <row r="2892" spans="1:94" hidden="1">
      <c r="A2892"/>
      <c r="G2892" s="207"/>
      <c r="CP2892"/>
    </row>
    <row r="2893" spans="1:94" hidden="1">
      <c r="A2893"/>
      <c r="G2893" s="207"/>
      <c r="CP2893"/>
    </row>
    <row r="2894" spans="1:94" hidden="1">
      <c r="A2894"/>
      <c r="G2894" s="207"/>
      <c r="CP2894"/>
    </row>
    <row r="2895" spans="1:94" hidden="1">
      <c r="A2895"/>
      <c r="G2895" s="207"/>
      <c r="CP2895"/>
    </row>
    <row r="2896" spans="1:94" hidden="1">
      <c r="A2896"/>
      <c r="G2896" s="207"/>
      <c r="CP2896"/>
    </row>
    <row r="2897" spans="1:94" hidden="1">
      <c r="A2897"/>
      <c r="G2897" s="207"/>
      <c r="CP2897"/>
    </row>
    <row r="2898" spans="1:94" hidden="1">
      <c r="A2898"/>
      <c r="G2898" s="207"/>
      <c r="CP2898"/>
    </row>
    <row r="2899" spans="1:94" hidden="1">
      <c r="A2899"/>
      <c r="G2899" s="207"/>
      <c r="CP2899"/>
    </row>
    <row r="2900" spans="1:94" hidden="1">
      <c r="A2900"/>
      <c r="G2900" s="207"/>
      <c r="CP2900"/>
    </row>
    <row r="2901" spans="1:94" hidden="1">
      <c r="A2901"/>
      <c r="G2901" s="207"/>
      <c r="CP2901"/>
    </row>
    <row r="2902" spans="1:94" hidden="1">
      <c r="A2902"/>
      <c r="G2902" s="207"/>
      <c r="CP2902"/>
    </row>
    <row r="2903" spans="1:94" hidden="1">
      <c r="A2903"/>
      <c r="G2903" s="207"/>
      <c r="CP2903"/>
    </row>
    <row r="2904" spans="1:94" hidden="1">
      <c r="A2904"/>
      <c r="G2904" s="207"/>
      <c r="CP2904"/>
    </row>
    <row r="2905" spans="1:94" hidden="1">
      <c r="A2905"/>
      <c r="G2905" s="207"/>
      <c r="CP2905"/>
    </row>
    <row r="2906" spans="1:94" hidden="1">
      <c r="A2906"/>
      <c r="G2906" s="207"/>
      <c r="CP2906"/>
    </row>
    <row r="2907" spans="1:94" hidden="1">
      <c r="A2907"/>
      <c r="G2907" s="207"/>
      <c r="CP2907"/>
    </row>
    <row r="2908" spans="1:94" hidden="1">
      <c r="A2908"/>
      <c r="G2908" s="207"/>
      <c r="CP2908"/>
    </row>
    <row r="2909" spans="1:94" hidden="1">
      <c r="A2909"/>
      <c r="G2909" s="207"/>
      <c r="CP2909"/>
    </row>
    <row r="2910" spans="1:94" hidden="1">
      <c r="A2910"/>
      <c r="G2910" s="207"/>
      <c r="CP2910"/>
    </row>
    <row r="2911" spans="1:94" hidden="1">
      <c r="A2911"/>
      <c r="G2911" s="207"/>
      <c r="CP2911"/>
    </row>
    <row r="2912" spans="1:94" hidden="1">
      <c r="A2912"/>
      <c r="G2912" s="207"/>
      <c r="CP2912"/>
    </row>
    <row r="2913" spans="1:94" hidden="1">
      <c r="A2913"/>
      <c r="G2913" s="207"/>
      <c r="CP2913"/>
    </row>
    <row r="2914" spans="1:94" hidden="1">
      <c r="A2914"/>
      <c r="G2914" s="207"/>
      <c r="CP2914"/>
    </row>
    <row r="2915" spans="1:94" hidden="1">
      <c r="A2915"/>
      <c r="G2915" s="207"/>
      <c r="CP2915"/>
    </row>
    <row r="2916" spans="1:94" hidden="1">
      <c r="A2916"/>
      <c r="G2916" s="207"/>
      <c r="CP2916"/>
    </row>
    <row r="2917" spans="1:94" hidden="1">
      <c r="A2917"/>
      <c r="G2917" s="207"/>
      <c r="CP2917"/>
    </row>
    <row r="2918" spans="1:94" hidden="1">
      <c r="A2918"/>
      <c r="G2918" s="207"/>
      <c r="CP2918"/>
    </row>
    <row r="2919" spans="1:94" hidden="1">
      <c r="A2919"/>
      <c r="G2919" s="207"/>
      <c r="CP2919"/>
    </row>
    <row r="2920" spans="1:94" hidden="1">
      <c r="A2920"/>
      <c r="G2920" s="207"/>
      <c r="CP2920"/>
    </row>
    <row r="2921" spans="1:94" hidden="1">
      <c r="A2921"/>
      <c r="G2921" s="207"/>
      <c r="CP2921"/>
    </row>
    <row r="2922" spans="1:94" hidden="1">
      <c r="A2922"/>
      <c r="G2922" s="207"/>
      <c r="CP2922"/>
    </row>
    <row r="2923" spans="1:94" hidden="1">
      <c r="A2923"/>
      <c r="G2923" s="207"/>
      <c r="CP2923"/>
    </row>
    <row r="2924" spans="1:94" hidden="1">
      <c r="A2924"/>
      <c r="G2924" s="207"/>
      <c r="CP2924"/>
    </row>
    <row r="2925" spans="1:94" hidden="1">
      <c r="A2925"/>
      <c r="G2925" s="207"/>
      <c r="CP2925"/>
    </row>
    <row r="2926" spans="1:94" hidden="1">
      <c r="A2926"/>
      <c r="G2926" s="207"/>
      <c r="CP2926"/>
    </row>
    <row r="2927" spans="1:94" hidden="1">
      <c r="A2927"/>
      <c r="G2927" s="207"/>
      <c r="CP2927"/>
    </row>
    <row r="2928" spans="1:94" hidden="1">
      <c r="A2928"/>
      <c r="G2928" s="207"/>
      <c r="CP2928"/>
    </row>
    <row r="2929" spans="1:94" hidden="1">
      <c r="A2929"/>
      <c r="G2929" s="207"/>
      <c r="CP2929"/>
    </row>
    <row r="2930" spans="1:94" hidden="1">
      <c r="A2930"/>
      <c r="G2930" s="207"/>
      <c r="CP2930"/>
    </row>
    <row r="2931" spans="1:94" hidden="1">
      <c r="A2931"/>
      <c r="G2931" s="207"/>
      <c r="CP2931"/>
    </row>
    <row r="2932" spans="1:94" hidden="1">
      <c r="A2932"/>
      <c r="G2932" s="207"/>
      <c r="CP2932"/>
    </row>
    <row r="2933" spans="1:94" hidden="1">
      <c r="A2933"/>
      <c r="G2933" s="207"/>
      <c r="CP2933"/>
    </row>
    <row r="2934" spans="1:94" hidden="1">
      <c r="A2934"/>
      <c r="G2934" s="207"/>
      <c r="CP2934"/>
    </row>
    <row r="2935" spans="1:94" hidden="1">
      <c r="A2935"/>
      <c r="G2935" s="207"/>
      <c r="CP2935"/>
    </row>
    <row r="2936" spans="1:94" hidden="1">
      <c r="A2936"/>
      <c r="G2936" s="207"/>
      <c r="CP2936"/>
    </row>
    <row r="2937" spans="1:94" hidden="1">
      <c r="A2937"/>
      <c r="G2937" s="207"/>
      <c r="CP2937"/>
    </row>
    <row r="2938" spans="1:94" hidden="1">
      <c r="A2938"/>
      <c r="G2938" s="207"/>
      <c r="CP2938"/>
    </row>
    <row r="2939" spans="1:94" hidden="1">
      <c r="A2939"/>
      <c r="G2939" s="207"/>
      <c r="CP2939"/>
    </row>
    <row r="2940" spans="1:94" hidden="1">
      <c r="A2940"/>
      <c r="G2940" s="207"/>
      <c r="CP2940"/>
    </row>
    <row r="2941" spans="1:94" hidden="1">
      <c r="A2941"/>
      <c r="G2941" s="207"/>
      <c r="CP2941"/>
    </row>
    <row r="2942" spans="1:94" hidden="1">
      <c r="A2942"/>
      <c r="G2942" s="207"/>
      <c r="CP2942"/>
    </row>
    <row r="2943" spans="1:94" hidden="1">
      <c r="A2943"/>
      <c r="G2943" s="207"/>
      <c r="CP2943"/>
    </row>
    <row r="2944" spans="1:94" hidden="1">
      <c r="A2944"/>
      <c r="G2944" s="207"/>
      <c r="CP2944"/>
    </row>
    <row r="2945" spans="1:94" hidden="1">
      <c r="A2945"/>
      <c r="G2945" s="207"/>
      <c r="CP2945"/>
    </row>
    <row r="2946" spans="1:94" hidden="1">
      <c r="A2946"/>
      <c r="G2946" s="207"/>
      <c r="CP2946"/>
    </row>
    <row r="2947" spans="1:94" hidden="1">
      <c r="A2947"/>
      <c r="G2947" s="207"/>
      <c r="CP2947"/>
    </row>
    <row r="2948" spans="1:94" hidden="1">
      <c r="A2948"/>
      <c r="G2948" s="207"/>
      <c r="CP2948"/>
    </row>
    <row r="2949" spans="1:94" hidden="1">
      <c r="A2949"/>
      <c r="G2949" s="207"/>
      <c r="CP2949"/>
    </row>
    <row r="2950" spans="1:94" hidden="1">
      <c r="A2950"/>
      <c r="G2950" s="207"/>
      <c r="CP2950"/>
    </row>
    <row r="2951" spans="1:94" hidden="1">
      <c r="A2951"/>
      <c r="G2951" s="207"/>
      <c r="CP2951"/>
    </row>
    <row r="2952" spans="1:94" hidden="1">
      <c r="A2952"/>
      <c r="G2952" s="207"/>
      <c r="CP2952"/>
    </row>
    <row r="2953" spans="1:94" hidden="1">
      <c r="A2953"/>
      <c r="G2953" s="207"/>
      <c r="CP2953"/>
    </row>
    <row r="2954" spans="1:94" hidden="1">
      <c r="A2954"/>
      <c r="G2954" s="207"/>
      <c r="CP2954"/>
    </row>
    <row r="2955" spans="1:94" hidden="1">
      <c r="A2955"/>
      <c r="G2955" s="207"/>
      <c r="CP2955"/>
    </row>
    <row r="2956" spans="1:94" hidden="1">
      <c r="A2956"/>
      <c r="G2956" s="207"/>
      <c r="CP2956"/>
    </row>
    <row r="2957" spans="1:94" hidden="1">
      <c r="A2957"/>
      <c r="G2957" s="207"/>
      <c r="CP2957"/>
    </row>
    <row r="2958" spans="1:94" hidden="1">
      <c r="A2958"/>
      <c r="G2958" s="207"/>
      <c r="CP2958"/>
    </row>
    <row r="2959" spans="1:94" hidden="1">
      <c r="A2959"/>
      <c r="G2959" s="207"/>
      <c r="CP2959"/>
    </row>
    <row r="2960" spans="1:94" hidden="1">
      <c r="A2960"/>
      <c r="G2960" s="207"/>
      <c r="CP2960"/>
    </row>
    <row r="2961" spans="1:94" hidden="1">
      <c r="A2961"/>
      <c r="G2961" s="207"/>
      <c r="CP2961"/>
    </row>
    <row r="2962" spans="1:94" hidden="1">
      <c r="A2962"/>
      <c r="G2962" s="207"/>
      <c r="CP2962"/>
    </row>
    <row r="2963" spans="1:94" hidden="1">
      <c r="A2963"/>
      <c r="G2963" s="207"/>
      <c r="CP2963"/>
    </row>
    <row r="2964" spans="1:94" hidden="1">
      <c r="A2964"/>
      <c r="G2964" s="207"/>
      <c r="CP2964"/>
    </row>
    <row r="2965" spans="1:94" hidden="1">
      <c r="A2965"/>
      <c r="G2965" s="207"/>
      <c r="CP2965"/>
    </row>
    <row r="2966" spans="1:94" hidden="1">
      <c r="A2966"/>
      <c r="G2966" s="207"/>
      <c r="CP2966"/>
    </row>
    <row r="2967" spans="1:94" hidden="1">
      <c r="A2967"/>
      <c r="G2967" s="207"/>
      <c r="CP2967"/>
    </row>
    <row r="2968" spans="1:94" hidden="1">
      <c r="A2968"/>
      <c r="G2968" s="207"/>
      <c r="CP2968"/>
    </row>
    <row r="2969" spans="1:94" hidden="1">
      <c r="A2969"/>
      <c r="G2969" s="207"/>
      <c r="CP2969"/>
    </row>
    <row r="2970" spans="1:94" hidden="1">
      <c r="A2970"/>
      <c r="G2970" s="207"/>
      <c r="CP2970"/>
    </row>
    <row r="2971" spans="1:94" hidden="1">
      <c r="A2971"/>
      <c r="G2971" s="207"/>
      <c r="CP2971"/>
    </row>
    <row r="2972" spans="1:94" hidden="1">
      <c r="A2972"/>
      <c r="G2972" s="207"/>
      <c r="CP2972"/>
    </row>
    <row r="2973" spans="1:94" hidden="1">
      <c r="A2973"/>
      <c r="G2973" s="207"/>
      <c r="CP2973"/>
    </row>
    <row r="2974" spans="1:94" hidden="1">
      <c r="A2974"/>
      <c r="G2974" s="207"/>
      <c r="CP2974"/>
    </row>
    <row r="2975" spans="1:94" hidden="1">
      <c r="A2975"/>
      <c r="G2975" s="207"/>
      <c r="CP2975"/>
    </row>
    <row r="2976" spans="1:94" hidden="1">
      <c r="A2976"/>
      <c r="G2976" s="207"/>
      <c r="CP2976"/>
    </row>
    <row r="2977" spans="1:94" hidden="1">
      <c r="A2977"/>
      <c r="G2977" s="207"/>
      <c r="CP2977"/>
    </row>
    <row r="2978" spans="1:94" hidden="1">
      <c r="A2978"/>
      <c r="G2978" s="207"/>
      <c r="CP2978"/>
    </row>
    <row r="2979" spans="1:94" hidden="1">
      <c r="A2979"/>
      <c r="G2979" s="207"/>
      <c r="CP2979"/>
    </row>
    <row r="2980" spans="1:94" hidden="1">
      <c r="A2980"/>
      <c r="G2980" s="207"/>
      <c r="CP2980"/>
    </row>
    <row r="2981" spans="1:94" hidden="1">
      <c r="A2981"/>
      <c r="G2981" s="207"/>
      <c r="CP2981"/>
    </row>
    <row r="2982" spans="1:94" hidden="1">
      <c r="A2982"/>
      <c r="G2982" s="207"/>
      <c r="CP2982"/>
    </row>
    <row r="2983" spans="1:94" hidden="1">
      <c r="A2983"/>
      <c r="G2983" s="207"/>
      <c r="CP2983"/>
    </row>
    <row r="2984" spans="1:94" hidden="1">
      <c r="A2984"/>
      <c r="G2984" s="207"/>
      <c r="CP2984"/>
    </row>
    <row r="2985" spans="1:94" hidden="1">
      <c r="A2985"/>
      <c r="G2985" s="207"/>
      <c r="CP2985"/>
    </row>
    <row r="2986" spans="1:94" hidden="1">
      <c r="A2986"/>
      <c r="G2986" s="207"/>
      <c r="CP2986"/>
    </row>
    <row r="2987" spans="1:94" hidden="1">
      <c r="A2987"/>
      <c r="G2987" s="207"/>
      <c r="CP2987"/>
    </row>
    <row r="2988" spans="1:94" hidden="1">
      <c r="A2988"/>
      <c r="G2988" s="207"/>
      <c r="CP2988"/>
    </row>
    <row r="2989" spans="1:94" hidden="1">
      <c r="A2989"/>
      <c r="G2989" s="207"/>
      <c r="CP2989"/>
    </row>
    <row r="2990" spans="1:94" hidden="1">
      <c r="A2990"/>
      <c r="G2990" s="207"/>
      <c r="CP2990"/>
    </row>
    <row r="2991" spans="1:94" hidden="1">
      <c r="A2991"/>
      <c r="G2991" s="207"/>
      <c r="CP2991"/>
    </row>
    <row r="2992" spans="1:94" hidden="1">
      <c r="A2992"/>
      <c r="G2992" s="207"/>
      <c r="CP2992"/>
    </row>
    <row r="2993" spans="1:94" hidden="1">
      <c r="A2993"/>
      <c r="G2993" s="207"/>
      <c r="CP2993"/>
    </row>
    <row r="2994" spans="1:94" hidden="1">
      <c r="A2994"/>
      <c r="G2994" s="207"/>
      <c r="CP2994"/>
    </row>
    <row r="2995" spans="1:94" hidden="1">
      <c r="A2995"/>
      <c r="G2995" s="207"/>
      <c r="CP2995"/>
    </row>
    <row r="2996" spans="1:94" hidden="1">
      <c r="A2996"/>
      <c r="G2996" s="207"/>
      <c r="CP2996"/>
    </row>
    <row r="2997" spans="1:94" hidden="1">
      <c r="A2997"/>
      <c r="G2997" s="207"/>
      <c r="CP2997"/>
    </row>
    <row r="2998" spans="1:94" hidden="1">
      <c r="A2998"/>
      <c r="G2998" s="207"/>
      <c r="CP2998"/>
    </row>
    <row r="2999" spans="1:94" hidden="1">
      <c r="A2999"/>
      <c r="G2999" s="207"/>
      <c r="CP2999"/>
    </row>
    <row r="3000" spans="1:94" hidden="1">
      <c r="A3000"/>
      <c r="G3000" s="207"/>
      <c r="CP3000"/>
    </row>
    <row r="3001" spans="1:94" hidden="1">
      <c r="A3001"/>
      <c r="G3001" s="207"/>
      <c r="CP3001"/>
    </row>
    <row r="3002" spans="1:94" hidden="1">
      <c r="A3002"/>
      <c r="G3002" s="207"/>
      <c r="CP3002"/>
    </row>
    <row r="3003" spans="1:94" hidden="1">
      <c r="A3003"/>
      <c r="G3003" s="207"/>
      <c r="CP3003"/>
    </row>
    <row r="3004" spans="1:94" hidden="1">
      <c r="A3004"/>
      <c r="G3004" s="207"/>
      <c r="CP3004"/>
    </row>
    <row r="3005" spans="1:94" hidden="1">
      <c r="A3005"/>
      <c r="G3005" s="207"/>
      <c r="CP3005"/>
    </row>
    <row r="3006" spans="1:94" hidden="1">
      <c r="A3006"/>
      <c r="G3006" s="207"/>
      <c r="CP3006"/>
    </row>
    <row r="3007" spans="1:94" hidden="1">
      <c r="A3007"/>
      <c r="G3007" s="207"/>
      <c r="CP3007"/>
    </row>
    <row r="3008" spans="1:94" hidden="1">
      <c r="A3008"/>
      <c r="G3008" s="207"/>
      <c r="CP3008"/>
    </row>
    <row r="3009" spans="1:94" hidden="1">
      <c r="A3009"/>
      <c r="G3009" s="207"/>
      <c r="CP3009"/>
    </row>
    <row r="3010" spans="1:94" hidden="1">
      <c r="A3010"/>
      <c r="G3010" s="207"/>
      <c r="CP3010"/>
    </row>
    <row r="3011" spans="1:94" hidden="1">
      <c r="A3011"/>
      <c r="G3011" s="207"/>
      <c r="CP3011"/>
    </row>
    <row r="3012" spans="1:94" hidden="1">
      <c r="A3012"/>
      <c r="G3012" s="207"/>
      <c r="CP3012"/>
    </row>
    <row r="3013" spans="1:94" hidden="1">
      <c r="A3013"/>
      <c r="G3013" s="207"/>
      <c r="CP3013"/>
    </row>
    <row r="3014" spans="1:94" hidden="1">
      <c r="A3014"/>
      <c r="G3014" s="207"/>
      <c r="CP3014"/>
    </row>
    <row r="3015" spans="1:94" hidden="1">
      <c r="A3015"/>
      <c r="G3015" s="207"/>
      <c r="CP3015"/>
    </row>
    <row r="3016" spans="1:94" hidden="1">
      <c r="A3016"/>
      <c r="G3016" s="207"/>
      <c r="CP3016"/>
    </row>
    <row r="3017" spans="1:94" hidden="1">
      <c r="A3017"/>
      <c r="G3017" s="207"/>
      <c r="CP3017"/>
    </row>
    <row r="3018" spans="1:94" hidden="1">
      <c r="A3018"/>
      <c r="G3018" s="207"/>
      <c r="CP3018"/>
    </row>
    <row r="3019" spans="1:94" hidden="1">
      <c r="A3019"/>
      <c r="G3019" s="207"/>
      <c r="CP3019"/>
    </row>
    <row r="3020" spans="1:94" hidden="1">
      <c r="A3020"/>
      <c r="G3020" s="207"/>
      <c r="CP3020"/>
    </row>
    <row r="3021" spans="1:94" hidden="1">
      <c r="A3021"/>
      <c r="G3021" s="207"/>
      <c r="CP3021"/>
    </row>
    <row r="3022" spans="1:94" hidden="1">
      <c r="A3022"/>
      <c r="G3022" s="207"/>
      <c r="CP3022"/>
    </row>
    <row r="3023" spans="1:94" hidden="1">
      <c r="A3023"/>
      <c r="G3023" s="207"/>
      <c r="CP3023"/>
    </row>
    <row r="3024" spans="1:94" hidden="1">
      <c r="A3024"/>
      <c r="G3024" s="207"/>
      <c r="CP3024"/>
    </row>
    <row r="3025" spans="1:94" hidden="1">
      <c r="A3025"/>
      <c r="G3025" s="207"/>
      <c r="CP3025"/>
    </row>
    <row r="3026" spans="1:94" hidden="1">
      <c r="A3026"/>
      <c r="G3026" s="207"/>
      <c r="CP3026"/>
    </row>
    <row r="3027" spans="1:94" hidden="1">
      <c r="A3027"/>
      <c r="G3027" s="207"/>
      <c r="CP3027"/>
    </row>
    <row r="3028" spans="1:94" hidden="1">
      <c r="A3028"/>
      <c r="G3028" s="207"/>
      <c r="CP3028"/>
    </row>
    <row r="3029" spans="1:94" hidden="1">
      <c r="A3029"/>
      <c r="G3029" s="207"/>
      <c r="CP3029"/>
    </row>
    <row r="3030" spans="1:94" hidden="1">
      <c r="A3030"/>
      <c r="G3030" s="207"/>
      <c r="CP3030"/>
    </row>
    <row r="3031" spans="1:94" hidden="1">
      <c r="A3031"/>
      <c r="G3031" s="207"/>
      <c r="CP3031"/>
    </row>
    <row r="3032" spans="1:94" hidden="1">
      <c r="A3032"/>
      <c r="G3032" s="207"/>
      <c r="CP3032"/>
    </row>
    <row r="3033" spans="1:94" hidden="1">
      <c r="A3033"/>
      <c r="G3033" s="207"/>
      <c r="CP3033"/>
    </row>
    <row r="3034" spans="1:94" hidden="1">
      <c r="A3034"/>
      <c r="G3034" s="207"/>
      <c r="CP3034"/>
    </row>
    <row r="3035" spans="1:94" hidden="1">
      <c r="A3035"/>
      <c r="G3035" s="207"/>
      <c r="CP3035"/>
    </row>
    <row r="3036" spans="1:94" hidden="1">
      <c r="A3036"/>
      <c r="G3036" s="207"/>
      <c r="CP3036"/>
    </row>
    <row r="3037" spans="1:94" hidden="1">
      <c r="A3037"/>
      <c r="G3037" s="207"/>
      <c r="CP3037"/>
    </row>
    <row r="3038" spans="1:94" hidden="1">
      <c r="A3038"/>
      <c r="G3038" s="207"/>
      <c r="CP3038"/>
    </row>
    <row r="3039" spans="1:94" hidden="1">
      <c r="A3039"/>
      <c r="G3039" s="207"/>
      <c r="CP3039"/>
    </row>
    <row r="3040" spans="1:94" hidden="1">
      <c r="A3040"/>
      <c r="G3040" s="207"/>
      <c r="CP3040"/>
    </row>
    <row r="3041" spans="1:94" hidden="1">
      <c r="A3041"/>
      <c r="G3041" s="207"/>
      <c r="CP3041"/>
    </row>
    <row r="3042" spans="1:94" hidden="1">
      <c r="A3042"/>
      <c r="G3042" s="207"/>
      <c r="CP3042"/>
    </row>
    <row r="3043" spans="1:94" hidden="1">
      <c r="A3043"/>
      <c r="G3043" s="207"/>
      <c r="CP3043"/>
    </row>
    <row r="3044" spans="1:94" hidden="1">
      <c r="A3044"/>
      <c r="G3044" s="207"/>
      <c r="CP3044"/>
    </row>
    <row r="3045" spans="1:94" hidden="1">
      <c r="A3045"/>
      <c r="G3045" s="207"/>
      <c r="CP3045"/>
    </row>
    <row r="3046" spans="1:94" hidden="1">
      <c r="A3046"/>
      <c r="G3046" s="207"/>
      <c r="CP3046"/>
    </row>
    <row r="3047" spans="1:94" hidden="1">
      <c r="A3047"/>
      <c r="G3047" s="207"/>
      <c r="CP3047"/>
    </row>
    <row r="3048" spans="1:94" hidden="1">
      <c r="A3048"/>
      <c r="G3048" s="207"/>
      <c r="CP3048"/>
    </row>
    <row r="3049" spans="1:94" hidden="1">
      <c r="A3049"/>
      <c r="G3049" s="207"/>
      <c r="CP3049"/>
    </row>
    <row r="3050" spans="1:94" hidden="1">
      <c r="A3050"/>
      <c r="G3050" s="207"/>
      <c r="CP3050"/>
    </row>
    <row r="3051" spans="1:94" hidden="1">
      <c r="A3051"/>
      <c r="G3051" s="207"/>
      <c r="CP3051"/>
    </row>
    <row r="3052" spans="1:94" hidden="1">
      <c r="A3052"/>
      <c r="G3052" s="207"/>
      <c r="CP3052"/>
    </row>
    <row r="3053" spans="1:94" hidden="1">
      <c r="A3053"/>
      <c r="G3053" s="207"/>
      <c r="CP3053"/>
    </row>
    <row r="3054" spans="1:94" hidden="1">
      <c r="A3054"/>
      <c r="G3054" s="207"/>
      <c r="CP3054"/>
    </row>
    <row r="3055" spans="1:94" hidden="1">
      <c r="A3055"/>
      <c r="G3055" s="207"/>
      <c r="CP3055"/>
    </row>
    <row r="3056" spans="1:94" hidden="1">
      <c r="A3056"/>
      <c r="G3056" s="207"/>
      <c r="CP3056"/>
    </row>
    <row r="3057" spans="1:94" hidden="1">
      <c r="A3057"/>
      <c r="G3057" s="207"/>
      <c r="CP3057"/>
    </row>
    <row r="3058" spans="1:94" hidden="1">
      <c r="A3058"/>
      <c r="G3058" s="207"/>
      <c r="CP3058"/>
    </row>
    <row r="3059" spans="1:94" hidden="1">
      <c r="A3059"/>
      <c r="G3059" s="207"/>
      <c r="CP3059"/>
    </row>
    <row r="3060" spans="1:94" hidden="1">
      <c r="A3060"/>
      <c r="G3060" s="207"/>
      <c r="CP3060"/>
    </row>
    <row r="3061" spans="1:94" hidden="1">
      <c r="A3061"/>
      <c r="G3061" s="207"/>
      <c r="CP3061"/>
    </row>
    <row r="3062" spans="1:94" hidden="1">
      <c r="A3062"/>
      <c r="G3062" s="207"/>
      <c r="CP3062"/>
    </row>
    <row r="3063" spans="1:94" hidden="1">
      <c r="A3063"/>
      <c r="G3063" s="207"/>
      <c r="CP3063"/>
    </row>
    <row r="3064" spans="1:94" hidden="1">
      <c r="A3064"/>
      <c r="G3064" s="207"/>
      <c r="CP3064"/>
    </row>
    <row r="3065" spans="1:94" hidden="1">
      <c r="A3065"/>
      <c r="G3065" s="207"/>
      <c r="CP3065"/>
    </row>
    <row r="3066" spans="1:94" hidden="1">
      <c r="A3066"/>
      <c r="G3066" s="207"/>
      <c r="CP3066"/>
    </row>
    <row r="3067" spans="1:94" hidden="1">
      <c r="A3067"/>
      <c r="G3067" s="207"/>
      <c r="CP3067"/>
    </row>
    <row r="3068" spans="1:94" hidden="1">
      <c r="A3068"/>
      <c r="G3068" s="207"/>
      <c r="CP3068"/>
    </row>
    <row r="3069" spans="1:94" hidden="1">
      <c r="A3069"/>
      <c r="G3069" s="207"/>
      <c r="CP3069"/>
    </row>
    <row r="3070" spans="1:94" hidden="1">
      <c r="A3070"/>
      <c r="G3070" s="207"/>
      <c r="CP3070"/>
    </row>
    <row r="3071" spans="1:94" hidden="1">
      <c r="A3071"/>
      <c r="G3071" s="207"/>
      <c r="CP3071"/>
    </row>
    <row r="3072" spans="1:94" hidden="1">
      <c r="A3072"/>
      <c r="G3072" s="207"/>
      <c r="CP3072"/>
    </row>
    <row r="3073" spans="1:94" hidden="1">
      <c r="A3073"/>
      <c r="G3073" s="207"/>
      <c r="CP3073"/>
    </row>
    <row r="3074" spans="1:94" hidden="1">
      <c r="A3074"/>
      <c r="G3074" s="207"/>
      <c r="CP3074"/>
    </row>
    <row r="3075" spans="1:94" hidden="1">
      <c r="A3075"/>
      <c r="G3075" s="207"/>
      <c r="CP3075"/>
    </row>
    <row r="3076" spans="1:94" hidden="1">
      <c r="A3076"/>
      <c r="G3076" s="207"/>
      <c r="CP3076"/>
    </row>
    <row r="3077" spans="1:94" hidden="1">
      <c r="A3077"/>
      <c r="G3077" s="207"/>
      <c r="CP3077"/>
    </row>
    <row r="3078" spans="1:94" hidden="1">
      <c r="A3078"/>
      <c r="G3078" s="207"/>
      <c r="CP3078"/>
    </row>
    <row r="3079" spans="1:94" hidden="1">
      <c r="A3079"/>
      <c r="G3079" s="207"/>
      <c r="CP3079"/>
    </row>
    <row r="3080" spans="1:94" hidden="1">
      <c r="A3080"/>
      <c r="G3080" s="207"/>
      <c r="CP3080"/>
    </row>
    <row r="3081" spans="1:94" hidden="1">
      <c r="A3081"/>
      <c r="G3081" s="207"/>
      <c r="CP3081"/>
    </row>
    <row r="3082" spans="1:94" hidden="1">
      <c r="A3082"/>
      <c r="G3082" s="207"/>
      <c r="CP3082"/>
    </row>
    <row r="3083" spans="1:94" hidden="1">
      <c r="A3083"/>
      <c r="G3083" s="207"/>
      <c r="CP3083"/>
    </row>
    <row r="3084" spans="1:94" hidden="1">
      <c r="A3084"/>
      <c r="G3084" s="207"/>
      <c r="CP3084"/>
    </row>
    <row r="3085" spans="1:94" hidden="1">
      <c r="A3085"/>
      <c r="G3085" s="207"/>
      <c r="CP3085"/>
    </row>
    <row r="3086" spans="1:94" hidden="1">
      <c r="A3086"/>
      <c r="G3086" s="207"/>
      <c r="CP3086"/>
    </row>
    <row r="3087" spans="1:94" hidden="1">
      <c r="A3087"/>
      <c r="G3087" s="207"/>
      <c r="CP3087"/>
    </row>
    <row r="3088" spans="1:94" hidden="1">
      <c r="A3088"/>
      <c r="G3088" s="207"/>
      <c r="CP3088"/>
    </row>
    <row r="3089" spans="1:94" hidden="1">
      <c r="A3089"/>
      <c r="G3089" s="207"/>
      <c r="CP3089"/>
    </row>
    <row r="3090" spans="1:94" hidden="1">
      <c r="A3090"/>
      <c r="G3090" s="207"/>
      <c r="CP3090"/>
    </row>
    <row r="3091" spans="1:94" hidden="1">
      <c r="A3091"/>
      <c r="G3091" s="207"/>
      <c r="CP3091"/>
    </row>
    <row r="3092" spans="1:94" hidden="1">
      <c r="A3092"/>
      <c r="G3092" s="207"/>
      <c r="CP3092"/>
    </row>
    <row r="3093" spans="1:94" hidden="1">
      <c r="A3093"/>
      <c r="G3093" s="207"/>
      <c r="CP3093"/>
    </row>
    <row r="3094" spans="1:94" hidden="1">
      <c r="A3094"/>
      <c r="G3094" s="207"/>
      <c r="CP3094"/>
    </row>
    <row r="3095" spans="1:94" hidden="1">
      <c r="A3095"/>
      <c r="G3095" s="207"/>
      <c r="CP3095"/>
    </row>
    <row r="3096" spans="1:94" hidden="1">
      <c r="A3096"/>
      <c r="G3096" s="207"/>
      <c r="CP3096"/>
    </row>
    <row r="3097" spans="1:94" hidden="1">
      <c r="A3097"/>
      <c r="G3097" s="207"/>
      <c r="CP3097"/>
    </row>
    <row r="3098" spans="1:94" hidden="1">
      <c r="A3098"/>
      <c r="G3098" s="207"/>
      <c r="CP3098"/>
    </row>
    <row r="3099" spans="1:94" hidden="1">
      <c r="A3099"/>
      <c r="G3099" s="207"/>
      <c r="CP3099"/>
    </row>
    <row r="3100" spans="1:94" hidden="1">
      <c r="A3100"/>
      <c r="G3100" s="207"/>
      <c r="CP3100"/>
    </row>
    <row r="3101" spans="1:94" hidden="1">
      <c r="A3101"/>
      <c r="G3101" s="207"/>
      <c r="CP3101"/>
    </row>
    <row r="3102" spans="1:94" hidden="1">
      <c r="A3102"/>
      <c r="G3102" s="207"/>
      <c r="CP3102"/>
    </row>
    <row r="3103" spans="1:94" hidden="1">
      <c r="A3103"/>
      <c r="G3103" s="207"/>
      <c r="CP3103"/>
    </row>
    <row r="3104" spans="1:94" hidden="1">
      <c r="A3104"/>
      <c r="G3104" s="207"/>
      <c r="CP3104"/>
    </row>
    <row r="3105" spans="1:94" hidden="1">
      <c r="A3105"/>
      <c r="G3105" s="207"/>
      <c r="CP3105"/>
    </row>
    <row r="3106" spans="1:94" hidden="1">
      <c r="A3106"/>
      <c r="G3106" s="207"/>
      <c r="CP3106"/>
    </row>
    <row r="3107" spans="1:94" hidden="1">
      <c r="A3107"/>
      <c r="G3107" s="207"/>
      <c r="CP3107"/>
    </row>
    <row r="3108" spans="1:94" hidden="1">
      <c r="A3108"/>
      <c r="G3108" s="207"/>
      <c r="CP3108"/>
    </row>
    <row r="3109" spans="1:94" hidden="1">
      <c r="A3109"/>
      <c r="G3109" s="207"/>
      <c r="CP3109"/>
    </row>
    <row r="3110" spans="1:94" hidden="1">
      <c r="A3110"/>
      <c r="G3110" s="207"/>
      <c r="CP3110"/>
    </row>
    <row r="3111" spans="1:94" hidden="1">
      <c r="A3111"/>
      <c r="G3111" s="207"/>
      <c r="CP3111"/>
    </row>
    <row r="3112" spans="1:94" hidden="1">
      <c r="A3112"/>
      <c r="G3112" s="207"/>
      <c r="CP3112"/>
    </row>
    <row r="3113" spans="1:94" hidden="1">
      <c r="A3113"/>
      <c r="G3113" s="207"/>
      <c r="CP3113"/>
    </row>
    <row r="3114" spans="1:94" hidden="1">
      <c r="A3114"/>
      <c r="G3114" s="207"/>
      <c r="CP3114"/>
    </row>
    <row r="3115" spans="1:94" hidden="1">
      <c r="A3115"/>
      <c r="G3115" s="207"/>
      <c r="CP3115"/>
    </row>
    <row r="3116" spans="1:94" hidden="1">
      <c r="A3116"/>
      <c r="G3116" s="207"/>
      <c r="CP3116"/>
    </row>
    <row r="3117" spans="1:94" hidden="1">
      <c r="A3117"/>
      <c r="G3117" s="207"/>
      <c r="CP3117"/>
    </row>
    <row r="3118" spans="1:94" hidden="1">
      <c r="A3118"/>
      <c r="G3118" s="207"/>
      <c r="CP3118"/>
    </row>
    <row r="3119" spans="1:94" hidden="1">
      <c r="A3119"/>
      <c r="G3119" s="207"/>
      <c r="CP3119"/>
    </row>
    <row r="3120" spans="1:94" hidden="1">
      <c r="A3120"/>
      <c r="G3120" s="207"/>
      <c r="CP3120"/>
    </row>
    <row r="3121" spans="1:94" hidden="1">
      <c r="A3121"/>
      <c r="G3121" s="207"/>
      <c r="CP3121"/>
    </row>
    <row r="3122" spans="1:94" hidden="1">
      <c r="A3122"/>
      <c r="G3122" s="207"/>
      <c r="CP3122"/>
    </row>
    <row r="3123" spans="1:94" hidden="1">
      <c r="A3123"/>
      <c r="G3123" s="207"/>
      <c r="CP3123"/>
    </row>
    <row r="3124" spans="1:94" hidden="1">
      <c r="A3124"/>
      <c r="G3124" s="207"/>
      <c r="CP3124"/>
    </row>
    <row r="3125" spans="1:94" hidden="1">
      <c r="A3125"/>
      <c r="G3125" s="207"/>
      <c r="CP3125"/>
    </row>
    <row r="3126" spans="1:94" hidden="1">
      <c r="A3126"/>
      <c r="G3126" s="207"/>
      <c r="CP3126"/>
    </row>
    <row r="3127" spans="1:94" hidden="1">
      <c r="A3127"/>
      <c r="G3127" s="207"/>
      <c r="CP3127"/>
    </row>
    <row r="3128" spans="1:94" hidden="1">
      <c r="A3128"/>
      <c r="G3128" s="207"/>
      <c r="CP3128"/>
    </row>
    <row r="3129" spans="1:94" hidden="1">
      <c r="A3129"/>
      <c r="G3129" s="207"/>
      <c r="CP3129"/>
    </row>
    <row r="3130" spans="1:94" hidden="1">
      <c r="A3130"/>
      <c r="G3130" s="207"/>
      <c r="CP3130"/>
    </row>
    <row r="3131" spans="1:94" hidden="1">
      <c r="A3131"/>
      <c r="G3131" s="207"/>
      <c r="CP3131"/>
    </row>
    <row r="3132" spans="1:94" hidden="1">
      <c r="A3132"/>
      <c r="G3132" s="207"/>
      <c r="CP3132"/>
    </row>
    <row r="3133" spans="1:94" hidden="1">
      <c r="A3133"/>
      <c r="G3133" s="207"/>
      <c r="CP3133"/>
    </row>
    <row r="3134" spans="1:94" hidden="1">
      <c r="A3134"/>
      <c r="G3134" s="207"/>
      <c r="CP3134"/>
    </row>
    <row r="3135" spans="1:94" hidden="1">
      <c r="A3135"/>
      <c r="G3135" s="207"/>
      <c r="CP3135"/>
    </row>
    <row r="3136" spans="1:94" hidden="1">
      <c r="A3136"/>
      <c r="G3136" s="207"/>
      <c r="CP3136"/>
    </row>
    <row r="3137" spans="1:94" hidden="1">
      <c r="A3137"/>
      <c r="G3137" s="207"/>
      <c r="CP3137"/>
    </row>
    <row r="3138" spans="1:94" hidden="1">
      <c r="A3138"/>
      <c r="G3138" s="207"/>
      <c r="CP3138"/>
    </row>
    <row r="3139" spans="1:94" hidden="1">
      <c r="A3139"/>
      <c r="G3139" s="207"/>
      <c r="CP3139"/>
    </row>
    <row r="3140" spans="1:94" hidden="1">
      <c r="A3140"/>
      <c r="G3140" s="207"/>
      <c r="CP3140"/>
    </row>
    <row r="3141" spans="1:94" hidden="1">
      <c r="A3141"/>
      <c r="G3141" s="207"/>
      <c r="CP3141"/>
    </row>
    <row r="3142" spans="1:94" hidden="1">
      <c r="A3142"/>
      <c r="G3142" s="207"/>
      <c r="CP3142"/>
    </row>
    <row r="3143" spans="1:94" hidden="1">
      <c r="A3143"/>
      <c r="G3143" s="207"/>
      <c r="CP3143"/>
    </row>
    <row r="3144" spans="1:94" hidden="1">
      <c r="A3144"/>
      <c r="G3144" s="207"/>
      <c r="CP3144"/>
    </row>
    <row r="3145" spans="1:94" hidden="1">
      <c r="A3145"/>
      <c r="G3145" s="207"/>
      <c r="CP3145"/>
    </row>
    <row r="3146" spans="1:94" hidden="1">
      <c r="A3146"/>
      <c r="G3146" s="207"/>
      <c r="CP3146"/>
    </row>
    <row r="3147" spans="1:94" hidden="1">
      <c r="A3147"/>
      <c r="G3147" s="207"/>
      <c r="CP3147"/>
    </row>
    <row r="3148" spans="1:94" hidden="1">
      <c r="A3148"/>
      <c r="G3148" s="207"/>
      <c r="CP3148"/>
    </row>
    <row r="3149" spans="1:94" hidden="1">
      <c r="A3149"/>
      <c r="G3149" s="207"/>
      <c r="CP3149"/>
    </row>
    <row r="3150" spans="1:94" hidden="1">
      <c r="A3150"/>
      <c r="G3150" s="207"/>
      <c r="CP3150"/>
    </row>
    <row r="3151" spans="1:94" hidden="1">
      <c r="A3151"/>
      <c r="G3151" s="207"/>
      <c r="CP3151"/>
    </row>
    <row r="3152" spans="1:94" hidden="1">
      <c r="A3152"/>
      <c r="G3152" s="207"/>
      <c r="CP3152"/>
    </row>
    <row r="3153" spans="1:94" hidden="1">
      <c r="A3153"/>
      <c r="G3153" s="207"/>
      <c r="CP3153"/>
    </row>
    <row r="3154" spans="1:94" hidden="1">
      <c r="A3154"/>
      <c r="G3154" s="207"/>
      <c r="CP3154"/>
    </row>
    <row r="3155" spans="1:94" hidden="1">
      <c r="A3155"/>
      <c r="G3155" s="207"/>
      <c r="CP3155"/>
    </row>
    <row r="3156" spans="1:94" hidden="1">
      <c r="A3156"/>
      <c r="G3156" s="207"/>
      <c r="CP3156"/>
    </row>
    <row r="3157" spans="1:94" hidden="1">
      <c r="A3157"/>
      <c r="G3157" s="207"/>
      <c r="CP3157"/>
    </row>
    <row r="3158" spans="1:94" hidden="1">
      <c r="A3158"/>
      <c r="G3158" s="207"/>
      <c r="CP3158"/>
    </row>
    <row r="3159" spans="1:94" hidden="1">
      <c r="A3159"/>
      <c r="G3159" s="207"/>
      <c r="CP3159"/>
    </row>
    <row r="3160" spans="1:94" hidden="1">
      <c r="A3160"/>
      <c r="G3160" s="207"/>
      <c r="CP3160"/>
    </row>
    <row r="3161" spans="1:94" hidden="1">
      <c r="A3161"/>
      <c r="G3161" s="207"/>
      <c r="CP3161"/>
    </row>
    <row r="3162" spans="1:94" hidden="1">
      <c r="A3162"/>
      <c r="G3162" s="207"/>
      <c r="CP3162"/>
    </row>
    <row r="3163" spans="1:94" hidden="1">
      <c r="A3163"/>
      <c r="G3163" s="207"/>
      <c r="CP3163"/>
    </row>
    <row r="3164" spans="1:94" hidden="1">
      <c r="A3164"/>
      <c r="G3164" s="207"/>
      <c r="CP3164"/>
    </row>
    <row r="3165" spans="1:94" hidden="1">
      <c r="A3165"/>
      <c r="G3165" s="207"/>
      <c r="CP3165"/>
    </row>
    <row r="3166" spans="1:94" hidden="1">
      <c r="A3166"/>
      <c r="G3166" s="207"/>
      <c r="CP3166"/>
    </row>
    <row r="3167" spans="1:94" hidden="1">
      <c r="A3167"/>
      <c r="G3167" s="207"/>
      <c r="CP3167"/>
    </row>
    <row r="3168" spans="1:94" hidden="1">
      <c r="A3168"/>
      <c r="G3168" s="207"/>
      <c r="CP3168"/>
    </row>
    <row r="3169" spans="1:94" hidden="1">
      <c r="A3169"/>
      <c r="G3169" s="207"/>
      <c r="CP3169"/>
    </row>
    <row r="3170" spans="1:94" hidden="1">
      <c r="A3170"/>
      <c r="G3170" s="207"/>
      <c r="CP3170"/>
    </row>
    <row r="3171" spans="1:94" hidden="1">
      <c r="A3171"/>
      <c r="G3171" s="207"/>
      <c r="CP3171"/>
    </row>
    <row r="3172" spans="1:94" hidden="1">
      <c r="A3172"/>
      <c r="G3172" s="207"/>
      <c r="CP3172"/>
    </row>
    <row r="3173" spans="1:94" hidden="1">
      <c r="A3173"/>
      <c r="G3173" s="207"/>
      <c r="CP3173"/>
    </row>
    <row r="3174" spans="1:94" hidden="1">
      <c r="A3174"/>
      <c r="G3174" s="207"/>
      <c r="CP3174"/>
    </row>
    <row r="3175" spans="1:94" hidden="1">
      <c r="A3175"/>
      <c r="G3175" s="207"/>
      <c r="CP3175"/>
    </row>
    <row r="3176" spans="1:94" hidden="1">
      <c r="A3176"/>
      <c r="G3176" s="207"/>
      <c r="CP3176"/>
    </row>
    <row r="3177" spans="1:94" hidden="1">
      <c r="A3177"/>
      <c r="G3177" s="207"/>
      <c r="CP3177"/>
    </row>
    <row r="3178" spans="1:94" hidden="1">
      <c r="A3178"/>
      <c r="G3178" s="207"/>
      <c r="CP3178"/>
    </row>
    <row r="3179" spans="1:94" hidden="1">
      <c r="A3179"/>
      <c r="G3179" s="207"/>
      <c r="CP3179"/>
    </row>
    <row r="3180" spans="1:94" hidden="1">
      <c r="A3180"/>
      <c r="G3180" s="207"/>
      <c r="CP3180"/>
    </row>
    <row r="3181" spans="1:94" hidden="1">
      <c r="A3181"/>
      <c r="G3181" s="207"/>
      <c r="CP3181"/>
    </row>
    <row r="3182" spans="1:94" hidden="1">
      <c r="A3182"/>
      <c r="G3182" s="207"/>
      <c r="CP3182"/>
    </row>
    <row r="3183" spans="1:94" hidden="1">
      <c r="A3183"/>
      <c r="G3183" s="207"/>
      <c r="CP3183"/>
    </row>
    <row r="3184" spans="1:94" hidden="1">
      <c r="A3184"/>
      <c r="G3184" s="207"/>
      <c r="CP3184"/>
    </row>
    <row r="3185" spans="1:94" hidden="1">
      <c r="A3185"/>
      <c r="G3185" s="207"/>
      <c r="CP3185"/>
    </row>
    <row r="3186" spans="1:94" hidden="1">
      <c r="A3186"/>
      <c r="G3186" s="207"/>
      <c r="CP3186"/>
    </row>
    <row r="3187" spans="1:94" hidden="1">
      <c r="A3187"/>
      <c r="G3187" s="207"/>
      <c r="CP3187"/>
    </row>
    <row r="3188" spans="1:94" hidden="1">
      <c r="A3188"/>
      <c r="G3188" s="207"/>
      <c r="CP3188"/>
    </row>
    <row r="3189" spans="1:94" hidden="1">
      <c r="A3189"/>
      <c r="G3189" s="207"/>
      <c r="CP3189"/>
    </row>
    <row r="3190" spans="1:94" hidden="1">
      <c r="A3190"/>
      <c r="G3190" s="207"/>
      <c r="CP3190"/>
    </row>
    <row r="3191" spans="1:94" hidden="1">
      <c r="A3191"/>
      <c r="G3191" s="207"/>
      <c r="CP3191"/>
    </row>
    <row r="3192" spans="1:94" hidden="1">
      <c r="A3192"/>
      <c r="G3192" s="207"/>
      <c r="CP3192"/>
    </row>
    <row r="3193" spans="1:94" hidden="1">
      <c r="A3193"/>
      <c r="G3193" s="207"/>
      <c r="CP3193"/>
    </row>
    <row r="3194" spans="1:94" hidden="1">
      <c r="A3194"/>
      <c r="G3194" s="207"/>
      <c r="CP3194"/>
    </row>
    <row r="3195" spans="1:94" hidden="1">
      <c r="A3195"/>
      <c r="G3195" s="207"/>
      <c r="CP3195"/>
    </row>
    <row r="3196" spans="1:94" hidden="1">
      <c r="A3196"/>
      <c r="G3196" s="207"/>
      <c r="CP3196"/>
    </row>
    <row r="3197" spans="1:94" hidden="1">
      <c r="A3197"/>
      <c r="G3197" s="207"/>
      <c r="CP3197"/>
    </row>
    <row r="3198" spans="1:94" hidden="1">
      <c r="A3198"/>
      <c r="G3198" s="207"/>
      <c r="CP3198"/>
    </row>
    <row r="3199" spans="1:94" hidden="1">
      <c r="A3199"/>
      <c r="G3199" s="207"/>
      <c r="CP3199"/>
    </row>
    <row r="3200" spans="1:94" hidden="1">
      <c r="A3200"/>
      <c r="G3200" s="207"/>
      <c r="CP3200"/>
    </row>
    <row r="3201" spans="1:94" hidden="1">
      <c r="A3201"/>
      <c r="G3201" s="207"/>
      <c r="CP3201"/>
    </row>
    <row r="3202" spans="1:94" hidden="1">
      <c r="A3202"/>
      <c r="G3202" s="207"/>
      <c r="CP3202"/>
    </row>
    <row r="3203" spans="1:94" hidden="1">
      <c r="A3203"/>
      <c r="G3203" s="207"/>
      <c r="CP3203"/>
    </row>
    <row r="3204" spans="1:94" hidden="1">
      <c r="A3204"/>
      <c r="G3204" s="207"/>
      <c r="CP3204"/>
    </row>
    <row r="3205" spans="1:94" hidden="1">
      <c r="A3205"/>
      <c r="G3205" s="207"/>
      <c r="CP3205"/>
    </row>
    <row r="3206" spans="1:94" hidden="1">
      <c r="A3206"/>
      <c r="G3206" s="207"/>
      <c r="CP3206"/>
    </row>
    <row r="3207" spans="1:94" hidden="1">
      <c r="A3207"/>
      <c r="G3207" s="207"/>
      <c r="CP3207"/>
    </row>
    <row r="3208" spans="1:94" hidden="1">
      <c r="A3208"/>
      <c r="G3208" s="207"/>
      <c r="CP3208"/>
    </row>
    <row r="3209" spans="1:94" hidden="1">
      <c r="A3209"/>
      <c r="G3209" s="207"/>
      <c r="CP3209"/>
    </row>
    <row r="3210" spans="1:94" hidden="1">
      <c r="A3210"/>
      <c r="G3210" s="207"/>
      <c r="CP3210"/>
    </row>
    <row r="3211" spans="1:94" hidden="1">
      <c r="A3211"/>
      <c r="G3211" s="207"/>
      <c r="CP3211"/>
    </row>
    <row r="3212" spans="1:94" hidden="1">
      <c r="A3212"/>
      <c r="G3212" s="207"/>
      <c r="CP3212"/>
    </row>
    <row r="3213" spans="1:94" hidden="1">
      <c r="A3213"/>
      <c r="G3213" s="207"/>
      <c r="CP3213"/>
    </row>
    <row r="3214" spans="1:94" hidden="1">
      <c r="A3214"/>
      <c r="G3214" s="207"/>
      <c r="CP3214"/>
    </row>
    <row r="3215" spans="1:94" hidden="1">
      <c r="A3215"/>
      <c r="G3215" s="207"/>
      <c r="CP3215"/>
    </row>
    <row r="3216" spans="1:94" hidden="1">
      <c r="A3216"/>
      <c r="G3216" s="207"/>
      <c r="CP3216"/>
    </row>
    <row r="3217" spans="1:94" hidden="1">
      <c r="A3217"/>
      <c r="G3217" s="207"/>
      <c r="CP3217"/>
    </row>
    <row r="3218" spans="1:94" hidden="1">
      <c r="A3218"/>
      <c r="G3218" s="207"/>
      <c r="CP3218"/>
    </row>
    <row r="3219" spans="1:94" hidden="1">
      <c r="A3219"/>
      <c r="G3219" s="207"/>
      <c r="CP3219"/>
    </row>
    <row r="3220" spans="1:94" hidden="1">
      <c r="A3220"/>
      <c r="G3220" s="207"/>
      <c r="CP3220"/>
    </row>
    <row r="3221" spans="1:94" hidden="1">
      <c r="A3221"/>
      <c r="G3221" s="207"/>
      <c r="CP3221"/>
    </row>
    <row r="3222" spans="1:94" hidden="1">
      <c r="A3222"/>
      <c r="G3222" s="207"/>
      <c r="CP3222"/>
    </row>
    <row r="3223" spans="1:94" hidden="1">
      <c r="A3223"/>
      <c r="G3223" s="207"/>
      <c r="CP3223"/>
    </row>
    <row r="3224" spans="1:94" hidden="1">
      <c r="A3224"/>
      <c r="G3224" s="207"/>
      <c r="CP3224"/>
    </row>
    <row r="3225" spans="1:94" hidden="1">
      <c r="A3225"/>
      <c r="G3225" s="207"/>
      <c r="CP3225"/>
    </row>
    <row r="3226" spans="1:94" hidden="1">
      <c r="A3226"/>
      <c r="G3226" s="207"/>
      <c r="CP3226"/>
    </row>
    <row r="3227" spans="1:94" hidden="1">
      <c r="A3227"/>
      <c r="G3227" s="207"/>
      <c r="CP3227"/>
    </row>
    <row r="3228" spans="1:94" hidden="1">
      <c r="A3228"/>
      <c r="G3228" s="207"/>
      <c r="CP3228"/>
    </row>
    <row r="3229" spans="1:94" hidden="1">
      <c r="A3229"/>
      <c r="G3229" s="207"/>
      <c r="CP3229"/>
    </row>
    <row r="3230" spans="1:94" hidden="1">
      <c r="A3230"/>
      <c r="G3230" s="207"/>
      <c r="CP3230"/>
    </row>
    <row r="3231" spans="1:94" hidden="1">
      <c r="A3231"/>
      <c r="G3231" s="207"/>
      <c r="CP3231"/>
    </row>
    <row r="3232" spans="1:94" hidden="1">
      <c r="A3232"/>
      <c r="G3232" s="207"/>
      <c r="CP3232"/>
    </row>
    <row r="3233" spans="1:94" hidden="1">
      <c r="A3233"/>
      <c r="G3233" s="207"/>
      <c r="CP3233"/>
    </row>
    <row r="3234" spans="1:94" hidden="1">
      <c r="A3234"/>
      <c r="G3234" s="207"/>
      <c r="CP3234"/>
    </row>
    <row r="3235" spans="1:94" hidden="1">
      <c r="A3235"/>
      <c r="G3235" s="207"/>
      <c r="CP3235"/>
    </row>
    <row r="3236" spans="1:94" hidden="1">
      <c r="A3236"/>
      <c r="G3236" s="207"/>
      <c r="CP3236"/>
    </row>
    <row r="3237" spans="1:94" hidden="1">
      <c r="A3237"/>
      <c r="G3237" s="207"/>
      <c r="CP3237"/>
    </row>
    <row r="3238" spans="1:94" hidden="1">
      <c r="A3238"/>
      <c r="G3238" s="207"/>
      <c r="CP3238"/>
    </row>
    <row r="3239" spans="1:94" hidden="1">
      <c r="A3239"/>
      <c r="G3239" s="207"/>
      <c r="CP3239"/>
    </row>
    <row r="3240" spans="1:94" hidden="1">
      <c r="A3240"/>
      <c r="G3240" s="207"/>
      <c r="CP3240"/>
    </row>
    <row r="3241" spans="1:94" hidden="1">
      <c r="A3241"/>
      <c r="G3241" s="207"/>
      <c r="CP3241"/>
    </row>
    <row r="3242" spans="1:94" hidden="1">
      <c r="A3242"/>
      <c r="G3242" s="207"/>
      <c r="CP3242"/>
    </row>
    <row r="3243" spans="1:94" hidden="1">
      <c r="A3243"/>
      <c r="G3243" s="207"/>
      <c r="CP3243"/>
    </row>
    <row r="3244" spans="1:94" hidden="1">
      <c r="A3244"/>
      <c r="G3244" s="207"/>
      <c r="CP3244"/>
    </row>
    <row r="3245" spans="1:94" hidden="1">
      <c r="A3245"/>
      <c r="G3245" s="207"/>
      <c r="CP3245"/>
    </row>
    <row r="3246" spans="1:94" hidden="1">
      <c r="A3246"/>
      <c r="G3246" s="207"/>
      <c r="CP3246"/>
    </row>
    <row r="3247" spans="1:94" hidden="1">
      <c r="A3247"/>
      <c r="G3247" s="207"/>
      <c r="CP3247"/>
    </row>
    <row r="3248" spans="1:94" hidden="1">
      <c r="A3248"/>
      <c r="G3248" s="207"/>
      <c r="CP3248"/>
    </row>
    <row r="3249" spans="1:94" hidden="1">
      <c r="A3249"/>
      <c r="G3249" s="207"/>
      <c r="CP3249"/>
    </row>
    <row r="3250" spans="1:94" hidden="1">
      <c r="A3250"/>
      <c r="G3250" s="207"/>
      <c r="CP3250"/>
    </row>
    <row r="3251" spans="1:94" hidden="1">
      <c r="A3251"/>
      <c r="G3251" s="207"/>
      <c r="CP3251"/>
    </row>
    <row r="3252" spans="1:94" hidden="1">
      <c r="A3252"/>
      <c r="G3252" s="207"/>
      <c r="CP3252"/>
    </row>
    <row r="3253" spans="1:94" hidden="1">
      <c r="A3253"/>
      <c r="G3253" s="207"/>
      <c r="CP3253"/>
    </row>
    <row r="3254" spans="1:94" hidden="1">
      <c r="A3254"/>
      <c r="G3254" s="207"/>
      <c r="CP3254"/>
    </row>
    <row r="3255" spans="1:94" hidden="1">
      <c r="A3255"/>
      <c r="G3255" s="207"/>
      <c r="CP3255"/>
    </row>
    <row r="3256" spans="1:94" hidden="1">
      <c r="A3256"/>
      <c r="G3256" s="207"/>
      <c r="CP3256"/>
    </row>
    <row r="3257" spans="1:94" hidden="1">
      <c r="A3257"/>
      <c r="G3257" s="207"/>
      <c r="CP3257"/>
    </row>
    <row r="3258" spans="1:94" hidden="1">
      <c r="A3258"/>
      <c r="G3258" s="207"/>
      <c r="CP3258"/>
    </row>
    <row r="3259" spans="1:94" hidden="1">
      <c r="A3259"/>
      <c r="G3259" s="207"/>
      <c r="CP3259"/>
    </row>
    <row r="3260" spans="1:94" hidden="1">
      <c r="A3260"/>
      <c r="G3260" s="207"/>
      <c r="CP3260"/>
    </row>
    <row r="3261" spans="1:94" hidden="1">
      <c r="A3261"/>
      <c r="G3261" s="207"/>
      <c r="CP3261"/>
    </row>
    <row r="3262" spans="1:94" hidden="1">
      <c r="A3262"/>
      <c r="G3262" s="207"/>
      <c r="CP3262"/>
    </row>
    <row r="3263" spans="1:94" hidden="1">
      <c r="A3263"/>
      <c r="G3263" s="207"/>
      <c r="CP3263"/>
    </row>
    <row r="3264" spans="1:94" hidden="1">
      <c r="A3264"/>
      <c r="G3264" s="207"/>
      <c r="CP3264"/>
    </row>
    <row r="3265" spans="1:94" hidden="1">
      <c r="A3265"/>
      <c r="G3265" s="207"/>
      <c r="CP3265"/>
    </row>
    <row r="3266" spans="1:94" hidden="1">
      <c r="A3266"/>
      <c r="G3266" s="207"/>
      <c r="CP3266"/>
    </row>
    <row r="3267" spans="1:94" hidden="1">
      <c r="A3267"/>
      <c r="G3267" s="207"/>
      <c r="CP3267"/>
    </row>
    <row r="3268" spans="1:94" hidden="1">
      <c r="A3268"/>
      <c r="G3268" s="207"/>
      <c r="CP3268"/>
    </row>
    <row r="3269" spans="1:94" hidden="1">
      <c r="A3269"/>
      <c r="G3269" s="207"/>
      <c r="CP3269"/>
    </row>
    <row r="3270" spans="1:94" hidden="1">
      <c r="A3270"/>
      <c r="G3270" s="207"/>
      <c r="CP3270"/>
    </row>
    <row r="3271" spans="1:94" hidden="1">
      <c r="A3271"/>
      <c r="G3271" s="207"/>
      <c r="CP3271"/>
    </row>
    <row r="3272" spans="1:94" hidden="1">
      <c r="A3272"/>
      <c r="G3272" s="207"/>
      <c r="CP3272"/>
    </row>
    <row r="3273" spans="1:94" hidden="1">
      <c r="A3273"/>
      <c r="G3273" s="207"/>
      <c r="CP3273"/>
    </row>
    <row r="3274" spans="1:94" hidden="1">
      <c r="A3274"/>
      <c r="G3274" s="207"/>
      <c r="CP3274"/>
    </row>
    <row r="3275" spans="1:94" hidden="1">
      <c r="A3275"/>
      <c r="G3275" s="207"/>
      <c r="CP3275"/>
    </row>
    <row r="3276" spans="1:94" hidden="1">
      <c r="A3276"/>
      <c r="G3276" s="207"/>
      <c r="CP3276"/>
    </row>
    <row r="3277" spans="1:94" hidden="1">
      <c r="A3277"/>
      <c r="G3277" s="207"/>
      <c r="CP3277"/>
    </row>
    <row r="3278" spans="1:94" hidden="1">
      <c r="A3278"/>
      <c r="G3278" s="207"/>
      <c r="CP3278"/>
    </row>
    <row r="3279" spans="1:94" hidden="1">
      <c r="A3279"/>
      <c r="G3279" s="207"/>
      <c r="CP3279"/>
    </row>
    <row r="3280" spans="1:94" hidden="1">
      <c r="A3280"/>
      <c r="G3280" s="207"/>
      <c r="CP3280"/>
    </row>
    <row r="3281" spans="1:94" hidden="1">
      <c r="A3281"/>
      <c r="G3281" s="207"/>
      <c r="CP3281"/>
    </row>
    <row r="3282" spans="1:94" hidden="1">
      <c r="A3282"/>
      <c r="G3282" s="207"/>
      <c r="CP3282"/>
    </row>
    <row r="3283" spans="1:94" hidden="1">
      <c r="A3283"/>
      <c r="G3283" s="207"/>
      <c r="CP3283"/>
    </row>
    <row r="3284" spans="1:94" hidden="1">
      <c r="A3284"/>
      <c r="G3284" s="207"/>
      <c r="CP3284"/>
    </row>
    <row r="3285" spans="1:94" hidden="1">
      <c r="A3285"/>
      <c r="G3285" s="207"/>
      <c r="CP3285"/>
    </row>
    <row r="3286" spans="1:94" hidden="1">
      <c r="A3286"/>
      <c r="G3286" s="207"/>
      <c r="CP3286"/>
    </row>
    <row r="3287" spans="1:94" hidden="1">
      <c r="A3287"/>
      <c r="G3287" s="207"/>
      <c r="CP3287"/>
    </row>
    <row r="3288" spans="1:94" hidden="1">
      <c r="A3288"/>
      <c r="G3288" s="207"/>
      <c r="CP3288"/>
    </row>
    <row r="3289" spans="1:94" hidden="1">
      <c r="A3289"/>
      <c r="G3289" s="207"/>
      <c r="CP3289"/>
    </row>
    <row r="3290" spans="1:94" hidden="1">
      <c r="A3290"/>
      <c r="G3290" s="207"/>
      <c r="CP3290"/>
    </row>
    <row r="3291" spans="1:94" hidden="1">
      <c r="A3291"/>
      <c r="G3291" s="207"/>
      <c r="CP3291"/>
    </row>
    <row r="3292" spans="1:94" hidden="1">
      <c r="A3292"/>
      <c r="G3292" s="207"/>
      <c r="CP3292"/>
    </row>
    <row r="3293" spans="1:94" hidden="1">
      <c r="A3293"/>
      <c r="G3293" s="207"/>
      <c r="CP3293"/>
    </row>
    <row r="3294" spans="1:94" hidden="1">
      <c r="A3294"/>
      <c r="G3294" s="207"/>
      <c r="CP3294"/>
    </row>
    <row r="3295" spans="1:94" hidden="1">
      <c r="A3295"/>
      <c r="G3295" s="207"/>
      <c r="CP3295"/>
    </row>
    <row r="3296" spans="1:94" hidden="1">
      <c r="A3296"/>
      <c r="G3296" s="207"/>
      <c r="CP3296"/>
    </row>
    <row r="3297" spans="1:94" hidden="1">
      <c r="A3297"/>
      <c r="G3297" s="207"/>
      <c r="CP3297"/>
    </row>
    <row r="3298" spans="1:94" hidden="1">
      <c r="A3298"/>
      <c r="G3298" s="207"/>
      <c r="CP3298"/>
    </row>
    <row r="3299" spans="1:94" hidden="1">
      <c r="A3299"/>
      <c r="G3299" s="207"/>
      <c r="CP3299"/>
    </row>
    <row r="3300" spans="1:94" hidden="1">
      <c r="A3300"/>
      <c r="G3300" s="207"/>
      <c r="CP3300"/>
    </row>
    <row r="3301" spans="1:94" hidden="1">
      <c r="A3301"/>
      <c r="G3301" s="207"/>
      <c r="CP3301"/>
    </row>
    <row r="3302" spans="1:94" hidden="1">
      <c r="A3302"/>
      <c r="G3302" s="207"/>
      <c r="CP3302"/>
    </row>
    <row r="3303" spans="1:94" hidden="1">
      <c r="A3303"/>
      <c r="G3303" s="207"/>
      <c r="CP3303"/>
    </row>
    <row r="3304" spans="1:94" hidden="1">
      <c r="A3304"/>
      <c r="G3304" s="207"/>
      <c r="CP3304"/>
    </row>
    <row r="3305" spans="1:94" hidden="1">
      <c r="A3305"/>
      <c r="G3305" s="207"/>
      <c r="CP3305"/>
    </row>
    <row r="3306" spans="1:94" hidden="1">
      <c r="A3306"/>
      <c r="G3306" s="207"/>
      <c r="CP3306"/>
    </row>
    <row r="3307" spans="1:94" hidden="1">
      <c r="A3307"/>
      <c r="G3307" s="207"/>
      <c r="CP3307"/>
    </row>
    <row r="3308" spans="1:94" hidden="1">
      <c r="A3308"/>
      <c r="G3308" s="207"/>
      <c r="CP3308"/>
    </row>
    <row r="3309" spans="1:94" hidden="1">
      <c r="A3309"/>
      <c r="G3309" s="207"/>
      <c r="CP3309"/>
    </row>
    <row r="3310" spans="1:94" hidden="1">
      <c r="A3310"/>
      <c r="G3310" s="207"/>
      <c r="CP3310"/>
    </row>
    <row r="3311" spans="1:94" hidden="1">
      <c r="A3311"/>
      <c r="G3311" s="207"/>
      <c r="CP3311"/>
    </row>
    <row r="3312" spans="1:94" hidden="1">
      <c r="A3312"/>
      <c r="G3312" s="207"/>
      <c r="CP3312"/>
    </row>
    <row r="3313" spans="1:94" hidden="1">
      <c r="A3313"/>
      <c r="G3313" s="207"/>
      <c r="CP3313"/>
    </row>
    <row r="3314" spans="1:94" hidden="1">
      <c r="A3314"/>
      <c r="G3314" s="207"/>
      <c r="CP3314"/>
    </row>
    <row r="3315" spans="1:94" hidden="1">
      <c r="A3315"/>
      <c r="G3315" s="207"/>
      <c r="CP3315"/>
    </row>
    <row r="3316" spans="1:94" hidden="1">
      <c r="A3316"/>
      <c r="G3316" s="207"/>
      <c r="CP3316"/>
    </row>
    <row r="3317" spans="1:94" hidden="1">
      <c r="A3317"/>
      <c r="G3317" s="207"/>
      <c r="CP3317"/>
    </row>
    <row r="3318" spans="1:94" hidden="1">
      <c r="A3318"/>
      <c r="G3318" s="207"/>
      <c r="CP3318"/>
    </row>
    <row r="3319" spans="1:94" hidden="1">
      <c r="A3319"/>
      <c r="G3319" s="207"/>
      <c r="CP3319"/>
    </row>
    <row r="3320" spans="1:94" hidden="1">
      <c r="A3320"/>
      <c r="G3320" s="207"/>
      <c r="CP3320"/>
    </row>
    <row r="3321" spans="1:94" hidden="1">
      <c r="A3321"/>
      <c r="G3321" s="207"/>
      <c r="CP3321"/>
    </row>
    <row r="3322" spans="1:94" hidden="1">
      <c r="A3322"/>
      <c r="G3322" s="207"/>
      <c r="CP3322"/>
    </row>
    <row r="3323" spans="1:94" hidden="1">
      <c r="A3323"/>
      <c r="G3323" s="207"/>
      <c r="CP3323"/>
    </row>
    <row r="3324" spans="1:94" hidden="1">
      <c r="A3324"/>
      <c r="G3324" s="207"/>
      <c r="CP3324"/>
    </row>
    <row r="3325" spans="1:94" hidden="1">
      <c r="A3325"/>
      <c r="G3325" s="207"/>
      <c r="CP3325"/>
    </row>
    <row r="3326" spans="1:94" hidden="1">
      <c r="A3326"/>
      <c r="G3326" s="207"/>
      <c r="CP3326"/>
    </row>
    <row r="3327" spans="1:94" hidden="1">
      <c r="A3327"/>
      <c r="G3327" s="207"/>
      <c r="CP3327"/>
    </row>
    <row r="3328" spans="1:94" hidden="1">
      <c r="A3328"/>
      <c r="G3328" s="207"/>
      <c r="CP3328"/>
    </row>
    <row r="3329" spans="1:94" hidden="1">
      <c r="A3329"/>
      <c r="G3329" s="207"/>
      <c r="CP3329"/>
    </row>
    <row r="3330" spans="1:94" hidden="1">
      <c r="A3330"/>
      <c r="G3330" s="207"/>
      <c r="CP3330"/>
    </row>
    <row r="3331" spans="1:94" hidden="1">
      <c r="A3331"/>
      <c r="G3331" s="207"/>
      <c r="CP3331"/>
    </row>
    <row r="3332" spans="1:94" hidden="1">
      <c r="A3332"/>
      <c r="G3332" s="207"/>
      <c r="CP3332"/>
    </row>
    <row r="3333" spans="1:94" hidden="1">
      <c r="A3333"/>
      <c r="G3333" s="207"/>
      <c r="CP3333"/>
    </row>
    <row r="3334" spans="1:94" hidden="1">
      <c r="A3334"/>
      <c r="G3334" s="207"/>
      <c r="CP3334"/>
    </row>
    <row r="3335" spans="1:94" hidden="1">
      <c r="A3335"/>
      <c r="G3335" s="207"/>
      <c r="CP3335"/>
    </row>
    <row r="3336" spans="1:94" hidden="1">
      <c r="A3336"/>
      <c r="G3336" s="207"/>
      <c r="CP3336"/>
    </row>
    <row r="3337" spans="1:94" hidden="1">
      <c r="A3337"/>
      <c r="G3337" s="207"/>
      <c r="CP3337"/>
    </row>
    <row r="3338" spans="1:94" hidden="1">
      <c r="A3338"/>
      <c r="G3338" s="207"/>
      <c r="CP3338"/>
    </row>
    <row r="3339" spans="1:94" hidden="1">
      <c r="A3339"/>
      <c r="G3339" s="207"/>
      <c r="CP3339"/>
    </row>
    <row r="3340" spans="1:94" hidden="1">
      <c r="A3340"/>
      <c r="G3340" s="207"/>
      <c r="CP3340"/>
    </row>
    <row r="3341" spans="1:94" hidden="1">
      <c r="A3341"/>
      <c r="G3341" s="207"/>
      <c r="CP3341"/>
    </row>
    <row r="3342" spans="1:94" hidden="1">
      <c r="A3342"/>
      <c r="G3342" s="207"/>
      <c r="CP3342"/>
    </row>
    <row r="3343" spans="1:94" hidden="1">
      <c r="A3343"/>
      <c r="G3343" s="207"/>
      <c r="CP3343"/>
    </row>
    <row r="3344" spans="1:94" hidden="1">
      <c r="A3344"/>
      <c r="G3344" s="207"/>
      <c r="CP3344"/>
    </row>
    <row r="3345" spans="1:94" hidden="1">
      <c r="A3345"/>
      <c r="G3345" s="207"/>
      <c r="CP3345"/>
    </row>
    <row r="3346" spans="1:94" hidden="1">
      <c r="A3346"/>
      <c r="G3346" s="207"/>
      <c r="CP3346"/>
    </row>
    <row r="3347" spans="1:94" hidden="1">
      <c r="A3347"/>
      <c r="G3347" s="207"/>
      <c r="CP3347"/>
    </row>
    <row r="3348" spans="1:94" hidden="1">
      <c r="A3348"/>
      <c r="G3348" s="207"/>
      <c r="CP3348"/>
    </row>
    <row r="3349" spans="1:94" hidden="1">
      <c r="A3349"/>
      <c r="G3349" s="207"/>
      <c r="CP3349"/>
    </row>
    <row r="3350" spans="1:94" hidden="1">
      <c r="A3350"/>
      <c r="G3350" s="207"/>
      <c r="CP3350"/>
    </row>
    <row r="3351" spans="1:94" hidden="1">
      <c r="A3351"/>
      <c r="G3351" s="207"/>
      <c r="CP3351"/>
    </row>
    <row r="3352" spans="1:94" hidden="1">
      <c r="A3352"/>
      <c r="G3352" s="207"/>
      <c r="CP3352"/>
    </row>
    <row r="3353" spans="1:94" hidden="1">
      <c r="A3353"/>
      <c r="G3353" s="207"/>
      <c r="CP3353"/>
    </row>
    <row r="3354" spans="1:94" hidden="1">
      <c r="A3354"/>
      <c r="G3354" s="207"/>
      <c r="CP3354"/>
    </row>
    <row r="3355" spans="1:94" hidden="1">
      <c r="A3355"/>
      <c r="G3355" s="207"/>
      <c r="CP3355"/>
    </row>
    <row r="3356" spans="1:94" hidden="1">
      <c r="A3356"/>
      <c r="G3356" s="207"/>
      <c r="CP3356"/>
    </row>
    <row r="3357" spans="1:94" hidden="1">
      <c r="A3357"/>
      <c r="G3357" s="207"/>
      <c r="CP3357"/>
    </row>
    <row r="3358" spans="1:94" hidden="1">
      <c r="A3358"/>
      <c r="G3358" s="207"/>
      <c r="CP3358"/>
    </row>
    <row r="3359" spans="1:94" hidden="1">
      <c r="A3359"/>
      <c r="G3359" s="207"/>
      <c r="CP3359"/>
    </row>
    <row r="3360" spans="1:94" hidden="1">
      <c r="A3360"/>
      <c r="G3360" s="207"/>
      <c r="CP3360"/>
    </row>
    <row r="3361" spans="1:94" hidden="1">
      <c r="A3361"/>
      <c r="G3361" s="207"/>
      <c r="CP3361"/>
    </row>
    <row r="3362" spans="1:94" hidden="1">
      <c r="A3362"/>
      <c r="G3362" s="207"/>
      <c r="CP3362"/>
    </row>
    <row r="3363" spans="1:94" hidden="1">
      <c r="A3363"/>
      <c r="G3363" s="207"/>
      <c r="CP3363"/>
    </row>
    <row r="3364" spans="1:94" hidden="1">
      <c r="A3364"/>
      <c r="G3364" s="207"/>
      <c r="CP3364"/>
    </row>
    <row r="3365" spans="1:94" hidden="1">
      <c r="A3365"/>
      <c r="G3365" s="207"/>
      <c r="CP3365"/>
    </row>
    <row r="3366" spans="1:94" hidden="1">
      <c r="A3366"/>
      <c r="G3366" s="207"/>
      <c r="CP3366"/>
    </row>
    <row r="3367" spans="1:94" hidden="1">
      <c r="A3367"/>
      <c r="G3367" s="207"/>
      <c r="CP3367"/>
    </row>
    <row r="3368" spans="1:94" hidden="1">
      <c r="A3368"/>
      <c r="G3368" s="207"/>
      <c r="CP3368"/>
    </row>
    <row r="3369" spans="1:94" hidden="1">
      <c r="A3369"/>
      <c r="G3369" s="207"/>
      <c r="CP3369"/>
    </row>
    <row r="3370" spans="1:94" hidden="1">
      <c r="A3370"/>
      <c r="G3370" s="207"/>
      <c r="CP3370"/>
    </row>
    <row r="3371" spans="1:94" hidden="1">
      <c r="A3371"/>
      <c r="G3371" s="207"/>
      <c r="CP3371"/>
    </row>
    <row r="3372" spans="1:94" hidden="1">
      <c r="A3372"/>
      <c r="G3372" s="207"/>
      <c r="CP3372"/>
    </row>
    <row r="3373" spans="1:94" hidden="1">
      <c r="A3373"/>
      <c r="G3373" s="207"/>
      <c r="CP3373"/>
    </row>
    <row r="3374" spans="1:94" hidden="1">
      <c r="A3374"/>
      <c r="G3374" s="207"/>
      <c r="CP3374"/>
    </row>
    <row r="3375" spans="1:94" hidden="1">
      <c r="A3375"/>
      <c r="G3375" s="207"/>
      <c r="CP3375"/>
    </row>
    <row r="3376" spans="1:94" hidden="1">
      <c r="A3376"/>
      <c r="G3376" s="207"/>
      <c r="CP3376"/>
    </row>
    <row r="3377" spans="1:94" hidden="1">
      <c r="A3377"/>
      <c r="G3377" s="207"/>
      <c r="CP3377"/>
    </row>
    <row r="3378" spans="1:94" hidden="1">
      <c r="A3378"/>
      <c r="G3378" s="207"/>
      <c r="CP3378"/>
    </row>
    <row r="3379" spans="1:94" hidden="1">
      <c r="A3379"/>
      <c r="G3379" s="207"/>
      <c r="CP3379"/>
    </row>
    <row r="3380" spans="1:94" hidden="1">
      <c r="A3380"/>
      <c r="G3380" s="207"/>
      <c r="CP3380"/>
    </row>
    <row r="3381" spans="1:94" hidden="1">
      <c r="A3381"/>
      <c r="G3381" s="207"/>
      <c r="CP3381"/>
    </row>
    <row r="3382" spans="1:94" hidden="1">
      <c r="A3382"/>
      <c r="G3382" s="207"/>
      <c r="CP3382"/>
    </row>
    <row r="3383" spans="1:94" hidden="1">
      <c r="A3383"/>
      <c r="G3383" s="207"/>
      <c r="CP3383"/>
    </row>
    <row r="3384" spans="1:94" hidden="1">
      <c r="A3384"/>
      <c r="G3384" s="207"/>
      <c r="CP3384"/>
    </row>
    <row r="3385" spans="1:94" hidden="1">
      <c r="A3385"/>
      <c r="G3385" s="207"/>
      <c r="CP3385"/>
    </row>
    <row r="3386" spans="1:94" hidden="1">
      <c r="A3386"/>
      <c r="G3386" s="207"/>
      <c r="CP3386"/>
    </row>
    <row r="3387" spans="1:94" hidden="1">
      <c r="A3387"/>
      <c r="G3387" s="207"/>
      <c r="CP3387"/>
    </row>
    <row r="3388" spans="1:94" hidden="1">
      <c r="A3388"/>
      <c r="G3388" s="207"/>
      <c r="CP3388"/>
    </row>
    <row r="3389" spans="1:94" hidden="1">
      <c r="A3389"/>
      <c r="G3389" s="207"/>
      <c r="CP3389"/>
    </row>
    <row r="3390" spans="1:94" hidden="1">
      <c r="A3390"/>
      <c r="G3390" s="207"/>
      <c r="CP3390"/>
    </row>
    <row r="3391" spans="1:94" hidden="1">
      <c r="A3391"/>
      <c r="G3391" s="207"/>
      <c r="CP3391"/>
    </row>
    <row r="3392" spans="1:94" hidden="1">
      <c r="A3392"/>
      <c r="G3392" s="207"/>
      <c r="CP3392"/>
    </row>
    <row r="3393" spans="1:94" hidden="1">
      <c r="A3393"/>
      <c r="G3393" s="207"/>
      <c r="CP3393"/>
    </row>
    <row r="3394" spans="1:94" hidden="1">
      <c r="A3394"/>
      <c r="G3394" s="207"/>
      <c r="CP3394"/>
    </row>
    <row r="3395" spans="1:94" hidden="1">
      <c r="A3395"/>
      <c r="G3395" s="207"/>
      <c r="CP3395"/>
    </row>
    <row r="3396" spans="1:94" hidden="1">
      <c r="A3396"/>
      <c r="G3396" s="207"/>
      <c r="CP3396"/>
    </row>
    <row r="3397" spans="1:94" hidden="1">
      <c r="A3397"/>
      <c r="G3397" s="207"/>
      <c r="CP3397"/>
    </row>
    <row r="3398" spans="1:94" hidden="1">
      <c r="A3398"/>
      <c r="G3398" s="207"/>
      <c r="CP3398"/>
    </row>
    <row r="3399" spans="1:94" hidden="1">
      <c r="A3399"/>
      <c r="G3399" s="207"/>
      <c r="CP3399"/>
    </row>
    <row r="3400" spans="1:94" hidden="1">
      <c r="A3400"/>
      <c r="G3400" s="207"/>
      <c r="CP3400"/>
    </row>
    <row r="3401" spans="1:94" hidden="1">
      <c r="A3401"/>
      <c r="G3401" s="207"/>
      <c r="CP3401"/>
    </row>
    <row r="3402" spans="1:94" hidden="1">
      <c r="A3402"/>
      <c r="G3402" s="207"/>
      <c r="CP3402"/>
    </row>
    <row r="3403" spans="1:94" hidden="1">
      <c r="A3403"/>
      <c r="G3403" s="207"/>
      <c r="CP3403"/>
    </row>
    <row r="3404" spans="1:94" hidden="1">
      <c r="A3404"/>
      <c r="G3404" s="207"/>
      <c r="CP3404"/>
    </row>
    <row r="3405" spans="1:94" hidden="1">
      <c r="A3405"/>
      <c r="G3405" s="207"/>
      <c r="CP3405"/>
    </row>
    <row r="3406" spans="1:94" hidden="1">
      <c r="A3406"/>
      <c r="G3406" s="207"/>
      <c r="CP3406"/>
    </row>
    <row r="3407" spans="1:94" hidden="1">
      <c r="A3407"/>
      <c r="G3407" s="207"/>
      <c r="CP3407"/>
    </row>
    <row r="3408" spans="1:94" hidden="1">
      <c r="A3408"/>
      <c r="G3408" s="207"/>
      <c r="CP3408"/>
    </row>
    <row r="3409" spans="1:94" hidden="1">
      <c r="A3409"/>
      <c r="G3409" s="207"/>
      <c r="CP3409"/>
    </row>
    <row r="3410" spans="1:94" hidden="1">
      <c r="A3410"/>
      <c r="G3410" s="207"/>
      <c r="CP3410"/>
    </row>
    <row r="3411" spans="1:94" hidden="1">
      <c r="A3411"/>
      <c r="G3411" s="207"/>
      <c r="CP3411"/>
    </row>
    <row r="3412" spans="1:94" hidden="1">
      <c r="A3412"/>
      <c r="G3412" s="207"/>
      <c r="CP3412"/>
    </row>
    <row r="3413" spans="1:94" hidden="1">
      <c r="A3413"/>
      <c r="G3413" s="207"/>
      <c r="CP3413"/>
    </row>
    <row r="3414" spans="1:94" hidden="1">
      <c r="A3414"/>
      <c r="G3414" s="207"/>
      <c r="CP3414"/>
    </row>
    <row r="3415" spans="1:94" hidden="1">
      <c r="A3415"/>
      <c r="G3415" s="207"/>
      <c r="CP3415"/>
    </row>
    <row r="3416" spans="1:94" hidden="1">
      <c r="A3416"/>
      <c r="G3416" s="207"/>
      <c r="CP3416"/>
    </row>
    <row r="3417" spans="1:94" hidden="1">
      <c r="A3417"/>
      <c r="G3417" s="207"/>
      <c r="CP3417"/>
    </row>
    <row r="3418" spans="1:94" hidden="1">
      <c r="A3418"/>
      <c r="G3418" s="207"/>
      <c r="CP3418"/>
    </row>
    <row r="3419" spans="1:94" hidden="1">
      <c r="A3419"/>
      <c r="G3419" s="207"/>
      <c r="CP3419"/>
    </row>
    <row r="3420" spans="1:94" hidden="1">
      <c r="A3420"/>
      <c r="G3420" s="207"/>
      <c r="CP3420"/>
    </row>
    <row r="3421" spans="1:94" hidden="1">
      <c r="A3421"/>
      <c r="G3421" s="207"/>
      <c r="CP3421"/>
    </row>
    <row r="3422" spans="1:94" hidden="1">
      <c r="A3422"/>
      <c r="G3422" s="207"/>
      <c r="CP3422"/>
    </row>
    <row r="3423" spans="1:94" hidden="1">
      <c r="A3423"/>
      <c r="G3423" s="207"/>
      <c r="CP3423"/>
    </row>
    <row r="3424" spans="1:94" hidden="1">
      <c r="A3424"/>
      <c r="G3424" s="207"/>
      <c r="CP3424"/>
    </row>
    <row r="3425" spans="1:94" hidden="1">
      <c r="A3425"/>
      <c r="G3425" s="207"/>
      <c r="CP3425"/>
    </row>
    <row r="3426" spans="1:94" hidden="1">
      <c r="A3426"/>
      <c r="G3426" s="207"/>
      <c r="CP3426"/>
    </row>
    <row r="3427" spans="1:94" hidden="1">
      <c r="A3427"/>
      <c r="G3427" s="207"/>
      <c r="CP3427"/>
    </row>
    <row r="3428" spans="1:94" hidden="1">
      <c r="A3428"/>
      <c r="G3428" s="207"/>
      <c r="CP3428"/>
    </row>
    <row r="3429" spans="1:94" hidden="1">
      <c r="A3429"/>
      <c r="G3429" s="207"/>
      <c r="CP3429"/>
    </row>
    <row r="3430" spans="1:94" hidden="1">
      <c r="A3430"/>
      <c r="G3430" s="207"/>
      <c r="CP3430"/>
    </row>
    <row r="3431" spans="1:94" hidden="1">
      <c r="A3431"/>
      <c r="G3431" s="207"/>
      <c r="CP3431"/>
    </row>
    <row r="3432" spans="1:94" hidden="1">
      <c r="A3432"/>
      <c r="G3432" s="207"/>
      <c r="CP3432"/>
    </row>
    <row r="3433" spans="1:94" hidden="1">
      <c r="A3433"/>
      <c r="G3433" s="207"/>
      <c r="CP3433"/>
    </row>
    <row r="3434" spans="1:94" hidden="1">
      <c r="A3434"/>
      <c r="G3434" s="207"/>
      <c r="CP3434"/>
    </row>
    <row r="3435" spans="1:94" hidden="1">
      <c r="A3435"/>
      <c r="G3435" s="207"/>
      <c r="CP3435"/>
    </row>
    <row r="3436" spans="1:94" hidden="1">
      <c r="A3436"/>
      <c r="G3436" s="207"/>
      <c r="CP3436"/>
    </row>
    <row r="3437" spans="1:94" hidden="1">
      <c r="A3437"/>
      <c r="G3437" s="207"/>
      <c r="CP3437"/>
    </row>
    <row r="3438" spans="1:94" hidden="1">
      <c r="A3438"/>
      <c r="G3438" s="207"/>
      <c r="CP3438"/>
    </row>
    <row r="3439" spans="1:94" hidden="1">
      <c r="A3439"/>
      <c r="G3439" s="207"/>
      <c r="CP3439"/>
    </row>
    <row r="3440" spans="1:94" hidden="1">
      <c r="A3440"/>
      <c r="G3440" s="207"/>
      <c r="CP3440"/>
    </row>
    <row r="3441" spans="1:94" hidden="1">
      <c r="A3441"/>
      <c r="G3441" s="207"/>
      <c r="CP3441"/>
    </row>
    <row r="3442" spans="1:94" hidden="1">
      <c r="A3442"/>
      <c r="G3442" s="207"/>
      <c r="CP3442"/>
    </row>
    <row r="3443" spans="1:94" hidden="1">
      <c r="A3443"/>
      <c r="G3443" s="207"/>
      <c r="CP3443"/>
    </row>
    <row r="3444" spans="1:94" hidden="1">
      <c r="A3444"/>
      <c r="G3444" s="207"/>
      <c r="CP3444"/>
    </row>
    <row r="3445" spans="1:94" hidden="1">
      <c r="A3445"/>
      <c r="G3445" s="207"/>
      <c r="CP3445"/>
    </row>
    <row r="3446" spans="1:94" hidden="1">
      <c r="A3446"/>
      <c r="G3446" s="207"/>
      <c r="CP3446"/>
    </row>
    <row r="3447" spans="1:94" hidden="1">
      <c r="A3447"/>
      <c r="G3447" s="207"/>
      <c r="CP3447"/>
    </row>
    <row r="3448" spans="1:94" hidden="1">
      <c r="A3448"/>
      <c r="G3448" s="207"/>
      <c r="CP3448"/>
    </row>
    <row r="3449" spans="1:94" hidden="1">
      <c r="A3449"/>
      <c r="G3449" s="207"/>
      <c r="CP3449"/>
    </row>
    <row r="3450" spans="1:94" hidden="1">
      <c r="A3450"/>
      <c r="G3450" s="207"/>
      <c r="CP3450"/>
    </row>
    <row r="3451" spans="1:94" hidden="1">
      <c r="A3451"/>
      <c r="G3451" s="207"/>
      <c r="CP3451"/>
    </row>
    <row r="3452" spans="1:94" hidden="1">
      <c r="A3452"/>
      <c r="G3452" s="207"/>
      <c r="CP3452"/>
    </row>
    <row r="3453" spans="1:94" hidden="1">
      <c r="A3453"/>
      <c r="G3453" s="207"/>
      <c r="CP3453"/>
    </row>
    <row r="3454" spans="1:94" hidden="1">
      <c r="A3454"/>
      <c r="G3454" s="207"/>
      <c r="CP3454"/>
    </row>
    <row r="3455" spans="1:94" hidden="1">
      <c r="A3455"/>
      <c r="G3455" s="207"/>
      <c r="CP3455"/>
    </row>
    <row r="3456" spans="1:94" hidden="1">
      <c r="A3456"/>
      <c r="G3456" s="207"/>
      <c r="CP3456"/>
    </row>
    <row r="3457" spans="1:94" hidden="1">
      <c r="A3457"/>
      <c r="G3457" s="207"/>
      <c r="CP3457"/>
    </row>
    <row r="3458" spans="1:94" hidden="1">
      <c r="A3458"/>
      <c r="G3458" s="207"/>
      <c r="CP3458"/>
    </row>
    <row r="3459" spans="1:94" hidden="1">
      <c r="A3459"/>
      <c r="G3459" s="207"/>
      <c r="CP3459"/>
    </row>
    <row r="3460" spans="1:94" hidden="1">
      <c r="A3460"/>
      <c r="G3460" s="207"/>
      <c r="CP3460"/>
    </row>
    <row r="3461" spans="1:94" hidden="1">
      <c r="A3461"/>
      <c r="G3461" s="207"/>
      <c r="CP3461"/>
    </row>
    <row r="3462" spans="1:94" hidden="1">
      <c r="A3462"/>
      <c r="G3462" s="207"/>
      <c r="CP3462"/>
    </row>
    <row r="3463" spans="1:94" hidden="1">
      <c r="A3463"/>
      <c r="G3463" s="207"/>
      <c r="CP3463"/>
    </row>
    <row r="3464" spans="1:94" hidden="1">
      <c r="A3464"/>
      <c r="G3464" s="207"/>
      <c r="CP3464"/>
    </row>
    <row r="3465" spans="1:94" hidden="1">
      <c r="A3465"/>
      <c r="G3465" s="207"/>
      <c r="CP3465"/>
    </row>
    <row r="3466" spans="1:94" hidden="1">
      <c r="A3466"/>
      <c r="G3466" s="207"/>
      <c r="CP3466"/>
    </row>
    <row r="3467" spans="1:94" hidden="1">
      <c r="A3467"/>
      <c r="G3467" s="207"/>
      <c r="CP3467"/>
    </row>
    <row r="3468" spans="1:94" hidden="1">
      <c r="A3468"/>
      <c r="G3468" s="207"/>
      <c r="CP3468"/>
    </row>
    <row r="3469" spans="1:94" hidden="1">
      <c r="A3469"/>
      <c r="G3469" s="207"/>
      <c r="CP3469"/>
    </row>
    <row r="3470" spans="1:94" hidden="1">
      <c r="A3470"/>
      <c r="G3470" s="207"/>
      <c r="CP3470"/>
    </row>
    <row r="3471" spans="1:94" hidden="1">
      <c r="A3471"/>
      <c r="G3471" s="207"/>
      <c r="CP3471"/>
    </row>
    <row r="3472" spans="1:94" hidden="1">
      <c r="A3472"/>
      <c r="G3472" s="207"/>
      <c r="CP3472"/>
    </row>
    <row r="3473" spans="1:94" hidden="1">
      <c r="A3473"/>
      <c r="G3473" s="207"/>
      <c r="CP3473"/>
    </row>
    <row r="3474" spans="1:94" hidden="1">
      <c r="A3474"/>
      <c r="G3474" s="207"/>
      <c r="CP3474"/>
    </row>
    <row r="3475" spans="1:94" hidden="1">
      <c r="A3475"/>
      <c r="G3475" s="207"/>
      <c r="CP3475"/>
    </row>
    <row r="3476" spans="1:94" hidden="1">
      <c r="A3476"/>
      <c r="G3476" s="207"/>
      <c r="CP3476"/>
    </row>
    <row r="3477" spans="1:94" hidden="1">
      <c r="A3477"/>
      <c r="G3477" s="207"/>
      <c r="CP3477"/>
    </row>
    <row r="3478" spans="1:94" hidden="1">
      <c r="A3478"/>
      <c r="G3478" s="207"/>
      <c r="CP3478"/>
    </row>
    <row r="3479" spans="1:94" hidden="1">
      <c r="A3479"/>
      <c r="G3479" s="207"/>
      <c r="CP3479"/>
    </row>
    <row r="3480" spans="1:94" hidden="1">
      <c r="A3480"/>
      <c r="G3480" s="207"/>
      <c r="CP3480"/>
    </row>
    <row r="3481" spans="1:94" hidden="1">
      <c r="A3481"/>
      <c r="G3481" s="207"/>
      <c r="CP3481"/>
    </row>
    <row r="3482" spans="1:94" hidden="1">
      <c r="A3482"/>
      <c r="G3482" s="207"/>
      <c r="CP3482"/>
    </row>
    <row r="3483" spans="1:94" hidden="1">
      <c r="A3483"/>
      <c r="G3483" s="207"/>
      <c r="CP3483"/>
    </row>
    <row r="3484" spans="1:94" hidden="1">
      <c r="A3484"/>
      <c r="G3484" s="207"/>
      <c r="CP3484"/>
    </row>
    <row r="3485" spans="1:94" hidden="1">
      <c r="A3485"/>
      <c r="G3485" s="207"/>
      <c r="CP3485"/>
    </row>
    <row r="3486" spans="1:94" hidden="1">
      <c r="A3486"/>
      <c r="G3486" s="207"/>
      <c r="CP3486"/>
    </row>
    <row r="3487" spans="1:94" hidden="1">
      <c r="A3487"/>
      <c r="G3487" s="207"/>
      <c r="CP3487"/>
    </row>
    <row r="3488" spans="1:94" hidden="1">
      <c r="A3488"/>
      <c r="G3488" s="207"/>
      <c r="CP3488"/>
    </row>
    <row r="3489" spans="1:94" hidden="1">
      <c r="A3489"/>
      <c r="G3489" s="207"/>
      <c r="CP3489"/>
    </row>
    <row r="3490" spans="1:94" hidden="1">
      <c r="A3490"/>
      <c r="G3490" s="207"/>
      <c r="CP3490"/>
    </row>
    <row r="3491" spans="1:94" hidden="1">
      <c r="A3491"/>
      <c r="G3491" s="207"/>
      <c r="CP3491"/>
    </row>
    <row r="3492" spans="1:94" hidden="1">
      <c r="A3492"/>
      <c r="G3492" s="207"/>
      <c r="CP3492"/>
    </row>
    <row r="3493" spans="1:94" hidden="1">
      <c r="A3493"/>
      <c r="G3493" s="207"/>
      <c r="CP3493"/>
    </row>
    <row r="3494" spans="1:94" hidden="1">
      <c r="A3494"/>
      <c r="G3494" s="207"/>
      <c r="CP3494"/>
    </row>
    <row r="3495" spans="1:94" hidden="1">
      <c r="A3495"/>
      <c r="G3495" s="207"/>
      <c r="CP3495"/>
    </row>
    <row r="3496" spans="1:94" hidden="1">
      <c r="A3496"/>
      <c r="G3496" s="207"/>
      <c r="CP3496"/>
    </row>
    <row r="3497" spans="1:94" hidden="1">
      <c r="A3497"/>
      <c r="G3497" s="207"/>
      <c r="CP3497"/>
    </row>
    <row r="3498" spans="1:94" hidden="1">
      <c r="A3498"/>
      <c r="G3498" s="207"/>
      <c r="CP3498"/>
    </row>
    <row r="3499" spans="1:94" hidden="1">
      <c r="A3499"/>
      <c r="G3499" s="207"/>
      <c r="CP3499"/>
    </row>
    <row r="3500" spans="1:94" hidden="1">
      <c r="A3500"/>
      <c r="G3500" s="207"/>
      <c r="CP3500"/>
    </row>
    <row r="3501" spans="1:94" hidden="1">
      <c r="A3501"/>
      <c r="G3501" s="207"/>
      <c r="CP3501"/>
    </row>
    <row r="3502" spans="1:94" hidden="1">
      <c r="A3502"/>
      <c r="G3502" s="207"/>
      <c r="CP3502"/>
    </row>
    <row r="3503" spans="1:94" hidden="1">
      <c r="A3503"/>
      <c r="G3503" s="207"/>
      <c r="CP3503"/>
    </row>
    <row r="3504" spans="1:94" hidden="1">
      <c r="A3504"/>
      <c r="G3504" s="207"/>
      <c r="CP3504"/>
    </row>
    <row r="3505" spans="1:94" hidden="1">
      <c r="A3505"/>
      <c r="G3505" s="207"/>
      <c r="CP3505"/>
    </row>
    <row r="3506" spans="1:94" hidden="1">
      <c r="A3506"/>
      <c r="G3506" s="207"/>
      <c r="CP3506"/>
    </row>
    <row r="3507" spans="1:94" hidden="1">
      <c r="A3507"/>
      <c r="G3507" s="207"/>
      <c r="CP3507"/>
    </row>
    <row r="3508" spans="1:94" hidden="1">
      <c r="A3508"/>
      <c r="G3508" s="207"/>
      <c r="CP3508"/>
    </row>
    <row r="3509" spans="1:94" hidden="1">
      <c r="A3509"/>
      <c r="G3509" s="207"/>
      <c r="CP3509"/>
    </row>
    <row r="3510" spans="1:94" hidden="1">
      <c r="A3510"/>
      <c r="G3510" s="207"/>
      <c r="CP3510"/>
    </row>
    <row r="3511" spans="1:94" hidden="1">
      <c r="A3511"/>
      <c r="G3511" s="207"/>
      <c r="CP3511"/>
    </row>
    <row r="3512" spans="1:94" hidden="1">
      <c r="A3512"/>
      <c r="G3512" s="207"/>
      <c r="CP3512"/>
    </row>
    <row r="3513" spans="1:94" hidden="1">
      <c r="A3513"/>
      <c r="G3513" s="207"/>
      <c r="CP3513"/>
    </row>
    <row r="3514" spans="1:94" hidden="1">
      <c r="A3514"/>
      <c r="G3514" s="207"/>
      <c r="CP3514"/>
    </row>
    <row r="3515" spans="1:94" hidden="1">
      <c r="A3515"/>
      <c r="G3515" s="207"/>
      <c r="CP3515"/>
    </row>
    <row r="3516" spans="1:94" hidden="1">
      <c r="A3516"/>
      <c r="G3516" s="207"/>
      <c r="CP3516"/>
    </row>
    <row r="3517" spans="1:94" hidden="1">
      <c r="A3517"/>
      <c r="G3517" s="207"/>
      <c r="CP3517"/>
    </row>
    <row r="3518" spans="1:94" hidden="1">
      <c r="A3518"/>
      <c r="G3518" s="207"/>
      <c r="CP3518"/>
    </row>
    <row r="3519" spans="1:94" hidden="1">
      <c r="A3519"/>
      <c r="G3519" s="207"/>
      <c r="CP3519"/>
    </row>
    <row r="3520" spans="1:94" hidden="1">
      <c r="A3520"/>
      <c r="G3520" s="207"/>
      <c r="CP3520"/>
    </row>
    <row r="3521" spans="1:94" hidden="1">
      <c r="A3521"/>
      <c r="G3521" s="207"/>
      <c r="CP3521"/>
    </row>
    <row r="3522" spans="1:94" hidden="1">
      <c r="A3522"/>
      <c r="G3522" s="207"/>
      <c r="CP3522"/>
    </row>
    <row r="3523" spans="1:94" hidden="1">
      <c r="A3523"/>
      <c r="G3523" s="207"/>
      <c r="CP3523"/>
    </row>
    <row r="3524" spans="1:94" hidden="1">
      <c r="A3524"/>
      <c r="G3524" s="207"/>
      <c r="CP3524"/>
    </row>
    <row r="3525" spans="1:94" hidden="1">
      <c r="A3525"/>
      <c r="G3525" s="207"/>
      <c r="CP3525"/>
    </row>
    <row r="3526" spans="1:94" hidden="1">
      <c r="A3526"/>
      <c r="G3526" s="207"/>
      <c r="CP3526"/>
    </row>
    <row r="3527" spans="1:94" hidden="1">
      <c r="A3527"/>
      <c r="G3527" s="207"/>
      <c r="CP3527"/>
    </row>
    <row r="3528" spans="1:94" hidden="1">
      <c r="A3528"/>
      <c r="G3528" s="207"/>
      <c r="CP3528"/>
    </row>
    <row r="3529" spans="1:94" hidden="1">
      <c r="A3529"/>
      <c r="G3529" s="207"/>
      <c r="CP3529"/>
    </row>
    <row r="3530" spans="1:94" hidden="1">
      <c r="A3530"/>
      <c r="G3530" s="207"/>
      <c r="CP3530"/>
    </row>
    <row r="3531" spans="1:94" hidden="1">
      <c r="A3531"/>
      <c r="G3531" s="207"/>
      <c r="CP3531"/>
    </row>
    <row r="3532" spans="1:94" hidden="1">
      <c r="A3532"/>
      <c r="G3532" s="207"/>
      <c r="CP3532"/>
    </row>
    <row r="3533" spans="1:94" hidden="1">
      <c r="A3533"/>
      <c r="G3533" s="207"/>
      <c r="CP3533"/>
    </row>
    <row r="3534" spans="1:94" hidden="1">
      <c r="A3534"/>
      <c r="G3534" s="207"/>
      <c r="CP3534"/>
    </row>
    <row r="3535" spans="1:94" hidden="1">
      <c r="A3535"/>
      <c r="G3535" s="207"/>
      <c r="CP3535"/>
    </row>
    <row r="3536" spans="1:94" hidden="1">
      <c r="A3536"/>
      <c r="G3536" s="207"/>
      <c r="CP3536"/>
    </row>
    <row r="3537" spans="1:94" hidden="1">
      <c r="A3537"/>
      <c r="G3537" s="207"/>
      <c r="CP3537"/>
    </row>
    <row r="3538" spans="1:94" hidden="1">
      <c r="A3538"/>
      <c r="G3538" s="207"/>
      <c r="CP3538"/>
    </row>
    <row r="3539" spans="1:94" hidden="1">
      <c r="A3539"/>
      <c r="G3539" s="207"/>
      <c r="CP3539"/>
    </row>
    <row r="3540" spans="1:94" hidden="1">
      <c r="A3540"/>
      <c r="G3540" s="207"/>
      <c r="CP3540"/>
    </row>
    <row r="3541" spans="1:94" hidden="1">
      <c r="A3541"/>
      <c r="G3541" s="207"/>
      <c r="CP3541"/>
    </row>
    <row r="3542" spans="1:94" hidden="1">
      <c r="A3542"/>
      <c r="G3542" s="207"/>
      <c r="CP3542"/>
    </row>
    <row r="3543" spans="1:94" hidden="1">
      <c r="A3543"/>
      <c r="G3543" s="207"/>
      <c r="CP3543"/>
    </row>
    <row r="3544" spans="1:94" hidden="1">
      <c r="A3544"/>
      <c r="G3544" s="207"/>
      <c r="CP3544"/>
    </row>
    <row r="3545" spans="1:94" hidden="1">
      <c r="A3545"/>
      <c r="G3545" s="207"/>
      <c r="CP3545"/>
    </row>
    <row r="3546" spans="1:94" hidden="1">
      <c r="A3546"/>
      <c r="G3546" s="207"/>
      <c r="CP3546"/>
    </row>
    <row r="3547" spans="1:94" hidden="1">
      <c r="A3547"/>
      <c r="G3547" s="207"/>
      <c r="CP3547"/>
    </row>
    <row r="3548" spans="1:94" hidden="1">
      <c r="A3548"/>
      <c r="G3548" s="207"/>
      <c r="CP3548"/>
    </row>
    <row r="3549" spans="1:94" hidden="1">
      <c r="A3549"/>
      <c r="G3549" s="207"/>
      <c r="CP3549"/>
    </row>
    <row r="3550" spans="1:94" hidden="1">
      <c r="A3550"/>
      <c r="G3550" s="207"/>
      <c r="CP3550"/>
    </row>
    <row r="3551" spans="1:94" hidden="1">
      <c r="A3551"/>
      <c r="G3551" s="207"/>
      <c r="CP3551"/>
    </row>
    <row r="3552" spans="1:94" hidden="1">
      <c r="A3552"/>
      <c r="G3552" s="207"/>
      <c r="CP3552"/>
    </row>
    <row r="3553" spans="1:94" hidden="1">
      <c r="A3553"/>
      <c r="G3553" s="207"/>
      <c r="CP3553"/>
    </row>
    <row r="3554" spans="1:94" hidden="1">
      <c r="A3554"/>
      <c r="G3554" s="207"/>
      <c r="CP3554"/>
    </row>
    <row r="3555" spans="1:94" hidden="1">
      <c r="A3555"/>
      <c r="G3555" s="207"/>
      <c r="CP3555"/>
    </row>
    <row r="3556" spans="1:94" hidden="1">
      <c r="A3556"/>
      <c r="G3556" s="207"/>
      <c r="CP3556"/>
    </row>
    <row r="3557" spans="1:94" hidden="1">
      <c r="A3557"/>
      <c r="G3557" s="207"/>
      <c r="CP3557"/>
    </row>
    <row r="3558" spans="1:94" hidden="1">
      <c r="A3558"/>
      <c r="G3558" s="207"/>
      <c r="CP3558"/>
    </row>
    <row r="3559" spans="1:94" hidden="1">
      <c r="A3559"/>
      <c r="G3559" s="207"/>
      <c r="CP3559"/>
    </row>
    <row r="3560" spans="1:94" hidden="1">
      <c r="A3560"/>
      <c r="G3560" s="207"/>
      <c r="CP3560"/>
    </row>
    <row r="3561" spans="1:94" hidden="1">
      <c r="A3561"/>
      <c r="G3561" s="207"/>
      <c r="CP3561"/>
    </row>
    <row r="3562" spans="1:94" hidden="1">
      <c r="A3562"/>
      <c r="G3562" s="207"/>
      <c r="CP3562"/>
    </row>
    <row r="3563" spans="1:94" hidden="1">
      <c r="A3563"/>
      <c r="G3563" s="207"/>
      <c r="CP3563"/>
    </row>
    <row r="3564" spans="1:94" hidden="1">
      <c r="A3564"/>
      <c r="G3564" s="207"/>
      <c r="CP3564"/>
    </row>
    <row r="3565" spans="1:94" hidden="1">
      <c r="A3565"/>
      <c r="G3565" s="207"/>
      <c r="CP3565"/>
    </row>
    <row r="3566" spans="1:94" hidden="1">
      <c r="A3566"/>
      <c r="G3566" s="207"/>
      <c r="CP3566"/>
    </row>
    <row r="3567" spans="1:94" hidden="1">
      <c r="A3567"/>
      <c r="G3567" s="207"/>
      <c r="CP3567"/>
    </row>
    <row r="3568" spans="1:94" hidden="1">
      <c r="A3568"/>
      <c r="G3568" s="207"/>
      <c r="CP3568"/>
    </row>
    <row r="3569" spans="1:94" hidden="1">
      <c r="A3569"/>
      <c r="G3569" s="207"/>
      <c r="CP3569"/>
    </row>
    <row r="3570" spans="1:94" hidden="1">
      <c r="A3570"/>
      <c r="G3570" s="207"/>
      <c r="CP3570"/>
    </row>
    <row r="3571" spans="1:94" hidden="1">
      <c r="A3571"/>
      <c r="G3571" s="207"/>
      <c r="CP3571"/>
    </row>
    <row r="3572" spans="1:94" hidden="1">
      <c r="A3572"/>
      <c r="G3572" s="207"/>
      <c r="CP3572"/>
    </row>
    <row r="3573" spans="1:94" hidden="1">
      <c r="A3573"/>
      <c r="G3573" s="207"/>
      <c r="CP3573"/>
    </row>
    <row r="3574" spans="1:94" hidden="1">
      <c r="A3574"/>
      <c r="G3574" s="207"/>
      <c r="CP3574"/>
    </row>
    <row r="3575" spans="1:94" hidden="1">
      <c r="A3575"/>
      <c r="G3575" s="207"/>
      <c r="CP3575"/>
    </row>
    <row r="3576" spans="1:94" hidden="1">
      <c r="A3576"/>
      <c r="G3576" s="207"/>
      <c r="CP3576"/>
    </row>
    <row r="3577" spans="1:94" hidden="1">
      <c r="A3577"/>
      <c r="G3577" s="207"/>
      <c r="CP3577"/>
    </row>
    <row r="3578" spans="1:94" hidden="1">
      <c r="A3578"/>
      <c r="G3578" s="207"/>
      <c r="CP3578"/>
    </row>
    <row r="3579" spans="1:94" hidden="1">
      <c r="A3579"/>
      <c r="G3579" s="207"/>
      <c r="CP3579"/>
    </row>
    <row r="3580" spans="1:94" hidden="1">
      <c r="A3580"/>
      <c r="G3580" s="207"/>
      <c r="CP3580"/>
    </row>
    <row r="3581" spans="1:94" hidden="1">
      <c r="A3581"/>
      <c r="G3581" s="207"/>
      <c r="CP3581"/>
    </row>
    <row r="3582" spans="1:94" hidden="1">
      <c r="A3582"/>
      <c r="G3582" s="207"/>
      <c r="CP3582"/>
    </row>
    <row r="3583" spans="1:94" hidden="1">
      <c r="A3583"/>
      <c r="G3583" s="207"/>
      <c r="CP3583"/>
    </row>
    <row r="3584" spans="1:94" hidden="1">
      <c r="A3584"/>
      <c r="G3584" s="207"/>
      <c r="CP3584"/>
    </row>
    <row r="3585" spans="1:94" hidden="1">
      <c r="A3585"/>
      <c r="G3585" s="207"/>
      <c r="CP3585"/>
    </row>
    <row r="3586" spans="1:94" hidden="1">
      <c r="A3586"/>
      <c r="G3586" s="207"/>
      <c r="CP3586"/>
    </row>
    <row r="3587" spans="1:94" hidden="1">
      <c r="A3587"/>
      <c r="G3587" s="207"/>
      <c r="CP3587"/>
    </row>
    <row r="3588" spans="1:94" hidden="1">
      <c r="A3588"/>
      <c r="G3588" s="207"/>
      <c r="CP3588"/>
    </row>
    <row r="3589" spans="1:94" hidden="1">
      <c r="A3589"/>
      <c r="G3589" s="207"/>
      <c r="CP3589"/>
    </row>
    <row r="3590" spans="1:94" hidden="1">
      <c r="A3590"/>
      <c r="G3590" s="207"/>
      <c r="CP3590"/>
    </row>
    <row r="3591" spans="1:94" hidden="1">
      <c r="A3591"/>
      <c r="G3591" s="207"/>
      <c r="CP3591"/>
    </row>
    <row r="3592" spans="1:94" hidden="1">
      <c r="A3592"/>
      <c r="G3592" s="207"/>
      <c r="CP3592"/>
    </row>
    <row r="3593" spans="1:94" hidden="1">
      <c r="A3593"/>
      <c r="G3593" s="207"/>
      <c r="CP3593"/>
    </row>
    <row r="3594" spans="1:94" hidden="1">
      <c r="A3594"/>
      <c r="G3594" s="207"/>
      <c r="CP3594"/>
    </row>
    <row r="3595" spans="1:94" hidden="1">
      <c r="A3595"/>
      <c r="G3595" s="207"/>
      <c r="CP3595"/>
    </row>
    <row r="3596" spans="1:94" hidden="1">
      <c r="A3596"/>
      <c r="G3596" s="207"/>
      <c r="CP3596"/>
    </row>
    <row r="3597" spans="1:94" hidden="1">
      <c r="A3597"/>
      <c r="G3597" s="207"/>
      <c r="CP3597"/>
    </row>
    <row r="3598" spans="1:94" hidden="1">
      <c r="A3598"/>
      <c r="G3598" s="207"/>
      <c r="CP3598"/>
    </row>
    <row r="3599" spans="1:94" hidden="1">
      <c r="A3599"/>
      <c r="G3599" s="207"/>
      <c r="CP3599"/>
    </row>
    <row r="3600" spans="1:94" hidden="1">
      <c r="A3600"/>
      <c r="G3600" s="207"/>
      <c r="CP3600"/>
    </row>
    <row r="3601" spans="1:94" hidden="1">
      <c r="A3601"/>
      <c r="G3601" s="207"/>
      <c r="CP3601"/>
    </row>
    <row r="3602" spans="1:94" hidden="1">
      <c r="A3602"/>
      <c r="G3602" s="207"/>
      <c r="CP3602"/>
    </row>
    <row r="3603" spans="1:94" hidden="1">
      <c r="A3603"/>
      <c r="G3603" s="207"/>
      <c r="CP3603"/>
    </row>
    <row r="3604" spans="1:94" hidden="1">
      <c r="A3604"/>
      <c r="G3604" s="207"/>
      <c r="CP3604"/>
    </row>
    <row r="3605" spans="1:94" hidden="1">
      <c r="A3605"/>
      <c r="G3605" s="207"/>
      <c r="CP3605"/>
    </row>
    <row r="3606" spans="1:94" hidden="1">
      <c r="A3606"/>
      <c r="G3606" s="207"/>
      <c r="CP3606"/>
    </row>
    <row r="3607" spans="1:94" hidden="1">
      <c r="A3607"/>
      <c r="G3607" s="207"/>
      <c r="CP3607"/>
    </row>
    <row r="3608" spans="1:94" hidden="1">
      <c r="A3608"/>
      <c r="G3608" s="207"/>
      <c r="CP3608"/>
    </row>
    <row r="3609" spans="1:94" hidden="1">
      <c r="A3609"/>
      <c r="G3609" s="207"/>
      <c r="CP3609"/>
    </row>
    <row r="3610" spans="1:94" hidden="1">
      <c r="A3610"/>
      <c r="G3610" s="207"/>
      <c r="CP3610"/>
    </row>
    <row r="3611" spans="1:94" hidden="1">
      <c r="A3611"/>
      <c r="G3611" s="207"/>
      <c r="CP3611"/>
    </row>
    <row r="3612" spans="1:94" hidden="1">
      <c r="A3612"/>
      <c r="G3612" s="207"/>
      <c r="CP3612"/>
    </row>
    <row r="3613" spans="1:94" hidden="1">
      <c r="A3613"/>
      <c r="G3613" s="207"/>
      <c r="CP3613"/>
    </row>
    <row r="3614" spans="1:94" hidden="1">
      <c r="A3614"/>
      <c r="G3614" s="207"/>
      <c r="CP3614"/>
    </row>
    <row r="3615" spans="1:94" hidden="1">
      <c r="A3615"/>
      <c r="G3615" s="207"/>
      <c r="CP3615"/>
    </row>
    <row r="3616" spans="1:94" hidden="1">
      <c r="A3616"/>
      <c r="G3616" s="207"/>
      <c r="CP3616"/>
    </row>
    <row r="3617" spans="1:94" hidden="1">
      <c r="A3617"/>
      <c r="G3617" s="207"/>
      <c r="CP3617"/>
    </row>
    <row r="3618" spans="1:94" hidden="1">
      <c r="A3618"/>
      <c r="G3618" s="207"/>
      <c r="CP3618"/>
    </row>
    <row r="3619" spans="1:94" hidden="1">
      <c r="A3619"/>
      <c r="G3619" s="207"/>
      <c r="CP3619"/>
    </row>
    <row r="3620" spans="1:94" hidden="1">
      <c r="A3620"/>
      <c r="G3620" s="207"/>
      <c r="CP3620"/>
    </row>
    <row r="3621" spans="1:94" hidden="1">
      <c r="A3621"/>
      <c r="G3621" s="207"/>
      <c r="CP3621"/>
    </row>
    <row r="3622" spans="1:94" hidden="1">
      <c r="A3622"/>
      <c r="G3622" s="207"/>
      <c r="CP3622"/>
    </row>
    <row r="3623" spans="1:94" hidden="1">
      <c r="A3623"/>
      <c r="G3623" s="207"/>
      <c r="CP3623"/>
    </row>
    <row r="3624" spans="1:94" hidden="1">
      <c r="A3624"/>
      <c r="G3624" s="207"/>
      <c r="CP3624"/>
    </row>
    <row r="3625" spans="1:94" hidden="1">
      <c r="A3625"/>
      <c r="G3625" s="207"/>
      <c r="CP3625"/>
    </row>
    <row r="3626" spans="1:94" hidden="1">
      <c r="A3626"/>
      <c r="G3626" s="207"/>
      <c r="CP3626"/>
    </row>
    <row r="3627" spans="1:94" hidden="1">
      <c r="A3627"/>
      <c r="G3627" s="207"/>
      <c r="CP3627"/>
    </row>
    <row r="3628" spans="1:94" hidden="1">
      <c r="A3628"/>
      <c r="G3628" s="207"/>
      <c r="CP3628"/>
    </row>
    <row r="3629" spans="1:94" hidden="1">
      <c r="A3629"/>
      <c r="G3629" s="207"/>
      <c r="CP3629"/>
    </row>
    <row r="3630" spans="1:94" hidden="1">
      <c r="A3630"/>
      <c r="G3630" s="207"/>
      <c r="CP3630"/>
    </row>
    <row r="3631" spans="1:94" hidden="1">
      <c r="A3631"/>
      <c r="G3631" s="207"/>
      <c r="CP3631"/>
    </row>
    <row r="3632" spans="1:94" hidden="1">
      <c r="A3632"/>
      <c r="G3632" s="207"/>
      <c r="CP3632"/>
    </row>
    <row r="3633" spans="1:94" hidden="1">
      <c r="A3633"/>
      <c r="G3633" s="207"/>
      <c r="CP3633"/>
    </row>
    <row r="3634" spans="1:94" hidden="1">
      <c r="A3634"/>
      <c r="G3634" s="207"/>
      <c r="CP3634"/>
    </row>
    <row r="3635" spans="1:94" hidden="1">
      <c r="A3635"/>
      <c r="G3635" s="207"/>
      <c r="CP3635"/>
    </row>
    <row r="3636" spans="1:94" hidden="1">
      <c r="A3636"/>
      <c r="G3636" s="207"/>
      <c r="CP3636"/>
    </row>
    <row r="3637" spans="1:94" hidden="1">
      <c r="A3637"/>
      <c r="G3637" s="207"/>
      <c r="CP3637"/>
    </row>
    <row r="3638" spans="1:94" hidden="1">
      <c r="A3638"/>
      <c r="G3638" s="207"/>
      <c r="CP3638"/>
    </row>
    <row r="3639" spans="1:94" hidden="1">
      <c r="A3639"/>
      <c r="G3639" s="207"/>
      <c r="CP3639"/>
    </row>
    <row r="3640" spans="1:94" hidden="1">
      <c r="A3640"/>
      <c r="G3640" s="207"/>
      <c r="CP3640"/>
    </row>
    <row r="3641" spans="1:94" hidden="1">
      <c r="A3641"/>
      <c r="G3641" s="207"/>
      <c r="CP3641"/>
    </row>
    <row r="3642" spans="1:94" hidden="1">
      <c r="A3642"/>
      <c r="G3642" s="207"/>
      <c r="CP3642"/>
    </row>
    <row r="3643" spans="1:94" hidden="1">
      <c r="A3643"/>
      <c r="G3643" s="207"/>
      <c r="CP3643"/>
    </row>
    <row r="3644" spans="1:94" hidden="1">
      <c r="A3644"/>
      <c r="G3644" s="207"/>
      <c r="CP3644"/>
    </row>
    <row r="3645" spans="1:94" hidden="1">
      <c r="A3645"/>
      <c r="G3645" s="207"/>
      <c r="CP3645"/>
    </row>
    <row r="3646" spans="1:94" hidden="1">
      <c r="A3646"/>
      <c r="G3646" s="207"/>
      <c r="CP3646"/>
    </row>
    <row r="3647" spans="1:94" hidden="1">
      <c r="A3647"/>
      <c r="G3647" s="207"/>
      <c r="CP3647"/>
    </row>
    <row r="3648" spans="1:94" hidden="1">
      <c r="A3648"/>
      <c r="G3648" s="207"/>
      <c r="CP3648"/>
    </row>
    <row r="3649" spans="1:94" hidden="1">
      <c r="A3649"/>
      <c r="G3649" s="207"/>
      <c r="CP3649"/>
    </row>
    <row r="3650" spans="1:94" hidden="1">
      <c r="A3650"/>
      <c r="G3650" s="207"/>
      <c r="CP3650"/>
    </row>
    <row r="3651" spans="1:94" hidden="1">
      <c r="A3651"/>
      <c r="G3651" s="207"/>
      <c r="CP3651"/>
    </row>
    <row r="3652" spans="1:94" hidden="1">
      <c r="A3652"/>
      <c r="G3652" s="207"/>
      <c r="CP3652"/>
    </row>
    <row r="3653" spans="1:94" hidden="1">
      <c r="A3653"/>
      <c r="G3653" s="207"/>
      <c r="CP3653"/>
    </row>
    <row r="3654" spans="1:94" hidden="1">
      <c r="A3654"/>
      <c r="G3654" s="207"/>
      <c r="CP3654"/>
    </row>
    <row r="3655" spans="1:94" hidden="1">
      <c r="A3655"/>
      <c r="G3655" s="207"/>
      <c r="CP3655"/>
    </row>
    <row r="3656" spans="1:94" hidden="1">
      <c r="A3656"/>
      <c r="G3656" s="207"/>
      <c r="CP3656"/>
    </row>
    <row r="3657" spans="1:94" hidden="1">
      <c r="A3657"/>
      <c r="G3657" s="207"/>
      <c r="CP3657"/>
    </row>
    <row r="3658" spans="1:94" hidden="1">
      <c r="A3658"/>
      <c r="G3658" s="207"/>
      <c r="CP3658"/>
    </row>
    <row r="3659" spans="1:94" hidden="1">
      <c r="A3659"/>
      <c r="G3659" s="207"/>
      <c r="CP3659"/>
    </row>
    <row r="3660" spans="1:94" hidden="1">
      <c r="A3660"/>
      <c r="G3660" s="207"/>
      <c r="CP3660"/>
    </row>
    <row r="3661" spans="1:94" hidden="1">
      <c r="A3661"/>
      <c r="G3661" s="207"/>
      <c r="CP3661"/>
    </row>
    <row r="3662" spans="1:94" hidden="1">
      <c r="A3662"/>
      <c r="G3662" s="207"/>
      <c r="CP3662"/>
    </row>
    <row r="3663" spans="1:94" hidden="1">
      <c r="A3663"/>
      <c r="G3663" s="207"/>
      <c r="CP3663"/>
    </row>
    <row r="3664" spans="1:94" hidden="1">
      <c r="A3664"/>
      <c r="G3664" s="207"/>
      <c r="CP3664"/>
    </row>
    <row r="3665" spans="1:94" hidden="1">
      <c r="A3665"/>
      <c r="G3665" s="207"/>
      <c r="CP3665"/>
    </row>
    <row r="3666" spans="1:94" hidden="1">
      <c r="A3666"/>
      <c r="G3666" s="207"/>
      <c r="CP3666"/>
    </row>
    <row r="3667" spans="1:94" hidden="1">
      <c r="A3667"/>
      <c r="G3667" s="207"/>
      <c r="CP3667"/>
    </row>
    <row r="3668" spans="1:94" hidden="1">
      <c r="A3668"/>
      <c r="G3668" s="207"/>
      <c r="CP3668"/>
    </row>
    <row r="3669" spans="1:94" hidden="1">
      <c r="A3669"/>
      <c r="G3669" s="207"/>
      <c r="CP3669"/>
    </row>
    <row r="3670" spans="1:94" hidden="1">
      <c r="A3670"/>
      <c r="G3670" s="207"/>
      <c r="CP3670"/>
    </row>
    <row r="3671" spans="1:94" hidden="1">
      <c r="A3671"/>
      <c r="G3671" s="207"/>
      <c r="CP3671"/>
    </row>
    <row r="3672" spans="1:94" hidden="1">
      <c r="A3672"/>
      <c r="G3672" s="207"/>
      <c r="CP3672"/>
    </row>
    <row r="3673" spans="1:94" hidden="1">
      <c r="A3673"/>
      <c r="G3673" s="207"/>
      <c r="CP3673"/>
    </row>
    <row r="3674" spans="1:94" hidden="1">
      <c r="A3674"/>
      <c r="G3674" s="207"/>
      <c r="CP3674"/>
    </row>
    <row r="3675" spans="1:94" hidden="1">
      <c r="A3675"/>
      <c r="G3675" s="207"/>
      <c r="CP3675"/>
    </row>
    <row r="3676" spans="1:94" hidden="1">
      <c r="A3676"/>
      <c r="G3676" s="207"/>
      <c r="CP3676"/>
    </row>
    <row r="3677" spans="1:94" hidden="1">
      <c r="A3677"/>
      <c r="G3677" s="207"/>
      <c r="CP3677"/>
    </row>
    <row r="3678" spans="1:94" hidden="1">
      <c r="A3678"/>
      <c r="G3678" s="207"/>
      <c r="CP3678"/>
    </row>
    <row r="3679" spans="1:94" hidden="1">
      <c r="A3679"/>
      <c r="G3679" s="207"/>
      <c r="CP3679"/>
    </row>
    <row r="3680" spans="1:94" hidden="1">
      <c r="A3680"/>
      <c r="G3680" s="207"/>
      <c r="CP3680"/>
    </row>
    <row r="3681" spans="1:94" hidden="1">
      <c r="A3681"/>
      <c r="G3681" s="207"/>
      <c r="CP3681"/>
    </row>
    <row r="3682" spans="1:94" hidden="1">
      <c r="A3682"/>
      <c r="G3682" s="207"/>
      <c r="CP3682"/>
    </row>
    <row r="3683" spans="1:94" hidden="1">
      <c r="A3683"/>
      <c r="G3683" s="207"/>
      <c r="CP3683"/>
    </row>
    <row r="3684" spans="1:94" hidden="1">
      <c r="A3684"/>
      <c r="G3684" s="207"/>
      <c r="CP3684"/>
    </row>
    <row r="3685" spans="1:94" hidden="1">
      <c r="A3685"/>
      <c r="G3685" s="207"/>
      <c r="CP3685"/>
    </row>
    <row r="3686" spans="1:94" hidden="1">
      <c r="A3686"/>
      <c r="G3686" s="207"/>
      <c r="CP3686"/>
    </row>
    <row r="3687" spans="1:94" hidden="1">
      <c r="A3687"/>
      <c r="G3687" s="207"/>
      <c r="CP3687"/>
    </row>
    <row r="3688" spans="1:94" hidden="1">
      <c r="A3688"/>
      <c r="G3688" s="207"/>
      <c r="CP3688"/>
    </row>
    <row r="3689" spans="1:94" hidden="1">
      <c r="A3689"/>
      <c r="G3689" s="207"/>
      <c r="CP3689"/>
    </row>
    <row r="3690" spans="1:94" hidden="1">
      <c r="A3690"/>
      <c r="G3690" s="207"/>
      <c r="CP3690"/>
    </row>
    <row r="3691" spans="1:94" hidden="1">
      <c r="A3691"/>
      <c r="G3691" s="207"/>
      <c r="CP3691"/>
    </row>
    <row r="3692" spans="1:94" hidden="1">
      <c r="A3692"/>
      <c r="G3692" s="207"/>
      <c r="CP3692"/>
    </row>
    <row r="3693" spans="1:94" hidden="1">
      <c r="A3693"/>
      <c r="G3693" s="207"/>
      <c r="CP3693"/>
    </row>
    <row r="3694" spans="1:94" hidden="1">
      <c r="A3694"/>
      <c r="G3694" s="207"/>
      <c r="CP3694"/>
    </row>
    <row r="3695" spans="1:94" hidden="1">
      <c r="A3695"/>
      <c r="G3695" s="207"/>
      <c r="CP3695"/>
    </row>
    <row r="3696" spans="1:94" hidden="1">
      <c r="A3696"/>
      <c r="G3696" s="207"/>
      <c r="CP3696"/>
    </row>
    <row r="3697" spans="1:94" hidden="1">
      <c r="A3697"/>
      <c r="G3697" s="207"/>
      <c r="CP3697"/>
    </row>
    <row r="3698" spans="1:94" hidden="1">
      <c r="A3698"/>
      <c r="G3698" s="207"/>
      <c r="CP3698"/>
    </row>
    <row r="3699" spans="1:94" hidden="1">
      <c r="A3699"/>
      <c r="G3699" s="207"/>
      <c r="CP3699"/>
    </row>
    <row r="3700" spans="1:94" hidden="1">
      <c r="A3700"/>
      <c r="G3700" s="207"/>
      <c r="CP3700"/>
    </row>
    <row r="3701" spans="1:94" hidden="1">
      <c r="A3701"/>
      <c r="G3701" s="207"/>
      <c r="CP3701"/>
    </row>
    <row r="3702" spans="1:94" hidden="1">
      <c r="A3702"/>
      <c r="G3702" s="207"/>
      <c r="CP3702"/>
    </row>
    <row r="3703" spans="1:94" hidden="1">
      <c r="A3703"/>
      <c r="G3703" s="207"/>
      <c r="CP3703"/>
    </row>
    <row r="3704" spans="1:94" hidden="1">
      <c r="A3704"/>
      <c r="G3704" s="207"/>
      <c r="CP3704"/>
    </row>
    <row r="3705" spans="1:94" hidden="1">
      <c r="A3705"/>
      <c r="G3705" s="207"/>
      <c r="CP3705"/>
    </row>
    <row r="3706" spans="1:94" hidden="1">
      <c r="A3706"/>
      <c r="G3706" s="207"/>
      <c r="CP3706"/>
    </row>
    <row r="3707" spans="1:94" hidden="1">
      <c r="A3707"/>
      <c r="G3707" s="207"/>
      <c r="CP3707"/>
    </row>
    <row r="3708" spans="1:94" hidden="1">
      <c r="A3708"/>
      <c r="G3708" s="207"/>
      <c r="CP3708"/>
    </row>
    <row r="3709" spans="1:94" hidden="1">
      <c r="A3709"/>
      <c r="G3709" s="207"/>
      <c r="CP3709"/>
    </row>
    <row r="3710" spans="1:94" hidden="1">
      <c r="A3710"/>
      <c r="G3710" s="207"/>
      <c r="CP3710"/>
    </row>
    <row r="3711" spans="1:94" hidden="1">
      <c r="A3711"/>
      <c r="G3711" s="207"/>
      <c r="CP3711"/>
    </row>
    <row r="3712" spans="1:94" hidden="1">
      <c r="A3712"/>
      <c r="G3712" s="207"/>
      <c r="CP3712"/>
    </row>
    <row r="3713" spans="1:94" hidden="1">
      <c r="A3713"/>
      <c r="G3713" s="207"/>
      <c r="CP3713"/>
    </row>
    <row r="3714" spans="1:94" hidden="1">
      <c r="A3714"/>
      <c r="G3714" s="207"/>
      <c r="CP3714"/>
    </row>
    <row r="3715" spans="1:94" hidden="1">
      <c r="A3715"/>
      <c r="G3715" s="207"/>
      <c r="CP3715"/>
    </row>
    <row r="3716" spans="1:94" hidden="1">
      <c r="A3716"/>
      <c r="G3716" s="207"/>
      <c r="CP3716"/>
    </row>
    <row r="3717" spans="1:94" hidden="1">
      <c r="A3717"/>
      <c r="G3717" s="207"/>
      <c r="CP3717"/>
    </row>
    <row r="3718" spans="1:94" hidden="1">
      <c r="A3718"/>
      <c r="G3718" s="207"/>
      <c r="CP3718"/>
    </row>
    <row r="3719" spans="1:94" hidden="1">
      <c r="A3719"/>
      <c r="G3719" s="207"/>
      <c r="CP3719"/>
    </row>
    <row r="3720" spans="1:94" hidden="1">
      <c r="A3720"/>
      <c r="G3720" s="207"/>
      <c r="CP3720"/>
    </row>
    <row r="3721" spans="1:94" hidden="1">
      <c r="A3721"/>
      <c r="G3721" s="207"/>
      <c r="CP3721"/>
    </row>
    <row r="3722" spans="1:94" hidden="1">
      <c r="A3722"/>
      <c r="G3722" s="207"/>
      <c r="CP3722"/>
    </row>
    <row r="3723" spans="1:94" hidden="1">
      <c r="A3723"/>
      <c r="G3723" s="207"/>
      <c r="CP3723"/>
    </row>
    <row r="3724" spans="1:94" hidden="1">
      <c r="A3724"/>
      <c r="G3724" s="207"/>
      <c r="CP3724"/>
    </row>
    <row r="3725" spans="1:94" hidden="1">
      <c r="A3725"/>
      <c r="G3725" s="207"/>
      <c r="CP3725"/>
    </row>
    <row r="3726" spans="1:94" hidden="1">
      <c r="A3726"/>
      <c r="G3726" s="207"/>
      <c r="CP3726"/>
    </row>
    <row r="3727" spans="1:94" hidden="1">
      <c r="A3727"/>
      <c r="G3727" s="207"/>
      <c r="CP3727"/>
    </row>
    <row r="3728" spans="1:94" hidden="1">
      <c r="A3728"/>
      <c r="G3728" s="207"/>
      <c r="CP3728"/>
    </row>
    <row r="3729" spans="1:94" hidden="1">
      <c r="A3729"/>
      <c r="G3729" s="207"/>
      <c r="CP3729"/>
    </row>
    <row r="3730" spans="1:94" hidden="1">
      <c r="A3730"/>
      <c r="G3730" s="207"/>
      <c r="CP3730"/>
    </row>
    <row r="3731" spans="1:94" hidden="1">
      <c r="A3731"/>
      <c r="G3731" s="207"/>
      <c r="CP3731"/>
    </row>
    <row r="3732" spans="1:94" hidden="1">
      <c r="A3732"/>
      <c r="G3732" s="207"/>
      <c r="CP3732"/>
    </row>
    <row r="3733" spans="1:94" hidden="1">
      <c r="A3733"/>
      <c r="G3733" s="207"/>
      <c r="CP3733"/>
    </row>
    <row r="3734" spans="1:94" hidden="1">
      <c r="A3734"/>
      <c r="G3734" s="207"/>
      <c r="CP3734"/>
    </row>
    <row r="3735" spans="1:94" hidden="1">
      <c r="A3735"/>
      <c r="G3735" s="207"/>
      <c r="CP3735"/>
    </row>
    <row r="3736" spans="1:94" hidden="1">
      <c r="A3736"/>
      <c r="G3736" s="207"/>
      <c r="CP3736"/>
    </row>
    <row r="3737" spans="1:94" hidden="1">
      <c r="A3737"/>
      <c r="G3737" s="207"/>
      <c r="CP3737"/>
    </row>
    <row r="3738" spans="1:94" hidden="1">
      <c r="A3738"/>
      <c r="G3738" s="207"/>
      <c r="CP3738"/>
    </row>
    <row r="3739" spans="1:94" hidden="1">
      <c r="A3739"/>
      <c r="G3739" s="207"/>
      <c r="CP3739"/>
    </row>
    <row r="3740" spans="1:94" hidden="1">
      <c r="A3740"/>
      <c r="G3740" s="207"/>
      <c r="CP3740"/>
    </row>
    <row r="3741" spans="1:94" hidden="1">
      <c r="A3741"/>
      <c r="G3741" s="207"/>
      <c r="CP3741"/>
    </row>
    <row r="3742" spans="1:94" hidden="1">
      <c r="A3742"/>
      <c r="G3742" s="207"/>
      <c r="CP3742"/>
    </row>
    <row r="3743" spans="1:94" hidden="1">
      <c r="A3743"/>
      <c r="G3743" s="207"/>
      <c r="CP3743"/>
    </row>
    <row r="3744" spans="1:94" hidden="1">
      <c r="A3744"/>
      <c r="G3744" s="207"/>
      <c r="CP3744"/>
    </row>
    <row r="3745" spans="1:94" hidden="1">
      <c r="A3745"/>
      <c r="G3745" s="207"/>
      <c r="CP3745"/>
    </row>
    <row r="3746" spans="1:94" hidden="1">
      <c r="A3746"/>
      <c r="G3746" s="207"/>
      <c r="CP3746"/>
    </row>
    <row r="3747" spans="1:94" hidden="1">
      <c r="A3747"/>
      <c r="G3747" s="207"/>
      <c r="CP3747"/>
    </row>
    <row r="3748" spans="1:94" hidden="1">
      <c r="A3748"/>
      <c r="G3748" s="207"/>
      <c r="CP3748"/>
    </row>
    <row r="3749" spans="1:94" hidden="1">
      <c r="A3749"/>
      <c r="G3749" s="207"/>
      <c r="CP3749"/>
    </row>
    <row r="3750" spans="1:94" hidden="1">
      <c r="A3750"/>
      <c r="G3750" s="207"/>
      <c r="CP3750"/>
    </row>
    <row r="3751" spans="1:94" hidden="1">
      <c r="A3751"/>
      <c r="G3751" s="207"/>
      <c r="CP3751"/>
    </row>
    <row r="3752" spans="1:94" hidden="1">
      <c r="A3752"/>
      <c r="G3752" s="207"/>
      <c r="CP3752"/>
    </row>
    <row r="3753" spans="1:94" hidden="1">
      <c r="A3753"/>
      <c r="G3753" s="207"/>
      <c r="CP3753"/>
    </row>
    <row r="3754" spans="1:94" hidden="1">
      <c r="A3754"/>
      <c r="G3754" s="207"/>
      <c r="CP3754"/>
    </row>
    <row r="3755" spans="1:94" hidden="1">
      <c r="A3755"/>
      <c r="G3755" s="207"/>
      <c r="CP3755"/>
    </row>
    <row r="3756" spans="1:94" hidden="1">
      <c r="A3756"/>
      <c r="G3756" s="207"/>
      <c r="CP3756"/>
    </row>
    <row r="3757" spans="1:94" hidden="1">
      <c r="A3757"/>
      <c r="G3757" s="207"/>
      <c r="CP3757"/>
    </row>
    <row r="3758" spans="1:94" hidden="1">
      <c r="A3758"/>
      <c r="G3758" s="207"/>
      <c r="CP3758"/>
    </row>
    <row r="3759" spans="1:94" hidden="1">
      <c r="A3759"/>
      <c r="G3759" s="207"/>
      <c r="CP3759"/>
    </row>
    <row r="3760" spans="1:94" hidden="1">
      <c r="A3760"/>
      <c r="G3760" s="207"/>
      <c r="CP3760"/>
    </row>
    <row r="3761" spans="1:94" hidden="1">
      <c r="A3761"/>
      <c r="G3761" s="207"/>
      <c r="CP3761"/>
    </row>
    <row r="3762" spans="1:94" hidden="1">
      <c r="A3762"/>
      <c r="G3762" s="207"/>
      <c r="CP3762"/>
    </row>
    <row r="3763" spans="1:94" hidden="1">
      <c r="A3763"/>
      <c r="G3763" s="207"/>
      <c r="CP3763"/>
    </row>
    <row r="3764" spans="1:94" hidden="1">
      <c r="A3764"/>
      <c r="G3764" s="207"/>
      <c r="CP3764"/>
    </row>
    <row r="3765" spans="1:94" hidden="1">
      <c r="A3765"/>
      <c r="G3765" s="207"/>
      <c r="CP3765"/>
    </row>
    <row r="3766" spans="1:94" hidden="1">
      <c r="A3766"/>
      <c r="G3766" s="207"/>
      <c r="CP3766"/>
    </row>
    <row r="3767" spans="1:94" hidden="1">
      <c r="A3767"/>
      <c r="G3767" s="207"/>
      <c r="CP3767"/>
    </row>
    <row r="3768" spans="1:94" hidden="1">
      <c r="A3768"/>
      <c r="G3768" s="207"/>
      <c r="CP3768"/>
    </row>
    <row r="3769" spans="1:94" hidden="1">
      <c r="A3769"/>
      <c r="G3769" s="207"/>
      <c r="CP3769"/>
    </row>
    <row r="3770" spans="1:94" hidden="1">
      <c r="A3770"/>
      <c r="G3770" s="207"/>
      <c r="CP3770"/>
    </row>
    <row r="3771" spans="1:94" hidden="1">
      <c r="A3771"/>
      <c r="G3771" s="207"/>
      <c r="CP3771"/>
    </row>
    <row r="3772" spans="1:94" hidden="1">
      <c r="A3772"/>
      <c r="G3772" s="207"/>
      <c r="CP3772"/>
    </row>
    <row r="3773" spans="1:94" hidden="1">
      <c r="A3773"/>
      <c r="G3773" s="207"/>
      <c r="CP3773"/>
    </row>
    <row r="3774" spans="1:94" hidden="1">
      <c r="A3774"/>
      <c r="G3774" s="207"/>
      <c r="CP3774"/>
    </row>
    <row r="3775" spans="1:94" hidden="1">
      <c r="A3775"/>
      <c r="G3775" s="207"/>
      <c r="CP3775"/>
    </row>
    <row r="3776" spans="1:94" hidden="1">
      <c r="A3776"/>
      <c r="G3776" s="207"/>
      <c r="CP3776"/>
    </row>
    <row r="3777" spans="1:94" hidden="1">
      <c r="A3777"/>
      <c r="G3777" s="207"/>
      <c r="CP3777"/>
    </row>
    <row r="3778" spans="1:94" hidden="1">
      <c r="A3778"/>
      <c r="G3778" s="207"/>
      <c r="CP3778"/>
    </row>
    <row r="3779" spans="1:94" hidden="1">
      <c r="A3779"/>
      <c r="G3779" s="207"/>
      <c r="CP3779"/>
    </row>
    <row r="3780" spans="1:94" hidden="1">
      <c r="A3780"/>
      <c r="G3780" s="207"/>
      <c r="CP3780"/>
    </row>
    <row r="3781" spans="1:94" hidden="1">
      <c r="A3781"/>
      <c r="G3781" s="207"/>
      <c r="CP3781"/>
    </row>
    <row r="3782" spans="1:94" hidden="1">
      <c r="A3782"/>
      <c r="G3782" s="207"/>
      <c r="CP3782"/>
    </row>
    <row r="3783" spans="1:94" hidden="1">
      <c r="A3783"/>
      <c r="G3783" s="207"/>
      <c r="CP3783"/>
    </row>
    <row r="3784" spans="1:94"/>
    <row r="3785" spans="1:94"/>
    <row r="3786" spans="1:94"/>
    <row r="3787" spans="1:94"/>
    <row r="3788" spans="1:94"/>
    <row r="3789" spans="1:94"/>
    <row r="3790" spans="1:94"/>
    <row r="3791" spans="1:94"/>
    <row r="3792" spans="1:94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</sheetData>
  <mergeCells count="1">
    <mergeCell ref="E13:J13"/>
  </mergeCells>
  <conditionalFormatting sqref="E4">
    <cfRule type="cellIs" dxfId="287" priority="209" operator="equal">
      <formula>FALSE</formula>
    </cfRule>
    <cfRule type="cellIs" dxfId="286" priority="210" operator="equal">
      <formula>TRUE</formula>
    </cfRule>
  </conditionalFormatting>
  <conditionalFormatting sqref="M296:AY296 L297:AY301">
    <cfRule type="cellIs" dxfId="285" priority="190" operator="equal">
      <formula>0</formula>
    </cfRule>
  </conditionalFormatting>
  <conditionalFormatting sqref="L184:CO186">
    <cfRule type="cellIs" dxfId="284" priority="189" operator="equal">
      <formula>0</formula>
    </cfRule>
  </conditionalFormatting>
  <conditionalFormatting sqref="L217:AY218 M216:AY216">
    <cfRule type="cellIs" dxfId="283" priority="188" operator="equal">
      <formula>0</formula>
    </cfRule>
  </conditionalFormatting>
  <conditionalFormatting sqref="L241:AY242 M240:AY240">
    <cfRule type="cellIs" dxfId="282" priority="187" operator="equal">
      <formula>0</formula>
    </cfRule>
  </conditionalFormatting>
  <conditionalFormatting sqref="L330:AY331 M329:AY329">
    <cfRule type="cellIs" dxfId="281" priority="186" operator="equal">
      <formula>0</formula>
    </cfRule>
  </conditionalFormatting>
  <conditionalFormatting sqref="L355:AY357">
    <cfRule type="cellIs" dxfId="280" priority="185" operator="equal">
      <formula>0</formula>
    </cfRule>
  </conditionalFormatting>
  <conditionalFormatting sqref="AZ296:BC301">
    <cfRule type="cellIs" dxfId="279" priority="184" operator="equal">
      <formula>0</formula>
    </cfRule>
  </conditionalFormatting>
  <conditionalFormatting sqref="AZ184:BC186">
    <cfRule type="cellIs" dxfId="278" priority="183" operator="equal">
      <formula>0</formula>
    </cfRule>
  </conditionalFormatting>
  <conditionalFormatting sqref="AZ216:BC218">
    <cfRule type="cellIs" dxfId="277" priority="182" operator="equal">
      <formula>0</formula>
    </cfRule>
  </conditionalFormatting>
  <conditionalFormatting sqref="AZ240:BC242">
    <cfRule type="cellIs" dxfId="276" priority="181" operator="equal">
      <formula>0</formula>
    </cfRule>
  </conditionalFormatting>
  <conditionalFormatting sqref="AZ329:BC331">
    <cfRule type="cellIs" dxfId="275" priority="180" operator="equal">
      <formula>0</formula>
    </cfRule>
  </conditionalFormatting>
  <conditionalFormatting sqref="AZ355:BC357">
    <cfRule type="cellIs" dxfId="274" priority="179" operator="equal">
      <formula>0</formula>
    </cfRule>
  </conditionalFormatting>
  <conditionalFormatting sqref="BD296:BF301">
    <cfRule type="cellIs" dxfId="273" priority="178" operator="equal">
      <formula>0</formula>
    </cfRule>
  </conditionalFormatting>
  <conditionalFormatting sqref="BD184:BF186">
    <cfRule type="cellIs" dxfId="272" priority="177" operator="equal">
      <formula>0</formula>
    </cfRule>
  </conditionalFormatting>
  <conditionalFormatting sqref="BD216:BF218">
    <cfRule type="cellIs" dxfId="271" priority="176" operator="equal">
      <formula>0</formula>
    </cfRule>
  </conditionalFormatting>
  <conditionalFormatting sqref="BD240:BF242">
    <cfRule type="cellIs" dxfId="270" priority="175" operator="equal">
      <formula>0</formula>
    </cfRule>
  </conditionalFormatting>
  <conditionalFormatting sqref="BD329:BF331">
    <cfRule type="cellIs" dxfId="269" priority="174" operator="equal">
      <formula>0</formula>
    </cfRule>
  </conditionalFormatting>
  <conditionalFormatting sqref="BD355:BF357">
    <cfRule type="cellIs" dxfId="268" priority="173" operator="equal">
      <formula>0</formula>
    </cfRule>
  </conditionalFormatting>
  <conditionalFormatting sqref="BG296:BH301">
    <cfRule type="cellIs" dxfId="267" priority="172" operator="equal">
      <formula>0</formula>
    </cfRule>
  </conditionalFormatting>
  <conditionalFormatting sqref="BG184:BH186">
    <cfRule type="cellIs" dxfId="266" priority="171" operator="equal">
      <formula>0</formula>
    </cfRule>
  </conditionalFormatting>
  <conditionalFormatting sqref="BG216:BH218">
    <cfRule type="cellIs" dxfId="265" priority="170" operator="equal">
      <formula>0</formula>
    </cfRule>
  </conditionalFormatting>
  <conditionalFormatting sqref="BG240:BH242">
    <cfRule type="cellIs" dxfId="264" priority="169" operator="equal">
      <formula>0</formula>
    </cfRule>
  </conditionalFormatting>
  <conditionalFormatting sqref="BG329:BH331">
    <cfRule type="cellIs" dxfId="263" priority="168" operator="equal">
      <formula>0</formula>
    </cfRule>
  </conditionalFormatting>
  <conditionalFormatting sqref="BG355:BH357">
    <cfRule type="cellIs" dxfId="262" priority="167" operator="equal">
      <formula>0</formula>
    </cfRule>
  </conditionalFormatting>
  <conditionalFormatting sqref="BI296:BJ301">
    <cfRule type="cellIs" dxfId="261" priority="166" operator="equal">
      <formula>0</formula>
    </cfRule>
  </conditionalFormatting>
  <conditionalFormatting sqref="BI184:BJ186">
    <cfRule type="cellIs" dxfId="260" priority="165" operator="equal">
      <formula>0</formula>
    </cfRule>
  </conditionalFormatting>
  <conditionalFormatting sqref="BI216:BJ218">
    <cfRule type="cellIs" dxfId="259" priority="164" operator="equal">
      <formula>0</formula>
    </cfRule>
  </conditionalFormatting>
  <conditionalFormatting sqref="BI240:BJ242">
    <cfRule type="cellIs" dxfId="258" priority="163" operator="equal">
      <formula>0</formula>
    </cfRule>
  </conditionalFormatting>
  <conditionalFormatting sqref="BI329:BJ331">
    <cfRule type="cellIs" dxfId="257" priority="162" operator="equal">
      <formula>0</formula>
    </cfRule>
  </conditionalFormatting>
  <conditionalFormatting sqref="BI355:BJ357">
    <cfRule type="cellIs" dxfId="256" priority="161" operator="equal">
      <formula>0</formula>
    </cfRule>
  </conditionalFormatting>
  <conditionalFormatting sqref="BK296:BL301">
    <cfRule type="cellIs" dxfId="255" priority="160" operator="equal">
      <formula>0</formula>
    </cfRule>
  </conditionalFormatting>
  <conditionalFormatting sqref="BK184:BL186">
    <cfRule type="cellIs" dxfId="254" priority="159" operator="equal">
      <formula>0</formula>
    </cfRule>
  </conditionalFormatting>
  <conditionalFormatting sqref="BK216:BL218">
    <cfRule type="cellIs" dxfId="253" priority="158" operator="equal">
      <formula>0</formula>
    </cfRule>
  </conditionalFormatting>
  <conditionalFormatting sqref="BK240:BL242">
    <cfRule type="cellIs" dxfId="252" priority="157" operator="equal">
      <formula>0</formula>
    </cfRule>
  </conditionalFormatting>
  <conditionalFormatting sqref="BK329:BL331">
    <cfRule type="cellIs" dxfId="251" priority="156" operator="equal">
      <formula>0</formula>
    </cfRule>
  </conditionalFormatting>
  <conditionalFormatting sqref="BK355:BL357">
    <cfRule type="cellIs" dxfId="250" priority="155" operator="equal">
      <formula>0</formula>
    </cfRule>
  </conditionalFormatting>
  <conditionalFormatting sqref="BM296:BN301">
    <cfRule type="cellIs" dxfId="249" priority="154" operator="equal">
      <formula>0</formula>
    </cfRule>
  </conditionalFormatting>
  <conditionalFormatting sqref="BM184:BN186">
    <cfRule type="cellIs" dxfId="248" priority="153" operator="equal">
      <formula>0</formula>
    </cfRule>
  </conditionalFormatting>
  <conditionalFormatting sqref="BM216:BN218">
    <cfRule type="cellIs" dxfId="247" priority="152" operator="equal">
      <formula>0</formula>
    </cfRule>
  </conditionalFormatting>
  <conditionalFormatting sqref="BM240:BN242">
    <cfRule type="cellIs" dxfId="246" priority="151" operator="equal">
      <formula>0</formula>
    </cfRule>
  </conditionalFormatting>
  <conditionalFormatting sqref="BM329:BN331">
    <cfRule type="cellIs" dxfId="245" priority="150" operator="equal">
      <formula>0</formula>
    </cfRule>
  </conditionalFormatting>
  <conditionalFormatting sqref="BM355:BN357">
    <cfRule type="cellIs" dxfId="244" priority="149" operator="equal">
      <formula>0</formula>
    </cfRule>
  </conditionalFormatting>
  <conditionalFormatting sqref="BO296:BP301">
    <cfRule type="cellIs" dxfId="243" priority="148" operator="equal">
      <formula>0</formula>
    </cfRule>
  </conditionalFormatting>
  <conditionalFormatting sqref="BO184:BP186">
    <cfRule type="cellIs" dxfId="242" priority="147" operator="equal">
      <formula>0</formula>
    </cfRule>
  </conditionalFormatting>
  <conditionalFormatting sqref="BO216:BP218">
    <cfRule type="cellIs" dxfId="241" priority="146" operator="equal">
      <formula>0</formula>
    </cfRule>
  </conditionalFormatting>
  <conditionalFormatting sqref="BO240:BP242">
    <cfRule type="cellIs" dxfId="240" priority="145" operator="equal">
      <formula>0</formula>
    </cfRule>
  </conditionalFormatting>
  <conditionalFormatting sqref="BO329:BP331">
    <cfRule type="cellIs" dxfId="239" priority="144" operator="equal">
      <formula>0</formula>
    </cfRule>
  </conditionalFormatting>
  <conditionalFormatting sqref="BO355:BP357">
    <cfRule type="cellIs" dxfId="238" priority="143" operator="equal">
      <formula>0</formula>
    </cfRule>
  </conditionalFormatting>
  <conditionalFormatting sqref="BQ296:BR301">
    <cfRule type="cellIs" dxfId="237" priority="142" operator="equal">
      <formula>0</formula>
    </cfRule>
  </conditionalFormatting>
  <conditionalFormatting sqref="BQ184:BR186">
    <cfRule type="cellIs" dxfId="236" priority="141" operator="equal">
      <formula>0</formula>
    </cfRule>
  </conditionalFormatting>
  <conditionalFormatting sqref="BQ216:BR218">
    <cfRule type="cellIs" dxfId="235" priority="140" operator="equal">
      <formula>0</formula>
    </cfRule>
  </conditionalFormatting>
  <conditionalFormatting sqref="BQ240:BR242">
    <cfRule type="cellIs" dxfId="234" priority="139" operator="equal">
      <formula>0</formula>
    </cfRule>
  </conditionalFormatting>
  <conditionalFormatting sqref="BQ329:BR331">
    <cfRule type="cellIs" dxfId="233" priority="138" operator="equal">
      <formula>0</formula>
    </cfRule>
  </conditionalFormatting>
  <conditionalFormatting sqref="BQ355:BR357">
    <cfRule type="cellIs" dxfId="232" priority="137" operator="equal">
      <formula>0</formula>
    </cfRule>
  </conditionalFormatting>
  <conditionalFormatting sqref="BS296:BS301">
    <cfRule type="cellIs" dxfId="231" priority="136" operator="equal">
      <formula>0</formula>
    </cfRule>
  </conditionalFormatting>
  <conditionalFormatting sqref="BS184:BS186">
    <cfRule type="cellIs" dxfId="230" priority="135" operator="equal">
      <formula>0</formula>
    </cfRule>
  </conditionalFormatting>
  <conditionalFormatting sqref="BS216:BS218">
    <cfRule type="cellIs" dxfId="229" priority="134" operator="equal">
      <formula>0</formula>
    </cfRule>
  </conditionalFormatting>
  <conditionalFormatting sqref="BS240:BS242">
    <cfRule type="cellIs" dxfId="228" priority="133" operator="equal">
      <formula>0</formula>
    </cfRule>
  </conditionalFormatting>
  <conditionalFormatting sqref="BS329:BS331">
    <cfRule type="cellIs" dxfId="227" priority="132" operator="equal">
      <formula>0</formula>
    </cfRule>
  </conditionalFormatting>
  <conditionalFormatting sqref="BS355:BS357">
    <cfRule type="cellIs" dxfId="226" priority="131" operator="equal">
      <formula>0</formula>
    </cfRule>
  </conditionalFormatting>
  <conditionalFormatting sqref="BT296:BU301">
    <cfRule type="cellIs" dxfId="225" priority="130" operator="equal">
      <formula>0</formula>
    </cfRule>
  </conditionalFormatting>
  <conditionalFormatting sqref="BT184:BU186">
    <cfRule type="cellIs" dxfId="224" priority="129" operator="equal">
      <formula>0</formula>
    </cfRule>
  </conditionalFormatting>
  <conditionalFormatting sqref="BT216:BU218">
    <cfRule type="cellIs" dxfId="223" priority="128" operator="equal">
      <formula>0</formula>
    </cfRule>
  </conditionalFormatting>
  <conditionalFormatting sqref="BT240:BU242">
    <cfRule type="cellIs" dxfId="222" priority="127" operator="equal">
      <formula>0</formula>
    </cfRule>
  </conditionalFormatting>
  <conditionalFormatting sqref="BT329:BU331">
    <cfRule type="cellIs" dxfId="221" priority="126" operator="equal">
      <formula>0</formula>
    </cfRule>
  </conditionalFormatting>
  <conditionalFormatting sqref="BT355:BU357">
    <cfRule type="cellIs" dxfId="220" priority="125" operator="equal">
      <formula>0</formula>
    </cfRule>
  </conditionalFormatting>
  <conditionalFormatting sqref="BV296:BV301">
    <cfRule type="cellIs" dxfId="219" priority="124" operator="equal">
      <formula>0</formula>
    </cfRule>
  </conditionalFormatting>
  <conditionalFormatting sqref="BV184:BV186">
    <cfRule type="cellIs" dxfId="218" priority="123" operator="equal">
      <formula>0</formula>
    </cfRule>
  </conditionalFormatting>
  <conditionalFormatting sqref="BV216:BV218">
    <cfRule type="cellIs" dxfId="217" priority="122" operator="equal">
      <formula>0</formula>
    </cfRule>
  </conditionalFormatting>
  <conditionalFormatting sqref="BV240:BV242">
    <cfRule type="cellIs" dxfId="216" priority="121" operator="equal">
      <formula>0</formula>
    </cfRule>
  </conditionalFormatting>
  <conditionalFormatting sqref="BV329:BV331">
    <cfRule type="cellIs" dxfId="215" priority="120" operator="equal">
      <formula>0</formula>
    </cfRule>
  </conditionalFormatting>
  <conditionalFormatting sqref="BV355:BV357">
    <cfRule type="cellIs" dxfId="214" priority="119" operator="equal">
      <formula>0</formula>
    </cfRule>
  </conditionalFormatting>
  <conditionalFormatting sqref="BW296:BW301">
    <cfRule type="cellIs" dxfId="213" priority="118" operator="equal">
      <formula>0</formula>
    </cfRule>
  </conditionalFormatting>
  <conditionalFormatting sqref="BW184:BW186">
    <cfRule type="cellIs" dxfId="212" priority="117" operator="equal">
      <formula>0</formula>
    </cfRule>
  </conditionalFormatting>
  <conditionalFormatting sqref="BW216:BW218">
    <cfRule type="cellIs" dxfId="211" priority="116" operator="equal">
      <formula>0</formula>
    </cfRule>
  </conditionalFormatting>
  <conditionalFormatting sqref="BW240:BW242">
    <cfRule type="cellIs" dxfId="210" priority="115" operator="equal">
      <formula>0</formula>
    </cfRule>
  </conditionalFormatting>
  <conditionalFormatting sqref="BW329:BW331">
    <cfRule type="cellIs" dxfId="209" priority="114" operator="equal">
      <formula>0</formula>
    </cfRule>
  </conditionalFormatting>
  <conditionalFormatting sqref="BW355:BW357">
    <cfRule type="cellIs" dxfId="208" priority="113" operator="equal">
      <formula>0</formula>
    </cfRule>
  </conditionalFormatting>
  <conditionalFormatting sqref="BX296:BY301">
    <cfRule type="cellIs" dxfId="207" priority="112" operator="equal">
      <formula>0</formula>
    </cfRule>
  </conditionalFormatting>
  <conditionalFormatting sqref="BX184:BY186">
    <cfRule type="cellIs" dxfId="206" priority="111" operator="equal">
      <formula>0</formula>
    </cfRule>
  </conditionalFormatting>
  <conditionalFormatting sqref="BX216:BY218">
    <cfRule type="cellIs" dxfId="205" priority="110" operator="equal">
      <formula>0</formula>
    </cfRule>
  </conditionalFormatting>
  <conditionalFormatting sqref="BX240:BY242">
    <cfRule type="cellIs" dxfId="204" priority="109" operator="equal">
      <formula>0</formula>
    </cfRule>
  </conditionalFormatting>
  <conditionalFormatting sqref="BX329:BY331">
    <cfRule type="cellIs" dxfId="203" priority="108" operator="equal">
      <formula>0</formula>
    </cfRule>
  </conditionalFormatting>
  <conditionalFormatting sqref="BX355:BY357">
    <cfRule type="cellIs" dxfId="202" priority="107" operator="equal">
      <formula>0</formula>
    </cfRule>
  </conditionalFormatting>
  <conditionalFormatting sqref="BZ296:BZ301">
    <cfRule type="cellIs" dxfId="201" priority="106" operator="equal">
      <formula>0</formula>
    </cfRule>
  </conditionalFormatting>
  <conditionalFormatting sqref="BZ184:BZ186">
    <cfRule type="cellIs" dxfId="200" priority="105" operator="equal">
      <formula>0</formula>
    </cfRule>
  </conditionalFormatting>
  <conditionalFormatting sqref="BZ216:BZ218">
    <cfRule type="cellIs" dxfId="199" priority="104" operator="equal">
      <formula>0</formula>
    </cfRule>
  </conditionalFormatting>
  <conditionalFormatting sqref="BZ240:BZ242">
    <cfRule type="cellIs" dxfId="198" priority="103" operator="equal">
      <formula>0</formula>
    </cfRule>
  </conditionalFormatting>
  <conditionalFormatting sqref="BZ329:BZ331">
    <cfRule type="cellIs" dxfId="197" priority="102" operator="equal">
      <formula>0</formula>
    </cfRule>
  </conditionalFormatting>
  <conditionalFormatting sqref="BZ355:BZ357">
    <cfRule type="cellIs" dxfId="196" priority="101" operator="equal">
      <formula>0</formula>
    </cfRule>
  </conditionalFormatting>
  <conditionalFormatting sqref="CA296:CA301">
    <cfRule type="cellIs" dxfId="195" priority="100" operator="equal">
      <formula>0</formula>
    </cfRule>
  </conditionalFormatting>
  <conditionalFormatting sqref="CA184:CA186">
    <cfRule type="cellIs" dxfId="194" priority="99" operator="equal">
      <formula>0</formula>
    </cfRule>
  </conditionalFormatting>
  <conditionalFormatting sqref="CA216:CA218">
    <cfRule type="cellIs" dxfId="193" priority="98" operator="equal">
      <formula>0</formula>
    </cfRule>
  </conditionalFormatting>
  <conditionalFormatting sqref="CA240:CA242">
    <cfRule type="cellIs" dxfId="192" priority="97" operator="equal">
      <formula>0</formula>
    </cfRule>
  </conditionalFormatting>
  <conditionalFormatting sqref="CA329:CA331">
    <cfRule type="cellIs" dxfId="191" priority="96" operator="equal">
      <formula>0</formula>
    </cfRule>
  </conditionalFormatting>
  <conditionalFormatting sqref="CA355:CA357">
    <cfRule type="cellIs" dxfId="190" priority="95" operator="equal">
      <formula>0</formula>
    </cfRule>
  </conditionalFormatting>
  <conditionalFormatting sqref="CB296:CC301">
    <cfRule type="cellIs" dxfId="189" priority="94" operator="equal">
      <formula>0</formula>
    </cfRule>
  </conditionalFormatting>
  <conditionalFormatting sqref="CB184:CC186">
    <cfRule type="cellIs" dxfId="188" priority="93" operator="equal">
      <formula>0</formula>
    </cfRule>
  </conditionalFormatting>
  <conditionalFormatting sqref="CB216:CC218">
    <cfRule type="cellIs" dxfId="187" priority="92" operator="equal">
      <formula>0</formula>
    </cfRule>
  </conditionalFormatting>
  <conditionalFormatting sqref="CB240:CC242">
    <cfRule type="cellIs" dxfId="186" priority="91" operator="equal">
      <formula>0</formula>
    </cfRule>
  </conditionalFormatting>
  <conditionalFormatting sqref="CB329:CC331">
    <cfRule type="cellIs" dxfId="185" priority="90" operator="equal">
      <formula>0</formula>
    </cfRule>
  </conditionalFormatting>
  <conditionalFormatting sqref="CB355:CC357">
    <cfRule type="cellIs" dxfId="184" priority="89" operator="equal">
      <formula>0</formula>
    </cfRule>
  </conditionalFormatting>
  <conditionalFormatting sqref="CD296:CD301">
    <cfRule type="cellIs" dxfId="183" priority="88" operator="equal">
      <formula>0</formula>
    </cfRule>
  </conditionalFormatting>
  <conditionalFormatting sqref="CD184:CD186">
    <cfRule type="cellIs" dxfId="182" priority="87" operator="equal">
      <formula>0</formula>
    </cfRule>
  </conditionalFormatting>
  <conditionalFormatting sqref="CD216:CD218">
    <cfRule type="cellIs" dxfId="181" priority="86" operator="equal">
      <formula>0</formula>
    </cfRule>
  </conditionalFormatting>
  <conditionalFormatting sqref="CD240:CD242">
    <cfRule type="cellIs" dxfId="180" priority="85" operator="equal">
      <formula>0</formula>
    </cfRule>
  </conditionalFormatting>
  <conditionalFormatting sqref="CD329:CD331">
    <cfRule type="cellIs" dxfId="179" priority="84" operator="equal">
      <formula>0</formula>
    </cfRule>
  </conditionalFormatting>
  <conditionalFormatting sqref="CD355:CD357">
    <cfRule type="cellIs" dxfId="178" priority="83" operator="equal">
      <formula>0</formula>
    </cfRule>
  </conditionalFormatting>
  <conditionalFormatting sqref="CE296:CE301">
    <cfRule type="cellIs" dxfId="177" priority="82" operator="equal">
      <formula>0</formula>
    </cfRule>
  </conditionalFormatting>
  <conditionalFormatting sqref="CE184:CE186">
    <cfRule type="cellIs" dxfId="176" priority="81" operator="equal">
      <formula>0</formula>
    </cfRule>
  </conditionalFormatting>
  <conditionalFormatting sqref="CE216:CE218">
    <cfRule type="cellIs" dxfId="175" priority="80" operator="equal">
      <formula>0</formula>
    </cfRule>
  </conditionalFormatting>
  <conditionalFormatting sqref="CE240:CE242">
    <cfRule type="cellIs" dxfId="174" priority="79" operator="equal">
      <formula>0</formula>
    </cfRule>
  </conditionalFormatting>
  <conditionalFormatting sqref="CE329:CE331">
    <cfRule type="cellIs" dxfId="173" priority="78" operator="equal">
      <formula>0</formula>
    </cfRule>
  </conditionalFormatting>
  <conditionalFormatting sqref="CE355:CE357">
    <cfRule type="cellIs" dxfId="172" priority="77" operator="equal">
      <formula>0</formula>
    </cfRule>
  </conditionalFormatting>
  <conditionalFormatting sqref="CF296:CG301">
    <cfRule type="cellIs" dxfId="171" priority="76" operator="equal">
      <formula>0</formula>
    </cfRule>
  </conditionalFormatting>
  <conditionalFormatting sqref="CF184:CG186">
    <cfRule type="cellIs" dxfId="170" priority="75" operator="equal">
      <formula>0</formula>
    </cfRule>
  </conditionalFormatting>
  <conditionalFormatting sqref="CF216:CG218">
    <cfRule type="cellIs" dxfId="169" priority="74" operator="equal">
      <formula>0</formula>
    </cfRule>
  </conditionalFormatting>
  <conditionalFormatting sqref="CF240:CG242">
    <cfRule type="cellIs" dxfId="168" priority="73" operator="equal">
      <formula>0</formula>
    </cfRule>
  </conditionalFormatting>
  <conditionalFormatting sqref="CF329:CG331">
    <cfRule type="cellIs" dxfId="167" priority="72" operator="equal">
      <formula>0</formula>
    </cfRule>
  </conditionalFormatting>
  <conditionalFormatting sqref="CF355:CG357">
    <cfRule type="cellIs" dxfId="166" priority="71" operator="equal">
      <formula>0</formula>
    </cfRule>
  </conditionalFormatting>
  <conditionalFormatting sqref="CH296:CH301">
    <cfRule type="cellIs" dxfId="165" priority="70" operator="equal">
      <formula>0</formula>
    </cfRule>
  </conditionalFormatting>
  <conditionalFormatting sqref="CH184:CH186">
    <cfRule type="cellIs" dxfId="164" priority="69" operator="equal">
      <formula>0</formula>
    </cfRule>
  </conditionalFormatting>
  <conditionalFormatting sqref="CH216:CH218">
    <cfRule type="cellIs" dxfId="163" priority="68" operator="equal">
      <formula>0</formula>
    </cfRule>
  </conditionalFormatting>
  <conditionalFormatting sqref="CH240:CH242">
    <cfRule type="cellIs" dxfId="162" priority="67" operator="equal">
      <formula>0</formula>
    </cfRule>
  </conditionalFormatting>
  <conditionalFormatting sqref="CH329:CH331">
    <cfRule type="cellIs" dxfId="161" priority="66" operator="equal">
      <formula>0</formula>
    </cfRule>
  </conditionalFormatting>
  <conditionalFormatting sqref="CH355:CH357">
    <cfRule type="cellIs" dxfId="160" priority="65" operator="equal">
      <formula>0</formula>
    </cfRule>
  </conditionalFormatting>
  <conditionalFormatting sqref="CI296:CI301">
    <cfRule type="cellIs" dxfId="159" priority="64" operator="equal">
      <formula>0</formula>
    </cfRule>
  </conditionalFormatting>
  <conditionalFormatting sqref="CI184:CI186">
    <cfRule type="cellIs" dxfId="158" priority="63" operator="equal">
      <formula>0</formula>
    </cfRule>
  </conditionalFormatting>
  <conditionalFormatting sqref="CI216:CI218">
    <cfRule type="cellIs" dxfId="157" priority="62" operator="equal">
      <formula>0</formula>
    </cfRule>
  </conditionalFormatting>
  <conditionalFormatting sqref="CI240:CI242">
    <cfRule type="cellIs" dxfId="156" priority="61" operator="equal">
      <formula>0</formula>
    </cfRule>
  </conditionalFormatting>
  <conditionalFormatting sqref="CI329:CI331">
    <cfRule type="cellIs" dxfId="155" priority="60" operator="equal">
      <formula>0</formula>
    </cfRule>
  </conditionalFormatting>
  <conditionalFormatting sqref="CI355:CI357">
    <cfRule type="cellIs" dxfId="154" priority="59" operator="equal">
      <formula>0</formula>
    </cfRule>
  </conditionalFormatting>
  <conditionalFormatting sqref="CJ296:CK301">
    <cfRule type="cellIs" dxfId="153" priority="58" operator="equal">
      <formula>0</formula>
    </cfRule>
  </conditionalFormatting>
  <conditionalFormatting sqref="CJ184:CK186">
    <cfRule type="cellIs" dxfId="152" priority="57" operator="equal">
      <formula>0</formula>
    </cfRule>
  </conditionalFormatting>
  <conditionalFormatting sqref="CJ216:CK218">
    <cfRule type="cellIs" dxfId="151" priority="56" operator="equal">
      <formula>0</formula>
    </cfRule>
  </conditionalFormatting>
  <conditionalFormatting sqref="CJ240:CK242">
    <cfRule type="cellIs" dxfId="150" priority="55" operator="equal">
      <formula>0</formula>
    </cfRule>
  </conditionalFormatting>
  <conditionalFormatting sqref="CJ329:CK331">
    <cfRule type="cellIs" dxfId="149" priority="54" operator="equal">
      <formula>0</formula>
    </cfRule>
  </conditionalFormatting>
  <conditionalFormatting sqref="CJ355:CK357">
    <cfRule type="cellIs" dxfId="148" priority="53" operator="equal">
      <formula>0</formula>
    </cfRule>
  </conditionalFormatting>
  <conditionalFormatting sqref="CL296:CL301">
    <cfRule type="cellIs" dxfId="147" priority="52" operator="equal">
      <formula>0</formula>
    </cfRule>
  </conditionalFormatting>
  <conditionalFormatting sqref="CL184:CL186">
    <cfRule type="cellIs" dxfId="146" priority="51" operator="equal">
      <formula>0</formula>
    </cfRule>
  </conditionalFormatting>
  <conditionalFormatting sqref="CL216:CL218">
    <cfRule type="cellIs" dxfId="145" priority="50" operator="equal">
      <formula>0</formula>
    </cfRule>
  </conditionalFormatting>
  <conditionalFormatting sqref="CL240:CL242">
    <cfRule type="cellIs" dxfId="144" priority="49" operator="equal">
      <formula>0</formula>
    </cfRule>
  </conditionalFormatting>
  <conditionalFormatting sqref="CL329:CL331">
    <cfRule type="cellIs" dxfId="143" priority="48" operator="equal">
      <formula>0</formula>
    </cfRule>
  </conditionalFormatting>
  <conditionalFormatting sqref="CL355:CL357">
    <cfRule type="cellIs" dxfId="142" priority="47" operator="equal">
      <formula>0</formula>
    </cfRule>
  </conditionalFormatting>
  <conditionalFormatting sqref="CM296:CM301">
    <cfRule type="cellIs" dxfId="141" priority="46" operator="equal">
      <formula>0</formula>
    </cfRule>
  </conditionalFormatting>
  <conditionalFormatting sqref="CM184:CM186">
    <cfRule type="cellIs" dxfId="140" priority="45" operator="equal">
      <formula>0</formula>
    </cfRule>
  </conditionalFormatting>
  <conditionalFormatting sqref="CM216:CM218">
    <cfRule type="cellIs" dxfId="139" priority="44" operator="equal">
      <formula>0</formula>
    </cfRule>
  </conditionalFormatting>
  <conditionalFormatting sqref="CM240:CM242">
    <cfRule type="cellIs" dxfId="138" priority="43" operator="equal">
      <formula>0</formula>
    </cfRule>
  </conditionalFormatting>
  <conditionalFormatting sqref="CM329:CM331">
    <cfRule type="cellIs" dxfId="137" priority="42" operator="equal">
      <formula>0</formula>
    </cfRule>
  </conditionalFormatting>
  <conditionalFormatting sqref="CM355:CM357">
    <cfRule type="cellIs" dxfId="136" priority="41" operator="equal">
      <formula>0</formula>
    </cfRule>
  </conditionalFormatting>
  <conditionalFormatting sqref="CN296:CO301">
    <cfRule type="cellIs" dxfId="135" priority="40" operator="equal">
      <formula>0</formula>
    </cfRule>
  </conditionalFormatting>
  <conditionalFormatting sqref="CN184:CO186">
    <cfRule type="cellIs" dxfId="134" priority="39" operator="equal">
      <formula>0</formula>
    </cfRule>
  </conditionalFormatting>
  <conditionalFormatting sqref="CN216:CO218">
    <cfRule type="cellIs" dxfId="133" priority="38" operator="equal">
      <formula>0</formula>
    </cfRule>
  </conditionalFormatting>
  <conditionalFormatting sqref="CN240:CO242">
    <cfRule type="cellIs" dxfId="132" priority="37" operator="equal">
      <formula>0</formula>
    </cfRule>
  </conditionalFormatting>
  <conditionalFormatting sqref="CN329:CO331">
    <cfRule type="cellIs" dxfId="131" priority="36" operator="equal">
      <formula>0</formula>
    </cfRule>
  </conditionalFormatting>
  <conditionalFormatting sqref="CN355:CO357">
    <cfRule type="cellIs" dxfId="130" priority="35" operator="equal">
      <formula>0</formula>
    </cfRule>
  </conditionalFormatting>
  <conditionalFormatting sqref="L9:CO9">
    <cfRule type="cellIs" dxfId="129" priority="33" operator="equal">
      <formula>2</formula>
    </cfRule>
    <cfRule type="cellIs" dxfId="128" priority="34" operator="equal">
      <formula>1</formula>
    </cfRule>
  </conditionalFormatting>
  <conditionalFormatting sqref="H389">
    <cfRule type="expression" dxfId="127" priority="28">
      <formula>$H$389&lt;&gt;1</formula>
    </cfRule>
  </conditionalFormatting>
  <conditionalFormatting sqref="L216:CO218">
    <cfRule type="cellIs" dxfId="126" priority="27" operator="equal">
      <formula>0</formula>
    </cfRule>
  </conditionalFormatting>
  <conditionalFormatting sqref="L240:CO242">
    <cfRule type="cellIs" dxfId="125" priority="26" operator="equal">
      <formula>0</formula>
    </cfRule>
  </conditionalFormatting>
  <conditionalFormatting sqref="I184:I186">
    <cfRule type="cellIs" dxfId="124" priority="24" operator="equal">
      <formula>1</formula>
    </cfRule>
    <cfRule type="cellIs" dxfId="123" priority="25" operator="notEqual">
      <formula>1</formula>
    </cfRule>
  </conditionalFormatting>
  <conditionalFormatting sqref="L296:CO301">
    <cfRule type="cellIs" dxfId="122" priority="19" operator="equal">
      <formula>0</formula>
    </cfRule>
  </conditionalFormatting>
  <conditionalFormatting sqref="L329:CO331">
    <cfRule type="cellIs" dxfId="121" priority="16" operator="equal">
      <formula>0</formula>
    </cfRule>
  </conditionalFormatting>
  <conditionalFormatting sqref="I216:I218">
    <cfRule type="cellIs" dxfId="120" priority="12" operator="equal">
      <formula>1</formula>
    </cfRule>
    <cfRule type="cellIs" dxfId="119" priority="13" operator="notEqual">
      <formula>1</formula>
    </cfRule>
  </conditionalFormatting>
  <conditionalFormatting sqref="I240:I242">
    <cfRule type="cellIs" dxfId="118" priority="10" operator="equal">
      <formula>1</formula>
    </cfRule>
    <cfRule type="cellIs" dxfId="117" priority="11" operator="notEqual">
      <formula>1</formula>
    </cfRule>
  </conditionalFormatting>
  <conditionalFormatting sqref="I296:I301">
    <cfRule type="cellIs" dxfId="116" priority="8" operator="equal">
      <formula>1</formula>
    </cfRule>
    <cfRule type="cellIs" dxfId="115" priority="9" operator="notEqual">
      <formula>1</formula>
    </cfRule>
  </conditionalFormatting>
  <conditionalFormatting sqref="I329:I331">
    <cfRule type="cellIs" dxfId="114" priority="6" operator="equal">
      <formula>1</formula>
    </cfRule>
    <cfRule type="cellIs" dxfId="113" priority="7" operator="notEqual">
      <formula>1</formula>
    </cfRule>
  </conditionalFormatting>
  <conditionalFormatting sqref="I355:I357">
    <cfRule type="cellIs" dxfId="112" priority="4" operator="equal">
      <formula>1</formula>
    </cfRule>
    <cfRule type="cellIs" dxfId="111" priority="5" operator="notEqual">
      <formula>1</formula>
    </cfRule>
  </conditionalFormatting>
  <conditionalFormatting sqref="L355:CO357">
    <cfRule type="cellIs" dxfId="110" priority="3" operator="equal">
      <formula>0</formula>
    </cfRule>
  </conditionalFormatting>
  <conditionalFormatting sqref="L56:CO56">
    <cfRule type="notContainsBlanks" dxfId="109" priority="211">
      <formula>LEN(TRIM(L56))&gt;0</formula>
    </cfRule>
  </conditionalFormatting>
  <dataValidations count="9">
    <dataValidation type="list" allowBlank="1" showInputMessage="1" showErrorMessage="1" prompt="1 - Базовый МЭР_x000a_2 - Консервативный МЭР_x000a_3 - Без индексации" sqref="E58:E59" xr:uid="{00000000-0002-0000-0300-000000000000}">
      <formula1>"1,2,3"</formula1>
    </dataValidation>
    <dataValidation type="list" allowBlank="1" showInputMessage="1" showErrorMessage="1" sqref="E24 E216:E218 E329:E331 E240:E242 E296:E301 E355:E357 E22 E184:E186" xr:uid="{00000000-0002-0000-0300-000001000000}">
      <formula1>Beginning_of_period</formula1>
    </dataValidation>
    <dataValidation type="list" allowBlank="1" showInputMessage="1" showErrorMessage="1" sqref="E156 G216:G218 G329:G331 G240:G242 G296:G301 E23 G355:G357 G184:G186" xr:uid="{00000000-0002-0000-0300-000002000000}">
      <formula1>End_of_period</formula1>
    </dataValidation>
    <dataValidation type="list" allowBlank="1" showInputMessage="1" showErrorMessage="1" sqref="E565:E567 E524 E593" xr:uid="{00000000-0002-0000-0300-000003000000}">
      <formula1>"да,нет"</formula1>
    </dataValidation>
    <dataValidation type="list" allowBlank="1" showInputMessage="1" showErrorMessage="1" promptTitle="Выбор метода расчета" prompt="1 - расчет через поток фактических взносов и выплат акционерам (с учетом распределения чистой прибыли)_x000a_2 - традиционный расчет OCF + ICF + Debt (весь доступный денежный поток без учета суммы чистой прибыли, доступной для распределения)" sqref="E590" xr:uid="{00000000-0002-0000-0300-000004000000}">
      <formula1>"1,2"</formula1>
    </dataValidation>
    <dataValidation type="list" allowBlank="1" showInputMessage="1" showErrorMessage="1" prompt="Дата должна быть выровнена на начало квартала" sqref="E552" xr:uid="{00000000-0002-0000-0300-000005000000}">
      <formula1>Beginning_of_period</formula1>
    </dataValidation>
    <dataValidation type="list" allowBlank="1" showInputMessage="1" showErrorMessage="1" sqref="E25" xr:uid="{00000000-0002-0000-0300-000006000000}">
      <formula1>"End_of_period"</formula1>
    </dataValidation>
    <dataValidation type="list" allowBlank="1" showInputMessage="1" showErrorMessage="1" prompt="1 - Базовый_x000a_2 - Консервативный" sqref="E60" xr:uid="{00000000-0002-0000-0300-000007000000}">
      <formula1>"1,2"</formula1>
    </dataValidation>
    <dataValidation type="list" allowBlank="1" showInputMessage="1" showErrorMessage="1" sqref="E614" xr:uid="{73156445-5067-415F-A4A7-97075E5D9F14}">
      <formula1>"Возмещается, Накапливается"</formula1>
    </dataValidation>
  </dataValidations>
  <hyperlinks>
    <hyperlink ref="H587" r:id="rId1" xr:uid="{00000000-0004-0000-0300-000000000000}"/>
    <hyperlink ref="H581" r:id="rId2" xr:uid="{00000000-0004-0000-0300-000001000000}"/>
    <hyperlink ref="H582" r:id="rId3" xr:uid="{00000000-0004-0000-0300-000002000000}"/>
    <hyperlink ref="H584" r:id="rId4" xr:uid="{00000000-0004-0000-0300-000003000000}"/>
    <hyperlink ref="H588" r:id="rId5" xr:uid="{00000000-0004-0000-0300-000004000000}"/>
  </hyperlinks>
  <pageMargins left="0.7" right="0.7" top="0.75" bottom="0.75" header="0.3" footer="0.3"/>
  <pageSetup paperSize="9" scale="10" orientation="landscape" r:id="rId6"/>
  <drawing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1" id="{7734192F-B9D4-4988-A66A-E21039F3BB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E539:E541</xm:sqref>
        </x14:conditionalFormatting>
        <x14:conditionalFormatting xmlns:xm="http://schemas.microsoft.com/office/excel/2006/main">
          <x14:cfRule type="iconSet" priority="197" id="{2C4D2133-B68E-4257-B371-BC3A0E5798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E545:E547</xm:sqref>
        </x14:conditionalFormatting>
        <x14:conditionalFormatting xmlns:xm="http://schemas.microsoft.com/office/excel/2006/main">
          <x14:cfRule type="iconSet" priority="1" id="{E9F068AF-B014-4835-81B5-FC57107B8BC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E616:E617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5"/>
  </sheetPr>
  <dimension ref="A1:EA2400"/>
  <sheetViews>
    <sheetView showGridLines="0" view="pageBreakPreview" zoomScale="70" zoomScaleNormal="60" zoomScaleSheetLayoutView="70" workbookViewId="0">
      <pane xSplit="10" ySplit="9" topLeftCell="M607" activePane="bottomRight" state="frozen"/>
      <selection pane="topRight" activeCell="K1" sqref="K1"/>
      <selection pane="bottomLeft" activeCell="A10" sqref="A10"/>
      <selection pane="bottomRight" activeCell="C617" sqref="C617"/>
    </sheetView>
  </sheetViews>
  <sheetFormatPr defaultColWidth="0" defaultRowHeight="15" zeroHeight="1"/>
  <cols>
    <col min="1" max="2" width="1.7109375" customWidth="1"/>
    <col min="3" max="3" width="80.28515625" customWidth="1"/>
    <col min="4" max="4" width="1.7109375" customWidth="1"/>
    <col min="5" max="5" width="12.42578125" style="133" customWidth="1"/>
    <col min="6" max="6" width="13.7109375" customWidth="1"/>
    <col min="7" max="7" width="20.42578125" style="207" customWidth="1"/>
    <col min="8" max="8" width="1.7109375" customWidth="1"/>
    <col min="9" max="9" width="14" customWidth="1"/>
    <col min="10" max="11" width="1.7109375" customWidth="1"/>
    <col min="12" max="93" width="12.7109375" customWidth="1"/>
    <col min="94" max="94" width="1.28515625" customWidth="1"/>
    <col min="95" max="16384" width="1.28515625" hidden="1"/>
  </cols>
  <sheetData>
    <row r="1" spans="1:93">
      <c r="A1" s="3"/>
      <c r="B1" s="3"/>
      <c r="C1" s="47"/>
      <c r="D1" s="3"/>
      <c r="E1" s="47"/>
      <c r="F1" s="3"/>
      <c r="G1" s="179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180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3"/>
      <c r="B3" s="3"/>
      <c r="C3" s="47"/>
      <c r="D3" s="3"/>
      <c r="E3" s="183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3"/>
      <c r="B4" s="7"/>
      <c r="C4" s="99" t="s">
        <v>583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3"/>
      <c r="B5" s="3"/>
      <c r="C5" s="47"/>
      <c r="D5" s="3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6"/>
      <c r="E6" s="6" t="s">
        <v>22</v>
      </c>
      <c r="F6" s="6"/>
      <c r="G6" s="6" t="s">
        <v>23</v>
      </c>
      <c r="H6" s="6"/>
      <c r="I6" s="6" t="s">
        <v>20</v>
      </c>
      <c r="J6" s="5"/>
      <c r="K6" s="5"/>
      <c r="L6" s="6">
        <f t="shared" ref="L6:BW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ref="BX6:CO6" si="1">YEAR(BX7)</f>
        <v>2041</v>
      </c>
      <c r="BY6" s="6">
        <f t="shared" si="1"/>
        <v>2041</v>
      </c>
      <c r="BZ6" s="6">
        <f t="shared" si="1"/>
        <v>2041</v>
      </c>
      <c r="CA6" s="6">
        <f t="shared" si="1"/>
        <v>2041</v>
      </c>
      <c r="CB6" s="6">
        <f t="shared" si="1"/>
        <v>2042</v>
      </c>
      <c r="CC6" s="6">
        <f t="shared" si="1"/>
        <v>2042</v>
      </c>
      <c r="CD6" s="6">
        <f t="shared" si="1"/>
        <v>2042</v>
      </c>
      <c r="CE6" s="6">
        <f t="shared" si="1"/>
        <v>2042</v>
      </c>
      <c r="CF6" s="6">
        <f t="shared" si="1"/>
        <v>2043</v>
      </c>
      <c r="CG6" s="6">
        <f t="shared" si="1"/>
        <v>2043</v>
      </c>
      <c r="CH6" s="6">
        <f t="shared" si="1"/>
        <v>2043</v>
      </c>
      <c r="CI6" s="6">
        <f t="shared" si="1"/>
        <v>2043</v>
      </c>
      <c r="CJ6" s="6">
        <f t="shared" si="1"/>
        <v>2044</v>
      </c>
      <c r="CK6" s="6">
        <f t="shared" si="1"/>
        <v>2044</v>
      </c>
      <c r="CL6" s="6">
        <f t="shared" si="1"/>
        <v>2044</v>
      </c>
      <c r="CM6" s="6">
        <f t="shared" si="1"/>
        <v>2044</v>
      </c>
      <c r="CN6" s="6">
        <f t="shared" si="1"/>
        <v>2045</v>
      </c>
      <c r="CO6" s="6">
        <f t="shared" si="1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BW7" si="2">Beginning_of_period</f>
        <v>45658</v>
      </c>
      <c r="M7" s="113">
        <f t="shared" si="2"/>
        <v>45748</v>
      </c>
      <c r="N7" s="113">
        <f t="shared" si="2"/>
        <v>45839</v>
      </c>
      <c r="O7" s="113">
        <f t="shared" si="2"/>
        <v>45931</v>
      </c>
      <c r="P7" s="113">
        <f t="shared" si="2"/>
        <v>46023</v>
      </c>
      <c r="Q7" s="113">
        <f t="shared" si="2"/>
        <v>46113</v>
      </c>
      <c r="R7" s="113">
        <f t="shared" si="2"/>
        <v>46204</v>
      </c>
      <c r="S7" s="113">
        <f t="shared" si="2"/>
        <v>46296</v>
      </c>
      <c r="T7" s="113">
        <f t="shared" si="2"/>
        <v>46388</v>
      </c>
      <c r="U7" s="113">
        <f t="shared" si="2"/>
        <v>46478</v>
      </c>
      <c r="V7" s="113">
        <f t="shared" si="2"/>
        <v>46569</v>
      </c>
      <c r="W7" s="113">
        <f t="shared" si="2"/>
        <v>46661</v>
      </c>
      <c r="X7" s="113">
        <f t="shared" si="2"/>
        <v>46753</v>
      </c>
      <c r="Y7" s="113">
        <f t="shared" si="2"/>
        <v>46844</v>
      </c>
      <c r="Z7" s="113">
        <f t="shared" si="2"/>
        <v>46935</v>
      </c>
      <c r="AA7" s="113">
        <f t="shared" si="2"/>
        <v>47027</v>
      </c>
      <c r="AB7" s="113">
        <f t="shared" si="2"/>
        <v>47119</v>
      </c>
      <c r="AC7" s="113">
        <f t="shared" si="2"/>
        <v>47209</v>
      </c>
      <c r="AD7" s="113">
        <f t="shared" si="2"/>
        <v>47300</v>
      </c>
      <c r="AE7" s="113">
        <f t="shared" si="2"/>
        <v>47392</v>
      </c>
      <c r="AF7" s="113">
        <f t="shared" si="2"/>
        <v>47484</v>
      </c>
      <c r="AG7" s="113">
        <f t="shared" si="2"/>
        <v>47574</v>
      </c>
      <c r="AH7" s="113">
        <f t="shared" si="2"/>
        <v>47665</v>
      </c>
      <c r="AI7" s="113">
        <f t="shared" si="2"/>
        <v>47757</v>
      </c>
      <c r="AJ7" s="113">
        <f t="shared" si="2"/>
        <v>47849</v>
      </c>
      <c r="AK7" s="113">
        <f t="shared" si="2"/>
        <v>47939</v>
      </c>
      <c r="AL7" s="113">
        <f t="shared" si="2"/>
        <v>48030</v>
      </c>
      <c r="AM7" s="113">
        <f t="shared" si="2"/>
        <v>48122</v>
      </c>
      <c r="AN7" s="113">
        <f t="shared" si="2"/>
        <v>48214</v>
      </c>
      <c r="AO7" s="113">
        <f t="shared" si="2"/>
        <v>48305</v>
      </c>
      <c r="AP7" s="113">
        <f t="shared" si="2"/>
        <v>48396</v>
      </c>
      <c r="AQ7" s="113">
        <f t="shared" si="2"/>
        <v>48488</v>
      </c>
      <c r="AR7" s="113">
        <f t="shared" si="2"/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ref="BX7:CO7" si="3">Beginning_of_period</f>
        <v>51502</v>
      </c>
      <c r="BY7" s="113">
        <f t="shared" si="3"/>
        <v>51592</v>
      </c>
      <c r="BZ7" s="113">
        <f t="shared" si="3"/>
        <v>51683</v>
      </c>
      <c r="CA7" s="113">
        <f t="shared" si="3"/>
        <v>51775</v>
      </c>
      <c r="CB7" s="113">
        <f t="shared" si="3"/>
        <v>51867</v>
      </c>
      <c r="CC7" s="113">
        <f t="shared" si="3"/>
        <v>51957</v>
      </c>
      <c r="CD7" s="113">
        <f t="shared" si="3"/>
        <v>52048</v>
      </c>
      <c r="CE7" s="113">
        <f t="shared" si="3"/>
        <v>52140</v>
      </c>
      <c r="CF7" s="113">
        <f t="shared" si="3"/>
        <v>52232</v>
      </c>
      <c r="CG7" s="113">
        <f t="shared" si="3"/>
        <v>52322</v>
      </c>
      <c r="CH7" s="113">
        <f t="shared" si="3"/>
        <v>52413</v>
      </c>
      <c r="CI7" s="113">
        <f t="shared" si="3"/>
        <v>52505</v>
      </c>
      <c r="CJ7" s="113">
        <f t="shared" si="3"/>
        <v>52597</v>
      </c>
      <c r="CK7" s="113">
        <f t="shared" si="3"/>
        <v>52688</v>
      </c>
      <c r="CL7" s="113">
        <f t="shared" si="3"/>
        <v>52779</v>
      </c>
      <c r="CM7" s="113">
        <f t="shared" si="3"/>
        <v>52871</v>
      </c>
      <c r="CN7" s="113">
        <f t="shared" si="3"/>
        <v>52963</v>
      </c>
      <c r="CO7" s="113">
        <f t="shared" si="3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BW8" si="4">End_of_period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ref="BX8:CO8" si="5">End_of_period</f>
        <v>51591</v>
      </c>
      <c r="BY8" s="113">
        <f t="shared" si="5"/>
        <v>51682</v>
      </c>
      <c r="BZ8" s="113">
        <f t="shared" si="5"/>
        <v>51774</v>
      </c>
      <c r="CA8" s="113">
        <f t="shared" si="5"/>
        <v>51866</v>
      </c>
      <c r="CB8" s="113">
        <f t="shared" si="5"/>
        <v>51956</v>
      </c>
      <c r="CC8" s="113">
        <f t="shared" si="5"/>
        <v>52047</v>
      </c>
      <c r="CD8" s="113">
        <f t="shared" si="5"/>
        <v>52139</v>
      </c>
      <c r="CE8" s="113">
        <f t="shared" si="5"/>
        <v>52231</v>
      </c>
      <c r="CF8" s="113">
        <f t="shared" si="5"/>
        <v>52321</v>
      </c>
      <c r="CG8" s="113">
        <f t="shared" si="5"/>
        <v>52412</v>
      </c>
      <c r="CH8" s="113">
        <f t="shared" si="5"/>
        <v>52504</v>
      </c>
      <c r="CI8" s="113">
        <f t="shared" si="5"/>
        <v>52596</v>
      </c>
      <c r="CJ8" s="113">
        <f t="shared" si="5"/>
        <v>52687</v>
      </c>
      <c r="CK8" s="113">
        <f t="shared" si="5"/>
        <v>52778</v>
      </c>
      <c r="CL8" s="113">
        <f t="shared" si="5"/>
        <v>52870</v>
      </c>
      <c r="CM8" s="113">
        <f t="shared" si="5"/>
        <v>52962</v>
      </c>
      <c r="CN8" s="113">
        <f t="shared" si="5"/>
        <v>53052</v>
      </c>
      <c r="CO8" s="113">
        <f t="shared" si="5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6">IF(Flag_Construction,1,2)*Flag_Financial_Model</f>
        <v>1</v>
      </c>
      <c r="M9" s="152">
        <f t="shared" si="6"/>
        <v>1</v>
      </c>
      <c r="N9" s="152">
        <f t="shared" si="6"/>
        <v>1</v>
      </c>
      <c r="O9" s="152">
        <f t="shared" si="6"/>
        <v>1</v>
      </c>
      <c r="P9" s="152">
        <f t="shared" si="6"/>
        <v>1</v>
      </c>
      <c r="Q9" s="152">
        <f t="shared" si="6"/>
        <v>1</v>
      </c>
      <c r="R9" s="152">
        <f t="shared" si="6"/>
        <v>1</v>
      </c>
      <c r="S9" s="152">
        <f t="shared" si="6"/>
        <v>1</v>
      </c>
      <c r="T9" s="152">
        <f t="shared" si="6"/>
        <v>1</v>
      </c>
      <c r="U9" s="152">
        <f t="shared" si="6"/>
        <v>1</v>
      </c>
      <c r="V9" s="152">
        <f t="shared" si="6"/>
        <v>1</v>
      </c>
      <c r="W9" s="152">
        <f t="shared" si="6"/>
        <v>1</v>
      </c>
      <c r="X9" s="152">
        <f t="shared" si="6"/>
        <v>1</v>
      </c>
      <c r="Y9" s="152">
        <f t="shared" si="6"/>
        <v>1</v>
      </c>
      <c r="Z9" s="152">
        <f t="shared" si="6"/>
        <v>1</v>
      </c>
      <c r="AA9" s="152">
        <f t="shared" si="6"/>
        <v>1</v>
      </c>
      <c r="AB9" s="152">
        <f t="shared" si="6"/>
        <v>1</v>
      </c>
      <c r="AC9" s="152">
        <f t="shared" si="6"/>
        <v>2</v>
      </c>
      <c r="AD9" s="152">
        <f t="shared" si="6"/>
        <v>2</v>
      </c>
      <c r="AE9" s="152">
        <f t="shared" si="6"/>
        <v>2</v>
      </c>
      <c r="AF9" s="152">
        <f t="shared" si="6"/>
        <v>2</v>
      </c>
      <c r="AG9" s="152">
        <f t="shared" si="6"/>
        <v>2</v>
      </c>
      <c r="AH9" s="152">
        <f t="shared" si="6"/>
        <v>2</v>
      </c>
      <c r="AI9" s="152">
        <f t="shared" si="6"/>
        <v>2</v>
      </c>
      <c r="AJ9" s="152">
        <f t="shared" si="6"/>
        <v>2</v>
      </c>
      <c r="AK9" s="152">
        <f t="shared" si="6"/>
        <v>2</v>
      </c>
      <c r="AL9" s="152">
        <f t="shared" si="6"/>
        <v>2</v>
      </c>
      <c r="AM9" s="152">
        <f t="shared" si="6"/>
        <v>2</v>
      </c>
      <c r="AN9" s="152">
        <f t="shared" si="6"/>
        <v>2</v>
      </c>
      <c r="AO9" s="152">
        <f t="shared" si="6"/>
        <v>2</v>
      </c>
      <c r="AP9" s="152">
        <f t="shared" si="6"/>
        <v>2</v>
      </c>
      <c r="AQ9" s="152">
        <f t="shared" si="6"/>
        <v>2</v>
      </c>
      <c r="AR9" s="152">
        <f t="shared" si="6"/>
        <v>2</v>
      </c>
      <c r="AS9" s="152">
        <f t="shared" si="6"/>
        <v>2</v>
      </c>
      <c r="AT9" s="152">
        <f t="shared" si="6"/>
        <v>2</v>
      </c>
      <c r="AU9" s="152">
        <f t="shared" si="6"/>
        <v>2</v>
      </c>
      <c r="AV9" s="152">
        <f t="shared" si="6"/>
        <v>2</v>
      </c>
      <c r="AW9" s="152">
        <f t="shared" si="6"/>
        <v>2</v>
      </c>
      <c r="AX9" s="152">
        <f t="shared" si="6"/>
        <v>2</v>
      </c>
      <c r="AY9" s="152">
        <f t="shared" si="6"/>
        <v>2</v>
      </c>
      <c r="AZ9" s="152">
        <f t="shared" si="6"/>
        <v>2</v>
      </c>
      <c r="BA9" s="152">
        <f t="shared" si="6"/>
        <v>2</v>
      </c>
      <c r="BB9" s="152">
        <f t="shared" si="6"/>
        <v>2</v>
      </c>
      <c r="BC9" s="152">
        <f t="shared" si="6"/>
        <v>2</v>
      </c>
      <c r="BD9" s="152">
        <f t="shared" si="6"/>
        <v>2</v>
      </c>
      <c r="BE9" s="152">
        <f t="shared" si="6"/>
        <v>2</v>
      </c>
      <c r="BF9" s="152">
        <f t="shared" si="6"/>
        <v>2</v>
      </c>
      <c r="BG9" s="152">
        <f t="shared" si="6"/>
        <v>2</v>
      </c>
      <c r="BH9" s="152">
        <f t="shared" si="6"/>
        <v>2</v>
      </c>
      <c r="BI9" s="152">
        <f t="shared" si="6"/>
        <v>2</v>
      </c>
      <c r="BJ9" s="152">
        <f t="shared" si="6"/>
        <v>2</v>
      </c>
      <c r="BK9" s="152">
        <f t="shared" si="6"/>
        <v>2</v>
      </c>
      <c r="BL9" s="152">
        <f t="shared" si="6"/>
        <v>2</v>
      </c>
      <c r="BM9" s="152">
        <f t="shared" si="6"/>
        <v>2</v>
      </c>
      <c r="BN9" s="152">
        <f t="shared" si="6"/>
        <v>2</v>
      </c>
      <c r="BO9" s="152">
        <f t="shared" si="6"/>
        <v>2</v>
      </c>
      <c r="BP9" s="152">
        <f t="shared" si="6"/>
        <v>2</v>
      </c>
      <c r="BQ9" s="152">
        <f t="shared" si="6"/>
        <v>2</v>
      </c>
      <c r="BR9" s="152">
        <f t="shared" si="6"/>
        <v>2</v>
      </c>
      <c r="BS9" s="152">
        <f t="shared" si="6"/>
        <v>2</v>
      </c>
      <c r="BT9" s="152">
        <f t="shared" si="6"/>
        <v>2</v>
      </c>
      <c r="BU9" s="152">
        <f t="shared" si="6"/>
        <v>2</v>
      </c>
      <c r="BV9" s="152">
        <f t="shared" si="6"/>
        <v>2</v>
      </c>
      <c r="BW9" s="152">
        <f t="shared" si="6"/>
        <v>2</v>
      </c>
      <c r="BX9" s="152">
        <f t="shared" ref="BX9:CO9" si="7">IF(Flag_Construction,1,2)*Flag_Financial_Model</f>
        <v>2</v>
      </c>
      <c r="BY9" s="152">
        <f t="shared" si="7"/>
        <v>2</v>
      </c>
      <c r="BZ9" s="152">
        <f t="shared" si="7"/>
        <v>2</v>
      </c>
      <c r="CA9" s="152">
        <f t="shared" si="7"/>
        <v>2</v>
      </c>
      <c r="CB9" s="152">
        <f t="shared" si="7"/>
        <v>2</v>
      </c>
      <c r="CC9" s="152">
        <f t="shared" si="7"/>
        <v>2</v>
      </c>
      <c r="CD9" s="152">
        <f t="shared" si="7"/>
        <v>2</v>
      </c>
      <c r="CE9" s="152">
        <f t="shared" si="7"/>
        <v>2</v>
      </c>
      <c r="CF9" s="152">
        <f t="shared" si="7"/>
        <v>2</v>
      </c>
      <c r="CG9" s="152">
        <f t="shared" si="7"/>
        <v>2</v>
      </c>
      <c r="CH9" s="152">
        <f t="shared" si="7"/>
        <v>2</v>
      </c>
      <c r="CI9" s="152">
        <f t="shared" si="7"/>
        <v>2</v>
      </c>
      <c r="CJ9" s="152">
        <f t="shared" si="7"/>
        <v>2</v>
      </c>
      <c r="CK9" s="152">
        <f t="shared" si="7"/>
        <v>2</v>
      </c>
      <c r="CL9" s="152">
        <f t="shared" si="7"/>
        <v>2</v>
      </c>
      <c r="CM9" s="152">
        <f t="shared" si="7"/>
        <v>2</v>
      </c>
      <c r="CN9" s="152">
        <f t="shared" si="7"/>
        <v>2</v>
      </c>
      <c r="CO9" s="152">
        <f t="shared" si="7"/>
        <v>2</v>
      </c>
    </row>
    <row r="10" spans="1:93" ht="15" customHeight="1">
      <c r="A10" s="77"/>
      <c r="B10" s="3"/>
      <c r="C10" s="47"/>
      <c r="D10" s="3"/>
      <c r="E10" s="47"/>
      <c r="F10" s="3"/>
      <c r="G10" s="179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77"/>
      <c r="B11" s="5" t="s">
        <v>379</v>
      </c>
      <c r="C11" s="5"/>
      <c r="D11" s="15"/>
      <c r="E11" s="15"/>
      <c r="F11" s="31"/>
      <c r="G11" s="18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>
      <c r="A12" s="77"/>
      <c r="B12" s="10"/>
      <c r="C12" s="10"/>
      <c r="D12" s="10"/>
      <c r="E12" s="62"/>
      <c r="F12" s="11"/>
      <c r="G12" s="11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ht="16.5" thickBot="1">
      <c r="A13" s="77"/>
      <c r="B13" s="10"/>
      <c r="C13" s="12" t="s">
        <v>44</v>
      </c>
      <c r="D13" s="12"/>
      <c r="E13" s="12"/>
      <c r="F13" s="12"/>
      <c r="G13" s="360"/>
      <c r="H13" s="12"/>
      <c r="I13" s="12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>
      <c r="A14" s="77"/>
      <c r="B14" s="10"/>
      <c r="C14" s="17"/>
      <c r="D14" s="10"/>
      <c r="E14" s="10"/>
      <c r="F14" s="10"/>
      <c r="G14" s="11"/>
      <c r="H14" s="10"/>
      <c r="I14" s="10"/>
      <c r="J14" s="10"/>
      <c r="K14" s="10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</row>
    <row r="15" spans="1:93">
      <c r="A15" s="77"/>
      <c r="B15" s="10"/>
      <c r="C15" s="17" t="s">
        <v>372</v>
      </c>
      <c r="D15" s="10"/>
      <c r="E15" s="62"/>
      <c r="F15" s="11"/>
      <c r="G15" s="11" t="s">
        <v>45</v>
      </c>
      <c r="H15" s="10"/>
      <c r="I15" s="10"/>
      <c r="J15" s="10"/>
      <c r="K15" s="10"/>
      <c r="L15" s="145">
        <f t="shared" ref="L15:BW15" si="8">YEAR(L$7)</f>
        <v>2025</v>
      </c>
      <c r="M15" s="145">
        <f t="shared" si="8"/>
        <v>2025</v>
      </c>
      <c r="N15" s="145">
        <f t="shared" si="8"/>
        <v>2025</v>
      </c>
      <c r="O15" s="145">
        <f t="shared" si="8"/>
        <v>2025</v>
      </c>
      <c r="P15" s="145">
        <f t="shared" si="8"/>
        <v>2026</v>
      </c>
      <c r="Q15" s="145">
        <f t="shared" si="8"/>
        <v>2026</v>
      </c>
      <c r="R15" s="145">
        <f t="shared" si="8"/>
        <v>2026</v>
      </c>
      <c r="S15" s="145">
        <f t="shared" si="8"/>
        <v>2026</v>
      </c>
      <c r="T15" s="145">
        <f t="shared" si="8"/>
        <v>2027</v>
      </c>
      <c r="U15" s="145">
        <f t="shared" si="8"/>
        <v>2027</v>
      </c>
      <c r="V15" s="145">
        <f t="shared" si="8"/>
        <v>2027</v>
      </c>
      <c r="W15" s="145">
        <f t="shared" si="8"/>
        <v>2027</v>
      </c>
      <c r="X15" s="145">
        <f t="shared" si="8"/>
        <v>2028</v>
      </c>
      <c r="Y15" s="145">
        <f t="shared" si="8"/>
        <v>2028</v>
      </c>
      <c r="Z15" s="145">
        <f t="shared" si="8"/>
        <v>2028</v>
      </c>
      <c r="AA15" s="145">
        <f t="shared" si="8"/>
        <v>2028</v>
      </c>
      <c r="AB15" s="145">
        <f t="shared" si="8"/>
        <v>2029</v>
      </c>
      <c r="AC15" s="145">
        <f t="shared" si="8"/>
        <v>2029</v>
      </c>
      <c r="AD15" s="145">
        <f t="shared" si="8"/>
        <v>2029</v>
      </c>
      <c r="AE15" s="145">
        <f t="shared" si="8"/>
        <v>2029</v>
      </c>
      <c r="AF15" s="145">
        <f t="shared" si="8"/>
        <v>2030</v>
      </c>
      <c r="AG15" s="145">
        <f t="shared" si="8"/>
        <v>2030</v>
      </c>
      <c r="AH15" s="145">
        <f t="shared" si="8"/>
        <v>2030</v>
      </c>
      <c r="AI15" s="145">
        <f t="shared" si="8"/>
        <v>2030</v>
      </c>
      <c r="AJ15" s="145">
        <f t="shared" si="8"/>
        <v>2031</v>
      </c>
      <c r="AK15" s="145">
        <f t="shared" si="8"/>
        <v>2031</v>
      </c>
      <c r="AL15" s="145">
        <f t="shared" si="8"/>
        <v>2031</v>
      </c>
      <c r="AM15" s="145">
        <f t="shared" si="8"/>
        <v>2031</v>
      </c>
      <c r="AN15" s="145">
        <f t="shared" si="8"/>
        <v>2032</v>
      </c>
      <c r="AO15" s="145">
        <f t="shared" si="8"/>
        <v>2032</v>
      </c>
      <c r="AP15" s="145">
        <f t="shared" si="8"/>
        <v>2032</v>
      </c>
      <c r="AQ15" s="145">
        <f t="shared" si="8"/>
        <v>2032</v>
      </c>
      <c r="AR15" s="145">
        <f t="shared" si="8"/>
        <v>2033</v>
      </c>
      <c r="AS15" s="145">
        <f t="shared" si="8"/>
        <v>2033</v>
      </c>
      <c r="AT15" s="145">
        <f t="shared" si="8"/>
        <v>2033</v>
      </c>
      <c r="AU15" s="145">
        <f t="shared" si="8"/>
        <v>2033</v>
      </c>
      <c r="AV15" s="145">
        <f t="shared" si="8"/>
        <v>2034</v>
      </c>
      <c r="AW15" s="145">
        <f t="shared" si="8"/>
        <v>2034</v>
      </c>
      <c r="AX15" s="145">
        <f t="shared" si="8"/>
        <v>2034</v>
      </c>
      <c r="AY15" s="145">
        <f t="shared" si="8"/>
        <v>2034</v>
      </c>
      <c r="AZ15" s="145">
        <f t="shared" si="8"/>
        <v>2035</v>
      </c>
      <c r="BA15" s="145">
        <f t="shared" si="8"/>
        <v>2035</v>
      </c>
      <c r="BB15" s="145">
        <f t="shared" si="8"/>
        <v>2035</v>
      </c>
      <c r="BC15" s="145">
        <f t="shared" si="8"/>
        <v>2035</v>
      </c>
      <c r="BD15" s="145">
        <f t="shared" si="8"/>
        <v>2036</v>
      </c>
      <c r="BE15" s="145">
        <f t="shared" si="8"/>
        <v>2036</v>
      </c>
      <c r="BF15" s="145">
        <f t="shared" si="8"/>
        <v>2036</v>
      </c>
      <c r="BG15" s="145">
        <f t="shared" si="8"/>
        <v>2036</v>
      </c>
      <c r="BH15" s="145">
        <f t="shared" si="8"/>
        <v>2037</v>
      </c>
      <c r="BI15" s="145">
        <f t="shared" si="8"/>
        <v>2037</v>
      </c>
      <c r="BJ15" s="145">
        <f t="shared" si="8"/>
        <v>2037</v>
      </c>
      <c r="BK15" s="145">
        <f t="shared" si="8"/>
        <v>2037</v>
      </c>
      <c r="BL15" s="145">
        <f t="shared" si="8"/>
        <v>2038</v>
      </c>
      <c r="BM15" s="145">
        <f t="shared" si="8"/>
        <v>2038</v>
      </c>
      <c r="BN15" s="145">
        <f t="shared" si="8"/>
        <v>2038</v>
      </c>
      <c r="BO15" s="145">
        <f t="shared" si="8"/>
        <v>2038</v>
      </c>
      <c r="BP15" s="145">
        <f t="shared" si="8"/>
        <v>2039</v>
      </c>
      <c r="BQ15" s="145">
        <f t="shared" si="8"/>
        <v>2039</v>
      </c>
      <c r="BR15" s="145">
        <f t="shared" si="8"/>
        <v>2039</v>
      </c>
      <c r="BS15" s="145">
        <f t="shared" si="8"/>
        <v>2039</v>
      </c>
      <c r="BT15" s="145">
        <f t="shared" si="8"/>
        <v>2040</v>
      </c>
      <c r="BU15" s="145">
        <f t="shared" si="8"/>
        <v>2040</v>
      </c>
      <c r="BV15" s="145">
        <f t="shared" si="8"/>
        <v>2040</v>
      </c>
      <c r="BW15" s="145">
        <f t="shared" si="8"/>
        <v>2040</v>
      </c>
      <c r="BX15" s="145">
        <f t="shared" ref="BX15:CO15" si="9">YEAR(BX$7)</f>
        <v>2041</v>
      </c>
      <c r="BY15" s="145">
        <f t="shared" si="9"/>
        <v>2041</v>
      </c>
      <c r="BZ15" s="145">
        <f t="shared" si="9"/>
        <v>2041</v>
      </c>
      <c r="CA15" s="145">
        <f t="shared" si="9"/>
        <v>2041</v>
      </c>
      <c r="CB15" s="145">
        <f t="shared" si="9"/>
        <v>2042</v>
      </c>
      <c r="CC15" s="145">
        <f t="shared" si="9"/>
        <v>2042</v>
      </c>
      <c r="CD15" s="145">
        <f t="shared" si="9"/>
        <v>2042</v>
      </c>
      <c r="CE15" s="145">
        <f t="shared" si="9"/>
        <v>2042</v>
      </c>
      <c r="CF15" s="145">
        <f t="shared" si="9"/>
        <v>2043</v>
      </c>
      <c r="CG15" s="145">
        <f t="shared" si="9"/>
        <v>2043</v>
      </c>
      <c r="CH15" s="145">
        <f t="shared" si="9"/>
        <v>2043</v>
      </c>
      <c r="CI15" s="145">
        <f t="shared" si="9"/>
        <v>2043</v>
      </c>
      <c r="CJ15" s="145">
        <f t="shared" si="9"/>
        <v>2044</v>
      </c>
      <c r="CK15" s="145">
        <f t="shared" si="9"/>
        <v>2044</v>
      </c>
      <c r="CL15" s="145">
        <f t="shared" si="9"/>
        <v>2044</v>
      </c>
      <c r="CM15" s="145">
        <f t="shared" si="9"/>
        <v>2044</v>
      </c>
      <c r="CN15" s="145">
        <f t="shared" si="9"/>
        <v>2045</v>
      </c>
      <c r="CO15" s="145">
        <f t="shared" si="9"/>
        <v>2045</v>
      </c>
    </row>
    <row r="16" spans="1:93">
      <c r="A16" s="77"/>
      <c r="B16" s="10"/>
      <c r="C16" s="17" t="s">
        <v>1201</v>
      </c>
      <c r="D16" s="10"/>
      <c r="E16" s="62"/>
      <c r="F16" s="11"/>
      <c r="G16" s="11" t="str">
        <f>MIN(L16:CO16) &amp; ".." &amp; MAX(L16:CO16)</f>
        <v>1..4</v>
      </c>
      <c r="H16" s="10"/>
      <c r="I16" s="10"/>
      <c r="J16" s="10"/>
      <c r="K16" s="10"/>
      <c r="L16" s="145">
        <f t="shared" ref="L16:AQ16" si="10">MONTH(End_of_period)/3</f>
        <v>1</v>
      </c>
      <c r="M16" s="145">
        <f t="shared" si="10"/>
        <v>2</v>
      </c>
      <c r="N16" s="145">
        <f t="shared" si="10"/>
        <v>3</v>
      </c>
      <c r="O16" s="145">
        <f t="shared" si="10"/>
        <v>4</v>
      </c>
      <c r="P16" s="145">
        <f t="shared" si="10"/>
        <v>1</v>
      </c>
      <c r="Q16" s="145">
        <f t="shared" si="10"/>
        <v>2</v>
      </c>
      <c r="R16" s="145">
        <f t="shared" si="10"/>
        <v>3</v>
      </c>
      <c r="S16" s="145">
        <f t="shared" si="10"/>
        <v>4</v>
      </c>
      <c r="T16" s="145">
        <f t="shared" si="10"/>
        <v>1</v>
      </c>
      <c r="U16" s="145">
        <f t="shared" si="10"/>
        <v>2</v>
      </c>
      <c r="V16" s="145">
        <f t="shared" si="10"/>
        <v>3</v>
      </c>
      <c r="W16" s="145">
        <f t="shared" si="10"/>
        <v>4</v>
      </c>
      <c r="X16" s="145">
        <f t="shared" si="10"/>
        <v>1</v>
      </c>
      <c r="Y16" s="145">
        <f t="shared" si="10"/>
        <v>2</v>
      </c>
      <c r="Z16" s="145">
        <f t="shared" si="10"/>
        <v>3</v>
      </c>
      <c r="AA16" s="145">
        <f t="shared" si="10"/>
        <v>4</v>
      </c>
      <c r="AB16" s="145">
        <f t="shared" si="10"/>
        <v>1</v>
      </c>
      <c r="AC16" s="145">
        <f t="shared" si="10"/>
        <v>2</v>
      </c>
      <c r="AD16" s="145">
        <f t="shared" si="10"/>
        <v>3</v>
      </c>
      <c r="AE16" s="145">
        <f t="shared" si="10"/>
        <v>4</v>
      </c>
      <c r="AF16" s="145">
        <f t="shared" si="10"/>
        <v>1</v>
      </c>
      <c r="AG16" s="145">
        <f t="shared" si="10"/>
        <v>2</v>
      </c>
      <c r="AH16" s="145">
        <f t="shared" si="10"/>
        <v>3</v>
      </c>
      <c r="AI16" s="145">
        <f t="shared" si="10"/>
        <v>4</v>
      </c>
      <c r="AJ16" s="145">
        <f t="shared" si="10"/>
        <v>1</v>
      </c>
      <c r="AK16" s="145">
        <f t="shared" si="10"/>
        <v>2</v>
      </c>
      <c r="AL16" s="145">
        <f t="shared" si="10"/>
        <v>3</v>
      </c>
      <c r="AM16" s="145">
        <f t="shared" si="10"/>
        <v>4</v>
      </c>
      <c r="AN16" s="145">
        <f t="shared" si="10"/>
        <v>1</v>
      </c>
      <c r="AO16" s="145">
        <f t="shared" si="10"/>
        <v>2</v>
      </c>
      <c r="AP16" s="145">
        <f t="shared" si="10"/>
        <v>3</v>
      </c>
      <c r="AQ16" s="145">
        <f t="shared" si="10"/>
        <v>4</v>
      </c>
      <c r="AR16" s="145">
        <f t="shared" ref="AR16:BW16" si="11">MONTH(End_of_period)/3</f>
        <v>1</v>
      </c>
      <c r="AS16" s="145">
        <f t="shared" si="11"/>
        <v>2</v>
      </c>
      <c r="AT16" s="145">
        <f t="shared" si="11"/>
        <v>3</v>
      </c>
      <c r="AU16" s="145">
        <f t="shared" si="11"/>
        <v>4</v>
      </c>
      <c r="AV16" s="145">
        <f t="shared" si="11"/>
        <v>1</v>
      </c>
      <c r="AW16" s="145">
        <f t="shared" si="11"/>
        <v>2</v>
      </c>
      <c r="AX16" s="145">
        <f t="shared" si="11"/>
        <v>3</v>
      </c>
      <c r="AY16" s="145">
        <f t="shared" si="11"/>
        <v>4</v>
      </c>
      <c r="AZ16" s="145">
        <f t="shared" si="11"/>
        <v>1</v>
      </c>
      <c r="BA16" s="145">
        <f t="shared" si="11"/>
        <v>2</v>
      </c>
      <c r="BB16" s="145">
        <f t="shared" si="11"/>
        <v>3</v>
      </c>
      <c r="BC16" s="145">
        <f t="shared" si="11"/>
        <v>4</v>
      </c>
      <c r="BD16" s="145">
        <f t="shared" si="11"/>
        <v>1</v>
      </c>
      <c r="BE16" s="145">
        <f t="shared" si="11"/>
        <v>2</v>
      </c>
      <c r="BF16" s="145">
        <f t="shared" si="11"/>
        <v>3</v>
      </c>
      <c r="BG16" s="145">
        <f t="shared" si="11"/>
        <v>4</v>
      </c>
      <c r="BH16" s="145">
        <f t="shared" si="11"/>
        <v>1</v>
      </c>
      <c r="BI16" s="145">
        <f t="shared" si="11"/>
        <v>2</v>
      </c>
      <c r="BJ16" s="145">
        <f t="shared" si="11"/>
        <v>3</v>
      </c>
      <c r="BK16" s="145">
        <f t="shared" si="11"/>
        <v>4</v>
      </c>
      <c r="BL16" s="145">
        <f t="shared" si="11"/>
        <v>1</v>
      </c>
      <c r="BM16" s="145">
        <f t="shared" si="11"/>
        <v>2</v>
      </c>
      <c r="BN16" s="145">
        <f t="shared" si="11"/>
        <v>3</v>
      </c>
      <c r="BO16" s="145">
        <f t="shared" si="11"/>
        <v>4</v>
      </c>
      <c r="BP16" s="145">
        <f t="shared" si="11"/>
        <v>1</v>
      </c>
      <c r="BQ16" s="145">
        <f t="shared" si="11"/>
        <v>2</v>
      </c>
      <c r="BR16" s="145">
        <f t="shared" si="11"/>
        <v>3</v>
      </c>
      <c r="BS16" s="145">
        <f t="shared" si="11"/>
        <v>4</v>
      </c>
      <c r="BT16" s="145">
        <f t="shared" si="11"/>
        <v>1</v>
      </c>
      <c r="BU16" s="145">
        <f t="shared" si="11"/>
        <v>2</v>
      </c>
      <c r="BV16" s="145">
        <f t="shared" si="11"/>
        <v>3</v>
      </c>
      <c r="BW16" s="145">
        <f t="shared" si="11"/>
        <v>4</v>
      </c>
      <c r="BX16" s="145">
        <f t="shared" ref="BX16:CO16" si="12">MONTH(End_of_period)/3</f>
        <v>1</v>
      </c>
      <c r="BY16" s="145">
        <f t="shared" si="12"/>
        <v>2</v>
      </c>
      <c r="BZ16" s="145">
        <f t="shared" si="12"/>
        <v>3</v>
      </c>
      <c r="CA16" s="145">
        <f t="shared" si="12"/>
        <v>4</v>
      </c>
      <c r="CB16" s="145">
        <f t="shared" si="12"/>
        <v>1</v>
      </c>
      <c r="CC16" s="145">
        <f t="shared" si="12"/>
        <v>2</v>
      </c>
      <c r="CD16" s="145">
        <f t="shared" si="12"/>
        <v>3</v>
      </c>
      <c r="CE16" s="145">
        <f t="shared" si="12"/>
        <v>4</v>
      </c>
      <c r="CF16" s="145">
        <f t="shared" si="12"/>
        <v>1</v>
      </c>
      <c r="CG16" s="145">
        <f t="shared" si="12"/>
        <v>2</v>
      </c>
      <c r="CH16" s="145">
        <f t="shared" si="12"/>
        <v>3</v>
      </c>
      <c r="CI16" s="145">
        <f t="shared" si="12"/>
        <v>4</v>
      </c>
      <c r="CJ16" s="145">
        <f t="shared" si="12"/>
        <v>1</v>
      </c>
      <c r="CK16" s="145">
        <f t="shared" si="12"/>
        <v>2</v>
      </c>
      <c r="CL16" s="145">
        <f t="shared" si="12"/>
        <v>3</v>
      </c>
      <c r="CM16" s="145">
        <f t="shared" si="12"/>
        <v>4</v>
      </c>
      <c r="CN16" s="145">
        <f t="shared" si="12"/>
        <v>1</v>
      </c>
      <c r="CO16" s="145">
        <f t="shared" si="12"/>
        <v>2</v>
      </c>
    </row>
    <row r="17" spans="1:93">
      <c r="A17" s="77"/>
      <c r="B17" s="10"/>
      <c r="C17" s="17" t="s">
        <v>205</v>
      </c>
      <c r="D17" s="10"/>
      <c r="E17" s="62"/>
      <c r="F17" s="11"/>
      <c r="G17" s="11" t="s">
        <v>46</v>
      </c>
      <c r="H17" s="10"/>
      <c r="I17" s="10"/>
      <c r="J17" s="10"/>
      <c r="K17" s="10"/>
      <c r="L17" s="52">
        <f t="shared" ref="L17:BW17" si="13">L$8-L$7+1</f>
        <v>90</v>
      </c>
      <c r="M17" s="52">
        <f t="shared" si="13"/>
        <v>91</v>
      </c>
      <c r="N17" s="52">
        <f t="shared" si="13"/>
        <v>92</v>
      </c>
      <c r="O17" s="52">
        <f t="shared" si="13"/>
        <v>92</v>
      </c>
      <c r="P17" s="52">
        <f t="shared" si="13"/>
        <v>90</v>
      </c>
      <c r="Q17" s="52">
        <f t="shared" si="13"/>
        <v>91</v>
      </c>
      <c r="R17" s="52">
        <f t="shared" si="13"/>
        <v>92</v>
      </c>
      <c r="S17" s="52">
        <f t="shared" si="13"/>
        <v>92</v>
      </c>
      <c r="T17" s="52">
        <f t="shared" si="13"/>
        <v>90</v>
      </c>
      <c r="U17" s="52">
        <f t="shared" si="13"/>
        <v>91</v>
      </c>
      <c r="V17" s="52">
        <f t="shared" si="13"/>
        <v>92</v>
      </c>
      <c r="W17" s="52">
        <f t="shared" si="13"/>
        <v>92</v>
      </c>
      <c r="X17" s="52">
        <f t="shared" si="13"/>
        <v>91</v>
      </c>
      <c r="Y17" s="52">
        <f t="shared" si="13"/>
        <v>91</v>
      </c>
      <c r="Z17" s="52">
        <f t="shared" si="13"/>
        <v>92</v>
      </c>
      <c r="AA17" s="52">
        <f t="shared" si="13"/>
        <v>92</v>
      </c>
      <c r="AB17" s="52">
        <f t="shared" si="13"/>
        <v>90</v>
      </c>
      <c r="AC17" s="52">
        <f t="shared" si="13"/>
        <v>91</v>
      </c>
      <c r="AD17" s="52">
        <f t="shared" si="13"/>
        <v>92</v>
      </c>
      <c r="AE17" s="52">
        <f t="shared" si="13"/>
        <v>92</v>
      </c>
      <c r="AF17" s="52">
        <f t="shared" si="13"/>
        <v>90</v>
      </c>
      <c r="AG17" s="52">
        <f t="shared" si="13"/>
        <v>91</v>
      </c>
      <c r="AH17" s="52">
        <f t="shared" si="13"/>
        <v>92</v>
      </c>
      <c r="AI17" s="52">
        <f t="shared" si="13"/>
        <v>92</v>
      </c>
      <c r="AJ17" s="52">
        <f t="shared" si="13"/>
        <v>90</v>
      </c>
      <c r="AK17" s="52">
        <f t="shared" si="13"/>
        <v>91</v>
      </c>
      <c r="AL17" s="52">
        <f t="shared" si="13"/>
        <v>92</v>
      </c>
      <c r="AM17" s="52">
        <f t="shared" si="13"/>
        <v>92</v>
      </c>
      <c r="AN17" s="52">
        <f t="shared" si="13"/>
        <v>91</v>
      </c>
      <c r="AO17" s="52">
        <f t="shared" si="13"/>
        <v>91</v>
      </c>
      <c r="AP17" s="52">
        <f t="shared" si="13"/>
        <v>92</v>
      </c>
      <c r="AQ17" s="52">
        <f t="shared" si="13"/>
        <v>92</v>
      </c>
      <c r="AR17" s="52">
        <f t="shared" si="13"/>
        <v>90</v>
      </c>
      <c r="AS17" s="52">
        <f t="shared" si="13"/>
        <v>91</v>
      </c>
      <c r="AT17" s="52">
        <f t="shared" si="13"/>
        <v>92</v>
      </c>
      <c r="AU17" s="52">
        <f t="shared" si="13"/>
        <v>92</v>
      </c>
      <c r="AV17" s="52">
        <f t="shared" si="13"/>
        <v>90</v>
      </c>
      <c r="AW17" s="52">
        <f t="shared" si="13"/>
        <v>91</v>
      </c>
      <c r="AX17" s="52">
        <f t="shared" si="13"/>
        <v>92</v>
      </c>
      <c r="AY17" s="52">
        <f t="shared" si="13"/>
        <v>92</v>
      </c>
      <c r="AZ17" s="52">
        <f t="shared" si="13"/>
        <v>90</v>
      </c>
      <c r="BA17" s="52">
        <f t="shared" si="13"/>
        <v>91</v>
      </c>
      <c r="BB17" s="52">
        <f t="shared" si="13"/>
        <v>92</v>
      </c>
      <c r="BC17" s="52">
        <f t="shared" si="13"/>
        <v>92</v>
      </c>
      <c r="BD17" s="52">
        <f t="shared" si="13"/>
        <v>91</v>
      </c>
      <c r="BE17" s="52">
        <f t="shared" si="13"/>
        <v>91</v>
      </c>
      <c r="BF17" s="52">
        <f t="shared" si="13"/>
        <v>92</v>
      </c>
      <c r="BG17" s="52">
        <f t="shared" si="13"/>
        <v>92</v>
      </c>
      <c r="BH17" s="52">
        <f t="shared" si="13"/>
        <v>90</v>
      </c>
      <c r="BI17" s="52">
        <f t="shared" si="13"/>
        <v>91</v>
      </c>
      <c r="BJ17" s="52">
        <f t="shared" si="13"/>
        <v>92</v>
      </c>
      <c r="BK17" s="52">
        <f t="shared" si="13"/>
        <v>92</v>
      </c>
      <c r="BL17" s="52">
        <f t="shared" si="13"/>
        <v>90</v>
      </c>
      <c r="BM17" s="52">
        <f t="shared" si="13"/>
        <v>91</v>
      </c>
      <c r="BN17" s="52">
        <f t="shared" si="13"/>
        <v>92</v>
      </c>
      <c r="BO17" s="52">
        <f t="shared" si="13"/>
        <v>92</v>
      </c>
      <c r="BP17" s="52">
        <f t="shared" si="13"/>
        <v>90</v>
      </c>
      <c r="BQ17" s="52">
        <f t="shared" si="13"/>
        <v>91</v>
      </c>
      <c r="BR17" s="52">
        <f t="shared" si="13"/>
        <v>92</v>
      </c>
      <c r="BS17" s="52">
        <f t="shared" si="13"/>
        <v>92</v>
      </c>
      <c r="BT17" s="52">
        <f t="shared" si="13"/>
        <v>91</v>
      </c>
      <c r="BU17" s="52">
        <f t="shared" si="13"/>
        <v>91</v>
      </c>
      <c r="BV17" s="52">
        <f t="shared" si="13"/>
        <v>92</v>
      </c>
      <c r="BW17" s="52">
        <f t="shared" si="13"/>
        <v>92</v>
      </c>
      <c r="BX17" s="52">
        <f t="shared" ref="BX17:CO17" si="14">BX$8-BX$7+1</f>
        <v>90</v>
      </c>
      <c r="BY17" s="52">
        <f t="shared" si="14"/>
        <v>91</v>
      </c>
      <c r="BZ17" s="52">
        <f t="shared" si="14"/>
        <v>92</v>
      </c>
      <c r="CA17" s="52">
        <f t="shared" si="14"/>
        <v>92</v>
      </c>
      <c r="CB17" s="52">
        <f t="shared" si="14"/>
        <v>90</v>
      </c>
      <c r="CC17" s="52">
        <f t="shared" si="14"/>
        <v>91</v>
      </c>
      <c r="CD17" s="52">
        <f t="shared" si="14"/>
        <v>92</v>
      </c>
      <c r="CE17" s="52">
        <f t="shared" si="14"/>
        <v>92</v>
      </c>
      <c r="CF17" s="52">
        <f t="shared" si="14"/>
        <v>90</v>
      </c>
      <c r="CG17" s="52">
        <f t="shared" si="14"/>
        <v>91</v>
      </c>
      <c r="CH17" s="52">
        <f t="shared" si="14"/>
        <v>92</v>
      </c>
      <c r="CI17" s="52">
        <f t="shared" si="14"/>
        <v>92</v>
      </c>
      <c r="CJ17" s="52">
        <f t="shared" si="14"/>
        <v>91</v>
      </c>
      <c r="CK17" s="52">
        <f t="shared" si="14"/>
        <v>91</v>
      </c>
      <c r="CL17" s="52">
        <f t="shared" si="14"/>
        <v>92</v>
      </c>
      <c r="CM17" s="52">
        <f t="shared" si="14"/>
        <v>92</v>
      </c>
      <c r="CN17" s="52">
        <f t="shared" si="14"/>
        <v>90</v>
      </c>
      <c r="CO17" s="52">
        <f t="shared" si="14"/>
        <v>91</v>
      </c>
    </row>
    <row r="18" spans="1:93">
      <c r="A18" s="77"/>
      <c r="B18" s="10"/>
      <c r="C18" s="17" t="s">
        <v>373</v>
      </c>
      <c r="D18" s="10"/>
      <c r="E18" s="62"/>
      <c r="F18" s="11"/>
      <c r="G18" s="11" t="s">
        <v>46</v>
      </c>
      <c r="H18" s="10"/>
      <c r="I18" s="10"/>
      <c r="J18" s="10"/>
      <c r="K18" s="10"/>
      <c r="L18" s="52">
        <f t="shared" ref="L18:BW18" si="15">IF(MOD(Year,4),365,366)</f>
        <v>365</v>
      </c>
      <c r="M18" s="52">
        <f t="shared" si="15"/>
        <v>365</v>
      </c>
      <c r="N18" s="52">
        <f t="shared" si="15"/>
        <v>365</v>
      </c>
      <c r="O18" s="52">
        <f t="shared" si="15"/>
        <v>365</v>
      </c>
      <c r="P18" s="52">
        <f t="shared" si="15"/>
        <v>365</v>
      </c>
      <c r="Q18" s="52">
        <f t="shared" si="15"/>
        <v>365</v>
      </c>
      <c r="R18" s="52">
        <f t="shared" si="15"/>
        <v>365</v>
      </c>
      <c r="S18" s="52">
        <f t="shared" si="15"/>
        <v>365</v>
      </c>
      <c r="T18" s="52">
        <f t="shared" si="15"/>
        <v>365</v>
      </c>
      <c r="U18" s="52">
        <f t="shared" si="15"/>
        <v>365</v>
      </c>
      <c r="V18" s="52">
        <f t="shared" si="15"/>
        <v>365</v>
      </c>
      <c r="W18" s="52">
        <f t="shared" si="15"/>
        <v>365</v>
      </c>
      <c r="X18" s="52">
        <f t="shared" si="15"/>
        <v>366</v>
      </c>
      <c r="Y18" s="52">
        <f t="shared" si="15"/>
        <v>366</v>
      </c>
      <c r="Z18" s="52">
        <f t="shared" si="15"/>
        <v>366</v>
      </c>
      <c r="AA18" s="52">
        <f t="shared" si="15"/>
        <v>366</v>
      </c>
      <c r="AB18" s="52">
        <f t="shared" si="15"/>
        <v>365</v>
      </c>
      <c r="AC18" s="52">
        <f t="shared" si="15"/>
        <v>365</v>
      </c>
      <c r="AD18" s="52">
        <f t="shared" si="15"/>
        <v>365</v>
      </c>
      <c r="AE18" s="52">
        <f t="shared" si="15"/>
        <v>365</v>
      </c>
      <c r="AF18" s="52">
        <f t="shared" si="15"/>
        <v>365</v>
      </c>
      <c r="AG18" s="52">
        <f t="shared" si="15"/>
        <v>365</v>
      </c>
      <c r="AH18" s="52">
        <f t="shared" si="15"/>
        <v>365</v>
      </c>
      <c r="AI18" s="52">
        <f t="shared" si="15"/>
        <v>365</v>
      </c>
      <c r="AJ18" s="52">
        <f t="shared" si="15"/>
        <v>365</v>
      </c>
      <c r="AK18" s="52">
        <f t="shared" si="15"/>
        <v>365</v>
      </c>
      <c r="AL18" s="52">
        <f t="shared" si="15"/>
        <v>365</v>
      </c>
      <c r="AM18" s="52">
        <f t="shared" si="15"/>
        <v>365</v>
      </c>
      <c r="AN18" s="52">
        <f t="shared" si="15"/>
        <v>366</v>
      </c>
      <c r="AO18" s="52">
        <f t="shared" si="15"/>
        <v>366</v>
      </c>
      <c r="AP18" s="52">
        <f t="shared" si="15"/>
        <v>366</v>
      </c>
      <c r="AQ18" s="52">
        <f t="shared" si="15"/>
        <v>366</v>
      </c>
      <c r="AR18" s="52">
        <f t="shared" si="15"/>
        <v>365</v>
      </c>
      <c r="AS18" s="52">
        <f t="shared" si="15"/>
        <v>365</v>
      </c>
      <c r="AT18" s="52">
        <f t="shared" si="15"/>
        <v>365</v>
      </c>
      <c r="AU18" s="52">
        <f t="shared" si="15"/>
        <v>365</v>
      </c>
      <c r="AV18" s="52">
        <f t="shared" si="15"/>
        <v>365</v>
      </c>
      <c r="AW18" s="52">
        <f t="shared" si="15"/>
        <v>365</v>
      </c>
      <c r="AX18" s="52">
        <f t="shared" si="15"/>
        <v>365</v>
      </c>
      <c r="AY18" s="52">
        <f t="shared" si="15"/>
        <v>365</v>
      </c>
      <c r="AZ18" s="52">
        <f t="shared" si="15"/>
        <v>365</v>
      </c>
      <c r="BA18" s="52">
        <f t="shared" si="15"/>
        <v>365</v>
      </c>
      <c r="BB18" s="52">
        <f t="shared" si="15"/>
        <v>365</v>
      </c>
      <c r="BC18" s="52">
        <f t="shared" si="15"/>
        <v>365</v>
      </c>
      <c r="BD18" s="52">
        <f t="shared" si="15"/>
        <v>366</v>
      </c>
      <c r="BE18" s="52">
        <f t="shared" si="15"/>
        <v>366</v>
      </c>
      <c r="BF18" s="52">
        <f t="shared" si="15"/>
        <v>366</v>
      </c>
      <c r="BG18" s="52">
        <f t="shared" si="15"/>
        <v>366</v>
      </c>
      <c r="BH18" s="52">
        <f t="shared" si="15"/>
        <v>365</v>
      </c>
      <c r="BI18" s="52">
        <f t="shared" si="15"/>
        <v>365</v>
      </c>
      <c r="BJ18" s="52">
        <f t="shared" si="15"/>
        <v>365</v>
      </c>
      <c r="BK18" s="52">
        <f t="shared" si="15"/>
        <v>365</v>
      </c>
      <c r="BL18" s="52">
        <f t="shared" si="15"/>
        <v>365</v>
      </c>
      <c r="BM18" s="52">
        <f t="shared" si="15"/>
        <v>365</v>
      </c>
      <c r="BN18" s="52">
        <f t="shared" si="15"/>
        <v>365</v>
      </c>
      <c r="BO18" s="52">
        <f t="shared" si="15"/>
        <v>365</v>
      </c>
      <c r="BP18" s="52">
        <f t="shared" si="15"/>
        <v>365</v>
      </c>
      <c r="BQ18" s="52">
        <f t="shared" si="15"/>
        <v>365</v>
      </c>
      <c r="BR18" s="52">
        <f t="shared" si="15"/>
        <v>365</v>
      </c>
      <c r="BS18" s="52">
        <f t="shared" si="15"/>
        <v>365</v>
      </c>
      <c r="BT18" s="52">
        <f t="shared" si="15"/>
        <v>366</v>
      </c>
      <c r="BU18" s="52">
        <f t="shared" si="15"/>
        <v>366</v>
      </c>
      <c r="BV18" s="52">
        <f t="shared" si="15"/>
        <v>366</v>
      </c>
      <c r="BW18" s="52">
        <f t="shared" si="15"/>
        <v>366</v>
      </c>
      <c r="BX18" s="52">
        <f t="shared" ref="BX18:CO18" si="16">IF(MOD(Year,4),365,366)</f>
        <v>365</v>
      </c>
      <c r="BY18" s="52">
        <f t="shared" si="16"/>
        <v>365</v>
      </c>
      <c r="BZ18" s="52">
        <f t="shared" si="16"/>
        <v>365</v>
      </c>
      <c r="CA18" s="52">
        <f t="shared" si="16"/>
        <v>365</v>
      </c>
      <c r="CB18" s="52">
        <f t="shared" si="16"/>
        <v>365</v>
      </c>
      <c r="CC18" s="52">
        <f t="shared" si="16"/>
        <v>365</v>
      </c>
      <c r="CD18" s="52">
        <f t="shared" si="16"/>
        <v>365</v>
      </c>
      <c r="CE18" s="52">
        <f t="shared" si="16"/>
        <v>365</v>
      </c>
      <c r="CF18" s="52">
        <f t="shared" si="16"/>
        <v>365</v>
      </c>
      <c r="CG18" s="52">
        <f t="shared" si="16"/>
        <v>365</v>
      </c>
      <c r="CH18" s="52">
        <f t="shared" si="16"/>
        <v>365</v>
      </c>
      <c r="CI18" s="52">
        <f t="shared" si="16"/>
        <v>365</v>
      </c>
      <c r="CJ18" s="52">
        <f t="shared" si="16"/>
        <v>366</v>
      </c>
      <c r="CK18" s="52">
        <f t="shared" si="16"/>
        <v>366</v>
      </c>
      <c r="CL18" s="52">
        <f t="shared" si="16"/>
        <v>366</v>
      </c>
      <c r="CM18" s="52">
        <f t="shared" si="16"/>
        <v>366</v>
      </c>
      <c r="CN18" s="52">
        <f t="shared" si="16"/>
        <v>365</v>
      </c>
      <c r="CO18" s="52">
        <f t="shared" si="16"/>
        <v>365</v>
      </c>
    </row>
    <row r="19" spans="1:93">
      <c r="A19" s="77"/>
      <c r="B19" s="10"/>
      <c r="C19" s="17" t="s">
        <v>47</v>
      </c>
      <c r="D19" s="10"/>
      <c r="E19" s="62"/>
      <c r="F19" s="11"/>
      <c r="G19" s="11" t="s">
        <v>48</v>
      </c>
      <c r="H19" s="10"/>
      <c r="I19" s="10"/>
      <c r="J19" s="10"/>
      <c r="K19" s="10"/>
      <c r="L19" s="52">
        <f t="shared" ref="L19:BW19" si="17">MONTH(L$8)-MONTH(L$7)+1</f>
        <v>3</v>
      </c>
      <c r="M19" s="52">
        <f t="shared" si="17"/>
        <v>3</v>
      </c>
      <c r="N19" s="52">
        <f t="shared" si="17"/>
        <v>3</v>
      </c>
      <c r="O19" s="52">
        <f t="shared" si="17"/>
        <v>3</v>
      </c>
      <c r="P19" s="52">
        <f t="shared" si="17"/>
        <v>3</v>
      </c>
      <c r="Q19" s="52">
        <f t="shared" si="17"/>
        <v>3</v>
      </c>
      <c r="R19" s="52">
        <f t="shared" si="17"/>
        <v>3</v>
      </c>
      <c r="S19" s="52">
        <f t="shared" si="17"/>
        <v>3</v>
      </c>
      <c r="T19" s="52">
        <f t="shared" si="17"/>
        <v>3</v>
      </c>
      <c r="U19" s="52">
        <f t="shared" si="17"/>
        <v>3</v>
      </c>
      <c r="V19" s="52">
        <f t="shared" si="17"/>
        <v>3</v>
      </c>
      <c r="W19" s="52">
        <f t="shared" si="17"/>
        <v>3</v>
      </c>
      <c r="X19" s="52">
        <f t="shared" si="17"/>
        <v>3</v>
      </c>
      <c r="Y19" s="52">
        <f t="shared" si="17"/>
        <v>3</v>
      </c>
      <c r="Z19" s="52">
        <f t="shared" si="17"/>
        <v>3</v>
      </c>
      <c r="AA19" s="52">
        <f t="shared" si="17"/>
        <v>3</v>
      </c>
      <c r="AB19" s="52">
        <f t="shared" si="17"/>
        <v>3</v>
      </c>
      <c r="AC19" s="52">
        <f t="shared" si="17"/>
        <v>3</v>
      </c>
      <c r="AD19" s="52">
        <f t="shared" si="17"/>
        <v>3</v>
      </c>
      <c r="AE19" s="52">
        <f t="shared" si="17"/>
        <v>3</v>
      </c>
      <c r="AF19" s="52">
        <f t="shared" si="17"/>
        <v>3</v>
      </c>
      <c r="AG19" s="52">
        <f t="shared" si="17"/>
        <v>3</v>
      </c>
      <c r="AH19" s="52">
        <f t="shared" si="17"/>
        <v>3</v>
      </c>
      <c r="AI19" s="52">
        <f t="shared" si="17"/>
        <v>3</v>
      </c>
      <c r="AJ19" s="52">
        <f t="shared" si="17"/>
        <v>3</v>
      </c>
      <c r="AK19" s="52">
        <f t="shared" si="17"/>
        <v>3</v>
      </c>
      <c r="AL19" s="52">
        <f t="shared" si="17"/>
        <v>3</v>
      </c>
      <c r="AM19" s="52">
        <f t="shared" si="17"/>
        <v>3</v>
      </c>
      <c r="AN19" s="52">
        <f t="shared" si="17"/>
        <v>3</v>
      </c>
      <c r="AO19" s="52">
        <f t="shared" si="17"/>
        <v>3</v>
      </c>
      <c r="AP19" s="52">
        <f t="shared" si="17"/>
        <v>3</v>
      </c>
      <c r="AQ19" s="52">
        <f t="shared" si="17"/>
        <v>3</v>
      </c>
      <c r="AR19" s="52">
        <f t="shared" si="17"/>
        <v>3</v>
      </c>
      <c r="AS19" s="52">
        <f t="shared" si="17"/>
        <v>3</v>
      </c>
      <c r="AT19" s="52">
        <f t="shared" si="17"/>
        <v>3</v>
      </c>
      <c r="AU19" s="52">
        <f t="shared" si="17"/>
        <v>3</v>
      </c>
      <c r="AV19" s="52">
        <f t="shared" si="17"/>
        <v>3</v>
      </c>
      <c r="AW19" s="52">
        <f t="shared" si="17"/>
        <v>3</v>
      </c>
      <c r="AX19" s="52">
        <f t="shared" si="17"/>
        <v>3</v>
      </c>
      <c r="AY19" s="52">
        <f t="shared" si="17"/>
        <v>3</v>
      </c>
      <c r="AZ19" s="52">
        <f t="shared" si="17"/>
        <v>3</v>
      </c>
      <c r="BA19" s="52">
        <f t="shared" si="17"/>
        <v>3</v>
      </c>
      <c r="BB19" s="52">
        <f t="shared" si="17"/>
        <v>3</v>
      </c>
      <c r="BC19" s="52">
        <f t="shared" si="17"/>
        <v>3</v>
      </c>
      <c r="BD19" s="52">
        <f t="shared" si="17"/>
        <v>3</v>
      </c>
      <c r="BE19" s="52">
        <f t="shared" si="17"/>
        <v>3</v>
      </c>
      <c r="BF19" s="52">
        <f t="shared" si="17"/>
        <v>3</v>
      </c>
      <c r="BG19" s="52">
        <f t="shared" si="17"/>
        <v>3</v>
      </c>
      <c r="BH19" s="52">
        <f t="shared" si="17"/>
        <v>3</v>
      </c>
      <c r="BI19" s="52">
        <f t="shared" si="17"/>
        <v>3</v>
      </c>
      <c r="BJ19" s="52">
        <f t="shared" si="17"/>
        <v>3</v>
      </c>
      <c r="BK19" s="52">
        <f t="shared" si="17"/>
        <v>3</v>
      </c>
      <c r="BL19" s="52">
        <f t="shared" si="17"/>
        <v>3</v>
      </c>
      <c r="BM19" s="52">
        <f t="shared" si="17"/>
        <v>3</v>
      </c>
      <c r="BN19" s="52">
        <f t="shared" si="17"/>
        <v>3</v>
      </c>
      <c r="BO19" s="52">
        <f t="shared" si="17"/>
        <v>3</v>
      </c>
      <c r="BP19" s="52">
        <f t="shared" si="17"/>
        <v>3</v>
      </c>
      <c r="BQ19" s="52">
        <f t="shared" si="17"/>
        <v>3</v>
      </c>
      <c r="BR19" s="52">
        <f t="shared" si="17"/>
        <v>3</v>
      </c>
      <c r="BS19" s="52">
        <f t="shared" si="17"/>
        <v>3</v>
      </c>
      <c r="BT19" s="52">
        <f t="shared" si="17"/>
        <v>3</v>
      </c>
      <c r="BU19" s="52">
        <f t="shared" si="17"/>
        <v>3</v>
      </c>
      <c r="BV19" s="52">
        <f t="shared" si="17"/>
        <v>3</v>
      </c>
      <c r="BW19" s="52">
        <f t="shared" si="17"/>
        <v>3</v>
      </c>
      <c r="BX19" s="52">
        <f t="shared" ref="BX19:CO19" si="18">MONTH(BX$8)-MONTH(BX$7)+1</f>
        <v>3</v>
      </c>
      <c r="BY19" s="52">
        <f t="shared" si="18"/>
        <v>3</v>
      </c>
      <c r="BZ19" s="52">
        <f t="shared" si="18"/>
        <v>3</v>
      </c>
      <c r="CA19" s="52">
        <f t="shared" si="18"/>
        <v>3</v>
      </c>
      <c r="CB19" s="52">
        <f t="shared" si="18"/>
        <v>3</v>
      </c>
      <c r="CC19" s="52">
        <f t="shared" si="18"/>
        <v>3</v>
      </c>
      <c r="CD19" s="52">
        <f t="shared" si="18"/>
        <v>3</v>
      </c>
      <c r="CE19" s="52">
        <f t="shared" si="18"/>
        <v>3</v>
      </c>
      <c r="CF19" s="52">
        <f t="shared" si="18"/>
        <v>3</v>
      </c>
      <c r="CG19" s="52">
        <f t="shared" si="18"/>
        <v>3</v>
      </c>
      <c r="CH19" s="52">
        <f t="shared" si="18"/>
        <v>3</v>
      </c>
      <c r="CI19" s="52">
        <f t="shared" si="18"/>
        <v>3</v>
      </c>
      <c r="CJ19" s="52">
        <f t="shared" si="18"/>
        <v>3</v>
      </c>
      <c r="CK19" s="52">
        <f t="shared" si="18"/>
        <v>3</v>
      </c>
      <c r="CL19" s="52">
        <f t="shared" si="18"/>
        <v>3</v>
      </c>
      <c r="CM19" s="52">
        <f t="shared" si="18"/>
        <v>3</v>
      </c>
      <c r="CN19" s="52">
        <f t="shared" si="18"/>
        <v>3</v>
      </c>
      <c r="CO19" s="52">
        <f t="shared" si="18"/>
        <v>3</v>
      </c>
    </row>
    <row r="20" spans="1:93">
      <c r="A20" s="77"/>
      <c r="B20" s="10"/>
      <c r="C20" s="17" t="s">
        <v>374</v>
      </c>
      <c r="D20" s="10"/>
      <c r="E20" s="62"/>
      <c r="F20" s="11"/>
      <c r="G20" s="11" t="str">
        <f>MIN(L20:CO20) &amp; ".." &amp; MAX(L20:CO20)</f>
        <v>3..246</v>
      </c>
      <c r="H20" s="10"/>
      <c r="I20" s="10"/>
      <c r="J20" s="10"/>
      <c r="K20" s="10"/>
      <c r="L20" s="52">
        <f t="shared" ref="L20:AQ20" si="19">K20+L19</f>
        <v>3</v>
      </c>
      <c r="M20" s="52">
        <f t="shared" si="19"/>
        <v>6</v>
      </c>
      <c r="N20" s="52">
        <f t="shared" si="19"/>
        <v>9</v>
      </c>
      <c r="O20" s="52">
        <f t="shared" si="19"/>
        <v>12</v>
      </c>
      <c r="P20" s="52">
        <f t="shared" si="19"/>
        <v>15</v>
      </c>
      <c r="Q20" s="52">
        <f t="shared" si="19"/>
        <v>18</v>
      </c>
      <c r="R20" s="52">
        <f t="shared" si="19"/>
        <v>21</v>
      </c>
      <c r="S20" s="52">
        <f t="shared" si="19"/>
        <v>24</v>
      </c>
      <c r="T20" s="52">
        <f t="shared" si="19"/>
        <v>27</v>
      </c>
      <c r="U20" s="52">
        <f t="shared" si="19"/>
        <v>30</v>
      </c>
      <c r="V20" s="52">
        <f t="shared" si="19"/>
        <v>33</v>
      </c>
      <c r="W20" s="52">
        <f t="shared" si="19"/>
        <v>36</v>
      </c>
      <c r="X20" s="52">
        <f t="shared" si="19"/>
        <v>39</v>
      </c>
      <c r="Y20" s="52">
        <f t="shared" si="19"/>
        <v>42</v>
      </c>
      <c r="Z20" s="52">
        <f t="shared" si="19"/>
        <v>45</v>
      </c>
      <c r="AA20" s="52">
        <f t="shared" si="19"/>
        <v>48</v>
      </c>
      <c r="AB20" s="52">
        <f t="shared" si="19"/>
        <v>51</v>
      </c>
      <c r="AC20" s="52">
        <f t="shared" si="19"/>
        <v>54</v>
      </c>
      <c r="AD20" s="52">
        <f t="shared" si="19"/>
        <v>57</v>
      </c>
      <c r="AE20" s="52">
        <f t="shared" si="19"/>
        <v>60</v>
      </c>
      <c r="AF20" s="52">
        <f t="shared" si="19"/>
        <v>63</v>
      </c>
      <c r="AG20" s="52">
        <f t="shared" si="19"/>
        <v>66</v>
      </c>
      <c r="AH20" s="52">
        <f t="shared" si="19"/>
        <v>69</v>
      </c>
      <c r="AI20" s="52">
        <f t="shared" si="19"/>
        <v>72</v>
      </c>
      <c r="AJ20" s="52">
        <f t="shared" si="19"/>
        <v>75</v>
      </c>
      <c r="AK20" s="52">
        <f t="shared" si="19"/>
        <v>78</v>
      </c>
      <c r="AL20" s="52">
        <f t="shared" si="19"/>
        <v>81</v>
      </c>
      <c r="AM20" s="52">
        <f t="shared" si="19"/>
        <v>84</v>
      </c>
      <c r="AN20" s="52">
        <f t="shared" si="19"/>
        <v>87</v>
      </c>
      <c r="AO20" s="52">
        <f t="shared" si="19"/>
        <v>90</v>
      </c>
      <c r="AP20" s="52">
        <f t="shared" si="19"/>
        <v>93</v>
      </c>
      <c r="AQ20" s="52">
        <f t="shared" si="19"/>
        <v>96</v>
      </c>
      <c r="AR20" s="52">
        <f t="shared" ref="AR20:BW20" si="20">AQ20+AR19</f>
        <v>99</v>
      </c>
      <c r="AS20" s="52">
        <f t="shared" si="20"/>
        <v>102</v>
      </c>
      <c r="AT20" s="52">
        <f t="shared" si="20"/>
        <v>105</v>
      </c>
      <c r="AU20" s="52">
        <f t="shared" si="20"/>
        <v>108</v>
      </c>
      <c r="AV20" s="52">
        <f t="shared" si="20"/>
        <v>111</v>
      </c>
      <c r="AW20" s="52">
        <f t="shared" si="20"/>
        <v>114</v>
      </c>
      <c r="AX20" s="52">
        <f t="shared" si="20"/>
        <v>117</v>
      </c>
      <c r="AY20" s="52">
        <f t="shared" si="20"/>
        <v>120</v>
      </c>
      <c r="AZ20" s="52">
        <f t="shared" si="20"/>
        <v>123</v>
      </c>
      <c r="BA20" s="52">
        <f t="shared" si="20"/>
        <v>126</v>
      </c>
      <c r="BB20" s="52">
        <f t="shared" si="20"/>
        <v>129</v>
      </c>
      <c r="BC20" s="52">
        <f t="shared" si="20"/>
        <v>132</v>
      </c>
      <c r="BD20" s="52">
        <f t="shared" si="20"/>
        <v>135</v>
      </c>
      <c r="BE20" s="52">
        <f t="shared" si="20"/>
        <v>138</v>
      </c>
      <c r="BF20" s="52">
        <f t="shared" si="20"/>
        <v>141</v>
      </c>
      <c r="BG20" s="52">
        <f t="shared" si="20"/>
        <v>144</v>
      </c>
      <c r="BH20" s="52">
        <f t="shared" si="20"/>
        <v>147</v>
      </c>
      <c r="BI20" s="52">
        <f t="shared" si="20"/>
        <v>150</v>
      </c>
      <c r="BJ20" s="52">
        <f t="shared" si="20"/>
        <v>153</v>
      </c>
      <c r="BK20" s="52">
        <f t="shared" si="20"/>
        <v>156</v>
      </c>
      <c r="BL20" s="52">
        <f t="shared" si="20"/>
        <v>159</v>
      </c>
      <c r="BM20" s="52">
        <f t="shared" si="20"/>
        <v>162</v>
      </c>
      <c r="BN20" s="52">
        <f t="shared" si="20"/>
        <v>165</v>
      </c>
      <c r="BO20" s="52">
        <f t="shared" si="20"/>
        <v>168</v>
      </c>
      <c r="BP20" s="52">
        <f t="shared" si="20"/>
        <v>171</v>
      </c>
      <c r="BQ20" s="52">
        <f t="shared" si="20"/>
        <v>174</v>
      </c>
      <c r="BR20" s="52">
        <f t="shared" si="20"/>
        <v>177</v>
      </c>
      <c r="BS20" s="52">
        <f t="shared" si="20"/>
        <v>180</v>
      </c>
      <c r="BT20" s="52">
        <f t="shared" si="20"/>
        <v>183</v>
      </c>
      <c r="BU20" s="52">
        <f t="shared" si="20"/>
        <v>186</v>
      </c>
      <c r="BV20" s="52">
        <f t="shared" si="20"/>
        <v>189</v>
      </c>
      <c r="BW20" s="52">
        <f t="shared" si="20"/>
        <v>192</v>
      </c>
      <c r="BX20" s="52">
        <f t="shared" ref="BX20:CO20" si="21">BW20+BX19</f>
        <v>195</v>
      </c>
      <c r="BY20" s="52">
        <f t="shared" si="21"/>
        <v>198</v>
      </c>
      <c r="BZ20" s="52">
        <f t="shared" si="21"/>
        <v>201</v>
      </c>
      <c r="CA20" s="52">
        <f t="shared" si="21"/>
        <v>204</v>
      </c>
      <c r="CB20" s="52">
        <f t="shared" si="21"/>
        <v>207</v>
      </c>
      <c r="CC20" s="52">
        <f t="shared" si="21"/>
        <v>210</v>
      </c>
      <c r="CD20" s="52">
        <f t="shared" si="21"/>
        <v>213</v>
      </c>
      <c r="CE20" s="52">
        <f t="shared" si="21"/>
        <v>216</v>
      </c>
      <c r="CF20" s="52">
        <f t="shared" si="21"/>
        <v>219</v>
      </c>
      <c r="CG20" s="52">
        <f t="shared" si="21"/>
        <v>222</v>
      </c>
      <c r="CH20" s="52">
        <f t="shared" si="21"/>
        <v>225</v>
      </c>
      <c r="CI20" s="52">
        <f t="shared" si="21"/>
        <v>228</v>
      </c>
      <c r="CJ20" s="52">
        <f t="shared" si="21"/>
        <v>231</v>
      </c>
      <c r="CK20" s="52">
        <f t="shared" si="21"/>
        <v>234</v>
      </c>
      <c r="CL20" s="52">
        <f t="shared" si="21"/>
        <v>237</v>
      </c>
      <c r="CM20" s="52">
        <f t="shared" si="21"/>
        <v>240</v>
      </c>
      <c r="CN20" s="52">
        <f t="shared" si="21"/>
        <v>243</v>
      </c>
      <c r="CO20" s="52">
        <f t="shared" si="21"/>
        <v>246</v>
      </c>
    </row>
    <row r="21" spans="1:93">
      <c r="A21" s="77"/>
      <c r="B21" s="10"/>
      <c r="C21" s="17" t="s">
        <v>375</v>
      </c>
      <c r="D21" s="10"/>
      <c r="E21" s="62"/>
      <c r="F21" s="11"/>
      <c r="G21" s="11" t="str">
        <f>MIN(L21:CO21) &amp; ".." &amp; MAX(L21:CO21)</f>
        <v>0..20,25</v>
      </c>
      <c r="H21" s="10"/>
      <c r="I21" s="10"/>
      <c r="J21" s="10"/>
      <c r="K21" s="10"/>
      <c r="L21" s="146">
        <f t="shared" ref="L21:AQ21" si="22">K20/Months_in_Year</f>
        <v>0</v>
      </c>
      <c r="M21" s="146">
        <f t="shared" si="22"/>
        <v>0.25</v>
      </c>
      <c r="N21" s="146">
        <f t="shared" si="22"/>
        <v>0.5</v>
      </c>
      <c r="O21" s="146">
        <f t="shared" si="22"/>
        <v>0.75</v>
      </c>
      <c r="P21" s="146">
        <f t="shared" si="22"/>
        <v>1</v>
      </c>
      <c r="Q21" s="146">
        <f t="shared" si="22"/>
        <v>1.25</v>
      </c>
      <c r="R21" s="146">
        <f t="shared" si="22"/>
        <v>1.5</v>
      </c>
      <c r="S21" s="146">
        <f t="shared" si="22"/>
        <v>1.75</v>
      </c>
      <c r="T21" s="146">
        <f t="shared" si="22"/>
        <v>2</v>
      </c>
      <c r="U21" s="146">
        <f t="shared" si="22"/>
        <v>2.25</v>
      </c>
      <c r="V21" s="146">
        <f t="shared" si="22"/>
        <v>2.5</v>
      </c>
      <c r="W21" s="146">
        <f t="shared" si="22"/>
        <v>2.75</v>
      </c>
      <c r="X21" s="146">
        <f t="shared" si="22"/>
        <v>3</v>
      </c>
      <c r="Y21" s="146">
        <f t="shared" si="22"/>
        <v>3.25</v>
      </c>
      <c r="Z21" s="146">
        <f t="shared" si="22"/>
        <v>3.5</v>
      </c>
      <c r="AA21" s="146">
        <f t="shared" si="22"/>
        <v>3.75</v>
      </c>
      <c r="AB21" s="146">
        <f t="shared" si="22"/>
        <v>4</v>
      </c>
      <c r="AC21" s="146">
        <f t="shared" si="22"/>
        <v>4.25</v>
      </c>
      <c r="AD21" s="146">
        <f t="shared" si="22"/>
        <v>4.5</v>
      </c>
      <c r="AE21" s="146">
        <f t="shared" si="22"/>
        <v>4.75</v>
      </c>
      <c r="AF21" s="146">
        <f t="shared" si="22"/>
        <v>5</v>
      </c>
      <c r="AG21" s="146">
        <f t="shared" si="22"/>
        <v>5.25</v>
      </c>
      <c r="AH21" s="146">
        <f t="shared" si="22"/>
        <v>5.5</v>
      </c>
      <c r="AI21" s="146">
        <f t="shared" si="22"/>
        <v>5.75</v>
      </c>
      <c r="AJ21" s="146">
        <f t="shared" si="22"/>
        <v>6</v>
      </c>
      <c r="AK21" s="146">
        <f t="shared" si="22"/>
        <v>6.25</v>
      </c>
      <c r="AL21" s="146">
        <f t="shared" si="22"/>
        <v>6.5</v>
      </c>
      <c r="AM21" s="146">
        <f t="shared" si="22"/>
        <v>6.75</v>
      </c>
      <c r="AN21" s="146">
        <f t="shared" si="22"/>
        <v>7</v>
      </c>
      <c r="AO21" s="146">
        <f t="shared" si="22"/>
        <v>7.25</v>
      </c>
      <c r="AP21" s="146">
        <f t="shared" si="22"/>
        <v>7.5</v>
      </c>
      <c r="AQ21" s="146">
        <f t="shared" si="22"/>
        <v>7.75</v>
      </c>
      <c r="AR21" s="146">
        <f t="shared" ref="AR21:BW21" si="23">AQ20/Months_in_Year</f>
        <v>8</v>
      </c>
      <c r="AS21" s="146">
        <f t="shared" si="23"/>
        <v>8.25</v>
      </c>
      <c r="AT21" s="146">
        <f t="shared" si="23"/>
        <v>8.5</v>
      </c>
      <c r="AU21" s="146">
        <f t="shared" si="23"/>
        <v>8.75</v>
      </c>
      <c r="AV21" s="146">
        <f t="shared" si="23"/>
        <v>9</v>
      </c>
      <c r="AW21" s="146">
        <f t="shared" si="23"/>
        <v>9.25</v>
      </c>
      <c r="AX21" s="146">
        <f t="shared" si="23"/>
        <v>9.5</v>
      </c>
      <c r="AY21" s="146">
        <f t="shared" si="23"/>
        <v>9.75</v>
      </c>
      <c r="AZ21" s="146">
        <f t="shared" si="23"/>
        <v>10</v>
      </c>
      <c r="BA21" s="146">
        <f t="shared" si="23"/>
        <v>10.25</v>
      </c>
      <c r="BB21" s="146">
        <f t="shared" si="23"/>
        <v>10.5</v>
      </c>
      <c r="BC21" s="146">
        <f t="shared" si="23"/>
        <v>10.75</v>
      </c>
      <c r="BD21" s="146">
        <f t="shared" si="23"/>
        <v>11</v>
      </c>
      <c r="BE21" s="146">
        <f t="shared" si="23"/>
        <v>11.25</v>
      </c>
      <c r="BF21" s="146">
        <f t="shared" si="23"/>
        <v>11.5</v>
      </c>
      <c r="BG21" s="146">
        <f t="shared" si="23"/>
        <v>11.75</v>
      </c>
      <c r="BH21" s="146">
        <f t="shared" si="23"/>
        <v>12</v>
      </c>
      <c r="BI21" s="146">
        <f t="shared" si="23"/>
        <v>12.25</v>
      </c>
      <c r="BJ21" s="146">
        <f t="shared" si="23"/>
        <v>12.5</v>
      </c>
      <c r="BK21" s="146">
        <f t="shared" si="23"/>
        <v>12.75</v>
      </c>
      <c r="BL21" s="146">
        <f t="shared" si="23"/>
        <v>13</v>
      </c>
      <c r="BM21" s="146">
        <f t="shared" si="23"/>
        <v>13.25</v>
      </c>
      <c r="BN21" s="146">
        <f t="shared" si="23"/>
        <v>13.5</v>
      </c>
      <c r="BO21" s="146">
        <f t="shared" si="23"/>
        <v>13.75</v>
      </c>
      <c r="BP21" s="146">
        <f t="shared" si="23"/>
        <v>14</v>
      </c>
      <c r="BQ21" s="146">
        <f t="shared" si="23"/>
        <v>14.25</v>
      </c>
      <c r="BR21" s="146">
        <f t="shared" si="23"/>
        <v>14.5</v>
      </c>
      <c r="BS21" s="146">
        <f t="shared" si="23"/>
        <v>14.75</v>
      </c>
      <c r="BT21" s="146">
        <f t="shared" si="23"/>
        <v>15</v>
      </c>
      <c r="BU21" s="146">
        <f t="shared" si="23"/>
        <v>15.25</v>
      </c>
      <c r="BV21" s="146">
        <f t="shared" si="23"/>
        <v>15.5</v>
      </c>
      <c r="BW21" s="146">
        <f t="shared" si="23"/>
        <v>15.75</v>
      </c>
      <c r="BX21" s="146">
        <f t="shared" ref="BX21:CO21" si="24">BW20/Months_in_Year</f>
        <v>16</v>
      </c>
      <c r="BY21" s="146">
        <f t="shared" si="24"/>
        <v>16.25</v>
      </c>
      <c r="BZ21" s="146">
        <f t="shared" si="24"/>
        <v>16.5</v>
      </c>
      <c r="CA21" s="146">
        <f t="shared" si="24"/>
        <v>16.75</v>
      </c>
      <c r="CB21" s="146">
        <f t="shared" si="24"/>
        <v>17</v>
      </c>
      <c r="CC21" s="146">
        <f t="shared" si="24"/>
        <v>17.25</v>
      </c>
      <c r="CD21" s="146">
        <f t="shared" si="24"/>
        <v>17.5</v>
      </c>
      <c r="CE21" s="146">
        <f t="shared" si="24"/>
        <v>17.75</v>
      </c>
      <c r="CF21" s="146">
        <f t="shared" si="24"/>
        <v>18</v>
      </c>
      <c r="CG21" s="146">
        <f t="shared" si="24"/>
        <v>18.25</v>
      </c>
      <c r="CH21" s="146">
        <f t="shared" si="24"/>
        <v>18.5</v>
      </c>
      <c r="CI21" s="146">
        <f t="shared" si="24"/>
        <v>18.75</v>
      </c>
      <c r="CJ21" s="146">
        <f t="shared" si="24"/>
        <v>19</v>
      </c>
      <c r="CK21" s="146">
        <f t="shared" si="24"/>
        <v>19.25</v>
      </c>
      <c r="CL21" s="146">
        <f t="shared" si="24"/>
        <v>19.5</v>
      </c>
      <c r="CM21" s="146">
        <f t="shared" si="24"/>
        <v>19.75</v>
      </c>
      <c r="CN21" s="146">
        <f t="shared" si="24"/>
        <v>20</v>
      </c>
      <c r="CO21" s="146">
        <f t="shared" si="24"/>
        <v>20.25</v>
      </c>
    </row>
    <row r="22" spans="1:93">
      <c r="A22" s="77"/>
      <c r="B22" s="10"/>
      <c r="C22" s="17" t="s">
        <v>376</v>
      </c>
      <c r="D22" s="10"/>
      <c r="E22" s="62"/>
      <c r="F22" s="11"/>
      <c r="G22" s="11" t="str">
        <f>MIN(L22:CO22) &amp; ".." &amp; MAX(L22:CO22)</f>
        <v>0,25..20,5</v>
      </c>
      <c r="H22" s="10"/>
      <c r="I22" s="10"/>
      <c r="J22" s="10"/>
      <c r="K22" s="10"/>
      <c r="L22" s="147">
        <f t="shared" ref="L22:AQ22" si="25" xml:space="preserve"> MonthsCumulated / Months_in_Year</f>
        <v>0.25</v>
      </c>
      <c r="M22" s="147">
        <f t="shared" si="25"/>
        <v>0.5</v>
      </c>
      <c r="N22" s="147">
        <f t="shared" si="25"/>
        <v>0.75</v>
      </c>
      <c r="O22" s="147">
        <f t="shared" si="25"/>
        <v>1</v>
      </c>
      <c r="P22" s="147">
        <f t="shared" si="25"/>
        <v>1.25</v>
      </c>
      <c r="Q22" s="147">
        <f t="shared" si="25"/>
        <v>1.5</v>
      </c>
      <c r="R22" s="147">
        <f t="shared" si="25"/>
        <v>1.75</v>
      </c>
      <c r="S22" s="147">
        <f t="shared" si="25"/>
        <v>2</v>
      </c>
      <c r="T22" s="147">
        <f t="shared" si="25"/>
        <v>2.25</v>
      </c>
      <c r="U22" s="147">
        <f t="shared" si="25"/>
        <v>2.5</v>
      </c>
      <c r="V22" s="147">
        <f t="shared" si="25"/>
        <v>2.75</v>
      </c>
      <c r="W22" s="147">
        <f t="shared" si="25"/>
        <v>3</v>
      </c>
      <c r="X22" s="147">
        <f t="shared" si="25"/>
        <v>3.25</v>
      </c>
      <c r="Y22" s="147">
        <f t="shared" si="25"/>
        <v>3.5</v>
      </c>
      <c r="Z22" s="147">
        <f t="shared" si="25"/>
        <v>3.75</v>
      </c>
      <c r="AA22" s="147">
        <f t="shared" si="25"/>
        <v>4</v>
      </c>
      <c r="AB22" s="147">
        <f t="shared" si="25"/>
        <v>4.25</v>
      </c>
      <c r="AC22" s="147">
        <f t="shared" si="25"/>
        <v>4.5</v>
      </c>
      <c r="AD22" s="147">
        <f t="shared" si="25"/>
        <v>4.75</v>
      </c>
      <c r="AE22" s="147">
        <f t="shared" si="25"/>
        <v>5</v>
      </c>
      <c r="AF22" s="147">
        <f t="shared" si="25"/>
        <v>5.25</v>
      </c>
      <c r="AG22" s="147">
        <f t="shared" si="25"/>
        <v>5.5</v>
      </c>
      <c r="AH22" s="147">
        <f t="shared" si="25"/>
        <v>5.75</v>
      </c>
      <c r="AI22" s="147">
        <f t="shared" si="25"/>
        <v>6</v>
      </c>
      <c r="AJ22" s="147">
        <f t="shared" si="25"/>
        <v>6.25</v>
      </c>
      <c r="AK22" s="147">
        <f t="shared" si="25"/>
        <v>6.5</v>
      </c>
      <c r="AL22" s="147">
        <f t="shared" si="25"/>
        <v>6.75</v>
      </c>
      <c r="AM22" s="147">
        <f t="shared" si="25"/>
        <v>7</v>
      </c>
      <c r="AN22" s="147">
        <f t="shared" si="25"/>
        <v>7.25</v>
      </c>
      <c r="AO22" s="147">
        <f t="shared" si="25"/>
        <v>7.5</v>
      </c>
      <c r="AP22" s="147">
        <f t="shared" si="25"/>
        <v>7.75</v>
      </c>
      <c r="AQ22" s="147">
        <f t="shared" si="25"/>
        <v>8</v>
      </c>
      <c r="AR22" s="147">
        <f t="shared" ref="AR22:BW22" si="26" xml:space="preserve"> MonthsCumulated / Months_in_Year</f>
        <v>8.25</v>
      </c>
      <c r="AS22" s="147">
        <f t="shared" si="26"/>
        <v>8.5</v>
      </c>
      <c r="AT22" s="147">
        <f t="shared" si="26"/>
        <v>8.75</v>
      </c>
      <c r="AU22" s="147">
        <f t="shared" si="26"/>
        <v>9</v>
      </c>
      <c r="AV22" s="147">
        <f t="shared" si="26"/>
        <v>9.25</v>
      </c>
      <c r="AW22" s="147">
        <f t="shared" si="26"/>
        <v>9.5</v>
      </c>
      <c r="AX22" s="147">
        <f t="shared" si="26"/>
        <v>9.75</v>
      </c>
      <c r="AY22" s="147">
        <f t="shared" si="26"/>
        <v>10</v>
      </c>
      <c r="AZ22" s="147">
        <f t="shared" si="26"/>
        <v>10.25</v>
      </c>
      <c r="BA22" s="147">
        <f t="shared" si="26"/>
        <v>10.5</v>
      </c>
      <c r="BB22" s="147">
        <f t="shared" si="26"/>
        <v>10.75</v>
      </c>
      <c r="BC22" s="147">
        <f t="shared" si="26"/>
        <v>11</v>
      </c>
      <c r="BD22" s="147">
        <f t="shared" si="26"/>
        <v>11.25</v>
      </c>
      <c r="BE22" s="147">
        <f t="shared" si="26"/>
        <v>11.5</v>
      </c>
      <c r="BF22" s="147">
        <f t="shared" si="26"/>
        <v>11.75</v>
      </c>
      <c r="BG22" s="147">
        <f t="shared" si="26"/>
        <v>12</v>
      </c>
      <c r="BH22" s="147">
        <f t="shared" si="26"/>
        <v>12.25</v>
      </c>
      <c r="BI22" s="147">
        <f t="shared" si="26"/>
        <v>12.5</v>
      </c>
      <c r="BJ22" s="147">
        <f t="shared" si="26"/>
        <v>12.75</v>
      </c>
      <c r="BK22" s="147">
        <f t="shared" si="26"/>
        <v>13</v>
      </c>
      <c r="BL22" s="147">
        <f t="shared" si="26"/>
        <v>13.25</v>
      </c>
      <c r="BM22" s="147">
        <f t="shared" si="26"/>
        <v>13.5</v>
      </c>
      <c r="BN22" s="147">
        <f t="shared" si="26"/>
        <v>13.75</v>
      </c>
      <c r="BO22" s="147">
        <f t="shared" si="26"/>
        <v>14</v>
      </c>
      <c r="BP22" s="147">
        <f t="shared" si="26"/>
        <v>14.25</v>
      </c>
      <c r="BQ22" s="147">
        <f t="shared" si="26"/>
        <v>14.5</v>
      </c>
      <c r="BR22" s="147">
        <f t="shared" si="26"/>
        <v>14.75</v>
      </c>
      <c r="BS22" s="147">
        <f t="shared" si="26"/>
        <v>15</v>
      </c>
      <c r="BT22" s="147">
        <f t="shared" si="26"/>
        <v>15.25</v>
      </c>
      <c r="BU22" s="147">
        <f t="shared" si="26"/>
        <v>15.5</v>
      </c>
      <c r="BV22" s="147">
        <f t="shared" si="26"/>
        <v>15.75</v>
      </c>
      <c r="BW22" s="147">
        <f t="shared" si="26"/>
        <v>16</v>
      </c>
      <c r="BX22" s="147">
        <f t="shared" ref="BX22:CO22" si="27" xml:space="preserve"> MonthsCumulated / Months_in_Year</f>
        <v>16.25</v>
      </c>
      <c r="BY22" s="147">
        <f t="shared" si="27"/>
        <v>16.5</v>
      </c>
      <c r="BZ22" s="147">
        <f t="shared" si="27"/>
        <v>16.75</v>
      </c>
      <c r="CA22" s="147">
        <f t="shared" si="27"/>
        <v>17</v>
      </c>
      <c r="CB22" s="147">
        <f t="shared" si="27"/>
        <v>17.25</v>
      </c>
      <c r="CC22" s="147">
        <f t="shared" si="27"/>
        <v>17.5</v>
      </c>
      <c r="CD22" s="147">
        <f t="shared" si="27"/>
        <v>17.75</v>
      </c>
      <c r="CE22" s="147">
        <f t="shared" si="27"/>
        <v>18</v>
      </c>
      <c r="CF22" s="147">
        <f t="shared" si="27"/>
        <v>18.25</v>
      </c>
      <c r="CG22" s="147">
        <f t="shared" si="27"/>
        <v>18.5</v>
      </c>
      <c r="CH22" s="147">
        <f t="shared" si="27"/>
        <v>18.75</v>
      </c>
      <c r="CI22" s="147">
        <f t="shared" si="27"/>
        <v>19</v>
      </c>
      <c r="CJ22" s="147">
        <f t="shared" si="27"/>
        <v>19.25</v>
      </c>
      <c r="CK22" s="147">
        <f t="shared" si="27"/>
        <v>19.5</v>
      </c>
      <c r="CL22" s="147">
        <f t="shared" si="27"/>
        <v>19.75</v>
      </c>
      <c r="CM22" s="147">
        <f t="shared" si="27"/>
        <v>20</v>
      </c>
      <c r="CN22" s="147">
        <f t="shared" si="27"/>
        <v>20.25</v>
      </c>
      <c r="CO22" s="147">
        <f t="shared" si="27"/>
        <v>20.5</v>
      </c>
    </row>
    <row r="23" spans="1:93">
      <c r="A23" s="77"/>
      <c r="B23" s="10"/>
      <c r="C23" s="17"/>
      <c r="D23" s="10"/>
      <c r="E23" s="62"/>
      <c r="F23" s="11"/>
      <c r="G23" s="11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</row>
    <row r="24" spans="1:93">
      <c r="A24" s="77"/>
      <c r="B24" s="10"/>
      <c r="C24" s="17" t="s">
        <v>377</v>
      </c>
      <c r="D24" s="10"/>
      <c r="E24" s="62"/>
      <c r="F24" s="11"/>
      <c r="G24" s="11" t="s">
        <v>378</v>
      </c>
      <c r="H24" s="10"/>
      <c r="I24" s="10"/>
      <c r="J24" s="10"/>
      <c r="K24" s="10"/>
      <c r="L24" s="148">
        <f t="shared" ref="L24:AQ24" si="28" xml:space="preserve"> Days_In_Period / Days_in_year</f>
        <v>0.24657534246575341</v>
      </c>
      <c r="M24" s="148">
        <f t="shared" si="28"/>
        <v>0.24931506849315069</v>
      </c>
      <c r="N24" s="148">
        <f t="shared" si="28"/>
        <v>0.25205479452054796</v>
      </c>
      <c r="O24" s="148">
        <f t="shared" si="28"/>
        <v>0.25205479452054796</v>
      </c>
      <c r="P24" s="148">
        <f t="shared" si="28"/>
        <v>0.24657534246575341</v>
      </c>
      <c r="Q24" s="148">
        <f t="shared" si="28"/>
        <v>0.24931506849315069</v>
      </c>
      <c r="R24" s="148">
        <f t="shared" si="28"/>
        <v>0.25205479452054796</v>
      </c>
      <c r="S24" s="148">
        <f t="shared" si="28"/>
        <v>0.25205479452054796</v>
      </c>
      <c r="T24" s="148">
        <f t="shared" si="28"/>
        <v>0.24657534246575341</v>
      </c>
      <c r="U24" s="148">
        <f t="shared" si="28"/>
        <v>0.24931506849315069</v>
      </c>
      <c r="V24" s="148">
        <f t="shared" si="28"/>
        <v>0.25205479452054796</v>
      </c>
      <c r="W24" s="148">
        <f t="shared" si="28"/>
        <v>0.25205479452054796</v>
      </c>
      <c r="X24" s="148">
        <f t="shared" si="28"/>
        <v>0.24863387978142076</v>
      </c>
      <c r="Y24" s="148">
        <f t="shared" si="28"/>
        <v>0.24863387978142076</v>
      </c>
      <c r="Z24" s="148">
        <f t="shared" si="28"/>
        <v>0.25136612021857924</v>
      </c>
      <c r="AA24" s="148">
        <f t="shared" si="28"/>
        <v>0.25136612021857924</v>
      </c>
      <c r="AB24" s="148">
        <f t="shared" si="28"/>
        <v>0.24657534246575341</v>
      </c>
      <c r="AC24" s="148">
        <f t="shared" si="28"/>
        <v>0.24931506849315069</v>
      </c>
      <c r="AD24" s="148">
        <f t="shared" si="28"/>
        <v>0.25205479452054796</v>
      </c>
      <c r="AE24" s="148">
        <f t="shared" si="28"/>
        <v>0.25205479452054796</v>
      </c>
      <c r="AF24" s="148">
        <f t="shared" si="28"/>
        <v>0.24657534246575341</v>
      </c>
      <c r="AG24" s="148">
        <f t="shared" si="28"/>
        <v>0.24931506849315069</v>
      </c>
      <c r="AH24" s="148">
        <f t="shared" si="28"/>
        <v>0.25205479452054796</v>
      </c>
      <c r="AI24" s="148">
        <f t="shared" si="28"/>
        <v>0.25205479452054796</v>
      </c>
      <c r="AJ24" s="148">
        <f t="shared" si="28"/>
        <v>0.24657534246575341</v>
      </c>
      <c r="AK24" s="148">
        <f t="shared" si="28"/>
        <v>0.24931506849315069</v>
      </c>
      <c r="AL24" s="148">
        <f t="shared" si="28"/>
        <v>0.25205479452054796</v>
      </c>
      <c r="AM24" s="148">
        <f t="shared" si="28"/>
        <v>0.25205479452054796</v>
      </c>
      <c r="AN24" s="148">
        <f t="shared" si="28"/>
        <v>0.24863387978142076</v>
      </c>
      <c r="AO24" s="148">
        <f t="shared" si="28"/>
        <v>0.24863387978142076</v>
      </c>
      <c r="AP24" s="148">
        <f t="shared" si="28"/>
        <v>0.25136612021857924</v>
      </c>
      <c r="AQ24" s="148">
        <f t="shared" si="28"/>
        <v>0.25136612021857924</v>
      </c>
      <c r="AR24" s="148">
        <f t="shared" ref="AR24:BW24" si="29" xml:space="preserve"> Days_In_Period / Days_in_year</f>
        <v>0.24657534246575341</v>
      </c>
      <c r="AS24" s="148">
        <f t="shared" si="29"/>
        <v>0.24931506849315069</v>
      </c>
      <c r="AT24" s="148">
        <f t="shared" si="29"/>
        <v>0.25205479452054796</v>
      </c>
      <c r="AU24" s="148">
        <f t="shared" si="29"/>
        <v>0.25205479452054796</v>
      </c>
      <c r="AV24" s="148">
        <f t="shared" si="29"/>
        <v>0.24657534246575341</v>
      </c>
      <c r="AW24" s="148">
        <f t="shared" si="29"/>
        <v>0.24931506849315069</v>
      </c>
      <c r="AX24" s="148">
        <f t="shared" si="29"/>
        <v>0.25205479452054796</v>
      </c>
      <c r="AY24" s="148">
        <f t="shared" si="29"/>
        <v>0.25205479452054796</v>
      </c>
      <c r="AZ24" s="148">
        <f t="shared" si="29"/>
        <v>0.24657534246575341</v>
      </c>
      <c r="BA24" s="148">
        <f t="shared" si="29"/>
        <v>0.24931506849315069</v>
      </c>
      <c r="BB24" s="148">
        <f t="shared" si="29"/>
        <v>0.25205479452054796</v>
      </c>
      <c r="BC24" s="148">
        <f t="shared" si="29"/>
        <v>0.25205479452054796</v>
      </c>
      <c r="BD24" s="148">
        <f t="shared" si="29"/>
        <v>0.24863387978142076</v>
      </c>
      <c r="BE24" s="148">
        <f t="shared" si="29"/>
        <v>0.24863387978142076</v>
      </c>
      <c r="BF24" s="148">
        <f t="shared" si="29"/>
        <v>0.25136612021857924</v>
      </c>
      <c r="BG24" s="148">
        <f t="shared" si="29"/>
        <v>0.25136612021857924</v>
      </c>
      <c r="BH24" s="148">
        <f t="shared" si="29"/>
        <v>0.24657534246575341</v>
      </c>
      <c r="BI24" s="148">
        <f t="shared" si="29"/>
        <v>0.24931506849315069</v>
      </c>
      <c r="BJ24" s="148">
        <f t="shared" si="29"/>
        <v>0.25205479452054796</v>
      </c>
      <c r="BK24" s="148">
        <f t="shared" si="29"/>
        <v>0.25205479452054796</v>
      </c>
      <c r="BL24" s="148">
        <f t="shared" si="29"/>
        <v>0.24657534246575341</v>
      </c>
      <c r="BM24" s="148">
        <f t="shared" si="29"/>
        <v>0.24931506849315069</v>
      </c>
      <c r="BN24" s="148">
        <f t="shared" si="29"/>
        <v>0.25205479452054796</v>
      </c>
      <c r="BO24" s="148">
        <f t="shared" si="29"/>
        <v>0.25205479452054796</v>
      </c>
      <c r="BP24" s="148">
        <f t="shared" si="29"/>
        <v>0.24657534246575341</v>
      </c>
      <c r="BQ24" s="148">
        <f t="shared" si="29"/>
        <v>0.24931506849315069</v>
      </c>
      <c r="BR24" s="148">
        <f t="shared" si="29"/>
        <v>0.25205479452054796</v>
      </c>
      <c r="BS24" s="148">
        <f t="shared" si="29"/>
        <v>0.25205479452054796</v>
      </c>
      <c r="BT24" s="148">
        <f t="shared" si="29"/>
        <v>0.24863387978142076</v>
      </c>
      <c r="BU24" s="148">
        <f t="shared" si="29"/>
        <v>0.24863387978142076</v>
      </c>
      <c r="BV24" s="148">
        <f t="shared" si="29"/>
        <v>0.25136612021857924</v>
      </c>
      <c r="BW24" s="148">
        <f t="shared" si="29"/>
        <v>0.25136612021857924</v>
      </c>
      <c r="BX24" s="148">
        <f t="shared" ref="BX24:CO24" si="30" xml:space="preserve"> Days_In_Period / Days_in_year</f>
        <v>0.24657534246575341</v>
      </c>
      <c r="BY24" s="148">
        <f t="shared" si="30"/>
        <v>0.24931506849315069</v>
      </c>
      <c r="BZ24" s="148">
        <f t="shared" si="30"/>
        <v>0.25205479452054796</v>
      </c>
      <c r="CA24" s="148">
        <f t="shared" si="30"/>
        <v>0.25205479452054796</v>
      </c>
      <c r="CB24" s="148">
        <f t="shared" si="30"/>
        <v>0.24657534246575341</v>
      </c>
      <c r="CC24" s="148">
        <f t="shared" si="30"/>
        <v>0.24931506849315069</v>
      </c>
      <c r="CD24" s="148">
        <f t="shared" si="30"/>
        <v>0.25205479452054796</v>
      </c>
      <c r="CE24" s="148">
        <f t="shared" si="30"/>
        <v>0.25205479452054796</v>
      </c>
      <c r="CF24" s="148">
        <f t="shared" si="30"/>
        <v>0.24657534246575341</v>
      </c>
      <c r="CG24" s="148">
        <f t="shared" si="30"/>
        <v>0.24931506849315069</v>
      </c>
      <c r="CH24" s="148">
        <f t="shared" si="30"/>
        <v>0.25205479452054796</v>
      </c>
      <c r="CI24" s="148">
        <f t="shared" si="30"/>
        <v>0.25205479452054796</v>
      </c>
      <c r="CJ24" s="148">
        <f t="shared" si="30"/>
        <v>0.24863387978142076</v>
      </c>
      <c r="CK24" s="148">
        <f t="shared" si="30"/>
        <v>0.24863387978142076</v>
      </c>
      <c r="CL24" s="148">
        <f t="shared" si="30"/>
        <v>0.25136612021857924</v>
      </c>
      <c r="CM24" s="148">
        <f t="shared" si="30"/>
        <v>0.25136612021857924</v>
      </c>
      <c r="CN24" s="148">
        <f t="shared" si="30"/>
        <v>0.24657534246575341</v>
      </c>
      <c r="CO24" s="148">
        <f t="shared" si="30"/>
        <v>0.24931506849315069</v>
      </c>
    </row>
    <row r="25" spans="1:93">
      <c r="A25" s="77"/>
      <c r="B25" s="10"/>
      <c r="C25" s="17"/>
      <c r="D25" s="10"/>
      <c r="E25" s="62"/>
      <c r="F25" s="11"/>
      <c r="G25" s="11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</row>
    <row r="26" spans="1:93" ht="16.5" thickBot="1">
      <c r="A26" s="77"/>
      <c r="B26" s="10"/>
      <c r="C26" s="12" t="s">
        <v>385</v>
      </c>
      <c r="D26" s="12"/>
      <c r="E26" s="12"/>
      <c r="F26" s="12"/>
      <c r="G26" s="360"/>
      <c r="H26" s="12"/>
      <c r="I26" s="12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</row>
    <row r="27" spans="1:93">
      <c r="A27" s="77"/>
      <c r="B27" s="10"/>
      <c r="C27" s="17"/>
      <c r="D27" s="10"/>
      <c r="E27" s="62"/>
      <c r="F27" s="11"/>
      <c r="G27" s="11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</row>
    <row r="28" spans="1:93">
      <c r="A28" s="10"/>
      <c r="B28" s="10"/>
      <c r="C28" s="17" t="s">
        <v>447</v>
      </c>
      <c r="D28" s="10"/>
      <c r="E28" s="10"/>
      <c r="F28" s="62" t="s">
        <v>1180</v>
      </c>
      <c r="G28" s="11" t="str">
        <f>MIN(L28:CO28) &amp; ".." &amp; MAX(L28:CO28)</f>
        <v>0..0</v>
      </c>
      <c r="H28" s="10"/>
      <c r="I28" s="23">
        <f>SUM(L28:CO28)</f>
        <v>0</v>
      </c>
      <c r="J28" s="10"/>
      <c r="K28" s="10"/>
      <c r="L28" s="10">
        <f t="shared" ref="L28:BW28" si="31">(Date_Forecast_Start&gt;End_of_period)*1</f>
        <v>0</v>
      </c>
      <c r="M28" s="10">
        <f t="shared" si="31"/>
        <v>0</v>
      </c>
      <c r="N28" s="10">
        <f t="shared" si="31"/>
        <v>0</v>
      </c>
      <c r="O28" s="10">
        <f t="shared" si="31"/>
        <v>0</v>
      </c>
      <c r="P28" s="10">
        <f t="shared" si="31"/>
        <v>0</v>
      </c>
      <c r="Q28" s="10">
        <f t="shared" si="31"/>
        <v>0</v>
      </c>
      <c r="R28" s="10">
        <f t="shared" si="31"/>
        <v>0</v>
      </c>
      <c r="S28" s="10">
        <f t="shared" si="31"/>
        <v>0</v>
      </c>
      <c r="T28" s="10">
        <f t="shared" si="31"/>
        <v>0</v>
      </c>
      <c r="U28" s="10">
        <f t="shared" si="31"/>
        <v>0</v>
      </c>
      <c r="V28" s="10">
        <f t="shared" si="31"/>
        <v>0</v>
      </c>
      <c r="W28" s="10">
        <f t="shared" si="31"/>
        <v>0</v>
      </c>
      <c r="X28" s="10">
        <f t="shared" si="31"/>
        <v>0</v>
      </c>
      <c r="Y28" s="10">
        <f t="shared" si="31"/>
        <v>0</v>
      </c>
      <c r="Z28" s="10">
        <f t="shared" si="31"/>
        <v>0</v>
      </c>
      <c r="AA28" s="10">
        <f t="shared" si="31"/>
        <v>0</v>
      </c>
      <c r="AB28" s="10">
        <f t="shared" si="31"/>
        <v>0</v>
      </c>
      <c r="AC28" s="10">
        <f t="shared" si="31"/>
        <v>0</v>
      </c>
      <c r="AD28" s="10">
        <f t="shared" si="31"/>
        <v>0</v>
      </c>
      <c r="AE28" s="10">
        <f t="shared" si="31"/>
        <v>0</v>
      </c>
      <c r="AF28" s="10">
        <f t="shared" si="31"/>
        <v>0</v>
      </c>
      <c r="AG28" s="10">
        <f t="shared" si="31"/>
        <v>0</v>
      </c>
      <c r="AH28" s="10">
        <f t="shared" si="31"/>
        <v>0</v>
      </c>
      <c r="AI28" s="10">
        <f t="shared" si="31"/>
        <v>0</v>
      </c>
      <c r="AJ28" s="10">
        <f t="shared" si="31"/>
        <v>0</v>
      </c>
      <c r="AK28" s="10">
        <f t="shared" si="31"/>
        <v>0</v>
      </c>
      <c r="AL28" s="10">
        <f t="shared" si="31"/>
        <v>0</v>
      </c>
      <c r="AM28" s="10">
        <f t="shared" si="31"/>
        <v>0</v>
      </c>
      <c r="AN28" s="10">
        <f t="shared" si="31"/>
        <v>0</v>
      </c>
      <c r="AO28" s="10">
        <f t="shared" si="31"/>
        <v>0</v>
      </c>
      <c r="AP28" s="10">
        <f t="shared" si="31"/>
        <v>0</v>
      </c>
      <c r="AQ28" s="10">
        <f t="shared" si="31"/>
        <v>0</v>
      </c>
      <c r="AR28" s="10">
        <f t="shared" si="31"/>
        <v>0</v>
      </c>
      <c r="AS28" s="10">
        <f t="shared" si="31"/>
        <v>0</v>
      </c>
      <c r="AT28" s="10">
        <f t="shared" si="31"/>
        <v>0</v>
      </c>
      <c r="AU28" s="10">
        <f t="shared" si="31"/>
        <v>0</v>
      </c>
      <c r="AV28" s="10">
        <f t="shared" si="31"/>
        <v>0</v>
      </c>
      <c r="AW28" s="10">
        <f t="shared" si="31"/>
        <v>0</v>
      </c>
      <c r="AX28" s="10">
        <f t="shared" si="31"/>
        <v>0</v>
      </c>
      <c r="AY28" s="10">
        <f t="shared" si="31"/>
        <v>0</v>
      </c>
      <c r="AZ28" s="10">
        <f t="shared" si="31"/>
        <v>0</v>
      </c>
      <c r="BA28" s="10">
        <f t="shared" si="31"/>
        <v>0</v>
      </c>
      <c r="BB28" s="10">
        <f t="shared" si="31"/>
        <v>0</v>
      </c>
      <c r="BC28" s="10">
        <f t="shared" si="31"/>
        <v>0</v>
      </c>
      <c r="BD28" s="10">
        <f t="shared" si="31"/>
        <v>0</v>
      </c>
      <c r="BE28" s="10">
        <f t="shared" si="31"/>
        <v>0</v>
      </c>
      <c r="BF28" s="10">
        <f t="shared" si="31"/>
        <v>0</v>
      </c>
      <c r="BG28" s="10">
        <f t="shared" si="31"/>
        <v>0</v>
      </c>
      <c r="BH28" s="10">
        <f t="shared" si="31"/>
        <v>0</v>
      </c>
      <c r="BI28" s="10">
        <f t="shared" si="31"/>
        <v>0</v>
      </c>
      <c r="BJ28" s="10">
        <f t="shared" si="31"/>
        <v>0</v>
      </c>
      <c r="BK28" s="10">
        <f t="shared" si="31"/>
        <v>0</v>
      </c>
      <c r="BL28" s="10">
        <f t="shared" si="31"/>
        <v>0</v>
      </c>
      <c r="BM28" s="10">
        <f t="shared" si="31"/>
        <v>0</v>
      </c>
      <c r="BN28" s="10">
        <f t="shared" si="31"/>
        <v>0</v>
      </c>
      <c r="BO28" s="10">
        <f t="shared" si="31"/>
        <v>0</v>
      </c>
      <c r="BP28" s="10">
        <f t="shared" si="31"/>
        <v>0</v>
      </c>
      <c r="BQ28" s="10">
        <f t="shared" si="31"/>
        <v>0</v>
      </c>
      <c r="BR28" s="10">
        <f t="shared" si="31"/>
        <v>0</v>
      </c>
      <c r="BS28" s="10">
        <f t="shared" si="31"/>
        <v>0</v>
      </c>
      <c r="BT28" s="10">
        <f t="shared" si="31"/>
        <v>0</v>
      </c>
      <c r="BU28" s="10">
        <f t="shared" si="31"/>
        <v>0</v>
      </c>
      <c r="BV28" s="10">
        <f t="shared" si="31"/>
        <v>0</v>
      </c>
      <c r="BW28" s="10">
        <f t="shared" si="31"/>
        <v>0</v>
      </c>
      <c r="BX28" s="10">
        <f t="shared" ref="BX28:CO28" si="32">(Date_Forecast_Start&gt;End_of_period)*1</f>
        <v>0</v>
      </c>
      <c r="BY28" s="10">
        <f t="shared" si="32"/>
        <v>0</v>
      </c>
      <c r="BZ28" s="10">
        <f t="shared" si="32"/>
        <v>0</v>
      </c>
      <c r="CA28" s="10">
        <f t="shared" si="32"/>
        <v>0</v>
      </c>
      <c r="CB28" s="10">
        <f t="shared" si="32"/>
        <v>0</v>
      </c>
      <c r="CC28" s="10">
        <f t="shared" si="32"/>
        <v>0</v>
      </c>
      <c r="CD28" s="10">
        <f t="shared" si="32"/>
        <v>0</v>
      </c>
      <c r="CE28" s="10">
        <f t="shared" si="32"/>
        <v>0</v>
      </c>
      <c r="CF28" s="10">
        <f t="shared" si="32"/>
        <v>0</v>
      </c>
      <c r="CG28" s="10">
        <f t="shared" si="32"/>
        <v>0</v>
      </c>
      <c r="CH28" s="10">
        <f t="shared" si="32"/>
        <v>0</v>
      </c>
      <c r="CI28" s="10">
        <f t="shared" si="32"/>
        <v>0</v>
      </c>
      <c r="CJ28" s="10">
        <f t="shared" si="32"/>
        <v>0</v>
      </c>
      <c r="CK28" s="10">
        <f t="shared" si="32"/>
        <v>0</v>
      </c>
      <c r="CL28" s="10">
        <f t="shared" si="32"/>
        <v>0</v>
      </c>
      <c r="CM28" s="10">
        <f t="shared" si="32"/>
        <v>0</v>
      </c>
      <c r="CN28" s="10">
        <f t="shared" si="32"/>
        <v>0</v>
      </c>
      <c r="CO28" s="10">
        <f t="shared" si="32"/>
        <v>0</v>
      </c>
    </row>
    <row r="29" spans="1:93">
      <c r="A29" s="10"/>
      <c r="B29" s="10"/>
      <c r="C29" s="17" t="s">
        <v>449</v>
      </c>
      <c r="D29" s="10"/>
      <c r="E29" s="10"/>
      <c r="F29" s="62" t="s">
        <v>1181</v>
      </c>
      <c r="G29" s="11" t="str">
        <f>MIN(L29:CO29) &amp; ".." &amp; MAX(L29:CO29)</f>
        <v>0..1</v>
      </c>
      <c r="H29" s="10"/>
      <c r="I29" s="23">
        <f>SUM(L29:CO29)</f>
        <v>17</v>
      </c>
      <c r="J29" s="10"/>
      <c r="K29" s="10"/>
      <c r="L29" s="10">
        <f t="shared" ref="L29:BW29" si="33">(Date_Construction_Start&lt;=End_of_period)*(Date_Construction_End&gt;Beginning_of_period)</f>
        <v>1</v>
      </c>
      <c r="M29" s="10">
        <f t="shared" si="33"/>
        <v>1</v>
      </c>
      <c r="N29" s="10">
        <f t="shared" si="33"/>
        <v>1</v>
      </c>
      <c r="O29" s="10">
        <f t="shared" si="33"/>
        <v>1</v>
      </c>
      <c r="P29" s="10">
        <f t="shared" si="33"/>
        <v>1</v>
      </c>
      <c r="Q29" s="10">
        <f t="shared" si="33"/>
        <v>1</v>
      </c>
      <c r="R29" s="10">
        <f t="shared" si="33"/>
        <v>1</v>
      </c>
      <c r="S29" s="10">
        <f t="shared" si="33"/>
        <v>1</v>
      </c>
      <c r="T29" s="10">
        <f t="shared" si="33"/>
        <v>1</v>
      </c>
      <c r="U29" s="10">
        <f t="shared" si="33"/>
        <v>1</v>
      </c>
      <c r="V29" s="10">
        <f t="shared" si="33"/>
        <v>1</v>
      </c>
      <c r="W29" s="10">
        <f t="shared" si="33"/>
        <v>1</v>
      </c>
      <c r="X29" s="10">
        <f t="shared" si="33"/>
        <v>1</v>
      </c>
      <c r="Y29" s="10">
        <f t="shared" si="33"/>
        <v>1</v>
      </c>
      <c r="Z29" s="10">
        <f t="shared" si="33"/>
        <v>1</v>
      </c>
      <c r="AA29" s="10">
        <f t="shared" si="33"/>
        <v>1</v>
      </c>
      <c r="AB29" s="10">
        <f t="shared" si="33"/>
        <v>1</v>
      </c>
      <c r="AC29" s="10">
        <f t="shared" si="33"/>
        <v>0</v>
      </c>
      <c r="AD29" s="10">
        <f t="shared" si="33"/>
        <v>0</v>
      </c>
      <c r="AE29" s="10">
        <f t="shared" si="33"/>
        <v>0</v>
      </c>
      <c r="AF29" s="10">
        <f t="shared" si="33"/>
        <v>0</v>
      </c>
      <c r="AG29" s="10">
        <f t="shared" si="33"/>
        <v>0</v>
      </c>
      <c r="AH29" s="10">
        <f t="shared" si="33"/>
        <v>0</v>
      </c>
      <c r="AI29" s="10">
        <f t="shared" si="33"/>
        <v>0</v>
      </c>
      <c r="AJ29" s="10">
        <f t="shared" si="33"/>
        <v>0</v>
      </c>
      <c r="AK29" s="10">
        <f t="shared" si="33"/>
        <v>0</v>
      </c>
      <c r="AL29" s="10">
        <f t="shared" si="33"/>
        <v>0</v>
      </c>
      <c r="AM29" s="10">
        <f t="shared" si="33"/>
        <v>0</v>
      </c>
      <c r="AN29" s="10">
        <f t="shared" si="33"/>
        <v>0</v>
      </c>
      <c r="AO29" s="10">
        <f t="shared" si="33"/>
        <v>0</v>
      </c>
      <c r="AP29" s="10">
        <f t="shared" si="33"/>
        <v>0</v>
      </c>
      <c r="AQ29" s="10">
        <f t="shared" si="33"/>
        <v>0</v>
      </c>
      <c r="AR29" s="10">
        <f t="shared" si="33"/>
        <v>0</v>
      </c>
      <c r="AS29" s="10">
        <f t="shared" si="33"/>
        <v>0</v>
      </c>
      <c r="AT29" s="10">
        <f t="shared" si="33"/>
        <v>0</v>
      </c>
      <c r="AU29" s="10">
        <f t="shared" si="33"/>
        <v>0</v>
      </c>
      <c r="AV29" s="10">
        <f t="shared" si="33"/>
        <v>0</v>
      </c>
      <c r="AW29" s="10">
        <f t="shared" si="33"/>
        <v>0</v>
      </c>
      <c r="AX29" s="10">
        <f t="shared" si="33"/>
        <v>0</v>
      </c>
      <c r="AY29" s="10">
        <f t="shared" si="33"/>
        <v>0</v>
      </c>
      <c r="AZ29" s="10">
        <f t="shared" si="33"/>
        <v>0</v>
      </c>
      <c r="BA29" s="10">
        <f t="shared" si="33"/>
        <v>0</v>
      </c>
      <c r="BB29" s="10">
        <f t="shared" si="33"/>
        <v>0</v>
      </c>
      <c r="BC29" s="10">
        <f t="shared" si="33"/>
        <v>0</v>
      </c>
      <c r="BD29" s="10">
        <f t="shared" si="33"/>
        <v>0</v>
      </c>
      <c r="BE29" s="10">
        <f t="shared" si="33"/>
        <v>0</v>
      </c>
      <c r="BF29" s="10">
        <f t="shared" si="33"/>
        <v>0</v>
      </c>
      <c r="BG29" s="10">
        <f t="shared" si="33"/>
        <v>0</v>
      </c>
      <c r="BH29" s="10">
        <f t="shared" si="33"/>
        <v>0</v>
      </c>
      <c r="BI29" s="10">
        <f t="shared" si="33"/>
        <v>0</v>
      </c>
      <c r="BJ29" s="10">
        <f t="shared" si="33"/>
        <v>0</v>
      </c>
      <c r="BK29" s="10">
        <f t="shared" si="33"/>
        <v>0</v>
      </c>
      <c r="BL29" s="10">
        <f t="shared" si="33"/>
        <v>0</v>
      </c>
      <c r="BM29" s="10">
        <f t="shared" si="33"/>
        <v>0</v>
      </c>
      <c r="BN29" s="10">
        <f t="shared" si="33"/>
        <v>0</v>
      </c>
      <c r="BO29" s="10">
        <f t="shared" si="33"/>
        <v>0</v>
      </c>
      <c r="BP29" s="10">
        <f t="shared" si="33"/>
        <v>0</v>
      </c>
      <c r="BQ29" s="10">
        <f t="shared" si="33"/>
        <v>0</v>
      </c>
      <c r="BR29" s="10">
        <f t="shared" si="33"/>
        <v>0</v>
      </c>
      <c r="BS29" s="10">
        <f t="shared" si="33"/>
        <v>0</v>
      </c>
      <c r="BT29" s="10">
        <f t="shared" si="33"/>
        <v>0</v>
      </c>
      <c r="BU29" s="10">
        <f t="shared" si="33"/>
        <v>0</v>
      </c>
      <c r="BV29" s="10">
        <f t="shared" si="33"/>
        <v>0</v>
      </c>
      <c r="BW29" s="10">
        <f t="shared" si="33"/>
        <v>0</v>
      </c>
      <c r="BX29" s="10">
        <f t="shared" ref="BX29:CO29" si="34">(Date_Construction_Start&lt;=End_of_period)*(Date_Construction_End&gt;Beginning_of_period)</f>
        <v>0</v>
      </c>
      <c r="BY29" s="10">
        <f t="shared" si="34"/>
        <v>0</v>
      </c>
      <c r="BZ29" s="10">
        <f t="shared" si="34"/>
        <v>0</v>
      </c>
      <c r="CA29" s="10">
        <f t="shared" si="34"/>
        <v>0</v>
      </c>
      <c r="CB29" s="10">
        <f t="shared" si="34"/>
        <v>0</v>
      </c>
      <c r="CC29" s="10">
        <f t="shared" si="34"/>
        <v>0</v>
      </c>
      <c r="CD29" s="10">
        <f t="shared" si="34"/>
        <v>0</v>
      </c>
      <c r="CE29" s="10">
        <f t="shared" si="34"/>
        <v>0</v>
      </c>
      <c r="CF29" s="10">
        <f t="shared" si="34"/>
        <v>0</v>
      </c>
      <c r="CG29" s="10">
        <f t="shared" si="34"/>
        <v>0</v>
      </c>
      <c r="CH29" s="10">
        <f t="shared" si="34"/>
        <v>0</v>
      </c>
      <c r="CI29" s="10">
        <f t="shared" si="34"/>
        <v>0</v>
      </c>
      <c r="CJ29" s="10">
        <f t="shared" si="34"/>
        <v>0</v>
      </c>
      <c r="CK29" s="10">
        <f t="shared" si="34"/>
        <v>0</v>
      </c>
      <c r="CL29" s="10">
        <f t="shared" si="34"/>
        <v>0</v>
      </c>
      <c r="CM29" s="10">
        <f t="shared" si="34"/>
        <v>0</v>
      </c>
      <c r="CN29" s="10">
        <f t="shared" si="34"/>
        <v>0</v>
      </c>
      <c r="CO29" s="10">
        <f t="shared" si="34"/>
        <v>0</v>
      </c>
    </row>
    <row r="30" spans="1:93">
      <c r="A30" s="10"/>
      <c r="B30" s="10"/>
      <c r="C30" s="17" t="s">
        <v>450</v>
      </c>
      <c r="D30" s="10"/>
      <c r="E30" s="10"/>
      <c r="F30" s="62" t="s">
        <v>1182</v>
      </c>
      <c r="G30" s="11" t="str">
        <f>MIN(L30:CO30) &amp; ".." &amp; MAX(L30:CO30)</f>
        <v>0..1</v>
      </c>
      <c r="H30" s="10"/>
      <c r="I30" s="23">
        <f>SUM(L30:CO30)</f>
        <v>65</v>
      </c>
      <c r="J30" s="149"/>
      <c r="K30" s="10"/>
      <c r="L30" s="10">
        <f t="shared" ref="L30:BW30" si="35">(Date_Operations_Start&lt;End_of_period)*(Date_Operations_End&gt;Beginning_of_period)</f>
        <v>0</v>
      </c>
      <c r="M30" s="10">
        <f t="shared" si="35"/>
        <v>0</v>
      </c>
      <c r="N30" s="10">
        <f t="shared" si="35"/>
        <v>0</v>
      </c>
      <c r="O30" s="10">
        <f t="shared" si="35"/>
        <v>0</v>
      </c>
      <c r="P30" s="10">
        <f t="shared" si="35"/>
        <v>0</v>
      </c>
      <c r="Q30" s="10">
        <f t="shared" si="35"/>
        <v>0</v>
      </c>
      <c r="R30" s="10">
        <f t="shared" si="35"/>
        <v>0</v>
      </c>
      <c r="S30" s="10">
        <f t="shared" si="35"/>
        <v>0</v>
      </c>
      <c r="T30" s="10">
        <f t="shared" si="35"/>
        <v>0</v>
      </c>
      <c r="U30" s="10">
        <f t="shared" si="35"/>
        <v>0</v>
      </c>
      <c r="V30" s="10">
        <f t="shared" si="35"/>
        <v>0</v>
      </c>
      <c r="W30" s="10">
        <f t="shared" si="35"/>
        <v>0</v>
      </c>
      <c r="X30" s="10">
        <f t="shared" si="35"/>
        <v>0</v>
      </c>
      <c r="Y30" s="10">
        <f t="shared" si="35"/>
        <v>0</v>
      </c>
      <c r="Z30" s="10">
        <f t="shared" si="35"/>
        <v>0</v>
      </c>
      <c r="AA30" s="10">
        <f t="shared" si="35"/>
        <v>0</v>
      </c>
      <c r="AB30" s="10">
        <f t="shared" si="35"/>
        <v>0</v>
      </c>
      <c r="AC30" s="10">
        <f t="shared" si="35"/>
        <v>1</v>
      </c>
      <c r="AD30" s="10">
        <f t="shared" si="35"/>
        <v>1</v>
      </c>
      <c r="AE30" s="10">
        <f t="shared" si="35"/>
        <v>1</v>
      </c>
      <c r="AF30" s="10">
        <f t="shared" si="35"/>
        <v>1</v>
      </c>
      <c r="AG30" s="10">
        <f t="shared" si="35"/>
        <v>1</v>
      </c>
      <c r="AH30" s="10">
        <f t="shared" si="35"/>
        <v>1</v>
      </c>
      <c r="AI30" s="10">
        <f t="shared" si="35"/>
        <v>1</v>
      </c>
      <c r="AJ30" s="10">
        <f t="shared" si="35"/>
        <v>1</v>
      </c>
      <c r="AK30" s="10">
        <f t="shared" si="35"/>
        <v>1</v>
      </c>
      <c r="AL30" s="10">
        <f t="shared" si="35"/>
        <v>1</v>
      </c>
      <c r="AM30" s="10">
        <f t="shared" si="35"/>
        <v>1</v>
      </c>
      <c r="AN30" s="10">
        <f t="shared" si="35"/>
        <v>1</v>
      </c>
      <c r="AO30" s="10">
        <f t="shared" si="35"/>
        <v>1</v>
      </c>
      <c r="AP30" s="10">
        <f t="shared" si="35"/>
        <v>1</v>
      </c>
      <c r="AQ30" s="10">
        <f t="shared" si="35"/>
        <v>1</v>
      </c>
      <c r="AR30" s="10">
        <f t="shared" si="35"/>
        <v>1</v>
      </c>
      <c r="AS30" s="10">
        <f t="shared" si="35"/>
        <v>1</v>
      </c>
      <c r="AT30" s="10">
        <f t="shared" si="35"/>
        <v>1</v>
      </c>
      <c r="AU30" s="10">
        <f t="shared" si="35"/>
        <v>1</v>
      </c>
      <c r="AV30" s="10">
        <f t="shared" si="35"/>
        <v>1</v>
      </c>
      <c r="AW30" s="10">
        <f t="shared" si="35"/>
        <v>1</v>
      </c>
      <c r="AX30" s="10">
        <f t="shared" si="35"/>
        <v>1</v>
      </c>
      <c r="AY30" s="10">
        <f t="shared" si="35"/>
        <v>1</v>
      </c>
      <c r="AZ30" s="10">
        <f t="shared" si="35"/>
        <v>1</v>
      </c>
      <c r="BA30" s="10">
        <f t="shared" si="35"/>
        <v>1</v>
      </c>
      <c r="BB30" s="10">
        <f t="shared" si="35"/>
        <v>1</v>
      </c>
      <c r="BC30" s="10">
        <f t="shared" si="35"/>
        <v>1</v>
      </c>
      <c r="BD30" s="10">
        <f t="shared" si="35"/>
        <v>1</v>
      </c>
      <c r="BE30" s="10">
        <f t="shared" si="35"/>
        <v>1</v>
      </c>
      <c r="BF30" s="10">
        <f t="shared" si="35"/>
        <v>1</v>
      </c>
      <c r="BG30" s="10">
        <f t="shared" si="35"/>
        <v>1</v>
      </c>
      <c r="BH30" s="10">
        <f t="shared" si="35"/>
        <v>1</v>
      </c>
      <c r="BI30" s="10">
        <f t="shared" si="35"/>
        <v>1</v>
      </c>
      <c r="BJ30" s="10">
        <f t="shared" si="35"/>
        <v>1</v>
      </c>
      <c r="BK30" s="10">
        <f t="shared" si="35"/>
        <v>1</v>
      </c>
      <c r="BL30" s="10">
        <f t="shared" si="35"/>
        <v>1</v>
      </c>
      <c r="BM30" s="10">
        <f t="shared" si="35"/>
        <v>1</v>
      </c>
      <c r="BN30" s="10">
        <f t="shared" si="35"/>
        <v>1</v>
      </c>
      <c r="BO30" s="10">
        <f t="shared" si="35"/>
        <v>1</v>
      </c>
      <c r="BP30" s="10">
        <f t="shared" si="35"/>
        <v>1</v>
      </c>
      <c r="BQ30" s="10">
        <f t="shared" si="35"/>
        <v>1</v>
      </c>
      <c r="BR30" s="10">
        <f t="shared" si="35"/>
        <v>1</v>
      </c>
      <c r="BS30" s="10">
        <f t="shared" si="35"/>
        <v>1</v>
      </c>
      <c r="BT30" s="10">
        <f t="shared" si="35"/>
        <v>1</v>
      </c>
      <c r="BU30" s="10">
        <f t="shared" si="35"/>
        <v>1</v>
      </c>
      <c r="BV30" s="10">
        <f t="shared" si="35"/>
        <v>1</v>
      </c>
      <c r="BW30" s="10">
        <f t="shared" si="35"/>
        <v>1</v>
      </c>
      <c r="BX30" s="10">
        <f t="shared" ref="BX30:CO30" si="36">(Date_Operations_Start&lt;End_of_period)*(Date_Operations_End&gt;Beginning_of_period)</f>
        <v>1</v>
      </c>
      <c r="BY30" s="10">
        <f t="shared" si="36"/>
        <v>1</v>
      </c>
      <c r="BZ30" s="10">
        <f t="shared" si="36"/>
        <v>1</v>
      </c>
      <c r="CA30" s="10">
        <f t="shared" si="36"/>
        <v>1</v>
      </c>
      <c r="CB30" s="10">
        <f t="shared" si="36"/>
        <v>1</v>
      </c>
      <c r="CC30" s="10">
        <f t="shared" si="36"/>
        <v>1</v>
      </c>
      <c r="CD30" s="10">
        <f t="shared" si="36"/>
        <v>1</v>
      </c>
      <c r="CE30" s="10">
        <f t="shared" si="36"/>
        <v>1</v>
      </c>
      <c r="CF30" s="10">
        <f t="shared" si="36"/>
        <v>1</v>
      </c>
      <c r="CG30" s="10">
        <f t="shared" si="36"/>
        <v>1</v>
      </c>
      <c r="CH30" s="10">
        <f t="shared" si="36"/>
        <v>1</v>
      </c>
      <c r="CI30" s="10">
        <f t="shared" si="36"/>
        <v>1</v>
      </c>
      <c r="CJ30" s="10">
        <f t="shared" si="36"/>
        <v>1</v>
      </c>
      <c r="CK30" s="10">
        <f t="shared" si="36"/>
        <v>1</v>
      </c>
      <c r="CL30" s="10">
        <f t="shared" si="36"/>
        <v>1</v>
      </c>
      <c r="CM30" s="10">
        <f t="shared" si="36"/>
        <v>1</v>
      </c>
      <c r="CN30" s="10">
        <f t="shared" si="36"/>
        <v>1</v>
      </c>
      <c r="CO30" s="10">
        <f t="shared" si="36"/>
        <v>1</v>
      </c>
    </row>
    <row r="31" spans="1:93">
      <c r="A31" s="10"/>
      <c r="B31" s="10"/>
      <c r="C31" s="17"/>
      <c r="D31" s="10"/>
      <c r="E31" s="10"/>
      <c r="F31" s="10"/>
      <c r="G31" s="11"/>
      <c r="H31" s="10"/>
      <c r="I31" s="10"/>
      <c r="J31" s="149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</row>
    <row r="32" spans="1:93">
      <c r="A32" s="10"/>
      <c r="B32" s="10"/>
      <c r="C32" s="399" t="str">
        <f>Контр_панель!C42</f>
        <v>Транспортная инфраструктура</v>
      </c>
      <c r="D32" s="10"/>
      <c r="E32" s="10"/>
      <c r="F32" s="10"/>
      <c r="G32" s="11" t="str">
        <f t="shared" ref="G32:G37" si="37">MIN(L32:CO32) &amp; ".." &amp; MAX(L32:CO32)</f>
        <v>0..1</v>
      </c>
      <c r="H32" s="10"/>
      <c r="I32" s="23">
        <f t="shared" ref="I32:I37" si="38">SUM(L32:CO32)</f>
        <v>17</v>
      </c>
      <c r="J32" s="149"/>
      <c r="K32" s="10"/>
      <c r="L32" s="10">
        <f t="shared" ref="L32:R32" si="39">(SUM(L121:L123) &gt; 0) * 1</f>
        <v>1</v>
      </c>
      <c r="M32" s="10">
        <f t="shared" si="39"/>
        <v>1</v>
      </c>
      <c r="N32" s="10">
        <f t="shared" si="39"/>
        <v>1</v>
      </c>
      <c r="O32" s="10">
        <f t="shared" si="39"/>
        <v>1</v>
      </c>
      <c r="P32" s="10">
        <f t="shared" si="39"/>
        <v>1</v>
      </c>
      <c r="Q32" s="10">
        <f t="shared" si="39"/>
        <v>1</v>
      </c>
      <c r="R32" s="10">
        <f t="shared" si="39"/>
        <v>1</v>
      </c>
      <c r="S32" s="10">
        <f>(SUM(S121:S123) &gt; 0) * 1</f>
        <v>1</v>
      </c>
      <c r="T32" s="10">
        <f t="shared" ref="T32:CE32" si="40">(SUM(T121:T123) &gt; 0) * 1</f>
        <v>1</v>
      </c>
      <c r="U32" s="10">
        <f t="shared" si="40"/>
        <v>1</v>
      </c>
      <c r="V32" s="10">
        <f t="shared" si="40"/>
        <v>1</v>
      </c>
      <c r="W32" s="10">
        <f t="shared" si="40"/>
        <v>1</v>
      </c>
      <c r="X32" s="10">
        <f t="shared" si="40"/>
        <v>1</v>
      </c>
      <c r="Y32" s="10">
        <f t="shared" si="40"/>
        <v>1</v>
      </c>
      <c r="Z32" s="10">
        <f t="shared" si="40"/>
        <v>1</v>
      </c>
      <c r="AA32" s="10">
        <f t="shared" si="40"/>
        <v>1</v>
      </c>
      <c r="AB32" s="10">
        <f t="shared" si="40"/>
        <v>1</v>
      </c>
      <c r="AC32" s="10">
        <f t="shared" si="40"/>
        <v>0</v>
      </c>
      <c r="AD32" s="10">
        <f t="shared" si="40"/>
        <v>0</v>
      </c>
      <c r="AE32" s="10">
        <f t="shared" si="40"/>
        <v>0</v>
      </c>
      <c r="AF32" s="10">
        <f t="shared" si="40"/>
        <v>0</v>
      </c>
      <c r="AG32" s="10">
        <f t="shared" si="40"/>
        <v>0</v>
      </c>
      <c r="AH32" s="10">
        <f t="shared" si="40"/>
        <v>0</v>
      </c>
      <c r="AI32" s="10">
        <f t="shared" si="40"/>
        <v>0</v>
      </c>
      <c r="AJ32" s="10">
        <f t="shared" si="40"/>
        <v>0</v>
      </c>
      <c r="AK32" s="10">
        <f t="shared" si="40"/>
        <v>0</v>
      </c>
      <c r="AL32" s="10">
        <f t="shared" si="40"/>
        <v>0</v>
      </c>
      <c r="AM32" s="10">
        <f t="shared" si="40"/>
        <v>0</v>
      </c>
      <c r="AN32" s="10">
        <f t="shared" si="40"/>
        <v>0</v>
      </c>
      <c r="AO32" s="10">
        <f t="shared" si="40"/>
        <v>0</v>
      </c>
      <c r="AP32" s="10">
        <f t="shared" si="40"/>
        <v>0</v>
      </c>
      <c r="AQ32" s="10">
        <f t="shared" si="40"/>
        <v>0</v>
      </c>
      <c r="AR32" s="10">
        <f t="shared" si="40"/>
        <v>0</v>
      </c>
      <c r="AS32" s="10">
        <f t="shared" si="40"/>
        <v>0</v>
      </c>
      <c r="AT32" s="10">
        <f t="shared" si="40"/>
        <v>0</v>
      </c>
      <c r="AU32" s="10">
        <f t="shared" si="40"/>
        <v>0</v>
      </c>
      <c r="AV32" s="10">
        <f t="shared" si="40"/>
        <v>0</v>
      </c>
      <c r="AW32" s="10">
        <f t="shared" si="40"/>
        <v>0</v>
      </c>
      <c r="AX32" s="10">
        <f t="shared" si="40"/>
        <v>0</v>
      </c>
      <c r="AY32" s="10">
        <f t="shared" si="40"/>
        <v>0</v>
      </c>
      <c r="AZ32" s="10">
        <f t="shared" si="40"/>
        <v>0</v>
      </c>
      <c r="BA32" s="10">
        <f t="shared" si="40"/>
        <v>0</v>
      </c>
      <c r="BB32" s="10">
        <f t="shared" si="40"/>
        <v>0</v>
      </c>
      <c r="BC32" s="10">
        <f t="shared" si="40"/>
        <v>0</v>
      </c>
      <c r="BD32" s="10">
        <f t="shared" si="40"/>
        <v>0</v>
      </c>
      <c r="BE32" s="10">
        <f t="shared" si="40"/>
        <v>0</v>
      </c>
      <c r="BF32" s="10">
        <f t="shared" si="40"/>
        <v>0</v>
      </c>
      <c r="BG32" s="10">
        <f t="shared" si="40"/>
        <v>0</v>
      </c>
      <c r="BH32" s="10">
        <f t="shared" si="40"/>
        <v>0</v>
      </c>
      <c r="BI32" s="10">
        <f t="shared" si="40"/>
        <v>0</v>
      </c>
      <c r="BJ32" s="10">
        <f t="shared" si="40"/>
        <v>0</v>
      </c>
      <c r="BK32" s="10">
        <f t="shared" si="40"/>
        <v>0</v>
      </c>
      <c r="BL32" s="10">
        <f t="shared" si="40"/>
        <v>0</v>
      </c>
      <c r="BM32" s="10">
        <f t="shared" si="40"/>
        <v>0</v>
      </c>
      <c r="BN32" s="10">
        <f t="shared" si="40"/>
        <v>0</v>
      </c>
      <c r="BO32" s="10">
        <f t="shared" si="40"/>
        <v>0</v>
      </c>
      <c r="BP32" s="10">
        <f t="shared" si="40"/>
        <v>0</v>
      </c>
      <c r="BQ32" s="10">
        <f t="shared" si="40"/>
        <v>0</v>
      </c>
      <c r="BR32" s="10">
        <f t="shared" si="40"/>
        <v>0</v>
      </c>
      <c r="BS32" s="10">
        <f t="shared" si="40"/>
        <v>0</v>
      </c>
      <c r="BT32" s="10">
        <f t="shared" si="40"/>
        <v>0</v>
      </c>
      <c r="BU32" s="10">
        <f t="shared" si="40"/>
        <v>0</v>
      </c>
      <c r="BV32" s="10">
        <f t="shared" si="40"/>
        <v>0</v>
      </c>
      <c r="BW32" s="10">
        <f t="shared" si="40"/>
        <v>0</v>
      </c>
      <c r="BX32" s="10">
        <f t="shared" si="40"/>
        <v>0</v>
      </c>
      <c r="BY32" s="10">
        <f t="shared" si="40"/>
        <v>0</v>
      </c>
      <c r="BZ32" s="10">
        <f t="shared" si="40"/>
        <v>0</v>
      </c>
      <c r="CA32" s="10">
        <f t="shared" si="40"/>
        <v>0</v>
      </c>
      <c r="CB32" s="10">
        <f t="shared" si="40"/>
        <v>0</v>
      </c>
      <c r="CC32" s="10">
        <f t="shared" si="40"/>
        <v>0</v>
      </c>
      <c r="CD32" s="10">
        <f t="shared" si="40"/>
        <v>0</v>
      </c>
      <c r="CE32" s="10">
        <f t="shared" si="40"/>
        <v>0</v>
      </c>
      <c r="CF32" s="10">
        <f t="shared" ref="CF32:CO32" si="41">(SUM(CF121:CF123) &gt; 0) * 1</f>
        <v>0</v>
      </c>
      <c r="CG32" s="10">
        <f t="shared" si="41"/>
        <v>0</v>
      </c>
      <c r="CH32" s="10">
        <f t="shared" si="41"/>
        <v>0</v>
      </c>
      <c r="CI32" s="10">
        <f t="shared" si="41"/>
        <v>0</v>
      </c>
      <c r="CJ32" s="10">
        <f t="shared" si="41"/>
        <v>0</v>
      </c>
      <c r="CK32" s="10">
        <f t="shared" si="41"/>
        <v>0</v>
      </c>
      <c r="CL32" s="10">
        <f t="shared" si="41"/>
        <v>0</v>
      </c>
      <c r="CM32" s="10">
        <f t="shared" si="41"/>
        <v>0</v>
      </c>
      <c r="CN32" s="10">
        <f t="shared" si="41"/>
        <v>0</v>
      </c>
      <c r="CO32" s="10">
        <f t="shared" si="41"/>
        <v>0</v>
      </c>
    </row>
    <row r="33" spans="1:93">
      <c r="A33" s="10"/>
      <c r="B33" s="10"/>
      <c r="C33" s="399" t="str">
        <f>Контр_панель!C43</f>
        <v>Коммунальная инфраструктура</v>
      </c>
      <c r="D33" s="10"/>
      <c r="E33" s="10"/>
      <c r="F33" s="10"/>
      <c r="G33" s="11" t="str">
        <f t="shared" si="37"/>
        <v>0..0</v>
      </c>
      <c r="H33" s="10"/>
      <c r="I33" s="23">
        <f t="shared" si="38"/>
        <v>0</v>
      </c>
      <c r="J33" s="149"/>
      <c r="K33" s="10"/>
      <c r="L33" s="10">
        <f t="shared" ref="L33:R33" si="42">(SUM(L133:L135) &gt; 0) * 1</f>
        <v>0</v>
      </c>
      <c r="M33" s="10">
        <f t="shared" si="42"/>
        <v>0</v>
      </c>
      <c r="N33" s="10">
        <f t="shared" si="42"/>
        <v>0</v>
      </c>
      <c r="O33" s="10">
        <f t="shared" si="42"/>
        <v>0</v>
      </c>
      <c r="P33" s="10">
        <f t="shared" si="42"/>
        <v>0</v>
      </c>
      <c r="Q33" s="10">
        <f t="shared" si="42"/>
        <v>0</v>
      </c>
      <c r="R33" s="10">
        <f t="shared" si="42"/>
        <v>0</v>
      </c>
      <c r="S33" s="10">
        <f>(SUM(S133:S135) &gt; 0) * 1</f>
        <v>0</v>
      </c>
      <c r="T33" s="10">
        <f t="shared" ref="T33:CE33" si="43">(SUM(T133:T135) &gt; 0) * 1</f>
        <v>0</v>
      </c>
      <c r="U33" s="10">
        <f t="shared" si="43"/>
        <v>0</v>
      </c>
      <c r="V33" s="10">
        <f t="shared" si="43"/>
        <v>0</v>
      </c>
      <c r="W33" s="10">
        <f t="shared" si="43"/>
        <v>0</v>
      </c>
      <c r="X33" s="10">
        <f t="shared" si="43"/>
        <v>0</v>
      </c>
      <c r="Y33" s="10">
        <f t="shared" si="43"/>
        <v>0</v>
      </c>
      <c r="Z33" s="10">
        <f t="shared" si="43"/>
        <v>0</v>
      </c>
      <c r="AA33" s="10">
        <f t="shared" si="43"/>
        <v>0</v>
      </c>
      <c r="AB33" s="10">
        <f t="shared" si="43"/>
        <v>0</v>
      </c>
      <c r="AC33" s="10">
        <f t="shared" si="43"/>
        <v>0</v>
      </c>
      <c r="AD33" s="10">
        <f t="shared" si="43"/>
        <v>0</v>
      </c>
      <c r="AE33" s="10">
        <f t="shared" si="43"/>
        <v>0</v>
      </c>
      <c r="AF33" s="10">
        <f t="shared" si="43"/>
        <v>0</v>
      </c>
      <c r="AG33" s="10">
        <f t="shared" si="43"/>
        <v>0</v>
      </c>
      <c r="AH33" s="10">
        <f t="shared" si="43"/>
        <v>0</v>
      </c>
      <c r="AI33" s="10">
        <f t="shared" si="43"/>
        <v>0</v>
      </c>
      <c r="AJ33" s="10">
        <f t="shared" si="43"/>
        <v>0</v>
      </c>
      <c r="AK33" s="10">
        <f t="shared" si="43"/>
        <v>0</v>
      </c>
      <c r="AL33" s="10">
        <f t="shared" si="43"/>
        <v>0</v>
      </c>
      <c r="AM33" s="10">
        <f t="shared" si="43"/>
        <v>0</v>
      </c>
      <c r="AN33" s="10">
        <f t="shared" si="43"/>
        <v>0</v>
      </c>
      <c r="AO33" s="10">
        <f t="shared" si="43"/>
        <v>0</v>
      </c>
      <c r="AP33" s="10">
        <f t="shared" si="43"/>
        <v>0</v>
      </c>
      <c r="AQ33" s="10">
        <f t="shared" si="43"/>
        <v>0</v>
      </c>
      <c r="AR33" s="10">
        <f t="shared" si="43"/>
        <v>0</v>
      </c>
      <c r="AS33" s="10">
        <f t="shared" si="43"/>
        <v>0</v>
      </c>
      <c r="AT33" s="10">
        <f t="shared" si="43"/>
        <v>0</v>
      </c>
      <c r="AU33" s="10">
        <f t="shared" si="43"/>
        <v>0</v>
      </c>
      <c r="AV33" s="10">
        <f t="shared" si="43"/>
        <v>0</v>
      </c>
      <c r="AW33" s="10">
        <f t="shared" si="43"/>
        <v>0</v>
      </c>
      <c r="AX33" s="10">
        <f t="shared" si="43"/>
        <v>0</v>
      </c>
      <c r="AY33" s="10">
        <f t="shared" si="43"/>
        <v>0</v>
      </c>
      <c r="AZ33" s="10">
        <f t="shared" si="43"/>
        <v>0</v>
      </c>
      <c r="BA33" s="10">
        <f t="shared" si="43"/>
        <v>0</v>
      </c>
      <c r="BB33" s="10">
        <f t="shared" si="43"/>
        <v>0</v>
      </c>
      <c r="BC33" s="10">
        <f t="shared" si="43"/>
        <v>0</v>
      </c>
      <c r="BD33" s="10">
        <f t="shared" si="43"/>
        <v>0</v>
      </c>
      <c r="BE33" s="10">
        <f t="shared" si="43"/>
        <v>0</v>
      </c>
      <c r="BF33" s="10">
        <f t="shared" si="43"/>
        <v>0</v>
      </c>
      <c r="BG33" s="10">
        <f t="shared" si="43"/>
        <v>0</v>
      </c>
      <c r="BH33" s="10">
        <f t="shared" si="43"/>
        <v>0</v>
      </c>
      <c r="BI33" s="10">
        <f t="shared" si="43"/>
        <v>0</v>
      </c>
      <c r="BJ33" s="10">
        <f t="shared" si="43"/>
        <v>0</v>
      </c>
      <c r="BK33" s="10">
        <f t="shared" si="43"/>
        <v>0</v>
      </c>
      <c r="BL33" s="10">
        <f t="shared" si="43"/>
        <v>0</v>
      </c>
      <c r="BM33" s="10">
        <f t="shared" si="43"/>
        <v>0</v>
      </c>
      <c r="BN33" s="10">
        <f t="shared" si="43"/>
        <v>0</v>
      </c>
      <c r="BO33" s="10">
        <f t="shared" si="43"/>
        <v>0</v>
      </c>
      <c r="BP33" s="10">
        <f t="shared" si="43"/>
        <v>0</v>
      </c>
      <c r="BQ33" s="10">
        <f t="shared" si="43"/>
        <v>0</v>
      </c>
      <c r="BR33" s="10">
        <f t="shared" si="43"/>
        <v>0</v>
      </c>
      <c r="BS33" s="10">
        <f t="shared" si="43"/>
        <v>0</v>
      </c>
      <c r="BT33" s="10">
        <f t="shared" si="43"/>
        <v>0</v>
      </c>
      <c r="BU33" s="10">
        <f t="shared" si="43"/>
        <v>0</v>
      </c>
      <c r="BV33" s="10">
        <f t="shared" si="43"/>
        <v>0</v>
      </c>
      <c r="BW33" s="10">
        <f t="shared" si="43"/>
        <v>0</v>
      </c>
      <c r="BX33" s="10">
        <f t="shared" si="43"/>
        <v>0</v>
      </c>
      <c r="BY33" s="10">
        <f t="shared" si="43"/>
        <v>0</v>
      </c>
      <c r="BZ33" s="10">
        <f t="shared" si="43"/>
        <v>0</v>
      </c>
      <c r="CA33" s="10">
        <f t="shared" si="43"/>
        <v>0</v>
      </c>
      <c r="CB33" s="10">
        <f t="shared" si="43"/>
        <v>0</v>
      </c>
      <c r="CC33" s="10">
        <f t="shared" si="43"/>
        <v>0</v>
      </c>
      <c r="CD33" s="10">
        <f t="shared" si="43"/>
        <v>0</v>
      </c>
      <c r="CE33" s="10">
        <f t="shared" si="43"/>
        <v>0</v>
      </c>
      <c r="CF33" s="10">
        <f t="shared" ref="CF33:CO33" si="44">(SUM(CF133:CF135) &gt; 0) * 1</f>
        <v>0</v>
      </c>
      <c r="CG33" s="10">
        <f t="shared" si="44"/>
        <v>0</v>
      </c>
      <c r="CH33" s="10">
        <f t="shared" si="44"/>
        <v>0</v>
      </c>
      <c r="CI33" s="10">
        <f t="shared" si="44"/>
        <v>0</v>
      </c>
      <c r="CJ33" s="10">
        <f t="shared" si="44"/>
        <v>0</v>
      </c>
      <c r="CK33" s="10">
        <f t="shared" si="44"/>
        <v>0</v>
      </c>
      <c r="CL33" s="10">
        <f t="shared" si="44"/>
        <v>0</v>
      </c>
      <c r="CM33" s="10">
        <f t="shared" si="44"/>
        <v>0</v>
      </c>
      <c r="CN33" s="10">
        <f t="shared" si="44"/>
        <v>0</v>
      </c>
      <c r="CO33" s="10">
        <f t="shared" si="44"/>
        <v>0</v>
      </c>
    </row>
    <row r="34" spans="1:93">
      <c r="A34" s="10"/>
      <c r="B34" s="10"/>
      <c r="C34" s="399" t="str">
        <f>Контр_панель!C44</f>
        <v>Прочая обеспечивающая инфраструктура</v>
      </c>
      <c r="D34" s="10"/>
      <c r="E34" s="10"/>
      <c r="F34" s="10"/>
      <c r="G34" s="11" t="str">
        <f t="shared" si="37"/>
        <v>0..0</v>
      </c>
      <c r="H34" s="10"/>
      <c r="I34" s="23">
        <f t="shared" si="38"/>
        <v>0</v>
      </c>
      <c r="J34" s="149"/>
      <c r="K34" s="10"/>
      <c r="L34" s="10">
        <f t="shared" ref="L34:R34" si="45">(SUM(L145:L147) &gt; 0) * 1</f>
        <v>0</v>
      </c>
      <c r="M34" s="10">
        <f t="shared" si="45"/>
        <v>0</v>
      </c>
      <c r="N34" s="10">
        <f t="shared" si="45"/>
        <v>0</v>
      </c>
      <c r="O34" s="10">
        <f t="shared" si="45"/>
        <v>0</v>
      </c>
      <c r="P34" s="10">
        <f t="shared" si="45"/>
        <v>0</v>
      </c>
      <c r="Q34" s="10">
        <f t="shared" si="45"/>
        <v>0</v>
      </c>
      <c r="R34" s="10">
        <f t="shared" si="45"/>
        <v>0</v>
      </c>
      <c r="S34" s="10">
        <f>(SUM(S145:S147) &gt; 0) * 1</f>
        <v>0</v>
      </c>
      <c r="T34" s="10">
        <f t="shared" ref="T34:CE34" si="46">(SUM(T145:T147) &gt; 0) * 1</f>
        <v>0</v>
      </c>
      <c r="U34" s="10">
        <f t="shared" si="46"/>
        <v>0</v>
      </c>
      <c r="V34" s="10">
        <f t="shared" si="46"/>
        <v>0</v>
      </c>
      <c r="W34" s="10">
        <f t="shared" si="46"/>
        <v>0</v>
      </c>
      <c r="X34" s="10">
        <f t="shared" si="46"/>
        <v>0</v>
      </c>
      <c r="Y34" s="10">
        <f t="shared" si="46"/>
        <v>0</v>
      </c>
      <c r="Z34" s="10">
        <f t="shared" si="46"/>
        <v>0</v>
      </c>
      <c r="AA34" s="10">
        <f t="shared" si="46"/>
        <v>0</v>
      </c>
      <c r="AB34" s="10">
        <f t="shared" si="46"/>
        <v>0</v>
      </c>
      <c r="AC34" s="10">
        <f t="shared" si="46"/>
        <v>0</v>
      </c>
      <c r="AD34" s="10">
        <f t="shared" si="46"/>
        <v>0</v>
      </c>
      <c r="AE34" s="10">
        <f t="shared" si="46"/>
        <v>0</v>
      </c>
      <c r="AF34" s="10">
        <f t="shared" si="46"/>
        <v>0</v>
      </c>
      <c r="AG34" s="10">
        <f t="shared" si="46"/>
        <v>0</v>
      </c>
      <c r="AH34" s="10">
        <f t="shared" si="46"/>
        <v>0</v>
      </c>
      <c r="AI34" s="10">
        <f t="shared" si="46"/>
        <v>0</v>
      </c>
      <c r="AJ34" s="10">
        <f t="shared" si="46"/>
        <v>0</v>
      </c>
      <c r="AK34" s="10">
        <f t="shared" si="46"/>
        <v>0</v>
      </c>
      <c r="AL34" s="10">
        <f t="shared" si="46"/>
        <v>0</v>
      </c>
      <c r="AM34" s="10">
        <f t="shared" si="46"/>
        <v>0</v>
      </c>
      <c r="AN34" s="10">
        <f t="shared" si="46"/>
        <v>0</v>
      </c>
      <c r="AO34" s="10">
        <f t="shared" si="46"/>
        <v>0</v>
      </c>
      <c r="AP34" s="10">
        <f t="shared" si="46"/>
        <v>0</v>
      </c>
      <c r="AQ34" s="10">
        <f t="shared" si="46"/>
        <v>0</v>
      </c>
      <c r="AR34" s="10">
        <f t="shared" si="46"/>
        <v>0</v>
      </c>
      <c r="AS34" s="10">
        <f t="shared" si="46"/>
        <v>0</v>
      </c>
      <c r="AT34" s="10">
        <f t="shared" si="46"/>
        <v>0</v>
      </c>
      <c r="AU34" s="10">
        <f t="shared" si="46"/>
        <v>0</v>
      </c>
      <c r="AV34" s="10">
        <f t="shared" si="46"/>
        <v>0</v>
      </c>
      <c r="AW34" s="10">
        <f t="shared" si="46"/>
        <v>0</v>
      </c>
      <c r="AX34" s="10">
        <f t="shared" si="46"/>
        <v>0</v>
      </c>
      <c r="AY34" s="10">
        <f t="shared" si="46"/>
        <v>0</v>
      </c>
      <c r="AZ34" s="10">
        <f t="shared" si="46"/>
        <v>0</v>
      </c>
      <c r="BA34" s="10">
        <f t="shared" si="46"/>
        <v>0</v>
      </c>
      <c r="BB34" s="10">
        <f t="shared" si="46"/>
        <v>0</v>
      </c>
      <c r="BC34" s="10">
        <f t="shared" si="46"/>
        <v>0</v>
      </c>
      <c r="BD34" s="10">
        <f t="shared" si="46"/>
        <v>0</v>
      </c>
      <c r="BE34" s="10">
        <f t="shared" si="46"/>
        <v>0</v>
      </c>
      <c r="BF34" s="10">
        <f t="shared" si="46"/>
        <v>0</v>
      </c>
      <c r="BG34" s="10">
        <f t="shared" si="46"/>
        <v>0</v>
      </c>
      <c r="BH34" s="10">
        <f t="shared" si="46"/>
        <v>0</v>
      </c>
      <c r="BI34" s="10">
        <f t="shared" si="46"/>
        <v>0</v>
      </c>
      <c r="BJ34" s="10">
        <f t="shared" si="46"/>
        <v>0</v>
      </c>
      <c r="BK34" s="10">
        <f t="shared" si="46"/>
        <v>0</v>
      </c>
      <c r="BL34" s="10">
        <f t="shared" si="46"/>
        <v>0</v>
      </c>
      <c r="BM34" s="10">
        <f t="shared" si="46"/>
        <v>0</v>
      </c>
      <c r="BN34" s="10">
        <f t="shared" si="46"/>
        <v>0</v>
      </c>
      <c r="BO34" s="10">
        <f t="shared" si="46"/>
        <v>0</v>
      </c>
      <c r="BP34" s="10">
        <f t="shared" si="46"/>
        <v>0</v>
      </c>
      <c r="BQ34" s="10">
        <f t="shared" si="46"/>
        <v>0</v>
      </c>
      <c r="BR34" s="10">
        <f t="shared" si="46"/>
        <v>0</v>
      </c>
      <c r="BS34" s="10">
        <f t="shared" si="46"/>
        <v>0</v>
      </c>
      <c r="BT34" s="10">
        <f t="shared" si="46"/>
        <v>0</v>
      </c>
      <c r="BU34" s="10">
        <f t="shared" si="46"/>
        <v>0</v>
      </c>
      <c r="BV34" s="10">
        <f t="shared" si="46"/>
        <v>0</v>
      </c>
      <c r="BW34" s="10">
        <f t="shared" si="46"/>
        <v>0</v>
      </c>
      <c r="BX34" s="10">
        <f t="shared" si="46"/>
        <v>0</v>
      </c>
      <c r="BY34" s="10">
        <f t="shared" si="46"/>
        <v>0</v>
      </c>
      <c r="BZ34" s="10">
        <f t="shared" si="46"/>
        <v>0</v>
      </c>
      <c r="CA34" s="10">
        <f t="shared" si="46"/>
        <v>0</v>
      </c>
      <c r="CB34" s="10">
        <f t="shared" si="46"/>
        <v>0</v>
      </c>
      <c r="CC34" s="10">
        <f t="shared" si="46"/>
        <v>0</v>
      </c>
      <c r="CD34" s="10">
        <f t="shared" si="46"/>
        <v>0</v>
      </c>
      <c r="CE34" s="10">
        <f t="shared" si="46"/>
        <v>0</v>
      </c>
      <c r="CF34" s="10">
        <f t="shared" ref="CF34:CO34" si="47">(SUM(CF145:CF147) &gt; 0) * 1</f>
        <v>0</v>
      </c>
      <c r="CG34" s="10">
        <f t="shared" si="47"/>
        <v>0</v>
      </c>
      <c r="CH34" s="10">
        <f t="shared" si="47"/>
        <v>0</v>
      </c>
      <c r="CI34" s="10">
        <f t="shared" si="47"/>
        <v>0</v>
      </c>
      <c r="CJ34" s="10">
        <f t="shared" si="47"/>
        <v>0</v>
      </c>
      <c r="CK34" s="10">
        <f t="shared" si="47"/>
        <v>0</v>
      </c>
      <c r="CL34" s="10">
        <f t="shared" si="47"/>
        <v>0</v>
      </c>
      <c r="CM34" s="10">
        <f t="shared" si="47"/>
        <v>0</v>
      </c>
      <c r="CN34" s="10">
        <f t="shared" si="47"/>
        <v>0</v>
      </c>
      <c r="CO34" s="10">
        <f t="shared" si="47"/>
        <v>0</v>
      </c>
    </row>
    <row r="35" spans="1:93">
      <c r="A35" s="10"/>
      <c r="B35" s="10"/>
      <c r="C35" s="401" t="str">
        <f>Контр_панель!C30</f>
        <v>Объект размещения (отель)</v>
      </c>
      <c r="D35" s="10"/>
      <c r="E35" s="10"/>
      <c r="F35" s="10"/>
      <c r="G35" s="11" t="str">
        <f t="shared" si="37"/>
        <v>0..1</v>
      </c>
      <c r="H35" s="10"/>
      <c r="I35" s="23">
        <f t="shared" si="38"/>
        <v>17</v>
      </c>
      <c r="J35" s="149"/>
      <c r="K35" s="10"/>
      <c r="L35" s="10">
        <f t="shared" ref="L35:R35" si="48">(SUM(L183:L187) &gt; 0) * $I$95</f>
        <v>1</v>
      </c>
      <c r="M35" s="10">
        <f t="shared" si="48"/>
        <v>1</v>
      </c>
      <c r="N35" s="10">
        <f t="shared" si="48"/>
        <v>1</v>
      </c>
      <c r="O35" s="10">
        <f t="shared" si="48"/>
        <v>1</v>
      </c>
      <c r="P35" s="10">
        <f t="shared" si="48"/>
        <v>1</v>
      </c>
      <c r="Q35" s="10">
        <f t="shared" si="48"/>
        <v>1</v>
      </c>
      <c r="R35" s="10">
        <f t="shared" si="48"/>
        <v>1</v>
      </c>
      <c r="S35" s="10">
        <f>(SUM(S183:S187) &gt; 0) * $I$95</f>
        <v>1</v>
      </c>
      <c r="T35" s="10">
        <f t="shared" ref="T35:CE35" si="49">(SUM(T183:T187) &gt; 0) * $I$95</f>
        <v>1</v>
      </c>
      <c r="U35" s="10">
        <f t="shared" si="49"/>
        <v>1</v>
      </c>
      <c r="V35" s="10">
        <f t="shared" si="49"/>
        <v>1</v>
      </c>
      <c r="W35" s="10">
        <f t="shared" si="49"/>
        <v>1</v>
      </c>
      <c r="X35" s="10">
        <f t="shared" si="49"/>
        <v>1</v>
      </c>
      <c r="Y35" s="10">
        <f t="shared" si="49"/>
        <v>1</v>
      </c>
      <c r="Z35" s="10">
        <f t="shared" si="49"/>
        <v>1</v>
      </c>
      <c r="AA35" s="10">
        <f t="shared" si="49"/>
        <v>1</v>
      </c>
      <c r="AB35" s="10">
        <f t="shared" si="49"/>
        <v>1</v>
      </c>
      <c r="AC35" s="10">
        <f t="shared" si="49"/>
        <v>0</v>
      </c>
      <c r="AD35" s="10">
        <f t="shared" si="49"/>
        <v>0</v>
      </c>
      <c r="AE35" s="10">
        <f t="shared" si="49"/>
        <v>0</v>
      </c>
      <c r="AF35" s="10">
        <f t="shared" si="49"/>
        <v>0</v>
      </c>
      <c r="AG35" s="10">
        <f t="shared" si="49"/>
        <v>0</v>
      </c>
      <c r="AH35" s="10">
        <f t="shared" si="49"/>
        <v>0</v>
      </c>
      <c r="AI35" s="10">
        <f t="shared" si="49"/>
        <v>0</v>
      </c>
      <c r="AJ35" s="10">
        <f t="shared" si="49"/>
        <v>0</v>
      </c>
      <c r="AK35" s="10">
        <f t="shared" si="49"/>
        <v>0</v>
      </c>
      <c r="AL35" s="10">
        <f t="shared" si="49"/>
        <v>0</v>
      </c>
      <c r="AM35" s="10">
        <f t="shared" si="49"/>
        <v>0</v>
      </c>
      <c r="AN35" s="10">
        <f t="shared" si="49"/>
        <v>0</v>
      </c>
      <c r="AO35" s="10">
        <f t="shared" si="49"/>
        <v>0</v>
      </c>
      <c r="AP35" s="10">
        <f t="shared" si="49"/>
        <v>0</v>
      </c>
      <c r="AQ35" s="10">
        <f t="shared" si="49"/>
        <v>0</v>
      </c>
      <c r="AR35" s="10">
        <f t="shared" si="49"/>
        <v>0</v>
      </c>
      <c r="AS35" s="10">
        <f t="shared" si="49"/>
        <v>0</v>
      </c>
      <c r="AT35" s="10">
        <f t="shared" si="49"/>
        <v>0</v>
      </c>
      <c r="AU35" s="10">
        <f t="shared" si="49"/>
        <v>0</v>
      </c>
      <c r="AV35" s="10">
        <f t="shared" si="49"/>
        <v>0</v>
      </c>
      <c r="AW35" s="10">
        <f t="shared" si="49"/>
        <v>0</v>
      </c>
      <c r="AX35" s="10">
        <f t="shared" si="49"/>
        <v>0</v>
      </c>
      <c r="AY35" s="10">
        <f t="shared" si="49"/>
        <v>0</v>
      </c>
      <c r="AZ35" s="10">
        <f t="shared" si="49"/>
        <v>0</v>
      </c>
      <c r="BA35" s="10">
        <f t="shared" si="49"/>
        <v>0</v>
      </c>
      <c r="BB35" s="10">
        <f t="shared" si="49"/>
        <v>0</v>
      </c>
      <c r="BC35" s="10">
        <f t="shared" si="49"/>
        <v>0</v>
      </c>
      <c r="BD35" s="10">
        <f t="shared" si="49"/>
        <v>0</v>
      </c>
      <c r="BE35" s="10">
        <f t="shared" si="49"/>
        <v>0</v>
      </c>
      <c r="BF35" s="10">
        <f t="shared" si="49"/>
        <v>0</v>
      </c>
      <c r="BG35" s="10">
        <f t="shared" si="49"/>
        <v>0</v>
      </c>
      <c r="BH35" s="10">
        <f t="shared" si="49"/>
        <v>0</v>
      </c>
      <c r="BI35" s="10">
        <f t="shared" si="49"/>
        <v>0</v>
      </c>
      <c r="BJ35" s="10">
        <f t="shared" si="49"/>
        <v>0</v>
      </c>
      <c r="BK35" s="10">
        <f t="shared" si="49"/>
        <v>0</v>
      </c>
      <c r="BL35" s="10">
        <f t="shared" si="49"/>
        <v>0</v>
      </c>
      <c r="BM35" s="10">
        <f t="shared" si="49"/>
        <v>0</v>
      </c>
      <c r="BN35" s="10">
        <f t="shared" si="49"/>
        <v>0</v>
      </c>
      <c r="BO35" s="10">
        <f t="shared" si="49"/>
        <v>0</v>
      </c>
      <c r="BP35" s="10">
        <f t="shared" si="49"/>
        <v>0</v>
      </c>
      <c r="BQ35" s="10">
        <f t="shared" si="49"/>
        <v>0</v>
      </c>
      <c r="BR35" s="10">
        <f t="shared" si="49"/>
        <v>0</v>
      </c>
      <c r="BS35" s="10">
        <f t="shared" si="49"/>
        <v>0</v>
      </c>
      <c r="BT35" s="10">
        <f t="shared" si="49"/>
        <v>0</v>
      </c>
      <c r="BU35" s="10">
        <f t="shared" si="49"/>
        <v>0</v>
      </c>
      <c r="BV35" s="10">
        <f t="shared" si="49"/>
        <v>0</v>
      </c>
      <c r="BW35" s="10">
        <f t="shared" si="49"/>
        <v>0</v>
      </c>
      <c r="BX35" s="10">
        <f t="shared" si="49"/>
        <v>0</v>
      </c>
      <c r="BY35" s="10">
        <f t="shared" si="49"/>
        <v>0</v>
      </c>
      <c r="BZ35" s="10">
        <f t="shared" si="49"/>
        <v>0</v>
      </c>
      <c r="CA35" s="10">
        <f t="shared" si="49"/>
        <v>0</v>
      </c>
      <c r="CB35" s="10">
        <f t="shared" si="49"/>
        <v>0</v>
      </c>
      <c r="CC35" s="10">
        <f t="shared" si="49"/>
        <v>0</v>
      </c>
      <c r="CD35" s="10">
        <f t="shared" si="49"/>
        <v>0</v>
      </c>
      <c r="CE35" s="10">
        <f t="shared" si="49"/>
        <v>0</v>
      </c>
      <c r="CF35" s="10">
        <f t="shared" ref="CF35:CO35" si="50">(SUM(CF183:CF187) &gt; 0) * $I$95</f>
        <v>0</v>
      </c>
      <c r="CG35" s="10">
        <f t="shared" si="50"/>
        <v>0</v>
      </c>
      <c r="CH35" s="10">
        <f t="shared" si="50"/>
        <v>0</v>
      </c>
      <c r="CI35" s="10">
        <f t="shared" si="50"/>
        <v>0</v>
      </c>
      <c r="CJ35" s="10">
        <f t="shared" si="50"/>
        <v>0</v>
      </c>
      <c r="CK35" s="10">
        <f t="shared" si="50"/>
        <v>0</v>
      </c>
      <c r="CL35" s="10">
        <f t="shared" si="50"/>
        <v>0</v>
      </c>
      <c r="CM35" s="10">
        <f t="shared" si="50"/>
        <v>0</v>
      </c>
      <c r="CN35" s="10">
        <f t="shared" si="50"/>
        <v>0</v>
      </c>
      <c r="CO35" s="10">
        <f t="shared" si="50"/>
        <v>0</v>
      </c>
    </row>
    <row r="36" spans="1:93">
      <c r="A36" s="10"/>
      <c r="B36" s="10"/>
      <c r="C36" s="400" t="str">
        <f>Контр_панель!C31</f>
        <v>Развлекательный комплекс</v>
      </c>
      <c r="D36" s="10"/>
      <c r="E36" s="10"/>
      <c r="F36" s="10"/>
      <c r="G36" s="11" t="str">
        <f t="shared" si="37"/>
        <v>0..1</v>
      </c>
      <c r="H36" s="10"/>
      <c r="I36" s="23">
        <f t="shared" si="38"/>
        <v>14</v>
      </c>
      <c r="J36" s="149"/>
      <c r="K36" s="10"/>
      <c r="L36" s="10">
        <f t="shared" ref="L36:R36" si="51">(SUM(L218:L220) &gt; 0) * $I$96</f>
        <v>0</v>
      </c>
      <c r="M36" s="10">
        <f t="shared" si="51"/>
        <v>0</v>
      </c>
      <c r="N36" s="10">
        <f t="shared" si="51"/>
        <v>1</v>
      </c>
      <c r="O36" s="10">
        <f t="shared" si="51"/>
        <v>1</v>
      </c>
      <c r="P36" s="10">
        <f t="shared" si="51"/>
        <v>1</v>
      </c>
      <c r="Q36" s="10">
        <f t="shared" si="51"/>
        <v>1</v>
      </c>
      <c r="R36" s="10">
        <f t="shared" si="51"/>
        <v>1</v>
      </c>
      <c r="S36" s="10">
        <f>(SUM(S218:S220) &gt; 0) * $I$96</f>
        <v>1</v>
      </c>
      <c r="T36" s="10">
        <f t="shared" ref="T36:CE36" si="52">(SUM(T218:T220) &gt; 0) * $I$96</f>
        <v>1</v>
      </c>
      <c r="U36" s="10">
        <f t="shared" si="52"/>
        <v>1</v>
      </c>
      <c r="V36" s="10">
        <f t="shared" si="52"/>
        <v>1</v>
      </c>
      <c r="W36" s="10">
        <f t="shared" si="52"/>
        <v>1</v>
      </c>
      <c r="X36" s="10">
        <f t="shared" si="52"/>
        <v>1</v>
      </c>
      <c r="Y36" s="10">
        <f t="shared" si="52"/>
        <v>1</v>
      </c>
      <c r="Z36" s="10">
        <f t="shared" si="52"/>
        <v>1</v>
      </c>
      <c r="AA36" s="10">
        <f t="shared" si="52"/>
        <v>1</v>
      </c>
      <c r="AB36" s="10">
        <f t="shared" si="52"/>
        <v>0</v>
      </c>
      <c r="AC36" s="10">
        <f t="shared" si="52"/>
        <v>0</v>
      </c>
      <c r="AD36" s="10">
        <f t="shared" si="52"/>
        <v>0</v>
      </c>
      <c r="AE36" s="10">
        <f t="shared" si="52"/>
        <v>0</v>
      </c>
      <c r="AF36" s="10">
        <f t="shared" si="52"/>
        <v>0</v>
      </c>
      <c r="AG36" s="10">
        <f t="shared" si="52"/>
        <v>0</v>
      </c>
      <c r="AH36" s="10">
        <f t="shared" si="52"/>
        <v>0</v>
      </c>
      <c r="AI36" s="10">
        <f t="shared" si="52"/>
        <v>0</v>
      </c>
      <c r="AJ36" s="10">
        <f t="shared" si="52"/>
        <v>0</v>
      </c>
      <c r="AK36" s="10">
        <f t="shared" si="52"/>
        <v>0</v>
      </c>
      <c r="AL36" s="10">
        <f t="shared" si="52"/>
        <v>0</v>
      </c>
      <c r="AM36" s="10">
        <f t="shared" si="52"/>
        <v>0</v>
      </c>
      <c r="AN36" s="10">
        <f t="shared" si="52"/>
        <v>0</v>
      </c>
      <c r="AO36" s="10">
        <f t="shared" si="52"/>
        <v>0</v>
      </c>
      <c r="AP36" s="10">
        <f t="shared" si="52"/>
        <v>0</v>
      </c>
      <c r="AQ36" s="10">
        <f t="shared" si="52"/>
        <v>0</v>
      </c>
      <c r="AR36" s="10">
        <f t="shared" si="52"/>
        <v>0</v>
      </c>
      <c r="AS36" s="10">
        <f t="shared" si="52"/>
        <v>0</v>
      </c>
      <c r="AT36" s="10">
        <f t="shared" si="52"/>
        <v>0</v>
      </c>
      <c r="AU36" s="10">
        <f t="shared" si="52"/>
        <v>0</v>
      </c>
      <c r="AV36" s="10">
        <f t="shared" si="52"/>
        <v>0</v>
      </c>
      <c r="AW36" s="10">
        <f t="shared" si="52"/>
        <v>0</v>
      </c>
      <c r="AX36" s="10">
        <f t="shared" si="52"/>
        <v>0</v>
      </c>
      <c r="AY36" s="10">
        <f t="shared" si="52"/>
        <v>0</v>
      </c>
      <c r="AZ36" s="10">
        <f t="shared" si="52"/>
        <v>0</v>
      </c>
      <c r="BA36" s="10">
        <f t="shared" si="52"/>
        <v>0</v>
      </c>
      <c r="BB36" s="10">
        <f t="shared" si="52"/>
        <v>0</v>
      </c>
      <c r="BC36" s="10">
        <f t="shared" si="52"/>
        <v>0</v>
      </c>
      <c r="BD36" s="10">
        <f t="shared" si="52"/>
        <v>0</v>
      </c>
      <c r="BE36" s="10">
        <f t="shared" si="52"/>
        <v>0</v>
      </c>
      <c r="BF36" s="10">
        <f t="shared" si="52"/>
        <v>0</v>
      </c>
      <c r="BG36" s="10">
        <f t="shared" si="52"/>
        <v>0</v>
      </c>
      <c r="BH36" s="10">
        <f t="shared" si="52"/>
        <v>0</v>
      </c>
      <c r="BI36" s="10">
        <f t="shared" si="52"/>
        <v>0</v>
      </c>
      <c r="BJ36" s="10">
        <f t="shared" si="52"/>
        <v>0</v>
      </c>
      <c r="BK36" s="10">
        <f t="shared" si="52"/>
        <v>0</v>
      </c>
      <c r="BL36" s="10">
        <f t="shared" si="52"/>
        <v>0</v>
      </c>
      <c r="BM36" s="10">
        <f t="shared" si="52"/>
        <v>0</v>
      </c>
      <c r="BN36" s="10">
        <f t="shared" si="52"/>
        <v>0</v>
      </c>
      <c r="BO36" s="10">
        <f t="shared" si="52"/>
        <v>0</v>
      </c>
      <c r="BP36" s="10">
        <f t="shared" si="52"/>
        <v>0</v>
      </c>
      <c r="BQ36" s="10">
        <f t="shared" si="52"/>
        <v>0</v>
      </c>
      <c r="BR36" s="10">
        <f t="shared" si="52"/>
        <v>0</v>
      </c>
      <c r="BS36" s="10">
        <f t="shared" si="52"/>
        <v>0</v>
      </c>
      <c r="BT36" s="10">
        <f t="shared" si="52"/>
        <v>0</v>
      </c>
      <c r="BU36" s="10">
        <f t="shared" si="52"/>
        <v>0</v>
      </c>
      <c r="BV36" s="10">
        <f t="shared" si="52"/>
        <v>0</v>
      </c>
      <c r="BW36" s="10">
        <f t="shared" si="52"/>
        <v>0</v>
      </c>
      <c r="BX36" s="10">
        <f t="shared" si="52"/>
        <v>0</v>
      </c>
      <c r="BY36" s="10">
        <f t="shared" si="52"/>
        <v>0</v>
      </c>
      <c r="BZ36" s="10">
        <f t="shared" si="52"/>
        <v>0</v>
      </c>
      <c r="CA36" s="10">
        <f t="shared" si="52"/>
        <v>0</v>
      </c>
      <c r="CB36" s="10">
        <f t="shared" si="52"/>
        <v>0</v>
      </c>
      <c r="CC36" s="10">
        <f t="shared" si="52"/>
        <v>0</v>
      </c>
      <c r="CD36" s="10">
        <f t="shared" si="52"/>
        <v>0</v>
      </c>
      <c r="CE36" s="10">
        <f t="shared" si="52"/>
        <v>0</v>
      </c>
      <c r="CF36" s="10">
        <f t="shared" ref="CF36:CO36" si="53">(SUM(CF218:CF220) &gt; 0) * $I$96</f>
        <v>0</v>
      </c>
      <c r="CG36" s="10">
        <f t="shared" si="53"/>
        <v>0</v>
      </c>
      <c r="CH36" s="10">
        <f t="shared" si="53"/>
        <v>0</v>
      </c>
      <c r="CI36" s="10">
        <f t="shared" si="53"/>
        <v>0</v>
      </c>
      <c r="CJ36" s="10">
        <f t="shared" si="53"/>
        <v>0</v>
      </c>
      <c r="CK36" s="10">
        <f t="shared" si="53"/>
        <v>0</v>
      </c>
      <c r="CL36" s="10">
        <f t="shared" si="53"/>
        <v>0</v>
      </c>
      <c r="CM36" s="10">
        <f t="shared" si="53"/>
        <v>0</v>
      </c>
      <c r="CN36" s="10">
        <f t="shared" si="53"/>
        <v>0</v>
      </c>
      <c r="CO36" s="10">
        <f t="shared" si="53"/>
        <v>0</v>
      </c>
    </row>
    <row r="37" spans="1:93">
      <c r="A37" s="10"/>
      <c r="B37" s="10"/>
      <c r="C37" s="402" t="str">
        <f>Контр_панель!C32</f>
        <v>Крытый парк развлечений</v>
      </c>
      <c r="D37" s="10"/>
      <c r="E37" s="10"/>
      <c r="F37" s="10"/>
      <c r="G37" s="11" t="str">
        <f t="shared" si="37"/>
        <v>0..0</v>
      </c>
      <c r="H37" s="10"/>
      <c r="I37" s="23">
        <f t="shared" si="38"/>
        <v>0</v>
      </c>
      <c r="J37" s="149"/>
      <c r="K37" s="10"/>
      <c r="L37" s="10">
        <f t="shared" ref="L37:R37" si="54">(SUM(L241:L243) &gt; 0) * $I$97</f>
        <v>0</v>
      </c>
      <c r="M37" s="10">
        <f t="shared" si="54"/>
        <v>0</v>
      </c>
      <c r="N37" s="10">
        <f t="shared" si="54"/>
        <v>0</v>
      </c>
      <c r="O37" s="10">
        <f t="shared" si="54"/>
        <v>0</v>
      </c>
      <c r="P37" s="10">
        <f t="shared" si="54"/>
        <v>0</v>
      </c>
      <c r="Q37" s="10">
        <f t="shared" si="54"/>
        <v>0</v>
      </c>
      <c r="R37" s="10">
        <f t="shared" si="54"/>
        <v>0</v>
      </c>
      <c r="S37" s="10">
        <f>(SUM(S241:S243) &gt; 0) * $I$97</f>
        <v>0</v>
      </c>
      <c r="T37" s="10">
        <f t="shared" ref="T37:CE37" si="55">(SUM(T241:T243) &gt; 0) * $I$97</f>
        <v>0</v>
      </c>
      <c r="U37" s="10">
        <f t="shared" si="55"/>
        <v>0</v>
      </c>
      <c r="V37" s="10">
        <f t="shared" si="55"/>
        <v>0</v>
      </c>
      <c r="W37" s="10">
        <f t="shared" si="55"/>
        <v>0</v>
      </c>
      <c r="X37" s="10">
        <f t="shared" si="55"/>
        <v>0</v>
      </c>
      <c r="Y37" s="10">
        <f t="shared" si="55"/>
        <v>0</v>
      </c>
      <c r="Z37" s="10">
        <f t="shared" si="55"/>
        <v>0</v>
      </c>
      <c r="AA37" s="10">
        <f t="shared" si="55"/>
        <v>0</v>
      </c>
      <c r="AB37" s="10">
        <f t="shared" si="55"/>
        <v>0</v>
      </c>
      <c r="AC37" s="10">
        <f t="shared" si="55"/>
        <v>0</v>
      </c>
      <c r="AD37" s="10">
        <f t="shared" si="55"/>
        <v>0</v>
      </c>
      <c r="AE37" s="10">
        <f t="shared" si="55"/>
        <v>0</v>
      </c>
      <c r="AF37" s="10">
        <f t="shared" si="55"/>
        <v>0</v>
      </c>
      <c r="AG37" s="10">
        <f t="shared" si="55"/>
        <v>0</v>
      </c>
      <c r="AH37" s="10">
        <f t="shared" si="55"/>
        <v>0</v>
      </c>
      <c r="AI37" s="10">
        <f t="shared" si="55"/>
        <v>0</v>
      </c>
      <c r="AJ37" s="10">
        <f t="shared" si="55"/>
        <v>0</v>
      </c>
      <c r="AK37" s="10">
        <f t="shared" si="55"/>
        <v>0</v>
      </c>
      <c r="AL37" s="10">
        <f t="shared" si="55"/>
        <v>0</v>
      </c>
      <c r="AM37" s="10">
        <f t="shared" si="55"/>
        <v>0</v>
      </c>
      <c r="AN37" s="10">
        <f t="shared" si="55"/>
        <v>0</v>
      </c>
      <c r="AO37" s="10">
        <f t="shared" si="55"/>
        <v>0</v>
      </c>
      <c r="AP37" s="10">
        <f t="shared" si="55"/>
        <v>0</v>
      </c>
      <c r="AQ37" s="10">
        <f t="shared" si="55"/>
        <v>0</v>
      </c>
      <c r="AR37" s="10">
        <f t="shared" si="55"/>
        <v>0</v>
      </c>
      <c r="AS37" s="10">
        <f t="shared" si="55"/>
        <v>0</v>
      </c>
      <c r="AT37" s="10">
        <f t="shared" si="55"/>
        <v>0</v>
      </c>
      <c r="AU37" s="10">
        <f t="shared" si="55"/>
        <v>0</v>
      </c>
      <c r="AV37" s="10">
        <f t="shared" si="55"/>
        <v>0</v>
      </c>
      <c r="AW37" s="10">
        <f t="shared" si="55"/>
        <v>0</v>
      </c>
      <c r="AX37" s="10">
        <f t="shared" si="55"/>
        <v>0</v>
      </c>
      <c r="AY37" s="10">
        <f t="shared" si="55"/>
        <v>0</v>
      </c>
      <c r="AZ37" s="10">
        <f t="shared" si="55"/>
        <v>0</v>
      </c>
      <c r="BA37" s="10">
        <f t="shared" si="55"/>
        <v>0</v>
      </c>
      <c r="BB37" s="10">
        <f t="shared" si="55"/>
        <v>0</v>
      </c>
      <c r="BC37" s="10">
        <f t="shared" si="55"/>
        <v>0</v>
      </c>
      <c r="BD37" s="10">
        <f t="shared" si="55"/>
        <v>0</v>
      </c>
      <c r="BE37" s="10">
        <f t="shared" si="55"/>
        <v>0</v>
      </c>
      <c r="BF37" s="10">
        <f t="shared" si="55"/>
        <v>0</v>
      </c>
      <c r="BG37" s="10">
        <f t="shared" si="55"/>
        <v>0</v>
      </c>
      <c r="BH37" s="10">
        <f t="shared" si="55"/>
        <v>0</v>
      </c>
      <c r="BI37" s="10">
        <f t="shared" si="55"/>
        <v>0</v>
      </c>
      <c r="BJ37" s="10">
        <f t="shared" si="55"/>
        <v>0</v>
      </c>
      <c r="BK37" s="10">
        <f t="shared" si="55"/>
        <v>0</v>
      </c>
      <c r="BL37" s="10">
        <f t="shared" si="55"/>
        <v>0</v>
      </c>
      <c r="BM37" s="10">
        <f t="shared" si="55"/>
        <v>0</v>
      </c>
      <c r="BN37" s="10">
        <f t="shared" si="55"/>
        <v>0</v>
      </c>
      <c r="BO37" s="10">
        <f t="shared" si="55"/>
        <v>0</v>
      </c>
      <c r="BP37" s="10">
        <f t="shared" si="55"/>
        <v>0</v>
      </c>
      <c r="BQ37" s="10">
        <f t="shared" si="55"/>
        <v>0</v>
      </c>
      <c r="BR37" s="10">
        <f t="shared" si="55"/>
        <v>0</v>
      </c>
      <c r="BS37" s="10">
        <f t="shared" si="55"/>
        <v>0</v>
      </c>
      <c r="BT37" s="10">
        <f t="shared" si="55"/>
        <v>0</v>
      </c>
      <c r="BU37" s="10">
        <f t="shared" si="55"/>
        <v>0</v>
      </c>
      <c r="BV37" s="10">
        <f t="shared" si="55"/>
        <v>0</v>
      </c>
      <c r="BW37" s="10">
        <f t="shared" si="55"/>
        <v>0</v>
      </c>
      <c r="BX37" s="10">
        <f t="shared" si="55"/>
        <v>0</v>
      </c>
      <c r="BY37" s="10">
        <f t="shared" si="55"/>
        <v>0</v>
      </c>
      <c r="BZ37" s="10">
        <f t="shared" si="55"/>
        <v>0</v>
      </c>
      <c r="CA37" s="10">
        <f t="shared" si="55"/>
        <v>0</v>
      </c>
      <c r="CB37" s="10">
        <f t="shared" si="55"/>
        <v>0</v>
      </c>
      <c r="CC37" s="10">
        <f t="shared" si="55"/>
        <v>0</v>
      </c>
      <c r="CD37" s="10">
        <f t="shared" si="55"/>
        <v>0</v>
      </c>
      <c r="CE37" s="10">
        <f t="shared" si="55"/>
        <v>0</v>
      </c>
      <c r="CF37" s="10">
        <f t="shared" ref="CF37:CO37" si="56">(SUM(CF241:CF243) &gt; 0) * $I$97</f>
        <v>0</v>
      </c>
      <c r="CG37" s="10">
        <f t="shared" si="56"/>
        <v>0</v>
      </c>
      <c r="CH37" s="10">
        <f t="shared" si="56"/>
        <v>0</v>
      </c>
      <c r="CI37" s="10">
        <f t="shared" si="56"/>
        <v>0</v>
      </c>
      <c r="CJ37" s="10">
        <f t="shared" si="56"/>
        <v>0</v>
      </c>
      <c r="CK37" s="10">
        <f t="shared" si="56"/>
        <v>0</v>
      </c>
      <c r="CL37" s="10">
        <f t="shared" si="56"/>
        <v>0</v>
      </c>
      <c r="CM37" s="10">
        <f t="shared" si="56"/>
        <v>0</v>
      </c>
      <c r="CN37" s="10">
        <f t="shared" si="56"/>
        <v>0</v>
      </c>
      <c r="CO37" s="10">
        <f t="shared" si="56"/>
        <v>0</v>
      </c>
    </row>
    <row r="38" spans="1:93">
      <c r="A38" s="10"/>
      <c r="B38" s="10"/>
      <c r="C38" s="17"/>
      <c r="D38" s="10"/>
      <c r="E38" s="10"/>
      <c r="F38" s="10"/>
      <c r="G38" s="11"/>
      <c r="H38" s="10"/>
      <c r="I38" s="10"/>
      <c r="J38" s="149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</row>
    <row r="39" spans="1:93">
      <c r="A39" s="10"/>
      <c r="B39" s="10"/>
      <c r="C39" s="17" t="str">
        <f>"Сегмент 0 - первый период эксплуатации - " &amp; C32</f>
        <v>Сегмент 0 - первый период эксплуатации - Транспортная инфраструктура</v>
      </c>
      <c r="D39" s="10"/>
      <c r="E39" s="10"/>
      <c r="F39" s="10"/>
      <c r="G39" s="11" t="str">
        <f t="shared" ref="G39:G44" si="57">MIN(L39:CO39) &amp; ".." &amp; MAX(L39:CO39)</f>
        <v>0..1</v>
      </c>
      <c r="H39" s="10"/>
      <c r="I39" s="23">
        <f t="shared" ref="I39:I44" si="58">SUM(L39:CO39)</f>
        <v>1</v>
      </c>
      <c r="J39" s="149"/>
      <c r="K39" s="10"/>
      <c r="L39" s="10">
        <f t="shared" ref="L39:L44" si="59" xml:space="preserve"> (K32 &gt; 0) * (L32 = 0)</f>
        <v>0</v>
      </c>
      <c r="M39" s="10">
        <f t="shared" ref="M39:M44" si="60" xml:space="preserve"> (L32 &gt; 0) * (M32 = 0)</f>
        <v>0</v>
      </c>
      <c r="N39" s="10">
        <f t="shared" ref="N39:N44" si="61" xml:space="preserve"> (M32 &gt; 0) * (N32 = 0)</f>
        <v>0</v>
      </c>
      <c r="O39" s="10">
        <f t="shared" ref="O39:O44" si="62" xml:space="preserve"> (N32 &gt; 0) * (O32 = 0)</f>
        <v>0</v>
      </c>
      <c r="P39" s="10">
        <f t="shared" ref="P39:P44" si="63" xml:space="preserve"> (O32 &gt; 0) * (P32 = 0)</f>
        <v>0</v>
      </c>
      <c r="Q39" s="10">
        <f t="shared" ref="Q39:Q44" si="64" xml:space="preserve"> (P32 &gt; 0) * (Q32 = 0)</f>
        <v>0</v>
      </c>
      <c r="R39" s="10">
        <f t="shared" ref="R39:R44" si="65" xml:space="preserve"> (Q32 &gt; 0) * (R32 = 0)</f>
        <v>0</v>
      </c>
      <c r="S39" s="10">
        <f t="shared" ref="S39:S44" si="66" xml:space="preserve"> (R32 &gt; 0) * (S32 = 0)</f>
        <v>0</v>
      </c>
      <c r="T39" s="10">
        <f t="shared" ref="T39:T44" si="67" xml:space="preserve"> (S32 &gt; 0) * (T32 = 0)</f>
        <v>0</v>
      </c>
      <c r="U39" s="10">
        <f t="shared" ref="U39:U44" si="68" xml:space="preserve"> (T32 &gt; 0) * (U32 = 0)</f>
        <v>0</v>
      </c>
      <c r="V39" s="10">
        <f t="shared" ref="V39:V44" si="69" xml:space="preserve"> (U32 &gt; 0) * (V32 = 0)</f>
        <v>0</v>
      </c>
      <c r="W39" s="10">
        <f t="shared" ref="W39:W44" si="70" xml:space="preserve"> (V32 &gt; 0) * (W32 = 0)</f>
        <v>0</v>
      </c>
      <c r="X39" s="10">
        <f t="shared" ref="X39:X44" si="71" xml:space="preserve"> (W32 &gt; 0) * (X32 = 0)</f>
        <v>0</v>
      </c>
      <c r="Y39" s="10">
        <f t="shared" ref="Y39:Y44" si="72" xml:space="preserve"> (X32 &gt; 0) * (Y32 = 0)</f>
        <v>0</v>
      </c>
      <c r="Z39" s="10">
        <f t="shared" ref="Z39:Z44" si="73" xml:space="preserve"> (Y32 &gt; 0) * (Z32 = 0)</f>
        <v>0</v>
      </c>
      <c r="AA39" s="10">
        <f t="shared" ref="AA39:AA44" si="74" xml:space="preserve"> (Z32 &gt; 0) * (AA32 = 0)</f>
        <v>0</v>
      </c>
      <c r="AB39" s="10">
        <f t="shared" ref="AB39:AB44" si="75" xml:space="preserve"> (AA32 &gt; 0) * (AB32 = 0)</f>
        <v>0</v>
      </c>
      <c r="AC39" s="10">
        <f t="shared" ref="AC39:AC44" si="76" xml:space="preserve"> (AB32 &gt; 0) * (AC32 = 0)</f>
        <v>1</v>
      </c>
      <c r="AD39" s="10">
        <f t="shared" ref="AD39:AD44" si="77" xml:space="preserve"> (AC32 &gt; 0) * (AD32 = 0)</f>
        <v>0</v>
      </c>
      <c r="AE39" s="10">
        <f t="shared" ref="AE39:AE44" si="78" xml:space="preserve"> (AD32 &gt; 0) * (AE32 = 0)</f>
        <v>0</v>
      </c>
      <c r="AF39" s="10">
        <f t="shared" ref="AF39:AF44" si="79" xml:space="preserve"> (AE32 &gt; 0) * (AF32 = 0)</f>
        <v>0</v>
      </c>
      <c r="AG39" s="10">
        <f t="shared" ref="AG39:AG44" si="80" xml:space="preserve"> (AF32 &gt; 0) * (AG32 = 0)</f>
        <v>0</v>
      </c>
      <c r="AH39" s="10">
        <f t="shared" ref="AH39:AH44" si="81" xml:space="preserve"> (AG32 &gt; 0) * (AH32 = 0)</f>
        <v>0</v>
      </c>
      <c r="AI39" s="10">
        <f t="shared" ref="AI39:AI44" si="82" xml:space="preserve"> (AH32 &gt; 0) * (AI32 = 0)</f>
        <v>0</v>
      </c>
      <c r="AJ39" s="10">
        <f t="shared" ref="AJ39:AJ44" si="83" xml:space="preserve"> (AI32 &gt; 0) * (AJ32 = 0)</f>
        <v>0</v>
      </c>
      <c r="AK39" s="10">
        <f t="shared" ref="AK39:AK44" si="84" xml:space="preserve"> (AJ32 &gt; 0) * (AK32 = 0)</f>
        <v>0</v>
      </c>
      <c r="AL39" s="10">
        <f t="shared" ref="AL39:AL44" si="85" xml:space="preserve"> (AK32 &gt; 0) * (AL32 = 0)</f>
        <v>0</v>
      </c>
      <c r="AM39" s="10">
        <f t="shared" ref="AM39:AM44" si="86" xml:space="preserve"> (AL32 &gt; 0) * (AM32 = 0)</f>
        <v>0</v>
      </c>
      <c r="AN39" s="10">
        <f t="shared" ref="AN39:AN44" si="87" xml:space="preserve"> (AM32 &gt; 0) * (AN32 = 0)</f>
        <v>0</v>
      </c>
      <c r="AO39" s="10">
        <f t="shared" ref="AO39:AO44" si="88" xml:space="preserve"> (AN32 &gt; 0) * (AO32 = 0)</f>
        <v>0</v>
      </c>
      <c r="AP39" s="10">
        <f t="shared" ref="AP39:AP44" si="89" xml:space="preserve"> (AO32 &gt; 0) * (AP32 = 0)</f>
        <v>0</v>
      </c>
      <c r="AQ39" s="10">
        <f t="shared" ref="AQ39:AQ44" si="90" xml:space="preserve"> (AP32 &gt; 0) * (AQ32 = 0)</f>
        <v>0</v>
      </c>
      <c r="AR39" s="10">
        <f t="shared" ref="AR39:AR44" si="91" xml:space="preserve"> (AQ32 &gt; 0) * (AR32 = 0)</f>
        <v>0</v>
      </c>
      <c r="AS39" s="10">
        <f t="shared" ref="AS39:AS44" si="92" xml:space="preserve"> (AR32 &gt; 0) * (AS32 = 0)</f>
        <v>0</v>
      </c>
      <c r="AT39" s="10">
        <f t="shared" ref="AT39:AT44" si="93" xml:space="preserve"> (AS32 &gt; 0) * (AT32 = 0)</f>
        <v>0</v>
      </c>
      <c r="AU39" s="10">
        <f t="shared" ref="AU39:AU44" si="94" xml:space="preserve"> (AT32 &gt; 0) * (AU32 = 0)</f>
        <v>0</v>
      </c>
      <c r="AV39" s="10">
        <f t="shared" ref="AV39:AV44" si="95" xml:space="preserve"> (AU32 &gt; 0) * (AV32 = 0)</f>
        <v>0</v>
      </c>
      <c r="AW39" s="10">
        <f t="shared" ref="AW39:AW44" si="96" xml:space="preserve"> (AV32 &gt; 0) * (AW32 = 0)</f>
        <v>0</v>
      </c>
      <c r="AX39" s="10">
        <f t="shared" ref="AX39:AX44" si="97" xml:space="preserve"> (AW32 &gt; 0) * (AX32 = 0)</f>
        <v>0</v>
      </c>
      <c r="AY39" s="10">
        <f t="shared" ref="AY39:AY44" si="98" xml:space="preserve"> (AX32 &gt; 0) * (AY32 = 0)</f>
        <v>0</v>
      </c>
      <c r="AZ39" s="10">
        <f t="shared" ref="AZ39:AZ44" si="99" xml:space="preserve"> (AY32 &gt; 0) * (AZ32 = 0)</f>
        <v>0</v>
      </c>
      <c r="BA39" s="10">
        <f t="shared" ref="BA39:BA44" si="100" xml:space="preserve"> (AZ32 &gt; 0) * (BA32 = 0)</f>
        <v>0</v>
      </c>
      <c r="BB39" s="10">
        <f t="shared" ref="BB39:BB44" si="101" xml:space="preserve"> (BA32 &gt; 0) * (BB32 = 0)</f>
        <v>0</v>
      </c>
      <c r="BC39" s="10">
        <f t="shared" ref="BC39:BC44" si="102" xml:space="preserve"> (BB32 &gt; 0) * (BC32 = 0)</f>
        <v>0</v>
      </c>
      <c r="BD39" s="10">
        <f t="shared" ref="BD39:BD44" si="103" xml:space="preserve"> (BC32 &gt; 0) * (BD32 = 0)</f>
        <v>0</v>
      </c>
      <c r="BE39" s="10">
        <f t="shared" ref="BE39:BE44" si="104" xml:space="preserve"> (BD32 &gt; 0) * (BE32 = 0)</f>
        <v>0</v>
      </c>
      <c r="BF39" s="10">
        <f t="shared" ref="BF39:BF44" si="105" xml:space="preserve"> (BE32 &gt; 0) * (BF32 = 0)</f>
        <v>0</v>
      </c>
      <c r="BG39" s="10">
        <f t="shared" ref="BG39:BG44" si="106" xml:space="preserve"> (BF32 &gt; 0) * (BG32 = 0)</f>
        <v>0</v>
      </c>
      <c r="BH39" s="10">
        <f t="shared" ref="BH39:BH44" si="107" xml:space="preserve"> (BG32 &gt; 0) * (BH32 = 0)</f>
        <v>0</v>
      </c>
      <c r="BI39" s="10">
        <f t="shared" ref="BI39:BI44" si="108" xml:space="preserve"> (BH32 &gt; 0) * (BI32 = 0)</f>
        <v>0</v>
      </c>
      <c r="BJ39" s="10">
        <f t="shared" ref="BJ39:BJ44" si="109" xml:space="preserve"> (BI32 &gt; 0) * (BJ32 = 0)</f>
        <v>0</v>
      </c>
      <c r="BK39" s="10">
        <f t="shared" ref="BK39:BK44" si="110" xml:space="preserve"> (BJ32 &gt; 0) * (BK32 = 0)</f>
        <v>0</v>
      </c>
      <c r="BL39" s="10">
        <f t="shared" ref="BL39:BL44" si="111" xml:space="preserve"> (BK32 &gt; 0) * (BL32 = 0)</f>
        <v>0</v>
      </c>
      <c r="BM39" s="10">
        <f t="shared" ref="BM39:BM44" si="112" xml:space="preserve"> (BL32 &gt; 0) * (BM32 = 0)</f>
        <v>0</v>
      </c>
      <c r="BN39" s="10">
        <f t="shared" ref="BN39:BN44" si="113" xml:space="preserve"> (BM32 &gt; 0) * (BN32 = 0)</f>
        <v>0</v>
      </c>
      <c r="BO39" s="10">
        <f t="shared" ref="BO39:BO44" si="114" xml:space="preserve"> (BN32 &gt; 0) * (BO32 = 0)</f>
        <v>0</v>
      </c>
      <c r="BP39" s="10">
        <f t="shared" ref="BP39:BP44" si="115" xml:space="preserve"> (BO32 &gt; 0) * (BP32 = 0)</f>
        <v>0</v>
      </c>
      <c r="BQ39" s="10">
        <f t="shared" ref="BQ39:BQ44" si="116" xml:space="preserve"> (BP32 &gt; 0) * (BQ32 = 0)</f>
        <v>0</v>
      </c>
      <c r="BR39" s="10">
        <f t="shared" ref="BR39:BR44" si="117" xml:space="preserve"> (BQ32 &gt; 0) * (BR32 = 0)</f>
        <v>0</v>
      </c>
      <c r="BS39" s="10">
        <f t="shared" ref="BS39:BS44" si="118" xml:space="preserve"> (BR32 &gt; 0) * (BS32 = 0)</f>
        <v>0</v>
      </c>
      <c r="BT39" s="10">
        <f t="shared" ref="BT39:BT44" si="119" xml:space="preserve"> (BS32 &gt; 0) * (BT32 = 0)</f>
        <v>0</v>
      </c>
      <c r="BU39" s="10">
        <f t="shared" ref="BU39:BU44" si="120" xml:space="preserve"> (BT32 &gt; 0) * (BU32 = 0)</f>
        <v>0</v>
      </c>
      <c r="BV39" s="10">
        <f t="shared" ref="BV39:BV44" si="121" xml:space="preserve"> (BU32 &gt; 0) * (BV32 = 0)</f>
        <v>0</v>
      </c>
      <c r="BW39" s="10">
        <f t="shared" ref="BW39:BW44" si="122" xml:space="preserve"> (BV32 &gt; 0) * (BW32 = 0)</f>
        <v>0</v>
      </c>
      <c r="BX39" s="10">
        <f t="shared" ref="BX39:BX44" si="123" xml:space="preserve"> (BW32 &gt; 0) * (BX32 = 0)</f>
        <v>0</v>
      </c>
      <c r="BY39" s="10">
        <f t="shared" ref="BY39:BY44" si="124" xml:space="preserve"> (BX32 &gt; 0) * (BY32 = 0)</f>
        <v>0</v>
      </c>
      <c r="BZ39" s="10">
        <f t="shared" ref="BZ39:BZ44" si="125" xml:space="preserve"> (BY32 &gt; 0) * (BZ32 = 0)</f>
        <v>0</v>
      </c>
      <c r="CA39" s="10">
        <f t="shared" ref="CA39:CA44" si="126" xml:space="preserve"> (BZ32 &gt; 0) * (CA32 = 0)</f>
        <v>0</v>
      </c>
      <c r="CB39" s="10">
        <f t="shared" ref="CB39:CB44" si="127" xml:space="preserve"> (CA32 &gt; 0) * (CB32 = 0)</f>
        <v>0</v>
      </c>
      <c r="CC39" s="10">
        <f t="shared" ref="CC39:CC44" si="128" xml:space="preserve"> (CB32 &gt; 0) * (CC32 = 0)</f>
        <v>0</v>
      </c>
      <c r="CD39" s="10">
        <f t="shared" ref="CD39:CD44" si="129" xml:space="preserve"> (CC32 &gt; 0) * (CD32 = 0)</f>
        <v>0</v>
      </c>
      <c r="CE39" s="10">
        <f t="shared" ref="CE39:CE44" si="130" xml:space="preserve"> (CD32 &gt; 0) * (CE32 = 0)</f>
        <v>0</v>
      </c>
      <c r="CF39" s="10">
        <f t="shared" ref="CF39:CF44" si="131" xml:space="preserve"> (CE32 &gt; 0) * (CF32 = 0)</f>
        <v>0</v>
      </c>
      <c r="CG39" s="10">
        <f t="shared" ref="CG39:CG44" si="132" xml:space="preserve"> (CF32 &gt; 0) * (CG32 = 0)</f>
        <v>0</v>
      </c>
      <c r="CH39" s="10">
        <f t="shared" ref="CH39:CH44" si="133" xml:space="preserve"> (CG32 &gt; 0) * (CH32 = 0)</f>
        <v>0</v>
      </c>
      <c r="CI39" s="10">
        <f t="shared" ref="CI39:CI44" si="134" xml:space="preserve"> (CH32 &gt; 0) * (CI32 = 0)</f>
        <v>0</v>
      </c>
      <c r="CJ39" s="10">
        <f t="shared" ref="CJ39:CJ44" si="135" xml:space="preserve"> (CI32 &gt; 0) * (CJ32 = 0)</f>
        <v>0</v>
      </c>
      <c r="CK39" s="10">
        <f t="shared" ref="CK39:CK44" si="136" xml:space="preserve"> (CJ32 &gt; 0) * (CK32 = 0)</f>
        <v>0</v>
      </c>
      <c r="CL39" s="10">
        <f t="shared" ref="CL39:CL44" si="137" xml:space="preserve"> (CK32 &gt; 0) * (CL32 = 0)</f>
        <v>0</v>
      </c>
      <c r="CM39" s="10">
        <f t="shared" ref="CM39:CM44" si="138" xml:space="preserve"> (CL32 &gt; 0) * (CM32 = 0)</f>
        <v>0</v>
      </c>
      <c r="CN39" s="10">
        <f t="shared" ref="CN39:CN44" si="139" xml:space="preserve"> (CM32 &gt; 0) * (CN32 = 0)</f>
        <v>0</v>
      </c>
      <c r="CO39" s="10">
        <f t="shared" ref="CO39:CO44" si="140" xml:space="preserve"> (CN32 &gt; 0) * (CO32 = 0)</f>
        <v>0</v>
      </c>
    </row>
    <row r="40" spans="1:93">
      <c r="A40" s="10"/>
      <c r="B40" s="10"/>
      <c r="C40" s="17" t="str">
        <f>"Сегмент 0 - первый период эксплуатации - " &amp; C33</f>
        <v>Сегмент 0 - первый период эксплуатации - Коммунальная инфраструктура</v>
      </c>
      <c r="D40" s="10"/>
      <c r="E40" s="10"/>
      <c r="F40" s="10"/>
      <c r="G40" s="11" t="str">
        <f t="shared" si="57"/>
        <v>0..0</v>
      </c>
      <c r="H40" s="10"/>
      <c r="I40" s="23">
        <f t="shared" si="58"/>
        <v>0</v>
      </c>
      <c r="J40" s="149"/>
      <c r="K40" s="10"/>
      <c r="L40" s="10">
        <f t="shared" si="59"/>
        <v>0</v>
      </c>
      <c r="M40" s="10">
        <f t="shared" si="60"/>
        <v>0</v>
      </c>
      <c r="N40" s="10">
        <f t="shared" si="61"/>
        <v>0</v>
      </c>
      <c r="O40" s="10">
        <f t="shared" si="62"/>
        <v>0</v>
      </c>
      <c r="P40" s="10">
        <f t="shared" si="63"/>
        <v>0</v>
      </c>
      <c r="Q40" s="10">
        <f t="shared" si="64"/>
        <v>0</v>
      </c>
      <c r="R40" s="10">
        <f t="shared" si="65"/>
        <v>0</v>
      </c>
      <c r="S40" s="10">
        <f t="shared" si="66"/>
        <v>0</v>
      </c>
      <c r="T40" s="10">
        <f t="shared" si="67"/>
        <v>0</v>
      </c>
      <c r="U40" s="10">
        <f t="shared" si="68"/>
        <v>0</v>
      </c>
      <c r="V40" s="10">
        <f t="shared" si="69"/>
        <v>0</v>
      </c>
      <c r="W40" s="10">
        <f t="shared" si="70"/>
        <v>0</v>
      </c>
      <c r="X40" s="10">
        <f t="shared" si="71"/>
        <v>0</v>
      </c>
      <c r="Y40" s="10">
        <f t="shared" si="72"/>
        <v>0</v>
      </c>
      <c r="Z40" s="10">
        <f t="shared" si="73"/>
        <v>0</v>
      </c>
      <c r="AA40" s="10">
        <f t="shared" si="74"/>
        <v>0</v>
      </c>
      <c r="AB40" s="10">
        <f t="shared" si="75"/>
        <v>0</v>
      </c>
      <c r="AC40" s="10">
        <f t="shared" si="76"/>
        <v>0</v>
      </c>
      <c r="AD40" s="10">
        <f t="shared" si="77"/>
        <v>0</v>
      </c>
      <c r="AE40" s="10">
        <f t="shared" si="78"/>
        <v>0</v>
      </c>
      <c r="AF40" s="10">
        <f t="shared" si="79"/>
        <v>0</v>
      </c>
      <c r="AG40" s="10">
        <f t="shared" si="80"/>
        <v>0</v>
      </c>
      <c r="AH40" s="10">
        <f t="shared" si="81"/>
        <v>0</v>
      </c>
      <c r="AI40" s="10">
        <f t="shared" si="82"/>
        <v>0</v>
      </c>
      <c r="AJ40" s="10">
        <f t="shared" si="83"/>
        <v>0</v>
      </c>
      <c r="AK40" s="10">
        <f t="shared" si="84"/>
        <v>0</v>
      </c>
      <c r="AL40" s="10">
        <f t="shared" si="85"/>
        <v>0</v>
      </c>
      <c r="AM40" s="10">
        <f t="shared" si="86"/>
        <v>0</v>
      </c>
      <c r="AN40" s="10">
        <f t="shared" si="87"/>
        <v>0</v>
      </c>
      <c r="AO40" s="10">
        <f t="shared" si="88"/>
        <v>0</v>
      </c>
      <c r="AP40" s="10">
        <f t="shared" si="89"/>
        <v>0</v>
      </c>
      <c r="AQ40" s="10">
        <f t="shared" si="90"/>
        <v>0</v>
      </c>
      <c r="AR40" s="10">
        <f t="shared" si="91"/>
        <v>0</v>
      </c>
      <c r="AS40" s="10">
        <f t="shared" si="92"/>
        <v>0</v>
      </c>
      <c r="AT40" s="10">
        <f t="shared" si="93"/>
        <v>0</v>
      </c>
      <c r="AU40" s="10">
        <f t="shared" si="94"/>
        <v>0</v>
      </c>
      <c r="AV40" s="10">
        <f t="shared" si="95"/>
        <v>0</v>
      </c>
      <c r="AW40" s="10">
        <f t="shared" si="96"/>
        <v>0</v>
      </c>
      <c r="AX40" s="10">
        <f t="shared" si="97"/>
        <v>0</v>
      </c>
      <c r="AY40" s="10">
        <f t="shared" si="98"/>
        <v>0</v>
      </c>
      <c r="AZ40" s="10">
        <f t="shared" si="99"/>
        <v>0</v>
      </c>
      <c r="BA40" s="10">
        <f t="shared" si="100"/>
        <v>0</v>
      </c>
      <c r="BB40" s="10">
        <f t="shared" si="101"/>
        <v>0</v>
      </c>
      <c r="BC40" s="10">
        <f t="shared" si="102"/>
        <v>0</v>
      </c>
      <c r="BD40" s="10">
        <f t="shared" si="103"/>
        <v>0</v>
      </c>
      <c r="BE40" s="10">
        <f t="shared" si="104"/>
        <v>0</v>
      </c>
      <c r="BF40" s="10">
        <f t="shared" si="105"/>
        <v>0</v>
      </c>
      <c r="BG40" s="10">
        <f t="shared" si="106"/>
        <v>0</v>
      </c>
      <c r="BH40" s="10">
        <f t="shared" si="107"/>
        <v>0</v>
      </c>
      <c r="BI40" s="10">
        <f t="shared" si="108"/>
        <v>0</v>
      </c>
      <c r="BJ40" s="10">
        <f t="shared" si="109"/>
        <v>0</v>
      </c>
      <c r="BK40" s="10">
        <f t="shared" si="110"/>
        <v>0</v>
      </c>
      <c r="BL40" s="10">
        <f t="shared" si="111"/>
        <v>0</v>
      </c>
      <c r="BM40" s="10">
        <f t="shared" si="112"/>
        <v>0</v>
      </c>
      <c r="BN40" s="10">
        <f t="shared" si="113"/>
        <v>0</v>
      </c>
      <c r="BO40" s="10">
        <f t="shared" si="114"/>
        <v>0</v>
      </c>
      <c r="BP40" s="10">
        <f t="shared" si="115"/>
        <v>0</v>
      </c>
      <c r="BQ40" s="10">
        <f t="shared" si="116"/>
        <v>0</v>
      </c>
      <c r="BR40" s="10">
        <f t="shared" si="117"/>
        <v>0</v>
      </c>
      <c r="BS40" s="10">
        <f t="shared" si="118"/>
        <v>0</v>
      </c>
      <c r="BT40" s="10">
        <f t="shared" si="119"/>
        <v>0</v>
      </c>
      <c r="BU40" s="10">
        <f t="shared" si="120"/>
        <v>0</v>
      </c>
      <c r="BV40" s="10">
        <f t="shared" si="121"/>
        <v>0</v>
      </c>
      <c r="BW40" s="10">
        <f t="shared" si="122"/>
        <v>0</v>
      </c>
      <c r="BX40" s="10">
        <f t="shared" si="123"/>
        <v>0</v>
      </c>
      <c r="BY40" s="10">
        <f t="shared" si="124"/>
        <v>0</v>
      </c>
      <c r="BZ40" s="10">
        <f t="shared" si="125"/>
        <v>0</v>
      </c>
      <c r="CA40" s="10">
        <f t="shared" si="126"/>
        <v>0</v>
      </c>
      <c r="CB40" s="10">
        <f t="shared" si="127"/>
        <v>0</v>
      </c>
      <c r="CC40" s="10">
        <f t="shared" si="128"/>
        <v>0</v>
      </c>
      <c r="CD40" s="10">
        <f t="shared" si="129"/>
        <v>0</v>
      </c>
      <c r="CE40" s="10">
        <f t="shared" si="130"/>
        <v>0</v>
      </c>
      <c r="CF40" s="10">
        <f t="shared" si="131"/>
        <v>0</v>
      </c>
      <c r="CG40" s="10">
        <f t="shared" si="132"/>
        <v>0</v>
      </c>
      <c r="CH40" s="10">
        <f t="shared" si="133"/>
        <v>0</v>
      </c>
      <c r="CI40" s="10">
        <f t="shared" si="134"/>
        <v>0</v>
      </c>
      <c r="CJ40" s="10">
        <f t="shared" si="135"/>
        <v>0</v>
      </c>
      <c r="CK40" s="10">
        <f t="shared" si="136"/>
        <v>0</v>
      </c>
      <c r="CL40" s="10">
        <f t="shared" si="137"/>
        <v>0</v>
      </c>
      <c r="CM40" s="10">
        <f t="shared" si="138"/>
        <v>0</v>
      </c>
      <c r="CN40" s="10">
        <f t="shared" si="139"/>
        <v>0</v>
      </c>
      <c r="CO40" s="10">
        <f t="shared" si="140"/>
        <v>0</v>
      </c>
    </row>
    <row r="41" spans="1:93">
      <c r="A41" s="10"/>
      <c r="B41" s="10"/>
      <c r="C41" s="17" t="str">
        <f>"Сегмент 0 - первый период эксплуатации - " &amp; C34</f>
        <v>Сегмент 0 - первый период эксплуатации - Прочая обеспечивающая инфраструктура</v>
      </c>
      <c r="D41" s="10"/>
      <c r="E41" s="10"/>
      <c r="F41" s="10"/>
      <c r="G41" s="11" t="str">
        <f t="shared" si="57"/>
        <v>0..0</v>
      </c>
      <c r="H41" s="10"/>
      <c r="I41" s="23">
        <f t="shared" si="58"/>
        <v>0</v>
      </c>
      <c r="J41" s="149"/>
      <c r="K41" s="10"/>
      <c r="L41" s="10">
        <f t="shared" si="59"/>
        <v>0</v>
      </c>
      <c r="M41" s="10">
        <f t="shared" si="60"/>
        <v>0</v>
      </c>
      <c r="N41" s="10">
        <f t="shared" si="61"/>
        <v>0</v>
      </c>
      <c r="O41" s="10">
        <f t="shared" si="62"/>
        <v>0</v>
      </c>
      <c r="P41" s="10">
        <f t="shared" si="63"/>
        <v>0</v>
      </c>
      <c r="Q41" s="10">
        <f t="shared" si="64"/>
        <v>0</v>
      </c>
      <c r="R41" s="10">
        <f t="shared" si="65"/>
        <v>0</v>
      </c>
      <c r="S41" s="10">
        <f t="shared" si="66"/>
        <v>0</v>
      </c>
      <c r="T41" s="10">
        <f t="shared" si="67"/>
        <v>0</v>
      </c>
      <c r="U41" s="10">
        <f t="shared" si="68"/>
        <v>0</v>
      </c>
      <c r="V41" s="10">
        <f t="shared" si="69"/>
        <v>0</v>
      </c>
      <c r="W41" s="10">
        <f t="shared" si="70"/>
        <v>0</v>
      </c>
      <c r="X41" s="10">
        <f t="shared" si="71"/>
        <v>0</v>
      </c>
      <c r="Y41" s="10">
        <f t="shared" si="72"/>
        <v>0</v>
      </c>
      <c r="Z41" s="10">
        <f t="shared" si="73"/>
        <v>0</v>
      </c>
      <c r="AA41" s="10">
        <f t="shared" si="74"/>
        <v>0</v>
      </c>
      <c r="AB41" s="10">
        <f t="shared" si="75"/>
        <v>0</v>
      </c>
      <c r="AC41" s="10">
        <f t="shared" si="76"/>
        <v>0</v>
      </c>
      <c r="AD41" s="10">
        <f t="shared" si="77"/>
        <v>0</v>
      </c>
      <c r="AE41" s="10">
        <f t="shared" si="78"/>
        <v>0</v>
      </c>
      <c r="AF41" s="10">
        <f t="shared" si="79"/>
        <v>0</v>
      </c>
      <c r="AG41" s="10">
        <f t="shared" si="80"/>
        <v>0</v>
      </c>
      <c r="AH41" s="10">
        <f t="shared" si="81"/>
        <v>0</v>
      </c>
      <c r="AI41" s="10">
        <f t="shared" si="82"/>
        <v>0</v>
      </c>
      <c r="AJ41" s="10">
        <f t="shared" si="83"/>
        <v>0</v>
      </c>
      <c r="AK41" s="10">
        <f t="shared" si="84"/>
        <v>0</v>
      </c>
      <c r="AL41" s="10">
        <f t="shared" si="85"/>
        <v>0</v>
      </c>
      <c r="AM41" s="10">
        <f t="shared" si="86"/>
        <v>0</v>
      </c>
      <c r="AN41" s="10">
        <f t="shared" si="87"/>
        <v>0</v>
      </c>
      <c r="AO41" s="10">
        <f t="shared" si="88"/>
        <v>0</v>
      </c>
      <c r="AP41" s="10">
        <f t="shared" si="89"/>
        <v>0</v>
      </c>
      <c r="AQ41" s="10">
        <f t="shared" si="90"/>
        <v>0</v>
      </c>
      <c r="AR41" s="10">
        <f t="shared" si="91"/>
        <v>0</v>
      </c>
      <c r="AS41" s="10">
        <f t="shared" si="92"/>
        <v>0</v>
      </c>
      <c r="AT41" s="10">
        <f t="shared" si="93"/>
        <v>0</v>
      </c>
      <c r="AU41" s="10">
        <f t="shared" si="94"/>
        <v>0</v>
      </c>
      <c r="AV41" s="10">
        <f t="shared" si="95"/>
        <v>0</v>
      </c>
      <c r="AW41" s="10">
        <f t="shared" si="96"/>
        <v>0</v>
      </c>
      <c r="AX41" s="10">
        <f t="shared" si="97"/>
        <v>0</v>
      </c>
      <c r="AY41" s="10">
        <f t="shared" si="98"/>
        <v>0</v>
      </c>
      <c r="AZ41" s="10">
        <f t="shared" si="99"/>
        <v>0</v>
      </c>
      <c r="BA41" s="10">
        <f t="shared" si="100"/>
        <v>0</v>
      </c>
      <c r="BB41" s="10">
        <f t="shared" si="101"/>
        <v>0</v>
      </c>
      <c r="BC41" s="10">
        <f t="shared" si="102"/>
        <v>0</v>
      </c>
      <c r="BD41" s="10">
        <f t="shared" si="103"/>
        <v>0</v>
      </c>
      <c r="BE41" s="10">
        <f t="shared" si="104"/>
        <v>0</v>
      </c>
      <c r="BF41" s="10">
        <f t="shared" si="105"/>
        <v>0</v>
      </c>
      <c r="BG41" s="10">
        <f t="shared" si="106"/>
        <v>0</v>
      </c>
      <c r="BH41" s="10">
        <f t="shared" si="107"/>
        <v>0</v>
      </c>
      <c r="BI41" s="10">
        <f t="shared" si="108"/>
        <v>0</v>
      </c>
      <c r="BJ41" s="10">
        <f t="shared" si="109"/>
        <v>0</v>
      </c>
      <c r="BK41" s="10">
        <f t="shared" si="110"/>
        <v>0</v>
      </c>
      <c r="BL41" s="10">
        <f t="shared" si="111"/>
        <v>0</v>
      </c>
      <c r="BM41" s="10">
        <f t="shared" si="112"/>
        <v>0</v>
      </c>
      <c r="BN41" s="10">
        <f t="shared" si="113"/>
        <v>0</v>
      </c>
      <c r="BO41" s="10">
        <f t="shared" si="114"/>
        <v>0</v>
      </c>
      <c r="BP41" s="10">
        <f t="shared" si="115"/>
        <v>0</v>
      </c>
      <c r="BQ41" s="10">
        <f t="shared" si="116"/>
        <v>0</v>
      </c>
      <c r="BR41" s="10">
        <f t="shared" si="117"/>
        <v>0</v>
      </c>
      <c r="BS41" s="10">
        <f t="shared" si="118"/>
        <v>0</v>
      </c>
      <c r="BT41" s="10">
        <f t="shared" si="119"/>
        <v>0</v>
      </c>
      <c r="BU41" s="10">
        <f t="shared" si="120"/>
        <v>0</v>
      </c>
      <c r="BV41" s="10">
        <f t="shared" si="121"/>
        <v>0</v>
      </c>
      <c r="BW41" s="10">
        <f t="shared" si="122"/>
        <v>0</v>
      </c>
      <c r="BX41" s="10">
        <f t="shared" si="123"/>
        <v>0</v>
      </c>
      <c r="BY41" s="10">
        <f t="shared" si="124"/>
        <v>0</v>
      </c>
      <c r="BZ41" s="10">
        <f t="shared" si="125"/>
        <v>0</v>
      </c>
      <c r="CA41" s="10">
        <f t="shared" si="126"/>
        <v>0</v>
      </c>
      <c r="CB41" s="10">
        <f t="shared" si="127"/>
        <v>0</v>
      </c>
      <c r="CC41" s="10">
        <f t="shared" si="128"/>
        <v>0</v>
      </c>
      <c r="CD41" s="10">
        <f t="shared" si="129"/>
        <v>0</v>
      </c>
      <c r="CE41" s="10">
        <f t="shared" si="130"/>
        <v>0</v>
      </c>
      <c r="CF41" s="10">
        <f t="shared" si="131"/>
        <v>0</v>
      </c>
      <c r="CG41" s="10">
        <f t="shared" si="132"/>
        <v>0</v>
      </c>
      <c r="CH41" s="10">
        <f t="shared" si="133"/>
        <v>0</v>
      </c>
      <c r="CI41" s="10">
        <f t="shared" si="134"/>
        <v>0</v>
      </c>
      <c r="CJ41" s="10">
        <f t="shared" si="135"/>
        <v>0</v>
      </c>
      <c r="CK41" s="10">
        <f t="shared" si="136"/>
        <v>0</v>
      </c>
      <c r="CL41" s="10">
        <f t="shared" si="137"/>
        <v>0</v>
      </c>
      <c r="CM41" s="10">
        <f t="shared" si="138"/>
        <v>0</v>
      </c>
      <c r="CN41" s="10">
        <f t="shared" si="139"/>
        <v>0</v>
      </c>
      <c r="CO41" s="10">
        <f t="shared" si="140"/>
        <v>0</v>
      </c>
    </row>
    <row r="42" spans="1:93">
      <c r="A42" s="10"/>
      <c r="B42" s="10"/>
      <c r="C42" s="17" t="str">
        <f>"Сегмент 1 - первый период эксплуатации - " &amp; C35</f>
        <v>Сегмент 1 - первый период эксплуатации - Объект размещения (отель)</v>
      </c>
      <c r="D42" s="10"/>
      <c r="E42" s="10"/>
      <c r="F42" s="10"/>
      <c r="G42" s="11" t="str">
        <f t="shared" si="57"/>
        <v>0..1</v>
      </c>
      <c r="H42" s="10"/>
      <c r="I42" s="23">
        <f t="shared" si="58"/>
        <v>1</v>
      </c>
      <c r="J42" s="149"/>
      <c r="K42" s="10"/>
      <c r="L42" s="10">
        <f t="shared" si="59"/>
        <v>0</v>
      </c>
      <c r="M42" s="10">
        <f t="shared" si="60"/>
        <v>0</v>
      </c>
      <c r="N42" s="10">
        <f t="shared" si="61"/>
        <v>0</v>
      </c>
      <c r="O42" s="10">
        <f t="shared" si="62"/>
        <v>0</v>
      </c>
      <c r="P42" s="10">
        <f t="shared" si="63"/>
        <v>0</v>
      </c>
      <c r="Q42" s="10">
        <f t="shared" si="64"/>
        <v>0</v>
      </c>
      <c r="R42" s="10">
        <f t="shared" si="65"/>
        <v>0</v>
      </c>
      <c r="S42" s="10">
        <f t="shared" si="66"/>
        <v>0</v>
      </c>
      <c r="T42" s="10">
        <f t="shared" si="67"/>
        <v>0</v>
      </c>
      <c r="U42" s="10">
        <f t="shared" si="68"/>
        <v>0</v>
      </c>
      <c r="V42" s="10">
        <f t="shared" si="69"/>
        <v>0</v>
      </c>
      <c r="W42" s="10">
        <f t="shared" si="70"/>
        <v>0</v>
      </c>
      <c r="X42" s="10">
        <f t="shared" si="71"/>
        <v>0</v>
      </c>
      <c r="Y42" s="10">
        <f t="shared" si="72"/>
        <v>0</v>
      </c>
      <c r="Z42" s="10">
        <f t="shared" si="73"/>
        <v>0</v>
      </c>
      <c r="AA42" s="10">
        <f t="shared" si="74"/>
        <v>0</v>
      </c>
      <c r="AB42" s="10">
        <f t="shared" si="75"/>
        <v>0</v>
      </c>
      <c r="AC42" s="10">
        <f t="shared" si="76"/>
        <v>1</v>
      </c>
      <c r="AD42" s="10">
        <f t="shared" si="77"/>
        <v>0</v>
      </c>
      <c r="AE42" s="10">
        <f t="shared" si="78"/>
        <v>0</v>
      </c>
      <c r="AF42" s="10">
        <f t="shared" si="79"/>
        <v>0</v>
      </c>
      <c r="AG42" s="10">
        <f t="shared" si="80"/>
        <v>0</v>
      </c>
      <c r="AH42" s="10">
        <f t="shared" si="81"/>
        <v>0</v>
      </c>
      <c r="AI42" s="10">
        <f t="shared" si="82"/>
        <v>0</v>
      </c>
      <c r="AJ42" s="10">
        <f t="shared" si="83"/>
        <v>0</v>
      </c>
      <c r="AK42" s="10">
        <f t="shared" si="84"/>
        <v>0</v>
      </c>
      <c r="AL42" s="10">
        <f t="shared" si="85"/>
        <v>0</v>
      </c>
      <c r="AM42" s="10">
        <f t="shared" si="86"/>
        <v>0</v>
      </c>
      <c r="AN42" s="10">
        <f t="shared" si="87"/>
        <v>0</v>
      </c>
      <c r="AO42" s="10">
        <f t="shared" si="88"/>
        <v>0</v>
      </c>
      <c r="AP42" s="10">
        <f t="shared" si="89"/>
        <v>0</v>
      </c>
      <c r="AQ42" s="10">
        <f t="shared" si="90"/>
        <v>0</v>
      </c>
      <c r="AR42" s="10">
        <f t="shared" si="91"/>
        <v>0</v>
      </c>
      <c r="AS42" s="10">
        <f t="shared" si="92"/>
        <v>0</v>
      </c>
      <c r="AT42" s="10">
        <f t="shared" si="93"/>
        <v>0</v>
      </c>
      <c r="AU42" s="10">
        <f t="shared" si="94"/>
        <v>0</v>
      </c>
      <c r="AV42" s="10">
        <f t="shared" si="95"/>
        <v>0</v>
      </c>
      <c r="AW42" s="10">
        <f t="shared" si="96"/>
        <v>0</v>
      </c>
      <c r="AX42" s="10">
        <f t="shared" si="97"/>
        <v>0</v>
      </c>
      <c r="AY42" s="10">
        <f t="shared" si="98"/>
        <v>0</v>
      </c>
      <c r="AZ42" s="10">
        <f t="shared" si="99"/>
        <v>0</v>
      </c>
      <c r="BA42" s="10">
        <f t="shared" si="100"/>
        <v>0</v>
      </c>
      <c r="BB42" s="10">
        <f t="shared" si="101"/>
        <v>0</v>
      </c>
      <c r="BC42" s="10">
        <f t="shared" si="102"/>
        <v>0</v>
      </c>
      <c r="BD42" s="10">
        <f t="shared" si="103"/>
        <v>0</v>
      </c>
      <c r="BE42" s="10">
        <f t="shared" si="104"/>
        <v>0</v>
      </c>
      <c r="BF42" s="10">
        <f t="shared" si="105"/>
        <v>0</v>
      </c>
      <c r="BG42" s="10">
        <f t="shared" si="106"/>
        <v>0</v>
      </c>
      <c r="BH42" s="10">
        <f t="shared" si="107"/>
        <v>0</v>
      </c>
      <c r="BI42" s="10">
        <f t="shared" si="108"/>
        <v>0</v>
      </c>
      <c r="BJ42" s="10">
        <f t="shared" si="109"/>
        <v>0</v>
      </c>
      <c r="BK42" s="10">
        <f t="shared" si="110"/>
        <v>0</v>
      </c>
      <c r="BL42" s="10">
        <f t="shared" si="111"/>
        <v>0</v>
      </c>
      <c r="BM42" s="10">
        <f t="shared" si="112"/>
        <v>0</v>
      </c>
      <c r="BN42" s="10">
        <f t="shared" si="113"/>
        <v>0</v>
      </c>
      <c r="BO42" s="10">
        <f t="shared" si="114"/>
        <v>0</v>
      </c>
      <c r="BP42" s="10">
        <f t="shared" si="115"/>
        <v>0</v>
      </c>
      <c r="BQ42" s="10">
        <f t="shared" si="116"/>
        <v>0</v>
      </c>
      <c r="BR42" s="10">
        <f t="shared" si="117"/>
        <v>0</v>
      </c>
      <c r="BS42" s="10">
        <f t="shared" si="118"/>
        <v>0</v>
      </c>
      <c r="BT42" s="10">
        <f t="shared" si="119"/>
        <v>0</v>
      </c>
      <c r="BU42" s="10">
        <f t="shared" si="120"/>
        <v>0</v>
      </c>
      <c r="BV42" s="10">
        <f t="shared" si="121"/>
        <v>0</v>
      </c>
      <c r="BW42" s="10">
        <f t="shared" si="122"/>
        <v>0</v>
      </c>
      <c r="BX42" s="10">
        <f t="shared" si="123"/>
        <v>0</v>
      </c>
      <c r="BY42" s="10">
        <f t="shared" si="124"/>
        <v>0</v>
      </c>
      <c r="BZ42" s="10">
        <f t="shared" si="125"/>
        <v>0</v>
      </c>
      <c r="CA42" s="10">
        <f t="shared" si="126"/>
        <v>0</v>
      </c>
      <c r="CB42" s="10">
        <f t="shared" si="127"/>
        <v>0</v>
      </c>
      <c r="CC42" s="10">
        <f t="shared" si="128"/>
        <v>0</v>
      </c>
      <c r="CD42" s="10">
        <f t="shared" si="129"/>
        <v>0</v>
      </c>
      <c r="CE42" s="10">
        <f t="shared" si="130"/>
        <v>0</v>
      </c>
      <c r="CF42" s="10">
        <f t="shared" si="131"/>
        <v>0</v>
      </c>
      <c r="CG42" s="10">
        <f t="shared" si="132"/>
        <v>0</v>
      </c>
      <c r="CH42" s="10">
        <f t="shared" si="133"/>
        <v>0</v>
      </c>
      <c r="CI42" s="10">
        <f t="shared" si="134"/>
        <v>0</v>
      </c>
      <c r="CJ42" s="10">
        <f t="shared" si="135"/>
        <v>0</v>
      </c>
      <c r="CK42" s="10">
        <f t="shared" si="136"/>
        <v>0</v>
      </c>
      <c r="CL42" s="10">
        <f t="shared" si="137"/>
        <v>0</v>
      </c>
      <c r="CM42" s="10">
        <f t="shared" si="138"/>
        <v>0</v>
      </c>
      <c r="CN42" s="10">
        <f t="shared" si="139"/>
        <v>0</v>
      </c>
      <c r="CO42" s="10">
        <f t="shared" si="140"/>
        <v>0</v>
      </c>
    </row>
    <row r="43" spans="1:93">
      <c r="A43" s="10"/>
      <c r="B43" s="10"/>
      <c r="C43" s="17" t="str">
        <f>"Сегмент 2 - первый период эксплуатации - " &amp; C36</f>
        <v>Сегмент 2 - первый период эксплуатации - Развлекательный комплекс</v>
      </c>
      <c r="D43" s="10"/>
      <c r="E43" s="10"/>
      <c r="F43" s="10"/>
      <c r="G43" s="11" t="str">
        <f t="shared" si="57"/>
        <v>0..1</v>
      </c>
      <c r="H43" s="10"/>
      <c r="I43" s="23">
        <f t="shared" si="58"/>
        <v>1</v>
      </c>
      <c r="J43" s="149"/>
      <c r="K43" s="10"/>
      <c r="L43" s="10">
        <f t="shared" si="59"/>
        <v>0</v>
      </c>
      <c r="M43" s="10">
        <f t="shared" si="60"/>
        <v>0</v>
      </c>
      <c r="N43" s="10">
        <f t="shared" si="61"/>
        <v>0</v>
      </c>
      <c r="O43" s="10">
        <f t="shared" si="62"/>
        <v>0</v>
      </c>
      <c r="P43" s="10">
        <f t="shared" si="63"/>
        <v>0</v>
      </c>
      <c r="Q43" s="10">
        <f t="shared" si="64"/>
        <v>0</v>
      </c>
      <c r="R43" s="10">
        <f t="shared" si="65"/>
        <v>0</v>
      </c>
      <c r="S43" s="10">
        <f t="shared" si="66"/>
        <v>0</v>
      </c>
      <c r="T43" s="10">
        <f t="shared" si="67"/>
        <v>0</v>
      </c>
      <c r="U43" s="10">
        <f t="shared" si="68"/>
        <v>0</v>
      </c>
      <c r="V43" s="10">
        <f t="shared" si="69"/>
        <v>0</v>
      </c>
      <c r="W43" s="10">
        <f t="shared" si="70"/>
        <v>0</v>
      </c>
      <c r="X43" s="10">
        <f t="shared" si="71"/>
        <v>0</v>
      </c>
      <c r="Y43" s="10">
        <f t="shared" si="72"/>
        <v>0</v>
      </c>
      <c r="Z43" s="10">
        <f t="shared" si="73"/>
        <v>0</v>
      </c>
      <c r="AA43" s="10">
        <f t="shared" si="74"/>
        <v>0</v>
      </c>
      <c r="AB43" s="10">
        <f t="shared" si="75"/>
        <v>1</v>
      </c>
      <c r="AC43" s="10">
        <f t="shared" si="76"/>
        <v>0</v>
      </c>
      <c r="AD43" s="10">
        <f t="shared" si="77"/>
        <v>0</v>
      </c>
      <c r="AE43" s="10">
        <f t="shared" si="78"/>
        <v>0</v>
      </c>
      <c r="AF43" s="10">
        <f t="shared" si="79"/>
        <v>0</v>
      </c>
      <c r="AG43" s="10">
        <f t="shared" si="80"/>
        <v>0</v>
      </c>
      <c r="AH43" s="10">
        <f t="shared" si="81"/>
        <v>0</v>
      </c>
      <c r="AI43" s="10">
        <f t="shared" si="82"/>
        <v>0</v>
      </c>
      <c r="AJ43" s="10">
        <f t="shared" si="83"/>
        <v>0</v>
      </c>
      <c r="AK43" s="10">
        <f t="shared" si="84"/>
        <v>0</v>
      </c>
      <c r="AL43" s="10">
        <f t="shared" si="85"/>
        <v>0</v>
      </c>
      <c r="AM43" s="10">
        <f t="shared" si="86"/>
        <v>0</v>
      </c>
      <c r="AN43" s="10">
        <f t="shared" si="87"/>
        <v>0</v>
      </c>
      <c r="AO43" s="10">
        <f t="shared" si="88"/>
        <v>0</v>
      </c>
      <c r="AP43" s="10">
        <f t="shared" si="89"/>
        <v>0</v>
      </c>
      <c r="AQ43" s="10">
        <f t="shared" si="90"/>
        <v>0</v>
      </c>
      <c r="AR43" s="10">
        <f t="shared" si="91"/>
        <v>0</v>
      </c>
      <c r="AS43" s="10">
        <f t="shared" si="92"/>
        <v>0</v>
      </c>
      <c r="AT43" s="10">
        <f t="shared" si="93"/>
        <v>0</v>
      </c>
      <c r="AU43" s="10">
        <f t="shared" si="94"/>
        <v>0</v>
      </c>
      <c r="AV43" s="10">
        <f t="shared" si="95"/>
        <v>0</v>
      </c>
      <c r="AW43" s="10">
        <f t="shared" si="96"/>
        <v>0</v>
      </c>
      <c r="AX43" s="10">
        <f t="shared" si="97"/>
        <v>0</v>
      </c>
      <c r="AY43" s="10">
        <f t="shared" si="98"/>
        <v>0</v>
      </c>
      <c r="AZ43" s="10">
        <f t="shared" si="99"/>
        <v>0</v>
      </c>
      <c r="BA43" s="10">
        <f t="shared" si="100"/>
        <v>0</v>
      </c>
      <c r="BB43" s="10">
        <f t="shared" si="101"/>
        <v>0</v>
      </c>
      <c r="BC43" s="10">
        <f t="shared" si="102"/>
        <v>0</v>
      </c>
      <c r="BD43" s="10">
        <f t="shared" si="103"/>
        <v>0</v>
      </c>
      <c r="BE43" s="10">
        <f t="shared" si="104"/>
        <v>0</v>
      </c>
      <c r="BF43" s="10">
        <f t="shared" si="105"/>
        <v>0</v>
      </c>
      <c r="BG43" s="10">
        <f t="shared" si="106"/>
        <v>0</v>
      </c>
      <c r="BH43" s="10">
        <f t="shared" si="107"/>
        <v>0</v>
      </c>
      <c r="BI43" s="10">
        <f t="shared" si="108"/>
        <v>0</v>
      </c>
      <c r="BJ43" s="10">
        <f t="shared" si="109"/>
        <v>0</v>
      </c>
      <c r="BK43" s="10">
        <f t="shared" si="110"/>
        <v>0</v>
      </c>
      <c r="BL43" s="10">
        <f t="shared" si="111"/>
        <v>0</v>
      </c>
      <c r="BM43" s="10">
        <f t="shared" si="112"/>
        <v>0</v>
      </c>
      <c r="BN43" s="10">
        <f t="shared" si="113"/>
        <v>0</v>
      </c>
      <c r="BO43" s="10">
        <f t="shared" si="114"/>
        <v>0</v>
      </c>
      <c r="BP43" s="10">
        <f t="shared" si="115"/>
        <v>0</v>
      </c>
      <c r="BQ43" s="10">
        <f t="shared" si="116"/>
        <v>0</v>
      </c>
      <c r="BR43" s="10">
        <f t="shared" si="117"/>
        <v>0</v>
      </c>
      <c r="BS43" s="10">
        <f t="shared" si="118"/>
        <v>0</v>
      </c>
      <c r="BT43" s="10">
        <f t="shared" si="119"/>
        <v>0</v>
      </c>
      <c r="BU43" s="10">
        <f t="shared" si="120"/>
        <v>0</v>
      </c>
      <c r="BV43" s="10">
        <f t="shared" si="121"/>
        <v>0</v>
      </c>
      <c r="BW43" s="10">
        <f t="shared" si="122"/>
        <v>0</v>
      </c>
      <c r="BX43" s="10">
        <f t="shared" si="123"/>
        <v>0</v>
      </c>
      <c r="BY43" s="10">
        <f t="shared" si="124"/>
        <v>0</v>
      </c>
      <c r="BZ43" s="10">
        <f t="shared" si="125"/>
        <v>0</v>
      </c>
      <c r="CA43" s="10">
        <f t="shared" si="126"/>
        <v>0</v>
      </c>
      <c r="CB43" s="10">
        <f t="shared" si="127"/>
        <v>0</v>
      </c>
      <c r="CC43" s="10">
        <f t="shared" si="128"/>
        <v>0</v>
      </c>
      <c r="CD43" s="10">
        <f t="shared" si="129"/>
        <v>0</v>
      </c>
      <c r="CE43" s="10">
        <f t="shared" si="130"/>
        <v>0</v>
      </c>
      <c r="CF43" s="10">
        <f t="shared" si="131"/>
        <v>0</v>
      </c>
      <c r="CG43" s="10">
        <f t="shared" si="132"/>
        <v>0</v>
      </c>
      <c r="CH43" s="10">
        <f t="shared" si="133"/>
        <v>0</v>
      </c>
      <c r="CI43" s="10">
        <f t="shared" si="134"/>
        <v>0</v>
      </c>
      <c r="CJ43" s="10">
        <f t="shared" si="135"/>
        <v>0</v>
      </c>
      <c r="CK43" s="10">
        <f t="shared" si="136"/>
        <v>0</v>
      </c>
      <c r="CL43" s="10">
        <f t="shared" si="137"/>
        <v>0</v>
      </c>
      <c r="CM43" s="10">
        <f t="shared" si="138"/>
        <v>0</v>
      </c>
      <c r="CN43" s="10">
        <f t="shared" si="139"/>
        <v>0</v>
      </c>
      <c r="CO43" s="10">
        <f t="shared" si="140"/>
        <v>0</v>
      </c>
    </row>
    <row r="44" spans="1:93">
      <c r="A44" s="10"/>
      <c r="B44" s="10"/>
      <c r="C44" s="17" t="str">
        <f>"Сегмент 3 - первый период эксплуатации - " &amp; C37</f>
        <v>Сегмент 3 - первый период эксплуатации - Крытый парк развлечений</v>
      </c>
      <c r="D44" s="10"/>
      <c r="E44" s="10"/>
      <c r="F44" s="10"/>
      <c r="G44" s="11" t="str">
        <f t="shared" si="57"/>
        <v>0..0</v>
      </c>
      <c r="H44" s="10"/>
      <c r="I44" s="23">
        <f t="shared" si="58"/>
        <v>0</v>
      </c>
      <c r="J44" s="149"/>
      <c r="K44" s="10"/>
      <c r="L44" s="10">
        <f t="shared" si="59"/>
        <v>0</v>
      </c>
      <c r="M44" s="10">
        <f t="shared" si="60"/>
        <v>0</v>
      </c>
      <c r="N44" s="10">
        <f t="shared" si="61"/>
        <v>0</v>
      </c>
      <c r="O44" s="10">
        <f t="shared" si="62"/>
        <v>0</v>
      </c>
      <c r="P44" s="10">
        <f t="shared" si="63"/>
        <v>0</v>
      </c>
      <c r="Q44" s="10">
        <f t="shared" si="64"/>
        <v>0</v>
      </c>
      <c r="R44" s="10">
        <f t="shared" si="65"/>
        <v>0</v>
      </c>
      <c r="S44" s="10">
        <f t="shared" si="66"/>
        <v>0</v>
      </c>
      <c r="T44" s="10">
        <f t="shared" si="67"/>
        <v>0</v>
      </c>
      <c r="U44" s="10">
        <f t="shared" si="68"/>
        <v>0</v>
      </c>
      <c r="V44" s="10">
        <f t="shared" si="69"/>
        <v>0</v>
      </c>
      <c r="W44" s="10">
        <f t="shared" si="70"/>
        <v>0</v>
      </c>
      <c r="X44" s="10">
        <f t="shared" si="71"/>
        <v>0</v>
      </c>
      <c r="Y44" s="10">
        <f t="shared" si="72"/>
        <v>0</v>
      </c>
      <c r="Z44" s="10">
        <f t="shared" si="73"/>
        <v>0</v>
      </c>
      <c r="AA44" s="10">
        <f t="shared" si="74"/>
        <v>0</v>
      </c>
      <c r="AB44" s="10">
        <f t="shared" si="75"/>
        <v>0</v>
      </c>
      <c r="AC44" s="10">
        <f t="shared" si="76"/>
        <v>0</v>
      </c>
      <c r="AD44" s="10">
        <f t="shared" si="77"/>
        <v>0</v>
      </c>
      <c r="AE44" s="10">
        <f t="shared" si="78"/>
        <v>0</v>
      </c>
      <c r="AF44" s="10">
        <f t="shared" si="79"/>
        <v>0</v>
      </c>
      <c r="AG44" s="10">
        <f t="shared" si="80"/>
        <v>0</v>
      </c>
      <c r="AH44" s="10">
        <f t="shared" si="81"/>
        <v>0</v>
      </c>
      <c r="AI44" s="10">
        <f t="shared" si="82"/>
        <v>0</v>
      </c>
      <c r="AJ44" s="10">
        <f t="shared" si="83"/>
        <v>0</v>
      </c>
      <c r="AK44" s="10">
        <f t="shared" si="84"/>
        <v>0</v>
      </c>
      <c r="AL44" s="10">
        <f t="shared" si="85"/>
        <v>0</v>
      </c>
      <c r="AM44" s="10">
        <f t="shared" si="86"/>
        <v>0</v>
      </c>
      <c r="AN44" s="10">
        <f t="shared" si="87"/>
        <v>0</v>
      </c>
      <c r="AO44" s="10">
        <f t="shared" si="88"/>
        <v>0</v>
      </c>
      <c r="AP44" s="10">
        <f t="shared" si="89"/>
        <v>0</v>
      </c>
      <c r="AQ44" s="10">
        <f t="shared" si="90"/>
        <v>0</v>
      </c>
      <c r="AR44" s="10">
        <f t="shared" si="91"/>
        <v>0</v>
      </c>
      <c r="AS44" s="10">
        <f t="shared" si="92"/>
        <v>0</v>
      </c>
      <c r="AT44" s="10">
        <f t="shared" si="93"/>
        <v>0</v>
      </c>
      <c r="AU44" s="10">
        <f t="shared" si="94"/>
        <v>0</v>
      </c>
      <c r="AV44" s="10">
        <f t="shared" si="95"/>
        <v>0</v>
      </c>
      <c r="AW44" s="10">
        <f t="shared" si="96"/>
        <v>0</v>
      </c>
      <c r="AX44" s="10">
        <f t="shared" si="97"/>
        <v>0</v>
      </c>
      <c r="AY44" s="10">
        <f t="shared" si="98"/>
        <v>0</v>
      </c>
      <c r="AZ44" s="10">
        <f t="shared" si="99"/>
        <v>0</v>
      </c>
      <c r="BA44" s="10">
        <f t="shared" si="100"/>
        <v>0</v>
      </c>
      <c r="BB44" s="10">
        <f t="shared" si="101"/>
        <v>0</v>
      </c>
      <c r="BC44" s="10">
        <f t="shared" si="102"/>
        <v>0</v>
      </c>
      <c r="BD44" s="10">
        <f t="shared" si="103"/>
        <v>0</v>
      </c>
      <c r="BE44" s="10">
        <f t="shared" si="104"/>
        <v>0</v>
      </c>
      <c r="BF44" s="10">
        <f t="shared" si="105"/>
        <v>0</v>
      </c>
      <c r="BG44" s="10">
        <f t="shared" si="106"/>
        <v>0</v>
      </c>
      <c r="BH44" s="10">
        <f t="shared" si="107"/>
        <v>0</v>
      </c>
      <c r="BI44" s="10">
        <f t="shared" si="108"/>
        <v>0</v>
      </c>
      <c r="BJ44" s="10">
        <f t="shared" si="109"/>
        <v>0</v>
      </c>
      <c r="BK44" s="10">
        <f t="shared" si="110"/>
        <v>0</v>
      </c>
      <c r="BL44" s="10">
        <f t="shared" si="111"/>
        <v>0</v>
      </c>
      <c r="BM44" s="10">
        <f t="shared" si="112"/>
        <v>0</v>
      </c>
      <c r="BN44" s="10">
        <f t="shared" si="113"/>
        <v>0</v>
      </c>
      <c r="BO44" s="10">
        <f t="shared" si="114"/>
        <v>0</v>
      </c>
      <c r="BP44" s="10">
        <f t="shared" si="115"/>
        <v>0</v>
      </c>
      <c r="BQ44" s="10">
        <f t="shared" si="116"/>
        <v>0</v>
      </c>
      <c r="BR44" s="10">
        <f t="shared" si="117"/>
        <v>0</v>
      </c>
      <c r="BS44" s="10">
        <f t="shared" si="118"/>
        <v>0</v>
      </c>
      <c r="BT44" s="10">
        <f t="shared" si="119"/>
        <v>0</v>
      </c>
      <c r="BU44" s="10">
        <f t="shared" si="120"/>
        <v>0</v>
      </c>
      <c r="BV44" s="10">
        <f t="shared" si="121"/>
        <v>0</v>
      </c>
      <c r="BW44" s="10">
        <f t="shared" si="122"/>
        <v>0</v>
      </c>
      <c r="BX44" s="10">
        <f t="shared" si="123"/>
        <v>0</v>
      </c>
      <c r="BY44" s="10">
        <f t="shared" si="124"/>
        <v>0</v>
      </c>
      <c r="BZ44" s="10">
        <f t="shared" si="125"/>
        <v>0</v>
      </c>
      <c r="CA44" s="10">
        <f t="shared" si="126"/>
        <v>0</v>
      </c>
      <c r="CB44" s="10">
        <f t="shared" si="127"/>
        <v>0</v>
      </c>
      <c r="CC44" s="10">
        <f t="shared" si="128"/>
        <v>0</v>
      </c>
      <c r="CD44" s="10">
        <f t="shared" si="129"/>
        <v>0</v>
      </c>
      <c r="CE44" s="10">
        <f t="shared" si="130"/>
        <v>0</v>
      </c>
      <c r="CF44" s="10">
        <f t="shared" si="131"/>
        <v>0</v>
      </c>
      <c r="CG44" s="10">
        <f t="shared" si="132"/>
        <v>0</v>
      </c>
      <c r="CH44" s="10">
        <f t="shared" si="133"/>
        <v>0</v>
      </c>
      <c r="CI44" s="10">
        <f t="shared" si="134"/>
        <v>0</v>
      </c>
      <c r="CJ44" s="10">
        <f t="shared" si="135"/>
        <v>0</v>
      </c>
      <c r="CK44" s="10">
        <f t="shared" si="136"/>
        <v>0</v>
      </c>
      <c r="CL44" s="10">
        <f t="shared" si="137"/>
        <v>0</v>
      </c>
      <c r="CM44" s="10">
        <f t="shared" si="138"/>
        <v>0</v>
      </c>
      <c r="CN44" s="10">
        <f t="shared" si="139"/>
        <v>0</v>
      </c>
      <c r="CO44" s="10">
        <f t="shared" si="140"/>
        <v>0</v>
      </c>
    </row>
    <row r="45" spans="1:93">
      <c r="A45" s="10"/>
      <c r="B45" s="10"/>
      <c r="C45" s="17"/>
      <c r="D45" s="10"/>
      <c r="E45" s="10"/>
      <c r="F45" s="10"/>
      <c r="G45" s="11"/>
      <c r="H45" s="10"/>
      <c r="I45" s="10"/>
      <c r="J45" s="149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</row>
    <row r="46" spans="1:93">
      <c r="A46" s="10"/>
      <c r="B46" s="10"/>
      <c r="C46" s="17" t="str">
        <f>"Сегмент 0 - период эксплуатации - " &amp; C32</f>
        <v>Сегмент 0 - период эксплуатации - Транспортная инфраструктура</v>
      </c>
      <c r="D46" s="10"/>
      <c r="E46" s="10"/>
      <c r="F46" s="10"/>
      <c r="G46" s="11" t="str">
        <f t="shared" ref="G46:G51" si="141">MIN(L46:CO46) &amp; ".." &amp; MAX(L46:CO46)</f>
        <v>0..1</v>
      </c>
      <c r="H46" s="10"/>
      <c r="I46" s="23">
        <f t="shared" ref="I46:I51" si="142">SUM(L46:CO46)</f>
        <v>65</v>
      </c>
      <c r="J46" s="149"/>
      <c r="K46" s="10"/>
      <c r="L46" s="10">
        <f>SUM($K39:L39) * 1 * (Flag_Construction + Flag_Operations &gt; 0)</f>
        <v>0</v>
      </c>
      <c r="M46" s="10">
        <f>SUM($K39:M39) * 1 * (Flag_Construction + Flag_Operations &gt; 0)</f>
        <v>0</v>
      </c>
      <c r="N46" s="10">
        <f>SUM($K39:N39) * 1 * (Flag_Construction + Flag_Operations &gt; 0)</f>
        <v>0</v>
      </c>
      <c r="O46" s="10">
        <f>SUM($K39:O39) * 1 * (Flag_Construction + Flag_Operations &gt; 0)</f>
        <v>0</v>
      </c>
      <c r="P46" s="10">
        <f>SUM($K39:P39) * 1 * (Flag_Construction + Flag_Operations &gt; 0)</f>
        <v>0</v>
      </c>
      <c r="Q46" s="10">
        <f>SUM($K39:Q39) * 1 * (Flag_Construction + Flag_Operations &gt; 0)</f>
        <v>0</v>
      </c>
      <c r="R46" s="10">
        <f>SUM($K39:R39) * 1 * (Flag_Construction + Flag_Operations &gt; 0)</f>
        <v>0</v>
      </c>
      <c r="S46" s="10">
        <f>SUM($K39:S39) * 1 * (Flag_Construction + Flag_Operations &gt; 0)</f>
        <v>0</v>
      </c>
      <c r="T46" s="10">
        <f>SUM($K39:T39) * 1 * (Flag_Construction + Flag_Operations &gt; 0)</f>
        <v>0</v>
      </c>
      <c r="U46" s="10">
        <f>SUM($K39:U39) * 1 * (Flag_Construction + Flag_Operations &gt; 0)</f>
        <v>0</v>
      </c>
      <c r="V46" s="10">
        <f>SUM($K39:V39) * 1 * (Flag_Construction + Flag_Operations &gt; 0)</f>
        <v>0</v>
      </c>
      <c r="W46" s="10">
        <f>SUM($K39:W39) * 1 * (Flag_Construction + Flag_Operations &gt; 0)</f>
        <v>0</v>
      </c>
      <c r="X46" s="10">
        <f>SUM($K39:X39) * 1 * (Flag_Construction + Flag_Operations &gt; 0)</f>
        <v>0</v>
      </c>
      <c r="Y46" s="10">
        <f>SUM($K39:Y39) * 1 * (Flag_Construction + Flag_Operations &gt; 0)</f>
        <v>0</v>
      </c>
      <c r="Z46" s="10">
        <f>SUM($K39:Z39) * 1 * (Flag_Construction + Flag_Operations &gt; 0)</f>
        <v>0</v>
      </c>
      <c r="AA46" s="10">
        <f>SUM($K39:AA39) * 1 * (Flag_Construction + Flag_Operations &gt; 0)</f>
        <v>0</v>
      </c>
      <c r="AB46" s="10">
        <f>SUM($K39:AB39) * 1 * (Flag_Construction + Flag_Operations &gt; 0)</f>
        <v>0</v>
      </c>
      <c r="AC46" s="10">
        <f>SUM($K39:AC39) * 1 * (Flag_Construction + Flag_Operations &gt; 0)</f>
        <v>1</v>
      </c>
      <c r="AD46" s="10">
        <f>SUM($K39:AD39) * 1 * (Flag_Construction + Flag_Operations &gt; 0)</f>
        <v>1</v>
      </c>
      <c r="AE46" s="10">
        <f>SUM($K39:AE39) * 1 * (Flag_Construction + Flag_Operations &gt; 0)</f>
        <v>1</v>
      </c>
      <c r="AF46" s="10">
        <f>SUM($K39:AF39) * 1 * (Flag_Construction + Flag_Operations &gt; 0)</f>
        <v>1</v>
      </c>
      <c r="AG46" s="10">
        <f>SUM($K39:AG39) * 1 * (Flag_Construction + Flag_Operations &gt; 0)</f>
        <v>1</v>
      </c>
      <c r="AH46" s="10">
        <f>SUM($K39:AH39) * 1 * (Flag_Construction + Flag_Operations &gt; 0)</f>
        <v>1</v>
      </c>
      <c r="AI46" s="10">
        <f>SUM($K39:AI39) * 1 * (Flag_Construction + Flag_Operations &gt; 0)</f>
        <v>1</v>
      </c>
      <c r="AJ46" s="10">
        <f>SUM($K39:AJ39) * 1 * (Flag_Construction + Flag_Operations &gt; 0)</f>
        <v>1</v>
      </c>
      <c r="AK46" s="10">
        <f>SUM($K39:AK39) * 1 * (Flag_Construction + Flag_Operations &gt; 0)</f>
        <v>1</v>
      </c>
      <c r="AL46" s="10">
        <f>SUM($K39:AL39) * 1 * (Flag_Construction + Flag_Operations &gt; 0)</f>
        <v>1</v>
      </c>
      <c r="AM46" s="10">
        <f>SUM($K39:AM39) * 1 * (Flag_Construction + Flag_Operations &gt; 0)</f>
        <v>1</v>
      </c>
      <c r="AN46" s="10">
        <f>SUM($K39:AN39) * 1 * (Flag_Construction + Flag_Operations &gt; 0)</f>
        <v>1</v>
      </c>
      <c r="AO46" s="10">
        <f>SUM($K39:AO39) * 1 * (Flag_Construction + Flag_Operations &gt; 0)</f>
        <v>1</v>
      </c>
      <c r="AP46" s="10">
        <f>SUM($K39:AP39) * 1 * (Flag_Construction + Flag_Operations &gt; 0)</f>
        <v>1</v>
      </c>
      <c r="AQ46" s="10">
        <f>SUM($K39:AQ39) * 1 * (Flag_Construction + Flag_Operations &gt; 0)</f>
        <v>1</v>
      </c>
      <c r="AR46" s="10">
        <f>SUM($K39:AR39) * 1 * (Flag_Construction + Flag_Operations &gt; 0)</f>
        <v>1</v>
      </c>
      <c r="AS46" s="10">
        <f>SUM($K39:AS39) * 1 * (Flag_Construction + Flag_Operations &gt; 0)</f>
        <v>1</v>
      </c>
      <c r="AT46" s="10">
        <f>SUM($K39:AT39) * 1 * (Flag_Construction + Flag_Operations &gt; 0)</f>
        <v>1</v>
      </c>
      <c r="AU46" s="10">
        <f>SUM($K39:AU39) * 1 * (Flag_Construction + Flag_Operations &gt; 0)</f>
        <v>1</v>
      </c>
      <c r="AV46" s="10">
        <f>SUM($K39:AV39) * 1 * (Flag_Construction + Flag_Operations &gt; 0)</f>
        <v>1</v>
      </c>
      <c r="AW46" s="10">
        <f>SUM($K39:AW39) * 1 * (Flag_Construction + Flag_Operations &gt; 0)</f>
        <v>1</v>
      </c>
      <c r="AX46" s="10">
        <f>SUM($K39:AX39) * 1 * (Flag_Construction + Flag_Operations &gt; 0)</f>
        <v>1</v>
      </c>
      <c r="AY46" s="10">
        <f>SUM($K39:AY39) * 1 * (Flag_Construction + Flag_Operations &gt; 0)</f>
        <v>1</v>
      </c>
      <c r="AZ46" s="10">
        <f>SUM($K39:AZ39) * 1 * (Flag_Construction + Flag_Operations &gt; 0)</f>
        <v>1</v>
      </c>
      <c r="BA46" s="10">
        <f>SUM($K39:BA39) * 1 * (Flag_Construction + Flag_Operations &gt; 0)</f>
        <v>1</v>
      </c>
      <c r="BB46" s="10">
        <f>SUM($K39:BB39) * 1 * (Flag_Construction + Flag_Operations &gt; 0)</f>
        <v>1</v>
      </c>
      <c r="BC46" s="10">
        <f>SUM($K39:BC39) * 1 * (Flag_Construction + Flag_Operations &gt; 0)</f>
        <v>1</v>
      </c>
      <c r="BD46" s="10">
        <f>SUM($K39:BD39) * 1 * (Flag_Construction + Flag_Operations &gt; 0)</f>
        <v>1</v>
      </c>
      <c r="BE46" s="10">
        <f>SUM($K39:BE39) * 1 * (Flag_Construction + Flag_Operations &gt; 0)</f>
        <v>1</v>
      </c>
      <c r="BF46" s="10">
        <f>SUM($K39:BF39) * 1 * (Flag_Construction + Flag_Operations &gt; 0)</f>
        <v>1</v>
      </c>
      <c r="BG46" s="10">
        <f>SUM($K39:BG39) * 1 * (Flag_Construction + Flag_Operations &gt; 0)</f>
        <v>1</v>
      </c>
      <c r="BH46" s="10">
        <f>SUM($K39:BH39) * 1 * (Flag_Construction + Flag_Operations &gt; 0)</f>
        <v>1</v>
      </c>
      <c r="BI46" s="10">
        <f>SUM($K39:BI39) * 1 * (Flag_Construction + Flag_Operations &gt; 0)</f>
        <v>1</v>
      </c>
      <c r="BJ46" s="10">
        <f>SUM($K39:BJ39) * 1 * (Flag_Construction + Flag_Operations &gt; 0)</f>
        <v>1</v>
      </c>
      <c r="BK46" s="10">
        <f>SUM($K39:BK39) * 1 * (Flag_Construction + Flag_Operations &gt; 0)</f>
        <v>1</v>
      </c>
      <c r="BL46" s="10">
        <f>SUM($K39:BL39) * 1 * (Flag_Construction + Flag_Operations &gt; 0)</f>
        <v>1</v>
      </c>
      <c r="BM46" s="10">
        <f>SUM($K39:BM39) * 1 * (Flag_Construction + Flag_Operations &gt; 0)</f>
        <v>1</v>
      </c>
      <c r="BN46" s="10">
        <f>SUM($K39:BN39) * 1 * (Flag_Construction + Flag_Operations &gt; 0)</f>
        <v>1</v>
      </c>
      <c r="BO46" s="10">
        <f>SUM($K39:BO39) * 1 * (Flag_Construction + Flag_Operations &gt; 0)</f>
        <v>1</v>
      </c>
      <c r="BP46" s="10">
        <f>SUM($K39:BP39) * 1 * (Flag_Construction + Flag_Operations &gt; 0)</f>
        <v>1</v>
      </c>
      <c r="BQ46" s="10">
        <f>SUM($K39:BQ39) * 1 * (Flag_Construction + Flag_Operations &gt; 0)</f>
        <v>1</v>
      </c>
      <c r="BR46" s="10">
        <f>SUM($K39:BR39) * 1 * (Flag_Construction + Flag_Operations &gt; 0)</f>
        <v>1</v>
      </c>
      <c r="BS46" s="10">
        <f>SUM($K39:BS39) * 1 * (Flag_Construction + Flag_Operations &gt; 0)</f>
        <v>1</v>
      </c>
      <c r="BT46" s="10">
        <f>SUM($K39:BT39) * 1 * (Flag_Construction + Flag_Operations &gt; 0)</f>
        <v>1</v>
      </c>
      <c r="BU46" s="10">
        <f>SUM($K39:BU39) * 1 * (Flag_Construction + Flag_Operations &gt; 0)</f>
        <v>1</v>
      </c>
      <c r="BV46" s="10">
        <f>SUM($K39:BV39) * 1 * (Flag_Construction + Flag_Operations &gt; 0)</f>
        <v>1</v>
      </c>
      <c r="BW46" s="10">
        <f>SUM($K39:BW39) * 1 * (Flag_Construction + Flag_Operations &gt; 0)</f>
        <v>1</v>
      </c>
      <c r="BX46" s="10">
        <f>SUM($K39:BX39) * 1 * (Flag_Construction + Flag_Operations &gt; 0)</f>
        <v>1</v>
      </c>
      <c r="BY46" s="10">
        <f>SUM($K39:BY39) * 1 * (Flag_Construction + Flag_Operations &gt; 0)</f>
        <v>1</v>
      </c>
      <c r="BZ46" s="10">
        <f>SUM($K39:BZ39) * 1 * (Flag_Construction + Flag_Operations &gt; 0)</f>
        <v>1</v>
      </c>
      <c r="CA46" s="10">
        <f>SUM($K39:CA39) * 1 * (Flag_Construction + Flag_Operations &gt; 0)</f>
        <v>1</v>
      </c>
      <c r="CB46" s="10">
        <f>SUM($K39:CB39) * 1 * (Flag_Construction + Flag_Operations &gt; 0)</f>
        <v>1</v>
      </c>
      <c r="CC46" s="10">
        <f>SUM($K39:CC39) * 1 * (Flag_Construction + Flag_Operations &gt; 0)</f>
        <v>1</v>
      </c>
      <c r="CD46" s="10">
        <f>SUM($K39:CD39) * 1 * (Flag_Construction + Flag_Operations &gt; 0)</f>
        <v>1</v>
      </c>
      <c r="CE46" s="10">
        <f>SUM($K39:CE39) * 1 * (Flag_Construction + Flag_Operations &gt; 0)</f>
        <v>1</v>
      </c>
      <c r="CF46" s="10">
        <f>SUM($K39:CF39) * 1 * (Flag_Construction + Flag_Operations &gt; 0)</f>
        <v>1</v>
      </c>
      <c r="CG46" s="10">
        <f>SUM($K39:CG39) * 1 * (Flag_Construction + Flag_Operations &gt; 0)</f>
        <v>1</v>
      </c>
      <c r="CH46" s="10">
        <f>SUM($K39:CH39) * 1 * (Flag_Construction + Flag_Operations &gt; 0)</f>
        <v>1</v>
      </c>
      <c r="CI46" s="10">
        <f>SUM($K39:CI39) * 1 * (Flag_Construction + Flag_Operations &gt; 0)</f>
        <v>1</v>
      </c>
      <c r="CJ46" s="10">
        <f>SUM($K39:CJ39) * 1 * (Flag_Construction + Flag_Operations &gt; 0)</f>
        <v>1</v>
      </c>
      <c r="CK46" s="10">
        <f>SUM($K39:CK39) * 1 * (Flag_Construction + Flag_Operations &gt; 0)</f>
        <v>1</v>
      </c>
      <c r="CL46" s="10">
        <f>SUM($K39:CL39) * 1 * (Flag_Construction + Flag_Operations &gt; 0)</f>
        <v>1</v>
      </c>
      <c r="CM46" s="10">
        <f>SUM($K39:CM39) * 1 * (Flag_Construction + Flag_Operations &gt; 0)</f>
        <v>1</v>
      </c>
      <c r="CN46" s="10">
        <f>SUM($K39:CN39) * 1 * (Flag_Construction + Flag_Operations &gt; 0)</f>
        <v>1</v>
      </c>
      <c r="CO46" s="10">
        <f>SUM($K39:CO39) * 1 * (Flag_Construction + Flag_Operations &gt; 0)</f>
        <v>1</v>
      </c>
    </row>
    <row r="47" spans="1:93">
      <c r="A47" s="10"/>
      <c r="B47" s="10"/>
      <c r="C47" s="17" t="str">
        <f>"Сегмент 0 - период эксплуатации - " &amp; C33</f>
        <v>Сегмент 0 - период эксплуатации - Коммунальная инфраструктура</v>
      </c>
      <c r="D47" s="10"/>
      <c r="E47" s="10"/>
      <c r="F47" s="10"/>
      <c r="G47" s="11" t="str">
        <f t="shared" si="141"/>
        <v>0..0</v>
      </c>
      <c r="H47" s="10"/>
      <c r="I47" s="23">
        <f t="shared" si="142"/>
        <v>0</v>
      </c>
      <c r="J47" s="149"/>
      <c r="K47" s="10"/>
      <c r="L47" s="10">
        <f>SUM($K40:L40) * 1 * (Flag_Construction + Flag_Operations &gt; 0)</f>
        <v>0</v>
      </c>
      <c r="M47" s="10">
        <f>SUM($K40:M40) * 1 * (Flag_Construction + Flag_Operations &gt; 0)</f>
        <v>0</v>
      </c>
      <c r="N47" s="10">
        <f>SUM($K40:N40) * 1 * (Flag_Construction + Flag_Operations &gt; 0)</f>
        <v>0</v>
      </c>
      <c r="O47" s="10">
        <f>SUM($K40:O40) * 1 * (Flag_Construction + Flag_Operations &gt; 0)</f>
        <v>0</v>
      </c>
      <c r="P47" s="10">
        <f>SUM($K40:P40) * 1 * (Flag_Construction + Flag_Operations &gt; 0)</f>
        <v>0</v>
      </c>
      <c r="Q47" s="10">
        <f>SUM($K40:Q40) * 1 * (Flag_Construction + Flag_Operations &gt; 0)</f>
        <v>0</v>
      </c>
      <c r="R47" s="10">
        <f>SUM($K40:R40) * 1 * (Flag_Construction + Flag_Operations &gt; 0)</f>
        <v>0</v>
      </c>
      <c r="S47" s="10">
        <f>SUM($K40:S40) * 1 * (Flag_Construction + Flag_Operations &gt; 0)</f>
        <v>0</v>
      </c>
      <c r="T47" s="10">
        <f>SUM($K40:T40) * 1 * (Flag_Construction + Flag_Operations &gt; 0)</f>
        <v>0</v>
      </c>
      <c r="U47" s="10">
        <f>SUM($K40:U40) * 1 * (Flag_Construction + Flag_Operations &gt; 0)</f>
        <v>0</v>
      </c>
      <c r="V47" s="10">
        <f>SUM($K40:V40) * 1 * (Flag_Construction + Flag_Operations &gt; 0)</f>
        <v>0</v>
      </c>
      <c r="W47" s="10">
        <f>SUM($K40:W40) * 1 * (Flag_Construction + Flag_Operations &gt; 0)</f>
        <v>0</v>
      </c>
      <c r="X47" s="10">
        <f>SUM($K40:X40) * 1 * (Flag_Construction + Flag_Operations &gt; 0)</f>
        <v>0</v>
      </c>
      <c r="Y47" s="10">
        <f>SUM($K40:Y40) * 1 * (Flag_Construction + Flag_Operations &gt; 0)</f>
        <v>0</v>
      </c>
      <c r="Z47" s="10">
        <f>SUM($K40:Z40) * 1 * (Flag_Construction + Flag_Operations &gt; 0)</f>
        <v>0</v>
      </c>
      <c r="AA47" s="10">
        <f>SUM($K40:AA40) * 1 * (Flag_Construction + Flag_Operations &gt; 0)</f>
        <v>0</v>
      </c>
      <c r="AB47" s="10">
        <f>SUM($K40:AB40) * 1 * (Flag_Construction + Flag_Operations &gt; 0)</f>
        <v>0</v>
      </c>
      <c r="AC47" s="10">
        <f>SUM($K40:AC40) * 1 * (Flag_Construction + Flag_Operations &gt; 0)</f>
        <v>0</v>
      </c>
      <c r="AD47" s="10">
        <f>SUM($K40:AD40) * 1 * (Flag_Construction + Flag_Operations &gt; 0)</f>
        <v>0</v>
      </c>
      <c r="AE47" s="10">
        <f>SUM($K40:AE40) * 1 * (Flag_Construction + Flag_Operations &gt; 0)</f>
        <v>0</v>
      </c>
      <c r="AF47" s="10">
        <f>SUM($K40:AF40) * 1 * (Flag_Construction + Flag_Operations &gt; 0)</f>
        <v>0</v>
      </c>
      <c r="AG47" s="10">
        <f>SUM($K40:AG40) * 1 * (Flag_Construction + Flag_Operations &gt; 0)</f>
        <v>0</v>
      </c>
      <c r="AH47" s="10">
        <f>SUM($K40:AH40) * 1 * (Flag_Construction + Flag_Operations &gt; 0)</f>
        <v>0</v>
      </c>
      <c r="AI47" s="10">
        <f>SUM($K40:AI40) * 1 * (Flag_Construction + Flag_Operations &gt; 0)</f>
        <v>0</v>
      </c>
      <c r="AJ47" s="10">
        <f>SUM($K40:AJ40) * 1 * (Flag_Construction + Flag_Operations &gt; 0)</f>
        <v>0</v>
      </c>
      <c r="AK47" s="10">
        <f>SUM($K40:AK40) * 1 * (Flag_Construction + Flag_Operations &gt; 0)</f>
        <v>0</v>
      </c>
      <c r="AL47" s="10">
        <f>SUM($K40:AL40) * 1 * (Flag_Construction + Flag_Operations &gt; 0)</f>
        <v>0</v>
      </c>
      <c r="AM47" s="10">
        <f>SUM($K40:AM40) * 1 * (Flag_Construction + Flag_Operations &gt; 0)</f>
        <v>0</v>
      </c>
      <c r="AN47" s="10">
        <f>SUM($K40:AN40) * 1 * (Flag_Construction + Flag_Operations &gt; 0)</f>
        <v>0</v>
      </c>
      <c r="AO47" s="10">
        <f>SUM($K40:AO40) * 1 * (Flag_Construction + Flag_Operations &gt; 0)</f>
        <v>0</v>
      </c>
      <c r="AP47" s="10">
        <f>SUM($K40:AP40) * 1 * (Flag_Construction + Flag_Operations &gt; 0)</f>
        <v>0</v>
      </c>
      <c r="AQ47" s="10">
        <f>SUM($K40:AQ40) * 1 * (Flag_Construction + Flag_Operations &gt; 0)</f>
        <v>0</v>
      </c>
      <c r="AR47" s="10">
        <f>SUM($K40:AR40) * 1 * (Flag_Construction + Flag_Operations &gt; 0)</f>
        <v>0</v>
      </c>
      <c r="AS47" s="10">
        <f>SUM($K40:AS40) * 1 * (Flag_Construction + Flag_Operations &gt; 0)</f>
        <v>0</v>
      </c>
      <c r="AT47" s="10">
        <f>SUM($K40:AT40) * 1 * (Flag_Construction + Flag_Operations &gt; 0)</f>
        <v>0</v>
      </c>
      <c r="AU47" s="10">
        <f>SUM($K40:AU40) * 1 * (Flag_Construction + Flag_Operations &gt; 0)</f>
        <v>0</v>
      </c>
      <c r="AV47" s="10">
        <f>SUM($K40:AV40) * 1 * (Flag_Construction + Flag_Operations &gt; 0)</f>
        <v>0</v>
      </c>
      <c r="AW47" s="10">
        <f>SUM($K40:AW40) * 1 * (Flag_Construction + Flag_Operations &gt; 0)</f>
        <v>0</v>
      </c>
      <c r="AX47" s="10">
        <f>SUM($K40:AX40) * 1 * (Flag_Construction + Flag_Operations &gt; 0)</f>
        <v>0</v>
      </c>
      <c r="AY47" s="10">
        <f>SUM($K40:AY40) * 1 * (Flag_Construction + Flag_Operations &gt; 0)</f>
        <v>0</v>
      </c>
      <c r="AZ47" s="10">
        <f>SUM($K40:AZ40) * 1 * (Flag_Construction + Flag_Operations &gt; 0)</f>
        <v>0</v>
      </c>
      <c r="BA47" s="10">
        <f>SUM($K40:BA40) * 1 * (Flag_Construction + Flag_Operations &gt; 0)</f>
        <v>0</v>
      </c>
      <c r="BB47" s="10">
        <f>SUM($K40:BB40) * 1 * (Flag_Construction + Flag_Operations &gt; 0)</f>
        <v>0</v>
      </c>
      <c r="BC47" s="10">
        <f>SUM($K40:BC40) * 1 * (Flag_Construction + Flag_Operations &gt; 0)</f>
        <v>0</v>
      </c>
      <c r="BD47" s="10">
        <f>SUM($K40:BD40) * 1 * (Flag_Construction + Flag_Operations &gt; 0)</f>
        <v>0</v>
      </c>
      <c r="BE47" s="10">
        <f>SUM($K40:BE40) * 1 * (Flag_Construction + Flag_Operations &gt; 0)</f>
        <v>0</v>
      </c>
      <c r="BF47" s="10">
        <f>SUM($K40:BF40) * 1 * (Flag_Construction + Flag_Operations &gt; 0)</f>
        <v>0</v>
      </c>
      <c r="BG47" s="10">
        <f>SUM($K40:BG40) * 1 * (Flag_Construction + Flag_Operations &gt; 0)</f>
        <v>0</v>
      </c>
      <c r="BH47" s="10">
        <f>SUM($K40:BH40) * 1 * (Flag_Construction + Flag_Operations &gt; 0)</f>
        <v>0</v>
      </c>
      <c r="BI47" s="10">
        <f>SUM($K40:BI40) * 1 * (Flag_Construction + Flag_Operations &gt; 0)</f>
        <v>0</v>
      </c>
      <c r="BJ47" s="10">
        <f>SUM($K40:BJ40) * 1 * (Flag_Construction + Flag_Operations &gt; 0)</f>
        <v>0</v>
      </c>
      <c r="BK47" s="10">
        <f>SUM($K40:BK40) * 1 * (Flag_Construction + Flag_Operations &gt; 0)</f>
        <v>0</v>
      </c>
      <c r="BL47" s="10">
        <f>SUM($K40:BL40) * 1 * (Flag_Construction + Flag_Operations &gt; 0)</f>
        <v>0</v>
      </c>
      <c r="BM47" s="10">
        <f>SUM($K40:BM40) * 1 * (Flag_Construction + Flag_Operations &gt; 0)</f>
        <v>0</v>
      </c>
      <c r="BN47" s="10">
        <f>SUM($K40:BN40) * 1 * (Flag_Construction + Flag_Operations &gt; 0)</f>
        <v>0</v>
      </c>
      <c r="BO47" s="10">
        <f>SUM($K40:BO40) * 1 * (Flag_Construction + Flag_Operations &gt; 0)</f>
        <v>0</v>
      </c>
      <c r="BP47" s="10">
        <f>SUM($K40:BP40) * 1 * (Flag_Construction + Flag_Operations &gt; 0)</f>
        <v>0</v>
      </c>
      <c r="BQ47" s="10">
        <f>SUM($K40:BQ40) * 1 * (Flag_Construction + Flag_Operations &gt; 0)</f>
        <v>0</v>
      </c>
      <c r="BR47" s="10">
        <f>SUM($K40:BR40) * 1 * (Flag_Construction + Flag_Operations &gt; 0)</f>
        <v>0</v>
      </c>
      <c r="BS47" s="10">
        <f>SUM($K40:BS40) * 1 * (Flag_Construction + Flag_Operations &gt; 0)</f>
        <v>0</v>
      </c>
      <c r="BT47" s="10">
        <f>SUM($K40:BT40) * 1 * (Flag_Construction + Flag_Operations &gt; 0)</f>
        <v>0</v>
      </c>
      <c r="BU47" s="10">
        <f>SUM($K40:BU40) * 1 * (Flag_Construction + Flag_Operations &gt; 0)</f>
        <v>0</v>
      </c>
      <c r="BV47" s="10">
        <f>SUM($K40:BV40) * 1 * (Flag_Construction + Flag_Operations &gt; 0)</f>
        <v>0</v>
      </c>
      <c r="BW47" s="10">
        <f>SUM($K40:BW40) * 1 * (Flag_Construction + Flag_Operations &gt; 0)</f>
        <v>0</v>
      </c>
      <c r="BX47" s="10">
        <f>SUM($K40:BX40) * 1 * (Flag_Construction + Flag_Operations &gt; 0)</f>
        <v>0</v>
      </c>
      <c r="BY47" s="10">
        <f>SUM($K40:BY40) * 1 * (Flag_Construction + Flag_Operations &gt; 0)</f>
        <v>0</v>
      </c>
      <c r="BZ47" s="10">
        <f>SUM($K40:BZ40) * 1 * (Flag_Construction + Flag_Operations &gt; 0)</f>
        <v>0</v>
      </c>
      <c r="CA47" s="10">
        <f>SUM($K40:CA40) * 1 * (Flag_Construction + Flag_Operations &gt; 0)</f>
        <v>0</v>
      </c>
      <c r="CB47" s="10">
        <f>SUM($K40:CB40) * 1 * (Flag_Construction + Flag_Operations &gt; 0)</f>
        <v>0</v>
      </c>
      <c r="CC47" s="10">
        <f>SUM($K40:CC40) * 1 * (Flag_Construction + Flag_Operations &gt; 0)</f>
        <v>0</v>
      </c>
      <c r="CD47" s="10">
        <f>SUM($K40:CD40) * 1 * (Flag_Construction + Flag_Operations &gt; 0)</f>
        <v>0</v>
      </c>
      <c r="CE47" s="10">
        <f>SUM($K40:CE40) * 1 * (Flag_Construction + Flag_Operations &gt; 0)</f>
        <v>0</v>
      </c>
      <c r="CF47" s="10">
        <f>SUM($K40:CF40) * 1 * (Flag_Construction + Flag_Operations &gt; 0)</f>
        <v>0</v>
      </c>
      <c r="CG47" s="10">
        <f>SUM($K40:CG40) * 1 * (Flag_Construction + Flag_Operations &gt; 0)</f>
        <v>0</v>
      </c>
      <c r="CH47" s="10">
        <f>SUM($K40:CH40) * 1 * (Flag_Construction + Flag_Operations &gt; 0)</f>
        <v>0</v>
      </c>
      <c r="CI47" s="10">
        <f>SUM($K40:CI40) * 1 * (Flag_Construction + Flag_Operations &gt; 0)</f>
        <v>0</v>
      </c>
      <c r="CJ47" s="10">
        <f>SUM($K40:CJ40) * 1 * (Flag_Construction + Flag_Operations &gt; 0)</f>
        <v>0</v>
      </c>
      <c r="CK47" s="10">
        <f>SUM($K40:CK40) * 1 * (Flag_Construction + Flag_Operations &gt; 0)</f>
        <v>0</v>
      </c>
      <c r="CL47" s="10">
        <f>SUM($K40:CL40) * 1 * (Flag_Construction + Flag_Operations &gt; 0)</f>
        <v>0</v>
      </c>
      <c r="CM47" s="10">
        <f>SUM($K40:CM40) * 1 * (Flag_Construction + Flag_Operations &gt; 0)</f>
        <v>0</v>
      </c>
      <c r="CN47" s="10">
        <f>SUM($K40:CN40) * 1 * (Flag_Construction + Flag_Operations &gt; 0)</f>
        <v>0</v>
      </c>
      <c r="CO47" s="10">
        <f>SUM($K40:CO40) * 1 * (Flag_Construction + Flag_Operations &gt; 0)</f>
        <v>0</v>
      </c>
    </row>
    <row r="48" spans="1:93">
      <c r="A48" s="10"/>
      <c r="B48" s="10"/>
      <c r="C48" s="17" t="str">
        <f>"Сегмент 0 - период эксплуатации - " &amp; C34</f>
        <v>Сегмент 0 - период эксплуатации - Прочая обеспечивающая инфраструктура</v>
      </c>
      <c r="D48" s="10"/>
      <c r="E48" s="10"/>
      <c r="F48" s="10"/>
      <c r="G48" s="11" t="str">
        <f t="shared" si="141"/>
        <v>0..0</v>
      </c>
      <c r="H48" s="10"/>
      <c r="I48" s="23">
        <f t="shared" si="142"/>
        <v>0</v>
      </c>
      <c r="J48" s="149"/>
      <c r="K48" s="10"/>
      <c r="L48" s="10">
        <f>SUM($K41:L41) * 1 * (Flag_Construction + Flag_Operations &gt; 0)</f>
        <v>0</v>
      </c>
      <c r="M48" s="10">
        <f>SUM($K41:M41) * 1 * (Flag_Construction + Flag_Operations &gt; 0)</f>
        <v>0</v>
      </c>
      <c r="N48" s="10">
        <f>SUM($K41:N41) * 1 * (Flag_Construction + Flag_Operations &gt; 0)</f>
        <v>0</v>
      </c>
      <c r="O48" s="10">
        <f>SUM($K41:O41) * 1 * (Flag_Construction + Flag_Operations &gt; 0)</f>
        <v>0</v>
      </c>
      <c r="P48" s="10">
        <f>SUM($K41:P41) * 1 * (Flag_Construction + Flag_Operations &gt; 0)</f>
        <v>0</v>
      </c>
      <c r="Q48" s="10">
        <f>SUM($K41:Q41) * 1 * (Flag_Construction + Flag_Operations &gt; 0)</f>
        <v>0</v>
      </c>
      <c r="R48" s="10">
        <f>SUM($K41:R41) * 1 * (Flag_Construction + Flag_Operations &gt; 0)</f>
        <v>0</v>
      </c>
      <c r="S48" s="10">
        <f>SUM($K41:S41) * 1 * (Flag_Construction + Flag_Operations &gt; 0)</f>
        <v>0</v>
      </c>
      <c r="T48" s="10">
        <f>SUM($K41:T41) * 1 * (Flag_Construction + Flag_Operations &gt; 0)</f>
        <v>0</v>
      </c>
      <c r="U48" s="10">
        <f>SUM($K41:U41) * 1 * (Flag_Construction + Flag_Operations &gt; 0)</f>
        <v>0</v>
      </c>
      <c r="V48" s="10">
        <f>SUM($K41:V41) * 1 * (Flag_Construction + Flag_Operations &gt; 0)</f>
        <v>0</v>
      </c>
      <c r="W48" s="10">
        <f>SUM($K41:W41) * 1 * (Flag_Construction + Flag_Operations &gt; 0)</f>
        <v>0</v>
      </c>
      <c r="X48" s="10">
        <f>SUM($K41:X41) * 1 * (Flag_Construction + Flag_Operations &gt; 0)</f>
        <v>0</v>
      </c>
      <c r="Y48" s="10">
        <f>SUM($K41:Y41) * 1 * (Flag_Construction + Flag_Operations &gt; 0)</f>
        <v>0</v>
      </c>
      <c r="Z48" s="10">
        <f>SUM($K41:Z41) * 1 * (Flag_Construction + Flag_Operations &gt; 0)</f>
        <v>0</v>
      </c>
      <c r="AA48" s="10">
        <f>SUM($K41:AA41) * 1 * (Flag_Construction + Flag_Operations &gt; 0)</f>
        <v>0</v>
      </c>
      <c r="AB48" s="10">
        <f>SUM($K41:AB41) * 1 * (Flag_Construction + Flag_Operations &gt; 0)</f>
        <v>0</v>
      </c>
      <c r="AC48" s="10">
        <f>SUM($K41:AC41) * 1 * (Flag_Construction + Flag_Operations &gt; 0)</f>
        <v>0</v>
      </c>
      <c r="AD48" s="10">
        <f>SUM($K41:AD41) * 1 * (Flag_Construction + Flag_Operations &gt; 0)</f>
        <v>0</v>
      </c>
      <c r="AE48" s="10">
        <f>SUM($K41:AE41) * 1 * (Flag_Construction + Flag_Operations &gt; 0)</f>
        <v>0</v>
      </c>
      <c r="AF48" s="10">
        <f>SUM($K41:AF41) * 1 * (Flag_Construction + Flag_Operations &gt; 0)</f>
        <v>0</v>
      </c>
      <c r="AG48" s="10">
        <f>SUM($K41:AG41) * 1 * (Flag_Construction + Flag_Operations &gt; 0)</f>
        <v>0</v>
      </c>
      <c r="AH48" s="10">
        <f>SUM($K41:AH41) * 1 * (Flag_Construction + Flag_Operations &gt; 0)</f>
        <v>0</v>
      </c>
      <c r="AI48" s="10">
        <f>SUM($K41:AI41) * 1 * (Flag_Construction + Flag_Operations &gt; 0)</f>
        <v>0</v>
      </c>
      <c r="AJ48" s="10">
        <f>SUM($K41:AJ41) * 1 * (Flag_Construction + Flag_Operations &gt; 0)</f>
        <v>0</v>
      </c>
      <c r="AK48" s="10">
        <f>SUM($K41:AK41) * 1 * (Flag_Construction + Flag_Operations &gt; 0)</f>
        <v>0</v>
      </c>
      <c r="AL48" s="10">
        <f>SUM($K41:AL41) * 1 * (Flag_Construction + Flag_Operations &gt; 0)</f>
        <v>0</v>
      </c>
      <c r="AM48" s="10">
        <f>SUM($K41:AM41) * 1 * (Flag_Construction + Flag_Operations &gt; 0)</f>
        <v>0</v>
      </c>
      <c r="AN48" s="10">
        <f>SUM($K41:AN41) * 1 * (Flag_Construction + Flag_Operations &gt; 0)</f>
        <v>0</v>
      </c>
      <c r="AO48" s="10">
        <f>SUM($K41:AO41) * 1 * (Flag_Construction + Flag_Operations &gt; 0)</f>
        <v>0</v>
      </c>
      <c r="AP48" s="10">
        <f>SUM($K41:AP41) * 1 * (Flag_Construction + Flag_Operations &gt; 0)</f>
        <v>0</v>
      </c>
      <c r="AQ48" s="10">
        <f>SUM($K41:AQ41) * 1 * (Flag_Construction + Flag_Operations &gt; 0)</f>
        <v>0</v>
      </c>
      <c r="AR48" s="10">
        <f>SUM($K41:AR41) * 1 * (Flag_Construction + Flag_Operations &gt; 0)</f>
        <v>0</v>
      </c>
      <c r="AS48" s="10">
        <f>SUM($K41:AS41) * 1 * (Flag_Construction + Flag_Operations &gt; 0)</f>
        <v>0</v>
      </c>
      <c r="AT48" s="10">
        <f>SUM($K41:AT41) * 1 * (Flag_Construction + Flag_Operations &gt; 0)</f>
        <v>0</v>
      </c>
      <c r="AU48" s="10">
        <f>SUM($K41:AU41) * 1 * (Flag_Construction + Flag_Operations &gt; 0)</f>
        <v>0</v>
      </c>
      <c r="AV48" s="10">
        <f>SUM($K41:AV41) * 1 * (Flag_Construction + Flag_Operations &gt; 0)</f>
        <v>0</v>
      </c>
      <c r="AW48" s="10">
        <f>SUM($K41:AW41) * 1 * (Flag_Construction + Flag_Operations &gt; 0)</f>
        <v>0</v>
      </c>
      <c r="AX48" s="10">
        <f>SUM($K41:AX41) * 1 * (Flag_Construction + Flag_Operations &gt; 0)</f>
        <v>0</v>
      </c>
      <c r="AY48" s="10">
        <f>SUM($K41:AY41) * 1 * (Flag_Construction + Flag_Operations &gt; 0)</f>
        <v>0</v>
      </c>
      <c r="AZ48" s="10">
        <f>SUM($K41:AZ41) * 1 * (Flag_Construction + Flag_Operations &gt; 0)</f>
        <v>0</v>
      </c>
      <c r="BA48" s="10">
        <f>SUM($K41:BA41) * 1 * (Flag_Construction + Flag_Operations &gt; 0)</f>
        <v>0</v>
      </c>
      <c r="BB48" s="10">
        <f>SUM($K41:BB41) * 1 * (Flag_Construction + Flag_Operations &gt; 0)</f>
        <v>0</v>
      </c>
      <c r="BC48" s="10">
        <f>SUM($K41:BC41) * 1 * (Flag_Construction + Flag_Operations &gt; 0)</f>
        <v>0</v>
      </c>
      <c r="BD48" s="10">
        <f>SUM($K41:BD41) * 1 * (Flag_Construction + Flag_Operations &gt; 0)</f>
        <v>0</v>
      </c>
      <c r="BE48" s="10">
        <f>SUM($K41:BE41) * 1 * (Flag_Construction + Flag_Operations &gt; 0)</f>
        <v>0</v>
      </c>
      <c r="BF48" s="10">
        <f>SUM($K41:BF41) * 1 * (Flag_Construction + Flag_Operations &gt; 0)</f>
        <v>0</v>
      </c>
      <c r="BG48" s="10">
        <f>SUM($K41:BG41) * 1 * (Flag_Construction + Flag_Operations &gt; 0)</f>
        <v>0</v>
      </c>
      <c r="BH48" s="10">
        <f>SUM($K41:BH41) * 1 * (Flag_Construction + Flag_Operations &gt; 0)</f>
        <v>0</v>
      </c>
      <c r="BI48" s="10">
        <f>SUM($K41:BI41) * 1 * (Flag_Construction + Flag_Operations &gt; 0)</f>
        <v>0</v>
      </c>
      <c r="BJ48" s="10">
        <f>SUM($K41:BJ41) * 1 * (Flag_Construction + Flag_Operations &gt; 0)</f>
        <v>0</v>
      </c>
      <c r="BK48" s="10">
        <f>SUM($K41:BK41) * 1 * (Flag_Construction + Flag_Operations &gt; 0)</f>
        <v>0</v>
      </c>
      <c r="BL48" s="10">
        <f>SUM($K41:BL41) * 1 * (Flag_Construction + Flag_Operations &gt; 0)</f>
        <v>0</v>
      </c>
      <c r="BM48" s="10">
        <f>SUM($K41:BM41) * 1 * (Flag_Construction + Flag_Operations &gt; 0)</f>
        <v>0</v>
      </c>
      <c r="BN48" s="10">
        <f>SUM($K41:BN41) * 1 * (Flag_Construction + Flag_Operations &gt; 0)</f>
        <v>0</v>
      </c>
      <c r="BO48" s="10">
        <f>SUM($K41:BO41) * 1 * (Flag_Construction + Flag_Operations &gt; 0)</f>
        <v>0</v>
      </c>
      <c r="BP48" s="10">
        <f>SUM($K41:BP41) * 1 * (Flag_Construction + Flag_Operations &gt; 0)</f>
        <v>0</v>
      </c>
      <c r="BQ48" s="10">
        <f>SUM($K41:BQ41) * 1 * (Flag_Construction + Flag_Operations &gt; 0)</f>
        <v>0</v>
      </c>
      <c r="BR48" s="10">
        <f>SUM($K41:BR41) * 1 * (Flag_Construction + Flag_Operations &gt; 0)</f>
        <v>0</v>
      </c>
      <c r="BS48" s="10">
        <f>SUM($K41:BS41) * 1 * (Flag_Construction + Flag_Operations &gt; 0)</f>
        <v>0</v>
      </c>
      <c r="BT48" s="10">
        <f>SUM($K41:BT41) * 1 * (Flag_Construction + Flag_Operations &gt; 0)</f>
        <v>0</v>
      </c>
      <c r="BU48" s="10">
        <f>SUM($K41:BU41) * 1 * (Flag_Construction + Flag_Operations &gt; 0)</f>
        <v>0</v>
      </c>
      <c r="BV48" s="10">
        <f>SUM($K41:BV41) * 1 * (Flag_Construction + Flag_Operations &gt; 0)</f>
        <v>0</v>
      </c>
      <c r="BW48" s="10">
        <f>SUM($K41:BW41) * 1 * (Flag_Construction + Flag_Operations &gt; 0)</f>
        <v>0</v>
      </c>
      <c r="BX48" s="10">
        <f>SUM($K41:BX41) * 1 * (Flag_Construction + Flag_Operations &gt; 0)</f>
        <v>0</v>
      </c>
      <c r="BY48" s="10">
        <f>SUM($K41:BY41) * 1 * (Flag_Construction + Flag_Operations &gt; 0)</f>
        <v>0</v>
      </c>
      <c r="BZ48" s="10">
        <f>SUM($K41:BZ41) * 1 * (Flag_Construction + Flag_Operations &gt; 0)</f>
        <v>0</v>
      </c>
      <c r="CA48" s="10">
        <f>SUM($K41:CA41) * 1 * (Flag_Construction + Flag_Operations &gt; 0)</f>
        <v>0</v>
      </c>
      <c r="CB48" s="10">
        <f>SUM($K41:CB41) * 1 * (Flag_Construction + Flag_Operations &gt; 0)</f>
        <v>0</v>
      </c>
      <c r="CC48" s="10">
        <f>SUM($K41:CC41) * 1 * (Flag_Construction + Flag_Operations &gt; 0)</f>
        <v>0</v>
      </c>
      <c r="CD48" s="10">
        <f>SUM($K41:CD41) * 1 * (Flag_Construction + Flag_Operations &gt; 0)</f>
        <v>0</v>
      </c>
      <c r="CE48" s="10">
        <f>SUM($K41:CE41) * 1 * (Flag_Construction + Flag_Operations &gt; 0)</f>
        <v>0</v>
      </c>
      <c r="CF48" s="10">
        <f>SUM($K41:CF41) * 1 * (Flag_Construction + Flag_Operations &gt; 0)</f>
        <v>0</v>
      </c>
      <c r="CG48" s="10">
        <f>SUM($K41:CG41) * 1 * (Flag_Construction + Flag_Operations &gt; 0)</f>
        <v>0</v>
      </c>
      <c r="CH48" s="10">
        <f>SUM($K41:CH41) * 1 * (Flag_Construction + Flag_Operations &gt; 0)</f>
        <v>0</v>
      </c>
      <c r="CI48" s="10">
        <f>SUM($K41:CI41) * 1 * (Flag_Construction + Flag_Operations &gt; 0)</f>
        <v>0</v>
      </c>
      <c r="CJ48" s="10">
        <f>SUM($K41:CJ41) * 1 * (Flag_Construction + Flag_Operations &gt; 0)</f>
        <v>0</v>
      </c>
      <c r="CK48" s="10">
        <f>SUM($K41:CK41) * 1 * (Flag_Construction + Flag_Operations &gt; 0)</f>
        <v>0</v>
      </c>
      <c r="CL48" s="10">
        <f>SUM($K41:CL41) * 1 * (Flag_Construction + Flag_Operations &gt; 0)</f>
        <v>0</v>
      </c>
      <c r="CM48" s="10">
        <f>SUM($K41:CM41) * 1 * (Flag_Construction + Flag_Operations &gt; 0)</f>
        <v>0</v>
      </c>
      <c r="CN48" s="10">
        <f>SUM($K41:CN41) * 1 * (Flag_Construction + Flag_Operations &gt; 0)</f>
        <v>0</v>
      </c>
      <c r="CO48" s="10">
        <f>SUM($K41:CO41) * 1 * (Flag_Construction + Flag_Operations &gt; 0)</f>
        <v>0</v>
      </c>
    </row>
    <row r="49" spans="1:93">
      <c r="A49" s="10"/>
      <c r="B49" s="10"/>
      <c r="C49" s="17" t="str">
        <f>"Сегмент 1 - период эксплуатации - " &amp; C35</f>
        <v>Сегмент 1 - период эксплуатации - Объект размещения (отель)</v>
      </c>
      <c r="D49" s="10"/>
      <c r="E49" s="10"/>
      <c r="F49" s="10"/>
      <c r="G49" s="11" t="str">
        <f t="shared" si="141"/>
        <v>0..1</v>
      </c>
      <c r="H49" s="10"/>
      <c r="I49" s="23">
        <f t="shared" si="142"/>
        <v>65</v>
      </c>
      <c r="J49" s="149"/>
      <c r="K49" s="10"/>
      <c r="L49" s="10">
        <f>SUM($K42:L42) * 1 * (Flag_Construction + Flag_Operations &gt; 0)</f>
        <v>0</v>
      </c>
      <c r="M49" s="10">
        <f>SUM($K42:M42) * 1 * (Flag_Construction + Flag_Operations &gt; 0)</f>
        <v>0</v>
      </c>
      <c r="N49" s="10">
        <f>SUM($K42:N42) * 1 * (Flag_Construction + Flag_Operations &gt; 0)</f>
        <v>0</v>
      </c>
      <c r="O49" s="10">
        <f>SUM($K42:O42) * 1 * (Flag_Construction + Flag_Operations &gt; 0)</f>
        <v>0</v>
      </c>
      <c r="P49" s="10">
        <f>SUM($K42:P42) * 1 * (Flag_Construction + Flag_Operations &gt; 0)</f>
        <v>0</v>
      </c>
      <c r="Q49" s="10">
        <f>SUM($K42:Q42) * 1 * (Flag_Construction + Flag_Operations &gt; 0)</f>
        <v>0</v>
      </c>
      <c r="R49" s="10">
        <f>SUM($K42:R42) * 1 * (Flag_Construction + Flag_Operations &gt; 0)</f>
        <v>0</v>
      </c>
      <c r="S49" s="10">
        <f>SUM($K42:S42) * 1 * (Flag_Construction + Flag_Operations &gt; 0)</f>
        <v>0</v>
      </c>
      <c r="T49" s="10">
        <f>SUM($K42:T42) * 1 * (Flag_Construction + Flag_Operations &gt; 0)</f>
        <v>0</v>
      </c>
      <c r="U49" s="10">
        <f>SUM($K42:U42) * 1 * (Flag_Construction + Flag_Operations &gt; 0)</f>
        <v>0</v>
      </c>
      <c r="V49" s="10">
        <f>SUM($K42:V42) * 1 * (Flag_Construction + Flag_Operations &gt; 0)</f>
        <v>0</v>
      </c>
      <c r="W49" s="10">
        <f>SUM($K42:W42) * 1 * (Flag_Construction + Flag_Operations &gt; 0)</f>
        <v>0</v>
      </c>
      <c r="X49" s="10">
        <f>SUM($K42:X42) * 1 * (Flag_Construction + Flag_Operations &gt; 0)</f>
        <v>0</v>
      </c>
      <c r="Y49" s="10">
        <f>SUM($K42:Y42) * 1 * (Flag_Construction + Flag_Operations &gt; 0)</f>
        <v>0</v>
      </c>
      <c r="Z49" s="10">
        <f>SUM($K42:Z42) * 1 * (Flag_Construction + Flag_Operations &gt; 0)</f>
        <v>0</v>
      </c>
      <c r="AA49" s="10">
        <f>SUM($K42:AA42) * 1 * (Flag_Construction + Flag_Operations &gt; 0)</f>
        <v>0</v>
      </c>
      <c r="AB49" s="10">
        <f>SUM($K42:AB42) * 1 * (Flag_Construction + Flag_Operations &gt; 0)</f>
        <v>0</v>
      </c>
      <c r="AC49" s="10">
        <f>SUM($K42:AC42) * 1 * (Flag_Construction + Flag_Operations &gt; 0)</f>
        <v>1</v>
      </c>
      <c r="AD49" s="10">
        <f>SUM($K42:AD42) * 1 * (Flag_Construction + Flag_Operations &gt; 0)</f>
        <v>1</v>
      </c>
      <c r="AE49" s="10">
        <f>SUM($K42:AE42) * 1 * (Flag_Construction + Flag_Operations &gt; 0)</f>
        <v>1</v>
      </c>
      <c r="AF49" s="10">
        <f>SUM($K42:AF42) * 1 * (Flag_Construction + Flag_Operations &gt; 0)</f>
        <v>1</v>
      </c>
      <c r="AG49" s="10">
        <f>SUM($K42:AG42) * 1 * (Flag_Construction + Flag_Operations &gt; 0)</f>
        <v>1</v>
      </c>
      <c r="AH49" s="10">
        <f>SUM($K42:AH42) * 1 * (Flag_Construction + Flag_Operations &gt; 0)</f>
        <v>1</v>
      </c>
      <c r="AI49" s="10">
        <f>SUM($K42:AI42) * 1 * (Flag_Construction + Flag_Operations &gt; 0)</f>
        <v>1</v>
      </c>
      <c r="AJ49" s="10">
        <f>SUM($K42:AJ42) * 1 * (Flag_Construction + Flag_Operations &gt; 0)</f>
        <v>1</v>
      </c>
      <c r="AK49" s="10">
        <f>SUM($K42:AK42) * 1 * (Flag_Construction + Flag_Operations &gt; 0)</f>
        <v>1</v>
      </c>
      <c r="AL49" s="10">
        <f>SUM($K42:AL42) * 1 * (Flag_Construction + Flag_Operations &gt; 0)</f>
        <v>1</v>
      </c>
      <c r="AM49" s="10">
        <f>SUM($K42:AM42) * 1 * (Flag_Construction + Flag_Operations &gt; 0)</f>
        <v>1</v>
      </c>
      <c r="AN49" s="10">
        <f>SUM($K42:AN42) * 1 * (Flag_Construction + Flag_Operations &gt; 0)</f>
        <v>1</v>
      </c>
      <c r="AO49" s="10">
        <f>SUM($K42:AO42) * 1 * (Flag_Construction + Flag_Operations &gt; 0)</f>
        <v>1</v>
      </c>
      <c r="AP49" s="10">
        <f>SUM($K42:AP42) * 1 * (Flag_Construction + Flag_Operations &gt; 0)</f>
        <v>1</v>
      </c>
      <c r="AQ49" s="10">
        <f>SUM($K42:AQ42) * 1 * (Flag_Construction + Flag_Operations &gt; 0)</f>
        <v>1</v>
      </c>
      <c r="AR49" s="10">
        <f>SUM($K42:AR42) * 1 * (Flag_Construction + Flag_Operations &gt; 0)</f>
        <v>1</v>
      </c>
      <c r="AS49" s="10">
        <f>SUM($K42:AS42) * 1 * (Flag_Construction + Flag_Operations &gt; 0)</f>
        <v>1</v>
      </c>
      <c r="AT49" s="10">
        <f>SUM($K42:AT42) * 1 * (Flag_Construction + Flag_Operations &gt; 0)</f>
        <v>1</v>
      </c>
      <c r="AU49" s="10">
        <f>SUM($K42:AU42) * 1 * (Flag_Construction + Flag_Operations &gt; 0)</f>
        <v>1</v>
      </c>
      <c r="AV49" s="10">
        <f>SUM($K42:AV42) * 1 * (Flag_Construction + Flag_Operations &gt; 0)</f>
        <v>1</v>
      </c>
      <c r="AW49" s="10">
        <f>SUM($K42:AW42) * 1 * (Flag_Construction + Flag_Operations &gt; 0)</f>
        <v>1</v>
      </c>
      <c r="AX49" s="10">
        <f>SUM($K42:AX42) * 1 * (Flag_Construction + Flag_Operations &gt; 0)</f>
        <v>1</v>
      </c>
      <c r="AY49" s="10">
        <f>SUM($K42:AY42) * 1 * (Flag_Construction + Flag_Operations &gt; 0)</f>
        <v>1</v>
      </c>
      <c r="AZ49" s="10">
        <f>SUM($K42:AZ42) * 1 * (Flag_Construction + Flag_Operations &gt; 0)</f>
        <v>1</v>
      </c>
      <c r="BA49" s="10">
        <f>SUM($K42:BA42) * 1 * (Flag_Construction + Flag_Operations &gt; 0)</f>
        <v>1</v>
      </c>
      <c r="BB49" s="10">
        <f>SUM($K42:BB42) * 1 * (Flag_Construction + Flag_Operations &gt; 0)</f>
        <v>1</v>
      </c>
      <c r="BC49" s="10">
        <f>SUM($K42:BC42) * 1 * (Flag_Construction + Flag_Operations &gt; 0)</f>
        <v>1</v>
      </c>
      <c r="BD49" s="10">
        <f>SUM($K42:BD42) * 1 * (Flag_Construction + Flag_Operations &gt; 0)</f>
        <v>1</v>
      </c>
      <c r="BE49" s="10">
        <f>SUM($K42:BE42) * 1 * (Flag_Construction + Flag_Operations &gt; 0)</f>
        <v>1</v>
      </c>
      <c r="BF49" s="10">
        <f>SUM($K42:BF42) * 1 * (Flag_Construction + Flag_Operations &gt; 0)</f>
        <v>1</v>
      </c>
      <c r="BG49" s="10">
        <f>SUM($K42:BG42) * 1 * (Flag_Construction + Flag_Operations &gt; 0)</f>
        <v>1</v>
      </c>
      <c r="BH49" s="10">
        <f>SUM($K42:BH42) * 1 * (Flag_Construction + Flag_Operations &gt; 0)</f>
        <v>1</v>
      </c>
      <c r="BI49" s="10">
        <f>SUM($K42:BI42) * 1 * (Flag_Construction + Flag_Operations &gt; 0)</f>
        <v>1</v>
      </c>
      <c r="BJ49" s="10">
        <f>SUM($K42:BJ42) * 1 * (Flag_Construction + Flag_Operations &gt; 0)</f>
        <v>1</v>
      </c>
      <c r="BK49" s="10">
        <f>SUM($K42:BK42) * 1 * (Flag_Construction + Flag_Operations &gt; 0)</f>
        <v>1</v>
      </c>
      <c r="BL49" s="10">
        <f>SUM($K42:BL42) * 1 * (Flag_Construction + Flag_Operations &gt; 0)</f>
        <v>1</v>
      </c>
      <c r="BM49" s="10">
        <f>SUM($K42:BM42) * 1 * (Flag_Construction + Flag_Operations &gt; 0)</f>
        <v>1</v>
      </c>
      <c r="BN49" s="10">
        <f>SUM($K42:BN42) * 1 * (Flag_Construction + Flag_Operations &gt; 0)</f>
        <v>1</v>
      </c>
      <c r="BO49" s="10">
        <f>SUM($K42:BO42) * 1 * (Flag_Construction + Flag_Operations &gt; 0)</f>
        <v>1</v>
      </c>
      <c r="BP49" s="10">
        <f>SUM($K42:BP42) * 1 * (Flag_Construction + Flag_Operations &gt; 0)</f>
        <v>1</v>
      </c>
      <c r="BQ49" s="10">
        <f>SUM($K42:BQ42) * 1 * (Flag_Construction + Flag_Operations &gt; 0)</f>
        <v>1</v>
      </c>
      <c r="BR49" s="10">
        <f>SUM($K42:BR42) * 1 * (Flag_Construction + Flag_Operations &gt; 0)</f>
        <v>1</v>
      </c>
      <c r="BS49" s="10">
        <f>SUM($K42:BS42) * 1 * (Flag_Construction + Flag_Operations &gt; 0)</f>
        <v>1</v>
      </c>
      <c r="BT49" s="10">
        <f>SUM($K42:BT42) * 1 * (Flag_Construction + Flag_Operations &gt; 0)</f>
        <v>1</v>
      </c>
      <c r="BU49" s="10">
        <f>SUM($K42:BU42) * 1 * (Flag_Construction + Flag_Operations &gt; 0)</f>
        <v>1</v>
      </c>
      <c r="BV49" s="10">
        <f>SUM($K42:BV42) * 1 * (Flag_Construction + Flag_Operations &gt; 0)</f>
        <v>1</v>
      </c>
      <c r="BW49" s="10">
        <f>SUM($K42:BW42) * 1 * (Flag_Construction + Flag_Operations &gt; 0)</f>
        <v>1</v>
      </c>
      <c r="BX49" s="10">
        <f>SUM($K42:BX42) * 1 * (Flag_Construction + Flag_Operations &gt; 0)</f>
        <v>1</v>
      </c>
      <c r="BY49" s="10">
        <f>SUM($K42:BY42) * 1 * (Flag_Construction + Flag_Operations &gt; 0)</f>
        <v>1</v>
      </c>
      <c r="BZ49" s="10">
        <f>SUM($K42:BZ42) * 1 * (Flag_Construction + Flag_Operations &gt; 0)</f>
        <v>1</v>
      </c>
      <c r="CA49" s="10">
        <f>SUM($K42:CA42) * 1 * (Flag_Construction + Flag_Operations &gt; 0)</f>
        <v>1</v>
      </c>
      <c r="CB49" s="10">
        <f>SUM($K42:CB42) * 1 * (Flag_Construction + Flag_Operations &gt; 0)</f>
        <v>1</v>
      </c>
      <c r="CC49" s="10">
        <f>SUM($K42:CC42) * 1 * (Flag_Construction + Flag_Operations &gt; 0)</f>
        <v>1</v>
      </c>
      <c r="CD49" s="10">
        <f>SUM($K42:CD42) * 1 * (Flag_Construction + Flag_Operations &gt; 0)</f>
        <v>1</v>
      </c>
      <c r="CE49" s="10">
        <f>SUM($K42:CE42) * 1 * (Flag_Construction + Flag_Operations &gt; 0)</f>
        <v>1</v>
      </c>
      <c r="CF49" s="10">
        <f>SUM($K42:CF42) * 1 * (Flag_Construction + Flag_Operations &gt; 0)</f>
        <v>1</v>
      </c>
      <c r="CG49" s="10">
        <f>SUM($K42:CG42) * 1 * (Flag_Construction + Flag_Operations &gt; 0)</f>
        <v>1</v>
      </c>
      <c r="CH49" s="10">
        <f>SUM($K42:CH42) * 1 * (Flag_Construction + Flag_Operations &gt; 0)</f>
        <v>1</v>
      </c>
      <c r="CI49" s="10">
        <f>SUM($K42:CI42) * 1 * (Flag_Construction + Flag_Operations &gt; 0)</f>
        <v>1</v>
      </c>
      <c r="CJ49" s="10">
        <f>SUM($K42:CJ42) * 1 * (Flag_Construction + Flag_Operations &gt; 0)</f>
        <v>1</v>
      </c>
      <c r="CK49" s="10">
        <f>SUM($K42:CK42) * 1 * (Flag_Construction + Flag_Operations &gt; 0)</f>
        <v>1</v>
      </c>
      <c r="CL49" s="10">
        <f>SUM($K42:CL42) * 1 * (Flag_Construction + Flag_Operations &gt; 0)</f>
        <v>1</v>
      </c>
      <c r="CM49" s="10">
        <f>SUM($K42:CM42) * 1 * (Flag_Construction + Flag_Operations &gt; 0)</f>
        <v>1</v>
      </c>
      <c r="CN49" s="10">
        <f>SUM($K42:CN42) * 1 * (Flag_Construction + Flag_Operations &gt; 0)</f>
        <v>1</v>
      </c>
      <c r="CO49" s="10">
        <f>SUM($K42:CO42) * 1 * (Flag_Construction + Flag_Operations &gt; 0)</f>
        <v>1</v>
      </c>
    </row>
    <row r="50" spans="1:93">
      <c r="A50" s="10"/>
      <c r="B50" s="10"/>
      <c r="C50" s="17" t="str">
        <f>"Сегмент 2 - период эксплуатации - " &amp; C36</f>
        <v>Сегмент 2 - период эксплуатации - Развлекательный комплекс</v>
      </c>
      <c r="D50" s="10"/>
      <c r="E50" s="10"/>
      <c r="F50" s="10"/>
      <c r="G50" s="11" t="str">
        <f t="shared" si="141"/>
        <v>0..1</v>
      </c>
      <c r="H50" s="10"/>
      <c r="I50" s="23">
        <f t="shared" si="142"/>
        <v>66</v>
      </c>
      <c r="J50" s="149"/>
      <c r="K50" s="10"/>
      <c r="L50" s="10">
        <f>SUM($K43:L43) * 1 * (Flag_Construction + Flag_Operations &gt; 0)</f>
        <v>0</v>
      </c>
      <c r="M50" s="10">
        <f>SUM($K43:M43) * 1 * (Flag_Construction + Flag_Operations &gt; 0)</f>
        <v>0</v>
      </c>
      <c r="N50" s="10">
        <f>SUM($K43:N43) * 1 * (Flag_Construction + Flag_Operations &gt; 0)</f>
        <v>0</v>
      </c>
      <c r="O50" s="10">
        <f>SUM($K43:O43) * 1 * (Flag_Construction + Flag_Operations &gt; 0)</f>
        <v>0</v>
      </c>
      <c r="P50" s="10">
        <f>SUM($K43:P43) * 1 * (Flag_Construction + Flag_Operations &gt; 0)</f>
        <v>0</v>
      </c>
      <c r="Q50" s="10">
        <f>SUM($K43:Q43) * 1 * (Flag_Construction + Flag_Operations &gt; 0)</f>
        <v>0</v>
      </c>
      <c r="R50" s="10">
        <f>SUM($K43:R43) * 1 * (Flag_Construction + Flag_Operations &gt; 0)</f>
        <v>0</v>
      </c>
      <c r="S50" s="10">
        <f>SUM($K43:S43) * 1 * (Flag_Construction + Flag_Operations &gt; 0)</f>
        <v>0</v>
      </c>
      <c r="T50" s="10">
        <f>SUM($K43:T43) * 1 * (Flag_Construction + Flag_Operations &gt; 0)</f>
        <v>0</v>
      </c>
      <c r="U50" s="10">
        <f>SUM($K43:U43) * 1 * (Flag_Construction + Flag_Operations &gt; 0)</f>
        <v>0</v>
      </c>
      <c r="V50" s="10">
        <f>SUM($K43:V43) * 1 * (Flag_Construction + Flag_Operations &gt; 0)</f>
        <v>0</v>
      </c>
      <c r="W50" s="10">
        <f>SUM($K43:W43) * 1 * (Flag_Construction + Flag_Operations &gt; 0)</f>
        <v>0</v>
      </c>
      <c r="X50" s="10">
        <f>SUM($K43:X43) * 1 * (Flag_Construction + Flag_Operations &gt; 0)</f>
        <v>0</v>
      </c>
      <c r="Y50" s="10">
        <f>SUM($K43:Y43) * 1 * (Flag_Construction + Flag_Operations &gt; 0)</f>
        <v>0</v>
      </c>
      <c r="Z50" s="10">
        <f>SUM($K43:Z43) * 1 * (Flag_Construction + Flag_Operations &gt; 0)</f>
        <v>0</v>
      </c>
      <c r="AA50" s="10">
        <f>SUM($K43:AA43) * 1 * (Flag_Construction + Flag_Operations &gt; 0)</f>
        <v>0</v>
      </c>
      <c r="AB50" s="10">
        <f>SUM($K43:AB43) * 1 * (Flag_Construction + Flag_Operations &gt; 0)</f>
        <v>1</v>
      </c>
      <c r="AC50" s="10">
        <f>SUM($K43:AC43) * 1 * (Flag_Construction + Flag_Operations &gt; 0)</f>
        <v>1</v>
      </c>
      <c r="AD50" s="10">
        <f>SUM($K43:AD43) * 1 * (Flag_Construction + Flag_Operations &gt; 0)</f>
        <v>1</v>
      </c>
      <c r="AE50" s="10">
        <f>SUM($K43:AE43) * 1 * (Flag_Construction + Flag_Operations &gt; 0)</f>
        <v>1</v>
      </c>
      <c r="AF50" s="10">
        <f>SUM($K43:AF43) * 1 * (Flag_Construction + Flag_Operations &gt; 0)</f>
        <v>1</v>
      </c>
      <c r="AG50" s="10">
        <f>SUM($K43:AG43) * 1 * (Flag_Construction + Flag_Operations &gt; 0)</f>
        <v>1</v>
      </c>
      <c r="AH50" s="10">
        <f>SUM($K43:AH43) * 1 * (Flag_Construction + Flag_Operations &gt; 0)</f>
        <v>1</v>
      </c>
      <c r="AI50" s="10">
        <f>SUM($K43:AI43) * 1 * (Flag_Construction + Flag_Operations &gt; 0)</f>
        <v>1</v>
      </c>
      <c r="AJ50" s="10">
        <f>SUM($K43:AJ43) * 1 * (Flag_Construction + Flag_Operations &gt; 0)</f>
        <v>1</v>
      </c>
      <c r="AK50" s="10">
        <f>SUM($K43:AK43) * 1 * (Flag_Construction + Flag_Operations &gt; 0)</f>
        <v>1</v>
      </c>
      <c r="AL50" s="10">
        <f>SUM($K43:AL43) * 1 * (Flag_Construction + Flag_Operations &gt; 0)</f>
        <v>1</v>
      </c>
      <c r="AM50" s="10">
        <f>SUM($K43:AM43) * 1 * (Flag_Construction + Flag_Operations &gt; 0)</f>
        <v>1</v>
      </c>
      <c r="AN50" s="10">
        <f>SUM($K43:AN43) * 1 * (Flag_Construction + Flag_Operations &gt; 0)</f>
        <v>1</v>
      </c>
      <c r="AO50" s="10">
        <f>SUM($K43:AO43) * 1 * (Flag_Construction + Flag_Operations &gt; 0)</f>
        <v>1</v>
      </c>
      <c r="AP50" s="10">
        <f>SUM($K43:AP43) * 1 * (Flag_Construction + Flag_Operations &gt; 0)</f>
        <v>1</v>
      </c>
      <c r="AQ50" s="10">
        <f>SUM($K43:AQ43) * 1 * (Flag_Construction + Flag_Operations &gt; 0)</f>
        <v>1</v>
      </c>
      <c r="AR50" s="10">
        <f>SUM($K43:AR43) * 1 * (Flag_Construction + Flag_Operations &gt; 0)</f>
        <v>1</v>
      </c>
      <c r="AS50" s="10">
        <f>SUM($K43:AS43) * 1 * (Flag_Construction + Flag_Operations &gt; 0)</f>
        <v>1</v>
      </c>
      <c r="AT50" s="10">
        <f>SUM($K43:AT43) * 1 * (Flag_Construction + Flag_Operations &gt; 0)</f>
        <v>1</v>
      </c>
      <c r="AU50" s="10">
        <f>SUM($K43:AU43) * 1 * (Flag_Construction + Flag_Operations &gt; 0)</f>
        <v>1</v>
      </c>
      <c r="AV50" s="10">
        <f>SUM($K43:AV43) * 1 * (Flag_Construction + Flag_Operations &gt; 0)</f>
        <v>1</v>
      </c>
      <c r="AW50" s="10">
        <f>SUM($K43:AW43) * 1 * (Flag_Construction + Flag_Operations &gt; 0)</f>
        <v>1</v>
      </c>
      <c r="AX50" s="10">
        <f>SUM($K43:AX43) * 1 * (Flag_Construction + Flag_Operations &gt; 0)</f>
        <v>1</v>
      </c>
      <c r="AY50" s="10">
        <f>SUM($K43:AY43) * 1 * (Flag_Construction + Flag_Operations &gt; 0)</f>
        <v>1</v>
      </c>
      <c r="AZ50" s="10">
        <f>SUM($K43:AZ43) * 1 * (Flag_Construction + Flag_Operations &gt; 0)</f>
        <v>1</v>
      </c>
      <c r="BA50" s="10">
        <f>SUM($K43:BA43) * 1 * (Flag_Construction + Flag_Operations &gt; 0)</f>
        <v>1</v>
      </c>
      <c r="BB50" s="10">
        <f>SUM($K43:BB43) * 1 * (Flag_Construction + Flag_Operations &gt; 0)</f>
        <v>1</v>
      </c>
      <c r="BC50" s="10">
        <f>SUM($K43:BC43) * 1 * (Flag_Construction + Flag_Operations &gt; 0)</f>
        <v>1</v>
      </c>
      <c r="BD50" s="10">
        <f>SUM($K43:BD43) * 1 * (Flag_Construction + Flag_Operations &gt; 0)</f>
        <v>1</v>
      </c>
      <c r="BE50" s="10">
        <f>SUM($K43:BE43) * 1 * (Flag_Construction + Flag_Operations &gt; 0)</f>
        <v>1</v>
      </c>
      <c r="BF50" s="10">
        <f>SUM($K43:BF43) * 1 * (Flag_Construction + Flag_Operations &gt; 0)</f>
        <v>1</v>
      </c>
      <c r="BG50" s="10">
        <f>SUM($K43:BG43) * 1 * (Flag_Construction + Flag_Operations &gt; 0)</f>
        <v>1</v>
      </c>
      <c r="BH50" s="10">
        <f>SUM($K43:BH43) * 1 * (Flag_Construction + Flag_Operations &gt; 0)</f>
        <v>1</v>
      </c>
      <c r="BI50" s="10">
        <f>SUM($K43:BI43) * 1 * (Flag_Construction + Flag_Operations &gt; 0)</f>
        <v>1</v>
      </c>
      <c r="BJ50" s="10">
        <f>SUM($K43:BJ43) * 1 * (Flag_Construction + Flag_Operations &gt; 0)</f>
        <v>1</v>
      </c>
      <c r="BK50" s="10">
        <f>SUM($K43:BK43) * 1 * (Flag_Construction + Flag_Operations &gt; 0)</f>
        <v>1</v>
      </c>
      <c r="BL50" s="10">
        <f>SUM($K43:BL43) * 1 * (Flag_Construction + Flag_Operations &gt; 0)</f>
        <v>1</v>
      </c>
      <c r="BM50" s="10">
        <f>SUM($K43:BM43) * 1 * (Flag_Construction + Flag_Operations &gt; 0)</f>
        <v>1</v>
      </c>
      <c r="BN50" s="10">
        <f>SUM($K43:BN43) * 1 * (Flag_Construction + Flag_Operations &gt; 0)</f>
        <v>1</v>
      </c>
      <c r="BO50" s="10">
        <f>SUM($K43:BO43) * 1 * (Flag_Construction + Flag_Operations &gt; 0)</f>
        <v>1</v>
      </c>
      <c r="BP50" s="10">
        <f>SUM($K43:BP43) * 1 * (Flag_Construction + Flag_Operations &gt; 0)</f>
        <v>1</v>
      </c>
      <c r="BQ50" s="10">
        <f>SUM($K43:BQ43) * 1 * (Flag_Construction + Flag_Operations &gt; 0)</f>
        <v>1</v>
      </c>
      <c r="BR50" s="10">
        <f>SUM($K43:BR43) * 1 * (Flag_Construction + Flag_Operations &gt; 0)</f>
        <v>1</v>
      </c>
      <c r="BS50" s="10">
        <f>SUM($K43:BS43) * 1 * (Flag_Construction + Flag_Operations &gt; 0)</f>
        <v>1</v>
      </c>
      <c r="BT50" s="10">
        <f>SUM($K43:BT43) * 1 * (Flag_Construction + Flag_Operations &gt; 0)</f>
        <v>1</v>
      </c>
      <c r="BU50" s="10">
        <f>SUM($K43:BU43) * 1 * (Flag_Construction + Flag_Operations &gt; 0)</f>
        <v>1</v>
      </c>
      <c r="BV50" s="10">
        <f>SUM($K43:BV43) * 1 * (Flag_Construction + Flag_Operations &gt; 0)</f>
        <v>1</v>
      </c>
      <c r="BW50" s="10">
        <f>SUM($K43:BW43) * 1 * (Flag_Construction + Flag_Operations &gt; 0)</f>
        <v>1</v>
      </c>
      <c r="BX50" s="10">
        <f>SUM($K43:BX43) * 1 * (Flag_Construction + Flag_Operations &gt; 0)</f>
        <v>1</v>
      </c>
      <c r="BY50" s="10">
        <f>SUM($K43:BY43) * 1 * (Flag_Construction + Flag_Operations &gt; 0)</f>
        <v>1</v>
      </c>
      <c r="BZ50" s="10">
        <f>SUM($K43:BZ43) * 1 * (Flag_Construction + Flag_Operations &gt; 0)</f>
        <v>1</v>
      </c>
      <c r="CA50" s="10">
        <f>SUM($K43:CA43) * 1 * (Flag_Construction + Flag_Operations &gt; 0)</f>
        <v>1</v>
      </c>
      <c r="CB50" s="10">
        <f>SUM($K43:CB43) * 1 * (Flag_Construction + Flag_Operations &gt; 0)</f>
        <v>1</v>
      </c>
      <c r="CC50" s="10">
        <f>SUM($K43:CC43) * 1 * (Flag_Construction + Flag_Operations &gt; 0)</f>
        <v>1</v>
      </c>
      <c r="CD50" s="10">
        <f>SUM($K43:CD43) * 1 * (Flag_Construction + Flag_Operations &gt; 0)</f>
        <v>1</v>
      </c>
      <c r="CE50" s="10">
        <f>SUM($K43:CE43) * 1 * (Flag_Construction + Flag_Operations &gt; 0)</f>
        <v>1</v>
      </c>
      <c r="CF50" s="10">
        <f>SUM($K43:CF43) * 1 * (Flag_Construction + Flag_Operations &gt; 0)</f>
        <v>1</v>
      </c>
      <c r="CG50" s="10">
        <f>SUM($K43:CG43) * 1 * (Flag_Construction + Flag_Operations &gt; 0)</f>
        <v>1</v>
      </c>
      <c r="CH50" s="10">
        <f>SUM($K43:CH43) * 1 * (Flag_Construction + Flag_Operations &gt; 0)</f>
        <v>1</v>
      </c>
      <c r="CI50" s="10">
        <f>SUM($K43:CI43) * 1 * (Flag_Construction + Flag_Operations &gt; 0)</f>
        <v>1</v>
      </c>
      <c r="CJ50" s="10">
        <f>SUM($K43:CJ43) * 1 * (Flag_Construction + Flag_Operations &gt; 0)</f>
        <v>1</v>
      </c>
      <c r="CK50" s="10">
        <f>SUM($K43:CK43) * 1 * (Flag_Construction + Flag_Operations &gt; 0)</f>
        <v>1</v>
      </c>
      <c r="CL50" s="10">
        <f>SUM($K43:CL43) * 1 * (Flag_Construction + Flag_Operations &gt; 0)</f>
        <v>1</v>
      </c>
      <c r="CM50" s="10">
        <f>SUM($K43:CM43) * 1 * (Flag_Construction + Flag_Operations &gt; 0)</f>
        <v>1</v>
      </c>
      <c r="CN50" s="10">
        <f>SUM($K43:CN43) * 1 * (Flag_Construction + Flag_Operations &gt; 0)</f>
        <v>1</v>
      </c>
      <c r="CO50" s="10">
        <f>SUM($K43:CO43) * 1 * (Flag_Construction + Flag_Operations &gt; 0)</f>
        <v>1</v>
      </c>
    </row>
    <row r="51" spans="1:93">
      <c r="A51" s="10"/>
      <c r="B51" s="10"/>
      <c r="C51" s="17" t="str">
        <f>"Сегмент 3 - период эксплуатации - " &amp; C37</f>
        <v>Сегмент 3 - период эксплуатации - Крытый парк развлечений</v>
      </c>
      <c r="D51" s="10"/>
      <c r="E51" s="10"/>
      <c r="F51" s="10"/>
      <c r="G51" s="11" t="str">
        <f t="shared" si="141"/>
        <v>0..0</v>
      </c>
      <c r="H51" s="10"/>
      <c r="I51" s="23">
        <f t="shared" si="142"/>
        <v>0</v>
      </c>
      <c r="J51" s="149"/>
      <c r="K51" s="10"/>
      <c r="L51" s="10">
        <f>SUM($K44:L44) * 1 * (Flag_Construction + Flag_Operations &gt; 0)</f>
        <v>0</v>
      </c>
      <c r="M51" s="10">
        <f>SUM($K44:M44) * 1 * (Flag_Construction + Flag_Operations &gt; 0)</f>
        <v>0</v>
      </c>
      <c r="N51" s="10">
        <f>SUM($K44:N44) * 1 * (Flag_Construction + Flag_Operations &gt; 0)</f>
        <v>0</v>
      </c>
      <c r="O51" s="10">
        <f>SUM($K44:O44) * 1 * (Flag_Construction + Flag_Operations &gt; 0)</f>
        <v>0</v>
      </c>
      <c r="P51" s="10">
        <f>SUM($K44:P44) * 1 * (Flag_Construction + Flag_Operations &gt; 0)</f>
        <v>0</v>
      </c>
      <c r="Q51" s="10">
        <f>SUM($K44:Q44) * 1 * (Flag_Construction + Flag_Operations &gt; 0)</f>
        <v>0</v>
      </c>
      <c r="R51" s="10">
        <f>SUM($K44:R44) * 1 * (Flag_Construction + Flag_Operations &gt; 0)</f>
        <v>0</v>
      </c>
      <c r="S51" s="10">
        <f>SUM($K44:S44) * 1 * (Flag_Construction + Flag_Operations &gt; 0)</f>
        <v>0</v>
      </c>
      <c r="T51" s="10">
        <f>SUM($K44:T44) * 1 * (Flag_Construction + Flag_Operations &gt; 0)</f>
        <v>0</v>
      </c>
      <c r="U51" s="10">
        <f>SUM($K44:U44) * 1 * (Flag_Construction + Flag_Operations &gt; 0)</f>
        <v>0</v>
      </c>
      <c r="V51" s="10">
        <f>SUM($K44:V44) * 1 * (Flag_Construction + Flag_Operations &gt; 0)</f>
        <v>0</v>
      </c>
      <c r="W51" s="10">
        <f>SUM($K44:W44) * 1 * (Flag_Construction + Flag_Operations &gt; 0)</f>
        <v>0</v>
      </c>
      <c r="X51" s="10">
        <f>SUM($K44:X44) * 1 * (Flag_Construction + Flag_Operations &gt; 0)</f>
        <v>0</v>
      </c>
      <c r="Y51" s="10">
        <f>SUM($K44:Y44) * 1 * (Flag_Construction + Flag_Operations &gt; 0)</f>
        <v>0</v>
      </c>
      <c r="Z51" s="10">
        <f>SUM($K44:Z44) * 1 * (Flag_Construction + Flag_Operations &gt; 0)</f>
        <v>0</v>
      </c>
      <c r="AA51" s="10">
        <f>SUM($K44:AA44) * 1 * (Flag_Construction + Flag_Operations &gt; 0)</f>
        <v>0</v>
      </c>
      <c r="AB51" s="10">
        <f>SUM($K44:AB44) * 1 * (Flag_Construction + Flag_Operations &gt; 0)</f>
        <v>0</v>
      </c>
      <c r="AC51" s="10">
        <f>SUM($K44:AC44) * 1 * (Flag_Construction + Flag_Operations &gt; 0)</f>
        <v>0</v>
      </c>
      <c r="AD51" s="10">
        <f>SUM($K44:AD44) * 1 * (Flag_Construction + Flag_Operations &gt; 0)</f>
        <v>0</v>
      </c>
      <c r="AE51" s="10">
        <f>SUM($K44:AE44) * 1 * (Flag_Construction + Flag_Operations &gt; 0)</f>
        <v>0</v>
      </c>
      <c r="AF51" s="10">
        <f>SUM($K44:AF44) * 1 * (Flag_Construction + Flag_Operations &gt; 0)</f>
        <v>0</v>
      </c>
      <c r="AG51" s="10">
        <f>SUM($K44:AG44) * 1 * (Flag_Construction + Flag_Operations &gt; 0)</f>
        <v>0</v>
      </c>
      <c r="AH51" s="10">
        <f>SUM($K44:AH44) * 1 * (Flag_Construction + Flag_Operations &gt; 0)</f>
        <v>0</v>
      </c>
      <c r="AI51" s="10">
        <f>SUM($K44:AI44) * 1 * (Flag_Construction + Flag_Operations &gt; 0)</f>
        <v>0</v>
      </c>
      <c r="AJ51" s="10">
        <f>SUM($K44:AJ44) * 1 * (Flag_Construction + Flag_Operations &gt; 0)</f>
        <v>0</v>
      </c>
      <c r="AK51" s="10">
        <f>SUM($K44:AK44) * 1 * (Flag_Construction + Flag_Operations &gt; 0)</f>
        <v>0</v>
      </c>
      <c r="AL51" s="10">
        <f>SUM($K44:AL44) * 1 * (Flag_Construction + Flag_Operations &gt; 0)</f>
        <v>0</v>
      </c>
      <c r="AM51" s="10">
        <f>SUM($K44:AM44) * 1 * (Flag_Construction + Flag_Operations &gt; 0)</f>
        <v>0</v>
      </c>
      <c r="AN51" s="10">
        <f>SUM($K44:AN44) * 1 * (Flag_Construction + Flag_Operations &gt; 0)</f>
        <v>0</v>
      </c>
      <c r="AO51" s="10">
        <f>SUM($K44:AO44) * 1 * (Flag_Construction + Flag_Operations &gt; 0)</f>
        <v>0</v>
      </c>
      <c r="AP51" s="10">
        <f>SUM($K44:AP44) * 1 * (Flag_Construction + Flag_Operations &gt; 0)</f>
        <v>0</v>
      </c>
      <c r="AQ51" s="10">
        <f>SUM($K44:AQ44) * 1 * (Flag_Construction + Flag_Operations &gt; 0)</f>
        <v>0</v>
      </c>
      <c r="AR51" s="10">
        <f>SUM($K44:AR44) * 1 * (Flag_Construction + Flag_Operations &gt; 0)</f>
        <v>0</v>
      </c>
      <c r="AS51" s="10">
        <f>SUM($K44:AS44) * 1 * (Flag_Construction + Flag_Operations &gt; 0)</f>
        <v>0</v>
      </c>
      <c r="AT51" s="10">
        <f>SUM($K44:AT44) * 1 * (Flag_Construction + Flag_Operations &gt; 0)</f>
        <v>0</v>
      </c>
      <c r="AU51" s="10">
        <f>SUM($K44:AU44) * 1 * (Flag_Construction + Flag_Operations &gt; 0)</f>
        <v>0</v>
      </c>
      <c r="AV51" s="10">
        <f>SUM($K44:AV44) * 1 * (Flag_Construction + Flag_Operations &gt; 0)</f>
        <v>0</v>
      </c>
      <c r="AW51" s="10">
        <f>SUM($K44:AW44) * 1 * (Flag_Construction + Flag_Operations &gt; 0)</f>
        <v>0</v>
      </c>
      <c r="AX51" s="10">
        <f>SUM($K44:AX44) * 1 * (Flag_Construction + Flag_Operations &gt; 0)</f>
        <v>0</v>
      </c>
      <c r="AY51" s="10">
        <f>SUM($K44:AY44) * 1 * (Flag_Construction + Flag_Operations &gt; 0)</f>
        <v>0</v>
      </c>
      <c r="AZ51" s="10">
        <f>SUM($K44:AZ44) * 1 * (Flag_Construction + Flag_Operations &gt; 0)</f>
        <v>0</v>
      </c>
      <c r="BA51" s="10">
        <f>SUM($K44:BA44) * 1 * (Flag_Construction + Flag_Operations &gt; 0)</f>
        <v>0</v>
      </c>
      <c r="BB51" s="10">
        <f>SUM($K44:BB44) * 1 * (Flag_Construction + Flag_Operations &gt; 0)</f>
        <v>0</v>
      </c>
      <c r="BC51" s="10">
        <f>SUM($K44:BC44) * 1 * (Flag_Construction + Flag_Operations &gt; 0)</f>
        <v>0</v>
      </c>
      <c r="BD51" s="10">
        <f>SUM($K44:BD44) * 1 * (Flag_Construction + Flag_Operations &gt; 0)</f>
        <v>0</v>
      </c>
      <c r="BE51" s="10">
        <f>SUM($K44:BE44) * 1 * (Flag_Construction + Flag_Operations &gt; 0)</f>
        <v>0</v>
      </c>
      <c r="BF51" s="10">
        <f>SUM($K44:BF44) * 1 * (Flag_Construction + Flag_Operations &gt; 0)</f>
        <v>0</v>
      </c>
      <c r="BG51" s="10">
        <f>SUM($K44:BG44) * 1 * (Flag_Construction + Flag_Operations &gt; 0)</f>
        <v>0</v>
      </c>
      <c r="BH51" s="10">
        <f>SUM($K44:BH44) * 1 * (Flag_Construction + Flag_Operations &gt; 0)</f>
        <v>0</v>
      </c>
      <c r="BI51" s="10">
        <f>SUM($K44:BI44) * 1 * (Flag_Construction + Flag_Operations &gt; 0)</f>
        <v>0</v>
      </c>
      <c r="BJ51" s="10">
        <f>SUM($K44:BJ44) * 1 * (Flag_Construction + Flag_Operations &gt; 0)</f>
        <v>0</v>
      </c>
      <c r="BK51" s="10">
        <f>SUM($K44:BK44) * 1 * (Flag_Construction + Flag_Operations &gt; 0)</f>
        <v>0</v>
      </c>
      <c r="BL51" s="10">
        <f>SUM($K44:BL44) * 1 * (Flag_Construction + Flag_Operations &gt; 0)</f>
        <v>0</v>
      </c>
      <c r="BM51" s="10">
        <f>SUM($K44:BM44) * 1 * (Flag_Construction + Flag_Operations &gt; 0)</f>
        <v>0</v>
      </c>
      <c r="BN51" s="10">
        <f>SUM($K44:BN44) * 1 * (Flag_Construction + Flag_Operations &gt; 0)</f>
        <v>0</v>
      </c>
      <c r="BO51" s="10">
        <f>SUM($K44:BO44) * 1 * (Flag_Construction + Flag_Operations &gt; 0)</f>
        <v>0</v>
      </c>
      <c r="BP51" s="10">
        <f>SUM($K44:BP44) * 1 * (Flag_Construction + Flag_Operations &gt; 0)</f>
        <v>0</v>
      </c>
      <c r="BQ51" s="10">
        <f>SUM($K44:BQ44) * 1 * (Flag_Construction + Flag_Operations &gt; 0)</f>
        <v>0</v>
      </c>
      <c r="BR51" s="10">
        <f>SUM($K44:BR44) * 1 * (Flag_Construction + Flag_Operations &gt; 0)</f>
        <v>0</v>
      </c>
      <c r="BS51" s="10">
        <f>SUM($K44:BS44) * 1 * (Flag_Construction + Flag_Operations &gt; 0)</f>
        <v>0</v>
      </c>
      <c r="BT51" s="10">
        <f>SUM($K44:BT44) * 1 * (Flag_Construction + Flag_Operations &gt; 0)</f>
        <v>0</v>
      </c>
      <c r="BU51" s="10">
        <f>SUM($K44:BU44) * 1 * (Flag_Construction + Flag_Operations &gt; 0)</f>
        <v>0</v>
      </c>
      <c r="BV51" s="10">
        <f>SUM($K44:BV44) * 1 * (Flag_Construction + Flag_Operations &gt; 0)</f>
        <v>0</v>
      </c>
      <c r="BW51" s="10">
        <f>SUM($K44:BW44) * 1 * (Flag_Construction + Flag_Operations &gt; 0)</f>
        <v>0</v>
      </c>
      <c r="BX51" s="10">
        <f>SUM($K44:BX44) * 1 * (Flag_Construction + Flag_Operations &gt; 0)</f>
        <v>0</v>
      </c>
      <c r="BY51" s="10">
        <f>SUM($K44:BY44) * 1 * (Flag_Construction + Flag_Operations &gt; 0)</f>
        <v>0</v>
      </c>
      <c r="BZ51" s="10">
        <f>SUM($K44:BZ44) * 1 * (Flag_Construction + Flag_Operations &gt; 0)</f>
        <v>0</v>
      </c>
      <c r="CA51" s="10">
        <f>SUM($K44:CA44) * 1 * (Flag_Construction + Flag_Operations &gt; 0)</f>
        <v>0</v>
      </c>
      <c r="CB51" s="10">
        <f>SUM($K44:CB44) * 1 * (Flag_Construction + Flag_Operations &gt; 0)</f>
        <v>0</v>
      </c>
      <c r="CC51" s="10">
        <f>SUM($K44:CC44) * 1 * (Flag_Construction + Flag_Operations &gt; 0)</f>
        <v>0</v>
      </c>
      <c r="CD51" s="10">
        <f>SUM($K44:CD44) * 1 * (Flag_Construction + Flag_Operations &gt; 0)</f>
        <v>0</v>
      </c>
      <c r="CE51" s="10">
        <f>SUM($K44:CE44) * 1 * (Flag_Construction + Flag_Operations &gt; 0)</f>
        <v>0</v>
      </c>
      <c r="CF51" s="10">
        <f>SUM($K44:CF44) * 1 * (Flag_Construction + Flag_Operations &gt; 0)</f>
        <v>0</v>
      </c>
      <c r="CG51" s="10">
        <f>SUM($K44:CG44) * 1 * (Flag_Construction + Flag_Operations &gt; 0)</f>
        <v>0</v>
      </c>
      <c r="CH51" s="10">
        <f>SUM($K44:CH44) * 1 * (Flag_Construction + Flag_Operations &gt; 0)</f>
        <v>0</v>
      </c>
      <c r="CI51" s="10">
        <f>SUM($K44:CI44) * 1 * (Flag_Construction + Flag_Operations &gt; 0)</f>
        <v>0</v>
      </c>
      <c r="CJ51" s="10">
        <f>SUM($K44:CJ44) * 1 * (Flag_Construction + Flag_Operations &gt; 0)</f>
        <v>0</v>
      </c>
      <c r="CK51" s="10">
        <f>SUM($K44:CK44) * 1 * (Flag_Construction + Flag_Operations &gt; 0)</f>
        <v>0</v>
      </c>
      <c r="CL51" s="10">
        <f>SUM($K44:CL44) * 1 * (Flag_Construction + Flag_Operations &gt; 0)</f>
        <v>0</v>
      </c>
      <c r="CM51" s="10">
        <f>SUM($K44:CM44) * 1 * (Flag_Construction + Flag_Operations &gt; 0)</f>
        <v>0</v>
      </c>
      <c r="CN51" s="10">
        <f>SUM($K44:CN44) * 1 * (Flag_Construction + Flag_Operations &gt; 0)</f>
        <v>0</v>
      </c>
      <c r="CO51" s="10">
        <f>SUM($K44:CO44) * 1 * (Flag_Construction + Flag_Operations &gt; 0)</f>
        <v>0</v>
      </c>
    </row>
    <row r="52" spans="1:93">
      <c r="A52" s="10"/>
      <c r="B52" s="10"/>
      <c r="C52" s="17"/>
      <c r="D52" s="10"/>
      <c r="E52" s="10"/>
      <c r="F52" s="10"/>
      <c r="G52" s="11"/>
      <c r="H52" s="10"/>
      <c r="I52" s="10"/>
      <c r="J52" s="149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</row>
    <row r="53" spans="1:93">
      <c r="A53" s="10"/>
      <c r="B53" s="10"/>
      <c r="C53" s="17" t="s">
        <v>448</v>
      </c>
      <c r="D53" s="10"/>
      <c r="E53" s="10"/>
      <c r="F53" s="10"/>
      <c r="G53" s="11" t="str">
        <f t="shared" ref="G53:G58" si="143">MIN(L53:CO53) &amp; ".." &amp; MAX(L53:CO53)</f>
        <v>0..0</v>
      </c>
      <c r="H53" s="10"/>
      <c r="I53" s="23">
        <f t="shared" ref="I53:I58" si="144">SUM(L53:CO53)</f>
        <v>0</v>
      </c>
      <c r="J53" s="10"/>
      <c r="K53" s="10"/>
      <c r="L53" s="10">
        <f t="shared" ref="L53:AQ53" si="145">Flag_Historical*(M28=0)</f>
        <v>0</v>
      </c>
      <c r="M53" s="10">
        <f t="shared" si="145"/>
        <v>0</v>
      </c>
      <c r="N53" s="10">
        <f t="shared" si="145"/>
        <v>0</v>
      </c>
      <c r="O53" s="10">
        <f t="shared" si="145"/>
        <v>0</v>
      </c>
      <c r="P53" s="10">
        <f t="shared" si="145"/>
        <v>0</v>
      </c>
      <c r="Q53" s="10">
        <f t="shared" si="145"/>
        <v>0</v>
      </c>
      <c r="R53" s="10">
        <f t="shared" si="145"/>
        <v>0</v>
      </c>
      <c r="S53" s="10">
        <f t="shared" si="145"/>
        <v>0</v>
      </c>
      <c r="T53" s="10">
        <f t="shared" si="145"/>
        <v>0</v>
      </c>
      <c r="U53" s="10">
        <f t="shared" si="145"/>
        <v>0</v>
      </c>
      <c r="V53" s="10">
        <f t="shared" si="145"/>
        <v>0</v>
      </c>
      <c r="W53" s="10">
        <f t="shared" si="145"/>
        <v>0</v>
      </c>
      <c r="X53" s="10">
        <f t="shared" si="145"/>
        <v>0</v>
      </c>
      <c r="Y53" s="10">
        <f t="shared" si="145"/>
        <v>0</v>
      </c>
      <c r="Z53" s="10">
        <f t="shared" si="145"/>
        <v>0</v>
      </c>
      <c r="AA53" s="10">
        <f t="shared" si="145"/>
        <v>0</v>
      </c>
      <c r="AB53" s="10">
        <f t="shared" si="145"/>
        <v>0</v>
      </c>
      <c r="AC53" s="10">
        <f t="shared" si="145"/>
        <v>0</v>
      </c>
      <c r="AD53" s="10">
        <f t="shared" si="145"/>
        <v>0</v>
      </c>
      <c r="AE53" s="10">
        <f t="shared" si="145"/>
        <v>0</v>
      </c>
      <c r="AF53" s="10">
        <f t="shared" si="145"/>
        <v>0</v>
      </c>
      <c r="AG53" s="10">
        <f t="shared" si="145"/>
        <v>0</v>
      </c>
      <c r="AH53" s="10">
        <f t="shared" si="145"/>
        <v>0</v>
      </c>
      <c r="AI53" s="10">
        <f t="shared" si="145"/>
        <v>0</v>
      </c>
      <c r="AJ53" s="10">
        <f t="shared" si="145"/>
        <v>0</v>
      </c>
      <c r="AK53" s="10">
        <f t="shared" si="145"/>
        <v>0</v>
      </c>
      <c r="AL53" s="10">
        <f t="shared" si="145"/>
        <v>0</v>
      </c>
      <c r="AM53" s="10">
        <f t="shared" si="145"/>
        <v>0</v>
      </c>
      <c r="AN53" s="10">
        <f t="shared" si="145"/>
        <v>0</v>
      </c>
      <c r="AO53" s="10">
        <f t="shared" si="145"/>
        <v>0</v>
      </c>
      <c r="AP53" s="10">
        <f t="shared" si="145"/>
        <v>0</v>
      </c>
      <c r="AQ53" s="10">
        <f t="shared" si="145"/>
        <v>0</v>
      </c>
      <c r="AR53" s="10">
        <f t="shared" ref="AR53:BW53" si="146">Flag_Historical*(AS28=0)</f>
        <v>0</v>
      </c>
      <c r="AS53" s="10">
        <f t="shared" si="146"/>
        <v>0</v>
      </c>
      <c r="AT53" s="10">
        <f t="shared" si="146"/>
        <v>0</v>
      </c>
      <c r="AU53" s="10">
        <f t="shared" si="146"/>
        <v>0</v>
      </c>
      <c r="AV53" s="10">
        <f t="shared" si="146"/>
        <v>0</v>
      </c>
      <c r="AW53" s="10">
        <f t="shared" si="146"/>
        <v>0</v>
      </c>
      <c r="AX53" s="10">
        <f t="shared" si="146"/>
        <v>0</v>
      </c>
      <c r="AY53" s="10">
        <f t="shared" si="146"/>
        <v>0</v>
      </c>
      <c r="AZ53" s="10">
        <f t="shared" si="146"/>
        <v>0</v>
      </c>
      <c r="BA53" s="10">
        <f t="shared" si="146"/>
        <v>0</v>
      </c>
      <c r="BB53" s="10">
        <f t="shared" si="146"/>
        <v>0</v>
      </c>
      <c r="BC53" s="10">
        <f t="shared" si="146"/>
        <v>0</v>
      </c>
      <c r="BD53" s="10">
        <f t="shared" si="146"/>
        <v>0</v>
      </c>
      <c r="BE53" s="10">
        <f t="shared" si="146"/>
        <v>0</v>
      </c>
      <c r="BF53" s="10">
        <f t="shared" si="146"/>
        <v>0</v>
      </c>
      <c r="BG53" s="10">
        <f t="shared" si="146"/>
        <v>0</v>
      </c>
      <c r="BH53" s="10">
        <f t="shared" si="146"/>
        <v>0</v>
      </c>
      <c r="BI53" s="10">
        <f t="shared" si="146"/>
        <v>0</v>
      </c>
      <c r="BJ53" s="10">
        <f t="shared" si="146"/>
        <v>0</v>
      </c>
      <c r="BK53" s="10">
        <f t="shared" si="146"/>
        <v>0</v>
      </c>
      <c r="BL53" s="10">
        <f t="shared" si="146"/>
        <v>0</v>
      </c>
      <c r="BM53" s="10">
        <f t="shared" si="146"/>
        <v>0</v>
      </c>
      <c r="BN53" s="10">
        <f t="shared" si="146"/>
        <v>0</v>
      </c>
      <c r="BO53" s="10">
        <f t="shared" si="146"/>
        <v>0</v>
      </c>
      <c r="BP53" s="10">
        <f t="shared" si="146"/>
        <v>0</v>
      </c>
      <c r="BQ53" s="10">
        <f t="shared" si="146"/>
        <v>0</v>
      </c>
      <c r="BR53" s="10">
        <f t="shared" si="146"/>
        <v>0</v>
      </c>
      <c r="BS53" s="10">
        <f t="shared" si="146"/>
        <v>0</v>
      </c>
      <c r="BT53" s="10">
        <f t="shared" si="146"/>
        <v>0</v>
      </c>
      <c r="BU53" s="10">
        <f t="shared" si="146"/>
        <v>0</v>
      </c>
      <c r="BV53" s="10">
        <f t="shared" si="146"/>
        <v>0</v>
      </c>
      <c r="BW53" s="10">
        <f t="shared" si="146"/>
        <v>0</v>
      </c>
      <c r="BX53" s="10">
        <f t="shared" ref="BX53:CO53" si="147">Flag_Historical*(BY28=0)</f>
        <v>0</v>
      </c>
      <c r="BY53" s="10">
        <f t="shared" si="147"/>
        <v>0</v>
      </c>
      <c r="BZ53" s="10">
        <f t="shared" si="147"/>
        <v>0</v>
      </c>
      <c r="CA53" s="10">
        <f t="shared" si="147"/>
        <v>0</v>
      </c>
      <c r="CB53" s="10">
        <f t="shared" si="147"/>
        <v>0</v>
      </c>
      <c r="CC53" s="10">
        <f t="shared" si="147"/>
        <v>0</v>
      </c>
      <c r="CD53" s="10">
        <f t="shared" si="147"/>
        <v>0</v>
      </c>
      <c r="CE53" s="10">
        <f t="shared" si="147"/>
        <v>0</v>
      </c>
      <c r="CF53" s="10">
        <f t="shared" si="147"/>
        <v>0</v>
      </c>
      <c r="CG53" s="10">
        <f t="shared" si="147"/>
        <v>0</v>
      </c>
      <c r="CH53" s="10">
        <f t="shared" si="147"/>
        <v>0</v>
      </c>
      <c r="CI53" s="10">
        <f t="shared" si="147"/>
        <v>0</v>
      </c>
      <c r="CJ53" s="10">
        <f t="shared" si="147"/>
        <v>0</v>
      </c>
      <c r="CK53" s="10">
        <f t="shared" si="147"/>
        <v>0</v>
      </c>
      <c r="CL53" s="10">
        <f t="shared" si="147"/>
        <v>0</v>
      </c>
      <c r="CM53" s="10">
        <f t="shared" si="147"/>
        <v>0</v>
      </c>
      <c r="CN53" s="10">
        <f t="shared" si="147"/>
        <v>0</v>
      </c>
      <c r="CO53" s="10">
        <f t="shared" si="147"/>
        <v>0</v>
      </c>
    </row>
    <row r="54" spans="1:93">
      <c r="A54" s="10"/>
      <c r="B54" s="10"/>
      <c r="C54" s="17" t="s">
        <v>451</v>
      </c>
      <c r="D54" s="10"/>
      <c r="E54" s="10"/>
      <c r="F54" s="62" t="s">
        <v>1183</v>
      </c>
      <c r="G54" s="11" t="str">
        <f t="shared" si="143"/>
        <v>1..1</v>
      </c>
      <c r="H54" s="10"/>
      <c r="I54" s="23">
        <f t="shared" si="144"/>
        <v>82</v>
      </c>
      <c r="J54" s="52"/>
      <c r="K54" s="52"/>
      <c r="L54" s="10">
        <f t="shared" ref="L54:AQ54" si="148">Flag_Financial_Model*NOT(Flag_Historical)</f>
        <v>1</v>
      </c>
      <c r="M54" s="10">
        <f t="shared" si="148"/>
        <v>1</v>
      </c>
      <c r="N54" s="10">
        <f t="shared" si="148"/>
        <v>1</v>
      </c>
      <c r="O54" s="10">
        <f t="shared" si="148"/>
        <v>1</v>
      </c>
      <c r="P54" s="10">
        <f t="shared" si="148"/>
        <v>1</v>
      </c>
      <c r="Q54" s="10">
        <f t="shared" si="148"/>
        <v>1</v>
      </c>
      <c r="R54" s="10">
        <f t="shared" si="148"/>
        <v>1</v>
      </c>
      <c r="S54" s="10">
        <f t="shared" si="148"/>
        <v>1</v>
      </c>
      <c r="T54" s="10">
        <f t="shared" si="148"/>
        <v>1</v>
      </c>
      <c r="U54" s="10">
        <f t="shared" si="148"/>
        <v>1</v>
      </c>
      <c r="V54" s="10">
        <f t="shared" si="148"/>
        <v>1</v>
      </c>
      <c r="W54" s="10">
        <f t="shared" si="148"/>
        <v>1</v>
      </c>
      <c r="X54" s="10">
        <f t="shared" si="148"/>
        <v>1</v>
      </c>
      <c r="Y54" s="10">
        <f t="shared" si="148"/>
        <v>1</v>
      </c>
      <c r="Z54" s="10">
        <f t="shared" si="148"/>
        <v>1</v>
      </c>
      <c r="AA54" s="10">
        <f t="shared" si="148"/>
        <v>1</v>
      </c>
      <c r="AB54" s="10">
        <f t="shared" si="148"/>
        <v>1</v>
      </c>
      <c r="AC54" s="10">
        <f t="shared" si="148"/>
        <v>1</v>
      </c>
      <c r="AD54" s="10">
        <f t="shared" si="148"/>
        <v>1</v>
      </c>
      <c r="AE54" s="10">
        <f t="shared" si="148"/>
        <v>1</v>
      </c>
      <c r="AF54" s="10">
        <f t="shared" si="148"/>
        <v>1</v>
      </c>
      <c r="AG54" s="10">
        <f t="shared" si="148"/>
        <v>1</v>
      </c>
      <c r="AH54" s="10">
        <f t="shared" si="148"/>
        <v>1</v>
      </c>
      <c r="AI54" s="10">
        <f t="shared" si="148"/>
        <v>1</v>
      </c>
      <c r="AJ54" s="10">
        <f t="shared" si="148"/>
        <v>1</v>
      </c>
      <c r="AK54" s="10">
        <f t="shared" si="148"/>
        <v>1</v>
      </c>
      <c r="AL54" s="10">
        <f t="shared" si="148"/>
        <v>1</v>
      </c>
      <c r="AM54" s="10">
        <f t="shared" si="148"/>
        <v>1</v>
      </c>
      <c r="AN54" s="10">
        <f t="shared" si="148"/>
        <v>1</v>
      </c>
      <c r="AO54" s="10">
        <f t="shared" si="148"/>
        <v>1</v>
      </c>
      <c r="AP54" s="10">
        <f t="shared" si="148"/>
        <v>1</v>
      </c>
      <c r="AQ54" s="10">
        <f t="shared" si="148"/>
        <v>1</v>
      </c>
      <c r="AR54" s="10">
        <f t="shared" ref="AR54:BW54" si="149">Flag_Financial_Model*NOT(Flag_Historical)</f>
        <v>1</v>
      </c>
      <c r="AS54" s="10">
        <f t="shared" si="149"/>
        <v>1</v>
      </c>
      <c r="AT54" s="10">
        <f t="shared" si="149"/>
        <v>1</v>
      </c>
      <c r="AU54" s="10">
        <f t="shared" si="149"/>
        <v>1</v>
      </c>
      <c r="AV54" s="10">
        <f t="shared" si="149"/>
        <v>1</v>
      </c>
      <c r="AW54" s="10">
        <f t="shared" si="149"/>
        <v>1</v>
      </c>
      <c r="AX54" s="10">
        <f t="shared" si="149"/>
        <v>1</v>
      </c>
      <c r="AY54" s="10">
        <f t="shared" si="149"/>
        <v>1</v>
      </c>
      <c r="AZ54" s="10">
        <f t="shared" si="149"/>
        <v>1</v>
      </c>
      <c r="BA54" s="10">
        <f t="shared" si="149"/>
        <v>1</v>
      </c>
      <c r="BB54" s="10">
        <f t="shared" si="149"/>
        <v>1</v>
      </c>
      <c r="BC54" s="10">
        <f t="shared" si="149"/>
        <v>1</v>
      </c>
      <c r="BD54" s="10">
        <f t="shared" si="149"/>
        <v>1</v>
      </c>
      <c r="BE54" s="10">
        <f t="shared" si="149"/>
        <v>1</v>
      </c>
      <c r="BF54" s="10">
        <f t="shared" si="149"/>
        <v>1</v>
      </c>
      <c r="BG54" s="10">
        <f t="shared" si="149"/>
        <v>1</v>
      </c>
      <c r="BH54" s="10">
        <f t="shared" si="149"/>
        <v>1</v>
      </c>
      <c r="BI54" s="10">
        <f t="shared" si="149"/>
        <v>1</v>
      </c>
      <c r="BJ54" s="10">
        <f t="shared" si="149"/>
        <v>1</v>
      </c>
      <c r="BK54" s="10">
        <f t="shared" si="149"/>
        <v>1</v>
      </c>
      <c r="BL54" s="10">
        <f t="shared" si="149"/>
        <v>1</v>
      </c>
      <c r="BM54" s="10">
        <f t="shared" si="149"/>
        <v>1</v>
      </c>
      <c r="BN54" s="10">
        <f t="shared" si="149"/>
        <v>1</v>
      </c>
      <c r="BO54" s="10">
        <f t="shared" si="149"/>
        <v>1</v>
      </c>
      <c r="BP54" s="10">
        <f t="shared" si="149"/>
        <v>1</v>
      </c>
      <c r="BQ54" s="10">
        <f t="shared" si="149"/>
        <v>1</v>
      </c>
      <c r="BR54" s="10">
        <f t="shared" si="149"/>
        <v>1</v>
      </c>
      <c r="BS54" s="10">
        <f t="shared" si="149"/>
        <v>1</v>
      </c>
      <c r="BT54" s="10">
        <f t="shared" si="149"/>
        <v>1</v>
      </c>
      <c r="BU54" s="10">
        <f t="shared" si="149"/>
        <v>1</v>
      </c>
      <c r="BV54" s="10">
        <f t="shared" si="149"/>
        <v>1</v>
      </c>
      <c r="BW54" s="10">
        <f t="shared" si="149"/>
        <v>1</v>
      </c>
      <c r="BX54" s="10">
        <f t="shared" ref="BX54:CO54" si="150">Flag_Financial_Model*NOT(Flag_Historical)</f>
        <v>1</v>
      </c>
      <c r="BY54" s="10">
        <f t="shared" si="150"/>
        <v>1</v>
      </c>
      <c r="BZ54" s="10">
        <f t="shared" si="150"/>
        <v>1</v>
      </c>
      <c r="CA54" s="10">
        <f t="shared" si="150"/>
        <v>1</v>
      </c>
      <c r="CB54" s="10">
        <f t="shared" si="150"/>
        <v>1</v>
      </c>
      <c r="CC54" s="10">
        <f t="shared" si="150"/>
        <v>1</v>
      </c>
      <c r="CD54" s="10">
        <f t="shared" si="150"/>
        <v>1</v>
      </c>
      <c r="CE54" s="10">
        <f t="shared" si="150"/>
        <v>1</v>
      </c>
      <c r="CF54" s="10">
        <f t="shared" si="150"/>
        <v>1</v>
      </c>
      <c r="CG54" s="10">
        <f t="shared" si="150"/>
        <v>1</v>
      </c>
      <c r="CH54" s="10">
        <f t="shared" si="150"/>
        <v>1</v>
      </c>
      <c r="CI54" s="10">
        <f t="shared" si="150"/>
        <v>1</v>
      </c>
      <c r="CJ54" s="10">
        <f t="shared" si="150"/>
        <v>1</v>
      </c>
      <c r="CK54" s="10">
        <f t="shared" si="150"/>
        <v>1</v>
      </c>
      <c r="CL54" s="10">
        <f t="shared" si="150"/>
        <v>1</v>
      </c>
      <c r="CM54" s="10">
        <f t="shared" si="150"/>
        <v>1</v>
      </c>
      <c r="CN54" s="10">
        <f t="shared" si="150"/>
        <v>1</v>
      </c>
      <c r="CO54" s="10">
        <f t="shared" si="150"/>
        <v>1</v>
      </c>
    </row>
    <row r="55" spans="1:93">
      <c r="A55" s="10"/>
      <c r="B55" s="10"/>
      <c r="C55" s="17" t="s">
        <v>452</v>
      </c>
      <c r="D55" s="10"/>
      <c r="E55" s="10"/>
      <c r="F55" s="10"/>
      <c r="G55" s="11" t="str">
        <f t="shared" si="143"/>
        <v>0..1</v>
      </c>
      <c r="H55" s="10"/>
      <c r="I55" s="23">
        <f t="shared" si="144"/>
        <v>1</v>
      </c>
      <c r="J55" s="10"/>
      <c r="K55" s="10"/>
      <c r="L55" s="10">
        <f t="shared" ref="L55:AQ55" si="151">(K54=0)*Flag_Forecast</f>
        <v>1</v>
      </c>
      <c r="M55" s="10">
        <f t="shared" si="151"/>
        <v>0</v>
      </c>
      <c r="N55" s="10">
        <f t="shared" si="151"/>
        <v>0</v>
      </c>
      <c r="O55" s="10">
        <f t="shared" si="151"/>
        <v>0</v>
      </c>
      <c r="P55" s="10">
        <f t="shared" si="151"/>
        <v>0</v>
      </c>
      <c r="Q55" s="10">
        <f t="shared" si="151"/>
        <v>0</v>
      </c>
      <c r="R55" s="10">
        <f t="shared" si="151"/>
        <v>0</v>
      </c>
      <c r="S55" s="10">
        <f t="shared" si="151"/>
        <v>0</v>
      </c>
      <c r="T55" s="10">
        <f t="shared" si="151"/>
        <v>0</v>
      </c>
      <c r="U55" s="10">
        <f t="shared" si="151"/>
        <v>0</v>
      </c>
      <c r="V55" s="10">
        <f t="shared" si="151"/>
        <v>0</v>
      </c>
      <c r="W55" s="10">
        <f t="shared" si="151"/>
        <v>0</v>
      </c>
      <c r="X55" s="10">
        <f t="shared" si="151"/>
        <v>0</v>
      </c>
      <c r="Y55" s="10">
        <f t="shared" si="151"/>
        <v>0</v>
      </c>
      <c r="Z55" s="10">
        <f t="shared" si="151"/>
        <v>0</v>
      </c>
      <c r="AA55" s="10">
        <f t="shared" si="151"/>
        <v>0</v>
      </c>
      <c r="AB55" s="10">
        <f t="shared" si="151"/>
        <v>0</v>
      </c>
      <c r="AC55" s="10">
        <f t="shared" si="151"/>
        <v>0</v>
      </c>
      <c r="AD55" s="10">
        <f t="shared" si="151"/>
        <v>0</v>
      </c>
      <c r="AE55" s="10">
        <f t="shared" si="151"/>
        <v>0</v>
      </c>
      <c r="AF55" s="10">
        <f t="shared" si="151"/>
        <v>0</v>
      </c>
      <c r="AG55" s="10">
        <f t="shared" si="151"/>
        <v>0</v>
      </c>
      <c r="AH55" s="10">
        <f t="shared" si="151"/>
        <v>0</v>
      </c>
      <c r="AI55" s="10">
        <f t="shared" si="151"/>
        <v>0</v>
      </c>
      <c r="AJ55" s="10">
        <f t="shared" si="151"/>
        <v>0</v>
      </c>
      <c r="AK55" s="10">
        <f t="shared" si="151"/>
        <v>0</v>
      </c>
      <c r="AL55" s="10">
        <f t="shared" si="151"/>
        <v>0</v>
      </c>
      <c r="AM55" s="10">
        <f t="shared" si="151"/>
        <v>0</v>
      </c>
      <c r="AN55" s="10">
        <f t="shared" si="151"/>
        <v>0</v>
      </c>
      <c r="AO55" s="10">
        <f t="shared" si="151"/>
        <v>0</v>
      </c>
      <c r="AP55" s="10">
        <f t="shared" si="151"/>
        <v>0</v>
      </c>
      <c r="AQ55" s="10">
        <f t="shared" si="151"/>
        <v>0</v>
      </c>
      <c r="AR55" s="10">
        <f t="shared" ref="AR55:BW55" si="152">(AQ54=0)*Flag_Forecast</f>
        <v>0</v>
      </c>
      <c r="AS55" s="10">
        <f t="shared" si="152"/>
        <v>0</v>
      </c>
      <c r="AT55" s="10">
        <f t="shared" si="152"/>
        <v>0</v>
      </c>
      <c r="AU55" s="10">
        <f t="shared" si="152"/>
        <v>0</v>
      </c>
      <c r="AV55" s="10">
        <f t="shared" si="152"/>
        <v>0</v>
      </c>
      <c r="AW55" s="10">
        <f t="shared" si="152"/>
        <v>0</v>
      </c>
      <c r="AX55" s="10">
        <f t="shared" si="152"/>
        <v>0</v>
      </c>
      <c r="AY55" s="10">
        <f t="shared" si="152"/>
        <v>0</v>
      </c>
      <c r="AZ55" s="10">
        <f t="shared" si="152"/>
        <v>0</v>
      </c>
      <c r="BA55" s="10">
        <f t="shared" si="152"/>
        <v>0</v>
      </c>
      <c r="BB55" s="10">
        <f t="shared" si="152"/>
        <v>0</v>
      </c>
      <c r="BC55" s="10">
        <f t="shared" si="152"/>
        <v>0</v>
      </c>
      <c r="BD55" s="10">
        <f t="shared" si="152"/>
        <v>0</v>
      </c>
      <c r="BE55" s="10">
        <f t="shared" si="152"/>
        <v>0</v>
      </c>
      <c r="BF55" s="10">
        <f t="shared" si="152"/>
        <v>0</v>
      </c>
      <c r="BG55" s="10">
        <f t="shared" si="152"/>
        <v>0</v>
      </c>
      <c r="BH55" s="10">
        <f t="shared" si="152"/>
        <v>0</v>
      </c>
      <c r="BI55" s="10">
        <f t="shared" si="152"/>
        <v>0</v>
      </c>
      <c r="BJ55" s="10">
        <f t="shared" si="152"/>
        <v>0</v>
      </c>
      <c r="BK55" s="10">
        <f t="shared" si="152"/>
        <v>0</v>
      </c>
      <c r="BL55" s="10">
        <f t="shared" si="152"/>
        <v>0</v>
      </c>
      <c r="BM55" s="10">
        <f t="shared" si="152"/>
        <v>0</v>
      </c>
      <c r="BN55" s="10">
        <f t="shared" si="152"/>
        <v>0</v>
      </c>
      <c r="BO55" s="10">
        <f t="shared" si="152"/>
        <v>0</v>
      </c>
      <c r="BP55" s="10">
        <f t="shared" si="152"/>
        <v>0</v>
      </c>
      <c r="BQ55" s="10">
        <f t="shared" si="152"/>
        <v>0</v>
      </c>
      <c r="BR55" s="10">
        <f t="shared" si="152"/>
        <v>0</v>
      </c>
      <c r="BS55" s="10">
        <f t="shared" si="152"/>
        <v>0</v>
      </c>
      <c r="BT55" s="10">
        <f t="shared" si="152"/>
        <v>0</v>
      </c>
      <c r="BU55" s="10">
        <f t="shared" si="152"/>
        <v>0</v>
      </c>
      <c r="BV55" s="10">
        <f t="shared" si="152"/>
        <v>0</v>
      </c>
      <c r="BW55" s="10">
        <f t="shared" si="152"/>
        <v>0</v>
      </c>
      <c r="BX55" s="10">
        <f t="shared" ref="BX55:CO55" si="153">(BW54=0)*Flag_Forecast</f>
        <v>0</v>
      </c>
      <c r="BY55" s="10">
        <f t="shared" si="153"/>
        <v>0</v>
      </c>
      <c r="BZ55" s="10">
        <f t="shared" si="153"/>
        <v>0</v>
      </c>
      <c r="CA55" s="10">
        <f t="shared" si="153"/>
        <v>0</v>
      </c>
      <c r="CB55" s="10">
        <f t="shared" si="153"/>
        <v>0</v>
      </c>
      <c r="CC55" s="10">
        <f t="shared" si="153"/>
        <v>0</v>
      </c>
      <c r="CD55" s="10">
        <f t="shared" si="153"/>
        <v>0</v>
      </c>
      <c r="CE55" s="10">
        <f t="shared" si="153"/>
        <v>0</v>
      </c>
      <c r="CF55" s="10">
        <f t="shared" si="153"/>
        <v>0</v>
      </c>
      <c r="CG55" s="10">
        <f t="shared" si="153"/>
        <v>0</v>
      </c>
      <c r="CH55" s="10">
        <f t="shared" si="153"/>
        <v>0</v>
      </c>
      <c r="CI55" s="10">
        <f t="shared" si="153"/>
        <v>0</v>
      </c>
      <c r="CJ55" s="10">
        <f t="shared" si="153"/>
        <v>0</v>
      </c>
      <c r="CK55" s="10">
        <f t="shared" si="153"/>
        <v>0</v>
      </c>
      <c r="CL55" s="10">
        <f t="shared" si="153"/>
        <v>0</v>
      </c>
      <c r="CM55" s="10">
        <f t="shared" si="153"/>
        <v>0</v>
      </c>
      <c r="CN55" s="10">
        <f t="shared" si="153"/>
        <v>0</v>
      </c>
      <c r="CO55" s="10">
        <f t="shared" si="153"/>
        <v>0</v>
      </c>
    </row>
    <row r="56" spans="1:93">
      <c r="A56" s="10"/>
      <c r="B56" s="10"/>
      <c r="C56" s="17" t="s">
        <v>453</v>
      </c>
      <c r="D56" s="10"/>
      <c r="E56" s="10"/>
      <c r="F56" s="10"/>
      <c r="G56" s="11" t="str">
        <f t="shared" si="143"/>
        <v>0..1</v>
      </c>
      <c r="H56" s="10"/>
      <c r="I56" s="23">
        <f t="shared" si="144"/>
        <v>1</v>
      </c>
      <c r="J56" s="10"/>
      <c r="K56" s="10"/>
      <c r="L56" s="10">
        <f t="shared" ref="L56:AQ56" si="154">Flag_Forecast*(M54=0)</f>
        <v>0</v>
      </c>
      <c r="M56" s="10">
        <f t="shared" si="154"/>
        <v>0</v>
      </c>
      <c r="N56" s="10">
        <f t="shared" si="154"/>
        <v>0</v>
      </c>
      <c r="O56" s="10">
        <f t="shared" si="154"/>
        <v>0</v>
      </c>
      <c r="P56" s="10">
        <f t="shared" si="154"/>
        <v>0</v>
      </c>
      <c r="Q56" s="10">
        <f t="shared" si="154"/>
        <v>0</v>
      </c>
      <c r="R56" s="10">
        <f t="shared" si="154"/>
        <v>0</v>
      </c>
      <c r="S56" s="10">
        <f t="shared" si="154"/>
        <v>0</v>
      </c>
      <c r="T56" s="10">
        <f t="shared" si="154"/>
        <v>0</v>
      </c>
      <c r="U56" s="10">
        <f t="shared" si="154"/>
        <v>0</v>
      </c>
      <c r="V56" s="10">
        <f t="shared" si="154"/>
        <v>0</v>
      </c>
      <c r="W56" s="10">
        <f t="shared" si="154"/>
        <v>0</v>
      </c>
      <c r="X56" s="10">
        <f t="shared" si="154"/>
        <v>0</v>
      </c>
      <c r="Y56" s="10">
        <f t="shared" si="154"/>
        <v>0</v>
      </c>
      <c r="Z56" s="10">
        <f t="shared" si="154"/>
        <v>0</v>
      </c>
      <c r="AA56" s="10">
        <f t="shared" si="154"/>
        <v>0</v>
      </c>
      <c r="AB56" s="10">
        <f t="shared" si="154"/>
        <v>0</v>
      </c>
      <c r="AC56" s="10">
        <f t="shared" si="154"/>
        <v>0</v>
      </c>
      <c r="AD56" s="10">
        <f t="shared" si="154"/>
        <v>0</v>
      </c>
      <c r="AE56" s="10">
        <f t="shared" si="154"/>
        <v>0</v>
      </c>
      <c r="AF56" s="10">
        <f t="shared" si="154"/>
        <v>0</v>
      </c>
      <c r="AG56" s="10">
        <f t="shared" si="154"/>
        <v>0</v>
      </c>
      <c r="AH56" s="10">
        <f t="shared" si="154"/>
        <v>0</v>
      </c>
      <c r="AI56" s="10">
        <f t="shared" si="154"/>
        <v>0</v>
      </c>
      <c r="AJ56" s="10">
        <f t="shared" si="154"/>
        <v>0</v>
      </c>
      <c r="AK56" s="10">
        <f t="shared" si="154"/>
        <v>0</v>
      </c>
      <c r="AL56" s="10">
        <f t="shared" si="154"/>
        <v>0</v>
      </c>
      <c r="AM56" s="10">
        <f t="shared" si="154"/>
        <v>0</v>
      </c>
      <c r="AN56" s="10">
        <f t="shared" si="154"/>
        <v>0</v>
      </c>
      <c r="AO56" s="10">
        <f t="shared" si="154"/>
        <v>0</v>
      </c>
      <c r="AP56" s="10">
        <f t="shared" si="154"/>
        <v>0</v>
      </c>
      <c r="AQ56" s="10">
        <f t="shared" si="154"/>
        <v>0</v>
      </c>
      <c r="AR56" s="10">
        <f t="shared" ref="AR56:BW56" si="155">Flag_Forecast*(AS54=0)</f>
        <v>0</v>
      </c>
      <c r="AS56" s="10">
        <f t="shared" si="155"/>
        <v>0</v>
      </c>
      <c r="AT56" s="10">
        <f t="shared" si="155"/>
        <v>0</v>
      </c>
      <c r="AU56" s="10">
        <f t="shared" si="155"/>
        <v>0</v>
      </c>
      <c r="AV56" s="10">
        <f t="shared" si="155"/>
        <v>0</v>
      </c>
      <c r="AW56" s="10">
        <f t="shared" si="155"/>
        <v>0</v>
      </c>
      <c r="AX56" s="10">
        <f t="shared" si="155"/>
        <v>0</v>
      </c>
      <c r="AY56" s="10">
        <f t="shared" si="155"/>
        <v>0</v>
      </c>
      <c r="AZ56" s="10">
        <f t="shared" si="155"/>
        <v>0</v>
      </c>
      <c r="BA56" s="10">
        <f t="shared" si="155"/>
        <v>0</v>
      </c>
      <c r="BB56" s="10">
        <f t="shared" si="155"/>
        <v>0</v>
      </c>
      <c r="BC56" s="10">
        <f t="shared" si="155"/>
        <v>0</v>
      </c>
      <c r="BD56" s="10">
        <f t="shared" si="155"/>
        <v>0</v>
      </c>
      <c r="BE56" s="10">
        <f t="shared" si="155"/>
        <v>0</v>
      </c>
      <c r="BF56" s="10">
        <f t="shared" si="155"/>
        <v>0</v>
      </c>
      <c r="BG56" s="10">
        <f t="shared" si="155"/>
        <v>0</v>
      </c>
      <c r="BH56" s="10">
        <f t="shared" si="155"/>
        <v>0</v>
      </c>
      <c r="BI56" s="10">
        <f t="shared" si="155"/>
        <v>0</v>
      </c>
      <c r="BJ56" s="10">
        <f t="shared" si="155"/>
        <v>0</v>
      </c>
      <c r="BK56" s="10">
        <f t="shared" si="155"/>
        <v>0</v>
      </c>
      <c r="BL56" s="10">
        <f t="shared" si="155"/>
        <v>0</v>
      </c>
      <c r="BM56" s="10">
        <f t="shared" si="155"/>
        <v>0</v>
      </c>
      <c r="BN56" s="10">
        <f t="shared" si="155"/>
        <v>0</v>
      </c>
      <c r="BO56" s="10">
        <f t="shared" si="155"/>
        <v>0</v>
      </c>
      <c r="BP56" s="10">
        <f t="shared" si="155"/>
        <v>0</v>
      </c>
      <c r="BQ56" s="10">
        <f t="shared" si="155"/>
        <v>0</v>
      </c>
      <c r="BR56" s="10">
        <f t="shared" si="155"/>
        <v>0</v>
      </c>
      <c r="BS56" s="10">
        <f t="shared" si="155"/>
        <v>0</v>
      </c>
      <c r="BT56" s="10">
        <f t="shared" si="155"/>
        <v>0</v>
      </c>
      <c r="BU56" s="10">
        <f t="shared" si="155"/>
        <v>0</v>
      </c>
      <c r="BV56" s="10">
        <f t="shared" si="155"/>
        <v>0</v>
      </c>
      <c r="BW56" s="10">
        <f t="shared" si="155"/>
        <v>0</v>
      </c>
      <c r="BX56" s="10">
        <f t="shared" ref="BX56:CO56" si="156">Flag_Forecast*(BY54=0)</f>
        <v>0</v>
      </c>
      <c r="BY56" s="10">
        <f t="shared" si="156"/>
        <v>0</v>
      </c>
      <c r="BZ56" s="10">
        <f t="shared" si="156"/>
        <v>0</v>
      </c>
      <c r="CA56" s="10">
        <f t="shared" si="156"/>
        <v>0</v>
      </c>
      <c r="CB56" s="10">
        <f t="shared" si="156"/>
        <v>0</v>
      </c>
      <c r="CC56" s="10">
        <f t="shared" si="156"/>
        <v>0</v>
      </c>
      <c r="CD56" s="10">
        <f t="shared" si="156"/>
        <v>0</v>
      </c>
      <c r="CE56" s="10">
        <f t="shared" si="156"/>
        <v>0</v>
      </c>
      <c r="CF56" s="10">
        <f t="shared" si="156"/>
        <v>0</v>
      </c>
      <c r="CG56" s="10">
        <f t="shared" si="156"/>
        <v>0</v>
      </c>
      <c r="CH56" s="10">
        <f t="shared" si="156"/>
        <v>0</v>
      </c>
      <c r="CI56" s="10">
        <f t="shared" si="156"/>
        <v>0</v>
      </c>
      <c r="CJ56" s="10">
        <f t="shared" si="156"/>
        <v>0</v>
      </c>
      <c r="CK56" s="10">
        <f t="shared" si="156"/>
        <v>0</v>
      </c>
      <c r="CL56" s="10">
        <f t="shared" si="156"/>
        <v>0</v>
      </c>
      <c r="CM56" s="10">
        <f t="shared" si="156"/>
        <v>0</v>
      </c>
      <c r="CN56" s="10">
        <f t="shared" si="156"/>
        <v>0</v>
      </c>
      <c r="CO56" s="10">
        <f t="shared" si="156"/>
        <v>1</v>
      </c>
    </row>
    <row r="57" spans="1:93">
      <c r="A57" s="10"/>
      <c r="B57" s="10"/>
      <c r="C57" s="17" t="s">
        <v>454</v>
      </c>
      <c r="D57" s="10"/>
      <c r="E57" s="10"/>
      <c r="F57" s="62" t="s">
        <v>1186</v>
      </c>
      <c r="G57" s="11" t="str">
        <f t="shared" si="143"/>
        <v>1..1</v>
      </c>
      <c r="H57" s="10"/>
      <c r="I57" s="23">
        <f t="shared" si="144"/>
        <v>82</v>
      </c>
      <c r="J57" s="10"/>
      <c r="K57" s="10"/>
      <c r="L57" s="10">
        <f t="shared" ref="L57:AQ57" si="157">MIN(Flag_Construction+Flag_Operations,1)</f>
        <v>1</v>
      </c>
      <c r="M57" s="10">
        <f t="shared" si="157"/>
        <v>1</v>
      </c>
      <c r="N57" s="10">
        <f t="shared" si="157"/>
        <v>1</v>
      </c>
      <c r="O57" s="10">
        <f t="shared" si="157"/>
        <v>1</v>
      </c>
      <c r="P57" s="10">
        <f t="shared" si="157"/>
        <v>1</v>
      </c>
      <c r="Q57" s="10">
        <f t="shared" si="157"/>
        <v>1</v>
      </c>
      <c r="R57" s="10">
        <f t="shared" si="157"/>
        <v>1</v>
      </c>
      <c r="S57" s="10">
        <f t="shared" si="157"/>
        <v>1</v>
      </c>
      <c r="T57" s="10">
        <f t="shared" si="157"/>
        <v>1</v>
      </c>
      <c r="U57" s="10">
        <f t="shared" si="157"/>
        <v>1</v>
      </c>
      <c r="V57" s="10">
        <f t="shared" si="157"/>
        <v>1</v>
      </c>
      <c r="W57" s="10">
        <f t="shared" si="157"/>
        <v>1</v>
      </c>
      <c r="X57" s="10">
        <f t="shared" si="157"/>
        <v>1</v>
      </c>
      <c r="Y57" s="10">
        <f t="shared" si="157"/>
        <v>1</v>
      </c>
      <c r="Z57" s="10">
        <f t="shared" si="157"/>
        <v>1</v>
      </c>
      <c r="AA57" s="10">
        <f t="shared" si="157"/>
        <v>1</v>
      </c>
      <c r="AB57" s="10">
        <f t="shared" si="157"/>
        <v>1</v>
      </c>
      <c r="AC57" s="10">
        <f t="shared" si="157"/>
        <v>1</v>
      </c>
      <c r="AD57" s="10">
        <f t="shared" si="157"/>
        <v>1</v>
      </c>
      <c r="AE57" s="10">
        <f t="shared" si="157"/>
        <v>1</v>
      </c>
      <c r="AF57" s="10">
        <f t="shared" si="157"/>
        <v>1</v>
      </c>
      <c r="AG57" s="10">
        <f t="shared" si="157"/>
        <v>1</v>
      </c>
      <c r="AH57" s="10">
        <f t="shared" si="157"/>
        <v>1</v>
      </c>
      <c r="AI57" s="10">
        <f t="shared" si="157"/>
        <v>1</v>
      </c>
      <c r="AJ57" s="10">
        <f t="shared" si="157"/>
        <v>1</v>
      </c>
      <c r="AK57" s="10">
        <f t="shared" si="157"/>
        <v>1</v>
      </c>
      <c r="AL57" s="10">
        <f t="shared" si="157"/>
        <v>1</v>
      </c>
      <c r="AM57" s="10">
        <f t="shared" si="157"/>
        <v>1</v>
      </c>
      <c r="AN57" s="10">
        <f t="shared" si="157"/>
        <v>1</v>
      </c>
      <c r="AO57" s="10">
        <f t="shared" si="157"/>
        <v>1</v>
      </c>
      <c r="AP57" s="10">
        <f t="shared" si="157"/>
        <v>1</v>
      </c>
      <c r="AQ57" s="10">
        <f t="shared" si="157"/>
        <v>1</v>
      </c>
      <c r="AR57" s="10">
        <f t="shared" ref="AR57:BW57" si="158">MIN(Flag_Construction+Flag_Operations,1)</f>
        <v>1</v>
      </c>
      <c r="AS57" s="10">
        <f t="shared" si="158"/>
        <v>1</v>
      </c>
      <c r="AT57" s="10">
        <f t="shared" si="158"/>
        <v>1</v>
      </c>
      <c r="AU57" s="10">
        <f t="shared" si="158"/>
        <v>1</v>
      </c>
      <c r="AV57" s="10">
        <f t="shared" si="158"/>
        <v>1</v>
      </c>
      <c r="AW57" s="10">
        <f t="shared" si="158"/>
        <v>1</v>
      </c>
      <c r="AX57" s="10">
        <f t="shared" si="158"/>
        <v>1</v>
      </c>
      <c r="AY57" s="10">
        <f t="shared" si="158"/>
        <v>1</v>
      </c>
      <c r="AZ57" s="10">
        <f t="shared" si="158"/>
        <v>1</v>
      </c>
      <c r="BA57" s="10">
        <f t="shared" si="158"/>
        <v>1</v>
      </c>
      <c r="BB57" s="10">
        <f t="shared" si="158"/>
        <v>1</v>
      </c>
      <c r="BC57" s="10">
        <f t="shared" si="158"/>
        <v>1</v>
      </c>
      <c r="BD57" s="10">
        <f t="shared" si="158"/>
        <v>1</v>
      </c>
      <c r="BE57" s="10">
        <f t="shared" si="158"/>
        <v>1</v>
      </c>
      <c r="BF57" s="10">
        <f t="shared" si="158"/>
        <v>1</v>
      </c>
      <c r="BG57" s="10">
        <f t="shared" si="158"/>
        <v>1</v>
      </c>
      <c r="BH57" s="10">
        <f t="shared" si="158"/>
        <v>1</v>
      </c>
      <c r="BI57" s="10">
        <f t="shared" si="158"/>
        <v>1</v>
      </c>
      <c r="BJ57" s="10">
        <f t="shared" si="158"/>
        <v>1</v>
      </c>
      <c r="BK57" s="10">
        <f t="shared" si="158"/>
        <v>1</v>
      </c>
      <c r="BL57" s="10">
        <f t="shared" si="158"/>
        <v>1</v>
      </c>
      <c r="BM57" s="10">
        <f t="shared" si="158"/>
        <v>1</v>
      </c>
      <c r="BN57" s="10">
        <f t="shared" si="158"/>
        <v>1</v>
      </c>
      <c r="BO57" s="10">
        <f t="shared" si="158"/>
        <v>1</v>
      </c>
      <c r="BP57" s="10">
        <f t="shared" si="158"/>
        <v>1</v>
      </c>
      <c r="BQ57" s="10">
        <f t="shared" si="158"/>
        <v>1</v>
      </c>
      <c r="BR57" s="10">
        <f t="shared" si="158"/>
        <v>1</v>
      </c>
      <c r="BS57" s="10">
        <f t="shared" si="158"/>
        <v>1</v>
      </c>
      <c r="BT57" s="10">
        <f t="shared" si="158"/>
        <v>1</v>
      </c>
      <c r="BU57" s="10">
        <f t="shared" si="158"/>
        <v>1</v>
      </c>
      <c r="BV57" s="10">
        <f t="shared" si="158"/>
        <v>1</v>
      </c>
      <c r="BW57" s="10">
        <f t="shared" si="158"/>
        <v>1</v>
      </c>
      <c r="BX57" s="10">
        <f t="shared" ref="BX57:CO57" si="159">MIN(Flag_Construction+Flag_Operations,1)</f>
        <v>1</v>
      </c>
      <c r="BY57" s="10">
        <f t="shared" si="159"/>
        <v>1</v>
      </c>
      <c r="BZ57" s="10">
        <f t="shared" si="159"/>
        <v>1</v>
      </c>
      <c r="CA57" s="10">
        <f t="shared" si="159"/>
        <v>1</v>
      </c>
      <c r="CB57" s="10">
        <f t="shared" si="159"/>
        <v>1</v>
      </c>
      <c r="CC57" s="10">
        <f t="shared" si="159"/>
        <v>1</v>
      </c>
      <c r="CD57" s="10">
        <f t="shared" si="159"/>
        <v>1</v>
      </c>
      <c r="CE57" s="10">
        <f t="shared" si="159"/>
        <v>1</v>
      </c>
      <c r="CF57" s="10">
        <f t="shared" si="159"/>
        <v>1</v>
      </c>
      <c r="CG57" s="10">
        <f t="shared" si="159"/>
        <v>1</v>
      </c>
      <c r="CH57" s="10">
        <f t="shared" si="159"/>
        <v>1</v>
      </c>
      <c r="CI57" s="10">
        <f t="shared" si="159"/>
        <v>1</v>
      </c>
      <c r="CJ57" s="10">
        <f t="shared" si="159"/>
        <v>1</v>
      </c>
      <c r="CK57" s="10">
        <f t="shared" si="159"/>
        <v>1</v>
      </c>
      <c r="CL57" s="10">
        <f t="shared" si="159"/>
        <v>1</v>
      </c>
      <c r="CM57" s="10">
        <f t="shared" si="159"/>
        <v>1</v>
      </c>
      <c r="CN57" s="10">
        <f t="shared" si="159"/>
        <v>1</v>
      </c>
      <c r="CO57" s="10">
        <f t="shared" si="159"/>
        <v>1</v>
      </c>
    </row>
    <row r="58" spans="1:93">
      <c r="A58" s="10"/>
      <c r="B58" s="10"/>
      <c r="C58" s="17" t="s">
        <v>1184</v>
      </c>
      <c r="D58" s="10"/>
      <c r="E58" s="10"/>
      <c r="F58" s="62" t="s">
        <v>1185</v>
      </c>
      <c r="G58" s="11" t="str">
        <f t="shared" si="143"/>
        <v>0..1</v>
      </c>
      <c r="H58" s="10"/>
      <c r="I58" s="23">
        <f t="shared" si="144"/>
        <v>17</v>
      </c>
      <c r="J58" s="10"/>
      <c r="K58" s="10"/>
      <c r="L58" s="10">
        <f t="shared" ref="L58:AQ58" si="160">MIN(Flag_Historical+Flag_Construction,1)</f>
        <v>1</v>
      </c>
      <c r="M58" s="10">
        <f t="shared" si="160"/>
        <v>1</v>
      </c>
      <c r="N58" s="10">
        <f t="shared" si="160"/>
        <v>1</v>
      </c>
      <c r="O58" s="10">
        <f t="shared" si="160"/>
        <v>1</v>
      </c>
      <c r="P58" s="10">
        <f t="shared" si="160"/>
        <v>1</v>
      </c>
      <c r="Q58" s="10">
        <f t="shared" si="160"/>
        <v>1</v>
      </c>
      <c r="R58" s="10">
        <f t="shared" si="160"/>
        <v>1</v>
      </c>
      <c r="S58" s="10">
        <f t="shared" si="160"/>
        <v>1</v>
      </c>
      <c r="T58" s="10">
        <f t="shared" si="160"/>
        <v>1</v>
      </c>
      <c r="U58" s="10">
        <f t="shared" si="160"/>
        <v>1</v>
      </c>
      <c r="V58" s="10">
        <f t="shared" si="160"/>
        <v>1</v>
      </c>
      <c r="W58" s="10">
        <f t="shared" si="160"/>
        <v>1</v>
      </c>
      <c r="X58" s="10">
        <f t="shared" si="160"/>
        <v>1</v>
      </c>
      <c r="Y58" s="10">
        <f t="shared" si="160"/>
        <v>1</v>
      </c>
      <c r="Z58" s="10">
        <f t="shared" si="160"/>
        <v>1</v>
      </c>
      <c r="AA58" s="10">
        <f t="shared" si="160"/>
        <v>1</v>
      </c>
      <c r="AB58" s="10">
        <f t="shared" si="160"/>
        <v>1</v>
      </c>
      <c r="AC58" s="10">
        <f t="shared" si="160"/>
        <v>0</v>
      </c>
      <c r="AD58" s="10">
        <f t="shared" si="160"/>
        <v>0</v>
      </c>
      <c r="AE58" s="10">
        <f t="shared" si="160"/>
        <v>0</v>
      </c>
      <c r="AF58" s="10">
        <f t="shared" si="160"/>
        <v>0</v>
      </c>
      <c r="AG58" s="10">
        <f t="shared" si="160"/>
        <v>0</v>
      </c>
      <c r="AH58" s="10">
        <f t="shared" si="160"/>
        <v>0</v>
      </c>
      <c r="AI58" s="10">
        <f t="shared" si="160"/>
        <v>0</v>
      </c>
      <c r="AJ58" s="10">
        <f t="shared" si="160"/>
        <v>0</v>
      </c>
      <c r="AK58" s="10">
        <f t="shared" si="160"/>
        <v>0</v>
      </c>
      <c r="AL58" s="10">
        <f t="shared" si="160"/>
        <v>0</v>
      </c>
      <c r="AM58" s="10">
        <f t="shared" si="160"/>
        <v>0</v>
      </c>
      <c r="AN58" s="10">
        <f t="shared" si="160"/>
        <v>0</v>
      </c>
      <c r="AO58" s="10">
        <f t="shared" si="160"/>
        <v>0</v>
      </c>
      <c r="AP58" s="10">
        <f t="shared" si="160"/>
        <v>0</v>
      </c>
      <c r="AQ58" s="10">
        <f t="shared" si="160"/>
        <v>0</v>
      </c>
      <c r="AR58" s="10">
        <f t="shared" ref="AR58:BW58" si="161">MIN(Flag_Historical+Flag_Construction,1)</f>
        <v>0</v>
      </c>
      <c r="AS58" s="10">
        <f t="shared" si="161"/>
        <v>0</v>
      </c>
      <c r="AT58" s="10">
        <f t="shared" si="161"/>
        <v>0</v>
      </c>
      <c r="AU58" s="10">
        <f t="shared" si="161"/>
        <v>0</v>
      </c>
      <c r="AV58" s="10">
        <f t="shared" si="161"/>
        <v>0</v>
      </c>
      <c r="AW58" s="10">
        <f t="shared" si="161"/>
        <v>0</v>
      </c>
      <c r="AX58" s="10">
        <f t="shared" si="161"/>
        <v>0</v>
      </c>
      <c r="AY58" s="10">
        <f t="shared" si="161"/>
        <v>0</v>
      </c>
      <c r="AZ58" s="10">
        <f t="shared" si="161"/>
        <v>0</v>
      </c>
      <c r="BA58" s="10">
        <f t="shared" si="161"/>
        <v>0</v>
      </c>
      <c r="BB58" s="10">
        <f t="shared" si="161"/>
        <v>0</v>
      </c>
      <c r="BC58" s="10">
        <f t="shared" si="161"/>
        <v>0</v>
      </c>
      <c r="BD58" s="10">
        <f t="shared" si="161"/>
        <v>0</v>
      </c>
      <c r="BE58" s="10">
        <f t="shared" si="161"/>
        <v>0</v>
      </c>
      <c r="BF58" s="10">
        <f t="shared" si="161"/>
        <v>0</v>
      </c>
      <c r="BG58" s="10">
        <f t="shared" si="161"/>
        <v>0</v>
      </c>
      <c r="BH58" s="10">
        <f t="shared" si="161"/>
        <v>0</v>
      </c>
      <c r="BI58" s="10">
        <f t="shared" si="161"/>
        <v>0</v>
      </c>
      <c r="BJ58" s="10">
        <f t="shared" si="161"/>
        <v>0</v>
      </c>
      <c r="BK58" s="10">
        <f t="shared" si="161"/>
        <v>0</v>
      </c>
      <c r="BL58" s="10">
        <f t="shared" si="161"/>
        <v>0</v>
      </c>
      <c r="BM58" s="10">
        <f t="shared" si="161"/>
        <v>0</v>
      </c>
      <c r="BN58" s="10">
        <f t="shared" si="161"/>
        <v>0</v>
      </c>
      <c r="BO58" s="10">
        <f t="shared" si="161"/>
        <v>0</v>
      </c>
      <c r="BP58" s="10">
        <f t="shared" si="161"/>
        <v>0</v>
      </c>
      <c r="BQ58" s="10">
        <f t="shared" si="161"/>
        <v>0</v>
      </c>
      <c r="BR58" s="10">
        <f t="shared" si="161"/>
        <v>0</v>
      </c>
      <c r="BS58" s="10">
        <f t="shared" si="161"/>
        <v>0</v>
      </c>
      <c r="BT58" s="10">
        <f t="shared" si="161"/>
        <v>0</v>
      </c>
      <c r="BU58" s="10">
        <f t="shared" si="161"/>
        <v>0</v>
      </c>
      <c r="BV58" s="10">
        <f t="shared" si="161"/>
        <v>0</v>
      </c>
      <c r="BW58" s="10">
        <f t="shared" si="161"/>
        <v>0</v>
      </c>
      <c r="BX58" s="10">
        <f t="shared" ref="BX58:CO58" si="162">MIN(Flag_Historical+Flag_Construction,1)</f>
        <v>0</v>
      </c>
      <c r="BY58" s="10">
        <f t="shared" si="162"/>
        <v>0</v>
      </c>
      <c r="BZ58" s="10">
        <f t="shared" si="162"/>
        <v>0</v>
      </c>
      <c r="CA58" s="10">
        <f t="shared" si="162"/>
        <v>0</v>
      </c>
      <c r="CB58" s="10">
        <f t="shared" si="162"/>
        <v>0</v>
      </c>
      <c r="CC58" s="10">
        <f t="shared" si="162"/>
        <v>0</v>
      </c>
      <c r="CD58" s="10">
        <f t="shared" si="162"/>
        <v>0</v>
      </c>
      <c r="CE58" s="10">
        <f t="shared" si="162"/>
        <v>0</v>
      </c>
      <c r="CF58" s="10">
        <f t="shared" si="162"/>
        <v>0</v>
      </c>
      <c r="CG58" s="10">
        <f t="shared" si="162"/>
        <v>0</v>
      </c>
      <c r="CH58" s="10">
        <f t="shared" si="162"/>
        <v>0</v>
      </c>
      <c r="CI58" s="10">
        <f t="shared" si="162"/>
        <v>0</v>
      </c>
      <c r="CJ58" s="10">
        <f t="shared" si="162"/>
        <v>0</v>
      </c>
      <c r="CK58" s="10">
        <f t="shared" si="162"/>
        <v>0</v>
      </c>
      <c r="CL58" s="10">
        <f t="shared" si="162"/>
        <v>0</v>
      </c>
      <c r="CM58" s="10">
        <f t="shared" si="162"/>
        <v>0</v>
      </c>
      <c r="CN58" s="10">
        <f t="shared" si="162"/>
        <v>0</v>
      </c>
      <c r="CO58" s="10">
        <f t="shared" si="162"/>
        <v>0</v>
      </c>
    </row>
    <row r="59" spans="1:93">
      <c r="A59" s="10"/>
      <c r="B59" s="10"/>
      <c r="C59" s="17"/>
      <c r="D59" s="10"/>
      <c r="E59" s="10"/>
      <c r="F59" s="10"/>
      <c r="G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>
      <c r="A60" s="10"/>
      <c r="B60" s="10"/>
      <c r="C60" s="17" t="s">
        <v>837</v>
      </c>
      <c r="D60" s="10"/>
      <c r="E60" s="10"/>
      <c r="F60" s="10"/>
      <c r="G60" s="11" t="str">
        <f>MIN(L60:CO60) &amp; ".." &amp; MAX(L60:CO60)</f>
        <v>0..1</v>
      </c>
      <c r="H60" s="10"/>
      <c r="I60" s="23">
        <f>SUM(L60:CO60)</f>
        <v>1</v>
      </c>
      <c r="J60" s="10"/>
      <c r="K60" s="10"/>
      <c r="L60" s="10">
        <f t="shared" ref="L60:AQ60" si="163">(K29&lt;L29)*(L29=1)</f>
        <v>1</v>
      </c>
      <c r="M60" s="10">
        <f t="shared" si="163"/>
        <v>0</v>
      </c>
      <c r="N60" s="10">
        <f t="shared" si="163"/>
        <v>0</v>
      </c>
      <c r="O60" s="10">
        <f t="shared" si="163"/>
        <v>0</v>
      </c>
      <c r="P60" s="10">
        <f t="shared" si="163"/>
        <v>0</v>
      </c>
      <c r="Q60" s="10">
        <f t="shared" si="163"/>
        <v>0</v>
      </c>
      <c r="R60" s="10">
        <f t="shared" si="163"/>
        <v>0</v>
      </c>
      <c r="S60" s="10">
        <f t="shared" si="163"/>
        <v>0</v>
      </c>
      <c r="T60" s="10">
        <f t="shared" si="163"/>
        <v>0</v>
      </c>
      <c r="U60" s="10">
        <f t="shared" si="163"/>
        <v>0</v>
      </c>
      <c r="V60" s="10">
        <f t="shared" si="163"/>
        <v>0</v>
      </c>
      <c r="W60" s="10">
        <f t="shared" si="163"/>
        <v>0</v>
      </c>
      <c r="X60" s="10">
        <f t="shared" si="163"/>
        <v>0</v>
      </c>
      <c r="Y60" s="10">
        <f t="shared" si="163"/>
        <v>0</v>
      </c>
      <c r="Z60" s="10">
        <f t="shared" si="163"/>
        <v>0</v>
      </c>
      <c r="AA60" s="10">
        <f t="shared" si="163"/>
        <v>0</v>
      </c>
      <c r="AB60" s="10">
        <f t="shared" si="163"/>
        <v>0</v>
      </c>
      <c r="AC60" s="10">
        <f t="shared" si="163"/>
        <v>0</v>
      </c>
      <c r="AD60" s="10">
        <f t="shared" si="163"/>
        <v>0</v>
      </c>
      <c r="AE60" s="10">
        <f t="shared" si="163"/>
        <v>0</v>
      </c>
      <c r="AF60" s="10">
        <f t="shared" si="163"/>
        <v>0</v>
      </c>
      <c r="AG60" s="10">
        <f t="shared" si="163"/>
        <v>0</v>
      </c>
      <c r="AH60" s="10">
        <f t="shared" si="163"/>
        <v>0</v>
      </c>
      <c r="AI60" s="10">
        <f t="shared" si="163"/>
        <v>0</v>
      </c>
      <c r="AJ60" s="10">
        <f t="shared" si="163"/>
        <v>0</v>
      </c>
      <c r="AK60" s="10">
        <f t="shared" si="163"/>
        <v>0</v>
      </c>
      <c r="AL60" s="10">
        <f t="shared" si="163"/>
        <v>0</v>
      </c>
      <c r="AM60" s="10">
        <f t="shared" si="163"/>
        <v>0</v>
      </c>
      <c r="AN60" s="10">
        <f t="shared" si="163"/>
        <v>0</v>
      </c>
      <c r="AO60" s="10">
        <f t="shared" si="163"/>
        <v>0</v>
      </c>
      <c r="AP60" s="10">
        <f t="shared" si="163"/>
        <v>0</v>
      </c>
      <c r="AQ60" s="10">
        <f t="shared" si="163"/>
        <v>0</v>
      </c>
      <c r="AR60" s="10">
        <f t="shared" ref="AR60:BW60" si="164">(AQ29&lt;AR29)*(AR29=1)</f>
        <v>0</v>
      </c>
      <c r="AS60" s="10">
        <f t="shared" si="164"/>
        <v>0</v>
      </c>
      <c r="AT60" s="10">
        <f t="shared" si="164"/>
        <v>0</v>
      </c>
      <c r="AU60" s="10">
        <f t="shared" si="164"/>
        <v>0</v>
      </c>
      <c r="AV60" s="10">
        <f t="shared" si="164"/>
        <v>0</v>
      </c>
      <c r="AW60" s="10">
        <f t="shared" si="164"/>
        <v>0</v>
      </c>
      <c r="AX60" s="10">
        <f t="shared" si="164"/>
        <v>0</v>
      </c>
      <c r="AY60" s="10">
        <f t="shared" si="164"/>
        <v>0</v>
      </c>
      <c r="AZ60" s="10">
        <f t="shared" si="164"/>
        <v>0</v>
      </c>
      <c r="BA60" s="10">
        <f t="shared" si="164"/>
        <v>0</v>
      </c>
      <c r="BB60" s="10">
        <f t="shared" si="164"/>
        <v>0</v>
      </c>
      <c r="BC60" s="10">
        <f t="shared" si="164"/>
        <v>0</v>
      </c>
      <c r="BD60" s="10">
        <f t="shared" si="164"/>
        <v>0</v>
      </c>
      <c r="BE60" s="10">
        <f t="shared" si="164"/>
        <v>0</v>
      </c>
      <c r="BF60" s="10">
        <f t="shared" si="164"/>
        <v>0</v>
      </c>
      <c r="BG60" s="10">
        <f t="shared" si="164"/>
        <v>0</v>
      </c>
      <c r="BH60" s="10">
        <f t="shared" si="164"/>
        <v>0</v>
      </c>
      <c r="BI60" s="10">
        <f t="shared" si="164"/>
        <v>0</v>
      </c>
      <c r="BJ60" s="10">
        <f t="shared" si="164"/>
        <v>0</v>
      </c>
      <c r="BK60" s="10">
        <f t="shared" si="164"/>
        <v>0</v>
      </c>
      <c r="BL60" s="10">
        <f t="shared" si="164"/>
        <v>0</v>
      </c>
      <c r="BM60" s="10">
        <f t="shared" si="164"/>
        <v>0</v>
      </c>
      <c r="BN60" s="10">
        <f t="shared" si="164"/>
        <v>0</v>
      </c>
      <c r="BO60" s="10">
        <f t="shared" si="164"/>
        <v>0</v>
      </c>
      <c r="BP60" s="10">
        <f t="shared" si="164"/>
        <v>0</v>
      </c>
      <c r="BQ60" s="10">
        <f t="shared" si="164"/>
        <v>0</v>
      </c>
      <c r="BR60" s="10">
        <f t="shared" si="164"/>
        <v>0</v>
      </c>
      <c r="BS60" s="10">
        <f t="shared" si="164"/>
        <v>0</v>
      </c>
      <c r="BT60" s="10">
        <f t="shared" si="164"/>
        <v>0</v>
      </c>
      <c r="BU60" s="10">
        <f t="shared" si="164"/>
        <v>0</v>
      </c>
      <c r="BV60" s="10">
        <f t="shared" si="164"/>
        <v>0</v>
      </c>
      <c r="BW60" s="10">
        <f t="shared" si="164"/>
        <v>0</v>
      </c>
      <c r="BX60" s="10">
        <f t="shared" ref="BX60:CO60" si="165">(BW29&lt;BX29)*(BX29=1)</f>
        <v>0</v>
      </c>
      <c r="BY60" s="10">
        <f t="shared" si="165"/>
        <v>0</v>
      </c>
      <c r="BZ60" s="10">
        <f t="shared" si="165"/>
        <v>0</v>
      </c>
      <c r="CA60" s="10">
        <f t="shared" si="165"/>
        <v>0</v>
      </c>
      <c r="CB60" s="10">
        <f t="shared" si="165"/>
        <v>0</v>
      </c>
      <c r="CC60" s="10">
        <f t="shared" si="165"/>
        <v>0</v>
      </c>
      <c r="CD60" s="10">
        <f t="shared" si="165"/>
        <v>0</v>
      </c>
      <c r="CE60" s="10">
        <f t="shared" si="165"/>
        <v>0</v>
      </c>
      <c r="CF60" s="10">
        <f t="shared" si="165"/>
        <v>0</v>
      </c>
      <c r="CG60" s="10">
        <f t="shared" si="165"/>
        <v>0</v>
      </c>
      <c r="CH60" s="10">
        <f t="shared" si="165"/>
        <v>0</v>
      </c>
      <c r="CI60" s="10">
        <f t="shared" si="165"/>
        <v>0</v>
      </c>
      <c r="CJ60" s="10">
        <f t="shared" si="165"/>
        <v>0</v>
      </c>
      <c r="CK60" s="10">
        <f t="shared" si="165"/>
        <v>0</v>
      </c>
      <c r="CL60" s="10">
        <f t="shared" si="165"/>
        <v>0</v>
      </c>
      <c r="CM60" s="10">
        <f t="shared" si="165"/>
        <v>0</v>
      </c>
      <c r="CN60" s="10">
        <f t="shared" si="165"/>
        <v>0</v>
      </c>
      <c r="CO60" s="10">
        <f t="shared" si="165"/>
        <v>0</v>
      </c>
    </row>
    <row r="61" spans="1:93">
      <c r="A61" s="10"/>
      <c r="B61" s="10"/>
      <c r="C61" s="17" t="s">
        <v>838</v>
      </c>
      <c r="D61" s="10"/>
      <c r="E61" s="10"/>
      <c r="F61" s="10"/>
      <c r="G61" s="11" t="str">
        <f>MIN(L61:CO61) &amp; ".." &amp; MAX(L61:CO61)</f>
        <v>0..1</v>
      </c>
      <c r="H61" s="10"/>
      <c r="I61" s="23">
        <f>SUM(L61:CO61)</f>
        <v>1</v>
      </c>
      <c r="J61" s="10"/>
      <c r="K61" s="10"/>
      <c r="L61" s="10">
        <f t="shared" ref="L61:AQ61" si="166">(L29&lt;&gt;M29)*(L29=1)</f>
        <v>0</v>
      </c>
      <c r="M61" s="10">
        <f t="shared" si="166"/>
        <v>0</v>
      </c>
      <c r="N61" s="10">
        <f t="shared" si="166"/>
        <v>0</v>
      </c>
      <c r="O61" s="10">
        <f t="shared" si="166"/>
        <v>0</v>
      </c>
      <c r="P61" s="10">
        <f t="shared" si="166"/>
        <v>0</v>
      </c>
      <c r="Q61" s="10">
        <f t="shared" si="166"/>
        <v>0</v>
      </c>
      <c r="R61" s="10">
        <f t="shared" si="166"/>
        <v>0</v>
      </c>
      <c r="S61" s="10">
        <f t="shared" si="166"/>
        <v>0</v>
      </c>
      <c r="T61" s="10">
        <f t="shared" si="166"/>
        <v>0</v>
      </c>
      <c r="U61" s="10">
        <f t="shared" si="166"/>
        <v>0</v>
      </c>
      <c r="V61" s="10">
        <f t="shared" si="166"/>
        <v>0</v>
      </c>
      <c r="W61" s="10">
        <f t="shared" si="166"/>
        <v>0</v>
      </c>
      <c r="X61" s="10">
        <f t="shared" si="166"/>
        <v>0</v>
      </c>
      <c r="Y61" s="10">
        <f t="shared" si="166"/>
        <v>0</v>
      </c>
      <c r="Z61" s="10">
        <f t="shared" si="166"/>
        <v>0</v>
      </c>
      <c r="AA61" s="10">
        <f t="shared" si="166"/>
        <v>0</v>
      </c>
      <c r="AB61" s="10">
        <f t="shared" si="166"/>
        <v>1</v>
      </c>
      <c r="AC61" s="10">
        <f t="shared" si="166"/>
        <v>0</v>
      </c>
      <c r="AD61" s="10">
        <f t="shared" si="166"/>
        <v>0</v>
      </c>
      <c r="AE61" s="10">
        <f t="shared" si="166"/>
        <v>0</v>
      </c>
      <c r="AF61" s="10">
        <f t="shared" si="166"/>
        <v>0</v>
      </c>
      <c r="AG61" s="10">
        <f t="shared" si="166"/>
        <v>0</v>
      </c>
      <c r="AH61" s="10">
        <f t="shared" si="166"/>
        <v>0</v>
      </c>
      <c r="AI61" s="10">
        <f t="shared" si="166"/>
        <v>0</v>
      </c>
      <c r="AJ61" s="10">
        <f t="shared" si="166"/>
        <v>0</v>
      </c>
      <c r="AK61" s="10">
        <f t="shared" si="166"/>
        <v>0</v>
      </c>
      <c r="AL61" s="10">
        <f t="shared" si="166"/>
        <v>0</v>
      </c>
      <c r="AM61" s="10">
        <f t="shared" si="166"/>
        <v>0</v>
      </c>
      <c r="AN61" s="10">
        <f t="shared" si="166"/>
        <v>0</v>
      </c>
      <c r="AO61" s="10">
        <f t="shared" si="166"/>
        <v>0</v>
      </c>
      <c r="AP61" s="10">
        <f t="shared" si="166"/>
        <v>0</v>
      </c>
      <c r="AQ61" s="10">
        <f t="shared" si="166"/>
        <v>0</v>
      </c>
      <c r="AR61" s="10">
        <f t="shared" ref="AR61:BW61" si="167">(AR29&lt;&gt;AS29)*(AR29=1)</f>
        <v>0</v>
      </c>
      <c r="AS61" s="10">
        <f t="shared" si="167"/>
        <v>0</v>
      </c>
      <c r="AT61" s="10">
        <f t="shared" si="167"/>
        <v>0</v>
      </c>
      <c r="AU61" s="10">
        <f t="shared" si="167"/>
        <v>0</v>
      </c>
      <c r="AV61" s="10">
        <f t="shared" si="167"/>
        <v>0</v>
      </c>
      <c r="AW61" s="10">
        <f t="shared" si="167"/>
        <v>0</v>
      </c>
      <c r="AX61" s="10">
        <f t="shared" si="167"/>
        <v>0</v>
      </c>
      <c r="AY61" s="10">
        <f t="shared" si="167"/>
        <v>0</v>
      </c>
      <c r="AZ61" s="10">
        <f t="shared" si="167"/>
        <v>0</v>
      </c>
      <c r="BA61" s="10">
        <f t="shared" si="167"/>
        <v>0</v>
      </c>
      <c r="BB61" s="10">
        <f t="shared" si="167"/>
        <v>0</v>
      </c>
      <c r="BC61" s="10">
        <f t="shared" si="167"/>
        <v>0</v>
      </c>
      <c r="BD61" s="10">
        <f t="shared" si="167"/>
        <v>0</v>
      </c>
      <c r="BE61" s="10">
        <f t="shared" si="167"/>
        <v>0</v>
      </c>
      <c r="BF61" s="10">
        <f t="shared" si="167"/>
        <v>0</v>
      </c>
      <c r="BG61" s="10">
        <f t="shared" si="167"/>
        <v>0</v>
      </c>
      <c r="BH61" s="10">
        <f t="shared" si="167"/>
        <v>0</v>
      </c>
      <c r="BI61" s="10">
        <f t="shared" si="167"/>
        <v>0</v>
      </c>
      <c r="BJ61" s="10">
        <f t="shared" si="167"/>
        <v>0</v>
      </c>
      <c r="BK61" s="10">
        <f t="shared" si="167"/>
        <v>0</v>
      </c>
      <c r="BL61" s="10">
        <f t="shared" si="167"/>
        <v>0</v>
      </c>
      <c r="BM61" s="10">
        <f t="shared" si="167"/>
        <v>0</v>
      </c>
      <c r="BN61" s="10">
        <f t="shared" si="167"/>
        <v>0</v>
      </c>
      <c r="BO61" s="10">
        <f t="shared" si="167"/>
        <v>0</v>
      </c>
      <c r="BP61" s="10">
        <f t="shared" si="167"/>
        <v>0</v>
      </c>
      <c r="BQ61" s="10">
        <f t="shared" si="167"/>
        <v>0</v>
      </c>
      <c r="BR61" s="10">
        <f t="shared" si="167"/>
        <v>0</v>
      </c>
      <c r="BS61" s="10">
        <f t="shared" si="167"/>
        <v>0</v>
      </c>
      <c r="BT61" s="10">
        <f t="shared" si="167"/>
        <v>0</v>
      </c>
      <c r="BU61" s="10">
        <f t="shared" si="167"/>
        <v>0</v>
      </c>
      <c r="BV61" s="10">
        <f t="shared" si="167"/>
        <v>0</v>
      </c>
      <c r="BW61" s="10">
        <f t="shared" si="167"/>
        <v>0</v>
      </c>
      <c r="BX61" s="10">
        <f t="shared" ref="BX61:CO61" si="168">(BX29&lt;&gt;BY29)*(BX29=1)</f>
        <v>0</v>
      </c>
      <c r="BY61" s="10">
        <f t="shared" si="168"/>
        <v>0</v>
      </c>
      <c r="BZ61" s="10">
        <f t="shared" si="168"/>
        <v>0</v>
      </c>
      <c r="CA61" s="10">
        <f t="shared" si="168"/>
        <v>0</v>
      </c>
      <c r="CB61" s="10">
        <f t="shared" si="168"/>
        <v>0</v>
      </c>
      <c r="CC61" s="10">
        <f t="shared" si="168"/>
        <v>0</v>
      </c>
      <c r="CD61" s="10">
        <f t="shared" si="168"/>
        <v>0</v>
      </c>
      <c r="CE61" s="10">
        <f t="shared" si="168"/>
        <v>0</v>
      </c>
      <c r="CF61" s="10">
        <f t="shared" si="168"/>
        <v>0</v>
      </c>
      <c r="CG61" s="10">
        <f t="shared" si="168"/>
        <v>0</v>
      </c>
      <c r="CH61" s="10">
        <f t="shared" si="168"/>
        <v>0</v>
      </c>
      <c r="CI61" s="10">
        <f t="shared" si="168"/>
        <v>0</v>
      </c>
      <c r="CJ61" s="10">
        <f t="shared" si="168"/>
        <v>0</v>
      </c>
      <c r="CK61" s="10">
        <f t="shared" si="168"/>
        <v>0</v>
      </c>
      <c r="CL61" s="10">
        <f t="shared" si="168"/>
        <v>0</v>
      </c>
      <c r="CM61" s="10">
        <f t="shared" si="168"/>
        <v>0</v>
      </c>
      <c r="CN61" s="10">
        <f t="shared" si="168"/>
        <v>0</v>
      </c>
      <c r="CO61" s="10">
        <f t="shared" si="168"/>
        <v>0</v>
      </c>
    </row>
    <row r="62" spans="1:93">
      <c r="A62" s="10"/>
      <c r="B62" s="10"/>
      <c r="C62" s="17" t="s">
        <v>568</v>
      </c>
      <c r="D62" s="10"/>
      <c r="E62" s="10"/>
      <c r="F62" s="10"/>
      <c r="G62" s="11" t="str">
        <f>MIN(L62:CO62) &amp; ".." &amp; MAX(L62:CO62)</f>
        <v>0..1</v>
      </c>
      <c r="H62" s="10"/>
      <c r="I62" s="23">
        <f>SUM(L62:CO62)</f>
        <v>1</v>
      </c>
      <c r="J62" s="10"/>
      <c r="K62" s="10"/>
      <c r="L62" s="10">
        <f t="shared" ref="L62:AQ62" si="169">(L30&lt;&gt;K30)*(L30&lt;&gt;0)</f>
        <v>0</v>
      </c>
      <c r="M62" s="10">
        <f t="shared" si="169"/>
        <v>0</v>
      </c>
      <c r="N62" s="10">
        <f t="shared" si="169"/>
        <v>0</v>
      </c>
      <c r="O62" s="10">
        <f t="shared" si="169"/>
        <v>0</v>
      </c>
      <c r="P62" s="10">
        <f t="shared" si="169"/>
        <v>0</v>
      </c>
      <c r="Q62" s="10">
        <f t="shared" si="169"/>
        <v>0</v>
      </c>
      <c r="R62" s="10">
        <f t="shared" si="169"/>
        <v>0</v>
      </c>
      <c r="S62" s="10">
        <f t="shared" si="169"/>
        <v>0</v>
      </c>
      <c r="T62" s="10">
        <f t="shared" si="169"/>
        <v>0</v>
      </c>
      <c r="U62" s="10">
        <f t="shared" si="169"/>
        <v>0</v>
      </c>
      <c r="V62" s="10">
        <f t="shared" si="169"/>
        <v>0</v>
      </c>
      <c r="W62" s="10">
        <f t="shared" si="169"/>
        <v>0</v>
      </c>
      <c r="X62" s="10">
        <f t="shared" si="169"/>
        <v>0</v>
      </c>
      <c r="Y62" s="10">
        <f t="shared" si="169"/>
        <v>0</v>
      </c>
      <c r="Z62" s="10">
        <f t="shared" si="169"/>
        <v>0</v>
      </c>
      <c r="AA62" s="10">
        <f t="shared" si="169"/>
        <v>0</v>
      </c>
      <c r="AB62" s="10">
        <f t="shared" si="169"/>
        <v>0</v>
      </c>
      <c r="AC62" s="10">
        <f t="shared" si="169"/>
        <v>1</v>
      </c>
      <c r="AD62" s="10">
        <f t="shared" si="169"/>
        <v>0</v>
      </c>
      <c r="AE62" s="10">
        <f t="shared" si="169"/>
        <v>0</v>
      </c>
      <c r="AF62" s="10">
        <f t="shared" si="169"/>
        <v>0</v>
      </c>
      <c r="AG62" s="10">
        <f t="shared" si="169"/>
        <v>0</v>
      </c>
      <c r="AH62" s="10">
        <f t="shared" si="169"/>
        <v>0</v>
      </c>
      <c r="AI62" s="10">
        <f t="shared" si="169"/>
        <v>0</v>
      </c>
      <c r="AJ62" s="10">
        <f t="shared" si="169"/>
        <v>0</v>
      </c>
      <c r="AK62" s="10">
        <f t="shared" si="169"/>
        <v>0</v>
      </c>
      <c r="AL62" s="10">
        <f t="shared" si="169"/>
        <v>0</v>
      </c>
      <c r="AM62" s="10">
        <f t="shared" si="169"/>
        <v>0</v>
      </c>
      <c r="AN62" s="10">
        <f t="shared" si="169"/>
        <v>0</v>
      </c>
      <c r="AO62" s="10">
        <f t="shared" si="169"/>
        <v>0</v>
      </c>
      <c r="AP62" s="10">
        <f t="shared" si="169"/>
        <v>0</v>
      </c>
      <c r="AQ62" s="10">
        <f t="shared" si="169"/>
        <v>0</v>
      </c>
      <c r="AR62" s="10">
        <f t="shared" ref="AR62:BW62" si="170">(AR30&lt;&gt;AQ30)*(AR30&lt;&gt;0)</f>
        <v>0</v>
      </c>
      <c r="AS62" s="10">
        <f t="shared" si="170"/>
        <v>0</v>
      </c>
      <c r="AT62" s="10">
        <f t="shared" si="170"/>
        <v>0</v>
      </c>
      <c r="AU62" s="10">
        <f t="shared" si="170"/>
        <v>0</v>
      </c>
      <c r="AV62" s="10">
        <f t="shared" si="170"/>
        <v>0</v>
      </c>
      <c r="AW62" s="10">
        <f t="shared" si="170"/>
        <v>0</v>
      </c>
      <c r="AX62" s="10">
        <f t="shared" si="170"/>
        <v>0</v>
      </c>
      <c r="AY62" s="10">
        <f t="shared" si="170"/>
        <v>0</v>
      </c>
      <c r="AZ62" s="10">
        <f t="shared" si="170"/>
        <v>0</v>
      </c>
      <c r="BA62" s="10">
        <f t="shared" si="170"/>
        <v>0</v>
      </c>
      <c r="BB62" s="10">
        <f t="shared" si="170"/>
        <v>0</v>
      </c>
      <c r="BC62" s="10">
        <f t="shared" si="170"/>
        <v>0</v>
      </c>
      <c r="BD62" s="10">
        <f t="shared" si="170"/>
        <v>0</v>
      </c>
      <c r="BE62" s="10">
        <f t="shared" si="170"/>
        <v>0</v>
      </c>
      <c r="BF62" s="10">
        <f t="shared" si="170"/>
        <v>0</v>
      </c>
      <c r="BG62" s="10">
        <f t="shared" si="170"/>
        <v>0</v>
      </c>
      <c r="BH62" s="10">
        <f t="shared" si="170"/>
        <v>0</v>
      </c>
      <c r="BI62" s="10">
        <f t="shared" si="170"/>
        <v>0</v>
      </c>
      <c r="BJ62" s="10">
        <f t="shared" si="170"/>
        <v>0</v>
      </c>
      <c r="BK62" s="10">
        <f t="shared" si="170"/>
        <v>0</v>
      </c>
      <c r="BL62" s="10">
        <f t="shared" si="170"/>
        <v>0</v>
      </c>
      <c r="BM62" s="10">
        <f t="shared" si="170"/>
        <v>0</v>
      </c>
      <c r="BN62" s="10">
        <f t="shared" si="170"/>
        <v>0</v>
      </c>
      <c r="BO62" s="10">
        <f t="shared" si="170"/>
        <v>0</v>
      </c>
      <c r="BP62" s="10">
        <f t="shared" si="170"/>
        <v>0</v>
      </c>
      <c r="BQ62" s="10">
        <f t="shared" si="170"/>
        <v>0</v>
      </c>
      <c r="BR62" s="10">
        <f t="shared" si="170"/>
        <v>0</v>
      </c>
      <c r="BS62" s="10">
        <f t="shared" si="170"/>
        <v>0</v>
      </c>
      <c r="BT62" s="10">
        <f t="shared" si="170"/>
        <v>0</v>
      </c>
      <c r="BU62" s="10">
        <f t="shared" si="170"/>
        <v>0</v>
      </c>
      <c r="BV62" s="10">
        <f t="shared" si="170"/>
        <v>0</v>
      </c>
      <c r="BW62" s="10">
        <f t="shared" si="170"/>
        <v>0</v>
      </c>
      <c r="BX62" s="10">
        <f t="shared" ref="BX62:CO62" si="171">(BX30&lt;&gt;BW30)*(BX30&lt;&gt;0)</f>
        <v>0</v>
      </c>
      <c r="BY62" s="10">
        <f t="shared" si="171"/>
        <v>0</v>
      </c>
      <c r="BZ62" s="10">
        <f t="shared" si="171"/>
        <v>0</v>
      </c>
      <c r="CA62" s="10">
        <f t="shared" si="171"/>
        <v>0</v>
      </c>
      <c r="CB62" s="10">
        <f t="shared" si="171"/>
        <v>0</v>
      </c>
      <c r="CC62" s="10">
        <f t="shared" si="171"/>
        <v>0</v>
      </c>
      <c r="CD62" s="10">
        <f t="shared" si="171"/>
        <v>0</v>
      </c>
      <c r="CE62" s="10">
        <f t="shared" si="171"/>
        <v>0</v>
      </c>
      <c r="CF62" s="10">
        <f t="shared" si="171"/>
        <v>0</v>
      </c>
      <c r="CG62" s="10">
        <f t="shared" si="171"/>
        <v>0</v>
      </c>
      <c r="CH62" s="10">
        <f t="shared" si="171"/>
        <v>0</v>
      </c>
      <c r="CI62" s="10">
        <f t="shared" si="171"/>
        <v>0</v>
      </c>
      <c r="CJ62" s="10">
        <f t="shared" si="171"/>
        <v>0</v>
      </c>
      <c r="CK62" s="10">
        <f t="shared" si="171"/>
        <v>0</v>
      </c>
      <c r="CL62" s="10">
        <f t="shared" si="171"/>
        <v>0</v>
      </c>
      <c r="CM62" s="10">
        <f t="shared" si="171"/>
        <v>0</v>
      </c>
      <c r="CN62" s="10">
        <f t="shared" si="171"/>
        <v>0</v>
      </c>
      <c r="CO62" s="10">
        <f t="shared" si="171"/>
        <v>0</v>
      </c>
    </row>
    <row r="63" spans="1:93">
      <c r="A63" s="10"/>
      <c r="B63" s="10"/>
      <c r="C63" s="17" t="s">
        <v>569</v>
      </c>
      <c r="D63" s="10"/>
      <c r="E63" s="10"/>
      <c r="F63" s="10"/>
      <c r="G63" s="11" t="str">
        <f>MIN(L63:CO63) &amp; ".." &amp; MAX(L63:CO63)</f>
        <v>0..1</v>
      </c>
      <c r="H63" s="10"/>
      <c r="I63" s="23">
        <f>SUM(L63:CO63)</f>
        <v>1</v>
      </c>
      <c r="J63" s="10"/>
      <c r="K63" s="10"/>
      <c r="L63" s="10">
        <f t="shared" ref="L63:AQ63" si="172">(L30&gt;M30)*1</f>
        <v>0</v>
      </c>
      <c r="M63" s="10">
        <f t="shared" si="172"/>
        <v>0</v>
      </c>
      <c r="N63" s="10">
        <f t="shared" si="172"/>
        <v>0</v>
      </c>
      <c r="O63" s="10">
        <f t="shared" si="172"/>
        <v>0</v>
      </c>
      <c r="P63" s="10">
        <f t="shared" si="172"/>
        <v>0</v>
      </c>
      <c r="Q63" s="10">
        <f t="shared" si="172"/>
        <v>0</v>
      </c>
      <c r="R63" s="10">
        <f t="shared" si="172"/>
        <v>0</v>
      </c>
      <c r="S63" s="10">
        <f t="shared" si="172"/>
        <v>0</v>
      </c>
      <c r="T63" s="10">
        <f t="shared" si="172"/>
        <v>0</v>
      </c>
      <c r="U63" s="10">
        <f t="shared" si="172"/>
        <v>0</v>
      </c>
      <c r="V63" s="10">
        <f t="shared" si="172"/>
        <v>0</v>
      </c>
      <c r="W63" s="10">
        <f t="shared" si="172"/>
        <v>0</v>
      </c>
      <c r="X63" s="10">
        <f t="shared" si="172"/>
        <v>0</v>
      </c>
      <c r="Y63" s="10">
        <f t="shared" si="172"/>
        <v>0</v>
      </c>
      <c r="Z63" s="10">
        <f t="shared" si="172"/>
        <v>0</v>
      </c>
      <c r="AA63" s="10">
        <f t="shared" si="172"/>
        <v>0</v>
      </c>
      <c r="AB63" s="10">
        <f t="shared" si="172"/>
        <v>0</v>
      </c>
      <c r="AC63" s="10">
        <f t="shared" si="172"/>
        <v>0</v>
      </c>
      <c r="AD63" s="10">
        <f t="shared" si="172"/>
        <v>0</v>
      </c>
      <c r="AE63" s="10">
        <f t="shared" si="172"/>
        <v>0</v>
      </c>
      <c r="AF63" s="10">
        <f t="shared" si="172"/>
        <v>0</v>
      </c>
      <c r="AG63" s="10">
        <f t="shared" si="172"/>
        <v>0</v>
      </c>
      <c r="AH63" s="10">
        <f t="shared" si="172"/>
        <v>0</v>
      </c>
      <c r="AI63" s="10">
        <f t="shared" si="172"/>
        <v>0</v>
      </c>
      <c r="AJ63" s="10">
        <f t="shared" si="172"/>
        <v>0</v>
      </c>
      <c r="AK63" s="10">
        <f t="shared" si="172"/>
        <v>0</v>
      </c>
      <c r="AL63" s="10">
        <f t="shared" si="172"/>
        <v>0</v>
      </c>
      <c r="AM63" s="10">
        <f t="shared" si="172"/>
        <v>0</v>
      </c>
      <c r="AN63" s="10">
        <f t="shared" si="172"/>
        <v>0</v>
      </c>
      <c r="AO63" s="10">
        <f t="shared" si="172"/>
        <v>0</v>
      </c>
      <c r="AP63" s="10">
        <f t="shared" si="172"/>
        <v>0</v>
      </c>
      <c r="AQ63" s="10">
        <f t="shared" si="172"/>
        <v>0</v>
      </c>
      <c r="AR63" s="10">
        <f t="shared" ref="AR63:BW63" si="173">(AR30&gt;AS30)*1</f>
        <v>0</v>
      </c>
      <c r="AS63" s="10">
        <f t="shared" si="173"/>
        <v>0</v>
      </c>
      <c r="AT63" s="10">
        <f t="shared" si="173"/>
        <v>0</v>
      </c>
      <c r="AU63" s="10">
        <f t="shared" si="173"/>
        <v>0</v>
      </c>
      <c r="AV63" s="10">
        <f t="shared" si="173"/>
        <v>0</v>
      </c>
      <c r="AW63" s="10">
        <f t="shared" si="173"/>
        <v>0</v>
      </c>
      <c r="AX63" s="10">
        <f t="shared" si="173"/>
        <v>0</v>
      </c>
      <c r="AY63" s="10">
        <f t="shared" si="173"/>
        <v>0</v>
      </c>
      <c r="AZ63" s="10">
        <f t="shared" si="173"/>
        <v>0</v>
      </c>
      <c r="BA63" s="10">
        <f t="shared" si="173"/>
        <v>0</v>
      </c>
      <c r="BB63" s="10">
        <f t="shared" si="173"/>
        <v>0</v>
      </c>
      <c r="BC63" s="10">
        <f t="shared" si="173"/>
        <v>0</v>
      </c>
      <c r="BD63" s="10">
        <f t="shared" si="173"/>
        <v>0</v>
      </c>
      <c r="BE63" s="10">
        <f t="shared" si="173"/>
        <v>0</v>
      </c>
      <c r="BF63" s="10">
        <f t="shared" si="173"/>
        <v>0</v>
      </c>
      <c r="BG63" s="10">
        <f t="shared" si="173"/>
        <v>0</v>
      </c>
      <c r="BH63" s="10">
        <f t="shared" si="173"/>
        <v>0</v>
      </c>
      <c r="BI63" s="10">
        <f t="shared" si="173"/>
        <v>0</v>
      </c>
      <c r="BJ63" s="10">
        <f t="shared" si="173"/>
        <v>0</v>
      </c>
      <c r="BK63" s="10">
        <f t="shared" si="173"/>
        <v>0</v>
      </c>
      <c r="BL63" s="10">
        <f t="shared" si="173"/>
        <v>0</v>
      </c>
      <c r="BM63" s="10">
        <f t="shared" si="173"/>
        <v>0</v>
      </c>
      <c r="BN63" s="10">
        <f t="shared" si="173"/>
        <v>0</v>
      </c>
      <c r="BO63" s="10">
        <f t="shared" si="173"/>
        <v>0</v>
      </c>
      <c r="BP63" s="10">
        <f t="shared" si="173"/>
        <v>0</v>
      </c>
      <c r="BQ63" s="10">
        <f t="shared" si="173"/>
        <v>0</v>
      </c>
      <c r="BR63" s="10">
        <f t="shared" si="173"/>
        <v>0</v>
      </c>
      <c r="BS63" s="10">
        <f t="shared" si="173"/>
        <v>0</v>
      </c>
      <c r="BT63" s="10">
        <f t="shared" si="173"/>
        <v>0</v>
      </c>
      <c r="BU63" s="10">
        <f t="shared" si="173"/>
        <v>0</v>
      </c>
      <c r="BV63" s="10">
        <f t="shared" si="173"/>
        <v>0</v>
      </c>
      <c r="BW63" s="10">
        <f t="shared" si="173"/>
        <v>0</v>
      </c>
      <c r="BX63" s="10">
        <f t="shared" ref="BX63:CO63" si="174">(BX30&gt;BY30)*1</f>
        <v>0</v>
      </c>
      <c r="BY63" s="10">
        <f t="shared" si="174"/>
        <v>0</v>
      </c>
      <c r="BZ63" s="10">
        <f t="shared" si="174"/>
        <v>0</v>
      </c>
      <c r="CA63" s="10">
        <f t="shared" si="174"/>
        <v>0</v>
      </c>
      <c r="CB63" s="10">
        <f t="shared" si="174"/>
        <v>0</v>
      </c>
      <c r="CC63" s="10">
        <f t="shared" si="174"/>
        <v>0</v>
      </c>
      <c r="CD63" s="10">
        <f t="shared" si="174"/>
        <v>0</v>
      </c>
      <c r="CE63" s="10">
        <f t="shared" si="174"/>
        <v>0</v>
      </c>
      <c r="CF63" s="10">
        <f t="shared" si="174"/>
        <v>0</v>
      </c>
      <c r="CG63" s="10">
        <f t="shared" si="174"/>
        <v>0</v>
      </c>
      <c r="CH63" s="10">
        <f t="shared" si="174"/>
        <v>0</v>
      </c>
      <c r="CI63" s="10">
        <f t="shared" si="174"/>
        <v>0</v>
      </c>
      <c r="CJ63" s="10">
        <f t="shared" si="174"/>
        <v>0</v>
      </c>
      <c r="CK63" s="10">
        <f t="shared" si="174"/>
        <v>0</v>
      </c>
      <c r="CL63" s="10">
        <f t="shared" si="174"/>
        <v>0</v>
      </c>
      <c r="CM63" s="10">
        <f t="shared" si="174"/>
        <v>0</v>
      </c>
      <c r="CN63" s="10">
        <f t="shared" si="174"/>
        <v>0</v>
      </c>
      <c r="CO63" s="10">
        <f t="shared" si="174"/>
        <v>1</v>
      </c>
    </row>
    <row r="64" spans="1:93">
      <c r="A64" s="10"/>
      <c r="B64" s="10"/>
      <c r="C64" s="17"/>
      <c r="D64" s="10"/>
      <c r="E64" s="10"/>
      <c r="F64" s="10"/>
      <c r="G64" s="11"/>
      <c r="H64" s="10"/>
      <c r="I64" s="10"/>
      <c r="J64" s="149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</row>
    <row r="65" spans="1:93">
      <c r="A65" s="10"/>
      <c r="B65" s="10"/>
      <c r="C65" s="17" t="s">
        <v>446</v>
      </c>
      <c r="D65" s="10"/>
      <c r="E65" s="10"/>
      <c r="F65" s="10"/>
      <c r="G65" s="11" t="str">
        <f>MIN(L65:CO65) &amp; ".." &amp; MAX(L65:CO65)</f>
        <v>1..82</v>
      </c>
      <c r="H65" s="10"/>
      <c r="I65" s="10"/>
      <c r="J65" s="10"/>
      <c r="K65" s="10"/>
      <c r="L65" s="10">
        <f t="shared" ref="L65:AQ65" si="175">K65+Flag_Forecast</f>
        <v>1</v>
      </c>
      <c r="M65" s="10">
        <f t="shared" si="175"/>
        <v>2</v>
      </c>
      <c r="N65" s="10">
        <f t="shared" si="175"/>
        <v>3</v>
      </c>
      <c r="O65" s="10">
        <f t="shared" si="175"/>
        <v>4</v>
      </c>
      <c r="P65" s="10">
        <f t="shared" si="175"/>
        <v>5</v>
      </c>
      <c r="Q65" s="10">
        <f t="shared" si="175"/>
        <v>6</v>
      </c>
      <c r="R65" s="10">
        <f t="shared" si="175"/>
        <v>7</v>
      </c>
      <c r="S65" s="10">
        <f t="shared" si="175"/>
        <v>8</v>
      </c>
      <c r="T65" s="10">
        <f t="shared" si="175"/>
        <v>9</v>
      </c>
      <c r="U65" s="10">
        <f t="shared" si="175"/>
        <v>10</v>
      </c>
      <c r="V65" s="10">
        <f t="shared" si="175"/>
        <v>11</v>
      </c>
      <c r="W65" s="10">
        <f t="shared" si="175"/>
        <v>12</v>
      </c>
      <c r="X65" s="10">
        <f t="shared" si="175"/>
        <v>13</v>
      </c>
      <c r="Y65" s="10">
        <f t="shared" si="175"/>
        <v>14</v>
      </c>
      <c r="Z65" s="10">
        <f t="shared" si="175"/>
        <v>15</v>
      </c>
      <c r="AA65" s="10">
        <f t="shared" si="175"/>
        <v>16</v>
      </c>
      <c r="AB65" s="10">
        <f t="shared" si="175"/>
        <v>17</v>
      </c>
      <c r="AC65" s="10">
        <f t="shared" si="175"/>
        <v>18</v>
      </c>
      <c r="AD65" s="10">
        <f t="shared" si="175"/>
        <v>19</v>
      </c>
      <c r="AE65" s="10">
        <f t="shared" si="175"/>
        <v>20</v>
      </c>
      <c r="AF65" s="10">
        <f t="shared" si="175"/>
        <v>21</v>
      </c>
      <c r="AG65" s="10">
        <f t="shared" si="175"/>
        <v>22</v>
      </c>
      <c r="AH65" s="10">
        <f t="shared" si="175"/>
        <v>23</v>
      </c>
      <c r="AI65" s="10">
        <f t="shared" si="175"/>
        <v>24</v>
      </c>
      <c r="AJ65" s="10">
        <f t="shared" si="175"/>
        <v>25</v>
      </c>
      <c r="AK65" s="10">
        <f t="shared" si="175"/>
        <v>26</v>
      </c>
      <c r="AL65" s="10">
        <f t="shared" si="175"/>
        <v>27</v>
      </c>
      <c r="AM65" s="10">
        <f t="shared" si="175"/>
        <v>28</v>
      </c>
      <c r="AN65" s="10">
        <f t="shared" si="175"/>
        <v>29</v>
      </c>
      <c r="AO65" s="10">
        <f t="shared" si="175"/>
        <v>30</v>
      </c>
      <c r="AP65" s="10">
        <f t="shared" si="175"/>
        <v>31</v>
      </c>
      <c r="AQ65" s="10">
        <f t="shared" si="175"/>
        <v>32</v>
      </c>
      <c r="AR65" s="10">
        <f t="shared" ref="AR65:BW65" si="176">AQ65+Flag_Forecast</f>
        <v>33</v>
      </c>
      <c r="AS65" s="10">
        <f t="shared" si="176"/>
        <v>34</v>
      </c>
      <c r="AT65" s="10">
        <f t="shared" si="176"/>
        <v>35</v>
      </c>
      <c r="AU65" s="10">
        <f t="shared" si="176"/>
        <v>36</v>
      </c>
      <c r="AV65" s="10">
        <f t="shared" si="176"/>
        <v>37</v>
      </c>
      <c r="AW65" s="10">
        <f t="shared" si="176"/>
        <v>38</v>
      </c>
      <c r="AX65" s="10">
        <f t="shared" si="176"/>
        <v>39</v>
      </c>
      <c r="AY65" s="10">
        <f t="shared" si="176"/>
        <v>40</v>
      </c>
      <c r="AZ65" s="10">
        <f t="shared" si="176"/>
        <v>41</v>
      </c>
      <c r="BA65" s="10">
        <f t="shared" si="176"/>
        <v>42</v>
      </c>
      <c r="BB65" s="10">
        <f t="shared" si="176"/>
        <v>43</v>
      </c>
      <c r="BC65" s="10">
        <f t="shared" si="176"/>
        <v>44</v>
      </c>
      <c r="BD65" s="10">
        <f t="shared" si="176"/>
        <v>45</v>
      </c>
      <c r="BE65" s="10">
        <f t="shared" si="176"/>
        <v>46</v>
      </c>
      <c r="BF65" s="10">
        <f t="shared" si="176"/>
        <v>47</v>
      </c>
      <c r="BG65" s="10">
        <f t="shared" si="176"/>
        <v>48</v>
      </c>
      <c r="BH65" s="10">
        <f t="shared" si="176"/>
        <v>49</v>
      </c>
      <c r="BI65" s="10">
        <f t="shared" si="176"/>
        <v>50</v>
      </c>
      <c r="BJ65" s="10">
        <f t="shared" si="176"/>
        <v>51</v>
      </c>
      <c r="BK65" s="10">
        <f t="shared" si="176"/>
        <v>52</v>
      </c>
      <c r="BL65" s="10">
        <f t="shared" si="176"/>
        <v>53</v>
      </c>
      <c r="BM65" s="10">
        <f t="shared" si="176"/>
        <v>54</v>
      </c>
      <c r="BN65" s="10">
        <f t="shared" si="176"/>
        <v>55</v>
      </c>
      <c r="BO65" s="10">
        <f t="shared" si="176"/>
        <v>56</v>
      </c>
      <c r="BP65" s="10">
        <f t="shared" si="176"/>
        <v>57</v>
      </c>
      <c r="BQ65" s="10">
        <f t="shared" si="176"/>
        <v>58</v>
      </c>
      <c r="BR65" s="10">
        <f t="shared" si="176"/>
        <v>59</v>
      </c>
      <c r="BS65" s="10">
        <f t="shared" si="176"/>
        <v>60</v>
      </c>
      <c r="BT65" s="10">
        <f t="shared" si="176"/>
        <v>61</v>
      </c>
      <c r="BU65" s="10">
        <f t="shared" si="176"/>
        <v>62</v>
      </c>
      <c r="BV65" s="10">
        <f t="shared" si="176"/>
        <v>63</v>
      </c>
      <c r="BW65" s="10">
        <f t="shared" si="176"/>
        <v>64</v>
      </c>
      <c r="BX65" s="10">
        <f t="shared" ref="BX65:CO65" si="177">BW65+Flag_Forecast</f>
        <v>65</v>
      </c>
      <c r="BY65" s="10">
        <f t="shared" si="177"/>
        <v>66</v>
      </c>
      <c r="BZ65" s="10">
        <f t="shared" si="177"/>
        <v>67</v>
      </c>
      <c r="CA65" s="10">
        <f t="shared" si="177"/>
        <v>68</v>
      </c>
      <c r="CB65" s="10">
        <f t="shared" si="177"/>
        <v>69</v>
      </c>
      <c r="CC65" s="10">
        <f t="shared" si="177"/>
        <v>70</v>
      </c>
      <c r="CD65" s="10">
        <f t="shared" si="177"/>
        <v>71</v>
      </c>
      <c r="CE65" s="10">
        <f t="shared" si="177"/>
        <v>72</v>
      </c>
      <c r="CF65" s="10">
        <f t="shared" si="177"/>
        <v>73</v>
      </c>
      <c r="CG65" s="10">
        <f t="shared" si="177"/>
        <v>74</v>
      </c>
      <c r="CH65" s="10">
        <f t="shared" si="177"/>
        <v>75</v>
      </c>
      <c r="CI65" s="10">
        <f t="shared" si="177"/>
        <v>76</v>
      </c>
      <c r="CJ65" s="10">
        <f t="shared" si="177"/>
        <v>77</v>
      </c>
      <c r="CK65" s="10">
        <f t="shared" si="177"/>
        <v>78</v>
      </c>
      <c r="CL65" s="10">
        <f t="shared" si="177"/>
        <v>79</v>
      </c>
      <c r="CM65" s="10">
        <f t="shared" si="177"/>
        <v>80</v>
      </c>
      <c r="CN65" s="10">
        <f t="shared" si="177"/>
        <v>81</v>
      </c>
      <c r="CO65" s="10">
        <f t="shared" si="177"/>
        <v>82</v>
      </c>
    </row>
    <row r="66" spans="1:93">
      <c r="A66" s="10"/>
      <c r="B66" s="10"/>
      <c r="C66" s="17" t="s">
        <v>570</v>
      </c>
      <c r="D66" s="10"/>
      <c r="E66" s="10"/>
      <c r="F66" s="10"/>
      <c r="G66" s="11" t="str">
        <f>MIN(L66:CO66) &amp; ".." &amp; MAX(L66:CO66)</f>
        <v>0..17</v>
      </c>
      <c r="H66" s="10"/>
      <c r="I66" s="10"/>
      <c r="J66" s="10"/>
      <c r="K66" s="10"/>
      <c r="L66" s="10">
        <f t="shared" ref="L66:AQ66" si="178">(K66+L29)*L29</f>
        <v>1</v>
      </c>
      <c r="M66" s="10">
        <f t="shared" si="178"/>
        <v>2</v>
      </c>
      <c r="N66" s="10">
        <f t="shared" si="178"/>
        <v>3</v>
      </c>
      <c r="O66" s="10">
        <f t="shared" si="178"/>
        <v>4</v>
      </c>
      <c r="P66" s="10">
        <f t="shared" si="178"/>
        <v>5</v>
      </c>
      <c r="Q66" s="10">
        <f t="shared" si="178"/>
        <v>6</v>
      </c>
      <c r="R66" s="10">
        <f t="shared" si="178"/>
        <v>7</v>
      </c>
      <c r="S66" s="10">
        <f t="shared" si="178"/>
        <v>8</v>
      </c>
      <c r="T66" s="10">
        <f t="shared" si="178"/>
        <v>9</v>
      </c>
      <c r="U66" s="10">
        <f t="shared" si="178"/>
        <v>10</v>
      </c>
      <c r="V66" s="10">
        <f t="shared" si="178"/>
        <v>11</v>
      </c>
      <c r="W66" s="10">
        <f t="shared" si="178"/>
        <v>12</v>
      </c>
      <c r="X66" s="10">
        <f t="shared" si="178"/>
        <v>13</v>
      </c>
      <c r="Y66" s="10">
        <f t="shared" si="178"/>
        <v>14</v>
      </c>
      <c r="Z66" s="10">
        <f t="shared" si="178"/>
        <v>15</v>
      </c>
      <c r="AA66" s="10">
        <f t="shared" si="178"/>
        <v>16</v>
      </c>
      <c r="AB66" s="10">
        <f t="shared" si="178"/>
        <v>17</v>
      </c>
      <c r="AC66" s="10">
        <f t="shared" si="178"/>
        <v>0</v>
      </c>
      <c r="AD66" s="10">
        <f t="shared" si="178"/>
        <v>0</v>
      </c>
      <c r="AE66" s="10">
        <f t="shared" si="178"/>
        <v>0</v>
      </c>
      <c r="AF66" s="10">
        <f t="shared" si="178"/>
        <v>0</v>
      </c>
      <c r="AG66" s="10">
        <f t="shared" si="178"/>
        <v>0</v>
      </c>
      <c r="AH66" s="10">
        <f t="shared" si="178"/>
        <v>0</v>
      </c>
      <c r="AI66" s="10">
        <f t="shared" si="178"/>
        <v>0</v>
      </c>
      <c r="AJ66" s="10">
        <f t="shared" si="178"/>
        <v>0</v>
      </c>
      <c r="AK66" s="10">
        <f t="shared" si="178"/>
        <v>0</v>
      </c>
      <c r="AL66" s="10">
        <f t="shared" si="178"/>
        <v>0</v>
      </c>
      <c r="AM66" s="10">
        <f t="shared" si="178"/>
        <v>0</v>
      </c>
      <c r="AN66" s="10">
        <f t="shared" si="178"/>
        <v>0</v>
      </c>
      <c r="AO66" s="10">
        <f t="shared" si="178"/>
        <v>0</v>
      </c>
      <c r="AP66" s="10">
        <f t="shared" si="178"/>
        <v>0</v>
      </c>
      <c r="AQ66" s="10">
        <f t="shared" si="178"/>
        <v>0</v>
      </c>
      <c r="AR66" s="10">
        <f t="shared" ref="AR66:BW66" si="179">(AQ66+AR29)*AR29</f>
        <v>0</v>
      </c>
      <c r="AS66" s="10">
        <f t="shared" si="179"/>
        <v>0</v>
      </c>
      <c r="AT66" s="10">
        <f t="shared" si="179"/>
        <v>0</v>
      </c>
      <c r="AU66" s="10">
        <f t="shared" si="179"/>
        <v>0</v>
      </c>
      <c r="AV66" s="10">
        <f t="shared" si="179"/>
        <v>0</v>
      </c>
      <c r="AW66" s="10">
        <f t="shared" si="179"/>
        <v>0</v>
      </c>
      <c r="AX66" s="10">
        <f t="shared" si="179"/>
        <v>0</v>
      </c>
      <c r="AY66" s="10">
        <f t="shared" si="179"/>
        <v>0</v>
      </c>
      <c r="AZ66" s="10">
        <f t="shared" si="179"/>
        <v>0</v>
      </c>
      <c r="BA66" s="10">
        <f t="shared" si="179"/>
        <v>0</v>
      </c>
      <c r="BB66" s="10">
        <f t="shared" si="179"/>
        <v>0</v>
      </c>
      <c r="BC66" s="10">
        <f t="shared" si="179"/>
        <v>0</v>
      </c>
      <c r="BD66" s="10">
        <f t="shared" si="179"/>
        <v>0</v>
      </c>
      <c r="BE66" s="10">
        <f t="shared" si="179"/>
        <v>0</v>
      </c>
      <c r="BF66" s="10">
        <f t="shared" si="179"/>
        <v>0</v>
      </c>
      <c r="BG66" s="10">
        <f t="shared" si="179"/>
        <v>0</v>
      </c>
      <c r="BH66" s="10">
        <f t="shared" si="179"/>
        <v>0</v>
      </c>
      <c r="BI66" s="10">
        <f t="shared" si="179"/>
        <v>0</v>
      </c>
      <c r="BJ66" s="10">
        <f t="shared" si="179"/>
        <v>0</v>
      </c>
      <c r="BK66" s="10">
        <f t="shared" si="179"/>
        <v>0</v>
      </c>
      <c r="BL66" s="10">
        <f t="shared" si="179"/>
        <v>0</v>
      </c>
      <c r="BM66" s="10">
        <f t="shared" si="179"/>
        <v>0</v>
      </c>
      <c r="BN66" s="10">
        <f t="shared" si="179"/>
        <v>0</v>
      </c>
      <c r="BO66" s="10">
        <f t="shared" si="179"/>
        <v>0</v>
      </c>
      <c r="BP66" s="10">
        <f t="shared" si="179"/>
        <v>0</v>
      </c>
      <c r="BQ66" s="10">
        <f t="shared" si="179"/>
        <v>0</v>
      </c>
      <c r="BR66" s="10">
        <f t="shared" si="179"/>
        <v>0</v>
      </c>
      <c r="BS66" s="10">
        <f t="shared" si="179"/>
        <v>0</v>
      </c>
      <c r="BT66" s="10">
        <f t="shared" si="179"/>
        <v>0</v>
      </c>
      <c r="BU66" s="10">
        <f t="shared" si="179"/>
        <v>0</v>
      </c>
      <c r="BV66" s="10">
        <f t="shared" si="179"/>
        <v>0</v>
      </c>
      <c r="BW66" s="10">
        <f t="shared" si="179"/>
        <v>0</v>
      </c>
      <c r="BX66" s="10">
        <f t="shared" ref="BX66:CO66" si="180">(BW66+BX29)*BX29</f>
        <v>0</v>
      </c>
      <c r="BY66" s="10">
        <f t="shared" si="180"/>
        <v>0</v>
      </c>
      <c r="BZ66" s="10">
        <f t="shared" si="180"/>
        <v>0</v>
      </c>
      <c r="CA66" s="10">
        <f t="shared" si="180"/>
        <v>0</v>
      </c>
      <c r="CB66" s="10">
        <f t="shared" si="180"/>
        <v>0</v>
      </c>
      <c r="CC66" s="10">
        <f t="shared" si="180"/>
        <v>0</v>
      </c>
      <c r="CD66" s="10">
        <f t="shared" si="180"/>
        <v>0</v>
      </c>
      <c r="CE66" s="10">
        <f t="shared" si="180"/>
        <v>0</v>
      </c>
      <c r="CF66" s="10">
        <f t="shared" si="180"/>
        <v>0</v>
      </c>
      <c r="CG66" s="10">
        <f t="shared" si="180"/>
        <v>0</v>
      </c>
      <c r="CH66" s="10">
        <f t="shared" si="180"/>
        <v>0</v>
      </c>
      <c r="CI66" s="10">
        <f t="shared" si="180"/>
        <v>0</v>
      </c>
      <c r="CJ66" s="10">
        <f t="shared" si="180"/>
        <v>0</v>
      </c>
      <c r="CK66" s="10">
        <f t="shared" si="180"/>
        <v>0</v>
      </c>
      <c r="CL66" s="10">
        <f t="shared" si="180"/>
        <v>0</v>
      </c>
      <c r="CM66" s="10">
        <f t="shared" si="180"/>
        <v>0</v>
      </c>
      <c r="CN66" s="10">
        <f t="shared" si="180"/>
        <v>0</v>
      </c>
      <c r="CO66" s="10">
        <f t="shared" si="180"/>
        <v>0</v>
      </c>
    </row>
    <row r="67" spans="1:93">
      <c r="A67" s="10"/>
      <c r="B67" s="10"/>
      <c r="C67" s="17" t="s">
        <v>571</v>
      </c>
      <c r="D67" s="10"/>
      <c r="E67" s="10"/>
      <c r="F67" s="10"/>
      <c r="G67" s="11" t="str">
        <f>MIN(L67:CO67) &amp; ".." &amp; MAX(L67:CO67)</f>
        <v>0..65</v>
      </c>
      <c r="H67" s="10"/>
      <c r="I67" s="10"/>
      <c r="J67" s="10"/>
      <c r="K67" s="10"/>
      <c r="L67" s="10">
        <f t="shared" ref="L67:AQ67" si="181">(K67+L30)*L30</f>
        <v>0</v>
      </c>
      <c r="M67" s="10">
        <f t="shared" si="181"/>
        <v>0</v>
      </c>
      <c r="N67" s="10">
        <f t="shared" si="181"/>
        <v>0</v>
      </c>
      <c r="O67" s="10">
        <f t="shared" si="181"/>
        <v>0</v>
      </c>
      <c r="P67" s="10">
        <f t="shared" si="181"/>
        <v>0</v>
      </c>
      <c r="Q67" s="10">
        <f t="shared" si="181"/>
        <v>0</v>
      </c>
      <c r="R67" s="10">
        <f t="shared" si="181"/>
        <v>0</v>
      </c>
      <c r="S67" s="10">
        <f t="shared" si="181"/>
        <v>0</v>
      </c>
      <c r="T67" s="10">
        <f t="shared" si="181"/>
        <v>0</v>
      </c>
      <c r="U67" s="10">
        <f t="shared" si="181"/>
        <v>0</v>
      </c>
      <c r="V67" s="10">
        <f t="shared" si="181"/>
        <v>0</v>
      </c>
      <c r="W67" s="10">
        <f t="shared" si="181"/>
        <v>0</v>
      </c>
      <c r="X67" s="10">
        <f t="shared" si="181"/>
        <v>0</v>
      </c>
      <c r="Y67" s="10">
        <f t="shared" si="181"/>
        <v>0</v>
      </c>
      <c r="Z67" s="10">
        <f t="shared" si="181"/>
        <v>0</v>
      </c>
      <c r="AA67" s="10">
        <f t="shared" si="181"/>
        <v>0</v>
      </c>
      <c r="AB67" s="10">
        <f t="shared" si="181"/>
        <v>0</v>
      </c>
      <c r="AC67" s="10">
        <f t="shared" si="181"/>
        <v>1</v>
      </c>
      <c r="AD67" s="10">
        <f t="shared" si="181"/>
        <v>2</v>
      </c>
      <c r="AE67" s="10">
        <f t="shared" si="181"/>
        <v>3</v>
      </c>
      <c r="AF67" s="10">
        <f t="shared" si="181"/>
        <v>4</v>
      </c>
      <c r="AG67" s="10">
        <f t="shared" si="181"/>
        <v>5</v>
      </c>
      <c r="AH67" s="10">
        <f t="shared" si="181"/>
        <v>6</v>
      </c>
      <c r="AI67" s="10">
        <f t="shared" si="181"/>
        <v>7</v>
      </c>
      <c r="AJ67" s="10">
        <f t="shared" si="181"/>
        <v>8</v>
      </c>
      <c r="AK67" s="10">
        <f t="shared" si="181"/>
        <v>9</v>
      </c>
      <c r="AL67" s="10">
        <f t="shared" si="181"/>
        <v>10</v>
      </c>
      <c r="AM67" s="10">
        <f t="shared" si="181"/>
        <v>11</v>
      </c>
      <c r="AN67" s="10">
        <f t="shared" si="181"/>
        <v>12</v>
      </c>
      <c r="AO67" s="10">
        <f t="shared" si="181"/>
        <v>13</v>
      </c>
      <c r="AP67" s="10">
        <f t="shared" si="181"/>
        <v>14</v>
      </c>
      <c r="AQ67" s="10">
        <f t="shared" si="181"/>
        <v>15</v>
      </c>
      <c r="AR67" s="10">
        <f t="shared" ref="AR67:BW67" si="182">(AQ67+AR30)*AR30</f>
        <v>16</v>
      </c>
      <c r="AS67" s="10">
        <f t="shared" si="182"/>
        <v>17</v>
      </c>
      <c r="AT67" s="10">
        <f t="shared" si="182"/>
        <v>18</v>
      </c>
      <c r="AU67" s="10">
        <f t="shared" si="182"/>
        <v>19</v>
      </c>
      <c r="AV67" s="10">
        <f t="shared" si="182"/>
        <v>20</v>
      </c>
      <c r="AW67" s="10">
        <f t="shared" si="182"/>
        <v>21</v>
      </c>
      <c r="AX67" s="10">
        <f t="shared" si="182"/>
        <v>22</v>
      </c>
      <c r="AY67" s="10">
        <f t="shared" si="182"/>
        <v>23</v>
      </c>
      <c r="AZ67" s="10">
        <f t="shared" si="182"/>
        <v>24</v>
      </c>
      <c r="BA67" s="10">
        <f t="shared" si="182"/>
        <v>25</v>
      </c>
      <c r="BB67" s="10">
        <f t="shared" si="182"/>
        <v>26</v>
      </c>
      <c r="BC67" s="10">
        <f t="shared" si="182"/>
        <v>27</v>
      </c>
      <c r="BD67" s="10">
        <f t="shared" si="182"/>
        <v>28</v>
      </c>
      <c r="BE67" s="10">
        <f t="shared" si="182"/>
        <v>29</v>
      </c>
      <c r="BF67" s="10">
        <f t="shared" si="182"/>
        <v>30</v>
      </c>
      <c r="BG67" s="10">
        <f t="shared" si="182"/>
        <v>31</v>
      </c>
      <c r="BH67" s="10">
        <f t="shared" si="182"/>
        <v>32</v>
      </c>
      <c r="BI67" s="10">
        <f t="shared" si="182"/>
        <v>33</v>
      </c>
      <c r="BJ67" s="10">
        <f t="shared" si="182"/>
        <v>34</v>
      </c>
      <c r="BK67" s="10">
        <f t="shared" si="182"/>
        <v>35</v>
      </c>
      <c r="BL67" s="10">
        <f t="shared" si="182"/>
        <v>36</v>
      </c>
      <c r="BM67" s="10">
        <f t="shared" si="182"/>
        <v>37</v>
      </c>
      <c r="BN67" s="10">
        <f t="shared" si="182"/>
        <v>38</v>
      </c>
      <c r="BO67" s="10">
        <f t="shared" si="182"/>
        <v>39</v>
      </c>
      <c r="BP67" s="10">
        <f t="shared" si="182"/>
        <v>40</v>
      </c>
      <c r="BQ67" s="10">
        <f t="shared" si="182"/>
        <v>41</v>
      </c>
      <c r="BR67" s="10">
        <f t="shared" si="182"/>
        <v>42</v>
      </c>
      <c r="BS67" s="10">
        <f t="shared" si="182"/>
        <v>43</v>
      </c>
      <c r="BT67" s="10">
        <f t="shared" si="182"/>
        <v>44</v>
      </c>
      <c r="BU67" s="10">
        <f t="shared" si="182"/>
        <v>45</v>
      </c>
      <c r="BV67" s="10">
        <f t="shared" si="182"/>
        <v>46</v>
      </c>
      <c r="BW67" s="10">
        <f t="shared" si="182"/>
        <v>47</v>
      </c>
      <c r="BX67" s="10">
        <f t="shared" ref="BX67:CO67" si="183">(BW67+BX30)*BX30</f>
        <v>48</v>
      </c>
      <c r="BY67" s="10">
        <f t="shared" si="183"/>
        <v>49</v>
      </c>
      <c r="BZ67" s="10">
        <f t="shared" si="183"/>
        <v>50</v>
      </c>
      <c r="CA67" s="10">
        <f t="shared" si="183"/>
        <v>51</v>
      </c>
      <c r="CB67" s="10">
        <f t="shared" si="183"/>
        <v>52</v>
      </c>
      <c r="CC67" s="10">
        <f t="shared" si="183"/>
        <v>53</v>
      </c>
      <c r="CD67" s="10">
        <f t="shared" si="183"/>
        <v>54</v>
      </c>
      <c r="CE67" s="10">
        <f t="shared" si="183"/>
        <v>55</v>
      </c>
      <c r="CF67" s="10">
        <f t="shared" si="183"/>
        <v>56</v>
      </c>
      <c r="CG67" s="10">
        <f t="shared" si="183"/>
        <v>57</v>
      </c>
      <c r="CH67" s="10">
        <f t="shared" si="183"/>
        <v>58</v>
      </c>
      <c r="CI67" s="10">
        <f t="shared" si="183"/>
        <v>59</v>
      </c>
      <c r="CJ67" s="10">
        <f t="shared" si="183"/>
        <v>60</v>
      </c>
      <c r="CK67" s="10">
        <f t="shared" si="183"/>
        <v>61</v>
      </c>
      <c r="CL67" s="10">
        <f t="shared" si="183"/>
        <v>62</v>
      </c>
      <c r="CM67" s="10">
        <f t="shared" si="183"/>
        <v>63</v>
      </c>
      <c r="CN67" s="10">
        <f t="shared" si="183"/>
        <v>64</v>
      </c>
      <c r="CO67" s="10">
        <f t="shared" si="183"/>
        <v>65</v>
      </c>
    </row>
    <row r="68" spans="1:93">
      <c r="A68" s="10"/>
      <c r="B68" s="10"/>
      <c r="C68" s="17" t="s">
        <v>572</v>
      </c>
      <c r="D68" s="10"/>
      <c r="E68" s="10"/>
      <c r="F68" s="10"/>
      <c r="G68" s="11" t="str">
        <f>MIN(L68:CO68) &amp; ".." &amp; MAX(L68:CO68)</f>
        <v>0..17</v>
      </c>
      <c r="H68" s="10"/>
      <c r="I68" s="10"/>
      <c r="J68" s="10"/>
      <c r="K68" s="10"/>
      <c r="L68" s="10">
        <f t="shared" ref="L68:AQ68" si="184">(INT(K67/Periods_in_Year)+1)*Flag_Operations</f>
        <v>0</v>
      </c>
      <c r="M68" s="10">
        <f t="shared" si="184"/>
        <v>0</v>
      </c>
      <c r="N68" s="10">
        <f t="shared" si="184"/>
        <v>0</v>
      </c>
      <c r="O68" s="10">
        <f t="shared" si="184"/>
        <v>0</v>
      </c>
      <c r="P68" s="10">
        <f t="shared" si="184"/>
        <v>0</v>
      </c>
      <c r="Q68" s="10">
        <f t="shared" si="184"/>
        <v>0</v>
      </c>
      <c r="R68" s="10">
        <f t="shared" si="184"/>
        <v>0</v>
      </c>
      <c r="S68" s="10">
        <f t="shared" si="184"/>
        <v>0</v>
      </c>
      <c r="T68" s="10">
        <f t="shared" si="184"/>
        <v>0</v>
      </c>
      <c r="U68" s="10">
        <f t="shared" si="184"/>
        <v>0</v>
      </c>
      <c r="V68" s="10">
        <f t="shared" si="184"/>
        <v>0</v>
      </c>
      <c r="W68" s="10">
        <f t="shared" si="184"/>
        <v>0</v>
      </c>
      <c r="X68" s="10">
        <f t="shared" si="184"/>
        <v>0</v>
      </c>
      <c r="Y68" s="10">
        <f t="shared" si="184"/>
        <v>0</v>
      </c>
      <c r="Z68" s="10">
        <f t="shared" si="184"/>
        <v>0</v>
      </c>
      <c r="AA68" s="10">
        <f t="shared" si="184"/>
        <v>0</v>
      </c>
      <c r="AB68" s="10">
        <f t="shared" si="184"/>
        <v>0</v>
      </c>
      <c r="AC68" s="10">
        <f t="shared" si="184"/>
        <v>1</v>
      </c>
      <c r="AD68" s="10">
        <f t="shared" si="184"/>
        <v>1</v>
      </c>
      <c r="AE68" s="10">
        <f t="shared" si="184"/>
        <v>1</v>
      </c>
      <c r="AF68" s="10">
        <f t="shared" si="184"/>
        <v>1</v>
      </c>
      <c r="AG68" s="10">
        <f t="shared" si="184"/>
        <v>2</v>
      </c>
      <c r="AH68" s="10">
        <f t="shared" si="184"/>
        <v>2</v>
      </c>
      <c r="AI68" s="10">
        <f t="shared" si="184"/>
        <v>2</v>
      </c>
      <c r="AJ68" s="10">
        <f t="shared" si="184"/>
        <v>2</v>
      </c>
      <c r="AK68" s="10">
        <f t="shared" si="184"/>
        <v>3</v>
      </c>
      <c r="AL68" s="10">
        <f t="shared" si="184"/>
        <v>3</v>
      </c>
      <c r="AM68" s="10">
        <f t="shared" si="184"/>
        <v>3</v>
      </c>
      <c r="AN68" s="10">
        <f t="shared" si="184"/>
        <v>3</v>
      </c>
      <c r="AO68" s="10">
        <f t="shared" si="184"/>
        <v>4</v>
      </c>
      <c r="AP68" s="10">
        <f t="shared" si="184"/>
        <v>4</v>
      </c>
      <c r="AQ68" s="10">
        <f t="shared" si="184"/>
        <v>4</v>
      </c>
      <c r="AR68" s="10">
        <f t="shared" ref="AR68:BW68" si="185">(INT(AQ67/Periods_in_Year)+1)*Flag_Operations</f>
        <v>4</v>
      </c>
      <c r="AS68" s="10">
        <f t="shared" si="185"/>
        <v>5</v>
      </c>
      <c r="AT68" s="10">
        <f t="shared" si="185"/>
        <v>5</v>
      </c>
      <c r="AU68" s="10">
        <f t="shared" si="185"/>
        <v>5</v>
      </c>
      <c r="AV68" s="10">
        <f t="shared" si="185"/>
        <v>5</v>
      </c>
      <c r="AW68" s="10">
        <f t="shared" si="185"/>
        <v>6</v>
      </c>
      <c r="AX68" s="10">
        <f t="shared" si="185"/>
        <v>6</v>
      </c>
      <c r="AY68" s="10">
        <f t="shared" si="185"/>
        <v>6</v>
      </c>
      <c r="AZ68" s="10">
        <f t="shared" si="185"/>
        <v>6</v>
      </c>
      <c r="BA68" s="10">
        <f t="shared" si="185"/>
        <v>7</v>
      </c>
      <c r="BB68" s="10">
        <f t="shared" si="185"/>
        <v>7</v>
      </c>
      <c r="BC68" s="10">
        <f t="shared" si="185"/>
        <v>7</v>
      </c>
      <c r="BD68" s="10">
        <f t="shared" si="185"/>
        <v>7</v>
      </c>
      <c r="BE68" s="10">
        <f t="shared" si="185"/>
        <v>8</v>
      </c>
      <c r="BF68" s="10">
        <f t="shared" si="185"/>
        <v>8</v>
      </c>
      <c r="BG68" s="10">
        <f t="shared" si="185"/>
        <v>8</v>
      </c>
      <c r="BH68" s="10">
        <f t="shared" si="185"/>
        <v>8</v>
      </c>
      <c r="BI68" s="10">
        <f t="shared" si="185"/>
        <v>9</v>
      </c>
      <c r="BJ68" s="10">
        <f t="shared" si="185"/>
        <v>9</v>
      </c>
      <c r="BK68" s="10">
        <f t="shared" si="185"/>
        <v>9</v>
      </c>
      <c r="BL68" s="10">
        <f t="shared" si="185"/>
        <v>9</v>
      </c>
      <c r="BM68" s="10">
        <f t="shared" si="185"/>
        <v>10</v>
      </c>
      <c r="BN68" s="10">
        <f t="shared" si="185"/>
        <v>10</v>
      </c>
      <c r="BO68" s="10">
        <f t="shared" si="185"/>
        <v>10</v>
      </c>
      <c r="BP68" s="10">
        <f t="shared" si="185"/>
        <v>10</v>
      </c>
      <c r="BQ68" s="10">
        <f t="shared" si="185"/>
        <v>11</v>
      </c>
      <c r="BR68" s="10">
        <f t="shared" si="185"/>
        <v>11</v>
      </c>
      <c r="BS68" s="10">
        <f t="shared" si="185"/>
        <v>11</v>
      </c>
      <c r="BT68" s="10">
        <f t="shared" si="185"/>
        <v>11</v>
      </c>
      <c r="BU68" s="10">
        <f t="shared" si="185"/>
        <v>12</v>
      </c>
      <c r="BV68" s="10">
        <f t="shared" si="185"/>
        <v>12</v>
      </c>
      <c r="BW68" s="10">
        <f t="shared" si="185"/>
        <v>12</v>
      </c>
      <c r="BX68" s="10">
        <f t="shared" ref="BX68:CO68" si="186">(INT(BW67/Periods_in_Year)+1)*Flag_Operations</f>
        <v>12</v>
      </c>
      <c r="BY68" s="10">
        <f t="shared" si="186"/>
        <v>13</v>
      </c>
      <c r="BZ68" s="10">
        <f t="shared" si="186"/>
        <v>13</v>
      </c>
      <c r="CA68" s="10">
        <f t="shared" si="186"/>
        <v>13</v>
      </c>
      <c r="CB68" s="10">
        <f t="shared" si="186"/>
        <v>13</v>
      </c>
      <c r="CC68" s="10">
        <f t="shared" si="186"/>
        <v>14</v>
      </c>
      <c r="CD68" s="10">
        <f t="shared" si="186"/>
        <v>14</v>
      </c>
      <c r="CE68" s="10">
        <f t="shared" si="186"/>
        <v>14</v>
      </c>
      <c r="CF68" s="10">
        <f t="shared" si="186"/>
        <v>14</v>
      </c>
      <c r="CG68" s="10">
        <f t="shared" si="186"/>
        <v>15</v>
      </c>
      <c r="CH68" s="10">
        <f t="shared" si="186"/>
        <v>15</v>
      </c>
      <c r="CI68" s="10">
        <f t="shared" si="186"/>
        <v>15</v>
      </c>
      <c r="CJ68" s="10">
        <f t="shared" si="186"/>
        <v>15</v>
      </c>
      <c r="CK68" s="10">
        <f t="shared" si="186"/>
        <v>16</v>
      </c>
      <c r="CL68" s="10">
        <f t="shared" si="186"/>
        <v>16</v>
      </c>
      <c r="CM68" s="10">
        <f t="shared" si="186"/>
        <v>16</v>
      </c>
      <c r="CN68" s="10">
        <f t="shared" si="186"/>
        <v>16</v>
      </c>
      <c r="CO68" s="10">
        <f t="shared" si="186"/>
        <v>17</v>
      </c>
    </row>
    <row r="69" spans="1:93">
      <c r="A69" s="10"/>
      <c r="B69" s="10"/>
      <c r="C69" s="17"/>
      <c r="D69" s="10"/>
      <c r="E69" s="10"/>
      <c r="F69" s="10"/>
      <c r="G69" s="11"/>
      <c r="H69" s="10"/>
      <c r="I69" s="10"/>
      <c r="J69" s="149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</row>
    <row r="70" spans="1:93">
      <c r="A70" s="10"/>
      <c r="B70" s="10"/>
      <c r="C70" s="17" t="s">
        <v>573</v>
      </c>
      <c r="D70" s="10"/>
      <c r="E70" s="10"/>
      <c r="F70" s="10"/>
      <c r="G70" s="11" t="str">
        <f>MIN(L70:CO70) &amp; ".." &amp; MAX(L70:CO70)</f>
        <v>0..17</v>
      </c>
      <c r="H70" s="10"/>
      <c r="I70" s="10"/>
      <c r="J70" s="10"/>
      <c r="K70" s="10"/>
      <c r="L70" s="10">
        <f>(QUOTIENT(SUM($K30:K30),Periods_in_Year)+1)*Flag_Operations</f>
        <v>0</v>
      </c>
      <c r="M70" s="10">
        <f>(QUOTIENT(SUM($K30:L30),Periods_in_Year)+1)*Flag_Operations</f>
        <v>0</v>
      </c>
      <c r="N70" s="10">
        <f>(QUOTIENT(SUM($K30:M30),Periods_in_Year)+1)*Flag_Operations</f>
        <v>0</v>
      </c>
      <c r="O70" s="10">
        <f>(QUOTIENT(SUM($K30:N30),Periods_in_Year)+1)*Flag_Operations</f>
        <v>0</v>
      </c>
      <c r="P70" s="10">
        <f>(QUOTIENT(SUM($K30:O30),Periods_in_Year)+1)*Flag_Operations</f>
        <v>0</v>
      </c>
      <c r="Q70" s="10">
        <f>(QUOTIENT(SUM($K30:P30),Periods_in_Year)+1)*Flag_Operations</f>
        <v>0</v>
      </c>
      <c r="R70" s="10">
        <f>(QUOTIENT(SUM($K30:Q30),Periods_in_Year)+1)*Flag_Operations</f>
        <v>0</v>
      </c>
      <c r="S70" s="10">
        <f>(QUOTIENT(SUM($K30:R30),Periods_in_Year)+1)*Flag_Operations</f>
        <v>0</v>
      </c>
      <c r="T70" s="10">
        <f>(QUOTIENT(SUM($K30:S30),Periods_in_Year)+1)*Flag_Operations</f>
        <v>0</v>
      </c>
      <c r="U70" s="10">
        <f>(QUOTIENT(SUM($K30:T30),Periods_in_Year)+1)*Flag_Operations</f>
        <v>0</v>
      </c>
      <c r="V70" s="10">
        <f>(QUOTIENT(SUM($K30:U30),Periods_in_Year)+1)*Flag_Operations</f>
        <v>0</v>
      </c>
      <c r="W70" s="10">
        <f>(QUOTIENT(SUM($K30:V30),Periods_in_Year)+1)*Flag_Operations</f>
        <v>0</v>
      </c>
      <c r="X70" s="10">
        <f>(QUOTIENT(SUM($K30:W30),Periods_in_Year)+1)*Flag_Operations</f>
        <v>0</v>
      </c>
      <c r="Y70" s="10">
        <f>(QUOTIENT(SUM($K30:X30),Periods_in_Year)+1)*Flag_Operations</f>
        <v>0</v>
      </c>
      <c r="Z70" s="10">
        <f>(QUOTIENT(SUM($K30:Y30),Periods_in_Year)+1)*Flag_Operations</f>
        <v>0</v>
      </c>
      <c r="AA70" s="10">
        <f>(QUOTIENT(SUM($K30:Z30),Periods_in_Year)+1)*Flag_Operations</f>
        <v>0</v>
      </c>
      <c r="AB70" s="10">
        <f>(QUOTIENT(SUM($K30:AA30),Periods_in_Year)+1)*Flag_Operations</f>
        <v>0</v>
      </c>
      <c r="AC70" s="10">
        <f>(QUOTIENT(SUM($K30:AB30),Periods_in_Year)+1)*Flag_Operations</f>
        <v>1</v>
      </c>
      <c r="AD70" s="10">
        <f>(QUOTIENT(SUM($K30:AC30),Periods_in_Year)+1)*Flag_Operations</f>
        <v>1</v>
      </c>
      <c r="AE70" s="10">
        <f>(QUOTIENT(SUM($K30:AD30),Periods_in_Year)+1)*Flag_Operations</f>
        <v>1</v>
      </c>
      <c r="AF70" s="10">
        <f>(QUOTIENT(SUM($K30:AE30),Periods_in_Year)+1)*Flag_Operations</f>
        <v>1</v>
      </c>
      <c r="AG70" s="10">
        <f>(QUOTIENT(SUM($K30:AF30),Periods_in_Year)+1)*Flag_Operations</f>
        <v>2</v>
      </c>
      <c r="AH70" s="10">
        <f>(QUOTIENT(SUM($K30:AG30),Periods_in_Year)+1)*Flag_Operations</f>
        <v>2</v>
      </c>
      <c r="AI70" s="10">
        <f>(QUOTIENT(SUM($K30:AH30),Periods_in_Year)+1)*Flag_Operations</f>
        <v>2</v>
      </c>
      <c r="AJ70" s="10">
        <f>(QUOTIENT(SUM($K30:AI30),Periods_in_Year)+1)*Flag_Operations</f>
        <v>2</v>
      </c>
      <c r="AK70" s="10">
        <f>(QUOTIENT(SUM($K30:AJ30),Periods_in_Year)+1)*Flag_Operations</f>
        <v>3</v>
      </c>
      <c r="AL70" s="10">
        <f>(QUOTIENT(SUM($K30:AK30),Periods_in_Year)+1)*Flag_Operations</f>
        <v>3</v>
      </c>
      <c r="AM70" s="10">
        <f>(QUOTIENT(SUM($K30:AL30),Periods_in_Year)+1)*Flag_Operations</f>
        <v>3</v>
      </c>
      <c r="AN70" s="10">
        <f>(QUOTIENT(SUM($K30:AM30),Periods_in_Year)+1)*Flag_Operations</f>
        <v>3</v>
      </c>
      <c r="AO70" s="10">
        <f>(QUOTIENT(SUM($K30:AN30),Periods_in_Year)+1)*Flag_Operations</f>
        <v>4</v>
      </c>
      <c r="AP70" s="10">
        <f>(QUOTIENT(SUM($K30:AO30),Periods_in_Year)+1)*Flag_Operations</f>
        <v>4</v>
      </c>
      <c r="AQ70" s="10">
        <f>(QUOTIENT(SUM($K30:AP30),Periods_in_Year)+1)*Flag_Operations</f>
        <v>4</v>
      </c>
      <c r="AR70" s="10">
        <f>(QUOTIENT(SUM($K30:AQ30),Periods_in_Year)+1)*Flag_Operations</f>
        <v>4</v>
      </c>
      <c r="AS70" s="10">
        <f>(QUOTIENT(SUM($K30:AR30),Periods_in_Year)+1)*Flag_Operations</f>
        <v>5</v>
      </c>
      <c r="AT70" s="10">
        <f>(QUOTIENT(SUM($K30:AS30),Periods_in_Year)+1)*Flag_Operations</f>
        <v>5</v>
      </c>
      <c r="AU70" s="10">
        <f>(QUOTIENT(SUM($K30:AT30),Periods_in_Year)+1)*Flag_Operations</f>
        <v>5</v>
      </c>
      <c r="AV70" s="10">
        <f>(QUOTIENT(SUM($K30:AU30),Periods_in_Year)+1)*Flag_Operations</f>
        <v>5</v>
      </c>
      <c r="AW70" s="10">
        <f>(QUOTIENT(SUM($K30:AV30),Periods_in_Year)+1)*Flag_Operations</f>
        <v>6</v>
      </c>
      <c r="AX70" s="10">
        <f>(QUOTIENT(SUM($K30:AW30),Periods_in_Year)+1)*Flag_Operations</f>
        <v>6</v>
      </c>
      <c r="AY70" s="10">
        <f>(QUOTIENT(SUM($K30:AX30),Periods_in_Year)+1)*Flag_Operations</f>
        <v>6</v>
      </c>
      <c r="AZ70" s="10">
        <f>(QUOTIENT(SUM($K30:AY30),Periods_in_Year)+1)*Flag_Operations</f>
        <v>6</v>
      </c>
      <c r="BA70" s="10">
        <f>(QUOTIENT(SUM($K30:AZ30),Periods_in_Year)+1)*Flag_Operations</f>
        <v>7</v>
      </c>
      <c r="BB70" s="10">
        <f>(QUOTIENT(SUM($K30:BA30),Periods_in_Year)+1)*Flag_Operations</f>
        <v>7</v>
      </c>
      <c r="BC70" s="10">
        <f>(QUOTIENT(SUM($K30:BB30),Periods_in_Year)+1)*Flag_Operations</f>
        <v>7</v>
      </c>
      <c r="BD70" s="10">
        <f>(QUOTIENT(SUM($K30:BC30),Periods_in_Year)+1)*Flag_Operations</f>
        <v>7</v>
      </c>
      <c r="BE70" s="10">
        <f>(QUOTIENT(SUM($K30:BD30),Periods_in_Year)+1)*Flag_Operations</f>
        <v>8</v>
      </c>
      <c r="BF70" s="10">
        <f>(QUOTIENT(SUM($K30:BE30),Periods_in_Year)+1)*Flag_Operations</f>
        <v>8</v>
      </c>
      <c r="BG70" s="10">
        <f>(QUOTIENT(SUM($K30:BF30),Periods_in_Year)+1)*Flag_Operations</f>
        <v>8</v>
      </c>
      <c r="BH70" s="10">
        <f>(QUOTIENT(SUM($K30:BG30),Periods_in_Year)+1)*Flag_Operations</f>
        <v>8</v>
      </c>
      <c r="BI70" s="10">
        <f>(QUOTIENT(SUM($K30:BH30),Periods_in_Year)+1)*Flag_Operations</f>
        <v>9</v>
      </c>
      <c r="BJ70" s="10">
        <f>(QUOTIENT(SUM($K30:BI30),Periods_in_Year)+1)*Flag_Operations</f>
        <v>9</v>
      </c>
      <c r="BK70" s="10">
        <f>(QUOTIENT(SUM($K30:BJ30),Periods_in_Year)+1)*Flag_Operations</f>
        <v>9</v>
      </c>
      <c r="BL70" s="10">
        <f>(QUOTIENT(SUM($K30:BK30),Periods_in_Year)+1)*Flag_Operations</f>
        <v>9</v>
      </c>
      <c r="BM70" s="10">
        <f>(QUOTIENT(SUM($K30:BL30),Periods_in_Year)+1)*Flag_Operations</f>
        <v>10</v>
      </c>
      <c r="BN70" s="10">
        <f>(QUOTIENT(SUM($K30:BM30),Periods_in_Year)+1)*Flag_Operations</f>
        <v>10</v>
      </c>
      <c r="BO70" s="10">
        <f>(QUOTIENT(SUM($K30:BN30),Periods_in_Year)+1)*Flag_Operations</f>
        <v>10</v>
      </c>
      <c r="BP70" s="10">
        <f>(QUOTIENT(SUM($K30:BO30),Periods_in_Year)+1)*Flag_Operations</f>
        <v>10</v>
      </c>
      <c r="BQ70" s="10">
        <f>(QUOTIENT(SUM($K30:BP30),Periods_in_Year)+1)*Flag_Operations</f>
        <v>11</v>
      </c>
      <c r="BR70" s="10">
        <f>(QUOTIENT(SUM($K30:BQ30),Periods_in_Year)+1)*Flag_Operations</f>
        <v>11</v>
      </c>
      <c r="BS70" s="10">
        <f>(QUOTIENT(SUM($K30:BR30),Periods_in_Year)+1)*Flag_Operations</f>
        <v>11</v>
      </c>
      <c r="BT70" s="10">
        <f>(QUOTIENT(SUM($K30:BS30),Periods_in_Year)+1)*Flag_Operations</f>
        <v>11</v>
      </c>
      <c r="BU70" s="10">
        <f>(QUOTIENT(SUM($K30:BT30),Periods_in_Year)+1)*Flag_Operations</f>
        <v>12</v>
      </c>
      <c r="BV70" s="10">
        <f>(QUOTIENT(SUM($K30:BU30),Periods_in_Year)+1)*Flag_Operations</f>
        <v>12</v>
      </c>
      <c r="BW70" s="10">
        <f>(QUOTIENT(SUM($K30:BV30),Periods_in_Year)+1)*Flag_Operations</f>
        <v>12</v>
      </c>
      <c r="BX70" s="10">
        <f>(QUOTIENT(SUM($K30:BW30),Periods_in_Year)+1)*Flag_Operations</f>
        <v>12</v>
      </c>
      <c r="BY70" s="10">
        <f>(QUOTIENT(SUM($K30:BX30),Periods_in_Year)+1)*Flag_Operations</f>
        <v>13</v>
      </c>
      <c r="BZ70" s="10">
        <f>(QUOTIENT(SUM($K30:BY30),Periods_in_Year)+1)*Flag_Operations</f>
        <v>13</v>
      </c>
      <c r="CA70" s="10">
        <f>(QUOTIENT(SUM($K30:BZ30),Periods_in_Year)+1)*Flag_Operations</f>
        <v>13</v>
      </c>
      <c r="CB70" s="10">
        <f>(QUOTIENT(SUM($K30:CA30),Periods_in_Year)+1)*Flag_Operations</f>
        <v>13</v>
      </c>
      <c r="CC70" s="10">
        <f>(QUOTIENT(SUM($K30:CB30),Periods_in_Year)+1)*Flag_Operations</f>
        <v>14</v>
      </c>
      <c r="CD70" s="10">
        <f>(QUOTIENT(SUM($K30:CC30),Periods_in_Year)+1)*Flag_Operations</f>
        <v>14</v>
      </c>
      <c r="CE70" s="10">
        <f>(QUOTIENT(SUM($K30:CD30),Periods_in_Year)+1)*Flag_Operations</f>
        <v>14</v>
      </c>
      <c r="CF70" s="10">
        <f>(QUOTIENT(SUM($K30:CE30),Periods_in_Year)+1)*Flag_Operations</f>
        <v>14</v>
      </c>
      <c r="CG70" s="10">
        <f>(QUOTIENT(SUM($K30:CF30),Periods_in_Year)+1)*Flag_Operations</f>
        <v>15</v>
      </c>
      <c r="CH70" s="10">
        <f>(QUOTIENT(SUM($K30:CG30),Periods_in_Year)+1)*Flag_Operations</f>
        <v>15</v>
      </c>
      <c r="CI70" s="10">
        <f>(QUOTIENT(SUM($K30:CH30),Periods_in_Year)+1)*Flag_Operations</f>
        <v>15</v>
      </c>
      <c r="CJ70" s="10">
        <f>(QUOTIENT(SUM($K30:CI30),Periods_in_Year)+1)*Flag_Operations</f>
        <v>15</v>
      </c>
      <c r="CK70" s="10">
        <f>(QUOTIENT(SUM($K30:CJ30),Periods_in_Year)+1)*Flag_Operations</f>
        <v>16</v>
      </c>
      <c r="CL70" s="10">
        <f>(QUOTIENT(SUM($K30:CK30),Periods_in_Year)+1)*Flag_Operations</f>
        <v>16</v>
      </c>
      <c r="CM70" s="10">
        <f>(QUOTIENT(SUM($K30:CL30),Periods_in_Year)+1)*Flag_Operations</f>
        <v>16</v>
      </c>
      <c r="CN70" s="10">
        <f>(QUOTIENT(SUM($K30:CM30),Periods_in_Year)+1)*Flag_Operations</f>
        <v>16</v>
      </c>
      <c r="CO70" s="10">
        <f>(QUOTIENT(SUM($K30:CN30),Periods_in_Year)+1)*Flag_Operations</f>
        <v>17</v>
      </c>
    </row>
    <row r="71" spans="1:93">
      <c r="A71" s="77"/>
      <c r="B71" s="10"/>
      <c r="C71" s="17"/>
      <c r="D71" s="22"/>
      <c r="E71" s="62"/>
      <c r="F71" s="22"/>
      <c r="G71" s="11"/>
      <c r="H71" s="150"/>
      <c r="I71" s="150"/>
      <c r="J71" s="150"/>
      <c r="K71" s="150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/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</row>
    <row r="72" spans="1:93" ht="16.5" thickBot="1">
      <c r="A72" s="77"/>
      <c r="B72" s="13"/>
      <c r="C72" s="12" t="s">
        <v>382</v>
      </c>
      <c r="D72" s="12"/>
      <c r="E72" s="12"/>
      <c r="F72" s="12"/>
      <c r="G72" s="360"/>
      <c r="H72" s="12"/>
      <c r="I72" s="12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</row>
    <row r="73" spans="1:93">
      <c r="A73" s="77"/>
      <c r="B73" s="11"/>
      <c r="C73" s="17"/>
      <c r="D73" s="11"/>
      <c r="E73" s="11"/>
      <c r="F73" s="11"/>
      <c r="G73" s="11"/>
      <c r="H73" s="11"/>
      <c r="I73" s="15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364"/>
      <c r="CK73" s="10"/>
      <c r="CL73" s="10"/>
      <c r="CM73" s="10"/>
      <c r="CN73" s="10"/>
      <c r="CO73" s="10"/>
    </row>
    <row r="74" spans="1:93">
      <c r="A74" s="77"/>
      <c r="B74" s="11"/>
      <c r="C74" s="41" t="s">
        <v>440</v>
      </c>
      <c r="D74" s="11"/>
      <c r="E74" s="11"/>
      <c r="F74" s="11"/>
      <c r="G74" s="11"/>
      <c r="H74" s="11"/>
      <c r="I74" s="15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</row>
    <row r="75" spans="1:93">
      <c r="A75" s="77"/>
      <c r="B75" s="13"/>
      <c r="C75" s="17" t="s">
        <v>301</v>
      </c>
      <c r="D75" s="10"/>
      <c r="E75" s="62"/>
      <c r="F75" s="11"/>
      <c r="G75" s="11" t="s">
        <v>378</v>
      </c>
      <c r="H75" s="10"/>
      <c r="I75" s="150"/>
      <c r="J75" s="10"/>
      <c r="K75" s="10"/>
      <c r="L75" s="148">
        <f ca="1">(1+SUMIF(Year_Unic,Year,Предпосылки!$L$58:$AY$58))^(Months_in_Period/Months_in_Year)</f>
        <v>1.014194887410651</v>
      </c>
      <c r="M75" s="148">
        <f ca="1">(1+SUMIF(Year_Unic,Year,Предпосылки!$L$58:$AY$58))^(Months_in_Period/Months_in_Year)</f>
        <v>1.014194887410651</v>
      </c>
      <c r="N75" s="148">
        <f ca="1">(1+SUMIF(Year_Unic,Year,Предпосылки!$L$58:$AY$58))^(Months_in_Period/Months_in_Year)</f>
        <v>1.014194887410651</v>
      </c>
      <c r="O75" s="148">
        <f ca="1">(1+SUMIF(Year_Unic,Year,Предпосылки!$L$58:$AY$58))^(Months_in_Period/Months_in_Year)</f>
        <v>1.014194887410651</v>
      </c>
      <c r="P75" s="148">
        <f ca="1">(1+SUMIF(Year_Unic,Year,Предпосылки!$L$58:$AY$58))^(Months_in_Period/Months_in_Year)</f>
        <v>1.0098534065489688</v>
      </c>
      <c r="Q75" s="148">
        <f ca="1">(1+SUMIF(Year_Unic,Year,Предпосылки!$L$58:$AY$58))^(Months_in_Period/Months_in_Year)</f>
        <v>1.0098534065489688</v>
      </c>
      <c r="R75" s="148">
        <f ca="1">(1+SUMIF(Year_Unic,Year,Предпосылки!$L$58:$AY$58))^(Months_in_Period/Months_in_Year)</f>
        <v>1.0098534065489688</v>
      </c>
      <c r="S75" s="148">
        <f ca="1">(1+SUMIF(Year_Unic,Year,Предпосылки!$L$58:$AY$58))^(Months_in_Period/Months_in_Year)</f>
        <v>1.0098534065489688</v>
      </c>
      <c r="T75" s="148">
        <f ca="1">(1+SUMIF(Year_Unic,Year,Предпосылки!$L$58:$AY$58))^(Months_in_Period/Months_in_Year)</f>
        <v>1.0098534065489688</v>
      </c>
      <c r="U75" s="148">
        <f ca="1">(1+SUMIF(Year_Unic,Year,Предпосылки!$L$58:$AY$58))^(Months_in_Period/Months_in_Year)</f>
        <v>1.0098534065489688</v>
      </c>
      <c r="V75" s="148">
        <f ca="1">(1+SUMIF(Year_Unic,Year,Предпосылки!$L$58:$AY$58))^(Months_in_Period/Months_in_Year)</f>
        <v>1.0098534065489688</v>
      </c>
      <c r="W75" s="148">
        <f ca="1">(1+SUMIF(Year_Unic,Year,Предпосылки!$L$58:$AY$58))^(Months_in_Period/Months_in_Year)</f>
        <v>1.0098534065489688</v>
      </c>
      <c r="X75" s="148">
        <f ca="1">(1+SUMIF(Year_Unic,Year,Предпосылки!$L$58:$AY$58))^(Months_in_Period/Months_in_Year)</f>
        <v>1.0098534065489688</v>
      </c>
      <c r="Y75" s="148">
        <f ca="1">(1+SUMIF(Year_Unic,Year,Предпосылки!$L$58:$AY$58))^(Months_in_Period/Months_in_Year)</f>
        <v>1.0098534065489688</v>
      </c>
      <c r="Z75" s="148">
        <f ca="1">(1+SUMIF(Year_Unic,Year,Предпосылки!$L$58:$AY$58))^(Months_in_Period/Months_in_Year)</f>
        <v>1.0098534065489688</v>
      </c>
      <c r="AA75" s="148">
        <f ca="1">(1+SUMIF(Year_Unic,Year,Предпосылки!$L$58:$AY$58))^(Months_in_Period/Months_in_Year)</f>
        <v>1.0098534065489688</v>
      </c>
      <c r="AB75" s="148">
        <f ca="1">(1+SUMIF(Year_Unic,Year,Предпосылки!$L$58:$AY$58))^(Months_in_Period/Months_in_Year)</f>
        <v>1.0098534065489688</v>
      </c>
      <c r="AC75" s="148">
        <f ca="1">(1+SUMIF(Year_Unic,Year,Предпосылки!$L$58:$AY$58))^(Months_in_Period/Months_in_Year)</f>
        <v>1.0098534065489688</v>
      </c>
      <c r="AD75" s="148">
        <f ca="1">(1+SUMIF(Year_Unic,Year,Предпосылки!$L$58:$AY$58))^(Months_in_Period/Months_in_Year)</f>
        <v>1.0098534065489688</v>
      </c>
      <c r="AE75" s="148">
        <f ca="1">(1+SUMIF(Year_Unic,Year,Предпосылки!$L$58:$AY$58))^(Months_in_Period/Months_in_Year)</f>
        <v>1.0098534065489688</v>
      </c>
      <c r="AF75" s="148">
        <f ca="1">(1+SUMIF(Year_Unic,Year,Предпосылки!$L$58:$AY$58))^(Months_in_Period/Months_in_Year)</f>
        <v>1.0098534065489688</v>
      </c>
      <c r="AG75" s="148">
        <f ca="1">(1+SUMIF(Year_Unic,Year,Предпосылки!$L$58:$AY$58))^(Months_in_Period/Months_in_Year)</f>
        <v>1.0098534065489688</v>
      </c>
      <c r="AH75" s="148">
        <f ca="1">(1+SUMIF(Year_Unic,Year,Предпосылки!$L$58:$AY$58))^(Months_in_Period/Months_in_Year)</f>
        <v>1.0098534065489688</v>
      </c>
      <c r="AI75" s="148">
        <f ca="1">(1+SUMIF(Year_Unic,Year,Предпосылки!$L$58:$AY$58))^(Months_in_Period/Months_in_Year)</f>
        <v>1.0098534065489688</v>
      </c>
      <c r="AJ75" s="148">
        <f ca="1">(1+SUMIF(Year_Unic,Year,Предпосылки!$L$58:$AY$58))^(Months_in_Period/Months_in_Year)</f>
        <v>1.0098534065489688</v>
      </c>
      <c r="AK75" s="148">
        <f ca="1">(1+SUMIF(Year_Unic,Year,Предпосылки!$L$58:$AY$58))^(Months_in_Period/Months_in_Year)</f>
        <v>1.0098534065489688</v>
      </c>
      <c r="AL75" s="148">
        <f ca="1">(1+SUMIF(Year_Unic,Year,Предпосылки!$L$58:$AY$58))^(Months_in_Period/Months_in_Year)</f>
        <v>1.0098534065489688</v>
      </c>
      <c r="AM75" s="148">
        <f ca="1">(1+SUMIF(Year_Unic,Year,Предпосылки!$L$58:$AY$58))^(Months_in_Period/Months_in_Year)</f>
        <v>1.0098534065489688</v>
      </c>
      <c r="AN75" s="148">
        <f ca="1">(1+SUMIF(Year_Unic,Year,Предпосылки!$L$58:$AY$58))^(Months_in_Period/Months_in_Year)</f>
        <v>1.0098534065489688</v>
      </c>
      <c r="AO75" s="148">
        <f ca="1">(1+SUMIF(Year_Unic,Year,Предпосылки!$L$58:$AY$58))^(Months_in_Period/Months_in_Year)</f>
        <v>1.0098534065489688</v>
      </c>
      <c r="AP75" s="148">
        <f ca="1">(1+SUMIF(Year_Unic,Year,Предпосылки!$L$58:$AY$58))^(Months_in_Period/Months_in_Year)</f>
        <v>1.0098534065489688</v>
      </c>
      <c r="AQ75" s="148">
        <f ca="1">(1+SUMIF(Year_Unic,Year,Предпосылки!$L$58:$AY$58))^(Months_in_Period/Months_in_Year)</f>
        <v>1.0098534065489688</v>
      </c>
      <c r="AR75" s="148">
        <f ca="1">(1+SUMIF(Year_Unic,Year,Предпосылки!$L$58:$AY$58))^(Months_in_Period/Months_in_Year)</f>
        <v>1.0098534065489688</v>
      </c>
      <c r="AS75" s="148">
        <f ca="1">(1+SUMIF(Year_Unic,Year,Предпосылки!$L$58:$AY$58))^(Months_in_Period/Months_in_Year)</f>
        <v>1.0098534065489688</v>
      </c>
      <c r="AT75" s="148">
        <f ca="1">(1+SUMIF(Year_Unic,Year,Предпосылки!$L$58:$AY$58))^(Months_in_Period/Months_in_Year)</f>
        <v>1.0098534065489688</v>
      </c>
      <c r="AU75" s="148">
        <f ca="1">(1+SUMIF(Year_Unic,Year,Предпосылки!$L$58:$AY$58))^(Months_in_Period/Months_in_Year)</f>
        <v>1.0098534065489688</v>
      </c>
      <c r="AV75" s="148">
        <f ca="1">(1+SUMIF(Year_Unic,Year,Предпосылки!$L$58:$AY$58))^(Months_in_Period/Months_in_Year)</f>
        <v>1.0098534065489688</v>
      </c>
      <c r="AW75" s="148">
        <f ca="1">(1+SUMIF(Year_Unic,Year,Предпосылки!$L$58:$AY$58))^(Months_in_Period/Months_in_Year)</f>
        <v>1.0098534065489688</v>
      </c>
      <c r="AX75" s="148">
        <f ca="1">(1+SUMIF(Year_Unic,Year,Предпосылки!$L$58:$AY$58))^(Months_in_Period/Months_in_Year)</f>
        <v>1.0098534065489688</v>
      </c>
      <c r="AY75" s="148">
        <f ca="1">(1+SUMIF(Year_Unic,Year,Предпосылки!$L$58:$AY$58))^(Months_in_Period/Months_in_Year)</f>
        <v>1.0098534065489688</v>
      </c>
      <c r="AZ75" s="148">
        <f ca="1">(1+SUMIF(Year_Unic,Year,Предпосылки!$L$58:$AY$58))^(Months_in_Period/Months_in_Year)</f>
        <v>1.0098534065489688</v>
      </c>
      <c r="BA75" s="148">
        <f ca="1">(1+SUMIF(Year_Unic,Year,Предпосылки!$L$58:$AY$58))^(Months_in_Period/Months_in_Year)</f>
        <v>1.0098534065489688</v>
      </c>
      <c r="BB75" s="148">
        <f ca="1">(1+SUMIF(Year_Unic,Year,Предпосылки!$L$58:$AY$58))^(Months_in_Period/Months_in_Year)</f>
        <v>1.0098534065489688</v>
      </c>
      <c r="BC75" s="148">
        <f ca="1">(1+SUMIF(Year_Unic,Year,Предпосылки!$L$58:$AY$58))^(Months_in_Period/Months_in_Year)</f>
        <v>1.0098534065489688</v>
      </c>
      <c r="BD75" s="148">
        <f ca="1">(1+SUMIF(Year_Unic,Year,Предпосылки!$L$58:$AY$58))^(Months_in_Period/Months_in_Year)</f>
        <v>1.0098534065489688</v>
      </c>
      <c r="BE75" s="148">
        <f ca="1">(1+SUMIF(Year_Unic,Year,Предпосылки!$L$58:$AY$58))^(Months_in_Period/Months_in_Year)</f>
        <v>1.0098534065489688</v>
      </c>
      <c r="BF75" s="148">
        <f ca="1">(1+SUMIF(Year_Unic,Year,Предпосылки!$L$58:$AY$58))^(Months_in_Period/Months_in_Year)</f>
        <v>1.0098534065489688</v>
      </c>
      <c r="BG75" s="148">
        <f ca="1">(1+SUMIF(Year_Unic,Year,Предпосылки!$L$58:$AY$58))^(Months_in_Period/Months_in_Year)</f>
        <v>1.0098534065489688</v>
      </c>
      <c r="BH75" s="148">
        <f ca="1">(1+SUMIF(Year_Unic,Year,Предпосылки!$L$58:$AY$58))^(Months_in_Period/Months_in_Year)</f>
        <v>1.0098534065489688</v>
      </c>
      <c r="BI75" s="148">
        <f ca="1">(1+SUMIF(Year_Unic,Year,Предпосылки!$L$58:$AY$58))^(Months_in_Period/Months_in_Year)</f>
        <v>1.0098534065489688</v>
      </c>
      <c r="BJ75" s="148">
        <f ca="1">(1+SUMIF(Year_Unic,Year,Предпосылки!$L$58:$AY$58))^(Months_in_Period/Months_in_Year)</f>
        <v>1.0098534065489688</v>
      </c>
      <c r="BK75" s="148">
        <f ca="1">(1+SUMIF(Year_Unic,Year,Предпосылки!$L$58:$AY$58))^(Months_in_Period/Months_in_Year)</f>
        <v>1.0098534065489688</v>
      </c>
      <c r="BL75" s="148">
        <f ca="1">(1+SUMIF(Year_Unic,Year,Предпосылки!$L$58:$AY$58))^(Months_in_Period/Months_in_Year)</f>
        <v>1.0098534065489688</v>
      </c>
      <c r="BM75" s="148">
        <f ca="1">(1+SUMIF(Year_Unic,Year,Предпосылки!$L$58:$AY$58))^(Months_in_Period/Months_in_Year)</f>
        <v>1.0098534065489688</v>
      </c>
      <c r="BN75" s="148">
        <f ca="1">(1+SUMIF(Year_Unic,Year,Предпосылки!$L$58:$AY$58))^(Months_in_Period/Months_in_Year)</f>
        <v>1.0098534065489688</v>
      </c>
      <c r="BO75" s="148">
        <f ca="1">(1+SUMIF(Year_Unic,Year,Предпосылки!$L$58:$AY$58))^(Months_in_Period/Months_in_Year)</f>
        <v>1.0098534065489688</v>
      </c>
      <c r="BP75" s="148">
        <f ca="1">(1+SUMIF(Year_Unic,Year,Предпосылки!$L$58:$AY$58))^(Months_in_Period/Months_in_Year)</f>
        <v>1.0098534065489688</v>
      </c>
      <c r="BQ75" s="148">
        <f ca="1">(1+SUMIF(Year_Unic,Year,Предпосылки!$L$58:$AY$58))^(Months_in_Period/Months_in_Year)</f>
        <v>1.0098534065489688</v>
      </c>
      <c r="BR75" s="148">
        <f ca="1">(1+SUMIF(Year_Unic,Year,Предпосылки!$L$58:$AY$58))^(Months_in_Period/Months_in_Year)</f>
        <v>1.0098534065489688</v>
      </c>
      <c r="BS75" s="148">
        <f ca="1">(1+SUMIF(Year_Unic,Year,Предпосылки!$L$58:$AY$58))^(Months_in_Period/Months_in_Year)</f>
        <v>1.0098534065489688</v>
      </c>
      <c r="BT75" s="148">
        <f ca="1">(1+SUMIF(Year_Unic,Year,Предпосылки!$L$58:$AY$58))^(Months_in_Period/Months_in_Year)</f>
        <v>1.0098534065489688</v>
      </c>
      <c r="BU75" s="148">
        <f ca="1">(1+SUMIF(Year_Unic,Year,Предпосылки!$L$58:$AY$58))^(Months_in_Period/Months_in_Year)</f>
        <v>1.0098534065489688</v>
      </c>
      <c r="BV75" s="148">
        <f ca="1">(1+SUMIF(Year_Unic,Year,Предпосылки!$L$58:$AY$58))^(Months_in_Period/Months_in_Year)</f>
        <v>1.0098534065489688</v>
      </c>
      <c r="BW75" s="148">
        <f ca="1">(1+SUMIF(Year_Unic,Year,Предпосылки!$L$58:$AY$58))^(Months_in_Period/Months_in_Year)</f>
        <v>1.0098534065489688</v>
      </c>
      <c r="BX75" s="148">
        <f ca="1">(1+SUMIF(Year_Unic,Year,Предпосылки!$L$58:$AY$58))^(Months_in_Period/Months_in_Year)</f>
        <v>1.0098534065489688</v>
      </c>
      <c r="BY75" s="148">
        <f ca="1">(1+SUMIF(Year_Unic,Year,Предпосылки!$L$58:$AY$58))^(Months_in_Period/Months_in_Year)</f>
        <v>1.0098534065489688</v>
      </c>
      <c r="BZ75" s="148">
        <f ca="1">(1+SUMIF(Year_Unic,Year,Предпосылки!$L$58:$AY$58))^(Months_in_Period/Months_in_Year)</f>
        <v>1.0098534065489688</v>
      </c>
      <c r="CA75" s="148">
        <f ca="1">(1+SUMIF(Year_Unic,Year,Предпосылки!$L$58:$AY$58))^(Months_in_Period/Months_in_Year)</f>
        <v>1.0098534065489688</v>
      </c>
      <c r="CB75" s="148">
        <f ca="1">(1+SUMIF(Year_Unic,Year,Предпосылки!$L$58:$AY$58))^(Months_in_Period/Months_in_Year)</f>
        <v>1.0098534065489688</v>
      </c>
      <c r="CC75" s="148">
        <f ca="1">(1+SUMIF(Year_Unic,Year,Предпосылки!$L$58:$AY$58))^(Months_in_Period/Months_in_Year)</f>
        <v>1.0098534065489688</v>
      </c>
      <c r="CD75" s="148">
        <f ca="1">(1+SUMIF(Year_Unic,Year,Предпосылки!$L$58:$AY$58))^(Months_in_Period/Months_in_Year)</f>
        <v>1.0098534065489688</v>
      </c>
      <c r="CE75" s="148">
        <f ca="1">(1+SUMIF(Year_Unic,Year,Предпосылки!$L$58:$AY$58))^(Months_in_Period/Months_in_Year)</f>
        <v>1.0098534065489688</v>
      </c>
      <c r="CF75" s="148">
        <f ca="1">(1+SUMIF(Year_Unic,Year,Предпосылки!$L$58:$AY$58))^(Months_in_Period/Months_in_Year)</f>
        <v>1.0098534065489688</v>
      </c>
      <c r="CG75" s="148">
        <f ca="1">(1+SUMIF(Year_Unic,Year,Предпосылки!$L$58:$AY$58))^(Months_in_Period/Months_in_Year)</f>
        <v>1.0098534065489688</v>
      </c>
      <c r="CH75" s="148">
        <f ca="1">(1+SUMIF(Year_Unic,Year,Предпосылки!$L$58:$AY$58))^(Months_in_Period/Months_in_Year)</f>
        <v>1.0098534065489688</v>
      </c>
      <c r="CI75" s="148">
        <f ca="1">(1+SUMIF(Year_Unic,Year,Предпосылки!$L$58:$AY$58))^(Months_in_Period/Months_in_Year)</f>
        <v>1.0098534065489688</v>
      </c>
      <c r="CJ75" s="148">
        <f ca="1">(1+SUMIF(Year_Unic,Year,Предпосылки!$L$58:$AY$58))^(Months_in_Period/Months_in_Year)</f>
        <v>1.0098534065489688</v>
      </c>
      <c r="CK75" s="148">
        <f ca="1">(1+SUMIF(Year_Unic,Year,Предпосылки!$L$58:$AY$58))^(Months_in_Period/Months_in_Year)</f>
        <v>1.0098534065489688</v>
      </c>
      <c r="CL75" s="148">
        <f ca="1">(1+SUMIF(Year_Unic,Year,Предпосылки!$L$58:$AY$58))^(Months_in_Period/Months_in_Year)</f>
        <v>1.0098534065489688</v>
      </c>
      <c r="CM75" s="148">
        <f ca="1">(1+SUMIF(Year_Unic,Year,Предпосылки!$L$58:$AY$58))^(Months_in_Period/Months_in_Year)</f>
        <v>1.0098534065489688</v>
      </c>
      <c r="CN75" s="148">
        <f ca="1">(1+SUMIF(Year_Unic,Year,Предпосылки!$L$58:$AY$58))^(Months_in_Period/Months_in_Year)</f>
        <v>1.0098534065489688</v>
      </c>
      <c r="CO75" s="148">
        <f ca="1">(1+SUMIF(Year_Unic,Year,Предпосылки!$L$58:$AY$58))^(Months_in_Period/Months_in_Year)</f>
        <v>1.0098534065489688</v>
      </c>
    </row>
    <row r="76" spans="1:93">
      <c r="A76" s="77"/>
      <c r="B76" s="13"/>
      <c r="C76" s="17" t="s">
        <v>49</v>
      </c>
      <c r="D76" s="10"/>
      <c r="E76" s="62"/>
      <c r="F76" s="11"/>
      <c r="G76" s="11" t="s">
        <v>378</v>
      </c>
      <c r="H76" s="10"/>
      <c r="I76" s="150"/>
      <c r="J76" s="10"/>
      <c r="K76" s="10"/>
      <c r="L76" s="148">
        <f t="shared" ref="L76:R76" ca="1" si="187">IF(Flag_Historical,1,L75)</f>
        <v>1.014194887410651</v>
      </c>
      <c r="M76" s="148">
        <f t="shared" ca="1" si="187"/>
        <v>1.014194887410651</v>
      </c>
      <c r="N76" s="148">
        <f t="shared" ca="1" si="187"/>
        <v>1.014194887410651</v>
      </c>
      <c r="O76" s="148">
        <f t="shared" ca="1" si="187"/>
        <v>1.014194887410651</v>
      </c>
      <c r="P76" s="148">
        <f t="shared" ca="1" si="187"/>
        <v>1.0098534065489688</v>
      </c>
      <c r="Q76" s="148">
        <f t="shared" ca="1" si="187"/>
        <v>1.0098534065489688</v>
      </c>
      <c r="R76" s="148">
        <f t="shared" ca="1" si="187"/>
        <v>1.0098534065489688</v>
      </c>
      <c r="S76" s="148">
        <f ca="1">IF(Flag_Historical,1,S75)</f>
        <v>1.0098534065489688</v>
      </c>
      <c r="T76" s="148">
        <f t="shared" ref="T76:CE76" ca="1" si="188">IF(Flag_Historical,1,T75)</f>
        <v>1.0098534065489688</v>
      </c>
      <c r="U76" s="148">
        <f t="shared" ca="1" si="188"/>
        <v>1.0098534065489688</v>
      </c>
      <c r="V76" s="148">
        <f t="shared" ca="1" si="188"/>
        <v>1.0098534065489688</v>
      </c>
      <c r="W76" s="148">
        <f t="shared" ca="1" si="188"/>
        <v>1.0098534065489688</v>
      </c>
      <c r="X76" s="148">
        <f t="shared" ca="1" si="188"/>
        <v>1.0098534065489688</v>
      </c>
      <c r="Y76" s="148">
        <f t="shared" ca="1" si="188"/>
        <v>1.0098534065489688</v>
      </c>
      <c r="Z76" s="148">
        <f t="shared" ca="1" si="188"/>
        <v>1.0098534065489688</v>
      </c>
      <c r="AA76" s="148">
        <f t="shared" ca="1" si="188"/>
        <v>1.0098534065489688</v>
      </c>
      <c r="AB76" s="148">
        <f t="shared" ca="1" si="188"/>
        <v>1.0098534065489688</v>
      </c>
      <c r="AC76" s="148">
        <f t="shared" ca="1" si="188"/>
        <v>1.0098534065489688</v>
      </c>
      <c r="AD76" s="148">
        <f t="shared" ca="1" si="188"/>
        <v>1.0098534065489688</v>
      </c>
      <c r="AE76" s="148">
        <f t="shared" ca="1" si="188"/>
        <v>1.0098534065489688</v>
      </c>
      <c r="AF76" s="148">
        <f t="shared" ca="1" si="188"/>
        <v>1.0098534065489688</v>
      </c>
      <c r="AG76" s="148">
        <f t="shared" ca="1" si="188"/>
        <v>1.0098534065489688</v>
      </c>
      <c r="AH76" s="148">
        <f t="shared" ca="1" si="188"/>
        <v>1.0098534065489688</v>
      </c>
      <c r="AI76" s="148">
        <f t="shared" ca="1" si="188"/>
        <v>1.0098534065489688</v>
      </c>
      <c r="AJ76" s="148">
        <f t="shared" ca="1" si="188"/>
        <v>1.0098534065489688</v>
      </c>
      <c r="AK76" s="148">
        <f t="shared" ca="1" si="188"/>
        <v>1.0098534065489688</v>
      </c>
      <c r="AL76" s="148">
        <f t="shared" ca="1" si="188"/>
        <v>1.0098534065489688</v>
      </c>
      <c r="AM76" s="148">
        <f t="shared" ca="1" si="188"/>
        <v>1.0098534065489688</v>
      </c>
      <c r="AN76" s="148">
        <f t="shared" ca="1" si="188"/>
        <v>1.0098534065489688</v>
      </c>
      <c r="AO76" s="148">
        <f t="shared" ca="1" si="188"/>
        <v>1.0098534065489688</v>
      </c>
      <c r="AP76" s="148">
        <f t="shared" ca="1" si="188"/>
        <v>1.0098534065489688</v>
      </c>
      <c r="AQ76" s="148">
        <f t="shared" ca="1" si="188"/>
        <v>1.0098534065489688</v>
      </c>
      <c r="AR76" s="148">
        <f t="shared" ca="1" si="188"/>
        <v>1.0098534065489688</v>
      </c>
      <c r="AS76" s="148">
        <f t="shared" ca="1" si="188"/>
        <v>1.0098534065489688</v>
      </c>
      <c r="AT76" s="148">
        <f t="shared" ca="1" si="188"/>
        <v>1.0098534065489688</v>
      </c>
      <c r="AU76" s="148">
        <f t="shared" ca="1" si="188"/>
        <v>1.0098534065489688</v>
      </c>
      <c r="AV76" s="148">
        <f t="shared" ca="1" si="188"/>
        <v>1.0098534065489688</v>
      </c>
      <c r="AW76" s="148">
        <f t="shared" ca="1" si="188"/>
        <v>1.0098534065489688</v>
      </c>
      <c r="AX76" s="148">
        <f t="shared" ca="1" si="188"/>
        <v>1.0098534065489688</v>
      </c>
      <c r="AY76" s="148">
        <f t="shared" ca="1" si="188"/>
        <v>1.0098534065489688</v>
      </c>
      <c r="AZ76" s="148">
        <f t="shared" ca="1" si="188"/>
        <v>1.0098534065489688</v>
      </c>
      <c r="BA76" s="148">
        <f t="shared" ca="1" si="188"/>
        <v>1.0098534065489688</v>
      </c>
      <c r="BB76" s="148">
        <f t="shared" ca="1" si="188"/>
        <v>1.0098534065489688</v>
      </c>
      <c r="BC76" s="148">
        <f t="shared" ca="1" si="188"/>
        <v>1.0098534065489688</v>
      </c>
      <c r="BD76" s="148">
        <f t="shared" ca="1" si="188"/>
        <v>1.0098534065489688</v>
      </c>
      <c r="BE76" s="148">
        <f t="shared" ca="1" si="188"/>
        <v>1.0098534065489688</v>
      </c>
      <c r="BF76" s="148">
        <f t="shared" ca="1" si="188"/>
        <v>1.0098534065489688</v>
      </c>
      <c r="BG76" s="148">
        <f t="shared" ca="1" si="188"/>
        <v>1.0098534065489688</v>
      </c>
      <c r="BH76" s="148">
        <f t="shared" ca="1" si="188"/>
        <v>1.0098534065489688</v>
      </c>
      <c r="BI76" s="148">
        <f t="shared" ca="1" si="188"/>
        <v>1.0098534065489688</v>
      </c>
      <c r="BJ76" s="148">
        <f t="shared" ca="1" si="188"/>
        <v>1.0098534065489688</v>
      </c>
      <c r="BK76" s="148">
        <f t="shared" ca="1" si="188"/>
        <v>1.0098534065489688</v>
      </c>
      <c r="BL76" s="148">
        <f t="shared" ca="1" si="188"/>
        <v>1.0098534065489688</v>
      </c>
      <c r="BM76" s="148">
        <f t="shared" ca="1" si="188"/>
        <v>1.0098534065489688</v>
      </c>
      <c r="BN76" s="148">
        <f t="shared" ca="1" si="188"/>
        <v>1.0098534065489688</v>
      </c>
      <c r="BO76" s="148">
        <f t="shared" ca="1" si="188"/>
        <v>1.0098534065489688</v>
      </c>
      <c r="BP76" s="148">
        <f t="shared" ca="1" si="188"/>
        <v>1.0098534065489688</v>
      </c>
      <c r="BQ76" s="148">
        <f t="shared" ca="1" si="188"/>
        <v>1.0098534065489688</v>
      </c>
      <c r="BR76" s="148">
        <f t="shared" ca="1" si="188"/>
        <v>1.0098534065489688</v>
      </c>
      <c r="BS76" s="148">
        <f t="shared" ca="1" si="188"/>
        <v>1.0098534065489688</v>
      </c>
      <c r="BT76" s="148">
        <f t="shared" ca="1" si="188"/>
        <v>1.0098534065489688</v>
      </c>
      <c r="BU76" s="148">
        <f t="shared" ca="1" si="188"/>
        <v>1.0098534065489688</v>
      </c>
      <c r="BV76" s="148">
        <f t="shared" ca="1" si="188"/>
        <v>1.0098534065489688</v>
      </c>
      <c r="BW76" s="148">
        <f t="shared" ca="1" si="188"/>
        <v>1.0098534065489688</v>
      </c>
      <c r="BX76" s="148">
        <f t="shared" ca="1" si="188"/>
        <v>1.0098534065489688</v>
      </c>
      <c r="BY76" s="148">
        <f t="shared" ca="1" si="188"/>
        <v>1.0098534065489688</v>
      </c>
      <c r="BZ76" s="148">
        <f t="shared" ca="1" si="188"/>
        <v>1.0098534065489688</v>
      </c>
      <c r="CA76" s="148">
        <f t="shared" ca="1" si="188"/>
        <v>1.0098534065489688</v>
      </c>
      <c r="CB76" s="148">
        <f t="shared" ca="1" si="188"/>
        <v>1.0098534065489688</v>
      </c>
      <c r="CC76" s="148">
        <f t="shared" ca="1" si="188"/>
        <v>1.0098534065489688</v>
      </c>
      <c r="CD76" s="148">
        <f t="shared" ca="1" si="188"/>
        <v>1.0098534065489688</v>
      </c>
      <c r="CE76" s="148">
        <f t="shared" ca="1" si="188"/>
        <v>1.0098534065489688</v>
      </c>
      <c r="CF76" s="148">
        <f t="shared" ref="CF76:CO76" ca="1" si="189">IF(Flag_Historical,1,CF75)</f>
        <v>1.0098534065489688</v>
      </c>
      <c r="CG76" s="148">
        <f t="shared" ca="1" si="189"/>
        <v>1.0098534065489688</v>
      </c>
      <c r="CH76" s="148">
        <f t="shared" ca="1" si="189"/>
        <v>1.0098534065489688</v>
      </c>
      <c r="CI76" s="148">
        <f t="shared" ca="1" si="189"/>
        <v>1.0098534065489688</v>
      </c>
      <c r="CJ76" s="148">
        <f t="shared" ca="1" si="189"/>
        <v>1.0098534065489688</v>
      </c>
      <c r="CK76" s="148">
        <f t="shared" ca="1" si="189"/>
        <v>1.0098534065489688</v>
      </c>
      <c r="CL76" s="148">
        <f t="shared" ca="1" si="189"/>
        <v>1.0098534065489688</v>
      </c>
      <c r="CM76" s="148">
        <f t="shared" ca="1" si="189"/>
        <v>1.0098534065489688</v>
      </c>
      <c r="CN76" s="148">
        <f t="shared" ca="1" si="189"/>
        <v>1.0098534065489688</v>
      </c>
      <c r="CO76" s="148">
        <f t="shared" ca="1" si="189"/>
        <v>1.0098534065489688</v>
      </c>
    </row>
    <row r="77" spans="1:93">
      <c r="A77" s="77"/>
      <c r="B77" s="13"/>
      <c r="C77" s="17" t="s">
        <v>143</v>
      </c>
      <c r="D77" s="10"/>
      <c r="E77" s="62"/>
      <c r="F77" s="11"/>
      <c r="G77" s="11" t="s">
        <v>378</v>
      </c>
      <c r="H77" s="10"/>
      <c r="I77" s="150"/>
      <c r="J77" s="10"/>
      <c r="K77" s="10"/>
      <c r="L77" s="148">
        <f t="shared" ref="L77:AQ77" si="190">IF(K77,K77*L76,1)</f>
        <v>1</v>
      </c>
      <c r="M77" s="148">
        <f t="shared" ca="1" si="190"/>
        <v>1.014194887410651</v>
      </c>
      <c r="N77" s="148">
        <f t="shared" ca="1" si="190"/>
        <v>1.0285912696499031</v>
      </c>
      <c r="O77" s="148">
        <f t="shared" ca="1" si="190"/>
        <v>1.043192006914162</v>
      </c>
      <c r="P77" s="148">
        <f t="shared" ca="1" si="190"/>
        <v>1.053471001866922</v>
      </c>
      <c r="Q77" s="148">
        <f t="shared" ca="1" si="190"/>
        <v>1.0638512799358664</v>
      </c>
      <c r="R77" s="148">
        <f t="shared" ca="1" si="190"/>
        <v>1.0743338391047152</v>
      </c>
      <c r="S77" s="148">
        <f t="shared" ca="1" si="190"/>
        <v>1.0849196871907285</v>
      </c>
      <c r="T77" s="148">
        <f t="shared" ca="1" si="190"/>
        <v>1.0956098419415989</v>
      </c>
      <c r="U77" s="148">
        <f t="shared" ca="1" si="190"/>
        <v>1.1064053311333011</v>
      </c>
      <c r="V77" s="148">
        <f t="shared" ca="1" si="190"/>
        <v>1.117307192668904</v>
      </c>
      <c r="W77" s="148">
        <f t="shared" ca="1" si="190"/>
        <v>1.1283164746783578</v>
      </c>
      <c r="X77" s="148">
        <f t="shared" ca="1" si="190"/>
        <v>1.139434235619263</v>
      </c>
      <c r="Y77" s="148">
        <f t="shared" ca="1" si="190"/>
        <v>1.1506615443786332</v>
      </c>
      <c r="Z77" s="148">
        <f t="shared" ca="1" si="190"/>
        <v>1.1619994803756601</v>
      </c>
      <c r="AA77" s="148">
        <f t="shared" ca="1" si="190"/>
        <v>1.173449133665492</v>
      </c>
      <c r="AB77" s="148">
        <f t="shared" ca="1" si="190"/>
        <v>1.1850116050440334</v>
      </c>
      <c r="AC77" s="148">
        <f t="shared" ca="1" si="190"/>
        <v>1.1966880061537783</v>
      </c>
      <c r="AD77" s="148">
        <f t="shared" ca="1" si="190"/>
        <v>1.2084794595906865</v>
      </c>
      <c r="AE77" s="148">
        <f t="shared" ca="1" si="190"/>
        <v>1.2203870990121117</v>
      </c>
      <c r="AF77" s="148">
        <f t="shared" ca="1" si="190"/>
        <v>1.2324120692457947</v>
      </c>
      <c r="AG77" s="148">
        <f t="shared" ca="1" si="190"/>
        <v>1.2445555263999295</v>
      </c>
      <c r="AH77" s="148">
        <f t="shared" ca="1" si="190"/>
        <v>1.2568186379743138</v>
      </c>
      <c r="AI77" s="148">
        <f t="shared" ca="1" si="190"/>
        <v>1.2692025829725959</v>
      </c>
      <c r="AJ77" s="148">
        <f t="shared" ca="1" si="190"/>
        <v>1.2817085520156262</v>
      </c>
      <c r="AK77" s="148">
        <f t="shared" ca="1" si="190"/>
        <v>1.2943377474559263</v>
      </c>
      <c r="AL77" s="148">
        <f t="shared" ca="1" si="190"/>
        <v>1.307091383493286</v>
      </c>
      <c r="AM77" s="148">
        <f t="shared" ca="1" si="190"/>
        <v>1.3199706862914995</v>
      </c>
      <c r="AN77" s="148">
        <f t="shared" ca="1" si="190"/>
        <v>1.332976894096251</v>
      </c>
      <c r="AO77" s="148">
        <f t="shared" ca="1" si="190"/>
        <v>1.3461112573541631</v>
      </c>
      <c r="AP77" s="148">
        <f t="shared" ca="1" si="190"/>
        <v>1.3593750388330172</v>
      </c>
      <c r="AQ77" s="148">
        <f t="shared" ca="1" si="190"/>
        <v>1.3727695137431593</v>
      </c>
      <c r="AR77" s="148">
        <f t="shared" ref="AR77:BW77" ca="1" si="191">IF(AQ77,AQ77*AR76,1)</f>
        <v>1.386295969860101</v>
      </c>
      <c r="AS77" s="148">
        <f t="shared" ca="1" si="191"/>
        <v>1.3999557076483296</v>
      </c>
      <c r="AT77" s="148">
        <f t="shared" ca="1" si="191"/>
        <v>1.4137500403863379</v>
      </c>
      <c r="AU77" s="148">
        <f t="shared" ca="1" si="191"/>
        <v>1.4276802942928857</v>
      </c>
      <c r="AV77" s="148">
        <f t="shared" ca="1" si="191"/>
        <v>1.441747808654505</v>
      </c>
      <c r="AW77" s="148">
        <f t="shared" ca="1" si="191"/>
        <v>1.4559539359542628</v>
      </c>
      <c r="AX77" s="148">
        <f t="shared" ca="1" si="191"/>
        <v>1.4703000420017915</v>
      </c>
      <c r="AY77" s="148">
        <f t="shared" ca="1" si="191"/>
        <v>1.4847875060646012</v>
      </c>
      <c r="AZ77" s="148">
        <f t="shared" ca="1" si="191"/>
        <v>1.4994177210006852</v>
      </c>
      <c r="BA77" s="148">
        <f t="shared" ca="1" si="191"/>
        <v>1.5141920933924333</v>
      </c>
      <c r="BB77" s="148">
        <f t="shared" ca="1" si="191"/>
        <v>1.529112043681863</v>
      </c>
      <c r="BC77" s="148">
        <f t="shared" ca="1" si="191"/>
        <v>1.544179006307185</v>
      </c>
      <c r="BD77" s="148">
        <f t="shared" ca="1" si="191"/>
        <v>1.5593944298407123</v>
      </c>
      <c r="BE77" s="148">
        <f t="shared" ca="1" si="191"/>
        <v>1.5747597771281303</v>
      </c>
      <c r="BF77" s="148">
        <f t="shared" ca="1" si="191"/>
        <v>1.5902765254291373</v>
      </c>
      <c r="BG77" s="148">
        <f t="shared" ca="1" si="191"/>
        <v>1.6059461665594721</v>
      </c>
      <c r="BH77" s="148">
        <f t="shared" ca="1" si="191"/>
        <v>1.6217702070343405</v>
      </c>
      <c r="BI77" s="148">
        <f t="shared" ca="1" si="191"/>
        <v>1.6377501682132551</v>
      </c>
      <c r="BJ77" s="148">
        <f t="shared" ca="1" si="191"/>
        <v>1.6538875864463025</v>
      </c>
      <c r="BK77" s="148">
        <f t="shared" ca="1" si="191"/>
        <v>1.6701840132218508</v>
      </c>
      <c r="BL77" s="148">
        <f t="shared" ca="1" si="191"/>
        <v>1.6866410153157141</v>
      </c>
      <c r="BM77" s="148">
        <f t="shared" ca="1" si="191"/>
        <v>1.7032601749417853</v>
      </c>
      <c r="BN77" s="148">
        <f t="shared" ca="1" si="191"/>
        <v>1.7200430899041546</v>
      </c>
      <c r="BO77" s="148">
        <f t="shared" ca="1" si="191"/>
        <v>1.7369913737507248</v>
      </c>
      <c r="BP77" s="148">
        <f t="shared" ca="1" si="191"/>
        <v>1.7541066559283425</v>
      </c>
      <c r="BQ77" s="148">
        <f t="shared" ca="1" si="191"/>
        <v>1.7713905819394566</v>
      </c>
      <c r="BR77" s="148">
        <f t="shared" ca="1" si="191"/>
        <v>1.7888448135003205</v>
      </c>
      <c r="BS77" s="148">
        <f t="shared" ca="1" si="191"/>
        <v>1.8064710287007535</v>
      </c>
      <c r="BT77" s="148">
        <f t="shared" ca="1" si="191"/>
        <v>1.824270922165476</v>
      </c>
      <c r="BU77" s="148">
        <f t="shared" ca="1" si="191"/>
        <v>1.8422462052170347</v>
      </c>
      <c r="BV77" s="148">
        <f t="shared" ca="1" si="191"/>
        <v>1.8603986060403332</v>
      </c>
      <c r="BW77" s="148">
        <f t="shared" ca="1" si="191"/>
        <v>1.8787298698487835</v>
      </c>
      <c r="BX77" s="148">
        <f t="shared" ref="BX77:CO77" ca="1" si="192">IF(BW77,BW77*BX76,1)</f>
        <v>1.8972417590520949</v>
      </c>
      <c r="BY77" s="148">
        <f t="shared" ca="1" si="192"/>
        <v>1.9159360534257159</v>
      </c>
      <c r="BZ77" s="148">
        <f t="shared" ca="1" si="192"/>
        <v>1.9348145502819463</v>
      </c>
      <c r="CA77" s="148">
        <f t="shared" ca="1" si="192"/>
        <v>1.9538790646427346</v>
      </c>
      <c r="CB77" s="148">
        <f t="shared" ca="1" si="192"/>
        <v>1.9731314294141784</v>
      </c>
      <c r="CC77" s="148">
        <f t="shared" ca="1" si="192"/>
        <v>1.9925734955627443</v>
      </c>
      <c r="CD77" s="148">
        <f t="shared" ca="1" si="192"/>
        <v>2.012207132293224</v>
      </c>
      <c r="CE77" s="148">
        <f t="shared" ca="1" si="192"/>
        <v>2.032034227228444</v>
      </c>
      <c r="CF77" s="148">
        <f t="shared" ca="1" si="192"/>
        <v>2.0520566865907455</v>
      </c>
      <c r="CG77" s="148">
        <f t="shared" ca="1" si="192"/>
        <v>2.0722764353852541</v>
      </c>
      <c r="CH77" s="148">
        <f t="shared" ca="1" si="192"/>
        <v>2.0926954175849528</v>
      </c>
      <c r="CI77" s="148">
        <f t="shared" ca="1" si="192"/>
        <v>2.1133155963175816</v>
      </c>
      <c r="CJ77" s="148">
        <f t="shared" ca="1" si="192"/>
        <v>2.1341389540543751</v>
      </c>
      <c r="CK77" s="148">
        <f t="shared" ca="1" si="192"/>
        <v>2.1551674928006639</v>
      </c>
      <c r="CL77" s="148">
        <f t="shared" ca="1" si="192"/>
        <v>2.1764032342883506</v>
      </c>
      <c r="CM77" s="148">
        <f t="shared" ca="1" si="192"/>
        <v>2.1978482201702843</v>
      </c>
      <c r="CN77" s="148">
        <f t="shared" ca="1" si="192"/>
        <v>2.2195045122165498</v>
      </c>
      <c r="CO77" s="148">
        <f t="shared" ca="1" si="192"/>
        <v>2.2413741925126902</v>
      </c>
    </row>
    <row r="78" spans="1:93">
      <c r="A78" s="77"/>
      <c r="B78" s="13"/>
      <c r="C78" s="17" t="s">
        <v>509</v>
      </c>
      <c r="D78" s="10"/>
      <c r="E78" s="62"/>
      <c r="F78" s="11"/>
      <c r="G78" s="11" t="s">
        <v>378</v>
      </c>
      <c r="H78" s="10"/>
      <c r="I78" s="150"/>
      <c r="J78" s="10"/>
      <c r="K78" s="10"/>
      <c r="L78" s="148">
        <f t="shared" ref="L78:AQ78" si="193">IF(K78,K78*L75,1)</f>
        <v>1</v>
      </c>
      <c r="M78" s="148">
        <f t="shared" ca="1" si="193"/>
        <v>1.014194887410651</v>
      </c>
      <c r="N78" s="148">
        <f t="shared" ca="1" si="193"/>
        <v>1.0285912696499031</v>
      </c>
      <c r="O78" s="148">
        <f t="shared" ca="1" si="193"/>
        <v>1.043192006914162</v>
      </c>
      <c r="P78" s="148">
        <f t="shared" ca="1" si="193"/>
        <v>1.053471001866922</v>
      </c>
      <c r="Q78" s="148">
        <f t="shared" ca="1" si="193"/>
        <v>1.0638512799358664</v>
      </c>
      <c r="R78" s="148">
        <f t="shared" ca="1" si="193"/>
        <v>1.0743338391047152</v>
      </c>
      <c r="S78" s="148">
        <f t="shared" ca="1" si="193"/>
        <v>1.0849196871907285</v>
      </c>
      <c r="T78" s="148">
        <f t="shared" ca="1" si="193"/>
        <v>1.0956098419415989</v>
      </c>
      <c r="U78" s="148">
        <f t="shared" ca="1" si="193"/>
        <v>1.1064053311333011</v>
      </c>
      <c r="V78" s="148">
        <f t="shared" ca="1" si="193"/>
        <v>1.117307192668904</v>
      </c>
      <c r="W78" s="148">
        <f t="shared" ca="1" si="193"/>
        <v>1.1283164746783578</v>
      </c>
      <c r="X78" s="148">
        <f t="shared" ca="1" si="193"/>
        <v>1.139434235619263</v>
      </c>
      <c r="Y78" s="148">
        <f t="shared" ca="1" si="193"/>
        <v>1.1506615443786332</v>
      </c>
      <c r="Z78" s="148">
        <f t="shared" ca="1" si="193"/>
        <v>1.1619994803756601</v>
      </c>
      <c r="AA78" s="148">
        <f t="shared" ca="1" si="193"/>
        <v>1.173449133665492</v>
      </c>
      <c r="AB78" s="148">
        <f t="shared" ca="1" si="193"/>
        <v>1.1850116050440334</v>
      </c>
      <c r="AC78" s="148">
        <f t="shared" ca="1" si="193"/>
        <v>1.1966880061537783</v>
      </c>
      <c r="AD78" s="148">
        <f t="shared" ca="1" si="193"/>
        <v>1.2084794595906865</v>
      </c>
      <c r="AE78" s="148">
        <f t="shared" ca="1" si="193"/>
        <v>1.2203870990121117</v>
      </c>
      <c r="AF78" s="148">
        <f t="shared" ca="1" si="193"/>
        <v>1.2324120692457947</v>
      </c>
      <c r="AG78" s="148">
        <f t="shared" ca="1" si="193"/>
        <v>1.2445555263999295</v>
      </c>
      <c r="AH78" s="148">
        <f t="shared" ca="1" si="193"/>
        <v>1.2568186379743138</v>
      </c>
      <c r="AI78" s="148">
        <f t="shared" ca="1" si="193"/>
        <v>1.2692025829725959</v>
      </c>
      <c r="AJ78" s="148">
        <f t="shared" ca="1" si="193"/>
        <v>1.2817085520156262</v>
      </c>
      <c r="AK78" s="148">
        <f t="shared" ca="1" si="193"/>
        <v>1.2943377474559263</v>
      </c>
      <c r="AL78" s="148">
        <f t="shared" ca="1" si="193"/>
        <v>1.307091383493286</v>
      </c>
      <c r="AM78" s="148">
        <f t="shared" ca="1" si="193"/>
        <v>1.3199706862914995</v>
      </c>
      <c r="AN78" s="148">
        <f t="shared" ca="1" si="193"/>
        <v>1.332976894096251</v>
      </c>
      <c r="AO78" s="148">
        <f t="shared" ca="1" si="193"/>
        <v>1.3461112573541631</v>
      </c>
      <c r="AP78" s="148">
        <f t="shared" ca="1" si="193"/>
        <v>1.3593750388330172</v>
      </c>
      <c r="AQ78" s="148">
        <f t="shared" ca="1" si="193"/>
        <v>1.3727695137431593</v>
      </c>
      <c r="AR78" s="148">
        <f t="shared" ref="AR78:BW78" ca="1" si="194">IF(AQ78,AQ78*AR75,1)</f>
        <v>1.386295969860101</v>
      </c>
      <c r="AS78" s="148">
        <f t="shared" ca="1" si="194"/>
        <v>1.3999557076483296</v>
      </c>
      <c r="AT78" s="148">
        <f t="shared" ca="1" si="194"/>
        <v>1.4137500403863379</v>
      </c>
      <c r="AU78" s="148">
        <f t="shared" ca="1" si="194"/>
        <v>1.4276802942928857</v>
      </c>
      <c r="AV78" s="148">
        <f t="shared" ca="1" si="194"/>
        <v>1.441747808654505</v>
      </c>
      <c r="AW78" s="148">
        <f t="shared" ca="1" si="194"/>
        <v>1.4559539359542628</v>
      </c>
      <c r="AX78" s="148">
        <f t="shared" ca="1" si="194"/>
        <v>1.4703000420017915</v>
      </c>
      <c r="AY78" s="148">
        <f t="shared" ca="1" si="194"/>
        <v>1.4847875060646012</v>
      </c>
      <c r="AZ78" s="148">
        <f t="shared" ca="1" si="194"/>
        <v>1.4994177210006852</v>
      </c>
      <c r="BA78" s="148">
        <f t="shared" ca="1" si="194"/>
        <v>1.5141920933924333</v>
      </c>
      <c r="BB78" s="148">
        <f t="shared" ca="1" si="194"/>
        <v>1.529112043681863</v>
      </c>
      <c r="BC78" s="148">
        <f t="shared" ca="1" si="194"/>
        <v>1.544179006307185</v>
      </c>
      <c r="BD78" s="148">
        <f t="shared" ca="1" si="194"/>
        <v>1.5593944298407123</v>
      </c>
      <c r="BE78" s="148">
        <f t="shared" ca="1" si="194"/>
        <v>1.5747597771281303</v>
      </c>
      <c r="BF78" s="148">
        <f t="shared" ca="1" si="194"/>
        <v>1.5902765254291373</v>
      </c>
      <c r="BG78" s="148">
        <f t="shared" ca="1" si="194"/>
        <v>1.6059461665594721</v>
      </c>
      <c r="BH78" s="148">
        <f t="shared" ca="1" si="194"/>
        <v>1.6217702070343405</v>
      </c>
      <c r="BI78" s="148">
        <f t="shared" ca="1" si="194"/>
        <v>1.6377501682132551</v>
      </c>
      <c r="BJ78" s="148">
        <f t="shared" ca="1" si="194"/>
        <v>1.6538875864463025</v>
      </c>
      <c r="BK78" s="148">
        <f t="shared" ca="1" si="194"/>
        <v>1.6701840132218508</v>
      </c>
      <c r="BL78" s="148">
        <f t="shared" ca="1" si="194"/>
        <v>1.6866410153157141</v>
      </c>
      <c r="BM78" s="148">
        <f t="shared" ca="1" si="194"/>
        <v>1.7032601749417853</v>
      </c>
      <c r="BN78" s="148">
        <f t="shared" ca="1" si="194"/>
        <v>1.7200430899041546</v>
      </c>
      <c r="BO78" s="148">
        <f t="shared" ca="1" si="194"/>
        <v>1.7369913737507248</v>
      </c>
      <c r="BP78" s="148">
        <f t="shared" ca="1" si="194"/>
        <v>1.7541066559283425</v>
      </c>
      <c r="BQ78" s="148">
        <f t="shared" ca="1" si="194"/>
        <v>1.7713905819394566</v>
      </c>
      <c r="BR78" s="148">
        <f t="shared" ca="1" si="194"/>
        <v>1.7888448135003205</v>
      </c>
      <c r="BS78" s="148">
        <f t="shared" ca="1" si="194"/>
        <v>1.8064710287007535</v>
      </c>
      <c r="BT78" s="148">
        <f t="shared" ca="1" si="194"/>
        <v>1.824270922165476</v>
      </c>
      <c r="BU78" s="148">
        <f t="shared" ca="1" si="194"/>
        <v>1.8422462052170347</v>
      </c>
      <c r="BV78" s="148">
        <f t="shared" ca="1" si="194"/>
        <v>1.8603986060403332</v>
      </c>
      <c r="BW78" s="148">
        <f t="shared" ca="1" si="194"/>
        <v>1.8787298698487835</v>
      </c>
      <c r="BX78" s="148">
        <f t="shared" ref="BX78:CO78" ca="1" si="195">IF(BW78,BW78*BX75,1)</f>
        <v>1.8972417590520949</v>
      </c>
      <c r="BY78" s="148">
        <f t="shared" ca="1" si="195"/>
        <v>1.9159360534257159</v>
      </c>
      <c r="BZ78" s="148">
        <f t="shared" ca="1" si="195"/>
        <v>1.9348145502819463</v>
      </c>
      <c r="CA78" s="148">
        <f t="shared" ca="1" si="195"/>
        <v>1.9538790646427346</v>
      </c>
      <c r="CB78" s="148">
        <f t="shared" ca="1" si="195"/>
        <v>1.9731314294141784</v>
      </c>
      <c r="CC78" s="148">
        <f t="shared" ca="1" si="195"/>
        <v>1.9925734955627443</v>
      </c>
      <c r="CD78" s="148">
        <f t="shared" ca="1" si="195"/>
        <v>2.012207132293224</v>
      </c>
      <c r="CE78" s="148">
        <f t="shared" ca="1" si="195"/>
        <v>2.032034227228444</v>
      </c>
      <c r="CF78" s="148">
        <f t="shared" ca="1" si="195"/>
        <v>2.0520566865907455</v>
      </c>
      <c r="CG78" s="148">
        <f t="shared" ca="1" si="195"/>
        <v>2.0722764353852541</v>
      </c>
      <c r="CH78" s="148">
        <f t="shared" ca="1" si="195"/>
        <v>2.0926954175849528</v>
      </c>
      <c r="CI78" s="148">
        <f t="shared" ca="1" si="195"/>
        <v>2.1133155963175816</v>
      </c>
      <c r="CJ78" s="148">
        <f t="shared" ca="1" si="195"/>
        <v>2.1341389540543751</v>
      </c>
      <c r="CK78" s="148">
        <f t="shared" ca="1" si="195"/>
        <v>2.1551674928006639</v>
      </c>
      <c r="CL78" s="148">
        <f t="shared" ca="1" si="195"/>
        <v>2.1764032342883506</v>
      </c>
      <c r="CM78" s="148">
        <f t="shared" ca="1" si="195"/>
        <v>2.1978482201702843</v>
      </c>
      <c r="CN78" s="148">
        <f t="shared" ca="1" si="195"/>
        <v>2.2195045122165498</v>
      </c>
      <c r="CO78" s="148">
        <f t="shared" ca="1" si="195"/>
        <v>2.2413741925126902</v>
      </c>
    </row>
    <row r="79" spans="1:93">
      <c r="A79" s="77"/>
      <c r="B79" s="13"/>
      <c r="C79" s="17" t="str">
        <f xml:space="preserve"> "накопленный ИПЦ с " &amp; TEXT(E79,"ДД.ММ.ГГ") &amp; " - по периодам"</f>
        <v>накопленный ИПЦ с 01.01.25 - по периодам</v>
      </c>
      <c r="D79" s="10"/>
      <c r="E79" s="71">
        <f xml:space="preserve"> Date_Forecast_Start</f>
        <v>45658</v>
      </c>
      <c r="F79" s="11"/>
      <c r="G79" s="11" t="s">
        <v>378</v>
      </c>
      <c r="H79" s="10"/>
      <c r="I79" s="150"/>
      <c r="J79" s="10"/>
      <c r="K79" s="10"/>
      <c r="L79" s="148">
        <f t="shared" ref="L79:AQ79" ca="1" si="196">IF(Beginning_of_period &lt; $E79,1, IF(Beginning_of_period = $E79, L75, L75 * K79))</f>
        <v>1.014194887410651</v>
      </c>
      <c r="M79" s="148">
        <f t="shared" ca="1" si="196"/>
        <v>1.0285912696499031</v>
      </c>
      <c r="N79" s="148">
        <f t="shared" ca="1" si="196"/>
        <v>1.043192006914162</v>
      </c>
      <c r="O79" s="148">
        <f t="shared" ca="1" si="196"/>
        <v>1.0579999999999996</v>
      </c>
      <c r="P79" s="148">
        <f t="shared" ca="1" si="196"/>
        <v>1.0684249041288085</v>
      </c>
      <c r="Q79" s="148">
        <f t="shared" ca="1" si="196"/>
        <v>1.0789525290762327</v>
      </c>
      <c r="R79" s="148">
        <f t="shared" ca="1" si="196"/>
        <v>1.0895838869922589</v>
      </c>
      <c r="S79" s="148">
        <f t="shared" ca="1" si="196"/>
        <v>1.1003199999999993</v>
      </c>
      <c r="T79" s="148">
        <f t="shared" ca="1" si="196"/>
        <v>1.1111619002939606</v>
      </c>
      <c r="U79" s="148">
        <f t="shared" ca="1" si="196"/>
        <v>1.1221106302392818</v>
      </c>
      <c r="V79" s="148">
        <f t="shared" ca="1" si="196"/>
        <v>1.133167242471949</v>
      </c>
      <c r="W79" s="148">
        <f t="shared" ca="1" si="196"/>
        <v>1.144332799999999</v>
      </c>
      <c r="X79" s="148">
        <f t="shared" ca="1" si="196"/>
        <v>1.1556083763057188</v>
      </c>
      <c r="Y79" s="148">
        <f t="shared" ca="1" si="196"/>
        <v>1.1669950554488528</v>
      </c>
      <c r="Z79" s="148">
        <f t="shared" ca="1" si="196"/>
        <v>1.1784939321708268</v>
      </c>
      <c r="AA79" s="148">
        <f t="shared" ca="1" si="196"/>
        <v>1.1901061119999987</v>
      </c>
      <c r="AB79" s="148">
        <f t="shared" ca="1" si="196"/>
        <v>1.2018327113579472</v>
      </c>
      <c r="AC79" s="148">
        <f t="shared" ca="1" si="196"/>
        <v>1.2136748576668066</v>
      </c>
      <c r="AD79" s="148">
        <f t="shared" ca="1" si="196"/>
        <v>1.2256336894576596</v>
      </c>
      <c r="AE79" s="148">
        <f t="shared" ca="1" si="196"/>
        <v>1.2377103564799985</v>
      </c>
      <c r="AF79" s="148">
        <f t="shared" ca="1" si="196"/>
        <v>1.2499060198122651</v>
      </c>
      <c r="AG79" s="148">
        <f t="shared" ca="1" si="196"/>
        <v>1.2622218519734789</v>
      </c>
      <c r="AH79" s="148">
        <f t="shared" ca="1" si="196"/>
        <v>1.2746590370359661</v>
      </c>
      <c r="AI79" s="148">
        <f t="shared" ca="1" si="196"/>
        <v>1.2872187707391984</v>
      </c>
      <c r="AJ79" s="148">
        <f t="shared" ca="1" si="196"/>
        <v>1.2999022606047557</v>
      </c>
      <c r="AK79" s="148">
        <f t="shared" ca="1" si="196"/>
        <v>1.312710726052418</v>
      </c>
      <c r="AL79" s="148">
        <f t="shared" ca="1" si="196"/>
        <v>1.3256453985174046</v>
      </c>
      <c r="AM79" s="148">
        <f t="shared" ca="1" si="196"/>
        <v>1.3387075215687663</v>
      </c>
      <c r="AN79" s="148">
        <f t="shared" ca="1" si="196"/>
        <v>1.3518983510289457</v>
      </c>
      <c r="AO79" s="148">
        <f t="shared" ca="1" si="196"/>
        <v>1.3652191550945145</v>
      </c>
      <c r="AP79" s="148">
        <f t="shared" ca="1" si="196"/>
        <v>1.3786712144581006</v>
      </c>
      <c r="AQ79" s="148">
        <f t="shared" ca="1" si="196"/>
        <v>1.3922558224315169</v>
      </c>
      <c r="AR79" s="148">
        <f t="shared" ref="AR79:BW79" ca="1" si="197">IF(Beginning_of_period &lt; $E79,1, IF(Beginning_of_period = $E79, AR75, AR75 * AQ79))</f>
        <v>1.4059742850701036</v>
      </c>
      <c r="AS79" s="148">
        <f t="shared" ca="1" si="197"/>
        <v>1.4198279212982952</v>
      </c>
      <c r="AT79" s="148">
        <f t="shared" ca="1" si="197"/>
        <v>1.4338180630364246</v>
      </c>
      <c r="AU79" s="148">
        <f t="shared" ca="1" si="197"/>
        <v>1.4479460553287775</v>
      </c>
      <c r="AV79" s="148">
        <f t="shared" ca="1" si="197"/>
        <v>1.4622132564729076</v>
      </c>
      <c r="AW79" s="148">
        <f t="shared" ca="1" si="197"/>
        <v>1.4766210381502267</v>
      </c>
      <c r="AX79" s="148">
        <f t="shared" ca="1" si="197"/>
        <v>1.4911707855578813</v>
      </c>
      <c r="AY79" s="148">
        <f t="shared" ca="1" si="197"/>
        <v>1.5058638975419283</v>
      </c>
      <c r="AZ79" s="148">
        <f t="shared" ca="1" si="197"/>
        <v>1.5207017867318235</v>
      </c>
      <c r="BA79" s="148">
        <f t="shared" ca="1" si="197"/>
        <v>1.5356858796762354</v>
      </c>
      <c r="BB79" s="148">
        <f t="shared" ca="1" si="197"/>
        <v>1.5508176169801962</v>
      </c>
      <c r="BC79" s="148">
        <f t="shared" ca="1" si="197"/>
        <v>1.5660984534436051</v>
      </c>
      <c r="BD79" s="148">
        <f t="shared" ca="1" si="197"/>
        <v>1.5815298582010964</v>
      </c>
      <c r="BE79" s="148">
        <f t="shared" ca="1" si="197"/>
        <v>1.5971133148632848</v>
      </c>
      <c r="BF79" s="148">
        <f t="shared" ca="1" si="197"/>
        <v>1.6128503216594039</v>
      </c>
      <c r="BG79" s="148">
        <f t="shared" ca="1" si="197"/>
        <v>1.628742391581349</v>
      </c>
      <c r="BH79" s="148">
        <f t="shared" ca="1" si="197"/>
        <v>1.6447910525291398</v>
      </c>
      <c r="BI79" s="148">
        <f t="shared" ca="1" si="197"/>
        <v>1.6609978474578158</v>
      </c>
      <c r="BJ79" s="148">
        <f t="shared" ca="1" si="197"/>
        <v>1.6773643345257798</v>
      </c>
      <c r="BK79" s="148">
        <f t="shared" ca="1" si="197"/>
        <v>1.6938920872446028</v>
      </c>
      <c r="BL79" s="148">
        <f t="shared" ca="1" si="197"/>
        <v>1.7105826946303053</v>
      </c>
      <c r="BM79" s="148">
        <f t="shared" ca="1" si="197"/>
        <v>1.7274377613561283</v>
      </c>
      <c r="BN79" s="148">
        <f t="shared" ca="1" si="197"/>
        <v>1.7444589079068107</v>
      </c>
      <c r="BO79" s="148">
        <f t="shared" ca="1" si="197"/>
        <v>1.7616477707343867</v>
      </c>
      <c r="BP79" s="148">
        <f t="shared" ca="1" si="197"/>
        <v>1.7790060024155172</v>
      </c>
      <c r="BQ79" s="148">
        <f t="shared" ca="1" si="197"/>
        <v>1.7965352718103731</v>
      </c>
      <c r="BR79" s="148">
        <f t="shared" ca="1" si="197"/>
        <v>1.8142372642230828</v>
      </c>
      <c r="BS79" s="148">
        <f t="shared" ca="1" si="197"/>
        <v>1.8321136815637618</v>
      </c>
      <c r="BT79" s="148">
        <f t="shared" ca="1" si="197"/>
        <v>1.8501662425121375</v>
      </c>
      <c r="BU79" s="148">
        <f t="shared" ca="1" si="197"/>
        <v>1.8683966826827876</v>
      </c>
      <c r="BV79" s="148">
        <f t="shared" ca="1" si="197"/>
        <v>1.8868067547920058</v>
      </c>
      <c r="BW79" s="148">
        <f t="shared" ca="1" si="197"/>
        <v>1.9053982288263118</v>
      </c>
      <c r="BX79" s="148">
        <f t="shared" ref="BX79:CO79" ca="1" si="198">IF(Beginning_of_period &lt; $E79,1, IF(Beginning_of_period = $E79, BX75, BX75 * BW79))</f>
        <v>1.9241728922126227</v>
      </c>
      <c r="BY79" s="148">
        <f t="shared" ca="1" si="198"/>
        <v>1.9431325499900989</v>
      </c>
      <c r="BZ79" s="148">
        <f t="shared" ca="1" si="198"/>
        <v>1.9622790249836859</v>
      </c>
      <c r="CA79" s="148">
        <f t="shared" ca="1" si="198"/>
        <v>1.9816141579793642</v>
      </c>
      <c r="CB79" s="148">
        <f t="shared" ca="1" si="198"/>
        <v>2.0011398079011276</v>
      </c>
      <c r="CC79" s="148">
        <f t="shared" ca="1" si="198"/>
        <v>2.0208578519897027</v>
      </c>
      <c r="CD79" s="148">
        <f t="shared" ca="1" si="198"/>
        <v>2.0407701859830332</v>
      </c>
      <c r="CE79" s="148">
        <f t="shared" ca="1" si="198"/>
        <v>2.0608787242985387</v>
      </c>
      <c r="CF79" s="148">
        <f t="shared" ca="1" si="198"/>
        <v>2.0811854002171724</v>
      </c>
      <c r="CG79" s="148">
        <f t="shared" ca="1" si="198"/>
        <v>2.1016921660692907</v>
      </c>
      <c r="CH79" s="148">
        <f t="shared" ca="1" si="198"/>
        <v>2.1224009934223544</v>
      </c>
      <c r="CI79" s="148">
        <f t="shared" ca="1" si="198"/>
        <v>2.1433138732704804</v>
      </c>
      <c r="CJ79" s="148">
        <f t="shared" ca="1" si="198"/>
        <v>2.1644328162258595</v>
      </c>
      <c r="CK79" s="148">
        <f t="shared" ca="1" si="198"/>
        <v>2.1857598527120623</v>
      </c>
      <c r="CL79" s="148">
        <f t="shared" ca="1" si="198"/>
        <v>2.2072970331592483</v>
      </c>
      <c r="CM79" s="148">
        <f t="shared" ca="1" si="198"/>
        <v>2.2290464282012992</v>
      </c>
      <c r="CN79" s="148">
        <f t="shared" ca="1" si="198"/>
        <v>2.2510101288748934</v>
      </c>
      <c r="CO79" s="148">
        <f t="shared" ca="1" si="198"/>
        <v>2.2731902468205445</v>
      </c>
    </row>
    <row r="80" spans="1:93">
      <c r="A80" s="77"/>
      <c r="B80" s="13"/>
      <c r="C80" s="10"/>
      <c r="D80" s="10"/>
      <c r="E80" s="62"/>
      <c r="F80" s="11"/>
      <c r="G80" s="11"/>
      <c r="H80" s="10"/>
      <c r="I80" s="150"/>
      <c r="J80" s="10"/>
      <c r="K80" s="10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</row>
    <row r="81" spans="1:93">
      <c r="A81" s="77"/>
      <c r="B81" s="13"/>
      <c r="C81" s="41" t="s">
        <v>441</v>
      </c>
      <c r="D81" s="10"/>
      <c r="E81" s="62"/>
      <c r="F81" s="11"/>
      <c r="G81" s="11"/>
      <c r="H81" s="10"/>
      <c r="I81" s="150"/>
      <c r="J81" s="10"/>
      <c r="K81" s="10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</row>
    <row r="82" spans="1:93">
      <c r="A82" s="77"/>
      <c r="B82" s="13"/>
      <c r="C82" s="17" t="s">
        <v>478</v>
      </c>
      <c r="D82" s="10"/>
      <c r="E82" s="62"/>
      <c r="F82" s="11"/>
      <c r="G82" s="11" t="s">
        <v>378</v>
      </c>
      <c r="H82" s="10"/>
      <c r="I82" s="150"/>
      <c r="J82" s="10"/>
      <c r="K82" s="10"/>
      <c r="L82" s="148">
        <f ca="1">(1+SUMIF(Year_Unic,Year,Предпосылки!$L$59:$AY$59))^(Months_in_Period/Months_in_Year)</f>
        <v>1.014194887410651</v>
      </c>
      <c r="M82" s="148">
        <f ca="1">(1+SUMIF(Year_Unic,Year,Предпосылки!$L$59:$AY$59))^(Months_in_Period/Months_in_Year)</f>
        <v>1.014194887410651</v>
      </c>
      <c r="N82" s="148">
        <f ca="1">(1+SUMIF(Year_Unic,Year,Предпосылки!$L$59:$AY$59))^(Months_in_Period/Months_in_Year)</f>
        <v>1.014194887410651</v>
      </c>
      <c r="O82" s="148">
        <f ca="1">(1+SUMIF(Year_Unic,Year,Предпосылки!$L$59:$AY$59))^(Months_in_Period/Months_in_Year)</f>
        <v>1.014194887410651</v>
      </c>
      <c r="P82" s="148">
        <f ca="1">(1+SUMIF(Year_Unic,Year,Предпосылки!$L$59:$AY$59))^(Months_in_Period/Months_in_Year)</f>
        <v>1.0098534065489688</v>
      </c>
      <c r="Q82" s="148">
        <f ca="1">(1+SUMIF(Year_Unic,Year,Предпосылки!$L$59:$AY$59))^(Months_in_Period/Months_in_Year)</f>
        <v>1.0098534065489688</v>
      </c>
      <c r="R82" s="148">
        <f ca="1">(1+SUMIF(Year_Unic,Year,Предпосылки!$L$59:$AY$59))^(Months_in_Period/Months_in_Year)</f>
        <v>1.0098534065489688</v>
      </c>
      <c r="S82" s="148">
        <f ca="1">(1+SUMIF(Year_Unic,Year,Предпосылки!$L$59:$AY$59))^(Months_in_Period/Months_in_Year)</f>
        <v>1.0098534065489688</v>
      </c>
      <c r="T82" s="148">
        <f ca="1">(1+SUMIF(Year_Unic,Year,Предпосылки!$L$59:$AY$59))^(Months_in_Period/Months_in_Year)</f>
        <v>1.0098534065489688</v>
      </c>
      <c r="U82" s="148">
        <f ca="1">(1+SUMIF(Year_Unic,Year,Предпосылки!$L$59:$AY$59))^(Months_in_Period/Months_in_Year)</f>
        <v>1.0098534065489688</v>
      </c>
      <c r="V82" s="148">
        <f ca="1">(1+SUMIF(Year_Unic,Year,Предпосылки!$L$59:$AY$59))^(Months_in_Period/Months_in_Year)</f>
        <v>1.0098534065489688</v>
      </c>
      <c r="W82" s="148">
        <f ca="1">(1+SUMIF(Year_Unic,Year,Предпосылки!$L$59:$AY$59))^(Months_in_Period/Months_in_Year)</f>
        <v>1.0098534065489688</v>
      </c>
      <c r="X82" s="148">
        <f ca="1">(1+SUMIF(Year_Unic,Year,Предпосылки!$L$59:$AY$59))^(Months_in_Period/Months_in_Year)</f>
        <v>1.0098534065489688</v>
      </c>
      <c r="Y82" s="148">
        <f ca="1">(1+SUMIF(Year_Unic,Year,Предпосылки!$L$59:$AY$59))^(Months_in_Period/Months_in_Year)</f>
        <v>1.0098534065489688</v>
      </c>
      <c r="Z82" s="148">
        <f ca="1">(1+SUMIF(Year_Unic,Year,Предпосылки!$L$59:$AY$59))^(Months_in_Period/Months_in_Year)</f>
        <v>1.0098534065489688</v>
      </c>
      <c r="AA82" s="148">
        <f ca="1">(1+SUMIF(Year_Unic,Year,Предпосылки!$L$59:$AY$59))^(Months_in_Period/Months_in_Year)</f>
        <v>1.0098534065489688</v>
      </c>
      <c r="AB82" s="148">
        <f ca="1">(1+SUMIF(Year_Unic,Year,Предпосылки!$L$59:$AY$59))^(Months_in_Period/Months_in_Year)</f>
        <v>1.0098534065489688</v>
      </c>
      <c r="AC82" s="148">
        <f ca="1">(1+SUMIF(Year_Unic,Year,Предпосылки!$L$59:$AY$59))^(Months_in_Period/Months_in_Year)</f>
        <v>1.0098534065489688</v>
      </c>
      <c r="AD82" s="148">
        <f ca="1">(1+SUMIF(Year_Unic,Year,Предпосылки!$L$59:$AY$59))^(Months_in_Period/Months_in_Year)</f>
        <v>1.0098534065489688</v>
      </c>
      <c r="AE82" s="148">
        <f ca="1">(1+SUMIF(Year_Unic,Year,Предпосылки!$L$59:$AY$59))^(Months_in_Period/Months_in_Year)</f>
        <v>1.0098534065489688</v>
      </c>
      <c r="AF82" s="148">
        <f ca="1">(1+SUMIF(Year_Unic,Year,Предпосылки!$L$59:$AY$59))^(Months_in_Period/Months_in_Year)</f>
        <v>1.0098534065489688</v>
      </c>
      <c r="AG82" s="148">
        <f ca="1">(1+SUMIF(Year_Unic,Year,Предпосылки!$L$59:$AY$59))^(Months_in_Period/Months_in_Year)</f>
        <v>1.0098534065489688</v>
      </c>
      <c r="AH82" s="148">
        <f ca="1">(1+SUMIF(Year_Unic,Year,Предпосылки!$L$59:$AY$59))^(Months_in_Period/Months_in_Year)</f>
        <v>1.0098534065489688</v>
      </c>
      <c r="AI82" s="148">
        <f ca="1">(1+SUMIF(Year_Unic,Year,Предпосылки!$L$59:$AY$59))^(Months_in_Period/Months_in_Year)</f>
        <v>1.0098534065489688</v>
      </c>
      <c r="AJ82" s="148">
        <f ca="1">(1+SUMIF(Year_Unic,Year,Предпосылки!$L$59:$AY$59))^(Months_in_Period/Months_in_Year)</f>
        <v>1.0099263814900195</v>
      </c>
      <c r="AK82" s="148">
        <f ca="1">(1+SUMIF(Year_Unic,Year,Предпосылки!$L$59:$AY$59))^(Months_in_Period/Months_in_Year)</f>
        <v>1.0099263814900195</v>
      </c>
      <c r="AL82" s="148">
        <f ca="1">(1+SUMIF(Year_Unic,Year,Предпосылки!$L$59:$AY$59))^(Months_in_Period/Months_in_Year)</f>
        <v>1.0099263814900195</v>
      </c>
      <c r="AM82" s="148">
        <f ca="1">(1+SUMIF(Year_Unic,Year,Предпосылки!$L$59:$AY$59))^(Months_in_Period/Months_in_Year)</f>
        <v>1.0099263814900195</v>
      </c>
      <c r="AN82" s="148">
        <f ca="1">(1+SUMIF(Year_Unic,Year,Предпосылки!$L$59:$AY$59))^(Months_in_Period/Months_in_Year)</f>
        <v>1.0099263814900195</v>
      </c>
      <c r="AO82" s="148">
        <f ca="1">(1+SUMIF(Year_Unic,Year,Предпосылки!$L$59:$AY$59))^(Months_in_Period/Months_in_Year)</f>
        <v>1.0099263814900195</v>
      </c>
      <c r="AP82" s="148">
        <f ca="1">(1+SUMIF(Year_Unic,Year,Предпосылки!$L$59:$AY$59))^(Months_in_Period/Months_in_Year)</f>
        <v>1.0099263814900195</v>
      </c>
      <c r="AQ82" s="148">
        <f ca="1">(1+SUMIF(Year_Unic,Year,Предпосылки!$L$59:$AY$59))^(Months_in_Period/Months_in_Year)</f>
        <v>1.0099263814900195</v>
      </c>
      <c r="AR82" s="148">
        <f ca="1">(1+SUMIF(Year_Unic,Year,Предпосылки!$L$59:$AY$59))^(Months_in_Period/Months_in_Year)</f>
        <v>1.0099263814900195</v>
      </c>
      <c r="AS82" s="148">
        <f ca="1">(1+SUMIF(Year_Unic,Year,Предпосылки!$L$59:$AY$59))^(Months_in_Period/Months_in_Year)</f>
        <v>1.0099263814900195</v>
      </c>
      <c r="AT82" s="148">
        <f ca="1">(1+SUMIF(Year_Unic,Year,Предпосылки!$L$59:$AY$59))^(Months_in_Period/Months_in_Year)</f>
        <v>1.0099263814900195</v>
      </c>
      <c r="AU82" s="148">
        <f ca="1">(1+SUMIF(Year_Unic,Year,Предпосылки!$L$59:$AY$59))^(Months_in_Period/Months_in_Year)</f>
        <v>1.0099263814900195</v>
      </c>
      <c r="AV82" s="148">
        <f ca="1">(1+SUMIF(Year_Unic,Year,Предпосылки!$L$59:$AY$59))^(Months_in_Period/Months_in_Year)</f>
        <v>1.0099263814900195</v>
      </c>
      <c r="AW82" s="148">
        <f ca="1">(1+SUMIF(Year_Unic,Year,Предпосылки!$L$59:$AY$59))^(Months_in_Period/Months_in_Year)</f>
        <v>1.0099263814900195</v>
      </c>
      <c r="AX82" s="148">
        <f ca="1">(1+SUMIF(Year_Unic,Year,Предпосылки!$L$59:$AY$59))^(Months_in_Period/Months_in_Year)</f>
        <v>1.0099263814900195</v>
      </c>
      <c r="AY82" s="148">
        <f ca="1">(1+SUMIF(Year_Unic,Year,Предпосылки!$L$59:$AY$59))^(Months_in_Period/Months_in_Year)</f>
        <v>1.0099263814900195</v>
      </c>
      <c r="AZ82" s="148">
        <f ca="1">(1+SUMIF(Year_Unic,Year,Предпосылки!$L$59:$AY$59))^(Months_in_Period/Months_in_Year)</f>
        <v>1.0099263814900195</v>
      </c>
      <c r="BA82" s="148">
        <f ca="1">(1+SUMIF(Year_Unic,Year,Предпосылки!$L$59:$AY$59))^(Months_in_Period/Months_in_Year)</f>
        <v>1.0099263814900195</v>
      </c>
      <c r="BB82" s="148">
        <f ca="1">(1+SUMIF(Year_Unic,Year,Предпосылки!$L$59:$AY$59))^(Months_in_Period/Months_in_Year)</f>
        <v>1.0099263814900195</v>
      </c>
      <c r="BC82" s="148">
        <f ca="1">(1+SUMIF(Year_Unic,Year,Предпосылки!$L$59:$AY$59))^(Months_in_Period/Months_in_Year)</f>
        <v>1.0099263814900195</v>
      </c>
      <c r="BD82" s="148">
        <f ca="1">(1+SUMIF(Year_Unic,Year,Предпосылки!$L$59:$AY$59))^(Months_in_Period/Months_in_Year)</f>
        <v>1.0099263814900195</v>
      </c>
      <c r="BE82" s="148">
        <f ca="1">(1+SUMIF(Year_Unic,Year,Предпосылки!$L$59:$AY$59))^(Months_in_Period/Months_in_Year)</f>
        <v>1.0099263814900195</v>
      </c>
      <c r="BF82" s="148">
        <f ca="1">(1+SUMIF(Year_Unic,Year,Предпосылки!$L$59:$AY$59))^(Months_in_Period/Months_in_Year)</f>
        <v>1.0099263814900195</v>
      </c>
      <c r="BG82" s="148">
        <f ca="1">(1+SUMIF(Year_Unic,Year,Предпосылки!$L$59:$AY$59))^(Months_in_Period/Months_in_Year)</f>
        <v>1.0099263814900195</v>
      </c>
      <c r="BH82" s="148">
        <f ca="1">(1+SUMIF(Year_Unic,Year,Предпосылки!$L$59:$AY$59))^(Months_in_Period/Months_in_Year)</f>
        <v>1.0099263814900195</v>
      </c>
      <c r="BI82" s="148">
        <f ca="1">(1+SUMIF(Year_Unic,Year,Предпосылки!$L$59:$AY$59))^(Months_in_Period/Months_in_Year)</f>
        <v>1.0099263814900195</v>
      </c>
      <c r="BJ82" s="148">
        <f ca="1">(1+SUMIF(Year_Unic,Year,Предпосылки!$L$59:$AY$59))^(Months_in_Period/Months_in_Year)</f>
        <v>1.0099263814900195</v>
      </c>
      <c r="BK82" s="148">
        <f ca="1">(1+SUMIF(Year_Unic,Year,Предпосылки!$L$59:$AY$59))^(Months_in_Period/Months_in_Year)</f>
        <v>1.0099263814900195</v>
      </c>
      <c r="BL82" s="148">
        <f ca="1">(1+SUMIF(Year_Unic,Year,Предпосылки!$L$59:$AY$59))^(Months_in_Period/Months_in_Year)</f>
        <v>1.0099263814900195</v>
      </c>
      <c r="BM82" s="148">
        <f ca="1">(1+SUMIF(Year_Unic,Year,Предпосылки!$L$59:$AY$59))^(Months_in_Period/Months_in_Year)</f>
        <v>1.0099263814900195</v>
      </c>
      <c r="BN82" s="148">
        <f ca="1">(1+SUMIF(Year_Unic,Year,Предпосылки!$L$59:$AY$59))^(Months_in_Period/Months_in_Year)</f>
        <v>1.0099263814900195</v>
      </c>
      <c r="BO82" s="148">
        <f ca="1">(1+SUMIF(Year_Unic,Year,Предпосылки!$L$59:$AY$59))^(Months_in_Period/Months_in_Year)</f>
        <v>1.0099263814900195</v>
      </c>
      <c r="BP82" s="148">
        <f ca="1">(1+SUMIF(Year_Unic,Year,Предпосылки!$L$59:$AY$59))^(Months_in_Period/Months_in_Year)</f>
        <v>1.0099263814900195</v>
      </c>
      <c r="BQ82" s="148">
        <f ca="1">(1+SUMIF(Year_Unic,Year,Предпосылки!$L$59:$AY$59))^(Months_in_Period/Months_in_Year)</f>
        <v>1.0099263814900195</v>
      </c>
      <c r="BR82" s="148">
        <f ca="1">(1+SUMIF(Year_Unic,Year,Предпосылки!$L$59:$AY$59))^(Months_in_Period/Months_in_Year)</f>
        <v>1.0099263814900195</v>
      </c>
      <c r="BS82" s="148">
        <f ca="1">(1+SUMIF(Year_Unic,Year,Предпосылки!$L$59:$AY$59))^(Months_in_Period/Months_in_Year)</f>
        <v>1.0099263814900195</v>
      </c>
      <c r="BT82" s="148">
        <f ca="1">(1+SUMIF(Year_Unic,Year,Предпосылки!$L$59:$AY$59))^(Months_in_Period/Months_in_Year)</f>
        <v>1.0099263814900195</v>
      </c>
      <c r="BU82" s="148">
        <f ca="1">(1+SUMIF(Year_Unic,Year,Предпосылки!$L$59:$AY$59))^(Months_in_Period/Months_in_Year)</f>
        <v>1.0099263814900195</v>
      </c>
      <c r="BV82" s="148">
        <f ca="1">(1+SUMIF(Year_Unic,Year,Предпосылки!$L$59:$AY$59))^(Months_in_Period/Months_in_Year)</f>
        <v>1.0099263814900195</v>
      </c>
      <c r="BW82" s="148">
        <f ca="1">(1+SUMIF(Year_Unic,Year,Предпосылки!$L$59:$AY$59))^(Months_in_Period/Months_in_Year)</f>
        <v>1.0099263814900195</v>
      </c>
      <c r="BX82" s="148">
        <f ca="1">(1+SUMIF(Year_Unic,Year,Предпосылки!$L$59:$AY$59))^(Months_in_Period/Months_in_Year)</f>
        <v>1.0099263814900195</v>
      </c>
      <c r="BY82" s="148">
        <f ca="1">(1+SUMIF(Year_Unic,Year,Предпосылки!$L$59:$AY$59))^(Months_in_Period/Months_in_Year)</f>
        <v>1.0099263814900195</v>
      </c>
      <c r="BZ82" s="148">
        <f ca="1">(1+SUMIF(Year_Unic,Year,Предпосылки!$L$59:$AY$59))^(Months_in_Period/Months_in_Year)</f>
        <v>1.0099263814900195</v>
      </c>
      <c r="CA82" s="148">
        <f ca="1">(1+SUMIF(Year_Unic,Year,Предпосылки!$L$59:$AY$59))^(Months_in_Period/Months_in_Year)</f>
        <v>1.0099263814900195</v>
      </c>
      <c r="CB82" s="148">
        <f ca="1">(1+SUMIF(Year_Unic,Year,Предпосылки!$L$59:$AY$59))^(Months_in_Period/Months_in_Year)</f>
        <v>1.0099263814900195</v>
      </c>
      <c r="CC82" s="148">
        <f ca="1">(1+SUMIF(Year_Unic,Year,Предпосылки!$L$59:$AY$59))^(Months_in_Period/Months_in_Year)</f>
        <v>1.0099263814900195</v>
      </c>
      <c r="CD82" s="148">
        <f ca="1">(1+SUMIF(Year_Unic,Year,Предпосылки!$L$59:$AY$59))^(Months_in_Period/Months_in_Year)</f>
        <v>1.0099263814900195</v>
      </c>
      <c r="CE82" s="148">
        <f ca="1">(1+SUMIF(Year_Unic,Year,Предпосылки!$L$59:$AY$59))^(Months_in_Period/Months_in_Year)</f>
        <v>1.0099263814900195</v>
      </c>
      <c r="CF82" s="148">
        <f ca="1">(1+SUMIF(Year_Unic,Year,Предпосылки!$L$59:$AY$59))^(Months_in_Period/Months_in_Year)</f>
        <v>1.0099263814900195</v>
      </c>
      <c r="CG82" s="148">
        <f ca="1">(1+SUMIF(Year_Unic,Year,Предпосылки!$L$59:$AY$59))^(Months_in_Period/Months_in_Year)</f>
        <v>1.0099263814900195</v>
      </c>
      <c r="CH82" s="148">
        <f ca="1">(1+SUMIF(Year_Unic,Year,Предпосылки!$L$59:$AY$59))^(Months_in_Period/Months_in_Year)</f>
        <v>1.0099263814900195</v>
      </c>
      <c r="CI82" s="148">
        <f ca="1">(1+SUMIF(Year_Unic,Year,Предпосылки!$L$59:$AY$59))^(Months_in_Period/Months_in_Year)</f>
        <v>1.0099263814900195</v>
      </c>
      <c r="CJ82" s="148">
        <f ca="1">(1+SUMIF(Year_Unic,Year,Предпосылки!$L$59:$AY$59))^(Months_in_Period/Months_in_Year)</f>
        <v>1.0099263814900195</v>
      </c>
      <c r="CK82" s="148">
        <f ca="1">(1+SUMIF(Year_Unic,Year,Предпосылки!$L$59:$AY$59))^(Months_in_Period/Months_in_Year)</f>
        <v>1.0099263814900195</v>
      </c>
      <c r="CL82" s="148">
        <f ca="1">(1+SUMIF(Year_Unic,Year,Предпосылки!$L$59:$AY$59))^(Months_in_Period/Months_in_Year)</f>
        <v>1.0099263814900195</v>
      </c>
      <c r="CM82" s="148">
        <f ca="1">(1+SUMIF(Year_Unic,Year,Предпосылки!$L$59:$AY$59))^(Months_in_Period/Months_in_Year)</f>
        <v>1.0099263814900195</v>
      </c>
      <c r="CN82" s="148">
        <f ca="1">(1+SUMIF(Year_Unic,Year,Предпосылки!$L$59:$AY$59))^(Months_in_Period/Months_in_Year)</f>
        <v>1.0099263814900195</v>
      </c>
      <c r="CO82" s="148">
        <f ca="1">(1+SUMIF(Year_Unic,Year,Предпосылки!$L$59:$AY$59))^(Months_in_Period/Months_in_Year)</f>
        <v>1.0099263814900195</v>
      </c>
    </row>
    <row r="83" spans="1:93">
      <c r="A83" s="77"/>
      <c r="B83" s="13"/>
      <c r="C83" s="17" t="s">
        <v>479</v>
      </c>
      <c r="D83" s="10"/>
      <c r="E83" s="62"/>
      <c r="F83" s="11"/>
      <c r="G83" s="11" t="s">
        <v>378</v>
      </c>
      <c r="H83" s="10"/>
      <c r="I83" s="150"/>
      <c r="J83" s="10"/>
      <c r="K83" s="10"/>
      <c r="L83" s="148">
        <f t="shared" ref="L83:R83" ca="1" si="199">IF(Flag_Historical,1,L82)</f>
        <v>1.014194887410651</v>
      </c>
      <c r="M83" s="148">
        <f t="shared" ca="1" si="199"/>
        <v>1.014194887410651</v>
      </c>
      <c r="N83" s="148">
        <f t="shared" ca="1" si="199"/>
        <v>1.014194887410651</v>
      </c>
      <c r="O83" s="148">
        <f t="shared" ca="1" si="199"/>
        <v>1.014194887410651</v>
      </c>
      <c r="P83" s="148">
        <f t="shared" ca="1" si="199"/>
        <v>1.0098534065489688</v>
      </c>
      <c r="Q83" s="148">
        <f t="shared" ca="1" si="199"/>
        <v>1.0098534065489688</v>
      </c>
      <c r="R83" s="148">
        <f t="shared" ca="1" si="199"/>
        <v>1.0098534065489688</v>
      </c>
      <c r="S83" s="148">
        <f ca="1">IF(Flag_Historical,1,S82)</f>
        <v>1.0098534065489688</v>
      </c>
      <c r="T83" s="148">
        <f t="shared" ref="T83:CE83" ca="1" si="200">IF(Flag_Historical,1,T82)</f>
        <v>1.0098534065489688</v>
      </c>
      <c r="U83" s="148">
        <f t="shared" ca="1" si="200"/>
        <v>1.0098534065489688</v>
      </c>
      <c r="V83" s="148">
        <f t="shared" ca="1" si="200"/>
        <v>1.0098534065489688</v>
      </c>
      <c r="W83" s="148">
        <f t="shared" ca="1" si="200"/>
        <v>1.0098534065489688</v>
      </c>
      <c r="X83" s="148">
        <f t="shared" ca="1" si="200"/>
        <v>1.0098534065489688</v>
      </c>
      <c r="Y83" s="148">
        <f t="shared" ca="1" si="200"/>
        <v>1.0098534065489688</v>
      </c>
      <c r="Z83" s="148">
        <f t="shared" ca="1" si="200"/>
        <v>1.0098534065489688</v>
      </c>
      <c r="AA83" s="148">
        <f t="shared" ca="1" si="200"/>
        <v>1.0098534065489688</v>
      </c>
      <c r="AB83" s="148">
        <f t="shared" ca="1" si="200"/>
        <v>1.0098534065489688</v>
      </c>
      <c r="AC83" s="148">
        <f t="shared" ca="1" si="200"/>
        <v>1.0098534065489688</v>
      </c>
      <c r="AD83" s="148">
        <f t="shared" ca="1" si="200"/>
        <v>1.0098534065489688</v>
      </c>
      <c r="AE83" s="148">
        <f t="shared" ca="1" si="200"/>
        <v>1.0098534065489688</v>
      </c>
      <c r="AF83" s="148">
        <f t="shared" ca="1" si="200"/>
        <v>1.0098534065489688</v>
      </c>
      <c r="AG83" s="148">
        <f t="shared" ca="1" si="200"/>
        <v>1.0098534065489688</v>
      </c>
      <c r="AH83" s="148">
        <f t="shared" ca="1" si="200"/>
        <v>1.0098534065489688</v>
      </c>
      <c r="AI83" s="148">
        <f t="shared" ca="1" si="200"/>
        <v>1.0098534065489688</v>
      </c>
      <c r="AJ83" s="148">
        <f t="shared" ca="1" si="200"/>
        <v>1.0099263814900195</v>
      </c>
      <c r="AK83" s="148">
        <f t="shared" ca="1" si="200"/>
        <v>1.0099263814900195</v>
      </c>
      <c r="AL83" s="148">
        <f t="shared" ca="1" si="200"/>
        <v>1.0099263814900195</v>
      </c>
      <c r="AM83" s="148">
        <f t="shared" ca="1" si="200"/>
        <v>1.0099263814900195</v>
      </c>
      <c r="AN83" s="148">
        <f t="shared" ca="1" si="200"/>
        <v>1.0099263814900195</v>
      </c>
      <c r="AO83" s="148">
        <f t="shared" ca="1" si="200"/>
        <v>1.0099263814900195</v>
      </c>
      <c r="AP83" s="148">
        <f t="shared" ca="1" si="200"/>
        <v>1.0099263814900195</v>
      </c>
      <c r="AQ83" s="148">
        <f t="shared" ca="1" si="200"/>
        <v>1.0099263814900195</v>
      </c>
      <c r="AR83" s="148">
        <f t="shared" ca="1" si="200"/>
        <v>1.0099263814900195</v>
      </c>
      <c r="AS83" s="148">
        <f t="shared" ca="1" si="200"/>
        <v>1.0099263814900195</v>
      </c>
      <c r="AT83" s="148">
        <f t="shared" ca="1" si="200"/>
        <v>1.0099263814900195</v>
      </c>
      <c r="AU83" s="148">
        <f t="shared" ca="1" si="200"/>
        <v>1.0099263814900195</v>
      </c>
      <c r="AV83" s="148">
        <f t="shared" ca="1" si="200"/>
        <v>1.0099263814900195</v>
      </c>
      <c r="AW83" s="148">
        <f t="shared" ca="1" si="200"/>
        <v>1.0099263814900195</v>
      </c>
      <c r="AX83" s="148">
        <f t="shared" ca="1" si="200"/>
        <v>1.0099263814900195</v>
      </c>
      <c r="AY83" s="148">
        <f t="shared" ca="1" si="200"/>
        <v>1.0099263814900195</v>
      </c>
      <c r="AZ83" s="148">
        <f t="shared" ca="1" si="200"/>
        <v>1.0099263814900195</v>
      </c>
      <c r="BA83" s="148">
        <f t="shared" ca="1" si="200"/>
        <v>1.0099263814900195</v>
      </c>
      <c r="BB83" s="148">
        <f t="shared" ca="1" si="200"/>
        <v>1.0099263814900195</v>
      </c>
      <c r="BC83" s="148">
        <f t="shared" ca="1" si="200"/>
        <v>1.0099263814900195</v>
      </c>
      <c r="BD83" s="148">
        <f t="shared" ca="1" si="200"/>
        <v>1.0099263814900195</v>
      </c>
      <c r="BE83" s="148">
        <f t="shared" ca="1" si="200"/>
        <v>1.0099263814900195</v>
      </c>
      <c r="BF83" s="148">
        <f t="shared" ca="1" si="200"/>
        <v>1.0099263814900195</v>
      </c>
      <c r="BG83" s="148">
        <f t="shared" ca="1" si="200"/>
        <v>1.0099263814900195</v>
      </c>
      <c r="BH83" s="148">
        <f t="shared" ca="1" si="200"/>
        <v>1.0099263814900195</v>
      </c>
      <c r="BI83" s="148">
        <f t="shared" ca="1" si="200"/>
        <v>1.0099263814900195</v>
      </c>
      <c r="BJ83" s="148">
        <f t="shared" ca="1" si="200"/>
        <v>1.0099263814900195</v>
      </c>
      <c r="BK83" s="148">
        <f t="shared" ca="1" si="200"/>
        <v>1.0099263814900195</v>
      </c>
      <c r="BL83" s="148">
        <f t="shared" ca="1" si="200"/>
        <v>1.0099263814900195</v>
      </c>
      <c r="BM83" s="148">
        <f t="shared" ca="1" si="200"/>
        <v>1.0099263814900195</v>
      </c>
      <c r="BN83" s="148">
        <f t="shared" ca="1" si="200"/>
        <v>1.0099263814900195</v>
      </c>
      <c r="BO83" s="148">
        <f t="shared" ca="1" si="200"/>
        <v>1.0099263814900195</v>
      </c>
      <c r="BP83" s="148">
        <f t="shared" ca="1" si="200"/>
        <v>1.0099263814900195</v>
      </c>
      <c r="BQ83" s="148">
        <f t="shared" ca="1" si="200"/>
        <v>1.0099263814900195</v>
      </c>
      <c r="BR83" s="148">
        <f t="shared" ca="1" si="200"/>
        <v>1.0099263814900195</v>
      </c>
      <c r="BS83" s="148">
        <f t="shared" ca="1" si="200"/>
        <v>1.0099263814900195</v>
      </c>
      <c r="BT83" s="148">
        <f t="shared" ca="1" si="200"/>
        <v>1.0099263814900195</v>
      </c>
      <c r="BU83" s="148">
        <f t="shared" ca="1" si="200"/>
        <v>1.0099263814900195</v>
      </c>
      <c r="BV83" s="148">
        <f t="shared" ca="1" si="200"/>
        <v>1.0099263814900195</v>
      </c>
      <c r="BW83" s="148">
        <f t="shared" ca="1" si="200"/>
        <v>1.0099263814900195</v>
      </c>
      <c r="BX83" s="148">
        <f t="shared" ca="1" si="200"/>
        <v>1.0099263814900195</v>
      </c>
      <c r="BY83" s="148">
        <f t="shared" ca="1" si="200"/>
        <v>1.0099263814900195</v>
      </c>
      <c r="BZ83" s="148">
        <f t="shared" ca="1" si="200"/>
        <v>1.0099263814900195</v>
      </c>
      <c r="CA83" s="148">
        <f t="shared" ca="1" si="200"/>
        <v>1.0099263814900195</v>
      </c>
      <c r="CB83" s="148">
        <f t="shared" ca="1" si="200"/>
        <v>1.0099263814900195</v>
      </c>
      <c r="CC83" s="148">
        <f t="shared" ca="1" si="200"/>
        <v>1.0099263814900195</v>
      </c>
      <c r="CD83" s="148">
        <f t="shared" ca="1" si="200"/>
        <v>1.0099263814900195</v>
      </c>
      <c r="CE83" s="148">
        <f t="shared" ca="1" si="200"/>
        <v>1.0099263814900195</v>
      </c>
      <c r="CF83" s="148">
        <f t="shared" ref="CF83:CO83" ca="1" si="201">IF(Flag_Historical,1,CF82)</f>
        <v>1.0099263814900195</v>
      </c>
      <c r="CG83" s="148">
        <f t="shared" ca="1" si="201"/>
        <v>1.0099263814900195</v>
      </c>
      <c r="CH83" s="148">
        <f t="shared" ca="1" si="201"/>
        <v>1.0099263814900195</v>
      </c>
      <c r="CI83" s="148">
        <f t="shared" ca="1" si="201"/>
        <v>1.0099263814900195</v>
      </c>
      <c r="CJ83" s="148">
        <f t="shared" ca="1" si="201"/>
        <v>1.0099263814900195</v>
      </c>
      <c r="CK83" s="148">
        <f t="shared" ca="1" si="201"/>
        <v>1.0099263814900195</v>
      </c>
      <c r="CL83" s="148">
        <f t="shared" ca="1" si="201"/>
        <v>1.0099263814900195</v>
      </c>
      <c r="CM83" s="148">
        <f t="shared" ca="1" si="201"/>
        <v>1.0099263814900195</v>
      </c>
      <c r="CN83" s="148">
        <f t="shared" ca="1" si="201"/>
        <v>1.0099263814900195</v>
      </c>
      <c r="CO83" s="148">
        <f t="shared" ca="1" si="201"/>
        <v>1.0099263814900195</v>
      </c>
    </row>
    <row r="84" spans="1:93">
      <c r="A84" s="77"/>
      <c r="B84" s="13"/>
      <c r="C84" s="17" t="s">
        <v>480</v>
      </c>
      <c r="D84" s="10"/>
      <c r="E84" s="62"/>
      <c r="F84" s="11"/>
      <c r="G84" s="11" t="s">
        <v>378</v>
      </c>
      <c r="H84" s="10"/>
      <c r="I84" s="150"/>
      <c r="J84" s="10"/>
      <c r="K84" s="10"/>
      <c r="L84" s="148">
        <f t="shared" ref="L84:AQ84" si="202">IF(K84,K84*L83,1)</f>
        <v>1</v>
      </c>
      <c r="M84" s="148">
        <f t="shared" ca="1" si="202"/>
        <v>1.014194887410651</v>
      </c>
      <c r="N84" s="148">
        <f t="shared" ca="1" si="202"/>
        <v>1.0285912696499031</v>
      </c>
      <c r="O84" s="148">
        <f t="shared" ca="1" si="202"/>
        <v>1.043192006914162</v>
      </c>
      <c r="P84" s="148">
        <f t="shared" ca="1" si="202"/>
        <v>1.053471001866922</v>
      </c>
      <c r="Q84" s="148">
        <f t="shared" ca="1" si="202"/>
        <v>1.0638512799358664</v>
      </c>
      <c r="R84" s="148">
        <f t="shared" ca="1" si="202"/>
        <v>1.0743338391047152</v>
      </c>
      <c r="S84" s="148">
        <f t="shared" ca="1" si="202"/>
        <v>1.0849196871907285</v>
      </c>
      <c r="T84" s="148">
        <f t="shared" ca="1" si="202"/>
        <v>1.0956098419415989</v>
      </c>
      <c r="U84" s="148">
        <f t="shared" ca="1" si="202"/>
        <v>1.1064053311333011</v>
      </c>
      <c r="V84" s="148">
        <f t="shared" ca="1" si="202"/>
        <v>1.117307192668904</v>
      </c>
      <c r="W84" s="148">
        <f t="shared" ca="1" si="202"/>
        <v>1.1283164746783578</v>
      </c>
      <c r="X84" s="148">
        <f t="shared" ca="1" si="202"/>
        <v>1.139434235619263</v>
      </c>
      <c r="Y84" s="148">
        <f t="shared" ca="1" si="202"/>
        <v>1.1506615443786332</v>
      </c>
      <c r="Z84" s="148">
        <f t="shared" ca="1" si="202"/>
        <v>1.1619994803756601</v>
      </c>
      <c r="AA84" s="148">
        <f t="shared" ca="1" si="202"/>
        <v>1.173449133665492</v>
      </c>
      <c r="AB84" s="148">
        <f t="shared" ca="1" si="202"/>
        <v>1.1850116050440334</v>
      </c>
      <c r="AC84" s="148">
        <f t="shared" ca="1" si="202"/>
        <v>1.1966880061537783</v>
      </c>
      <c r="AD84" s="148">
        <f t="shared" ca="1" si="202"/>
        <v>1.2084794595906865</v>
      </c>
      <c r="AE84" s="148">
        <f t="shared" ca="1" si="202"/>
        <v>1.2203870990121117</v>
      </c>
      <c r="AF84" s="148">
        <f t="shared" ca="1" si="202"/>
        <v>1.2324120692457947</v>
      </c>
      <c r="AG84" s="148">
        <f t="shared" ca="1" si="202"/>
        <v>1.2445555263999295</v>
      </c>
      <c r="AH84" s="148">
        <f t="shared" ca="1" si="202"/>
        <v>1.2568186379743138</v>
      </c>
      <c r="AI84" s="148">
        <f t="shared" ca="1" si="202"/>
        <v>1.2692025829725959</v>
      </c>
      <c r="AJ84" s="148">
        <f t="shared" ca="1" si="202"/>
        <v>1.2818011719992999</v>
      </c>
      <c r="AK84" s="148">
        <f t="shared" ca="1" si="202"/>
        <v>1.294524819426919</v>
      </c>
      <c r="AL84" s="148">
        <f t="shared" ca="1" si="202"/>
        <v>1.3073747666328492</v>
      </c>
      <c r="AM84" s="148">
        <f t="shared" ca="1" si="202"/>
        <v>1.3203522673168722</v>
      </c>
      <c r="AN84" s="148">
        <f t="shared" ca="1" si="202"/>
        <v>1.3334585876234717</v>
      </c>
      <c r="AO84" s="148">
        <f t="shared" ca="1" si="202"/>
        <v>1.3466950062653649</v>
      </c>
      <c r="AP84" s="148">
        <f t="shared" ca="1" si="202"/>
        <v>1.360062814648259</v>
      </c>
      <c r="AQ84" s="148">
        <f t="shared" ca="1" si="202"/>
        <v>1.3735633169968471</v>
      </c>
      <c r="AR84" s="148">
        <f t="shared" ref="AR84:BW84" ca="1" si="203">IF(AQ84,AQ84*AR83,1)</f>
        <v>1.3871978304820543</v>
      </c>
      <c r="AS84" s="148">
        <f t="shared" ca="1" si="203"/>
        <v>1.4009676853495465</v>
      </c>
      <c r="AT84" s="148">
        <f t="shared" ca="1" si="203"/>
        <v>1.4148742250495157</v>
      </c>
      <c r="AU84" s="148">
        <f t="shared" ca="1" si="203"/>
        <v>1.4289188063677527</v>
      </c>
      <c r="AV84" s="148">
        <f t="shared" ca="1" si="203"/>
        <v>1.4431027995580223</v>
      </c>
      <c r="AW84" s="148">
        <f t="shared" ca="1" si="203"/>
        <v>1.4574275884757504</v>
      </c>
      <c r="AX84" s="148">
        <f t="shared" ca="1" si="203"/>
        <v>1.4718945707130398</v>
      </c>
      <c r="AY84" s="148">
        <f t="shared" ca="1" si="203"/>
        <v>1.4865051577350259</v>
      </c>
      <c r="AZ84" s="148">
        <f t="shared" ca="1" si="203"/>
        <v>1.5012607750175853</v>
      </c>
      <c r="BA84" s="148">
        <f t="shared" ca="1" si="203"/>
        <v>1.5161628621864121</v>
      </c>
      <c r="BB84" s="148">
        <f t="shared" ca="1" si="203"/>
        <v>1.5312128731574741</v>
      </c>
      <c r="BC84" s="148">
        <f t="shared" ca="1" si="203"/>
        <v>1.5464122762788639</v>
      </c>
      <c r="BD84" s="148">
        <f t="shared" ca="1" si="203"/>
        <v>1.5617625544740572</v>
      </c>
      <c r="BE84" s="148">
        <f t="shared" ca="1" si="203"/>
        <v>1.5772652053865941</v>
      </c>
      <c r="BF84" s="148">
        <f t="shared" ca="1" si="203"/>
        <v>1.5929217415261954</v>
      </c>
      <c r="BG84" s="148">
        <f t="shared" ca="1" si="203"/>
        <v>1.6087336904163305</v>
      </c>
      <c r="BH84" s="148">
        <f t="shared" ca="1" si="203"/>
        <v>1.6247025947432499</v>
      </c>
      <c r="BI84" s="148">
        <f t="shared" ca="1" si="203"/>
        <v>1.6408300125064958</v>
      </c>
      <c r="BJ84" s="148">
        <f t="shared" ca="1" si="203"/>
        <v>1.6571175171709087</v>
      </c>
      <c r="BK84" s="148">
        <f t="shared" ca="1" si="203"/>
        <v>1.6735666978201411</v>
      </c>
      <c r="BL84" s="148">
        <f t="shared" ca="1" si="203"/>
        <v>1.6901791593116959</v>
      </c>
      <c r="BM84" s="148">
        <f t="shared" ca="1" si="203"/>
        <v>1.7069565224335042</v>
      </c>
      <c r="BN84" s="148">
        <f t="shared" ca="1" si="203"/>
        <v>1.7239004240620561</v>
      </c>
      <c r="BO84" s="148">
        <f t="shared" ca="1" si="203"/>
        <v>1.7410125173221025</v>
      </c>
      <c r="BP84" s="148">
        <f t="shared" ca="1" si="203"/>
        <v>1.7582944717479407</v>
      </c>
      <c r="BQ84" s="148">
        <f t="shared" ca="1" si="203"/>
        <v>1.7757479734463031</v>
      </c>
      <c r="BR84" s="148">
        <f t="shared" ca="1" si="203"/>
        <v>1.7933747252608601</v>
      </c>
      <c r="BS84" s="148">
        <f t="shared" ca="1" si="203"/>
        <v>1.8111764469383582</v>
      </c>
      <c r="BT84" s="148">
        <f t="shared" ca="1" si="203"/>
        <v>1.8291548752964064</v>
      </c>
      <c r="BU84" s="148">
        <f t="shared" ca="1" si="203"/>
        <v>1.8473117643929275</v>
      </c>
      <c r="BV84" s="148">
        <f t="shared" ca="1" si="203"/>
        <v>1.8656488856972926</v>
      </c>
      <c r="BW84" s="148">
        <f t="shared" ca="1" si="203"/>
        <v>1.8841680282631537</v>
      </c>
      <c r="BX84" s="148">
        <f t="shared" ref="BX84:CO84" ca="1" si="204">IF(BW84,BW84*BX83,1)</f>
        <v>1.9028709989029915</v>
      </c>
      <c r="BY84" s="148">
        <f t="shared" ca="1" si="204"/>
        <v>1.9217596223643969</v>
      </c>
      <c r="BZ84" s="148">
        <f t="shared" ca="1" si="204"/>
        <v>1.9408357415081017</v>
      </c>
      <c r="CA84" s="148">
        <f t="shared" ca="1" si="204"/>
        <v>1.9601012174877759</v>
      </c>
      <c r="CB84" s="148">
        <f t="shared" ca="1" si="204"/>
        <v>1.9795579299316111</v>
      </c>
      <c r="CC84" s="148">
        <f t="shared" ca="1" si="204"/>
        <v>1.9992077771257055</v>
      </c>
      <c r="CD84" s="148">
        <f t="shared" ca="1" si="204"/>
        <v>2.0190526761992689</v>
      </c>
      <c r="CE84" s="148">
        <f t="shared" ca="1" si="204"/>
        <v>2.0390945633116675</v>
      </c>
      <c r="CF84" s="148">
        <f t="shared" ca="1" si="204"/>
        <v>2.0593353938413239</v>
      </c>
      <c r="CG84" s="148">
        <f t="shared" ca="1" si="204"/>
        <v>2.0797771425764924</v>
      </c>
      <c r="CH84" s="148">
        <f t="shared" ca="1" si="204"/>
        <v>2.1004218039079294</v>
      </c>
      <c r="CI84" s="148">
        <f t="shared" ca="1" si="204"/>
        <v>2.1212713920234743</v>
      </c>
      <c r="CJ84" s="148">
        <f t="shared" ca="1" si="204"/>
        <v>2.1423279411045639</v>
      </c>
      <c r="CK84" s="148">
        <f t="shared" ca="1" si="204"/>
        <v>2.1635935055246955</v>
      </c>
      <c r="CL84" s="148">
        <f t="shared" ca="1" si="204"/>
        <v>2.1850701600498623</v>
      </c>
      <c r="CM84" s="148">
        <f t="shared" ca="1" si="204"/>
        <v>2.2067600000409753</v>
      </c>
      <c r="CN84" s="148">
        <f t="shared" ca="1" si="204"/>
        <v>2.2286651416582974</v>
      </c>
      <c r="CO84" s="148">
        <f t="shared" ca="1" si="204"/>
        <v>2.2507877220679058</v>
      </c>
    </row>
    <row r="85" spans="1:93">
      <c r="A85" s="77"/>
      <c r="B85" s="13"/>
      <c r="C85" s="17" t="str">
        <f xml:space="preserve"> "накопленный индекс стоимости капитальных вложений с " &amp; TEXT(E85,"ДД.ММ.ГГ") &amp; " - по периодам"</f>
        <v>накопленный индекс стоимости капитальных вложений с 01.01.25 - по периодам</v>
      </c>
      <c r="D85" s="10"/>
      <c r="E85" s="71">
        <f xml:space="preserve"> Date_Forecast_Start</f>
        <v>45658</v>
      </c>
      <c r="F85" s="11"/>
      <c r="G85" s="11" t="s">
        <v>378</v>
      </c>
      <c r="H85" s="10"/>
      <c r="I85" s="150"/>
      <c r="J85" s="10"/>
      <c r="K85" s="10"/>
      <c r="L85" s="148">
        <f t="shared" ref="L85:AQ85" ca="1" si="205">IF(Beginning_of_period &lt; $E85,1, IF(Beginning_of_period = $E85, L82, L82 * K85))</f>
        <v>1.014194887410651</v>
      </c>
      <c r="M85" s="148">
        <f t="shared" ca="1" si="205"/>
        <v>1.0285912696499031</v>
      </c>
      <c r="N85" s="148">
        <f t="shared" ca="1" si="205"/>
        <v>1.043192006914162</v>
      </c>
      <c r="O85" s="148">
        <f t="shared" ca="1" si="205"/>
        <v>1.0579999999999996</v>
      </c>
      <c r="P85" s="148">
        <f t="shared" ca="1" si="205"/>
        <v>1.0684249041288085</v>
      </c>
      <c r="Q85" s="148">
        <f t="shared" ca="1" si="205"/>
        <v>1.0789525290762327</v>
      </c>
      <c r="R85" s="148">
        <f t="shared" ca="1" si="205"/>
        <v>1.0895838869922589</v>
      </c>
      <c r="S85" s="148">
        <f t="shared" ca="1" si="205"/>
        <v>1.1003199999999993</v>
      </c>
      <c r="T85" s="148">
        <f t="shared" ca="1" si="205"/>
        <v>1.1111619002939606</v>
      </c>
      <c r="U85" s="148">
        <f t="shared" ca="1" si="205"/>
        <v>1.1221106302392818</v>
      </c>
      <c r="V85" s="148">
        <f t="shared" ca="1" si="205"/>
        <v>1.133167242471949</v>
      </c>
      <c r="W85" s="148">
        <f t="shared" ca="1" si="205"/>
        <v>1.144332799999999</v>
      </c>
      <c r="X85" s="148">
        <f t="shared" ca="1" si="205"/>
        <v>1.1556083763057188</v>
      </c>
      <c r="Y85" s="148">
        <f t="shared" ca="1" si="205"/>
        <v>1.1669950554488528</v>
      </c>
      <c r="Z85" s="148">
        <f t="shared" ca="1" si="205"/>
        <v>1.1784939321708268</v>
      </c>
      <c r="AA85" s="148">
        <f t="shared" ca="1" si="205"/>
        <v>1.1901061119999987</v>
      </c>
      <c r="AB85" s="148">
        <f t="shared" ca="1" si="205"/>
        <v>1.2018327113579472</v>
      </c>
      <c r="AC85" s="148">
        <f t="shared" ca="1" si="205"/>
        <v>1.2136748576668066</v>
      </c>
      <c r="AD85" s="148">
        <f t="shared" ca="1" si="205"/>
        <v>1.2256336894576596</v>
      </c>
      <c r="AE85" s="148">
        <f t="shared" ca="1" si="205"/>
        <v>1.2377103564799985</v>
      </c>
      <c r="AF85" s="148">
        <f t="shared" ca="1" si="205"/>
        <v>1.2499060198122651</v>
      </c>
      <c r="AG85" s="148">
        <f t="shared" ca="1" si="205"/>
        <v>1.2622218519734789</v>
      </c>
      <c r="AH85" s="148">
        <f t="shared" ca="1" si="205"/>
        <v>1.2746590370359661</v>
      </c>
      <c r="AI85" s="148">
        <f t="shared" ca="1" si="205"/>
        <v>1.2872187707391984</v>
      </c>
      <c r="AJ85" s="148">
        <f t="shared" ca="1" si="205"/>
        <v>1.2999961953186696</v>
      </c>
      <c r="AK85" s="148">
        <f t="shared" ca="1" si="205"/>
        <v>1.3129004534889765</v>
      </c>
      <c r="AL85" s="148">
        <f t="shared" ca="1" si="205"/>
        <v>1.3259328042487277</v>
      </c>
      <c r="AM85" s="148">
        <f t="shared" ca="1" si="205"/>
        <v>1.3390945190938319</v>
      </c>
      <c r="AN85" s="148">
        <f t="shared" ca="1" si="205"/>
        <v>1.3523868821415514</v>
      </c>
      <c r="AO85" s="148">
        <f t="shared" ca="1" si="205"/>
        <v>1.3658111902557866</v>
      </c>
      <c r="AP85" s="148">
        <f t="shared" ca="1" si="205"/>
        <v>1.379368753173603</v>
      </c>
      <c r="AQ85" s="148">
        <f t="shared" ca="1" si="205"/>
        <v>1.3930608936330167</v>
      </c>
      <c r="AR85" s="148">
        <f t="shared" ref="AR85:BW85" ca="1" si="206">IF(Beginning_of_period &lt; $E85,1, IF(Beginning_of_period = $E85, AR82, AR82 * AQ85))</f>
        <v>1.4068889475020454</v>
      </c>
      <c r="AS85" s="148">
        <f t="shared" ca="1" si="206"/>
        <v>1.4208542639090427</v>
      </c>
      <c r="AT85" s="148">
        <f t="shared" ca="1" si="206"/>
        <v>1.4349582053743246</v>
      </c>
      <c r="AU85" s="148">
        <f t="shared" ca="1" si="206"/>
        <v>1.4492021479431039</v>
      </c>
      <c r="AV85" s="148">
        <f t="shared" ca="1" si="206"/>
        <v>1.4635874813197427</v>
      </c>
      <c r="AW85" s="148">
        <f t="shared" ca="1" si="206"/>
        <v>1.4781156090033392</v>
      </c>
      <c r="AX85" s="148">
        <f t="shared" ca="1" si="206"/>
        <v>1.4927879484246587</v>
      </c>
      <c r="AY85" s="148">
        <f t="shared" ca="1" si="206"/>
        <v>1.5076059310844254</v>
      </c>
      <c r="AZ85" s="148">
        <f t="shared" ca="1" si="206"/>
        <v>1.5225710026929855</v>
      </c>
      <c r="BA85" s="148">
        <f t="shared" ca="1" si="206"/>
        <v>1.5376846233113575</v>
      </c>
      <c r="BB85" s="148">
        <f t="shared" ca="1" si="206"/>
        <v>1.5529482674936828</v>
      </c>
      <c r="BC85" s="148">
        <f t="shared" ca="1" si="206"/>
        <v>1.5683634244310898</v>
      </c>
      <c r="BD85" s="148">
        <f t="shared" ca="1" si="206"/>
        <v>1.5839315980969861</v>
      </c>
      <c r="BE85" s="148">
        <f t="shared" ca="1" si="206"/>
        <v>1.599654307393793</v>
      </c>
      <c r="BF85" s="148">
        <f t="shared" ca="1" si="206"/>
        <v>1.6155330863011366</v>
      </c>
      <c r="BG85" s="148">
        <f t="shared" ca="1" si="206"/>
        <v>1.6315694840255102</v>
      </c>
      <c r="BH85" s="148">
        <f t="shared" ca="1" si="206"/>
        <v>1.6477650651514215</v>
      </c>
      <c r="BI85" s="148">
        <f t="shared" ca="1" si="206"/>
        <v>1.6641214097940413</v>
      </c>
      <c r="BJ85" s="148">
        <f t="shared" ca="1" si="206"/>
        <v>1.680640113753366</v>
      </c>
      <c r="BK85" s="148">
        <f t="shared" ca="1" si="206"/>
        <v>1.6973227886699116</v>
      </c>
      <c r="BL85" s="148">
        <f t="shared" ca="1" si="206"/>
        <v>1.7141710621819528</v>
      </c>
      <c r="BM85" s="148">
        <f t="shared" ca="1" si="206"/>
        <v>1.7311865780843227</v>
      </c>
      <c r="BN85" s="148">
        <f t="shared" ca="1" si="206"/>
        <v>1.748370996488789</v>
      </c>
      <c r="BO85" s="148">
        <f t="shared" ca="1" si="206"/>
        <v>1.7657259939860221</v>
      </c>
      <c r="BP85" s="148">
        <f t="shared" ca="1" si="206"/>
        <v>1.7832532638091712</v>
      </c>
      <c r="BQ85" s="148">
        <f t="shared" ca="1" si="206"/>
        <v>1.8009545159990632</v>
      </c>
      <c r="BR85" s="148">
        <f t="shared" ca="1" si="206"/>
        <v>1.8188314775710432</v>
      </c>
      <c r="BS85" s="148">
        <f t="shared" ca="1" si="206"/>
        <v>1.8368858926834692</v>
      </c>
      <c r="BT85" s="148">
        <f t="shared" ca="1" si="206"/>
        <v>1.8551195228078803</v>
      </c>
      <c r="BU85" s="148">
        <f t="shared" ca="1" si="206"/>
        <v>1.8735341469008542</v>
      </c>
      <c r="BV85" s="148">
        <f t="shared" ca="1" si="206"/>
        <v>1.8921315615775702</v>
      </c>
      <c r="BW85" s="148">
        <f t="shared" ca="1" si="206"/>
        <v>1.9109135812870954</v>
      </c>
      <c r="BX85" s="148">
        <f t="shared" ref="BX85:CO85" ca="1" si="207">IF(Beginning_of_period &lt; $E85,1, IF(Beginning_of_period = $E85, BX82, BX82 * BW85))</f>
        <v>1.9298820384894104</v>
      </c>
      <c r="BY85" s="148">
        <f t="shared" ca="1" si="207"/>
        <v>1.9490387838341927</v>
      </c>
      <c r="BZ85" s="148">
        <f t="shared" ca="1" si="207"/>
        <v>1.9683856863413745</v>
      </c>
      <c r="CA85" s="148">
        <f t="shared" ca="1" si="207"/>
        <v>1.9879246335834928</v>
      </c>
      <c r="CB85" s="148">
        <f t="shared" ca="1" si="207"/>
        <v>2.0076575318698495</v>
      </c>
      <c r="CC85" s="148">
        <f t="shared" ca="1" si="207"/>
        <v>2.0275863064325006</v>
      </c>
      <c r="CD85" s="148">
        <f t="shared" ca="1" si="207"/>
        <v>2.0477129016140889</v>
      </c>
      <c r="CE85" s="148">
        <f t="shared" ca="1" si="207"/>
        <v>2.068039281057545</v>
      </c>
      <c r="CF85" s="148">
        <f t="shared" ca="1" si="207"/>
        <v>2.0885674278976678</v>
      </c>
      <c r="CG85" s="148">
        <f t="shared" ca="1" si="207"/>
        <v>2.1092993449546089</v>
      </c>
      <c r="CH85" s="148">
        <f t="shared" ca="1" si="207"/>
        <v>2.1302370549292764</v>
      </c>
      <c r="CI85" s="148">
        <f t="shared" ca="1" si="207"/>
        <v>2.1513826006006798</v>
      </c>
      <c r="CJ85" s="148">
        <f t="shared" ca="1" si="207"/>
        <v>2.1727380450252323</v>
      </c>
      <c r="CK85" s="148">
        <f t="shared" ca="1" si="207"/>
        <v>2.1943054717380317</v>
      </c>
      <c r="CL85" s="148">
        <f t="shared" ca="1" si="207"/>
        <v>2.2160869849561404</v>
      </c>
      <c r="CM85" s="148">
        <f t="shared" ca="1" si="207"/>
        <v>2.2380847097838821</v>
      </c>
      <c r="CN85" s="148">
        <f t="shared" ca="1" si="207"/>
        <v>2.2603007924201766</v>
      </c>
      <c r="CO85" s="148">
        <f t="shared" ca="1" si="207"/>
        <v>2.2827374003679326</v>
      </c>
    </row>
    <row r="86" spans="1:93">
      <c r="A86" s="77"/>
      <c r="B86" s="13"/>
      <c r="C86" s="17"/>
      <c r="D86" s="10"/>
      <c r="E86" s="62"/>
      <c r="F86" s="11"/>
      <c r="G86" s="11"/>
      <c r="H86" s="10"/>
      <c r="I86" s="11"/>
      <c r="J86" s="10"/>
      <c r="K86" s="10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</row>
    <row r="87" spans="1:93">
      <c r="A87" s="77"/>
      <c r="B87" s="13"/>
      <c r="C87" s="87" t="s">
        <v>383</v>
      </c>
      <c r="D87" s="10"/>
      <c r="E87" s="62"/>
      <c r="F87" s="11"/>
      <c r="G87" s="11"/>
      <c r="H87" s="10"/>
      <c r="I87" s="11"/>
      <c r="J87" s="10"/>
      <c r="K87" s="10"/>
      <c r="L87" s="410"/>
      <c r="M87" s="410"/>
      <c r="N87" s="410"/>
      <c r="O87" s="410"/>
      <c r="P87" s="410"/>
      <c r="Q87" s="410"/>
      <c r="R87" s="410"/>
      <c r="S87" s="410"/>
      <c r="T87" s="410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</row>
    <row r="88" spans="1:93">
      <c r="A88" s="77"/>
      <c r="B88" s="13"/>
      <c r="C88" s="17" t="s">
        <v>384</v>
      </c>
      <c r="D88" s="10"/>
      <c r="E88" s="62"/>
      <c r="F88" s="11"/>
      <c r="G88" s="11" t="s">
        <v>28</v>
      </c>
      <c r="H88" s="10"/>
      <c r="I88" s="11"/>
      <c r="J88" s="10"/>
      <c r="K88" s="10"/>
      <c r="L88" s="84">
        <f>SUMIF(Year_Unic,Year,Предпосылки!$L$60:$CO$60)*Period_length</f>
        <v>3.9452054794520547E-2</v>
      </c>
      <c r="M88" s="84">
        <f>SUMIF(Year_Unic,Year,Предпосылки!$L$60:$CO$60)*Period_length</f>
        <v>3.989041095890411E-2</v>
      </c>
      <c r="N88" s="84">
        <f>SUMIF(Year_Unic,Year,Предпосылки!$L$60:$CO$60)*Period_length</f>
        <v>4.0328767123287673E-2</v>
      </c>
      <c r="O88" s="84">
        <f>SUMIF(Year_Unic,Year,Предпосылки!$L$60:$CO$60)*Period_length</f>
        <v>4.0328767123287673E-2</v>
      </c>
      <c r="P88" s="84">
        <f>SUMIF(Year_Unic,Year,Предпосылки!$L$60:$CO$60)*Period_length</f>
        <v>2.7123287671232874E-2</v>
      </c>
      <c r="Q88" s="84">
        <f>SUMIF(Year_Unic,Year,Предпосылки!$L$60:$CO$60)*Period_length</f>
        <v>2.7424657534246576E-2</v>
      </c>
      <c r="R88" s="84">
        <f>SUMIF(Year_Unic,Year,Предпосылки!$L$60:$CO$60)*Period_length</f>
        <v>2.7726027397260277E-2</v>
      </c>
      <c r="S88" s="84">
        <f>SUMIF(Year_Unic,Year,Предпосылки!$L$60:$CO$60)*Period_length</f>
        <v>2.7726027397260277E-2</v>
      </c>
      <c r="T88" s="84">
        <f>SUMIF(Year_Unic,Year,Предпосылки!$L$60:$CO$60)*Period_length</f>
        <v>2.0958904109589043E-2</v>
      </c>
      <c r="U88" s="84">
        <f>SUMIF(Year_Unic,Year,Предпосылки!$L$60:$CO$60)*Period_length</f>
        <v>2.1191780821917808E-2</v>
      </c>
      <c r="V88" s="84">
        <f>SUMIF(Year_Unic,Year,Предпосылки!$L$60:$CO$60)*Period_length</f>
        <v>2.1424657534246577E-2</v>
      </c>
      <c r="W88" s="84">
        <f>SUMIF(Year_Unic,Year,Предпосылки!$L$60:$CO$60)*Period_length</f>
        <v>2.1424657534246577E-2</v>
      </c>
      <c r="X88" s="84">
        <f>SUMIF(Year_Unic,Year,Предпосылки!$L$60:$CO$60)*Period_length</f>
        <v>2.1133879781420766E-2</v>
      </c>
      <c r="Y88" s="84">
        <f>SUMIF(Year_Unic,Year,Предпосылки!$L$60:$CO$60)*Period_length</f>
        <v>2.1133879781420766E-2</v>
      </c>
      <c r="Z88" s="84">
        <f>SUMIF(Year_Unic,Year,Предпосылки!$L$60:$CO$60)*Period_length</f>
        <v>2.1366120218579237E-2</v>
      </c>
      <c r="AA88" s="84">
        <f>SUMIF(Year_Unic,Year,Предпосылки!$L$60:$CO$60)*Period_length</f>
        <v>2.1366120218579237E-2</v>
      </c>
      <c r="AB88" s="84">
        <f>SUMIF(Year_Unic,Year,Предпосылки!$L$60:$CO$60)*Period_length</f>
        <v>2.0958904109589043E-2</v>
      </c>
      <c r="AC88" s="84">
        <f>SUMIF(Year_Unic,Year,Предпосылки!$L$60:$CO$60)*Period_length</f>
        <v>2.1191780821917808E-2</v>
      </c>
      <c r="AD88" s="84">
        <f>SUMIF(Year_Unic,Year,Предпосылки!$L$60:$CO$60)*Period_length</f>
        <v>2.1424657534246577E-2</v>
      </c>
      <c r="AE88" s="84">
        <f>SUMIF(Year_Unic,Year,Предпосылки!$L$60:$CO$60)*Period_length</f>
        <v>2.1424657534246577E-2</v>
      </c>
      <c r="AF88" s="84">
        <f>SUMIF(Year_Unic,Year,Предпосылки!$L$60:$CO$60)*Period_length</f>
        <v>2.0958904109589043E-2</v>
      </c>
      <c r="AG88" s="84">
        <f>SUMIF(Year_Unic,Year,Предпосылки!$L$60:$CO$60)*Period_length</f>
        <v>2.1191780821917808E-2</v>
      </c>
      <c r="AH88" s="84">
        <f>SUMIF(Year_Unic,Year,Предпосылки!$L$60:$CO$60)*Period_length</f>
        <v>2.1424657534246577E-2</v>
      </c>
      <c r="AI88" s="84">
        <f>SUMIF(Year_Unic,Year,Предпосылки!$L$60:$CO$60)*Period_length</f>
        <v>2.1424657534246577E-2</v>
      </c>
      <c r="AJ88" s="84">
        <f>SUMIF(Year_Unic,Year,Предпосылки!$L$60:$CO$60)*Period_length</f>
        <v>2.0958904109589043E-2</v>
      </c>
      <c r="AK88" s="84">
        <f>SUMIF(Year_Unic,Year,Предпосылки!$L$60:$CO$60)*Period_length</f>
        <v>2.1191780821917808E-2</v>
      </c>
      <c r="AL88" s="84">
        <f>SUMIF(Year_Unic,Year,Предпосылки!$L$60:$CO$60)*Period_length</f>
        <v>2.1424657534246577E-2</v>
      </c>
      <c r="AM88" s="84">
        <f>SUMIF(Year_Unic,Year,Предпосылки!$L$60:$CO$60)*Period_length</f>
        <v>2.1424657534246577E-2</v>
      </c>
      <c r="AN88" s="84">
        <f>SUMIF(Year_Unic,Year,Предпосылки!$L$60:$CO$60)*Period_length</f>
        <v>2.1133879781420766E-2</v>
      </c>
      <c r="AO88" s="84">
        <f>SUMIF(Year_Unic,Year,Предпосылки!$L$60:$CO$60)*Period_length</f>
        <v>2.1133879781420766E-2</v>
      </c>
      <c r="AP88" s="84">
        <f>SUMIF(Year_Unic,Year,Предпосылки!$L$60:$CO$60)*Period_length</f>
        <v>2.1366120218579237E-2</v>
      </c>
      <c r="AQ88" s="84">
        <f>SUMIF(Year_Unic,Year,Предпосылки!$L$60:$CO$60)*Period_length</f>
        <v>2.1366120218579237E-2</v>
      </c>
      <c r="AR88" s="84">
        <f>SUMIF(Year_Unic,Year,Предпосылки!$L$60:$CO$60)*Period_length</f>
        <v>2.0958904109589043E-2</v>
      </c>
      <c r="AS88" s="84">
        <f>SUMIF(Year_Unic,Year,Предпосылки!$L$60:$CO$60)*Period_length</f>
        <v>2.1191780821917808E-2</v>
      </c>
      <c r="AT88" s="84">
        <f>SUMIF(Year_Unic,Year,Предпосылки!$L$60:$CO$60)*Period_length</f>
        <v>2.1424657534246577E-2</v>
      </c>
      <c r="AU88" s="84">
        <f>SUMIF(Year_Unic,Year,Предпосылки!$L$60:$CO$60)*Period_length</f>
        <v>2.1424657534246577E-2</v>
      </c>
      <c r="AV88" s="84">
        <f>SUMIF(Year_Unic,Year,Предпосылки!$L$60:$CO$60)*Period_length</f>
        <v>2.0958904109589043E-2</v>
      </c>
      <c r="AW88" s="84">
        <f>SUMIF(Year_Unic,Year,Предпосылки!$L$60:$CO$60)*Period_length</f>
        <v>2.1191780821917808E-2</v>
      </c>
      <c r="AX88" s="84">
        <f>SUMIF(Year_Unic,Year,Предпосылки!$L$60:$CO$60)*Period_length</f>
        <v>2.1424657534246577E-2</v>
      </c>
      <c r="AY88" s="84">
        <f>SUMIF(Year_Unic,Year,Предпосылки!$L$60:$CO$60)*Period_length</f>
        <v>2.1424657534246577E-2</v>
      </c>
      <c r="AZ88" s="84">
        <f>SUMIF(Year_Unic,Year,Предпосылки!$L$60:$CO$60)*Period_length</f>
        <v>2.0958904109589043E-2</v>
      </c>
      <c r="BA88" s="84">
        <f>SUMIF(Year_Unic,Year,Предпосылки!$L$60:$CO$60)*Period_length</f>
        <v>2.1191780821917808E-2</v>
      </c>
      <c r="BB88" s="84">
        <f>SUMIF(Year_Unic,Year,Предпосылки!$L$60:$CO$60)*Period_length</f>
        <v>2.1424657534246577E-2</v>
      </c>
      <c r="BC88" s="84">
        <f>SUMIF(Year_Unic,Year,Предпосылки!$L$60:$CO$60)*Period_length</f>
        <v>2.1424657534246577E-2</v>
      </c>
      <c r="BD88" s="84">
        <f>SUMIF(Year_Unic,Year,Предпосылки!$L$60:$CO$60)*Period_length</f>
        <v>2.1133879781420766E-2</v>
      </c>
      <c r="BE88" s="84">
        <f>SUMIF(Year_Unic,Year,Предпосылки!$L$60:$CO$60)*Period_length</f>
        <v>2.1133879781420766E-2</v>
      </c>
      <c r="BF88" s="84">
        <f>SUMIF(Year_Unic,Year,Предпосылки!$L$60:$CO$60)*Period_length</f>
        <v>2.1366120218579237E-2</v>
      </c>
      <c r="BG88" s="84">
        <f>SUMIF(Year_Unic,Year,Предпосылки!$L$60:$CO$60)*Period_length</f>
        <v>2.1366120218579237E-2</v>
      </c>
      <c r="BH88" s="84">
        <f>SUMIF(Year_Unic,Year,Предпосылки!$L$60:$CO$60)*Period_length</f>
        <v>2.0958904109589043E-2</v>
      </c>
      <c r="BI88" s="84">
        <f>SUMIF(Year_Unic,Year,Предпосылки!$L$60:$CO$60)*Period_length</f>
        <v>2.1191780821917808E-2</v>
      </c>
      <c r="BJ88" s="84">
        <f>SUMIF(Year_Unic,Year,Предпосылки!$L$60:$CO$60)*Period_length</f>
        <v>2.1424657534246577E-2</v>
      </c>
      <c r="BK88" s="84">
        <f>SUMIF(Year_Unic,Year,Предпосылки!$L$60:$CO$60)*Period_length</f>
        <v>2.1424657534246577E-2</v>
      </c>
      <c r="BL88" s="84">
        <f>SUMIF(Year_Unic,Year,Предпосылки!$L$60:$CO$60)*Period_length</f>
        <v>2.0958904109589043E-2</v>
      </c>
      <c r="BM88" s="84">
        <f>SUMIF(Year_Unic,Year,Предпосылки!$L$60:$CO$60)*Period_length</f>
        <v>2.1191780821917808E-2</v>
      </c>
      <c r="BN88" s="84">
        <f>SUMIF(Year_Unic,Year,Предпосылки!$L$60:$CO$60)*Period_length</f>
        <v>2.1424657534246577E-2</v>
      </c>
      <c r="BO88" s="84">
        <f>SUMIF(Year_Unic,Year,Предпосылки!$L$60:$CO$60)*Period_length</f>
        <v>2.1424657534246577E-2</v>
      </c>
      <c r="BP88" s="84">
        <f>SUMIF(Year_Unic,Year,Предпосылки!$L$60:$CO$60)*Period_length</f>
        <v>2.0958904109589043E-2</v>
      </c>
      <c r="BQ88" s="84">
        <f>SUMIF(Year_Unic,Year,Предпосылки!$L$60:$CO$60)*Period_length</f>
        <v>2.1191780821917808E-2</v>
      </c>
      <c r="BR88" s="84">
        <f>SUMIF(Year_Unic,Year,Предпосылки!$L$60:$CO$60)*Period_length</f>
        <v>2.1424657534246577E-2</v>
      </c>
      <c r="BS88" s="84">
        <f>SUMIF(Year_Unic,Year,Предпосылки!$L$60:$CO$60)*Period_length</f>
        <v>2.1424657534246577E-2</v>
      </c>
      <c r="BT88" s="84">
        <f>SUMIF(Year_Unic,Year,Предпосылки!$L$60:$CO$60)*Period_length</f>
        <v>2.1133879781420766E-2</v>
      </c>
      <c r="BU88" s="84">
        <f>SUMIF(Year_Unic,Year,Предпосылки!$L$60:$CO$60)*Period_length</f>
        <v>2.1133879781420766E-2</v>
      </c>
      <c r="BV88" s="84">
        <f>SUMIF(Year_Unic,Year,Предпосылки!$L$60:$CO$60)*Period_length</f>
        <v>2.1366120218579237E-2</v>
      </c>
      <c r="BW88" s="84">
        <f>SUMIF(Year_Unic,Year,Предпосылки!$L$60:$CO$60)*Period_length</f>
        <v>2.1366120218579237E-2</v>
      </c>
      <c r="BX88" s="84">
        <f>SUMIF(Year_Unic,Year,Предпосылки!$L$60:$CO$60)*Period_length</f>
        <v>2.0958904109589043E-2</v>
      </c>
      <c r="BY88" s="84">
        <f>SUMIF(Year_Unic,Year,Предпосылки!$L$60:$CO$60)*Period_length</f>
        <v>2.1191780821917808E-2</v>
      </c>
      <c r="BZ88" s="84">
        <f>SUMIF(Year_Unic,Year,Предпосылки!$L$60:$CO$60)*Period_length</f>
        <v>2.1424657534246577E-2</v>
      </c>
      <c r="CA88" s="84">
        <f>SUMIF(Year_Unic,Year,Предпосылки!$L$60:$CO$60)*Period_length</f>
        <v>2.1424657534246577E-2</v>
      </c>
      <c r="CB88" s="84">
        <f>SUMIF(Year_Unic,Year,Предпосылки!$L$60:$CO$60)*Period_length</f>
        <v>2.0958904109589043E-2</v>
      </c>
      <c r="CC88" s="84">
        <f>SUMIF(Year_Unic,Year,Предпосылки!$L$60:$CO$60)*Period_length</f>
        <v>2.1191780821917808E-2</v>
      </c>
      <c r="CD88" s="84">
        <f>SUMIF(Year_Unic,Year,Предпосылки!$L$60:$CO$60)*Period_length</f>
        <v>2.1424657534246577E-2</v>
      </c>
      <c r="CE88" s="84">
        <f>SUMIF(Year_Unic,Year,Предпосылки!$L$60:$CO$60)*Period_length</f>
        <v>2.1424657534246577E-2</v>
      </c>
      <c r="CF88" s="84">
        <f>SUMIF(Year_Unic,Year,Предпосылки!$L$60:$CO$60)*Period_length</f>
        <v>2.0958904109589043E-2</v>
      </c>
      <c r="CG88" s="84">
        <f>SUMIF(Year_Unic,Year,Предпосылки!$L$60:$CO$60)*Period_length</f>
        <v>2.1191780821917808E-2</v>
      </c>
      <c r="CH88" s="84">
        <f>SUMIF(Year_Unic,Year,Предпосылки!$L$60:$CO$60)*Period_length</f>
        <v>2.1424657534246577E-2</v>
      </c>
      <c r="CI88" s="84">
        <f>SUMIF(Year_Unic,Year,Предпосылки!$L$60:$CO$60)*Period_length</f>
        <v>2.1424657534246577E-2</v>
      </c>
      <c r="CJ88" s="84">
        <f>SUMIF(Year_Unic,Year,Предпосылки!$L$60:$CO$60)*Period_length</f>
        <v>2.1133879781420766E-2</v>
      </c>
      <c r="CK88" s="84">
        <f>SUMIF(Year_Unic,Year,Предпосылки!$L$60:$CO$60)*Period_length</f>
        <v>2.1133879781420766E-2</v>
      </c>
      <c r="CL88" s="84">
        <f>SUMIF(Year_Unic,Year,Предпосылки!$L$60:$CO$60)*Period_length</f>
        <v>2.1366120218579237E-2</v>
      </c>
      <c r="CM88" s="84">
        <f>SUMIF(Year_Unic,Year,Предпосылки!$L$60:$CO$60)*Period_length</f>
        <v>2.1366120218579237E-2</v>
      </c>
      <c r="CN88" s="84">
        <f>SUMIF(Year_Unic,Year,Предпосылки!$L$60:$CO$60)*Period_length</f>
        <v>2.0958904109589043E-2</v>
      </c>
      <c r="CO88" s="84">
        <f>SUMIF(Year_Unic,Year,Предпосылки!$L$60:$CO$60)*Period_length</f>
        <v>2.1191780821917808E-2</v>
      </c>
    </row>
    <row r="89" spans="1:93">
      <c r="A89" s="77"/>
      <c r="B89" s="13"/>
      <c r="C89" s="21"/>
      <c r="D89" s="10"/>
      <c r="E89" s="62"/>
      <c r="F89" s="11"/>
      <c r="G89" s="11"/>
      <c r="H89" s="10"/>
      <c r="I89" s="10"/>
      <c r="J89" s="10"/>
      <c r="K89" s="10"/>
      <c r="L89" s="475"/>
      <c r="M89" s="475"/>
      <c r="N89" s="475"/>
      <c r="O89" s="475"/>
      <c r="P89" s="475"/>
      <c r="Q89" s="475"/>
      <c r="R89" s="475"/>
      <c r="S89" s="475"/>
      <c r="T89" s="475"/>
      <c r="U89" s="475"/>
      <c r="V89" s="475"/>
      <c r="W89" s="475"/>
      <c r="X89" s="475"/>
      <c r="Y89" s="475"/>
      <c r="Z89" s="475"/>
      <c r="AA89" s="475"/>
      <c r="AB89" s="475"/>
      <c r="AC89" s="475"/>
      <c r="AD89" s="475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</row>
    <row r="90" spans="1:93" ht="22.5" customHeight="1">
      <c r="A90" s="77"/>
      <c r="B90" s="5" t="s">
        <v>574</v>
      </c>
      <c r="C90" s="5"/>
      <c r="D90" s="15"/>
      <c r="E90" s="15"/>
      <c r="F90" s="31"/>
      <c r="G90" s="18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</row>
    <row r="91" spans="1:93">
      <c r="A91" s="77"/>
      <c r="B91" s="168"/>
      <c r="C91" s="169"/>
      <c r="D91" s="10"/>
      <c r="E91" s="62"/>
      <c r="F91" s="11"/>
      <c r="G91" s="11"/>
      <c r="H91" s="10"/>
      <c r="I91" s="10"/>
      <c r="J91" s="10"/>
      <c r="K91" s="1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  <c r="AP91" s="170"/>
      <c r="AQ91" s="170"/>
      <c r="AR91" s="170"/>
      <c r="AS91" s="170"/>
      <c r="AT91" s="170"/>
      <c r="AU91" s="170"/>
      <c r="AV91" s="170"/>
      <c r="AW91" s="170"/>
      <c r="AX91" s="170"/>
      <c r="AY91" s="170"/>
      <c r="AZ91" s="170"/>
      <c r="BA91" s="170"/>
      <c r="BB91" s="170"/>
      <c r="BC91" s="170"/>
      <c r="BD91" s="170"/>
      <c r="BE91" s="170"/>
      <c r="BF91" s="170"/>
      <c r="BG91" s="170"/>
      <c r="BH91" s="170"/>
      <c r="BI91" s="170"/>
      <c r="BJ91" s="170"/>
      <c r="BK91" s="170"/>
      <c r="BL91" s="170"/>
      <c r="BM91" s="170"/>
      <c r="BN91" s="170"/>
      <c r="BO91" s="170"/>
      <c r="BP91" s="170"/>
      <c r="BQ91" s="170"/>
      <c r="BR91" s="170"/>
      <c r="BS91" s="170"/>
      <c r="BT91" s="170"/>
      <c r="BU91" s="170"/>
      <c r="BV91" s="170"/>
      <c r="BW91" s="170"/>
      <c r="BX91" s="170"/>
      <c r="BY91" s="170"/>
      <c r="BZ91" s="170"/>
      <c r="CA91" s="170"/>
      <c r="CB91" s="170"/>
      <c r="CC91" s="170"/>
      <c r="CD91" s="170"/>
      <c r="CE91" s="170"/>
      <c r="CF91" s="170"/>
      <c r="CG91" s="170"/>
      <c r="CH91" s="170"/>
      <c r="CI91" s="170"/>
      <c r="CJ91" s="170"/>
      <c r="CK91" s="170"/>
      <c r="CL91" s="170"/>
      <c r="CM91" s="170"/>
      <c r="CN91" s="170"/>
      <c r="CO91" s="170"/>
    </row>
    <row r="92" spans="1:93" ht="16.5" thickBot="1">
      <c r="A92" s="77"/>
      <c r="B92" s="101"/>
      <c r="C92" s="12" t="s">
        <v>860</v>
      </c>
      <c r="D92" s="12"/>
      <c r="E92" s="12"/>
      <c r="F92" s="12"/>
      <c r="G92" s="360"/>
      <c r="H92" s="12"/>
      <c r="I92" s="12"/>
      <c r="J92" s="69"/>
      <c r="K92" s="69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  <c r="AK92" s="103"/>
      <c r="AL92" s="103"/>
      <c r="AM92" s="103"/>
      <c r="AN92" s="103"/>
      <c r="AO92" s="103"/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  <c r="BM92" s="103"/>
      <c r="BN92" s="103"/>
      <c r="BO92" s="103"/>
      <c r="BP92" s="103"/>
      <c r="BQ92" s="103"/>
      <c r="BR92" s="103"/>
      <c r="BS92" s="103"/>
      <c r="BT92" s="103"/>
      <c r="BU92" s="103"/>
      <c r="BV92" s="103"/>
      <c r="BW92" s="103"/>
      <c r="BX92" s="103"/>
      <c r="BY92" s="103"/>
      <c r="BZ92" s="103"/>
      <c r="CA92" s="103"/>
      <c r="CB92" s="103"/>
      <c r="CC92" s="103"/>
      <c r="CD92" s="103"/>
      <c r="CE92" s="103"/>
      <c r="CF92" s="103"/>
      <c r="CG92" s="103"/>
      <c r="CH92" s="103"/>
      <c r="CI92" s="103"/>
      <c r="CJ92" s="103"/>
      <c r="CK92" s="103"/>
      <c r="CL92" s="103"/>
      <c r="CM92" s="103"/>
      <c r="CN92" s="103"/>
      <c r="CO92" s="103"/>
    </row>
    <row r="93" spans="1:93" s="133" customFormat="1" ht="14.25">
      <c r="A93" s="9"/>
      <c r="B93" s="10"/>
      <c r="C93" s="21"/>
      <c r="D93" s="10"/>
      <c r="E93" s="10"/>
      <c r="F93" s="10"/>
      <c r="G93" s="11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</row>
    <row r="94" spans="1:93" s="133" customFormat="1">
      <c r="A94" s="9"/>
      <c r="B94" s="10"/>
      <c r="C94" s="87" t="s">
        <v>836</v>
      </c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.25">
      <c r="A95" s="9"/>
      <c r="B95" s="10"/>
      <c r="C95" s="21" t="str">
        <f>"Сегмент 1: " &amp; C35</f>
        <v>Сегмент 1: Объект размещения (отель)</v>
      </c>
      <c r="D95" s="10"/>
      <c r="E95" s="309" t="str">
        <f>Контр_панель!G30</f>
        <v>в проекте</v>
      </c>
      <c r="F95" s="10"/>
      <c r="G95" s="207"/>
      <c r="H95" s="10"/>
      <c r="I95" s="294">
        <f xml:space="preserve"> (E95 = "в проекте") * 1</f>
        <v>1</v>
      </c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</row>
    <row r="96" spans="1:93" s="133" customFormat="1" ht="14.25">
      <c r="A96" s="9"/>
      <c r="B96" s="10"/>
      <c r="C96" s="21" t="str">
        <f>"Сегмент 2: " &amp; C36</f>
        <v>Сегмент 2: Развлекательный комплекс</v>
      </c>
      <c r="D96" s="10"/>
      <c r="E96" s="309" t="str">
        <f>Контр_панель!G31</f>
        <v>в проекте</v>
      </c>
      <c r="F96" s="10"/>
      <c r="G96" s="207"/>
      <c r="H96" s="10"/>
      <c r="I96" s="294">
        <f xml:space="preserve"> (E96 = "в проекте") * 1</f>
        <v>1</v>
      </c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</row>
    <row r="97" spans="1:93" s="133" customFormat="1" ht="14.25">
      <c r="A97" s="9"/>
      <c r="B97" s="10"/>
      <c r="C97" s="21" t="str">
        <f>"Сегмент 3: " &amp; C37</f>
        <v>Сегмент 3: Крытый парк развлечений</v>
      </c>
      <c r="D97" s="10"/>
      <c r="E97" s="309" t="str">
        <f>Контр_панель!G32</f>
        <v>в проекте</v>
      </c>
      <c r="F97" s="10"/>
      <c r="G97" s="207"/>
      <c r="H97" s="10"/>
      <c r="I97" s="294">
        <f xml:space="preserve"> (E97 = "в проекте") * 1</f>
        <v>1</v>
      </c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</row>
    <row r="98" spans="1:93" s="133" customFormat="1" ht="14.25">
      <c r="A98" s="9"/>
      <c r="B98" s="10"/>
      <c r="C98" s="21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133" customFormat="1">
      <c r="A99" s="9"/>
      <c r="B99" s="10"/>
      <c r="C99" s="87" t="s">
        <v>835</v>
      </c>
      <c r="D99" s="10"/>
      <c r="E99" s="10"/>
      <c r="F99" s="10"/>
      <c r="G99" s="11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</row>
    <row r="100" spans="1:93" s="141" customFormat="1" ht="12.75">
      <c r="A100" s="9"/>
      <c r="B100" s="10"/>
      <c r="C100" s="21" t="str">
        <f>C95</f>
        <v>Сегмент 1: Объект размещения (отель)</v>
      </c>
      <c r="D100" s="10"/>
      <c r="E100" s="184">
        <f xml:space="preserve"> Предпосылки!E293</f>
        <v>2667332.2923727995</v>
      </c>
      <c r="F100" s="10"/>
      <c r="G100" s="11" t="str">
        <f>Monetary_Unit</f>
        <v>тыс. руб.</v>
      </c>
      <c r="H100" s="10"/>
      <c r="I100" s="307">
        <f xml:space="preserve"> E100 / SUM($E$100:$E$102)</f>
        <v>1</v>
      </c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</row>
    <row r="101" spans="1:93" s="141" customFormat="1" ht="12.75">
      <c r="A101" s="9"/>
      <c r="B101" s="10"/>
      <c r="C101" s="21" t="str">
        <f>C96</f>
        <v>Сегмент 2: Развлекательный комплекс</v>
      </c>
      <c r="D101" s="10"/>
      <c r="E101" s="184">
        <f xml:space="preserve"> Предпосылки!E326</f>
        <v>0</v>
      </c>
      <c r="F101" s="10"/>
      <c r="G101" s="11" t="str">
        <f>Monetary_Unit</f>
        <v>тыс. руб.</v>
      </c>
      <c r="H101" s="10"/>
      <c r="I101" s="307">
        <f xml:space="preserve"> E101 / SUM($E$100:$E$102)</f>
        <v>0</v>
      </c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</row>
    <row r="102" spans="1:93" s="141" customFormat="1" ht="12.75">
      <c r="A102" s="9"/>
      <c r="B102" s="10"/>
      <c r="C102" s="21" t="str">
        <f>C97</f>
        <v>Сегмент 3: Крытый парк развлечений</v>
      </c>
      <c r="D102" s="10"/>
      <c r="E102" s="184">
        <f xml:space="preserve"> Предпосылки!E352</f>
        <v>0</v>
      </c>
      <c r="F102" s="10"/>
      <c r="G102" s="11" t="str">
        <f>Monetary_Unit</f>
        <v>тыс. руб.</v>
      </c>
      <c r="H102" s="10"/>
      <c r="I102" s="307">
        <f xml:space="preserve"> E102 / SUM($E$100:$E$102)</f>
        <v>0</v>
      </c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</row>
    <row r="103" spans="1:93" s="141" customFormat="1" ht="12.75">
      <c r="A103" s="9"/>
      <c r="B103" s="10"/>
      <c r="C103" s="21"/>
      <c r="D103" s="10"/>
      <c r="E103" s="10"/>
      <c r="F103" s="10"/>
      <c r="G103" s="11"/>
      <c r="H103" s="10"/>
      <c r="I103" s="225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</row>
    <row r="104" spans="1:93" s="141" customFormat="1" ht="12.75">
      <c r="A104" s="9"/>
      <c r="B104" s="10"/>
      <c r="C104" s="21" t="s">
        <v>1187</v>
      </c>
      <c r="D104" s="10"/>
      <c r="E104" s="309" t="str">
        <f xml:space="preserve"> Контр_панель!G34</f>
        <v>да</v>
      </c>
      <c r="F104" s="10"/>
      <c r="G104" s="242" t="s">
        <v>28</v>
      </c>
      <c r="H104" s="10"/>
      <c r="I104" s="307">
        <f xml:space="preserve"> IF(E104="да",I95 * I100 + I96 * I101 + I97 * I102,100%)</f>
        <v>1</v>
      </c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</row>
    <row r="105" spans="1:93" s="141" customFormat="1" ht="12.75">
      <c r="A105" s="9"/>
      <c r="B105" s="10"/>
      <c r="C105" s="21"/>
      <c r="D105" s="10"/>
      <c r="E105" s="10"/>
      <c r="F105" s="10"/>
      <c r="G105" s="11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</row>
    <row r="106" spans="1:93" s="141" customFormat="1">
      <c r="A106" s="9"/>
      <c r="B106" s="10"/>
      <c r="C106" s="87" t="s">
        <v>1143</v>
      </c>
      <c r="D106" s="10"/>
      <c r="E106" s="10"/>
      <c r="F106" s="10"/>
      <c r="G106" s="11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</row>
    <row r="107" spans="1:93" s="141" customFormat="1" ht="12.75">
      <c r="A107" s="9"/>
      <c r="B107" s="10"/>
      <c r="C107" s="21" t="str">
        <f>"Изменение затрат на " &amp; C32</f>
        <v>Изменение затрат на Транспортная инфраструктура</v>
      </c>
      <c r="D107" s="10"/>
      <c r="E107" s="308">
        <f>Контр_панель!G42</f>
        <v>0</v>
      </c>
      <c r="F107" s="10"/>
      <c r="G107" s="11" t="s">
        <v>28</v>
      </c>
      <c r="H107" s="10"/>
      <c r="I107" s="465">
        <f xml:space="preserve"> (1 + E107) * (1 + Capex_sens)</f>
        <v>1</v>
      </c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</row>
    <row r="108" spans="1:93" s="141" customFormat="1" ht="12.75">
      <c r="A108" s="9"/>
      <c r="B108" s="10"/>
      <c r="C108" s="21" t="str">
        <f>"Изменение затрат на " &amp; C33</f>
        <v>Изменение затрат на Коммунальная инфраструктура</v>
      </c>
      <c r="D108" s="10"/>
      <c r="E108" s="308">
        <f>Контр_панель!G43</f>
        <v>0</v>
      </c>
      <c r="F108" s="10"/>
      <c r="G108" s="11" t="s">
        <v>28</v>
      </c>
      <c r="H108" s="10"/>
      <c r="I108" s="465">
        <f xml:space="preserve"> (1 + E108) * (1 + Capex_sens)</f>
        <v>1</v>
      </c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</row>
    <row r="109" spans="1:93" s="141" customFormat="1" ht="12.75">
      <c r="A109" s="9"/>
      <c r="B109" s="10"/>
      <c r="C109" s="21" t="str">
        <f>"Изменение затрат на " &amp; C34</f>
        <v>Изменение затрат на Прочая обеспечивающая инфраструктура</v>
      </c>
      <c r="D109" s="10"/>
      <c r="E109" s="308">
        <f>Контр_панель!G44</f>
        <v>0</v>
      </c>
      <c r="F109" s="10"/>
      <c r="G109" s="11" t="s">
        <v>28</v>
      </c>
      <c r="H109" s="10"/>
      <c r="I109" s="465">
        <f xml:space="preserve"> (1 + E109) * (1 + Capex_sens)</f>
        <v>1</v>
      </c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</row>
    <row r="110" spans="1:93" s="141" customFormat="1" ht="12.75">
      <c r="A110" s="9"/>
      <c r="B110" s="10"/>
      <c r="C110" s="21"/>
      <c r="D110" s="10"/>
      <c r="E110" s="10"/>
      <c r="F110" s="10"/>
      <c r="G110" s="11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</row>
    <row r="111" spans="1:93" s="141" customFormat="1">
      <c r="A111" s="9"/>
      <c r="B111" s="10"/>
      <c r="C111" s="87" t="s">
        <v>1144</v>
      </c>
      <c r="D111" s="10"/>
      <c r="E111" s="10"/>
      <c r="F111" s="10"/>
      <c r="G111" s="11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</row>
    <row r="112" spans="1:93" s="141" customFormat="1" ht="12.75">
      <c r="A112" s="9"/>
      <c r="B112" s="10"/>
      <c r="C112" s="21" t="str">
        <f>"Изменение затрат на " &amp; C35</f>
        <v>Изменение затрат на Объект размещения (отель)</v>
      </c>
      <c r="D112" s="10"/>
      <c r="E112" s="308">
        <f>Контр_панель!G38</f>
        <v>0</v>
      </c>
      <c r="F112" s="10"/>
      <c r="G112" s="11" t="s">
        <v>28</v>
      </c>
      <c r="H112" s="10"/>
      <c r="I112" s="465">
        <f xml:space="preserve"> (1 + E112) * (1 + Capex_sens)</f>
        <v>1</v>
      </c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</row>
    <row r="113" spans="1:93" s="141" customFormat="1" ht="12.75">
      <c r="A113" s="9"/>
      <c r="B113" s="10"/>
      <c r="C113" s="21" t="str">
        <f>"Изменение затрат на " &amp; C36</f>
        <v>Изменение затрат на Развлекательный комплекс</v>
      </c>
      <c r="D113" s="10"/>
      <c r="E113" s="308">
        <f>Контр_панель!G39</f>
        <v>0</v>
      </c>
      <c r="F113" s="10"/>
      <c r="G113" s="11" t="s">
        <v>28</v>
      </c>
      <c r="H113" s="10"/>
      <c r="I113" s="465">
        <f xml:space="preserve"> (1 + E113) * (1 + Capex_sens)</f>
        <v>1</v>
      </c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</row>
    <row r="114" spans="1:93" s="141" customFormat="1" ht="12.75">
      <c r="A114" s="9"/>
      <c r="B114" s="10"/>
      <c r="C114" s="21" t="str">
        <f>"Изменение затрат на " &amp; C37</f>
        <v>Изменение затрат на Крытый парк развлечений</v>
      </c>
      <c r="D114" s="10"/>
      <c r="E114" s="308">
        <f>Контр_панель!G40</f>
        <v>0</v>
      </c>
      <c r="F114" s="10"/>
      <c r="G114" s="11" t="s">
        <v>28</v>
      </c>
      <c r="H114" s="10"/>
      <c r="I114" s="465">
        <f xml:space="preserve"> (1 + E114) * (1 + Capex_sens)</f>
        <v>1</v>
      </c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</row>
    <row r="115" spans="1:93" s="141" customFormat="1" ht="12.75">
      <c r="A115" s="9"/>
      <c r="B115" s="10"/>
      <c r="C115" s="21"/>
      <c r="D115" s="10"/>
      <c r="E115" s="10"/>
      <c r="F115" s="10"/>
      <c r="G115" s="11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</row>
    <row r="116" spans="1:93" ht="15" customHeight="1">
      <c r="A116" s="10"/>
      <c r="B116" s="3"/>
      <c r="C116" s="382" t="str">
        <f>Предпосылки!C158</f>
        <v>Сегмент 0: Общая поддерживающая инфраструктура</v>
      </c>
      <c r="D116" s="271"/>
      <c r="E116" s="271"/>
      <c r="F116" s="271"/>
      <c r="G116" s="272"/>
      <c r="H116" s="271"/>
      <c r="I116" s="271"/>
      <c r="J116" s="271"/>
      <c r="K116" s="271"/>
      <c r="L116" s="271"/>
      <c r="M116" s="271"/>
      <c r="N116" s="271"/>
      <c r="O116" s="271"/>
      <c r="P116" s="271"/>
      <c r="Q116" s="271"/>
      <c r="R116" s="271"/>
      <c r="S116" s="271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  <c r="CA116" s="271"/>
      <c r="CB116" s="271"/>
      <c r="CC116" s="271"/>
      <c r="CD116" s="271"/>
      <c r="CE116" s="271"/>
      <c r="CF116" s="271"/>
      <c r="CG116" s="271"/>
      <c r="CH116" s="271"/>
      <c r="CI116" s="271"/>
      <c r="CJ116" s="271"/>
      <c r="CK116" s="271"/>
      <c r="CL116" s="271"/>
      <c r="CM116" s="271"/>
      <c r="CN116" s="271"/>
      <c r="CO116" s="271"/>
    </row>
    <row r="117" spans="1:93" s="141" customFormat="1" ht="12.75">
      <c r="A117" s="9"/>
      <c r="B117" s="10"/>
      <c r="C117" s="21"/>
      <c r="D117" s="10"/>
      <c r="E117" s="10"/>
      <c r="F117" s="10"/>
      <c r="G117" s="11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</row>
    <row r="118" spans="1:93" ht="16.5" thickBot="1">
      <c r="A118" s="77"/>
      <c r="B118" s="168"/>
      <c r="C118" s="12" t="s">
        <v>649</v>
      </c>
      <c r="D118" s="12"/>
      <c r="E118" s="12"/>
      <c r="F118" s="12"/>
      <c r="G118" s="360"/>
      <c r="H118" s="12"/>
      <c r="I118" s="12"/>
      <c r="J118" s="10"/>
      <c r="K118" s="10"/>
      <c r="L118" s="170"/>
      <c r="M118" s="170"/>
      <c r="N118" s="170"/>
      <c r="O118" s="170"/>
      <c r="P118" s="170"/>
      <c r="Q118" s="170"/>
      <c r="R118" s="170"/>
      <c r="S118" s="170"/>
      <c r="T118" s="170"/>
      <c r="U118" s="170"/>
      <c r="V118" s="170"/>
      <c r="W118" s="170"/>
      <c r="X118" s="170"/>
      <c r="Y118" s="170"/>
      <c r="Z118" s="170"/>
      <c r="AA118" s="170"/>
      <c r="AB118" s="170"/>
      <c r="AC118" s="170"/>
      <c r="AD118" s="170"/>
      <c r="AE118" s="170"/>
      <c r="AF118" s="170"/>
      <c r="AG118" s="170"/>
      <c r="AH118" s="170"/>
      <c r="AI118" s="170"/>
      <c r="AJ118" s="170"/>
      <c r="AK118" s="170"/>
      <c r="AL118" s="170"/>
      <c r="AM118" s="170"/>
      <c r="AN118" s="170"/>
      <c r="AO118" s="170"/>
      <c r="AP118" s="170"/>
      <c r="AQ118" s="170"/>
      <c r="AR118" s="170"/>
      <c r="AS118" s="170"/>
      <c r="AT118" s="170"/>
      <c r="AU118" s="170"/>
      <c r="AV118" s="170"/>
      <c r="AW118" s="170"/>
      <c r="AX118" s="170"/>
      <c r="AY118" s="170"/>
      <c r="AZ118" s="170"/>
      <c r="BA118" s="170"/>
      <c r="BB118" s="170"/>
      <c r="BC118" s="170"/>
      <c r="BD118" s="170"/>
      <c r="BE118" s="170"/>
      <c r="BF118" s="170"/>
      <c r="BG118" s="170"/>
      <c r="BH118" s="170"/>
      <c r="BI118" s="170"/>
      <c r="BJ118" s="170"/>
      <c r="BK118" s="170"/>
      <c r="BL118" s="170"/>
      <c r="BM118" s="170"/>
      <c r="BN118" s="170"/>
      <c r="BO118" s="170"/>
      <c r="BP118" s="170"/>
      <c r="BQ118" s="170"/>
      <c r="BR118" s="170"/>
      <c r="BS118" s="170"/>
      <c r="BT118" s="170"/>
      <c r="BU118" s="170"/>
      <c r="BV118" s="170"/>
      <c r="BW118" s="170"/>
      <c r="BX118" s="170"/>
      <c r="BY118" s="170"/>
      <c r="BZ118" s="170"/>
      <c r="CA118" s="170"/>
      <c r="CB118" s="170"/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  <c r="CN118" s="170"/>
      <c r="CO118" s="170"/>
    </row>
    <row r="119" spans="1:93">
      <c r="A119" s="77"/>
      <c r="B119" s="168"/>
      <c r="C119" s="169"/>
      <c r="D119" s="10"/>
      <c r="E119" s="62"/>
      <c r="F119" s="11"/>
      <c r="G119" s="11"/>
      <c r="H119" s="10"/>
      <c r="I119" s="10"/>
      <c r="J119" s="10"/>
      <c r="K119" s="1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  <c r="AP119" s="170"/>
      <c r="AQ119" s="170"/>
      <c r="AR119" s="170"/>
      <c r="AS119" s="170"/>
      <c r="AT119" s="170"/>
      <c r="AU119" s="170"/>
      <c r="AV119" s="170"/>
      <c r="AW119" s="170"/>
      <c r="AX119" s="170"/>
      <c r="AY119" s="170"/>
      <c r="AZ119" s="170"/>
      <c r="BA119" s="170"/>
      <c r="BB119" s="170"/>
      <c r="BC119" s="170"/>
      <c r="BD119" s="170"/>
      <c r="BE119" s="170"/>
      <c r="BF119" s="170"/>
      <c r="BG119" s="170"/>
      <c r="BH119" s="170"/>
      <c r="BI119" s="170"/>
      <c r="BJ119" s="170"/>
      <c r="BK119" s="170"/>
      <c r="BL119" s="170"/>
      <c r="BM119" s="170"/>
      <c r="BN119" s="170"/>
      <c r="BO119" s="170"/>
      <c r="BP119" s="170"/>
      <c r="BQ119" s="170"/>
      <c r="BR119" s="170"/>
      <c r="BS119" s="170"/>
      <c r="BT119" s="170"/>
      <c r="BU119" s="170"/>
      <c r="BV119" s="170"/>
      <c r="BW119" s="170"/>
      <c r="BX119" s="170"/>
      <c r="BY119" s="170"/>
      <c r="BZ119" s="170"/>
      <c r="CA119" s="170"/>
      <c r="CB119" s="170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  <c r="CN119" s="170"/>
      <c r="CO119" s="170"/>
    </row>
    <row r="120" spans="1:93">
      <c r="A120" s="77"/>
      <c r="B120" s="168"/>
      <c r="C120" s="87" t="str">
        <f xml:space="preserve"> "Затраты на создание объектов " &amp; C32</f>
        <v>Затраты на создание объектов Транспортная инфраструктура</v>
      </c>
      <c r="D120" s="10"/>
      <c r="E120" s="62"/>
      <c r="F120" s="11"/>
      <c r="G120" s="11"/>
      <c r="H120" s="10"/>
      <c r="I120" s="10"/>
      <c r="J120" s="10"/>
      <c r="K120" s="1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0"/>
      <c r="AM120" s="170"/>
      <c r="AN120" s="170"/>
      <c r="AO120" s="170"/>
      <c r="AP120" s="170"/>
      <c r="AQ120" s="170"/>
      <c r="AR120" s="170"/>
      <c r="AS120" s="170"/>
      <c r="AT120" s="170"/>
      <c r="AU120" s="170"/>
      <c r="AV120" s="170"/>
      <c r="AW120" s="170"/>
      <c r="AX120" s="170"/>
      <c r="AY120" s="170"/>
      <c r="AZ120" s="170"/>
      <c r="BA120" s="170"/>
      <c r="BB120" s="170"/>
      <c r="BC120" s="170"/>
      <c r="BD120" s="170"/>
      <c r="BE120" s="170"/>
      <c r="BF120" s="170"/>
      <c r="BG120" s="170"/>
      <c r="BH120" s="170"/>
      <c r="BI120" s="170"/>
      <c r="BJ120" s="170"/>
      <c r="BK120" s="170"/>
      <c r="BL120" s="170"/>
      <c r="BM120" s="170"/>
      <c r="BN120" s="170"/>
      <c r="BO120" s="170"/>
      <c r="BP120" s="170"/>
      <c r="BQ120" s="170"/>
      <c r="BR120" s="170"/>
      <c r="BS120" s="170"/>
      <c r="BT120" s="170"/>
      <c r="BU120" s="170"/>
      <c r="BV120" s="170"/>
      <c r="BW120" s="170"/>
      <c r="BX120" s="170"/>
      <c r="BY120" s="170"/>
      <c r="BZ120" s="170"/>
      <c r="CA120" s="170"/>
      <c r="CB120" s="170"/>
      <c r="CC120" s="170"/>
      <c r="CD120" s="170"/>
      <c r="CE120" s="170"/>
      <c r="CF120" s="170"/>
      <c r="CG120" s="170"/>
      <c r="CH120" s="170"/>
      <c r="CI120" s="170"/>
      <c r="CJ120" s="170"/>
      <c r="CK120" s="170"/>
      <c r="CL120" s="170"/>
      <c r="CM120" s="170"/>
      <c r="CN120" s="170"/>
      <c r="CO120" s="170"/>
    </row>
    <row r="121" spans="1:93">
      <c r="A121" s="77"/>
      <c r="B121" s="168"/>
      <c r="C121" s="17" t="s">
        <v>630</v>
      </c>
      <c r="D121" s="10"/>
      <c r="E121" s="184">
        <f xml:space="preserve"> Предпосылки!E177 * $I$104 * $I$107</f>
        <v>918.64</v>
      </c>
      <c r="F121" s="11"/>
      <c r="G121" s="11" t="str">
        <f>Monetary_Unit</f>
        <v>тыс. руб.</v>
      </c>
      <c r="H121" s="10"/>
      <c r="I121" s="10"/>
      <c r="J121" s="10"/>
      <c r="K121" s="10"/>
      <c r="L121" s="171">
        <f>Предпосылки!L184</f>
        <v>0.25</v>
      </c>
      <c r="M121" s="171">
        <f>Предпосылки!M184</f>
        <v>0.25</v>
      </c>
      <c r="N121" s="171">
        <f>Предпосылки!N184</f>
        <v>0.25</v>
      </c>
      <c r="O121" s="171">
        <f>Предпосылки!O184</f>
        <v>0.25</v>
      </c>
      <c r="P121" s="171">
        <f>Предпосылки!P184</f>
        <v>0</v>
      </c>
      <c r="Q121" s="171">
        <f>Предпосылки!Q184</f>
        <v>0</v>
      </c>
      <c r="R121" s="171">
        <f>Предпосылки!R184</f>
        <v>0</v>
      </c>
      <c r="S121" s="171">
        <f>Предпосылки!S184</f>
        <v>0</v>
      </c>
      <c r="T121" s="171">
        <f>Предпосылки!T184</f>
        <v>0</v>
      </c>
      <c r="U121" s="171">
        <f>Предпосылки!U184</f>
        <v>0</v>
      </c>
      <c r="V121" s="171">
        <f>Предпосылки!V184</f>
        <v>0</v>
      </c>
      <c r="W121" s="171">
        <f>Предпосылки!W184</f>
        <v>0</v>
      </c>
      <c r="X121" s="171">
        <f>Предпосылки!X184</f>
        <v>0</v>
      </c>
      <c r="Y121" s="171">
        <f>Предпосылки!Y184</f>
        <v>0</v>
      </c>
      <c r="Z121" s="171">
        <f>Предпосылки!Z184</f>
        <v>0</v>
      </c>
      <c r="AA121" s="171">
        <f>Предпосылки!AA184</f>
        <v>0</v>
      </c>
      <c r="AB121" s="171">
        <f>Предпосылки!AB184</f>
        <v>0</v>
      </c>
      <c r="AC121" s="171">
        <f>Предпосылки!AC184</f>
        <v>0</v>
      </c>
      <c r="AD121" s="171">
        <f>Предпосылки!AD184</f>
        <v>0</v>
      </c>
      <c r="AE121" s="171">
        <f>Предпосылки!AE184</f>
        <v>0</v>
      </c>
      <c r="AF121" s="171">
        <f>Предпосылки!AF184</f>
        <v>0</v>
      </c>
      <c r="AG121" s="171">
        <f>Предпосылки!AG184</f>
        <v>0</v>
      </c>
      <c r="AH121" s="171">
        <f>Предпосылки!AH184</f>
        <v>0</v>
      </c>
      <c r="AI121" s="171">
        <f>Предпосылки!AI184</f>
        <v>0</v>
      </c>
      <c r="AJ121" s="171">
        <f>Предпосылки!AJ184</f>
        <v>0</v>
      </c>
      <c r="AK121" s="171">
        <f>Предпосылки!AK184</f>
        <v>0</v>
      </c>
      <c r="AL121" s="171">
        <f>Предпосылки!AL184</f>
        <v>0</v>
      </c>
      <c r="AM121" s="171">
        <f>Предпосылки!AM184</f>
        <v>0</v>
      </c>
      <c r="AN121" s="171">
        <f>Предпосылки!AN184</f>
        <v>0</v>
      </c>
      <c r="AO121" s="171">
        <f>Предпосылки!AO184</f>
        <v>0</v>
      </c>
      <c r="AP121" s="171">
        <f>Предпосылки!AP184</f>
        <v>0</v>
      </c>
      <c r="AQ121" s="171">
        <f>Предпосылки!AQ184</f>
        <v>0</v>
      </c>
      <c r="AR121" s="171">
        <f>Предпосылки!AR184</f>
        <v>0</v>
      </c>
      <c r="AS121" s="171">
        <f>Предпосылки!AS184</f>
        <v>0</v>
      </c>
      <c r="AT121" s="171">
        <f>Предпосылки!AT184</f>
        <v>0</v>
      </c>
      <c r="AU121" s="171">
        <f>Предпосылки!AU184</f>
        <v>0</v>
      </c>
      <c r="AV121" s="171">
        <f>Предпосылки!AV184</f>
        <v>0</v>
      </c>
      <c r="AW121" s="171">
        <f>Предпосылки!AW184</f>
        <v>0</v>
      </c>
      <c r="AX121" s="171">
        <f>Предпосылки!AX184</f>
        <v>0</v>
      </c>
      <c r="AY121" s="171">
        <f>Предпосылки!AY184</f>
        <v>0</v>
      </c>
      <c r="AZ121" s="171">
        <f>Предпосылки!AZ184</f>
        <v>0</v>
      </c>
      <c r="BA121" s="171">
        <f>Предпосылки!BA184</f>
        <v>0</v>
      </c>
      <c r="BB121" s="171">
        <f>Предпосылки!BB184</f>
        <v>0</v>
      </c>
      <c r="BC121" s="171">
        <f>Предпосылки!BC184</f>
        <v>0</v>
      </c>
      <c r="BD121" s="171">
        <f>Предпосылки!BD184</f>
        <v>0</v>
      </c>
      <c r="BE121" s="171">
        <f>Предпосылки!BE184</f>
        <v>0</v>
      </c>
      <c r="BF121" s="171">
        <f>Предпосылки!BF184</f>
        <v>0</v>
      </c>
      <c r="BG121" s="171">
        <f>Предпосылки!BG184</f>
        <v>0</v>
      </c>
      <c r="BH121" s="171">
        <f>Предпосылки!BH184</f>
        <v>0</v>
      </c>
      <c r="BI121" s="171">
        <f>Предпосылки!BI184</f>
        <v>0</v>
      </c>
      <c r="BJ121" s="171">
        <f>Предпосылки!BJ184</f>
        <v>0</v>
      </c>
      <c r="BK121" s="171">
        <f>Предпосылки!BK184</f>
        <v>0</v>
      </c>
      <c r="BL121" s="171">
        <f>Предпосылки!BL184</f>
        <v>0</v>
      </c>
      <c r="BM121" s="171">
        <f>Предпосылки!BM184</f>
        <v>0</v>
      </c>
      <c r="BN121" s="171">
        <f>Предпосылки!BN184</f>
        <v>0</v>
      </c>
      <c r="BO121" s="171">
        <f>Предпосылки!BO184</f>
        <v>0</v>
      </c>
      <c r="BP121" s="171">
        <f>Предпосылки!BP184</f>
        <v>0</v>
      </c>
      <c r="BQ121" s="171">
        <f>Предпосылки!BQ184</f>
        <v>0</v>
      </c>
      <c r="BR121" s="171">
        <f>Предпосылки!BR184</f>
        <v>0</v>
      </c>
      <c r="BS121" s="171">
        <f>Предпосылки!BS184</f>
        <v>0</v>
      </c>
      <c r="BT121" s="171">
        <f>Предпосылки!BT184</f>
        <v>0</v>
      </c>
      <c r="BU121" s="171">
        <f>Предпосылки!BU184</f>
        <v>0</v>
      </c>
      <c r="BV121" s="171">
        <f>Предпосылки!BV184</f>
        <v>0</v>
      </c>
      <c r="BW121" s="171">
        <f>Предпосылки!BW184</f>
        <v>0</v>
      </c>
      <c r="BX121" s="171">
        <f>Предпосылки!BX184</f>
        <v>0</v>
      </c>
      <c r="BY121" s="171">
        <f>Предпосылки!BY184</f>
        <v>0</v>
      </c>
      <c r="BZ121" s="171">
        <f>Предпосылки!BZ184</f>
        <v>0</v>
      </c>
      <c r="CA121" s="171">
        <f>Предпосылки!CA184</f>
        <v>0</v>
      </c>
      <c r="CB121" s="171">
        <f>Предпосылки!CB184</f>
        <v>0</v>
      </c>
      <c r="CC121" s="171">
        <f>Предпосылки!CC184</f>
        <v>0</v>
      </c>
      <c r="CD121" s="171">
        <f>Предпосылки!CD184</f>
        <v>0</v>
      </c>
      <c r="CE121" s="171">
        <f>Предпосылки!CE184</f>
        <v>0</v>
      </c>
      <c r="CF121" s="171">
        <f>Предпосылки!CF184</f>
        <v>0</v>
      </c>
      <c r="CG121" s="171">
        <f>Предпосылки!CG184</f>
        <v>0</v>
      </c>
      <c r="CH121" s="171">
        <f>Предпосылки!CH184</f>
        <v>0</v>
      </c>
      <c r="CI121" s="171">
        <f>Предпосылки!CI184</f>
        <v>0</v>
      </c>
      <c r="CJ121" s="171">
        <f>Предпосылки!CJ184</f>
        <v>0</v>
      </c>
      <c r="CK121" s="171">
        <f>Предпосылки!CK184</f>
        <v>0</v>
      </c>
      <c r="CL121" s="171">
        <f>Предпосылки!CL184</f>
        <v>0</v>
      </c>
      <c r="CM121" s="171">
        <f>Предпосылки!CM184</f>
        <v>0</v>
      </c>
      <c r="CN121" s="171">
        <f>Предпосылки!CN184</f>
        <v>0</v>
      </c>
      <c r="CO121" s="171">
        <f>Предпосылки!CO184</f>
        <v>0</v>
      </c>
    </row>
    <row r="122" spans="1:93">
      <c r="A122" s="77"/>
      <c r="B122" s="168"/>
      <c r="C122" s="17" t="s">
        <v>632</v>
      </c>
      <c r="D122" s="10"/>
      <c r="E122" s="184">
        <f xml:space="preserve"> Предпосылки!E178 * $I$104 * $I$107</f>
        <v>0</v>
      </c>
      <c r="F122" s="11"/>
      <c r="G122" s="11" t="str">
        <f>Monetary_Unit</f>
        <v>тыс. руб.</v>
      </c>
      <c r="H122" s="10"/>
      <c r="I122" s="10"/>
      <c r="J122" s="10"/>
      <c r="K122" s="10"/>
      <c r="L122" s="171">
        <f>Предпосылки!L185</f>
        <v>0.25</v>
      </c>
      <c r="M122" s="171">
        <f>Предпосылки!M185</f>
        <v>0.25</v>
      </c>
      <c r="N122" s="171">
        <f>Предпосылки!N185</f>
        <v>0.25</v>
      </c>
      <c r="O122" s="171">
        <f>Предпосылки!O185</f>
        <v>0.25</v>
      </c>
      <c r="P122" s="171">
        <f>Предпосылки!P185</f>
        <v>0</v>
      </c>
      <c r="Q122" s="171">
        <f>Предпосылки!Q185</f>
        <v>0</v>
      </c>
      <c r="R122" s="171">
        <f>Предпосылки!R185</f>
        <v>0</v>
      </c>
      <c r="S122" s="171">
        <f>Предпосылки!S185</f>
        <v>0</v>
      </c>
      <c r="T122" s="171">
        <f>Предпосылки!T185</f>
        <v>0</v>
      </c>
      <c r="U122" s="171">
        <f>Предпосылки!U185</f>
        <v>0</v>
      </c>
      <c r="V122" s="171">
        <f>Предпосылки!V185</f>
        <v>0</v>
      </c>
      <c r="W122" s="171">
        <f>Предпосылки!W185</f>
        <v>0</v>
      </c>
      <c r="X122" s="171">
        <f>Предпосылки!X185</f>
        <v>0</v>
      </c>
      <c r="Y122" s="171">
        <f>Предпосылки!Y185</f>
        <v>0</v>
      </c>
      <c r="Z122" s="171">
        <f>Предпосылки!Z185</f>
        <v>0</v>
      </c>
      <c r="AA122" s="171">
        <f>Предпосылки!AA185</f>
        <v>0</v>
      </c>
      <c r="AB122" s="171">
        <f>Предпосылки!AB185</f>
        <v>0</v>
      </c>
      <c r="AC122" s="171">
        <f>Предпосылки!AC185</f>
        <v>0</v>
      </c>
      <c r="AD122" s="171">
        <f>Предпосылки!AD185</f>
        <v>0</v>
      </c>
      <c r="AE122" s="171">
        <f>Предпосылки!AE185</f>
        <v>0</v>
      </c>
      <c r="AF122" s="171">
        <f>Предпосылки!AF185</f>
        <v>0</v>
      </c>
      <c r="AG122" s="171">
        <f>Предпосылки!AG185</f>
        <v>0</v>
      </c>
      <c r="AH122" s="171">
        <f>Предпосылки!AH185</f>
        <v>0</v>
      </c>
      <c r="AI122" s="171">
        <f>Предпосылки!AI185</f>
        <v>0</v>
      </c>
      <c r="AJ122" s="171">
        <f>Предпосылки!AJ185</f>
        <v>0</v>
      </c>
      <c r="AK122" s="171">
        <f>Предпосылки!AK185</f>
        <v>0</v>
      </c>
      <c r="AL122" s="171">
        <f>Предпосылки!AL185</f>
        <v>0</v>
      </c>
      <c r="AM122" s="171">
        <f>Предпосылки!AM185</f>
        <v>0</v>
      </c>
      <c r="AN122" s="171">
        <f>Предпосылки!AN185</f>
        <v>0</v>
      </c>
      <c r="AO122" s="171">
        <f>Предпосылки!AO185</f>
        <v>0</v>
      </c>
      <c r="AP122" s="171">
        <f>Предпосылки!AP185</f>
        <v>0</v>
      </c>
      <c r="AQ122" s="171">
        <f>Предпосылки!AQ185</f>
        <v>0</v>
      </c>
      <c r="AR122" s="171">
        <f>Предпосылки!AR185</f>
        <v>0</v>
      </c>
      <c r="AS122" s="171">
        <f>Предпосылки!AS185</f>
        <v>0</v>
      </c>
      <c r="AT122" s="171">
        <f>Предпосылки!AT185</f>
        <v>0</v>
      </c>
      <c r="AU122" s="171">
        <f>Предпосылки!AU185</f>
        <v>0</v>
      </c>
      <c r="AV122" s="171">
        <f>Предпосылки!AV185</f>
        <v>0</v>
      </c>
      <c r="AW122" s="171">
        <f>Предпосылки!AW185</f>
        <v>0</v>
      </c>
      <c r="AX122" s="171">
        <f>Предпосылки!AX185</f>
        <v>0</v>
      </c>
      <c r="AY122" s="171">
        <f>Предпосылки!AY185</f>
        <v>0</v>
      </c>
      <c r="AZ122" s="171">
        <f>Предпосылки!AZ185</f>
        <v>0</v>
      </c>
      <c r="BA122" s="171">
        <f>Предпосылки!BA185</f>
        <v>0</v>
      </c>
      <c r="BB122" s="171">
        <f>Предпосылки!BB185</f>
        <v>0</v>
      </c>
      <c r="BC122" s="171">
        <f>Предпосылки!BC185</f>
        <v>0</v>
      </c>
      <c r="BD122" s="171">
        <f>Предпосылки!BD185</f>
        <v>0</v>
      </c>
      <c r="BE122" s="171">
        <f>Предпосылки!BE185</f>
        <v>0</v>
      </c>
      <c r="BF122" s="171">
        <f>Предпосылки!BF185</f>
        <v>0</v>
      </c>
      <c r="BG122" s="171">
        <f>Предпосылки!BG185</f>
        <v>0</v>
      </c>
      <c r="BH122" s="171">
        <f>Предпосылки!BH185</f>
        <v>0</v>
      </c>
      <c r="BI122" s="171">
        <f>Предпосылки!BI185</f>
        <v>0</v>
      </c>
      <c r="BJ122" s="171">
        <f>Предпосылки!BJ185</f>
        <v>0</v>
      </c>
      <c r="BK122" s="171">
        <f>Предпосылки!BK185</f>
        <v>0</v>
      </c>
      <c r="BL122" s="171">
        <f>Предпосылки!BL185</f>
        <v>0</v>
      </c>
      <c r="BM122" s="171">
        <f>Предпосылки!BM185</f>
        <v>0</v>
      </c>
      <c r="BN122" s="171">
        <f>Предпосылки!BN185</f>
        <v>0</v>
      </c>
      <c r="BO122" s="171">
        <f>Предпосылки!BO185</f>
        <v>0</v>
      </c>
      <c r="BP122" s="171">
        <f>Предпосылки!BP185</f>
        <v>0</v>
      </c>
      <c r="BQ122" s="171">
        <f>Предпосылки!BQ185</f>
        <v>0</v>
      </c>
      <c r="BR122" s="171">
        <f>Предпосылки!BR185</f>
        <v>0</v>
      </c>
      <c r="BS122" s="171">
        <f>Предпосылки!BS185</f>
        <v>0</v>
      </c>
      <c r="BT122" s="171">
        <f>Предпосылки!BT185</f>
        <v>0</v>
      </c>
      <c r="BU122" s="171">
        <f>Предпосылки!BU185</f>
        <v>0</v>
      </c>
      <c r="BV122" s="171">
        <f>Предпосылки!BV185</f>
        <v>0</v>
      </c>
      <c r="BW122" s="171">
        <f>Предпосылки!BW185</f>
        <v>0</v>
      </c>
      <c r="BX122" s="171">
        <f>Предпосылки!BX185</f>
        <v>0</v>
      </c>
      <c r="BY122" s="171">
        <f>Предпосылки!BY185</f>
        <v>0</v>
      </c>
      <c r="BZ122" s="171">
        <f>Предпосылки!BZ185</f>
        <v>0</v>
      </c>
      <c r="CA122" s="171">
        <f>Предпосылки!CA185</f>
        <v>0</v>
      </c>
      <c r="CB122" s="171">
        <f>Предпосылки!CB185</f>
        <v>0</v>
      </c>
      <c r="CC122" s="171">
        <f>Предпосылки!CC185</f>
        <v>0</v>
      </c>
      <c r="CD122" s="171">
        <f>Предпосылки!CD185</f>
        <v>0</v>
      </c>
      <c r="CE122" s="171">
        <f>Предпосылки!CE185</f>
        <v>0</v>
      </c>
      <c r="CF122" s="171">
        <f>Предпосылки!CF185</f>
        <v>0</v>
      </c>
      <c r="CG122" s="171">
        <f>Предпосылки!CG185</f>
        <v>0</v>
      </c>
      <c r="CH122" s="171">
        <f>Предпосылки!CH185</f>
        <v>0</v>
      </c>
      <c r="CI122" s="171">
        <f>Предпосылки!CI185</f>
        <v>0</v>
      </c>
      <c r="CJ122" s="171">
        <f>Предпосылки!CJ185</f>
        <v>0</v>
      </c>
      <c r="CK122" s="171">
        <f>Предпосылки!CK185</f>
        <v>0</v>
      </c>
      <c r="CL122" s="171">
        <f>Предпосылки!CL185</f>
        <v>0</v>
      </c>
      <c r="CM122" s="171">
        <f>Предпосылки!CM185</f>
        <v>0</v>
      </c>
      <c r="CN122" s="171">
        <f>Предпосылки!CN185</f>
        <v>0</v>
      </c>
      <c r="CO122" s="171">
        <f>Предпосылки!CO185</f>
        <v>0</v>
      </c>
    </row>
    <row r="123" spans="1:93">
      <c r="A123" s="77"/>
      <c r="B123" s="168"/>
      <c r="C123" s="17" t="s">
        <v>821</v>
      </c>
      <c r="D123" s="10"/>
      <c r="E123" s="184">
        <f xml:space="preserve"> Предпосылки!E179 * $I$104 * $I$107</f>
        <v>22966</v>
      </c>
      <c r="F123" s="11"/>
      <c r="G123" s="11" t="str">
        <f>Monetary_Unit</f>
        <v>тыс. руб.</v>
      </c>
      <c r="H123" s="10"/>
      <c r="I123" s="10"/>
      <c r="J123" s="10"/>
      <c r="K123" s="10"/>
      <c r="L123" s="171">
        <f>Предпосылки!L186</f>
        <v>0</v>
      </c>
      <c r="M123" s="171">
        <f>Предпосылки!M186</f>
        <v>0</v>
      </c>
      <c r="N123" s="171">
        <f>Предпосылки!N186</f>
        <v>0</v>
      </c>
      <c r="O123" s="171">
        <f>Предпосылки!O186</f>
        <v>0</v>
      </c>
      <c r="P123" s="171">
        <f>Предпосылки!P186</f>
        <v>7.6923076923076927E-2</v>
      </c>
      <c r="Q123" s="171">
        <f>Предпосылки!Q186</f>
        <v>7.6923076923076927E-2</v>
      </c>
      <c r="R123" s="171">
        <f>Предпосылки!R186</f>
        <v>7.6923076923076927E-2</v>
      </c>
      <c r="S123" s="171">
        <f>Предпосылки!S186</f>
        <v>7.6923076923076913E-2</v>
      </c>
      <c r="T123" s="171">
        <f>Предпосылки!T186</f>
        <v>7.6923076923076927E-2</v>
      </c>
      <c r="U123" s="171">
        <f>Предпосылки!U186</f>
        <v>7.6923076923076927E-2</v>
      </c>
      <c r="V123" s="171">
        <f>Предпосылки!V186</f>
        <v>7.6923076923076913E-2</v>
      </c>
      <c r="W123" s="171">
        <f>Предпосылки!W186</f>
        <v>7.6923076923076927E-2</v>
      </c>
      <c r="X123" s="171">
        <f>Предпосылки!X186</f>
        <v>7.6923076923076913E-2</v>
      </c>
      <c r="Y123" s="171">
        <f>Предпосылки!Y186</f>
        <v>7.6923076923076927E-2</v>
      </c>
      <c r="Z123" s="171">
        <f>Предпосылки!Z186</f>
        <v>7.6923076923076941E-2</v>
      </c>
      <c r="AA123" s="171">
        <f>Предпосылки!AA186</f>
        <v>7.6923076923076927E-2</v>
      </c>
      <c r="AB123" s="171">
        <f>Предпосылки!AB186</f>
        <v>7.6923076923076872E-2</v>
      </c>
      <c r="AC123" s="171">
        <f>Предпосылки!AC186</f>
        <v>0</v>
      </c>
      <c r="AD123" s="171">
        <f>Предпосылки!AD186</f>
        <v>0</v>
      </c>
      <c r="AE123" s="171">
        <f>Предпосылки!AE186</f>
        <v>0</v>
      </c>
      <c r="AF123" s="171">
        <f>Предпосылки!AF186</f>
        <v>0</v>
      </c>
      <c r="AG123" s="171">
        <f>Предпосылки!AG186</f>
        <v>0</v>
      </c>
      <c r="AH123" s="171">
        <f>Предпосылки!AH186</f>
        <v>0</v>
      </c>
      <c r="AI123" s="171">
        <f>Предпосылки!AI186</f>
        <v>0</v>
      </c>
      <c r="AJ123" s="171">
        <f>Предпосылки!AJ186</f>
        <v>0</v>
      </c>
      <c r="AK123" s="171">
        <f>Предпосылки!AK186</f>
        <v>0</v>
      </c>
      <c r="AL123" s="171">
        <f>Предпосылки!AL186</f>
        <v>0</v>
      </c>
      <c r="AM123" s="171">
        <f>Предпосылки!AM186</f>
        <v>0</v>
      </c>
      <c r="AN123" s="171">
        <f>Предпосылки!AN186</f>
        <v>0</v>
      </c>
      <c r="AO123" s="171">
        <f>Предпосылки!AO186</f>
        <v>0</v>
      </c>
      <c r="AP123" s="171">
        <f>Предпосылки!AP186</f>
        <v>0</v>
      </c>
      <c r="AQ123" s="171">
        <f>Предпосылки!AQ186</f>
        <v>0</v>
      </c>
      <c r="AR123" s="171">
        <f>Предпосылки!AR186</f>
        <v>0</v>
      </c>
      <c r="AS123" s="171">
        <f>Предпосылки!AS186</f>
        <v>0</v>
      </c>
      <c r="AT123" s="171">
        <f>Предпосылки!AT186</f>
        <v>0</v>
      </c>
      <c r="AU123" s="171">
        <f>Предпосылки!AU186</f>
        <v>0</v>
      </c>
      <c r="AV123" s="171">
        <f>Предпосылки!AV186</f>
        <v>0</v>
      </c>
      <c r="AW123" s="171">
        <f>Предпосылки!AW186</f>
        <v>0</v>
      </c>
      <c r="AX123" s="171">
        <f>Предпосылки!AX186</f>
        <v>0</v>
      </c>
      <c r="AY123" s="171">
        <f>Предпосылки!AY186</f>
        <v>0</v>
      </c>
      <c r="AZ123" s="171">
        <f>Предпосылки!AZ186</f>
        <v>0</v>
      </c>
      <c r="BA123" s="171">
        <f>Предпосылки!BA186</f>
        <v>0</v>
      </c>
      <c r="BB123" s="171">
        <f>Предпосылки!BB186</f>
        <v>0</v>
      </c>
      <c r="BC123" s="171">
        <f>Предпосылки!BC186</f>
        <v>0</v>
      </c>
      <c r="BD123" s="171">
        <f>Предпосылки!BD186</f>
        <v>0</v>
      </c>
      <c r="BE123" s="171">
        <f>Предпосылки!BE186</f>
        <v>0</v>
      </c>
      <c r="BF123" s="171">
        <f>Предпосылки!BF186</f>
        <v>0</v>
      </c>
      <c r="BG123" s="171">
        <f>Предпосылки!BG186</f>
        <v>0</v>
      </c>
      <c r="BH123" s="171">
        <f>Предпосылки!BH186</f>
        <v>0</v>
      </c>
      <c r="BI123" s="171">
        <f>Предпосылки!BI186</f>
        <v>0</v>
      </c>
      <c r="BJ123" s="171">
        <f>Предпосылки!BJ186</f>
        <v>0</v>
      </c>
      <c r="BK123" s="171">
        <f>Предпосылки!BK186</f>
        <v>0</v>
      </c>
      <c r="BL123" s="171">
        <f>Предпосылки!BL186</f>
        <v>0</v>
      </c>
      <c r="BM123" s="171">
        <f>Предпосылки!BM186</f>
        <v>0</v>
      </c>
      <c r="BN123" s="171">
        <f>Предпосылки!BN186</f>
        <v>0</v>
      </c>
      <c r="BO123" s="171">
        <f>Предпосылки!BO186</f>
        <v>0</v>
      </c>
      <c r="BP123" s="171">
        <f>Предпосылки!BP186</f>
        <v>0</v>
      </c>
      <c r="BQ123" s="171">
        <f>Предпосылки!BQ186</f>
        <v>0</v>
      </c>
      <c r="BR123" s="171">
        <f>Предпосылки!BR186</f>
        <v>0</v>
      </c>
      <c r="BS123" s="171">
        <f>Предпосылки!BS186</f>
        <v>0</v>
      </c>
      <c r="BT123" s="171">
        <f>Предпосылки!BT186</f>
        <v>0</v>
      </c>
      <c r="BU123" s="171">
        <f>Предпосылки!BU186</f>
        <v>0</v>
      </c>
      <c r="BV123" s="171">
        <f>Предпосылки!BV186</f>
        <v>0</v>
      </c>
      <c r="BW123" s="171">
        <f>Предпосылки!BW186</f>
        <v>0</v>
      </c>
      <c r="BX123" s="171">
        <f>Предпосылки!BX186</f>
        <v>0</v>
      </c>
      <c r="BY123" s="171">
        <f>Предпосылки!BY186</f>
        <v>0</v>
      </c>
      <c r="BZ123" s="171">
        <f>Предпосылки!BZ186</f>
        <v>0</v>
      </c>
      <c r="CA123" s="171">
        <f>Предпосылки!CA186</f>
        <v>0</v>
      </c>
      <c r="CB123" s="171">
        <f>Предпосылки!CB186</f>
        <v>0</v>
      </c>
      <c r="CC123" s="171">
        <f>Предпосылки!CC186</f>
        <v>0</v>
      </c>
      <c r="CD123" s="171">
        <f>Предпосылки!CD186</f>
        <v>0</v>
      </c>
      <c r="CE123" s="171">
        <f>Предпосылки!CE186</f>
        <v>0</v>
      </c>
      <c r="CF123" s="171">
        <f>Предпосылки!CF186</f>
        <v>0</v>
      </c>
      <c r="CG123" s="171">
        <f>Предпосылки!CG186</f>
        <v>0</v>
      </c>
      <c r="CH123" s="171">
        <f>Предпосылки!CH186</f>
        <v>0</v>
      </c>
      <c r="CI123" s="171">
        <f>Предпосылки!CI186</f>
        <v>0</v>
      </c>
      <c r="CJ123" s="171">
        <f>Предпосылки!CJ186</f>
        <v>0</v>
      </c>
      <c r="CK123" s="171">
        <f>Предпосылки!CK186</f>
        <v>0</v>
      </c>
      <c r="CL123" s="171">
        <f>Предпосылки!CL186</f>
        <v>0</v>
      </c>
      <c r="CM123" s="171">
        <f>Предпосылки!CM186</f>
        <v>0</v>
      </c>
      <c r="CN123" s="171">
        <f>Предпосылки!CN186</f>
        <v>0</v>
      </c>
      <c r="CO123" s="171">
        <f>Предпосылки!CO186</f>
        <v>0</v>
      </c>
    </row>
    <row r="124" spans="1:93">
      <c r="A124" s="77"/>
      <c r="B124" s="168"/>
      <c r="C124" s="17" t="s">
        <v>797</v>
      </c>
      <c r="D124" s="10"/>
      <c r="E124" s="232">
        <f xml:space="preserve"> Предпосылки!E174</f>
        <v>0.03</v>
      </c>
      <c r="F124" s="11"/>
      <c r="G124" s="11" t="s">
        <v>625</v>
      </c>
      <c r="H124" s="10"/>
      <c r="I124" s="10"/>
      <c r="J124" s="10"/>
      <c r="K124" s="1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  <c r="V124" s="170"/>
      <c r="W124" s="170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  <c r="AI124" s="170"/>
      <c r="AJ124" s="170"/>
      <c r="AK124" s="170"/>
      <c r="AL124" s="170"/>
      <c r="AM124" s="170"/>
      <c r="AN124" s="170"/>
      <c r="AO124" s="170"/>
      <c r="AP124" s="170"/>
      <c r="AQ124" s="170"/>
      <c r="AR124" s="170"/>
      <c r="AS124" s="170"/>
      <c r="AT124" s="170"/>
      <c r="AU124" s="170"/>
      <c r="AV124" s="170"/>
      <c r="AW124" s="170"/>
      <c r="AX124" s="170"/>
      <c r="AY124" s="170"/>
      <c r="AZ124" s="170"/>
      <c r="BA124" s="170"/>
      <c r="BB124" s="170"/>
      <c r="BC124" s="170"/>
      <c r="BD124" s="170"/>
      <c r="BE124" s="170"/>
      <c r="BF124" s="170"/>
      <c r="BG124" s="170"/>
      <c r="BH124" s="170"/>
      <c r="BI124" s="170"/>
      <c r="BJ124" s="170"/>
      <c r="BK124" s="170"/>
      <c r="BL124" s="170"/>
      <c r="BM124" s="170"/>
      <c r="BN124" s="170"/>
      <c r="BO124" s="170"/>
      <c r="BP124" s="170"/>
      <c r="BQ124" s="170"/>
      <c r="BR124" s="170"/>
      <c r="BS124" s="170"/>
      <c r="BT124" s="170"/>
      <c r="BU124" s="170"/>
      <c r="BV124" s="170"/>
      <c r="BW124" s="170"/>
      <c r="BX124" s="170"/>
      <c r="BY124" s="170"/>
      <c r="BZ124" s="170"/>
      <c r="CA124" s="170"/>
      <c r="CB124" s="170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  <c r="CN124" s="170"/>
      <c r="CO124" s="170"/>
    </row>
    <row r="125" spans="1:93">
      <c r="A125" s="77"/>
      <c r="B125" s="168"/>
      <c r="C125" s="169"/>
      <c r="D125" s="10"/>
      <c r="E125" s="62"/>
      <c r="F125" s="11"/>
      <c r="G125" s="11"/>
      <c r="H125" s="10"/>
      <c r="I125" s="10"/>
      <c r="J125" s="10"/>
      <c r="K125" s="1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  <c r="AP125" s="170"/>
      <c r="AQ125" s="170"/>
      <c r="AR125" s="170"/>
      <c r="AS125" s="170"/>
      <c r="AT125" s="170"/>
      <c r="AU125" s="170"/>
      <c r="AV125" s="170"/>
      <c r="AW125" s="170"/>
      <c r="AX125" s="170"/>
      <c r="AY125" s="170"/>
      <c r="AZ125" s="170"/>
      <c r="BA125" s="170"/>
      <c r="BB125" s="170"/>
      <c r="BC125" s="170"/>
      <c r="BD125" s="170"/>
      <c r="BE125" s="170"/>
      <c r="BF125" s="170"/>
      <c r="BG125" s="170"/>
      <c r="BH125" s="170"/>
      <c r="BI125" s="170"/>
      <c r="BJ125" s="170"/>
      <c r="BK125" s="170"/>
      <c r="BL125" s="170"/>
      <c r="BM125" s="170"/>
      <c r="BN125" s="170"/>
      <c r="BO125" s="170"/>
      <c r="BP125" s="170"/>
      <c r="BQ125" s="170"/>
      <c r="BR125" s="170"/>
      <c r="BS125" s="170"/>
      <c r="BT125" s="170"/>
      <c r="BU125" s="170"/>
      <c r="BV125" s="170"/>
      <c r="BW125" s="170"/>
      <c r="BX125" s="170"/>
      <c r="BY125" s="170"/>
      <c r="BZ125" s="170"/>
      <c r="CA125" s="170"/>
      <c r="CB125" s="170"/>
      <c r="CC125" s="170"/>
      <c r="CD125" s="170"/>
      <c r="CE125" s="170"/>
      <c r="CF125" s="170"/>
      <c r="CG125" s="170"/>
      <c r="CH125" s="170"/>
      <c r="CI125" s="170"/>
      <c r="CJ125" s="170"/>
      <c r="CK125" s="170"/>
      <c r="CL125" s="170"/>
      <c r="CM125" s="170"/>
      <c r="CN125" s="170"/>
      <c r="CO125" s="170"/>
    </row>
    <row r="126" spans="1:93">
      <c r="A126" s="77"/>
      <c r="B126" s="168"/>
      <c r="C126" s="17" t="s">
        <v>630</v>
      </c>
      <c r="D126" s="10"/>
      <c r="E126" s="62"/>
      <c r="F126" s="11"/>
      <c r="G126" s="11" t="str">
        <f>Monetary_Unit</f>
        <v>тыс. руб.</v>
      </c>
      <c r="H126" s="10"/>
      <c r="I126" s="23">
        <f>SUM(L126:CO126)</f>
        <v>918.64</v>
      </c>
      <c r="J126" s="10"/>
      <c r="K126" s="10"/>
      <c r="L126" s="10">
        <f t="shared" ref="L126:R126" si="208" xml:space="preserve"> $E121 * L121</f>
        <v>229.66</v>
      </c>
      <c r="M126" s="10">
        <f t="shared" si="208"/>
        <v>229.66</v>
      </c>
      <c r="N126" s="10">
        <f t="shared" si="208"/>
        <v>229.66</v>
      </c>
      <c r="O126" s="10">
        <f t="shared" si="208"/>
        <v>229.66</v>
      </c>
      <c r="P126" s="10">
        <f t="shared" si="208"/>
        <v>0</v>
      </c>
      <c r="Q126" s="10">
        <f t="shared" si="208"/>
        <v>0</v>
      </c>
      <c r="R126" s="10">
        <f t="shared" si="208"/>
        <v>0</v>
      </c>
      <c r="S126" s="10">
        <f xml:space="preserve"> $E121 * S121</f>
        <v>0</v>
      </c>
      <c r="T126" s="10">
        <f t="shared" ref="T126:CE126" si="209" xml:space="preserve"> $E121 * T121</f>
        <v>0</v>
      </c>
      <c r="U126" s="10">
        <f t="shared" si="209"/>
        <v>0</v>
      </c>
      <c r="V126" s="10">
        <f t="shared" si="209"/>
        <v>0</v>
      </c>
      <c r="W126" s="10">
        <f t="shared" si="209"/>
        <v>0</v>
      </c>
      <c r="X126" s="10">
        <f t="shared" si="209"/>
        <v>0</v>
      </c>
      <c r="Y126" s="10">
        <f t="shared" si="209"/>
        <v>0</v>
      </c>
      <c r="Z126" s="10">
        <f t="shared" si="209"/>
        <v>0</v>
      </c>
      <c r="AA126" s="10">
        <f t="shared" si="209"/>
        <v>0</v>
      </c>
      <c r="AB126" s="10">
        <f t="shared" si="209"/>
        <v>0</v>
      </c>
      <c r="AC126" s="10">
        <f t="shared" si="209"/>
        <v>0</v>
      </c>
      <c r="AD126" s="10">
        <f t="shared" si="209"/>
        <v>0</v>
      </c>
      <c r="AE126" s="10">
        <f t="shared" si="209"/>
        <v>0</v>
      </c>
      <c r="AF126" s="10">
        <f t="shared" si="209"/>
        <v>0</v>
      </c>
      <c r="AG126" s="10">
        <f t="shared" si="209"/>
        <v>0</v>
      </c>
      <c r="AH126" s="10">
        <f t="shared" si="209"/>
        <v>0</v>
      </c>
      <c r="AI126" s="10">
        <f t="shared" si="209"/>
        <v>0</v>
      </c>
      <c r="AJ126" s="10">
        <f t="shared" si="209"/>
        <v>0</v>
      </c>
      <c r="AK126" s="10">
        <f t="shared" si="209"/>
        <v>0</v>
      </c>
      <c r="AL126" s="10">
        <f t="shared" si="209"/>
        <v>0</v>
      </c>
      <c r="AM126" s="10">
        <f t="shared" si="209"/>
        <v>0</v>
      </c>
      <c r="AN126" s="10">
        <f t="shared" si="209"/>
        <v>0</v>
      </c>
      <c r="AO126" s="10">
        <f t="shared" si="209"/>
        <v>0</v>
      </c>
      <c r="AP126" s="10">
        <f t="shared" si="209"/>
        <v>0</v>
      </c>
      <c r="AQ126" s="10">
        <f t="shared" si="209"/>
        <v>0</v>
      </c>
      <c r="AR126" s="10">
        <f t="shared" si="209"/>
        <v>0</v>
      </c>
      <c r="AS126" s="10">
        <f t="shared" si="209"/>
        <v>0</v>
      </c>
      <c r="AT126" s="10">
        <f t="shared" si="209"/>
        <v>0</v>
      </c>
      <c r="AU126" s="10">
        <f t="shared" si="209"/>
        <v>0</v>
      </c>
      <c r="AV126" s="10">
        <f t="shared" si="209"/>
        <v>0</v>
      </c>
      <c r="AW126" s="10">
        <f t="shared" si="209"/>
        <v>0</v>
      </c>
      <c r="AX126" s="10">
        <f t="shared" si="209"/>
        <v>0</v>
      </c>
      <c r="AY126" s="10">
        <f t="shared" si="209"/>
        <v>0</v>
      </c>
      <c r="AZ126" s="10">
        <f t="shared" si="209"/>
        <v>0</v>
      </c>
      <c r="BA126" s="10">
        <f t="shared" si="209"/>
        <v>0</v>
      </c>
      <c r="BB126" s="10">
        <f t="shared" si="209"/>
        <v>0</v>
      </c>
      <c r="BC126" s="10">
        <f t="shared" si="209"/>
        <v>0</v>
      </c>
      <c r="BD126" s="10">
        <f t="shared" si="209"/>
        <v>0</v>
      </c>
      <c r="BE126" s="10">
        <f t="shared" si="209"/>
        <v>0</v>
      </c>
      <c r="BF126" s="10">
        <f t="shared" si="209"/>
        <v>0</v>
      </c>
      <c r="BG126" s="10">
        <f t="shared" si="209"/>
        <v>0</v>
      </c>
      <c r="BH126" s="10">
        <f t="shared" si="209"/>
        <v>0</v>
      </c>
      <c r="BI126" s="10">
        <f t="shared" si="209"/>
        <v>0</v>
      </c>
      <c r="BJ126" s="10">
        <f t="shared" si="209"/>
        <v>0</v>
      </c>
      <c r="BK126" s="10">
        <f t="shared" si="209"/>
        <v>0</v>
      </c>
      <c r="BL126" s="10">
        <f t="shared" si="209"/>
        <v>0</v>
      </c>
      <c r="BM126" s="10">
        <f t="shared" si="209"/>
        <v>0</v>
      </c>
      <c r="BN126" s="10">
        <f t="shared" si="209"/>
        <v>0</v>
      </c>
      <c r="BO126" s="10">
        <f t="shared" si="209"/>
        <v>0</v>
      </c>
      <c r="BP126" s="10">
        <f t="shared" si="209"/>
        <v>0</v>
      </c>
      <c r="BQ126" s="10">
        <f t="shared" si="209"/>
        <v>0</v>
      </c>
      <c r="BR126" s="10">
        <f t="shared" si="209"/>
        <v>0</v>
      </c>
      <c r="BS126" s="10">
        <f t="shared" si="209"/>
        <v>0</v>
      </c>
      <c r="BT126" s="10">
        <f t="shared" si="209"/>
        <v>0</v>
      </c>
      <c r="BU126" s="10">
        <f t="shared" si="209"/>
        <v>0</v>
      </c>
      <c r="BV126" s="10">
        <f t="shared" si="209"/>
        <v>0</v>
      </c>
      <c r="BW126" s="10">
        <f t="shared" si="209"/>
        <v>0</v>
      </c>
      <c r="BX126" s="10">
        <f t="shared" si="209"/>
        <v>0</v>
      </c>
      <c r="BY126" s="10">
        <f t="shared" si="209"/>
        <v>0</v>
      </c>
      <c r="BZ126" s="10">
        <f t="shared" si="209"/>
        <v>0</v>
      </c>
      <c r="CA126" s="10">
        <f t="shared" si="209"/>
        <v>0</v>
      </c>
      <c r="CB126" s="10">
        <f t="shared" si="209"/>
        <v>0</v>
      </c>
      <c r="CC126" s="10">
        <f t="shared" si="209"/>
        <v>0</v>
      </c>
      <c r="CD126" s="10">
        <f t="shared" si="209"/>
        <v>0</v>
      </c>
      <c r="CE126" s="10">
        <f t="shared" si="209"/>
        <v>0</v>
      </c>
      <c r="CF126" s="10">
        <f t="shared" ref="CF126:CO126" si="210" xml:space="preserve"> $E121 * CF121</f>
        <v>0</v>
      </c>
      <c r="CG126" s="10">
        <f t="shared" si="210"/>
        <v>0</v>
      </c>
      <c r="CH126" s="10">
        <f t="shared" si="210"/>
        <v>0</v>
      </c>
      <c r="CI126" s="10">
        <f t="shared" si="210"/>
        <v>0</v>
      </c>
      <c r="CJ126" s="10">
        <f t="shared" si="210"/>
        <v>0</v>
      </c>
      <c r="CK126" s="10">
        <f t="shared" si="210"/>
        <v>0</v>
      </c>
      <c r="CL126" s="10">
        <f t="shared" si="210"/>
        <v>0</v>
      </c>
      <c r="CM126" s="10">
        <f t="shared" si="210"/>
        <v>0</v>
      </c>
      <c r="CN126" s="10">
        <f t="shared" si="210"/>
        <v>0</v>
      </c>
      <c r="CO126" s="10">
        <f t="shared" si="210"/>
        <v>0</v>
      </c>
    </row>
    <row r="127" spans="1:93">
      <c r="A127" s="77"/>
      <c r="B127" s="168"/>
      <c r="C127" s="17" t="s">
        <v>632</v>
      </c>
      <c r="D127" s="10"/>
      <c r="E127" s="62"/>
      <c r="F127" s="11"/>
      <c r="G127" s="11" t="str">
        <f>Monetary_Unit</f>
        <v>тыс. руб.</v>
      </c>
      <c r="H127" s="10"/>
      <c r="I127" s="23">
        <f>SUM(L127:CO127)</f>
        <v>0</v>
      </c>
      <c r="J127" s="10"/>
      <c r="K127" s="10"/>
      <c r="L127" s="10">
        <f t="shared" ref="L127:R127" si="211" xml:space="preserve"> $E122 * L122</f>
        <v>0</v>
      </c>
      <c r="M127" s="10">
        <f t="shared" si="211"/>
        <v>0</v>
      </c>
      <c r="N127" s="10">
        <f t="shared" si="211"/>
        <v>0</v>
      </c>
      <c r="O127" s="10">
        <f t="shared" si="211"/>
        <v>0</v>
      </c>
      <c r="P127" s="10">
        <f t="shared" si="211"/>
        <v>0</v>
      </c>
      <c r="Q127" s="10">
        <f t="shared" si="211"/>
        <v>0</v>
      </c>
      <c r="R127" s="10">
        <f t="shared" si="211"/>
        <v>0</v>
      </c>
      <c r="S127" s="10">
        <f xml:space="preserve"> $E122 * S122</f>
        <v>0</v>
      </c>
      <c r="T127" s="10">
        <f t="shared" ref="T127:CE127" si="212" xml:space="preserve"> $E122 * T122</f>
        <v>0</v>
      </c>
      <c r="U127" s="10">
        <f t="shared" si="212"/>
        <v>0</v>
      </c>
      <c r="V127" s="10">
        <f t="shared" si="212"/>
        <v>0</v>
      </c>
      <c r="W127" s="10">
        <f t="shared" si="212"/>
        <v>0</v>
      </c>
      <c r="X127" s="10">
        <f t="shared" si="212"/>
        <v>0</v>
      </c>
      <c r="Y127" s="10">
        <f t="shared" si="212"/>
        <v>0</v>
      </c>
      <c r="Z127" s="10">
        <f t="shared" si="212"/>
        <v>0</v>
      </c>
      <c r="AA127" s="10">
        <f t="shared" si="212"/>
        <v>0</v>
      </c>
      <c r="AB127" s="10">
        <f t="shared" si="212"/>
        <v>0</v>
      </c>
      <c r="AC127" s="10">
        <f t="shared" si="212"/>
        <v>0</v>
      </c>
      <c r="AD127" s="10">
        <f t="shared" si="212"/>
        <v>0</v>
      </c>
      <c r="AE127" s="10">
        <f t="shared" si="212"/>
        <v>0</v>
      </c>
      <c r="AF127" s="10">
        <f t="shared" si="212"/>
        <v>0</v>
      </c>
      <c r="AG127" s="10">
        <f t="shared" si="212"/>
        <v>0</v>
      </c>
      <c r="AH127" s="10">
        <f t="shared" si="212"/>
        <v>0</v>
      </c>
      <c r="AI127" s="10">
        <f t="shared" si="212"/>
        <v>0</v>
      </c>
      <c r="AJ127" s="10">
        <f t="shared" si="212"/>
        <v>0</v>
      </c>
      <c r="AK127" s="10">
        <f t="shared" si="212"/>
        <v>0</v>
      </c>
      <c r="AL127" s="10">
        <f t="shared" si="212"/>
        <v>0</v>
      </c>
      <c r="AM127" s="10">
        <f t="shared" si="212"/>
        <v>0</v>
      </c>
      <c r="AN127" s="10">
        <f t="shared" si="212"/>
        <v>0</v>
      </c>
      <c r="AO127" s="10">
        <f t="shared" si="212"/>
        <v>0</v>
      </c>
      <c r="AP127" s="10">
        <f t="shared" si="212"/>
        <v>0</v>
      </c>
      <c r="AQ127" s="10">
        <f t="shared" si="212"/>
        <v>0</v>
      </c>
      <c r="AR127" s="10">
        <f t="shared" si="212"/>
        <v>0</v>
      </c>
      <c r="AS127" s="10">
        <f t="shared" si="212"/>
        <v>0</v>
      </c>
      <c r="AT127" s="10">
        <f t="shared" si="212"/>
        <v>0</v>
      </c>
      <c r="AU127" s="10">
        <f t="shared" si="212"/>
        <v>0</v>
      </c>
      <c r="AV127" s="10">
        <f t="shared" si="212"/>
        <v>0</v>
      </c>
      <c r="AW127" s="10">
        <f t="shared" si="212"/>
        <v>0</v>
      </c>
      <c r="AX127" s="10">
        <f t="shared" si="212"/>
        <v>0</v>
      </c>
      <c r="AY127" s="10">
        <f t="shared" si="212"/>
        <v>0</v>
      </c>
      <c r="AZ127" s="10">
        <f t="shared" si="212"/>
        <v>0</v>
      </c>
      <c r="BA127" s="10">
        <f t="shared" si="212"/>
        <v>0</v>
      </c>
      <c r="BB127" s="10">
        <f t="shared" si="212"/>
        <v>0</v>
      </c>
      <c r="BC127" s="10">
        <f t="shared" si="212"/>
        <v>0</v>
      </c>
      <c r="BD127" s="10">
        <f t="shared" si="212"/>
        <v>0</v>
      </c>
      <c r="BE127" s="10">
        <f t="shared" si="212"/>
        <v>0</v>
      </c>
      <c r="BF127" s="10">
        <f t="shared" si="212"/>
        <v>0</v>
      </c>
      <c r="BG127" s="10">
        <f t="shared" si="212"/>
        <v>0</v>
      </c>
      <c r="BH127" s="10">
        <f t="shared" si="212"/>
        <v>0</v>
      </c>
      <c r="BI127" s="10">
        <f t="shared" si="212"/>
        <v>0</v>
      </c>
      <c r="BJ127" s="10">
        <f t="shared" si="212"/>
        <v>0</v>
      </c>
      <c r="BK127" s="10">
        <f t="shared" si="212"/>
        <v>0</v>
      </c>
      <c r="BL127" s="10">
        <f t="shared" si="212"/>
        <v>0</v>
      </c>
      <c r="BM127" s="10">
        <f t="shared" si="212"/>
        <v>0</v>
      </c>
      <c r="BN127" s="10">
        <f t="shared" si="212"/>
        <v>0</v>
      </c>
      <c r="BO127" s="10">
        <f t="shared" si="212"/>
        <v>0</v>
      </c>
      <c r="BP127" s="10">
        <f t="shared" si="212"/>
        <v>0</v>
      </c>
      <c r="BQ127" s="10">
        <f t="shared" si="212"/>
        <v>0</v>
      </c>
      <c r="BR127" s="10">
        <f t="shared" si="212"/>
        <v>0</v>
      </c>
      <c r="BS127" s="10">
        <f t="shared" si="212"/>
        <v>0</v>
      </c>
      <c r="BT127" s="10">
        <f t="shared" si="212"/>
        <v>0</v>
      </c>
      <c r="BU127" s="10">
        <f t="shared" si="212"/>
        <v>0</v>
      </c>
      <c r="BV127" s="10">
        <f t="shared" si="212"/>
        <v>0</v>
      </c>
      <c r="BW127" s="10">
        <f t="shared" si="212"/>
        <v>0</v>
      </c>
      <c r="BX127" s="10">
        <f t="shared" si="212"/>
        <v>0</v>
      </c>
      <c r="BY127" s="10">
        <f t="shared" si="212"/>
        <v>0</v>
      </c>
      <c r="BZ127" s="10">
        <f t="shared" si="212"/>
        <v>0</v>
      </c>
      <c r="CA127" s="10">
        <f t="shared" si="212"/>
        <v>0</v>
      </c>
      <c r="CB127" s="10">
        <f t="shared" si="212"/>
        <v>0</v>
      </c>
      <c r="CC127" s="10">
        <f t="shared" si="212"/>
        <v>0</v>
      </c>
      <c r="CD127" s="10">
        <f t="shared" si="212"/>
        <v>0</v>
      </c>
      <c r="CE127" s="10">
        <f t="shared" si="212"/>
        <v>0</v>
      </c>
      <c r="CF127" s="10">
        <f t="shared" ref="CF127:CO127" si="213" xml:space="preserve"> $E122 * CF122</f>
        <v>0</v>
      </c>
      <c r="CG127" s="10">
        <f t="shared" si="213"/>
        <v>0</v>
      </c>
      <c r="CH127" s="10">
        <f t="shared" si="213"/>
        <v>0</v>
      </c>
      <c r="CI127" s="10">
        <f t="shared" si="213"/>
        <v>0</v>
      </c>
      <c r="CJ127" s="10">
        <f t="shared" si="213"/>
        <v>0</v>
      </c>
      <c r="CK127" s="10">
        <f t="shared" si="213"/>
        <v>0</v>
      </c>
      <c r="CL127" s="10">
        <f t="shared" si="213"/>
        <v>0</v>
      </c>
      <c r="CM127" s="10">
        <f t="shared" si="213"/>
        <v>0</v>
      </c>
      <c r="CN127" s="10">
        <f t="shared" si="213"/>
        <v>0</v>
      </c>
      <c r="CO127" s="10">
        <f t="shared" si="213"/>
        <v>0</v>
      </c>
    </row>
    <row r="128" spans="1:93">
      <c r="A128" s="77"/>
      <c r="B128" s="168"/>
      <c r="C128" s="17" t="s">
        <v>821</v>
      </c>
      <c r="D128" s="10"/>
      <c r="E128" s="62"/>
      <c r="F128" s="11"/>
      <c r="G128" s="11" t="str">
        <f>Monetary_Unit</f>
        <v>тыс. руб.</v>
      </c>
      <c r="H128" s="10"/>
      <c r="I128" s="23">
        <f>SUM(L128:CO128)</f>
        <v>22966</v>
      </c>
      <c r="J128" s="10"/>
      <c r="K128" s="10"/>
      <c r="L128" s="10">
        <f t="shared" ref="L128:R128" si="214" xml:space="preserve"> $E123 * L123</f>
        <v>0</v>
      </c>
      <c r="M128" s="10">
        <f t="shared" si="214"/>
        <v>0</v>
      </c>
      <c r="N128" s="10">
        <f t="shared" si="214"/>
        <v>0</v>
      </c>
      <c r="O128" s="10">
        <f t="shared" si="214"/>
        <v>0</v>
      </c>
      <c r="P128" s="10">
        <f t="shared" si="214"/>
        <v>1766.6153846153848</v>
      </c>
      <c r="Q128" s="10">
        <f t="shared" si="214"/>
        <v>1766.6153846153848</v>
      </c>
      <c r="R128" s="10">
        <f t="shared" si="214"/>
        <v>1766.6153846153848</v>
      </c>
      <c r="S128" s="10">
        <f xml:space="preserve"> $E123 * S123</f>
        <v>1766.6153846153843</v>
      </c>
      <c r="T128" s="10">
        <f t="shared" ref="T128:CE128" si="215" xml:space="preserve"> $E123 * T123</f>
        <v>1766.6153846153848</v>
      </c>
      <c r="U128" s="10">
        <f t="shared" si="215"/>
        <v>1766.6153846153848</v>
      </c>
      <c r="V128" s="10">
        <f t="shared" si="215"/>
        <v>1766.6153846153843</v>
      </c>
      <c r="W128" s="10">
        <f t="shared" si="215"/>
        <v>1766.6153846153848</v>
      </c>
      <c r="X128" s="10">
        <f t="shared" si="215"/>
        <v>1766.6153846153843</v>
      </c>
      <c r="Y128" s="10">
        <f t="shared" si="215"/>
        <v>1766.6153846153848</v>
      </c>
      <c r="Z128" s="10">
        <f t="shared" si="215"/>
        <v>1766.615384615385</v>
      </c>
      <c r="AA128" s="10">
        <f t="shared" si="215"/>
        <v>1766.6153846153848</v>
      </c>
      <c r="AB128" s="10">
        <f t="shared" si="215"/>
        <v>1766.6153846153834</v>
      </c>
      <c r="AC128" s="10">
        <f t="shared" si="215"/>
        <v>0</v>
      </c>
      <c r="AD128" s="10">
        <f t="shared" si="215"/>
        <v>0</v>
      </c>
      <c r="AE128" s="10">
        <f t="shared" si="215"/>
        <v>0</v>
      </c>
      <c r="AF128" s="10">
        <f t="shared" si="215"/>
        <v>0</v>
      </c>
      <c r="AG128" s="10">
        <f t="shared" si="215"/>
        <v>0</v>
      </c>
      <c r="AH128" s="10">
        <f t="shared" si="215"/>
        <v>0</v>
      </c>
      <c r="AI128" s="10">
        <f t="shared" si="215"/>
        <v>0</v>
      </c>
      <c r="AJ128" s="10">
        <f t="shared" si="215"/>
        <v>0</v>
      </c>
      <c r="AK128" s="10">
        <f t="shared" si="215"/>
        <v>0</v>
      </c>
      <c r="AL128" s="10">
        <f t="shared" si="215"/>
        <v>0</v>
      </c>
      <c r="AM128" s="10">
        <f t="shared" si="215"/>
        <v>0</v>
      </c>
      <c r="AN128" s="10">
        <f t="shared" si="215"/>
        <v>0</v>
      </c>
      <c r="AO128" s="10">
        <f t="shared" si="215"/>
        <v>0</v>
      </c>
      <c r="AP128" s="10">
        <f t="shared" si="215"/>
        <v>0</v>
      </c>
      <c r="AQ128" s="10">
        <f t="shared" si="215"/>
        <v>0</v>
      </c>
      <c r="AR128" s="10">
        <f t="shared" si="215"/>
        <v>0</v>
      </c>
      <c r="AS128" s="10">
        <f t="shared" si="215"/>
        <v>0</v>
      </c>
      <c r="AT128" s="10">
        <f t="shared" si="215"/>
        <v>0</v>
      </c>
      <c r="AU128" s="10">
        <f t="shared" si="215"/>
        <v>0</v>
      </c>
      <c r="AV128" s="10">
        <f t="shared" si="215"/>
        <v>0</v>
      </c>
      <c r="AW128" s="10">
        <f t="shared" si="215"/>
        <v>0</v>
      </c>
      <c r="AX128" s="10">
        <f t="shared" si="215"/>
        <v>0</v>
      </c>
      <c r="AY128" s="10">
        <f t="shared" si="215"/>
        <v>0</v>
      </c>
      <c r="AZ128" s="10">
        <f t="shared" si="215"/>
        <v>0</v>
      </c>
      <c r="BA128" s="10">
        <f t="shared" si="215"/>
        <v>0</v>
      </c>
      <c r="BB128" s="10">
        <f t="shared" si="215"/>
        <v>0</v>
      </c>
      <c r="BC128" s="10">
        <f t="shared" si="215"/>
        <v>0</v>
      </c>
      <c r="BD128" s="10">
        <f t="shared" si="215"/>
        <v>0</v>
      </c>
      <c r="BE128" s="10">
        <f t="shared" si="215"/>
        <v>0</v>
      </c>
      <c r="BF128" s="10">
        <f t="shared" si="215"/>
        <v>0</v>
      </c>
      <c r="BG128" s="10">
        <f t="shared" si="215"/>
        <v>0</v>
      </c>
      <c r="BH128" s="10">
        <f t="shared" si="215"/>
        <v>0</v>
      </c>
      <c r="BI128" s="10">
        <f t="shared" si="215"/>
        <v>0</v>
      </c>
      <c r="BJ128" s="10">
        <f t="shared" si="215"/>
        <v>0</v>
      </c>
      <c r="BK128" s="10">
        <f t="shared" si="215"/>
        <v>0</v>
      </c>
      <c r="BL128" s="10">
        <f t="shared" si="215"/>
        <v>0</v>
      </c>
      <c r="BM128" s="10">
        <f t="shared" si="215"/>
        <v>0</v>
      </c>
      <c r="BN128" s="10">
        <f t="shared" si="215"/>
        <v>0</v>
      </c>
      <c r="BO128" s="10">
        <f t="shared" si="215"/>
        <v>0</v>
      </c>
      <c r="BP128" s="10">
        <f t="shared" si="215"/>
        <v>0</v>
      </c>
      <c r="BQ128" s="10">
        <f t="shared" si="215"/>
        <v>0</v>
      </c>
      <c r="BR128" s="10">
        <f t="shared" si="215"/>
        <v>0</v>
      </c>
      <c r="BS128" s="10">
        <f t="shared" si="215"/>
        <v>0</v>
      </c>
      <c r="BT128" s="10">
        <f t="shared" si="215"/>
        <v>0</v>
      </c>
      <c r="BU128" s="10">
        <f t="shared" si="215"/>
        <v>0</v>
      </c>
      <c r="BV128" s="10">
        <f t="shared" si="215"/>
        <v>0</v>
      </c>
      <c r="BW128" s="10">
        <f t="shared" si="215"/>
        <v>0</v>
      </c>
      <c r="BX128" s="10">
        <f t="shared" si="215"/>
        <v>0</v>
      </c>
      <c r="BY128" s="10">
        <f t="shared" si="215"/>
        <v>0</v>
      </c>
      <c r="BZ128" s="10">
        <f t="shared" si="215"/>
        <v>0</v>
      </c>
      <c r="CA128" s="10">
        <f t="shared" si="215"/>
        <v>0</v>
      </c>
      <c r="CB128" s="10">
        <f t="shared" si="215"/>
        <v>0</v>
      </c>
      <c r="CC128" s="10">
        <f t="shared" si="215"/>
        <v>0</v>
      </c>
      <c r="CD128" s="10">
        <f t="shared" si="215"/>
        <v>0</v>
      </c>
      <c r="CE128" s="10">
        <f t="shared" si="215"/>
        <v>0</v>
      </c>
      <c r="CF128" s="10">
        <f t="shared" ref="CF128:CO128" si="216" xml:space="preserve"> $E123 * CF123</f>
        <v>0</v>
      </c>
      <c r="CG128" s="10">
        <f t="shared" si="216"/>
        <v>0</v>
      </c>
      <c r="CH128" s="10">
        <f t="shared" si="216"/>
        <v>0</v>
      </c>
      <c r="CI128" s="10">
        <f t="shared" si="216"/>
        <v>0</v>
      </c>
      <c r="CJ128" s="10">
        <f t="shared" si="216"/>
        <v>0</v>
      </c>
      <c r="CK128" s="10">
        <f t="shared" si="216"/>
        <v>0</v>
      </c>
      <c r="CL128" s="10">
        <f t="shared" si="216"/>
        <v>0</v>
      </c>
      <c r="CM128" s="10">
        <f t="shared" si="216"/>
        <v>0</v>
      </c>
      <c r="CN128" s="10">
        <f t="shared" si="216"/>
        <v>0</v>
      </c>
      <c r="CO128" s="10">
        <f t="shared" si="216"/>
        <v>0</v>
      </c>
    </row>
    <row r="129" spans="1:93" ht="15.75" thickBot="1">
      <c r="A129" s="77"/>
      <c r="B129" s="168"/>
      <c r="C129" s="17" t="s">
        <v>797</v>
      </c>
      <c r="D129" s="10"/>
      <c r="E129" s="62"/>
      <c r="F129" s="11"/>
      <c r="G129" s="11" t="str">
        <f>Monetary_Unit</f>
        <v>тыс. руб.</v>
      </c>
      <c r="H129" s="10"/>
      <c r="I129" s="23">
        <f>SUM(L129:CO129)</f>
        <v>688.98</v>
      </c>
      <c r="J129" s="10"/>
      <c r="K129" s="10"/>
      <c r="L129" s="10">
        <f t="shared" ref="L129:R129" si="217" xml:space="preserve"> L128 * $E$124</f>
        <v>0</v>
      </c>
      <c r="M129" s="10">
        <f t="shared" si="217"/>
        <v>0</v>
      </c>
      <c r="N129" s="10">
        <f t="shared" si="217"/>
        <v>0</v>
      </c>
      <c r="O129" s="10">
        <f t="shared" si="217"/>
        <v>0</v>
      </c>
      <c r="P129" s="10">
        <f t="shared" si="217"/>
        <v>52.998461538461541</v>
      </c>
      <c r="Q129" s="10">
        <f t="shared" si="217"/>
        <v>52.998461538461541</v>
      </c>
      <c r="R129" s="10">
        <f t="shared" si="217"/>
        <v>52.998461538461541</v>
      </c>
      <c r="S129" s="10">
        <f xml:space="preserve"> S128 * $E$124</f>
        <v>52.998461538461527</v>
      </c>
      <c r="T129" s="10">
        <f t="shared" ref="T129:CE129" si="218" xml:space="preserve"> T128 * $E$124</f>
        <v>52.998461538461541</v>
      </c>
      <c r="U129" s="10">
        <f t="shared" si="218"/>
        <v>52.998461538461541</v>
      </c>
      <c r="V129" s="10">
        <f t="shared" si="218"/>
        <v>52.998461538461527</v>
      </c>
      <c r="W129" s="10">
        <f t="shared" si="218"/>
        <v>52.998461538461541</v>
      </c>
      <c r="X129" s="10">
        <f t="shared" si="218"/>
        <v>52.998461538461527</v>
      </c>
      <c r="Y129" s="10">
        <f t="shared" si="218"/>
        <v>52.998461538461541</v>
      </c>
      <c r="Z129" s="10">
        <f t="shared" si="218"/>
        <v>52.998461538461548</v>
      </c>
      <c r="AA129" s="10">
        <f t="shared" si="218"/>
        <v>52.998461538461541</v>
      </c>
      <c r="AB129" s="10">
        <f t="shared" si="218"/>
        <v>52.998461538461498</v>
      </c>
      <c r="AC129" s="10">
        <f t="shared" si="218"/>
        <v>0</v>
      </c>
      <c r="AD129" s="10">
        <f t="shared" si="218"/>
        <v>0</v>
      </c>
      <c r="AE129" s="10">
        <f t="shared" si="218"/>
        <v>0</v>
      </c>
      <c r="AF129" s="10">
        <f t="shared" si="218"/>
        <v>0</v>
      </c>
      <c r="AG129" s="10">
        <f t="shared" si="218"/>
        <v>0</v>
      </c>
      <c r="AH129" s="10">
        <f t="shared" si="218"/>
        <v>0</v>
      </c>
      <c r="AI129" s="10">
        <f t="shared" si="218"/>
        <v>0</v>
      </c>
      <c r="AJ129" s="10">
        <f t="shared" si="218"/>
        <v>0</v>
      </c>
      <c r="AK129" s="10">
        <f t="shared" si="218"/>
        <v>0</v>
      </c>
      <c r="AL129" s="10">
        <f t="shared" si="218"/>
        <v>0</v>
      </c>
      <c r="AM129" s="10">
        <f t="shared" si="218"/>
        <v>0</v>
      </c>
      <c r="AN129" s="10">
        <f t="shared" si="218"/>
        <v>0</v>
      </c>
      <c r="AO129" s="10">
        <f t="shared" si="218"/>
        <v>0</v>
      </c>
      <c r="AP129" s="10">
        <f t="shared" si="218"/>
        <v>0</v>
      </c>
      <c r="AQ129" s="10">
        <f t="shared" si="218"/>
        <v>0</v>
      </c>
      <c r="AR129" s="10">
        <f t="shared" si="218"/>
        <v>0</v>
      </c>
      <c r="AS129" s="10">
        <f t="shared" si="218"/>
        <v>0</v>
      </c>
      <c r="AT129" s="10">
        <f t="shared" si="218"/>
        <v>0</v>
      </c>
      <c r="AU129" s="10">
        <f t="shared" si="218"/>
        <v>0</v>
      </c>
      <c r="AV129" s="10">
        <f t="shared" si="218"/>
        <v>0</v>
      </c>
      <c r="AW129" s="10">
        <f t="shared" si="218"/>
        <v>0</v>
      </c>
      <c r="AX129" s="10">
        <f t="shared" si="218"/>
        <v>0</v>
      </c>
      <c r="AY129" s="10">
        <f t="shared" si="218"/>
        <v>0</v>
      </c>
      <c r="AZ129" s="10">
        <f t="shared" si="218"/>
        <v>0</v>
      </c>
      <c r="BA129" s="10">
        <f t="shared" si="218"/>
        <v>0</v>
      </c>
      <c r="BB129" s="10">
        <f t="shared" si="218"/>
        <v>0</v>
      </c>
      <c r="BC129" s="10">
        <f t="shared" si="218"/>
        <v>0</v>
      </c>
      <c r="BD129" s="10">
        <f t="shared" si="218"/>
        <v>0</v>
      </c>
      <c r="BE129" s="10">
        <f t="shared" si="218"/>
        <v>0</v>
      </c>
      <c r="BF129" s="10">
        <f t="shared" si="218"/>
        <v>0</v>
      </c>
      <c r="BG129" s="10">
        <f t="shared" si="218"/>
        <v>0</v>
      </c>
      <c r="BH129" s="10">
        <f t="shared" si="218"/>
        <v>0</v>
      </c>
      <c r="BI129" s="10">
        <f t="shared" si="218"/>
        <v>0</v>
      </c>
      <c r="BJ129" s="10">
        <f t="shared" si="218"/>
        <v>0</v>
      </c>
      <c r="BK129" s="10">
        <f t="shared" si="218"/>
        <v>0</v>
      </c>
      <c r="BL129" s="10">
        <f t="shared" si="218"/>
        <v>0</v>
      </c>
      <c r="BM129" s="10">
        <f t="shared" si="218"/>
        <v>0</v>
      </c>
      <c r="BN129" s="10">
        <f t="shared" si="218"/>
        <v>0</v>
      </c>
      <c r="BO129" s="10">
        <f t="shared" si="218"/>
        <v>0</v>
      </c>
      <c r="BP129" s="10">
        <f t="shared" si="218"/>
        <v>0</v>
      </c>
      <c r="BQ129" s="10">
        <f t="shared" si="218"/>
        <v>0</v>
      </c>
      <c r="BR129" s="10">
        <f t="shared" si="218"/>
        <v>0</v>
      </c>
      <c r="BS129" s="10">
        <f t="shared" si="218"/>
        <v>0</v>
      </c>
      <c r="BT129" s="10">
        <f t="shared" si="218"/>
        <v>0</v>
      </c>
      <c r="BU129" s="10">
        <f t="shared" si="218"/>
        <v>0</v>
      </c>
      <c r="BV129" s="10">
        <f t="shared" si="218"/>
        <v>0</v>
      </c>
      <c r="BW129" s="10">
        <f t="shared" si="218"/>
        <v>0</v>
      </c>
      <c r="BX129" s="10">
        <f t="shared" si="218"/>
        <v>0</v>
      </c>
      <c r="BY129" s="10">
        <f t="shared" si="218"/>
        <v>0</v>
      </c>
      <c r="BZ129" s="10">
        <f t="shared" si="218"/>
        <v>0</v>
      </c>
      <c r="CA129" s="10">
        <f t="shared" si="218"/>
        <v>0</v>
      </c>
      <c r="CB129" s="10">
        <f t="shared" si="218"/>
        <v>0</v>
      </c>
      <c r="CC129" s="10">
        <f t="shared" si="218"/>
        <v>0</v>
      </c>
      <c r="CD129" s="10">
        <f t="shared" si="218"/>
        <v>0</v>
      </c>
      <c r="CE129" s="10">
        <f t="shared" si="218"/>
        <v>0</v>
      </c>
      <c r="CF129" s="10">
        <f t="shared" ref="CF129:CO129" si="219" xml:space="preserve"> CF128 * $E$124</f>
        <v>0</v>
      </c>
      <c r="CG129" s="10">
        <f t="shared" si="219"/>
        <v>0</v>
      </c>
      <c r="CH129" s="10">
        <f t="shared" si="219"/>
        <v>0</v>
      </c>
      <c r="CI129" s="10">
        <f t="shared" si="219"/>
        <v>0</v>
      </c>
      <c r="CJ129" s="10">
        <f t="shared" si="219"/>
        <v>0</v>
      </c>
      <c r="CK129" s="10">
        <f t="shared" si="219"/>
        <v>0</v>
      </c>
      <c r="CL129" s="10">
        <f t="shared" si="219"/>
        <v>0</v>
      </c>
      <c r="CM129" s="10">
        <f t="shared" si="219"/>
        <v>0</v>
      </c>
      <c r="CN129" s="10">
        <f t="shared" si="219"/>
        <v>0</v>
      </c>
      <c r="CO129" s="10">
        <f t="shared" si="219"/>
        <v>0</v>
      </c>
    </row>
    <row r="130" spans="1:93" ht="15.75" thickTop="1">
      <c r="A130" s="77"/>
      <c r="B130" s="101"/>
      <c r="C130" s="49" t="s">
        <v>832</v>
      </c>
      <c r="D130" s="49"/>
      <c r="E130" s="136"/>
      <c r="F130" s="49"/>
      <c r="G130" s="159" t="str">
        <f xml:space="preserve"> Monetary_Unit</f>
        <v>тыс. руб.</v>
      </c>
      <c r="H130" s="49"/>
      <c r="I130" s="23">
        <f>SUM(L130:CO130)</f>
        <v>24573.620000000003</v>
      </c>
      <c r="J130" s="49"/>
      <c r="K130" s="49"/>
      <c r="L130" s="49">
        <f t="shared" ref="L130:R130" si="220" xml:space="preserve"> SUM(L126:L129)</f>
        <v>229.66</v>
      </c>
      <c r="M130" s="49">
        <f t="shared" si="220"/>
        <v>229.66</v>
      </c>
      <c r="N130" s="49">
        <f t="shared" si="220"/>
        <v>229.66</v>
      </c>
      <c r="O130" s="49">
        <f t="shared" si="220"/>
        <v>229.66</v>
      </c>
      <c r="P130" s="49">
        <f t="shared" si="220"/>
        <v>1819.6138461538462</v>
      </c>
      <c r="Q130" s="49">
        <f t="shared" si="220"/>
        <v>1819.6138461538462</v>
      </c>
      <c r="R130" s="49">
        <f t="shared" si="220"/>
        <v>1819.6138461538462</v>
      </c>
      <c r="S130" s="49">
        <f xml:space="preserve"> SUM(S126:S129)</f>
        <v>1819.6138461538458</v>
      </c>
      <c r="T130" s="49">
        <f t="shared" ref="T130:CE130" si="221" xml:space="preserve"> SUM(T126:T129)</f>
        <v>1819.6138461538462</v>
      </c>
      <c r="U130" s="49">
        <f t="shared" si="221"/>
        <v>1819.6138461538462</v>
      </c>
      <c r="V130" s="49">
        <f t="shared" si="221"/>
        <v>1819.6138461538458</v>
      </c>
      <c r="W130" s="49">
        <f t="shared" si="221"/>
        <v>1819.6138461538462</v>
      </c>
      <c r="X130" s="49">
        <f t="shared" si="221"/>
        <v>1819.6138461538458</v>
      </c>
      <c r="Y130" s="49">
        <f t="shared" si="221"/>
        <v>1819.6138461538462</v>
      </c>
      <c r="Z130" s="49">
        <f t="shared" si="221"/>
        <v>1819.6138461538465</v>
      </c>
      <c r="AA130" s="49">
        <f t="shared" si="221"/>
        <v>1819.6138461538462</v>
      </c>
      <c r="AB130" s="49">
        <f t="shared" si="221"/>
        <v>1819.6138461538449</v>
      </c>
      <c r="AC130" s="49">
        <f t="shared" si="221"/>
        <v>0</v>
      </c>
      <c r="AD130" s="49">
        <f t="shared" si="221"/>
        <v>0</v>
      </c>
      <c r="AE130" s="49">
        <f t="shared" si="221"/>
        <v>0</v>
      </c>
      <c r="AF130" s="49">
        <f t="shared" si="221"/>
        <v>0</v>
      </c>
      <c r="AG130" s="49">
        <f t="shared" si="221"/>
        <v>0</v>
      </c>
      <c r="AH130" s="49">
        <f t="shared" si="221"/>
        <v>0</v>
      </c>
      <c r="AI130" s="49">
        <f t="shared" si="221"/>
        <v>0</v>
      </c>
      <c r="AJ130" s="49">
        <f t="shared" si="221"/>
        <v>0</v>
      </c>
      <c r="AK130" s="49">
        <f t="shared" si="221"/>
        <v>0</v>
      </c>
      <c r="AL130" s="49">
        <f t="shared" si="221"/>
        <v>0</v>
      </c>
      <c r="AM130" s="49">
        <f t="shared" si="221"/>
        <v>0</v>
      </c>
      <c r="AN130" s="49">
        <f t="shared" si="221"/>
        <v>0</v>
      </c>
      <c r="AO130" s="49">
        <f t="shared" si="221"/>
        <v>0</v>
      </c>
      <c r="AP130" s="49">
        <f t="shared" si="221"/>
        <v>0</v>
      </c>
      <c r="AQ130" s="49">
        <f t="shared" si="221"/>
        <v>0</v>
      </c>
      <c r="AR130" s="49">
        <f t="shared" si="221"/>
        <v>0</v>
      </c>
      <c r="AS130" s="49">
        <f t="shared" si="221"/>
        <v>0</v>
      </c>
      <c r="AT130" s="49">
        <f t="shared" si="221"/>
        <v>0</v>
      </c>
      <c r="AU130" s="49">
        <f t="shared" si="221"/>
        <v>0</v>
      </c>
      <c r="AV130" s="49">
        <f t="shared" si="221"/>
        <v>0</v>
      </c>
      <c r="AW130" s="49">
        <f t="shared" si="221"/>
        <v>0</v>
      </c>
      <c r="AX130" s="49">
        <f t="shared" si="221"/>
        <v>0</v>
      </c>
      <c r="AY130" s="49">
        <f t="shared" si="221"/>
        <v>0</v>
      </c>
      <c r="AZ130" s="49">
        <f t="shared" si="221"/>
        <v>0</v>
      </c>
      <c r="BA130" s="49">
        <f t="shared" si="221"/>
        <v>0</v>
      </c>
      <c r="BB130" s="49">
        <f t="shared" si="221"/>
        <v>0</v>
      </c>
      <c r="BC130" s="49">
        <f t="shared" si="221"/>
        <v>0</v>
      </c>
      <c r="BD130" s="49">
        <f t="shared" si="221"/>
        <v>0</v>
      </c>
      <c r="BE130" s="49">
        <f t="shared" si="221"/>
        <v>0</v>
      </c>
      <c r="BF130" s="49">
        <f t="shared" si="221"/>
        <v>0</v>
      </c>
      <c r="BG130" s="49">
        <f t="shared" si="221"/>
        <v>0</v>
      </c>
      <c r="BH130" s="49">
        <f t="shared" si="221"/>
        <v>0</v>
      </c>
      <c r="BI130" s="49">
        <f t="shared" si="221"/>
        <v>0</v>
      </c>
      <c r="BJ130" s="49">
        <f t="shared" si="221"/>
        <v>0</v>
      </c>
      <c r="BK130" s="49">
        <f t="shared" si="221"/>
        <v>0</v>
      </c>
      <c r="BL130" s="49">
        <f t="shared" si="221"/>
        <v>0</v>
      </c>
      <c r="BM130" s="49">
        <f t="shared" si="221"/>
        <v>0</v>
      </c>
      <c r="BN130" s="49">
        <f t="shared" si="221"/>
        <v>0</v>
      </c>
      <c r="BO130" s="49">
        <f t="shared" si="221"/>
        <v>0</v>
      </c>
      <c r="BP130" s="49">
        <f t="shared" si="221"/>
        <v>0</v>
      </c>
      <c r="BQ130" s="49">
        <f t="shared" si="221"/>
        <v>0</v>
      </c>
      <c r="BR130" s="49">
        <f t="shared" si="221"/>
        <v>0</v>
      </c>
      <c r="BS130" s="49">
        <f t="shared" si="221"/>
        <v>0</v>
      </c>
      <c r="BT130" s="49">
        <f t="shared" si="221"/>
        <v>0</v>
      </c>
      <c r="BU130" s="49">
        <f t="shared" si="221"/>
        <v>0</v>
      </c>
      <c r="BV130" s="49">
        <f t="shared" si="221"/>
        <v>0</v>
      </c>
      <c r="BW130" s="49">
        <f t="shared" si="221"/>
        <v>0</v>
      </c>
      <c r="BX130" s="49">
        <f t="shared" si="221"/>
        <v>0</v>
      </c>
      <c r="BY130" s="49">
        <f t="shared" si="221"/>
        <v>0</v>
      </c>
      <c r="BZ130" s="49">
        <f t="shared" si="221"/>
        <v>0</v>
      </c>
      <c r="CA130" s="49">
        <f t="shared" si="221"/>
        <v>0</v>
      </c>
      <c r="CB130" s="49">
        <f t="shared" si="221"/>
        <v>0</v>
      </c>
      <c r="CC130" s="49">
        <f t="shared" si="221"/>
        <v>0</v>
      </c>
      <c r="CD130" s="49">
        <f t="shared" si="221"/>
        <v>0</v>
      </c>
      <c r="CE130" s="49">
        <f t="shared" si="221"/>
        <v>0</v>
      </c>
      <c r="CF130" s="49">
        <f t="shared" ref="CF130:CO130" si="222" xml:space="preserve"> SUM(CF126:CF129)</f>
        <v>0</v>
      </c>
      <c r="CG130" s="49">
        <f t="shared" si="222"/>
        <v>0</v>
      </c>
      <c r="CH130" s="49">
        <f t="shared" si="222"/>
        <v>0</v>
      </c>
      <c r="CI130" s="49">
        <f t="shared" si="222"/>
        <v>0</v>
      </c>
      <c r="CJ130" s="49">
        <f t="shared" si="222"/>
        <v>0</v>
      </c>
      <c r="CK130" s="49">
        <f t="shared" si="222"/>
        <v>0</v>
      </c>
      <c r="CL130" s="49">
        <f t="shared" si="222"/>
        <v>0</v>
      </c>
      <c r="CM130" s="49">
        <f t="shared" si="222"/>
        <v>0</v>
      </c>
      <c r="CN130" s="49">
        <f t="shared" si="222"/>
        <v>0</v>
      </c>
      <c r="CO130" s="49">
        <f t="shared" si="222"/>
        <v>0</v>
      </c>
    </row>
    <row r="131" spans="1:93">
      <c r="A131" s="77"/>
      <c r="B131" s="168"/>
      <c r="C131" s="169"/>
      <c r="D131" s="10"/>
      <c r="E131" s="62"/>
      <c r="F131" s="11"/>
      <c r="G131" s="11"/>
      <c r="H131" s="10"/>
      <c r="I131" s="10" t="str">
        <f>IF(IFERROR(I130=Предпосылки!E181*I107*$I$104,I130=0),"")</f>
        <v/>
      </c>
      <c r="J131" s="10"/>
      <c r="K131" s="10"/>
      <c r="L131" s="170"/>
      <c r="M131" s="170"/>
      <c r="N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Z131" s="170"/>
      <c r="AA131" s="170"/>
      <c r="AB131" s="170"/>
      <c r="AC131" s="170"/>
      <c r="AD131" s="170"/>
      <c r="AE131" s="170"/>
      <c r="AF131" s="170"/>
      <c r="AG131" s="170"/>
      <c r="AH131" s="170"/>
      <c r="AI131" s="170"/>
      <c r="AJ131" s="170"/>
      <c r="AK131" s="170"/>
      <c r="AL131" s="170"/>
      <c r="AM131" s="170"/>
      <c r="AN131" s="170"/>
      <c r="AO131" s="170"/>
      <c r="AP131" s="170"/>
      <c r="AQ131" s="170"/>
      <c r="AR131" s="170"/>
      <c r="AS131" s="170"/>
      <c r="AT131" s="170"/>
      <c r="AU131" s="170"/>
      <c r="AV131" s="170"/>
      <c r="AW131" s="170"/>
      <c r="AX131" s="170"/>
      <c r="AY131" s="170"/>
      <c r="AZ131" s="170"/>
      <c r="BA131" s="170"/>
      <c r="BB131" s="170"/>
      <c r="BC131" s="170"/>
      <c r="BD131" s="170"/>
      <c r="BE131" s="170"/>
      <c r="BF131" s="170"/>
      <c r="BG131" s="170"/>
      <c r="BH131" s="170"/>
      <c r="BI131" s="170"/>
      <c r="BJ131" s="170"/>
      <c r="BK131" s="170"/>
      <c r="BL131" s="170"/>
      <c r="BM131" s="170"/>
      <c r="BN131" s="170"/>
      <c r="BO131" s="170"/>
      <c r="BP131" s="170"/>
      <c r="BQ131" s="170"/>
      <c r="BR131" s="170"/>
      <c r="BS131" s="170"/>
      <c r="BT131" s="170"/>
      <c r="BU131" s="170"/>
      <c r="BV131" s="170"/>
      <c r="BW131" s="170"/>
      <c r="BX131" s="170"/>
      <c r="BY131" s="170"/>
      <c r="BZ131" s="170"/>
      <c r="CA131" s="170"/>
      <c r="CB131" s="170"/>
      <c r="CC131" s="170"/>
      <c r="CD131" s="170"/>
      <c r="CE131" s="170"/>
      <c r="CF131" s="170"/>
      <c r="CG131" s="170"/>
      <c r="CH131" s="170"/>
      <c r="CI131" s="170"/>
      <c r="CJ131" s="170"/>
      <c r="CK131" s="170"/>
      <c r="CL131" s="170"/>
      <c r="CM131" s="170"/>
      <c r="CN131" s="170"/>
      <c r="CO131" s="170"/>
    </row>
    <row r="132" spans="1:93">
      <c r="A132" s="77"/>
      <c r="B132" s="168"/>
      <c r="C132" s="87" t="str">
        <f xml:space="preserve"> "Затраты на создание объектов " &amp; C33</f>
        <v>Затраты на создание объектов Коммунальная инфраструктура</v>
      </c>
      <c r="D132" s="10"/>
      <c r="E132" s="62"/>
      <c r="F132" s="11"/>
      <c r="G132" s="11"/>
      <c r="H132" s="10"/>
      <c r="I132" s="10"/>
      <c r="J132" s="10"/>
      <c r="K132" s="10"/>
      <c r="L132" s="170"/>
      <c r="M132" s="170"/>
      <c r="N132" s="170"/>
      <c r="O132" s="170"/>
      <c r="P132" s="170"/>
      <c r="Q132" s="170"/>
      <c r="R132" s="170"/>
      <c r="S132" s="170"/>
      <c r="T132" s="170"/>
      <c r="U132" s="170"/>
      <c r="V132" s="170"/>
      <c r="W132" s="170"/>
      <c r="X132" s="170"/>
      <c r="Y132" s="170"/>
      <c r="Z132" s="170"/>
      <c r="AA132" s="170"/>
      <c r="AB132" s="170"/>
      <c r="AC132" s="170"/>
      <c r="AD132" s="170"/>
      <c r="AE132" s="170"/>
      <c r="AF132" s="170"/>
      <c r="AG132" s="170"/>
      <c r="AH132" s="170"/>
      <c r="AI132" s="170"/>
      <c r="AJ132" s="170"/>
      <c r="AK132" s="170"/>
      <c r="AL132" s="170"/>
      <c r="AM132" s="170"/>
      <c r="AN132" s="170"/>
      <c r="AO132" s="170"/>
      <c r="AP132" s="170"/>
      <c r="AQ132" s="170"/>
      <c r="AR132" s="170"/>
      <c r="AS132" s="170"/>
      <c r="AT132" s="170"/>
      <c r="AU132" s="170"/>
      <c r="AV132" s="170"/>
      <c r="AW132" s="170"/>
      <c r="AX132" s="170"/>
      <c r="AY132" s="170"/>
      <c r="AZ132" s="170"/>
      <c r="BA132" s="170"/>
      <c r="BB132" s="170"/>
      <c r="BC132" s="170"/>
      <c r="BD132" s="170"/>
      <c r="BE132" s="170"/>
      <c r="BF132" s="170"/>
      <c r="BG132" s="170"/>
      <c r="BH132" s="170"/>
      <c r="BI132" s="170"/>
      <c r="BJ132" s="170"/>
      <c r="BK132" s="170"/>
      <c r="BL132" s="170"/>
      <c r="BM132" s="170"/>
      <c r="BN132" s="170"/>
      <c r="BO132" s="170"/>
      <c r="BP132" s="170"/>
      <c r="BQ132" s="170"/>
      <c r="BR132" s="170"/>
      <c r="BS132" s="170"/>
      <c r="BT132" s="170"/>
      <c r="BU132" s="170"/>
      <c r="BV132" s="170"/>
      <c r="BW132" s="170"/>
      <c r="BX132" s="170"/>
      <c r="BY132" s="170"/>
      <c r="BZ132" s="170"/>
      <c r="CA132" s="170"/>
      <c r="CB132" s="170"/>
      <c r="CC132" s="170"/>
      <c r="CD132" s="170"/>
      <c r="CE132" s="170"/>
      <c r="CF132" s="170"/>
      <c r="CG132" s="170"/>
      <c r="CH132" s="170"/>
      <c r="CI132" s="170"/>
      <c r="CJ132" s="170"/>
      <c r="CK132" s="170"/>
      <c r="CL132" s="170"/>
      <c r="CM132" s="170"/>
      <c r="CN132" s="170"/>
      <c r="CO132" s="170"/>
    </row>
    <row r="133" spans="1:93">
      <c r="A133" s="77"/>
      <c r="B133" s="168"/>
      <c r="C133" s="17" t="s">
        <v>630</v>
      </c>
      <c r="D133" s="10"/>
      <c r="E133" s="184">
        <f xml:space="preserve"> Предпосылки!E209 * $I$104 * $I$108</f>
        <v>0</v>
      </c>
      <c r="F133" s="11"/>
      <c r="G133" s="11" t="str">
        <f>Monetary_Unit</f>
        <v>тыс. руб.</v>
      </c>
      <c r="H133" s="10"/>
      <c r="I133" s="10"/>
      <c r="J133" s="10"/>
      <c r="K133" s="10"/>
      <c r="L133" s="171">
        <f xml:space="preserve"> Предпосылки!L216</f>
        <v>0</v>
      </c>
      <c r="M133" s="171">
        <f xml:space="preserve"> Предпосылки!M216</f>
        <v>0</v>
      </c>
      <c r="N133" s="171">
        <f xml:space="preserve"> Предпосылки!N216</f>
        <v>0</v>
      </c>
      <c r="O133" s="171">
        <f xml:space="preserve"> Предпосылки!O216</f>
        <v>0</v>
      </c>
      <c r="P133" s="171">
        <f xml:space="preserve"> Предпосылки!P216</f>
        <v>0</v>
      </c>
      <c r="Q133" s="171">
        <f xml:space="preserve"> Предпосылки!Q216</f>
        <v>0</v>
      </c>
      <c r="R133" s="171">
        <f xml:space="preserve"> Предпосылки!R216</f>
        <v>0</v>
      </c>
      <c r="S133" s="171">
        <f xml:space="preserve"> Предпосылки!S216</f>
        <v>0</v>
      </c>
      <c r="T133" s="171">
        <f xml:space="preserve"> Предпосылки!T216</f>
        <v>0</v>
      </c>
      <c r="U133" s="171">
        <f xml:space="preserve"> Предпосылки!U216</f>
        <v>0</v>
      </c>
      <c r="V133" s="171">
        <f xml:space="preserve"> Предпосылки!V216</f>
        <v>0</v>
      </c>
      <c r="W133" s="171">
        <f xml:space="preserve"> Предпосылки!W216</f>
        <v>0</v>
      </c>
      <c r="X133" s="171">
        <f xml:space="preserve"> Предпосылки!X216</f>
        <v>0</v>
      </c>
      <c r="Y133" s="171">
        <f xml:space="preserve"> Предпосылки!Y216</f>
        <v>0</v>
      </c>
      <c r="Z133" s="171">
        <f xml:space="preserve"> Предпосылки!Z216</f>
        <v>0</v>
      </c>
      <c r="AA133" s="171">
        <f xml:space="preserve"> Предпосылки!AA216</f>
        <v>0</v>
      </c>
      <c r="AB133" s="171">
        <f xml:space="preserve"> Предпосылки!AB216</f>
        <v>0</v>
      </c>
      <c r="AC133" s="171">
        <f xml:space="preserve"> Предпосылки!AC216</f>
        <v>0</v>
      </c>
      <c r="AD133" s="171">
        <f xml:space="preserve"> Предпосылки!AD216</f>
        <v>0</v>
      </c>
      <c r="AE133" s="171">
        <f xml:space="preserve"> Предпосылки!AE216</f>
        <v>0</v>
      </c>
      <c r="AF133" s="171">
        <f xml:space="preserve"> Предпосылки!AF216</f>
        <v>0</v>
      </c>
      <c r="AG133" s="171">
        <f xml:space="preserve"> Предпосылки!AG216</f>
        <v>0</v>
      </c>
      <c r="AH133" s="171">
        <f xml:space="preserve"> Предпосылки!AH216</f>
        <v>0</v>
      </c>
      <c r="AI133" s="171">
        <f xml:space="preserve"> Предпосылки!AI216</f>
        <v>0</v>
      </c>
      <c r="AJ133" s="171">
        <f xml:space="preserve"> Предпосылки!AJ216</f>
        <v>0</v>
      </c>
      <c r="AK133" s="171">
        <f xml:space="preserve"> Предпосылки!AK216</f>
        <v>0</v>
      </c>
      <c r="AL133" s="171">
        <f xml:space="preserve"> Предпосылки!AL216</f>
        <v>0</v>
      </c>
      <c r="AM133" s="171">
        <f xml:space="preserve"> Предпосылки!AM216</f>
        <v>0</v>
      </c>
      <c r="AN133" s="171">
        <f xml:space="preserve"> Предпосылки!AN216</f>
        <v>0</v>
      </c>
      <c r="AO133" s="171">
        <f xml:space="preserve"> Предпосылки!AO216</f>
        <v>0</v>
      </c>
      <c r="AP133" s="171">
        <f xml:space="preserve"> Предпосылки!AP216</f>
        <v>0</v>
      </c>
      <c r="AQ133" s="171">
        <f xml:space="preserve"> Предпосылки!AQ216</f>
        <v>0</v>
      </c>
      <c r="AR133" s="171">
        <f xml:space="preserve"> Предпосылки!AR216</f>
        <v>0</v>
      </c>
      <c r="AS133" s="171">
        <f xml:space="preserve"> Предпосылки!AS216</f>
        <v>0</v>
      </c>
      <c r="AT133" s="171">
        <f xml:space="preserve"> Предпосылки!AT216</f>
        <v>0</v>
      </c>
      <c r="AU133" s="171">
        <f xml:space="preserve"> Предпосылки!AU216</f>
        <v>0</v>
      </c>
      <c r="AV133" s="171">
        <f xml:space="preserve"> Предпосылки!AV216</f>
        <v>0</v>
      </c>
      <c r="AW133" s="171">
        <f xml:space="preserve"> Предпосылки!AW216</f>
        <v>0</v>
      </c>
      <c r="AX133" s="171">
        <f xml:space="preserve"> Предпосылки!AX216</f>
        <v>0</v>
      </c>
      <c r="AY133" s="171">
        <f xml:space="preserve"> Предпосылки!AY216</f>
        <v>0</v>
      </c>
      <c r="AZ133" s="171">
        <f xml:space="preserve"> Предпосылки!AZ216</f>
        <v>0</v>
      </c>
      <c r="BA133" s="171">
        <f xml:space="preserve"> Предпосылки!BA216</f>
        <v>0</v>
      </c>
      <c r="BB133" s="171">
        <f xml:space="preserve"> Предпосылки!BB216</f>
        <v>0</v>
      </c>
      <c r="BC133" s="171">
        <f xml:space="preserve"> Предпосылки!BC216</f>
        <v>0</v>
      </c>
      <c r="BD133" s="171">
        <f xml:space="preserve"> Предпосылки!BD216</f>
        <v>0</v>
      </c>
      <c r="BE133" s="171">
        <f xml:space="preserve"> Предпосылки!BE216</f>
        <v>0</v>
      </c>
      <c r="BF133" s="171">
        <f xml:space="preserve"> Предпосылки!BF216</f>
        <v>0</v>
      </c>
      <c r="BG133" s="171">
        <f xml:space="preserve"> Предпосылки!BG216</f>
        <v>0</v>
      </c>
      <c r="BH133" s="171">
        <f xml:space="preserve"> Предпосылки!BH216</f>
        <v>0</v>
      </c>
      <c r="BI133" s="171">
        <f xml:space="preserve"> Предпосылки!BI216</f>
        <v>0</v>
      </c>
      <c r="BJ133" s="171">
        <f xml:space="preserve"> Предпосылки!BJ216</f>
        <v>0</v>
      </c>
      <c r="BK133" s="171">
        <f xml:space="preserve"> Предпосылки!BK216</f>
        <v>0</v>
      </c>
      <c r="BL133" s="171">
        <f xml:space="preserve"> Предпосылки!BL216</f>
        <v>0</v>
      </c>
      <c r="BM133" s="171">
        <f xml:space="preserve"> Предпосылки!BM216</f>
        <v>0</v>
      </c>
      <c r="BN133" s="171">
        <f xml:space="preserve"> Предпосылки!BN216</f>
        <v>0</v>
      </c>
      <c r="BO133" s="171">
        <f xml:space="preserve"> Предпосылки!BO216</f>
        <v>0</v>
      </c>
      <c r="BP133" s="171">
        <f xml:space="preserve"> Предпосылки!BP216</f>
        <v>0</v>
      </c>
      <c r="BQ133" s="171">
        <f xml:space="preserve"> Предпосылки!BQ216</f>
        <v>0</v>
      </c>
      <c r="BR133" s="171">
        <f xml:space="preserve"> Предпосылки!BR216</f>
        <v>0</v>
      </c>
      <c r="BS133" s="171">
        <f xml:space="preserve"> Предпосылки!BS216</f>
        <v>0</v>
      </c>
      <c r="BT133" s="171">
        <f xml:space="preserve"> Предпосылки!BT216</f>
        <v>0</v>
      </c>
      <c r="BU133" s="171">
        <f xml:space="preserve"> Предпосылки!BU216</f>
        <v>0</v>
      </c>
      <c r="BV133" s="171">
        <f xml:space="preserve"> Предпосылки!BV216</f>
        <v>0</v>
      </c>
      <c r="BW133" s="171">
        <f xml:space="preserve"> Предпосылки!BW216</f>
        <v>0</v>
      </c>
      <c r="BX133" s="171">
        <f xml:space="preserve"> Предпосылки!BX216</f>
        <v>0</v>
      </c>
      <c r="BY133" s="171">
        <f xml:space="preserve"> Предпосылки!BY216</f>
        <v>0</v>
      </c>
      <c r="BZ133" s="171">
        <f xml:space="preserve"> Предпосылки!BZ216</f>
        <v>0</v>
      </c>
      <c r="CA133" s="171">
        <f xml:space="preserve"> Предпосылки!CA216</f>
        <v>0</v>
      </c>
      <c r="CB133" s="171">
        <f xml:space="preserve"> Предпосылки!CB216</f>
        <v>0</v>
      </c>
      <c r="CC133" s="171">
        <f xml:space="preserve"> Предпосылки!CC216</f>
        <v>0</v>
      </c>
      <c r="CD133" s="171">
        <f xml:space="preserve"> Предпосылки!CD216</f>
        <v>0</v>
      </c>
      <c r="CE133" s="171">
        <f xml:space="preserve"> Предпосылки!CE216</f>
        <v>0</v>
      </c>
      <c r="CF133" s="171">
        <f xml:space="preserve"> Предпосылки!CF216</f>
        <v>0</v>
      </c>
      <c r="CG133" s="171">
        <f xml:space="preserve"> Предпосылки!CG216</f>
        <v>0</v>
      </c>
      <c r="CH133" s="171">
        <f xml:space="preserve"> Предпосылки!CH216</f>
        <v>0</v>
      </c>
      <c r="CI133" s="171">
        <f xml:space="preserve"> Предпосылки!CI216</f>
        <v>0</v>
      </c>
      <c r="CJ133" s="171">
        <f xml:space="preserve"> Предпосылки!CJ216</f>
        <v>0</v>
      </c>
      <c r="CK133" s="171">
        <f xml:space="preserve"> Предпосылки!CK216</f>
        <v>0</v>
      </c>
      <c r="CL133" s="171">
        <f xml:space="preserve"> Предпосылки!CL216</f>
        <v>0</v>
      </c>
      <c r="CM133" s="171">
        <f xml:space="preserve"> Предпосылки!CM216</f>
        <v>0</v>
      </c>
      <c r="CN133" s="171">
        <f xml:space="preserve"> Предпосылки!CN216</f>
        <v>0</v>
      </c>
      <c r="CO133" s="171">
        <f xml:space="preserve"> Предпосылки!CO216</f>
        <v>0</v>
      </c>
    </row>
    <row r="134" spans="1:93">
      <c r="A134" s="77"/>
      <c r="B134" s="168"/>
      <c r="C134" s="17" t="s">
        <v>632</v>
      </c>
      <c r="D134" s="10"/>
      <c r="E134" s="184">
        <f xml:space="preserve"> Предпосылки!E210 * $I$104 * $I$108</f>
        <v>0</v>
      </c>
      <c r="F134" s="11"/>
      <c r="G134" s="11" t="str">
        <f>Monetary_Unit</f>
        <v>тыс. руб.</v>
      </c>
      <c r="H134" s="10"/>
      <c r="I134" s="10"/>
      <c r="J134" s="10"/>
      <c r="K134" s="10"/>
      <c r="L134" s="171">
        <f xml:space="preserve"> Предпосылки!L217</f>
        <v>0</v>
      </c>
      <c r="M134" s="171">
        <f xml:space="preserve"> Предпосылки!M217</f>
        <v>0</v>
      </c>
      <c r="N134" s="171">
        <f xml:space="preserve"> Предпосылки!N217</f>
        <v>0</v>
      </c>
      <c r="O134" s="171">
        <f xml:space="preserve"> Предпосылки!O217</f>
        <v>0</v>
      </c>
      <c r="P134" s="171">
        <f xml:space="preserve"> Предпосылки!P217</f>
        <v>0</v>
      </c>
      <c r="Q134" s="171">
        <f xml:space="preserve"> Предпосылки!Q217</f>
        <v>0</v>
      </c>
      <c r="R134" s="171">
        <f xml:space="preserve"> Предпосылки!R217</f>
        <v>0</v>
      </c>
      <c r="S134" s="171">
        <f xml:space="preserve"> Предпосылки!S217</f>
        <v>0</v>
      </c>
      <c r="T134" s="171">
        <f xml:space="preserve"> Предпосылки!T217</f>
        <v>0</v>
      </c>
      <c r="U134" s="171">
        <f xml:space="preserve"> Предпосылки!U217</f>
        <v>0</v>
      </c>
      <c r="V134" s="171">
        <f xml:space="preserve"> Предпосылки!V217</f>
        <v>0</v>
      </c>
      <c r="W134" s="171">
        <f xml:space="preserve"> Предпосылки!W217</f>
        <v>0</v>
      </c>
      <c r="X134" s="171">
        <f xml:space="preserve"> Предпосылки!X217</f>
        <v>0</v>
      </c>
      <c r="Y134" s="171">
        <f xml:space="preserve"> Предпосылки!Y217</f>
        <v>0</v>
      </c>
      <c r="Z134" s="171">
        <f xml:space="preserve"> Предпосылки!Z217</f>
        <v>0</v>
      </c>
      <c r="AA134" s="171">
        <f xml:space="preserve"> Предпосылки!AA217</f>
        <v>0</v>
      </c>
      <c r="AB134" s="171">
        <f xml:space="preserve"> Предпосылки!AB217</f>
        <v>0</v>
      </c>
      <c r="AC134" s="171">
        <f xml:space="preserve"> Предпосылки!AC217</f>
        <v>0</v>
      </c>
      <c r="AD134" s="171">
        <f xml:space="preserve"> Предпосылки!AD217</f>
        <v>0</v>
      </c>
      <c r="AE134" s="171">
        <f xml:space="preserve"> Предпосылки!AE217</f>
        <v>0</v>
      </c>
      <c r="AF134" s="171">
        <f xml:space="preserve"> Предпосылки!AF217</f>
        <v>0</v>
      </c>
      <c r="AG134" s="171">
        <f xml:space="preserve"> Предпосылки!AG217</f>
        <v>0</v>
      </c>
      <c r="AH134" s="171">
        <f xml:space="preserve"> Предпосылки!AH217</f>
        <v>0</v>
      </c>
      <c r="AI134" s="171">
        <f xml:space="preserve"> Предпосылки!AI217</f>
        <v>0</v>
      </c>
      <c r="AJ134" s="171">
        <f xml:space="preserve"> Предпосылки!AJ217</f>
        <v>0</v>
      </c>
      <c r="AK134" s="171">
        <f xml:space="preserve"> Предпосылки!AK217</f>
        <v>0</v>
      </c>
      <c r="AL134" s="171">
        <f xml:space="preserve"> Предпосылки!AL217</f>
        <v>0</v>
      </c>
      <c r="AM134" s="171">
        <f xml:space="preserve"> Предпосылки!AM217</f>
        <v>0</v>
      </c>
      <c r="AN134" s="171">
        <f xml:space="preserve"> Предпосылки!AN217</f>
        <v>0</v>
      </c>
      <c r="AO134" s="171">
        <f xml:space="preserve"> Предпосылки!AO217</f>
        <v>0</v>
      </c>
      <c r="AP134" s="171">
        <f xml:space="preserve"> Предпосылки!AP217</f>
        <v>0</v>
      </c>
      <c r="AQ134" s="171">
        <f xml:space="preserve"> Предпосылки!AQ217</f>
        <v>0</v>
      </c>
      <c r="AR134" s="171">
        <f xml:space="preserve"> Предпосылки!AR217</f>
        <v>0</v>
      </c>
      <c r="AS134" s="171">
        <f xml:space="preserve"> Предпосылки!AS217</f>
        <v>0</v>
      </c>
      <c r="AT134" s="171">
        <f xml:space="preserve"> Предпосылки!AT217</f>
        <v>0</v>
      </c>
      <c r="AU134" s="171">
        <f xml:space="preserve"> Предпосылки!AU217</f>
        <v>0</v>
      </c>
      <c r="AV134" s="171">
        <f xml:space="preserve"> Предпосылки!AV217</f>
        <v>0</v>
      </c>
      <c r="AW134" s="171">
        <f xml:space="preserve"> Предпосылки!AW217</f>
        <v>0</v>
      </c>
      <c r="AX134" s="171">
        <f xml:space="preserve"> Предпосылки!AX217</f>
        <v>0</v>
      </c>
      <c r="AY134" s="171">
        <f xml:space="preserve"> Предпосылки!AY217</f>
        <v>0</v>
      </c>
      <c r="AZ134" s="171">
        <f xml:space="preserve"> Предпосылки!AZ217</f>
        <v>0</v>
      </c>
      <c r="BA134" s="171">
        <f xml:space="preserve"> Предпосылки!BA217</f>
        <v>0</v>
      </c>
      <c r="BB134" s="171">
        <f xml:space="preserve"> Предпосылки!BB217</f>
        <v>0</v>
      </c>
      <c r="BC134" s="171">
        <f xml:space="preserve"> Предпосылки!BC217</f>
        <v>0</v>
      </c>
      <c r="BD134" s="171">
        <f xml:space="preserve"> Предпосылки!BD217</f>
        <v>0</v>
      </c>
      <c r="BE134" s="171">
        <f xml:space="preserve"> Предпосылки!BE217</f>
        <v>0</v>
      </c>
      <c r="BF134" s="171">
        <f xml:space="preserve"> Предпосылки!BF217</f>
        <v>0</v>
      </c>
      <c r="BG134" s="171">
        <f xml:space="preserve"> Предпосылки!BG217</f>
        <v>0</v>
      </c>
      <c r="BH134" s="171">
        <f xml:space="preserve"> Предпосылки!BH217</f>
        <v>0</v>
      </c>
      <c r="BI134" s="171">
        <f xml:space="preserve"> Предпосылки!BI217</f>
        <v>0</v>
      </c>
      <c r="BJ134" s="171">
        <f xml:space="preserve"> Предпосылки!BJ217</f>
        <v>0</v>
      </c>
      <c r="BK134" s="171">
        <f xml:space="preserve"> Предпосылки!BK217</f>
        <v>0</v>
      </c>
      <c r="BL134" s="171">
        <f xml:space="preserve"> Предпосылки!BL217</f>
        <v>0</v>
      </c>
      <c r="BM134" s="171">
        <f xml:space="preserve"> Предпосылки!BM217</f>
        <v>0</v>
      </c>
      <c r="BN134" s="171">
        <f xml:space="preserve"> Предпосылки!BN217</f>
        <v>0</v>
      </c>
      <c r="BO134" s="171">
        <f xml:space="preserve"> Предпосылки!BO217</f>
        <v>0</v>
      </c>
      <c r="BP134" s="171">
        <f xml:space="preserve"> Предпосылки!BP217</f>
        <v>0</v>
      </c>
      <c r="BQ134" s="171">
        <f xml:space="preserve"> Предпосылки!BQ217</f>
        <v>0</v>
      </c>
      <c r="BR134" s="171">
        <f xml:space="preserve"> Предпосылки!BR217</f>
        <v>0</v>
      </c>
      <c r="BS134" s="171">
        <f xml:space="preserve"> Предпосылки!BS217</f>
        <v>0</v>
      </c>
      <c r="BT134" s="171">
        <f xml:space="preserve"> Предпосылки!BT217</f>
        <v>0</v>
      </c>
      <c r="BU134" s="171">
        <f xml:space="preserve"> Предпосылки!BU217</f>
        <v>0</v>
      </c>
      <c r="BV134" s="171">
        <f xml:space="preserve"> Предпосылки!BV217</f>
        <v>0</v>
      </c>
      <c r="BW134" s="171">
        <f xml:space="preserve"> Предпосылки!BW217</f>
        <v>0</v>
      </c>
      <c r="BX134" s="171">
        <f xml:space="preserve"> Предпосылки!BX217</f>
        <v>0</v>
      </c>
      <c r="BY134" s="171">
        <f xml:space="preserve"> Предпосылки!BY217</f>
        <v>0</v>
      </c>
      <c r="BZ134" s="171">
        <f xml:space="preserve"> Предпосылки!BZ217</f>
        <v>0</v>
      </c>
      <c r="CA134" s="171">
        <f xml:space="preserve"> Предпосылки!CA217</f>
        <v>0</v>
      </c>
      <c r="CB134" s="171">
        <f xml:space="preserve"> Предпосылки!CB217</f>
        <v>0</v>
      </c>
      <c r="CC134" s="171">
        <f xml:space="preserve"> Предпосылки!CC217</f>
        <v>0</v>
      </c>
      <c r="CD134" s="171">
        <f xml:space="preserve"> Предпосылки!CD217</f>
        <v>0</v>
      </c>
      <c r="CE134" s="171">
        <f xml:space="preserve"> Предпосылки!CE217</f>
        <v>0</v>
      </c>
      <c r="CF134" s="171">
        <f xml:space="preserve"> Предпосылки!CF217</f>
        <v>0</v>
      </c>
      <c r="CG134" s="171">
        <f xml:space="preserve"> Предпосылки!CG217</f>
        <v>0</v>
      </c>
      <c r="CH134" s="171">
        <f xml:space="preserve"> Предпосылки!CH217</f>
        <v>0</v>
      </c>
      <c r="CI134" s="171">
        <f xml:space="preserve"> Предпосылки!CI217</f>
        <v>0</v>
      </c>
      <c r="CJ134" s="171">
        <f xml:space="preserve"> Предпосылки!CJ217</f>
        <v>0</v>
      </c>
      <c r="CK134" s="171">
        <f xml:space="preserve"> Предпосылки!CK217</f>
        <v>0</v>
      </c>
      <c r="CL134" s="171">
        <f xml:space="preserve"> Предпосылки!CL217</f>
        <v>0</v>
      </c>
      <c r="CM134" s="171">
        <f xml:space="preserve"> Предпосылки!CM217</f>
        <v>0</v>
      </c>
      <c r="CN134" s="171">
        <f xml:space="preserve"> Предпосылки!CN217</f>
        <v>0</v>
      </c>
      <c r="CO134" s="171">
        <f xml:space="preserve"> Предпосылки!CO217</f>
        <v>0</v>
      </c>
    </row>
    <row r="135" spans="1:93">
      <c r="A135" s="77"/>
      <c r="B135" s="168"/>
      <c r="C135" s="17" t="s">
        <v>821</v>
      </c>
      <c r="D135" s="10"/>
      <c r="E135" s="184">
        <f xml:space="preserve"> Предпосылки!E211 * $I$104 * $I$108</f>
        <v>0</v>
      </c>
      <c r="F135" s="11"/>
      <c r="G135" s="11" t="str">
        <f>Monetary_Unit</f>
        <v>тыс. руб.</v>
      </c>
      <c r="H135" s="10"/>
      <c r="I135" s="10"/>
      <c r="J135" s="10"/>
      <c r="K135" s="10"/>
      <c r="L135" s="171">
        <f xml:space="preserve"> Предпосылки!L218</f>
        <v>0</v>
      </c>
      <c r="M135" s="171">
        <f xml:space="preserve"> Предпосылки!M218</f>
        <v>0</v>
      </c>
      <c r="N135" s="171">
        <f xml:space="preserve"> Предпосылки!N218</f>
        <v>0</v>
      </c>
      <c r="O135" s="171">
        <f xml:space="preserve"> Предпосылки!O218</f>
        <v>0</v>
      </c>
      <c r="P135" s="171">
        <f xml:space="preserve"> Предпосылки!P218</f>
        <v>0</v>
      </c>
      <c r="Q135" s="171">
        <f xml:space="preserve"> Предпосылки!Q218</f>
        <v>0</v>
      </c>
      <c r="R135" s="171">
        <f xml:space="preserve"> Предпосылки!R218</f>
        <v>0</v>
      </c>
      <c r="S135" s="171">
        <f xml:space="preserve"> Предпосылки!S218</f>
        <v>0</v>
      </c>
      <c r="T135" s="171">
        <f xml:space="preserve"> Предпосылки!T218</f>
        <v>0</v>
      </c>
      <c r="U135" s="171">
        <f xml:space="preserve"> Предпосылки!U218</f>
        <v>0</v>
      </c>
      <c r="V135" s="171">
        <f xml:space="preserve"> Предпосылки!V218</f>
        <v>0</v>
      </c>
      <c r="W135" s="171">
        <f xml:space="preserve"> Предпосылки!W218</f>
        <v>0</v>
      </c>
      <c r="X135" s="171">
        <f xml:space="preserve"> Предпосылки!X218</f>
        <v>0</v>
      </c>
      <c r="Y135" s="171">
        <f xml:space="preserve"> Предпосылки!Y218</f>
        <v>0</v>
      </c>
      <c r="Z135" s="171">
        <f xml:space="preserve"> Предпосылки!Z218</f>
        <v>0</v>
      </c>
      <c r="AA135" s="171">
        <f xml:space="preserve"> Предпосылки!AA218</f>
        <v>0</v>
      </c>
      <c r="AB135" s="171">
        <f xml:space="preserve"> Предпосылки!AB218</f>
        <v>0</v>
      </c>
      <c r="AC135" s="171">
        <f xml:space="preserve"> Предпосылки!AC218</f>
        <v>0</v>
      </c>
      <c r="AD135" s="171">
        <f xml:space="preserve"> Предпосылки!AD218</f>
        <v>0</v>
      </c>
      <c r="AE135" s="171">
        <f xml:space="preserve"> Предпосылки!AE218</f>
        <v>0</v>
      </c>
      <c r="AF135" s="171">
        <f xml:space="preserve"> Предпосылки!AF218</f>
        <v>0</v>
      </c>
      <c r="AG135" s="171">
        <f xml:space="preserve"> Предпосылки!AG218</f>
        <v>0</v>
      </c>
      <c r="AH135" s="171">
        <f xml:space="preserve"> Предпосылки!AH218</f>
        <v>0</v>
      </c>
      <c r="AI135" s="171">
        <f xml:space="preserve"> Предпосылки!AI218</f>
        <v>0</v>
      </c>
      <c r="AJ135" s="171">
        <f xml:space="preserve"> Предпосылки!AJ218</f>
        <v>0</v>
      </c>
      <c r="AK135" s="171">
        <f xml:space="preserve"> Предпосылки!AK218</f>
        <v>0</v>
      </c>
      <c r="AL135" s="171">
        <f xml:space="preserve"> Предпосылки!AL218</f>
        <v>0</v>
      </c>
      <c r="AM135" s="171">
        <f xml:space="preserve"> Предпосылки!AM218</f>
        <v>0</v>
      </c>
      <c r="AN135" s="171">
        <f xml:space="preserve"> Предпосылки!AN218</f>
        <v>0</v>
      </c>
      <c r="AO135" s="171">
        <f xml:space="preserve"> Предпосылки!AO218</f>
        <v>0</v>
      </c>
      <c r="AP135" s="171">
        <f xml:space="preserve"> Предпосылки!AP218</f>
        <v>0</v>
      </c>
      <c r="AQ135" s="171">
        <f xml:space="preserve"> Предпосылки!AQ218</f>
        <v>0</v>
      </c>
      <c r="AR135" s="171">
        <f xml:space="preserve"> Предпосылки!AR218</f>
        <v>0</v>
      </c>
      <c r="AS135" s="171">
        <f xml:space="preserve"> Предпосылки!AS218</f>
        <v>0</v>
      </c>
      <c r="AT135" s="171">
        <f xml:space="preserve"> Предпосылки!AT218</f>
        <v>0</v>
      </c>
      <c r="AU135" s="171">
        <f xml:space="preserve"> Предпосылки!AU218</f>
        <v>0</v>
      </c>
      <c r="AV135" s="171">
        <f xml:space="preserve"> Предпосылки!AV218</f>
        <v>0</v>
      </c>
      <c r="AW135" s="171">
        <f xml:space="preserve"> Предпосылки!AW218</f>
        <v>0</v>
      </c>
      <c r="AX135" s="171">
        <f xml:space="preserve"> Предпосылки!AX218</f>
        <v>0</v>
      </c>
      <c r="AY135" s="171">
        <f xml:space="preserve"> Предпосылки!AY218</f>
        <v>0</v>
      </c>
      <c r="AZ135" s="171">
        <f xml:space="preserve"> Предпосылки!AZ218</f>
        <v>0</v>
      </c>
      <c r="BA135" s="171">
        <f xml:space="preserve"> Предпосылки!BA218</f>
        <v>0</v>
      </c>
      <c r="BB135" s="171">
        <f xml:space="preserve"> Предпосылки!BB218</f>
        <v>0</v>
      </c>
      <c r="BC135" s="171">
        <f xml:space="preserve"> Предпосылки!BC218</f>
        <v>0</v>
      </c>
      <c r="BD135" s="171">
        <f xml:space="preserve"> Предпосылки!BD218</f>
        <v>0</v>
      </c>
      <c r="BE135" s="171">
        <f xml:space="preserve"> Предпосылки!BE218</f>
        <v>0</v>
      </c>
      <c r="BF135" s="171">
        <f xml:space="preserve"> Предпосылки!BF218</f>
        <v>0</v>
      </c>
      <c r="BG135" s="171">
        <f xml:space="preserve"> Предпосылки!BG218</f>
        <v>0</v>
      </c>
      <c r="BH135" s="171">
        <f xml:space="preserve"> Предпосылки!BH218</f>
        <v>0</v>
      </c>
      <c r="BI135" s="171">
        <f xml:space="preserve"> Предпосылки!BI218</f>
        <v>0</v>
      </c>
      <c r="BJ135" s="171">
        <f xml:space="preserve"> Предпосылки!BJ218</f>
        <v>0</v>
      </c>
      <c r="BK135" s="171">
        <f xml:space="preserve"> Предпосылки!BK218</f>
        <v>0</v>
      </c>
      <c r="BL135" s="171">
        <f xml:space="preserve"> Предпосылки!BL218</f>
        <v>0</v>
      </c>
      <c r="BM135" s="171">
        <f xml:space="preserve"> Предпосылки!BM218</f>
        <v>0</v>
      </c>
      <c r="BN135" s="171">
        <f xml:space="preserve"> Предпосылки!BN218</f>
        <v>0</v>
      </c>
      <c r="BO135" s="171">
        <f xml:space="preserve"> Предпосылки!BO218</f>
        <v>0</v>
      </c>
      <c r="BP135" s="171">
        <f xml:space="preserve"> Предпосылки!BP218</f>
        <v>0</v>
      </c>
      <c r="BQ135" s="171">
        <f xml:space="preserve"> Предпосылки!BQ218</f>
        <v>0</v>
      </c>
      <c r="BR135" s="171">
        <f xml:space="preserve"> Предпосылки!BR218</f>
        <v>0</v>
      </c>
      <c r="BS135" s="171">
        <f xml:space="preserve"> Предпосылки!BS218</f>
        <v>0</v>
      </c>
      <c r="BT135" s="171">
        <f xml:space="preserve"> Предпосылки!BT218</f>
        <v>0</v>
      </c>
      <c r="BU135" s="171">
        <f xml:space="preserve"> Предпосылки!BU218</f>
        <v>0</v>
      </c>
      <c r="BV135" s="171">
        <f xml:space="preserve"> Предпосылки!BV218</f>
        <v>0</v>
      </c>
      <c r="BW135" s="171">
        <f xml:space="preserve"> Предпосылки!BW218</f>
        <v>0</v>
      </c>
      <c r="BX135" s="171">
        <f xml:space="preserve"> Предпосылки!BX218</f>
        <v>0</v>
      </c>
      <c r="BY135" s="171">
        <f xml:space="preserve"> Предпосылки!BY218</f>
        <v>0</v>
      </c>
      <c r="BZ135" s="171">
        <f xml:space="preserve"> Предпосылки!BZ218</f>
        <v>0</v>
      </c>
      <c r="CA135" s="171">
        <f xml:space="preserve"> Предпосылки!CA218</f>
        <v>0</v>
      </c>
      <c r="CB135" s="171">
        <f xml:space="preserve"> Предпосылки!CB218</f>
        <v>0</v>
      </c>
      <c r="CC135" s="171">
        <f xml:space="preserve"> Предпосылки!CC218</f>
        <v>0</v>
      </c>
      <c r="CD135" s="171">
        <f xml:space="preserve"> Предпосылки!CD218</f>
        <v>0</v>
      </c>
      <c r="CE135" s="171">
        <f xml:space="preserve"> Предпосылки!CE218</f>
        <v>0</v>
      </c>
      <c r="CF135" s="171">
        <f xml:space="preserve"> Предпосылки!CF218</f>
        <v>0</v>
      </c>
      <c r="CG135" s="171">
        <f xml:space="preserve"> Предпосылки!CG218</f>
        <v>0</v>
      </c>
      <c r="CH135" s="171">
        <f xml:space="preserve"> Предпосылки!CH218</f>
        <v>0</v>
      </c>
      <c r="CI135" s="171">
        <f xml:space="preserve"> Предпосылки!CI218</f>
        <v>0</v>
      </c>
      <c r="CJ135" s="171">
        <f xml:space="preserve"> Предпосылки!CJ218</f>
        <v>0</v>
      </c>
      <c r="CK135" s="171">
        <f xml:space="preserve"> Предпосылки!CK218</f>
        <v>0</v>
      </c>
      <c r="CL135" s="171">
        <f xml:space="preserve"> Предпосылки!CL218</f>
        <v>0</v>
      </c>
      <c r="CM135" s="171">
        <f xml:space="preserve"> Предпосылки!CM218</f>
        <v>0</v>
      </c>
      <c r="CN135" s="171">
        <f xml:space="preserve"> Предпосылки!CN218</f>
        <v>0</v>
      </c>
      <c r="CO135" s="171">
        <f xml:space="preserve"> Предпосылки!CO218</f>
        <v>0</v>
      </c>
    </row>
    <row r="136" spans="1:93">
      <c r="A136" s="77"/>
      <c r="B136" s="168"/>
      <c r="C136" s="17" t="s">
        <v>797</v>
      </c>
      <c r="D136" s="10"/>
      <c r="E136" s="232">
        <f xml:space="preserve"> Предпосылки!E206</f>
        <v>0</v>
      </c>
      <c r="F136" s="11"/>
      <c r="G136" s="11" t="s">
        <v>625</v>
      </c>
      <c r="H136" s="10"/>
      <c r="I136" s="10"/>
      <c r="J136" s="10"/>
      <c r="K136" s="10"/>
      <c r="L136" s="170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  <c r="Z136" s="170"/>
      <c r="AA136" s="170"/>
      <c r="AB136" s="170"/>
      <c r="AC136" s="170"/>
      <c r="AD136" s="170"/>
      <c r="AE136" s="170"/>
      <c r="AF136" s="170"/>
      <c r="AG136" s="170"/>
      <c r="AH136" s="170"/>
      <c r="AI136" s="170"/>
      <c r="AJ136" s="170"/>
      <c r="AK136" s="170"/>
      <c r="AL136" s="170"/>
      <c r="AM136" s="170"/>
      <c r="AN136" s="170"/>
      <c r="AO136" s="170"/>
      <c r="AP136" s="170"/>
      <c r="AQ136" s="170"/>
      <c r="AR136" s="170"/>
      <c r="AS136" s="170"/>
      <c r="AT136" s="170"/>
      <c r="AU136" s="170"/>
      <c r="AV136" s="170"/>
      <c r="AW136" s="170"/>
      <c r="AX136" s="170"/>
      <c r="AY136" s="170"/>
      <c r="AZ136" s="170"/>
      <c r="BA136" s="170"/>
      <c r="BB136" s="170"/>
      <c r="BC136" s="170"/>
      <c r="BD136" s="170"/>
      <c r="BE136" s="170"/>
      <c r="BF136" s="170"/>
      <c r="BG136" s="170"/>
      <c r="BH136" s="170"/>
      <c r="BI136" s="170"/>
      <c r="BJ136" s="170"/>
      <c r="BK136" s="170"/>
      <c r="BL136" s="170"/>
      <c r="BM136" s="170"/>
      <c r="BN136" s="170"/>
      <c r="BO136" s="170"/>
      <c r="BP136" s="170"/>
      <c r="BQ136" s="170"/>
      <c r="BR136" s="170"/>
      <c r="BS136" s="170"/>
      <c r="BT136" s="170"/>
      <c r="BU136" s="170"/>
      <c r="BV136" s="170"/>
      <c r="BW136" s="170"/>
      <c r="BX136" s="170"/>
      <c r="BY136" s="170"/>
      <c r="BZ136" s="170"/>
      <c r="CA136" s="170"/>
      <c r="CB136" s="170"/>
      <c r="CC136" s="170"/>
      <c r="CD136" s="170"/>
      <c r="CE136" s="170"/>
      <c r="CF136" s="170"/>
      <c r="CG136" s="170"/>
      <c r="CH136" s="170"/>
      <c r="CI136" s="170"/>
      <c r="CJ136" s="170"/>
      <c r="CK136" s="170"/>
      <c r="CL136" s="170"/>
      <c r="CM136" s="170"/>
      <c r="CN136" s="170"/>
      <c r="CO136" s="170"/>
    </row>
    <row r="137" spans="1:93">
      <c r="A137" s="77"/>
      <c r="B137" s="168"/>
      <c r="C137" s="169"/>
      <c r="D137" s="10"/>
      <c r="E137" s="62"/>
      <c r="F137" s="11"/>
      <c r="G137" s="11"/>
      <c r="H137" s="10"/>
      <c r="I137" s="10"/>
      <c r="J137" s="10"/>
      <c r="K137" s="1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  <c r="AP137" s="170"/>
      <c r="AQ137" s="170"/>
      <c r="AR137" s="170"/>
      <c r="AS137" s="170"/>
      <c r="AT137" s="170"/>
      <c r="AU137" s="170"/>
      <c r="AV137" s="170"/>
      <c r="AW137" s="170"/>
      <c r="AX137" s="170"/>
      <c r="AY137" s="170"/>
      <c r="AZ137" s="170"/>
      <c r="BA137" s="170"/>
      <c r="BB137" s="170"/>
      <c r="BC137" s="170"/>
      <c r="BD137" s="170"/>
      <c r="BE137" s="170"/>
      <c r="BF137" s="170"/>
      <c r="BG137" s="170"/>
      <c r="BH137" s="170"/>
      <c r="BI137" s="170"/>
      <c r="BJ137" s="170"/>
      <c r="BK137" s="170"/>
      <c r="BL137" s="170"/>
      <c r="BM137" s="170"/>
      <c r="BN137" s="170"/>
      <c r="BO137" s="170"/>
      <c r="BP137" s="170"/>
      <c r="BQ137" s="170"/>
      <c r="BR137" s="170"/>
      <c r="BS137" s="170"/>
      <c r="BT137" s="170"/>
      <c r="BU137" s="170"/>
      <c r="BV137" s="170"/>
      <c r="BW137" s="170"/>
      <c r="BX137" s="170"/>
      <c r="BY137" s="170"/>
      <c r="BZ137" s="170"/>
      <c r="CA137" s="170"/>
      <c r="CB137" s="170"/>
      <c r="CC137" s="170"/>
      <c r="CD137" s="170"/>
      <c r="CE137" s="170"/>
      <c r="CF137" s="170"/>
      <c r="CG137" s="170"/>
      <c r="CH137" s="170"/>
      <c r="CI137" s="170"/>
      <c r="CJ137" s="170"/>
      <c r="CK137" s="170"/>
      <c r="CL137" s="170"/>
      <c r="CM137" s="170"/>
      <c r="CN137" s="170"/>
      <c r="CO137" s="170"/>
    </row>
    <row r="138" spans="1:93">
      <c r="A138" s="77"/>
      <c r="B138" s="168"/>
      <c r="C138" s="17" t="s">
        <v>630</v>
      </c>
      <c r="D138" s="10"/>
      <c r="E138" s="62"/>
      <c r="F138" s="11"/>
      <c r="G138" s="11" t="str">
        <f>Monetary_Unit</f>
        <v>тыс. руб.</v>
      </c>
      <c r="H138" s="10"/>
      <c r="I138" s="23">
        <f>SUM(L138:CO138)</f>
        <v>0</v>
      </c>
      <c r="J138" s="10"/>
      <c r="K138" s="10"/>
      <c r="L138" s="10">
        <f t="shared" ref="L138:R138" si="223" xml:space="preserve"> $E133 * L133</f>
        <v>0</v>
      </c>
      <c r="M138" s="10">
        <f t="shared" si="223"/>
        <v>0</v>
      </c>
      <c r="N138" s="10">
        <f t="shared" si="223"/>
        <v>0</v>
      </c>
      <c r="O138" s="10">
        <f t="shared" si="223"/>
        <v>0</v>
      </c>
      <c r="P138" s="10">
        <f t="shared" si="223"/>
        <v>0</v>
      </c>
      <c r="Q138" s="10">
        <f t="shared" si="223"/>
        <v>0</v>
      </c>
      <c r="R138" s="10">
        <f t="shared" si="223"/>
        <v>0</v>
      </c>
      <c r="S138" s="10">
        <f xml:space="preserve"> $E133 * S133</f>
        <v>0</v>
      </c>
      <c r="T138" s="10">
        <f t="shared" ref="T138:CE138" si="224" xml:space="preserve"> $E133 * T133</f>
        <v>0</v>
      </c>
      <c r="U138" s="10">
        <f t="shared" si="224"/>
        <v>0</v>
      </c>
      <c r="V138" s="10">
        <f t="shared" si="224"/>
        <v>0</v>
      </c>
      <c r="W138" s="10">
        <f t="shared" si="224"/>
        <v>0</v>
      </c>
      <c r="X138" s="10">
        <f t="shared" si="224"/>
        <v>0</v>
      </c>
      <c r="Y138" s="10">
        <f t="shared" si="224"/>
        <v>0</v>
      </c>
      <c r="Z138" s="10">
        <f t="shared" si="224"/>
        <v>0</v>
      </c>
      <c r="AA138" s="10">
        <f t="shared" si="224"/>
        <v>0</v>
      </c>
      <c r="AB138" s="10">
        <f t="shared" si="224"/>
        <v>0</v>
      </c>
      <c r="AC138" s="10">
        <f t="shared" si="224"/>
        <v>0</v>
      </c>
      <c r="AD138" s="10">
        <f t="shared" si="224"/>
        <v>0</v>
      </c>
      <c r="AE138" s="10">
        <f t="shared" si="224"/>
        <v>0</v>
      </c>
      <c r="AF138" s="10">
        <f t="shared" si="224"/>
        <v>0</v>
      </c>
      <c r="AG138" s="10">
        <f t="shared" si="224"/>
        <v>0</v>
      </c>
      <c r="AH138" s="10">
        <f t="shared" si="224"/>
        <v>0</v>
      </c>
      <c r="AI138" s="10">
        <f t="shared" si="224"/>
        <v>0</v>
      </c>
      <c r="AJ138" s="10">
        <f t="shared" si="224"/>
        <v>0</v>
      </c>
      <c r="AK138" s="10">
        <f t="shared" si="224"/>
        <v>0</v>
      </c>
      <c r="AL138" s="10">
        <f t="shared" si="224"/>
        <v>0</v>
      </c>
      <c r="AM138" s="10">
        <f t="shared" si="224"/>
        <v>0</v>
      </c>
      <c r="AN138" s="10">
        <f t="shared" si="224"/>
        <v>0</v>
      </c>
      <c r="AO138" s="10">
        <f t="shared" si="224"/>
        <v>0</v>
      </c>
      <c r="AP138" s="10">
        <f t="shared" si="224"/>
        <v>0</v>
      </c>
      <c r="AQ138" s="10">
        <f t="shared" si="224"/>
        <v>0</v>
      </c>
      <c r="AR138" s="10">
        <f t="shared" si="224"/>
        <v>0</v>
      </c>
      <c r="AS138" s="10">
        <f t="shared" si="224"/>
        <v>0</v>
      </c>
      <c r="AT138" s="10">
        <f t="shared" si="224"/>
        <v>0</v>
      </c>
      <c r="AU138" s="10">
        <f t="shared" si="224"/>
        <v>0</v>
      </c>
      <c r="AV138" s="10">
        <f t="shared" si="224"/>
        <v>0</v>
      </c>
      <c r="AW138" s="10">
        <f t="shared" si="224"/>
        <v>0</v>
      </c>
      <c r="AX138" s="10">
        <f t="shared" si="224"/>
        <v>0</v>
      </c>
      <c r="AY138" s="10">
        <f t="shared" si="224"/>
        <v>0</v>
      </c>
      <c r="AZ138" s="10">
        <f t="shared" si="224"/>
        <v>0</v>
      </c>
      <c r="BA138" s="10">
        <f t="shared" si="224"/>
        <v>0</v>
      </c>
      <c r="BB138" s="10">
        <f t="shared" si="224"/>
        <v>0</v>
      </c>
      <c r="BC138" s="10">
        <f t="shared" si="224"/>
        <v>0</v>
      </c>
      <c r="BD138" s="10">
        <f t="shared" si="224"/>
        <v>0</v>
      </c>
      <c r="BE138" s="10">
        <f t="shared" si="224"/>
        <v>0</v>
      </c>
      <c r="BF138" s="10">
        <f t="shared" si="224"/>
        <v>0</v>
      </c>
      <c r="BG138" s="10">
        <f t="shared" si="224"/>
        <v>0</v>
      </c>
      <c r="BH138" s="10">
        <f t="shared" si="224"/>
        <v>0</v>
      </c>
      <c r="BI138" s="10">
        <f t="shared" si="224"/>
        <v>0</v>
      </c>
      <c r="BJ138" s="10">
        <f t="shared" si="224"/>
        <v>0</v>
      </c>
      <c r="BK138" s="10">
        <f t="shared" si="224"/>
        <v>0</v>
      </c>
      <c r="BL138" s="10">
        <f t="shared" si="224"/>
        <v>0</v>
      </c>
      <c r="BM138" s="10">
        <f t="shared" si="224"/>
        <v>0</v>
      </c>
      <c r="BN138" s="10">
        <f t="shared" si="224"/>
        <v>0</v>
      </c>
      <c r="BO138" s="10">
        <f t="shared" si="224"/>
        <v>0</v>
      </c>
      <c r="BP138" s="10">
        <f t="shared" si="224"/>
        <v>0</v>
      </c>
      <c r="BQ138" s="10">
        <f t="shared" si="224"/>
        <v>0</v>
      </c>
      <c r="BR138" s="10">
        <f t="shared" si="224"/>
        <v>0</v>
      </c>
      <c r="BS138" s="10">
        <f t="shared" si="224"/>
        <v>0</v>
      </c>
      <c r="BT138" s="10">
        <f t="shared" si="224"/>
        <v>0</v>
      </c>
      <c r="BU138" s="10">
        <f t="shared" si="224"/>
        <v>0</v>
      </c>
      <c r="BV138" s="10">
        <f t="shared" si="224"/>
        <v>0</v>
      </c>
      <c r="BW138" s="10">
        <f t="shared" si="224"/>
        <v>0</v>
      </c>
      <c r="BX138" s="10">
        <f t="shared" si="224"/>
        <v>0</v>
      </c>
      <c r="BY138" s="10">
        <f t="shared" si="224"/>
        <v>0</v>
      </c>
      <c r="BZ138" s="10">
        <f t="shared" si="224"/>
        <v>0</v>
      </c>
      <c r="CA138" s="10">
        <f t="shared" si="224"/>
        <v>0</v>
      </c>
      <c r="CB138" s="10">
        <f t="shared" si="224"/>
        <v>0</v>
      </c>
      <c r="CC138" s="10">
        <f t="shared" si="224"/>
        <v>0</v>
      </c>
      <c r="CD138" s="10">
        <f t="shared" si="224"/>
        <v>0</v>
      </c>
      <c r="CE138" s="10">
        <f t="shared" si="224"/>
        <v>0</v>
      </c>
      <c r="CF138" s="10">
        <f t="shared" ref="CF138:CO138" si="225" xml:space="preserve"> $E133 * CF133</f>
        <v>0</v>
      </c>
      <c r="CG138" s="10">
        <f t="shared" si="225"/>
        <v>0</v>
      </c>
      <c r="CH138" s="10">
        <f t="shared" si="225"/>
        <v>0</v>
      </c>
      <c r="CI138" s="10">
        <f t="shared" si="225"/>
        <v>0</v>
      </c>
      <c r="CJ138" s="10">
        <f t="shared" si="225"/>
        <v>0</v>
      </c>
      <c r="CK138" s="10">
        <f t="shared" si="225"/>
        <v>0</v>
      </c>
      <c r="CL138" s="10">
        <f t="shared" si="225"/>
        <v>0</v>
      </c>
      <c r="CM138" s="10">
        <f t="shared" si="225"/>
        <v>0</v>
      </c>
      <c r="CN138" s="10">
        <f t="shared" si="225"/>
        <v>0</v>
      </c>
      <c r="CO138" s="10">
        <f t="shared" si="225"/>
        <v>0</v>
      </c>
    </row>
    <row r="139" spans="1:93">
      <c r="A139" s="77"/>
      <c r="B139" s="168"/>
      <c r="C139" s="17" t="s">
        <v>632</v>
      </c>
      <c r="D139" s="10"/>
      <c r="E139" s="62"/>
      <c r="F139" s="11"/>
      <c r="G139" s="11" t="str">
        <f>Monetary_Unit</f>
        <v>тыс. руб.</v>
      </c>
      <c r="H139" s="10"/>
      <c r="I139" s="23">
        <f>SUM(L139:CO139)</f>
        <v>0</v>
      </c>
      <c r="J139" s="10"/>
      <c r="K139" s="10"/>
      <c r="L139" s="10">
        <f t="shared" ref="L139:R139" si="226" xml:space="preserve"> $E134 * L134</f>
        <v>0</v>
      </c>
      <c r="M139" s="10">
        <f t="shared" si="226"/>
        <v>0</v>
      </c>
      <c r="N139" s="10">
        <f t="shared" si="226"/>
        <v>0</v>
      </c>
      <c r="O139" s="10">
        <f t="shared" si="226"/>
        <v>0</v>
      </c>
      <c r="P139" s="10">
        <f t="shared" si="226"/>
        <v>0</v>
      </c>
      <c r="Q139" s="10">
        <f t="shared" si="226"/>
        <v>0</v>
      </c>
      <c r="R139" s="10">
        <f t="shared" si="226"/>
        <v>0</v>
      </c>
      <c r="S139" s="10">
        <f xml:space="preserve"> $E134 * S134</f>
        <v>0</v>
      </c>
      <c r="T139" s="10">
        <f t="shared" ref="T139:CE139" si="227" xml:space="preserve"> $E134 * T134</f>
        <v>0</v>
      </c>
      <c r="U139" s="10">
        <f t="shared" si="227"/>
        <v>0</v>
      </c>
      <c r="V139" s="10">
        <f t="shared" si="227"/>
        <v>0</v>
      </c>
      <c r="W139" s="10">
        <f t="shared" si="227"/>
        <v>0</v>
      </c>
      <c r="X139" s="10">
        <f t="shared" si="227"/>
        <v>0</v>
      </c>
      <c r="Y139" s="10">
        <f t="shared" si="227"/>
        <v>0</v>
      </c>
      <c r="Z139" s="10">
        <f t="shared" si="227"/>
        <v>0</v>
      </c>
      <c r="AA139" s="10">
        <f t="shared" si="227"/>
        <v>0</v>
      </c>
      <c r="AB139" s="10">
        <f t="shared" si="227"/>
        <v>0</v>
      </c>
      <c r="AC139" s="10">
        <f t="shared" si="227"/>
        <v>0</v>
      </c>
      <c r="AD139" s="10">
        <f t="shared" si="227"/>
        <v>0</v>
      </c>
      <c r="AE139" s="10">
        <f t="shared" si="227"/>
        <v>0</v>
      </c>
      <c r="AF139" s="10">
        <f t="shared" si="227"/>
        <v>0</v>
      </c>
      <c r="AG139" s="10">
        <f t="shared" si="227"/>
        <v>0</v>
      </c>
      <c r="AH139" s="10">
        <f t="shared" si="227"/>
        <v>0</v>
      </c>
      <c r="AI139" s="10">
        <f t="shared" si="227"/>
        <v>0</v>
      </c>
      <c r="AJ139" s="10">
        <f t="shared" si="227"/>
        <v>0</v>
      </c>
      <c r="AK139" s="10">
        <f t="shared" si="227"/>
        <v>0</v>
      </c>
      <c r="AL139" s="10">
        <f t="shared" si="227"/>
        <v>0</v>
      </c>
      <c r="AM139" s="10">
        <f t="shared" si="227"/>
        <v>0</v>
      </c>
      <c r="AN139" s="10">
        <f t="shared" si="227"/>
        <v>0</v>
      </c>
      <c r="AO139" s="10">
        <f t="shared" si="227"/>
        <v>0</v>
      </c>
      <c r="AP139" s="10">
        <f t="shared" si="227"/>
        <v>0</v>
      </c>
      <c r="AQ139" s="10">
        <f t="shared" si="227"/>
        <v>0</v>
      </c>
      <c r="AR139" s="10">
        <f t="shared" si="227"/>
        <v>0</v>
      </c>
      <c r="AS139" s="10">
        <f t="shared" si="227"/>
        <v>0</v>
      </c>
      <c r="AT139" s="10">
        <f t="shared" si="227"/>
        <v>0</v>
      </c>
      <c r="AU139" s="10">
        <f t="shared" si="227"/>
        <v>0</v>
      </c>
      <c r="AV139" s="10">
        <f t="shared" si="227"/>
        <v>0</v>
      </c>
      <c r="AW139" s="10">
        <f t="shared" si="227"/>
        <v>0</v>
      </c>
      <c r="AX139" s="10">
        <f t="shared" si="227"/>
        <v>0</v>
      </c>
      <c r="AY139" s="10">
        <f t="shared" si="227"/>
        <v>0</v>
      </c>
      <c r="AZ139" s="10">
        <f t="shared" si="227"/>
        <v>0</v>
      </c>
      <c r="BA139" s="10">
        <f t="shared" si="227"/>
        <v>0</v>
      </c>
      <c r="BB139" s="10">
        <f t="shared" si="227"/>
        <v>0</v>
      </c>
      <c r="BC139" s="10">
        <f t="shared" si="227"/>
        <v>0</v>
      </c>
      <c r="BD139" s="10">
        <f t="shared" si="227"/>
        <v>0</v>
      </c>
      <c r="BE139" s="10">
        <f t="shared" si="227"/>
        <v>0</v>
      </c>
      <c r="BF139" s="10">
        <f t="shared" si="227"/>
        <v>0</v>
      </c>
      <c r="BG139" s="10">
        <f t="shared" si="227"/>
        <v>0</v>
      </c>
      <c r="BH139" s="10">
        <f t="shared" si="227"/>
        <v>0</v>
      </c>
      <c r="BI139" s="10">
        <f t="shared" si="227"/>
        <v>0</v>
      </c>
      <c r="BJ139" s="10">
        <f t="shared" si="227"/>
        <v>0</v>
      </c>
      <c r="BK139" s="10">
        <f t="shared" si="227"/>
        <v>0</v>
      </c>
      <c r="BL139" s="10">
        <f t="shared" si="227"/>
        <v>0</v>
      </c>
      <c r="BM139" s="10">
        <f t="shared" si="227"/>
        <v>0</v>
      </c>
      <c r="BN139" s="10">
        <f t="shared" si="227"/>
        <v>0</v>
      </c>
      <c r="BO139" s="10">
        <f t="shared" si="227"/>
        <v>0</v>
      </c>
      <c r="BP139" s="10">
        <f t="shared" si="227"/>
        <v>0</v>
      </c>
      <c r="BQ139" s="10">
        <f t="shared" si="227"/>
        <v>0</v>
      </c>
      <c r="BR139" s="10">
        <f t="shared" si="227"/>
        <v>0</v>
      </c>
      <c r="BS139" s="10">
        <f t="shared" si="227"/>
        <v>0</v>
      </c>
      <c r="BT139" s="10">
        <f t="shared" si="227"/>
        <v>0</v>
      </c>
      <c r="BU139" s="10">
        <f t="shared" si="227"/>
        <v>0</v>
      </c>
      <c r="BV139" s="10">
        <f t="shared" si="227"/>
        <v>0</v>
      </c>
      <c r="BW139" s="10">
        <f t="shared" si="227"/>
        <v>0</v>
      </c>
      <c r="BX139" s="10">
        <f t="shared" si="227"/>
        <v>0</v>
      </c>
      <c r="BY139" s="10">
        <f t="shared" si="227"/>
        <v>0</v>
      </c>
      <c r="BZ139" s="10">
        <f t="shared" si="227"/>
        <v>0</v>
      </c>
      <c r="CA139" s="10">
        <f t="shared" si="227"/>
        <v>0</v>
      </c>
      <c r="CB139" s="10">
        <f t="shared" si="227"/>
        <v>0</v>
      </c>
      <c r="CC139" s="10">
        <f t="shared" si="227"/>
        <v>0</v>
      </c>
      <c r="CD139" s="10">
        <f t="shared" si="227"/>
        <v>0</v>
      </c>
      <c r="CE139" s="10">
        <f t="shared" si="227"/>
        <v>0</v>
      </c>
      <c r="CF139" s="10">
        <f t="shared" ref="CF139:CO139" si="228" xml:space="preserve"> $E134 * CF134</f>
        <v>0</v>
      </c>
      <c r="CG139" s="10">
        <f t="shared" si="228"/>
        <v>0</v>
      </c>
      <c r="CH139" s="10">
        <f t="shared" si="228"/>
        <v>0</v>
      </c>
      <c r="CI139" s="10">
        <f t="shared" si="228"/>
        <v>0</v>
      </c>
      <c r="CJ139" s="10">
        <f t="shared" si="228"/>
        <v>0</v>
      </c>
      <c r="CK139" s="10">
        <f t="shared" si="228"/>
        <v>0</v>
      </c>
      <c r="CL139" s="10">
        <f t="shared" si="228"/>
        <v>0</v>
      </c>
      <c r="CM139" s="10">
        <f t="shared" si="228"/>
        <v>0</v>
      </c>
      <c r="CN139" s="10">
        <f t="shared" si="228"/>
        <v>0</v>
      </c>
      <c r="CO139" s="10">
        <f t="shared" si="228"/>
        <v>0</v>
      </c>
    </row>
    <row r="140" spans="1:93">
      <c r="A140" s="77"/>
      <c r="B140" s="168"/>
      <c r="C140" s="17" t="s">
        <v>821</v>
      </c>
      <c r="D140" s="10"/>
      <c r="E140" s="62"/>
      <c r="F140" s="11"/>
      <c r="G140" s="11" t="str">
        <f>Monetary_Unit</f>
        <v>тыс. руб.</v>
      </c>
      <c r="H140" s="10"/>
      <c r="I140" s="23">
        <f>SUM(L140:CO140)</f>
        <v>0</v>
      </c>
      <c r="J140" s="10"/>
      <c r="K140" s="10"/>
      <c r="L140" s="10">
        <f t="shared" ref="L140:R140" si="229" xml:space="preserve"> $E135 * L135</f>
        <v>0</v>
      </c>
      <c r="M140" s="10">
        <f t="shared" si="229"/>
        <v>0</v>
      </c>
      <c r="N140" s="10">
        <f t="shared" si="229"/>
        <v>0</v>
      </c>
      <c r="O140" s="10">
        <f t="shared" si="229"/>
        <v>0</v>
      </c>
      <c r="P140" s="10">
        <f t="shared" si="229"/>
        <v>0</v>
      </c>
      <c r="Q140" s="10">
        <f t="shared" si="229"/>
        <v>0</v>
      </c>
      <c r="R140" s="10">
        <f t="shared" si="229"/>
        <v>0</v>
      </c>
      <c r="S140" s="10">
        <f xml:space="preserve"> $E135 * S135</f>
        <v>0</v>
      </c>
      <c r="T140" s="10">
        <f t="shared" ref="T140:CE140" si="230" xml:space="preserve"> $E135 * T135</f>
        <v>0</v>
      </c>
      <c r="U140" s="10">
        <f t="shared" si="230"/>
        <v>0</v>
      </c>
      <c r="V140" s="10">
        <f t="shared" si="230"/>
        <v>0</v>
      </c>
      <c r="W140" s="10">
        <f t="shared" si="230"/>
        <v>0</v>
      </c>
      <c r="X140" s="10">
        <f t="shared" si="230"/>
        <v>0</v>
      </c>
      <c r="Y140" s="10">
        <f t="shared" si="230"/>
        <v>0</v>
      </c>
      <c r="Z140" s="10">
        <f t="shared" si="230"/>
        <v>0</v>
      </c>
      <c r="AA140" s="10">
        <f t="shared" si="230"/>
        <v>0</v>
      </c>
      <c r="AB140" s="10">
        <f t="shared" si="230"/>
        <v>0</v>
      </c>
      <c r="AC140" s="10">
        <f t="shared" si="230"/>
        <v>0</v>
      </c>
      <c r="AD140" s="10">
        <f t="shared" si="230"/>
        <v>0</v>
      </c>
      <c r="AE140" s="10">
        <f t="shared" si="230"/>
        <v>0</v>
      </c>
      <c r="AF140" s="10">
        <f t="shared" si="230"/>
        <v>0</v>
      </c>
      <c r="AG140" s="10">
        <f t="shared" si="230"/>
        <v>0</v>
      </c>
      <c r="AH140" s="10">
        <f t="shared" si="230"/>
        <v>0</v>
      </c>
      <c r="AI140" s="10">
        <f t="shared" si="230"/>
        <v>0</v>
      </c>
      <c r="AJ140" s="10">
        <f t="shared" si="230"/>
        <v>0</v>
      </c>
      <c r="AK140" s="10">
        <f t="shared" si="230"/>
        <v>0</v>
      </c>
      <c r="AL140" s="10">
        <f t="shared" si="230"/>
        <v>0</v>
      </c>
      <c r="AM140" s="10">
        <f t="shared" si="230"/>
        <v>0</v>
      </c>
      <c r="AN140" s="10">
        <f t="shared" si="230"/>
        <v>0</v>
      </c>
      <c r="AO140" s="10">
        <f t="shared" si="230"/>
        <v>0</v>
      </c>
      <c r="AP140" s="10">
        <f t="shared" si="230"/>
        <v>0</v>
      </c>
      <c r="AQ140" s="10">
        <f t="shared" si="230"/>
        <v>0</v>
      </c>
      <c r="AR140" s="10">
        <f t="shared" si="230"/>
        <v>0</v>
      </c>
      <c r="AS140" s="10">
        <f t="shared" si="230"/>
        <v>0</v>
      </c>
      <c r="AT140" s="10">
        <f t="shared" si="230"/>
        <v>0</v>
      </c>
      <c r="AU140" s="10">
        <f t="shared" si="230"/>
        <v>0</v>
      </c>
      <c r="AV140" s="10">
        <f t="shared" si="230"/>
        <v>0</v>
      </c>
      <c r="AW140" s="10">
        <f t="shared" si="230"/>
        <v>0</v>
      </c>
      <c r="AX140" s="10">
        <f t="shared" si="230"/>
        <v>0</v>
      </c>
      <c r="AY140" s="10">
        <f t="shared" si="230"/>
        <v>0</v>
      </c>
      <c r="AZ140" s="10">
        <f t="shared" si="230"/>
        <v>0</v>
      </c>
      <c r="BA140" s="10">
        <f t="shared" si="230"/>
        <v>0</v>
      </c>
      <c r="BB140" s="10">
        <f t="shared" si="230"/>
        <v>0</v>
      </c>
      <c r="BC140" s="10">
        <f t="shared" si="230"/>
        <v>0</v>
      </c>
      <c r="BD140" s="10">
        <f t="shared" si="230"/>
        <v>0</v>
      </c>
      <c r="BE140" s="10">
        <f t="shared" si="230"/>
        <v>0</v>
      </c>
      <c r="BF140" s="10">
        <f t="shared" si="230"/>
        <v>0</v>
      </c>
      <c r="BG140" s="10">
        <f t="shared" si="230"/>
        <v>0</v>
      </c>
      <c r="BH140" s="10">
        <f t="shared" si="230"/>
        <v>0</v>
      </c>
      <c r="BI140" s="10">
        <f t="shared" si="230"/>
        <v>0</v>
      </c>
      <c r="BJ140" s="10">
        <f t="shared" si="230"/>
        <v>0</v>
      </c>
      <c r="BK140" s="10">
        <f t="shared" si="230"/>
        <v>0</v>
      </c>
      <c r="BL140" s="10">
        <f t="shared" si="230"/>
        <v>0</v>
      </c>
      <c r="BM140" s="10">
        <f t="shared" si="230"/>
        <v>0</v>
      </c>
      <c r="BN140" s="10">
        <f t="shared" si="230"/>
        <v>0</v>
      </c>
      <c r="BO140" s="10">
        <f t="shared" si="230"/>
        <v>0</v>
      </c>
      <c r="BP140" s="10">
        <f t="shared" si="230"/>
        <v>0</v>
      </c>
      <c r="BQ140" s="10">
        <f t="shared" si="230"/>
        <v>0</v>
      </c>
      <c r="BR140" s="10">
        <f t="shared" si="230"/>
        <v>0</v>
      </c>
      <c r="BS140" s="10">
        <f t="shared" si="230"/>
        <v>0</v>
      </c>
      <c r="BT140" s="10">
        <f t="shared" si="230"/>
        <v>0</v>
      </c>
      <c r="BU140" s="10">
        <f t="shared" si="230"/>
        <v>0</v>
      </c>
      <c r="BV140" s="10">
        <f t="shared" si="230"/>
        <v>0</v>
      </c>
      <c r="BW140" s="10">
        <f t="shared" si="230"/>
        <v>0</v>
      </c>
      <c r="BX140" s="10">
        <f t="shared" si="230"/>
        <v>0</v>
      </c>
      <c r="BY140" s="10">
        <f t="shared" si="230"/>
        <v>0</v>
      </c>
      <c r="BZ140" s="10">
        <f t="shared" si="230"/>
        <v>0</v>
      </c>
      <c r="CA140" s="10">
        <f t="shared" si="230"/>
        <v>0</v>
      </c>
      <c r="CB140" s="10">
        <f t="shared" si="230"/>
        <v>0</v>
      </c>
      <c r="CC140" s="10">
        <f t="shared" si="230"/>
        <v>0</v>
      </c>
      <c r="CD140" s="10">
        <f t="shared" si="230"/>
        <v>0</v>
      </c>
      <c r="CE140" s="10">
        <f t="shared" si="230"/>
        <v>0</v>
      </c>
      <c r="CF140" s="10">
        <f t="shared" ref="CF140:CO140" si="231" xml:space="preserve"> $E135 * CF135</f>
        <v>0</v>
      </c>
      <c r="CG140" s="10">
        <f t="shared" si="231"/>
        <v>0</v>
      </c>
      <c r="CH140" s="10">
        <f t="shared" si="231"/>
        <v>0</v>
      </c>
      <c r="CI140" s="10">
        <f t="shared" si="231"/>
        <v>0</v>
      </c>
      <c r="CJ140" s="10">
        <f t="shared" si="231"/>
        <v>0</v>
      </c>
      <c r="CK140" s="10">
        <f t="shared" si="231"/>
        <v>0</v>
      </c>
      <c r="CL140" s="10">
        <f t="shared" si="231"/>
        <v>0</v>
      </c>
      <c r="CM140" s="10">
        <f t="shared" si="231"/>
        <v>0</v>
      </c>
      <c r="CN140" s="10">
        <f t="shared" si="231"/>
        <v>0</v>
      </c>
      <c r="CO140" s="10">
        <f t="shared" si="231"/>
        <v>0</v>
      </c>
    </row>
    <row r="141" spans="1:93" ht="15.75" thickBot="1">
      <c r="A141" s="77"/>
      <c r="B141" s="168"/>
      <c r="C141" s="17" t="s">
        <v>797</v>
      </c>
      <c r="D141" s="10"/>
      <c r="E141" s="62"/>
      <c r="F141" s="11"/>
      <c r="G141" s="11" t="str">
        <f>Monetary_Unit</f>
        <v>тыс. руб.</v>
      </c>
      <c r="H141" s="10"/>
      <c r="I141" s="23">
        <f>SUM(L141:CO141)</f>
        <v>0</v>
      </c>
      <c r="J141" s="10"/>
      <c r="K141" s="10"/>
      <c r="L141" s="10">
        <f xml:space="preserve"> L140 * $E$136</f>
        <v>0</v>
      </c>
      <c r="M141" s="10">
        <f t="shared" ref="M141:BX141" si="232" xml:space="preserve"> M140 * $E$136</f>
        <v>0</v>
      </c>
      <c r="N141" s="10">
        <f t="shared" si="232"/>
        <v>0</v>
      </c>
      <c r="O141" s="10">
        <f t="shared" si="232"/>
        <v>0</v>
      </c>
      <c r="P141" s="10">
        <f t="shared" si="232"/>
        <v>0</v>
      </c>
      <c r="Q141" s="10">
        <f t="shared" si="232"/>
        <v>0</v>
      </c>
      <c r="R141" s="10">
        <f t="shared" si="232"/>
        <v>0</v>
      </c>
      <c r="S141" s="10">
        <f t="shared" si="232"/>
        <v>0</v>
      </c>
      <c r="T141" s="10">
        <f t="shared" si="232"/>
        <v>0</v>
      </c>
      <c r="U141" s="10">
        <f t="shared" si="232"/>
        <v>0</v>
      </c>
      <c r="V141" s="10">
        <f t="shared" si="232"/>
        <v>0</v>
      </c>
      <c r="W141" s="10">
        <f t="shared" si="232"/>
        <v>0</v>
      </c>
      <c r="X141" s="10">
        <f t="shared" si="232"/>
        <v>0</v>
      </c>
      <c r="Y141" s="10">
        <f t="shared" si="232"/>
        <v>0</v>
      </c>
      <c r="Z141" s="10">
        <f t="shared" si="232"/>
        <v>0</v>
      </c>
      <c r="AA141" s="10">
        <f t="shared" si="232"/>
        <v>0</v>
      </c>
      <c r="AB141" s="10">
        <f t="shared" si="232"/>
        <v>0</v>
      </c>
      <c r="AC141" s="10">
        <f t="shared" si="232"/>
        <v>0</v>
      </c>
      <c r="AD141" s="10">
        <f t="shared" si="232"/>
        <v>0</v>
      </c>
      <c r="AE141" s="10">
        <f t="shared" si="232"/>
        <v>0</v>
      </c>
      <c r="AF141" s="10">
        <f t="shared" si="232"/>
        <v>0</v>
      </c>
      <c r="AG141" s="10">
        <f t="shared" si="232"/>
        <v>0</v>
      </c>
      <c r="AH141" s="10">
        <f t="shared" si="232"/>
        <v>0</v>
      </c>
      <c r="AI141" s="10">
        <f t="shared" si="232"/>
        <v>0</v>
      </c>
      <c r="AJ141" s="10">
        <f t="shared" si="232"/>
        <v>0</v>
      </c>
      <c r="AK141" s="10">
        <f t="shared" si="232"/>
        <v>0</v>
      </c>
      <c r="AL141" s="10">
        <f t="shared" si="232"/>
        <v>0</v>
      </c>
      <c r="AM141" s="10">
        <f t="shared" si="232"/>
        <v>0</v>
      </c>
      <c r="AN141" s="10">
        <f t="shared" si="232"/>
        <v>0</v>
      </c>
      <c r="AO141" s="10">
        <f t="shared" si="232"/>
        <v>0</v>
      </c>
      <c r="AP141" s="10">
        <f t="shared" si="232"/>
        <v>0</v>
      </c>
      <c r="AQ141" s="10">
        <f t="shared" si="232"/>
        <v>0</v>
      </c>
      <c r="AR141" s="10">
        <f t="shared" si="232"/>
        <v>0</v>
      </c>
      <c r="AS141" s="10">
        <f t="shared" si="232"/>
        <v>0</v>
      </c>
      <c r="AT141" s="10">
        <f t="shared" si="232"/>
        <v>0</v>
      </c>
      <c r="AU141" s="10">
        <f t="shared" si="232"/>
        <v>0</v>
      </c>
      <c r="AV141" s="10">
        <f t="shared" si="232"/>
        <v>0</v>
      </c>
      <c r="AW141" s="10">
        <f t="shared" si="232"/>
        <v>0</v>
      </c>
      <c r="AX141" s="10">
        <f t="shared" si="232"/>
        <v>0</v>
      </c>
      <c r="AY141" s="10">
        <f t="shared" si="232"/>
        <v>0</v>
      </c>
      <c r="AZ141" s="10">
        <f t="shared" si="232"/>
        <v>0</v>
      </c>
      <c r="BA141" s="10">
        <f t="shared" si="232"/>
        <v>0</v>
      </c>
      <c r="BB141" s="10">
        <f t="shared" si="232"/>
        <v>0</v>
      </c>
      <c r="BC141" s="10">
        <f t="shared" si="232"/>
        <v>0</v>
      </c>
      <c r="BD141" s="10">
        <f t="shared" si="232"/>
        <v>0</v>
      </c>
      <c r="BE141" s="10">
        <f t="shared" si="232"/>
        <v>0</v>
      </c>
      <c r="BF141" s="10">
        <f t="shared" si="232"/>
        <v>0</v>
      </c>
      <c r="BG141" s="10">
        <f t="shared" si="232"/>
        <v>0</v>
      </c>
      <c r="BH141" s="10">
        <f t="shared" si="232"/>
        <v>0</v>
      </c>
      <c r="BI141" s="10">
        <f t="shared" si="232"/>
        <v>0</v>
      </c>
      <c r="BJ141" s="10">
        <f t="shared" si="232"/>
        <v>0</v>
      </c>
      <c r="BK141" s="10">
        <f t="shared" si="232"/>
        <v>0</v>
      </c>
      <c r="BL141" s="10">
        <f t="shared" si="232"/>
        <v>0</v>
      </c>
      <c r="BM141" s="10">
        <f t="shared" si="232"/>
        <v>0</v>
      </c>
      <c r="BN141" s="10">
        <f t="shared" si="232"/>
        <v>0</v>
      </c>
      <c r="BO141" s="10">
        <f t="shared" si="232"/>
        <v>0</v>
      </c>
      <c r="BP141" s="10">
        <f t="shared" si="232"/>
        <v>0</v>
      </c>
      <c r="BQ141" s="10">
        <f t="shared" si="232"/>
        <v>0</v>
      </c>
      <c r="BR141" s="10">
        <f t="shared" si="232"/>
        <v>0</v>
      </c>
      <c r="BS141" s="10">
        <f t="shared" si="232"/>
        <v>0</v>
      </c>
      <c r="BT141" s="10">
        <f t="shared" si="232"/>
        <v>0</v>
      </c>
      <c r="BU141" s="10">
        <f t="shared" si="232"/>
        <v>0</v>
      </c>
      <c r="BV141" s="10">
        <f t="shared" si="232"/>
        <v>0</v>
      </c>
      <c r="BW141" s="10">
        <f t="shared" si="232"/>
        <v>0</v>
      </c>
      <c r="BX141" s="10">
        <f t="shared" si="232"/>
        <v>0</v>
      </c>
      <c r="BY141" s="10">
        <f t="shared" ref="BY141:CO141" si="233" xml:space="preserve"> BY140 * $E$136</f>
        <v>0</v>
      </c>
      <c r="BZ141" s="10">
        <f t="shared" si="233"/>
        <v>0</v>
      </c>
      <c r="CA141" s="10">
        <f t="shared" si="233"/>
        <v>0</v>
      </c>
      <c r="CB141" s="10">
        <f t="shared" si="233"/>
        <v>0</v>
      </c>
      <c r="CC141" s="10">
        <f t="shared" si="233"/>
        <v>0</v>
      </c>
      <c r="CD141" s="10">
        <f t="shared" si="233"/>
        <v>0</v>
      </c>
      <c r="CE141" s="10">
        <f t="shared" si="233"/>
        <v>0</v>
      </c>
      <c r="CF141" s="10">
        <f t="shared" si="233"/>
        <v>0</v>
      </c>
      <c r="CG141" s="10">
        <f t="shared" si="233"/>
        <v>0</v>
      </c>
      <c r="CH141" s="10">
        <f t="shared" si="233"/>
        <v>0</v>
      </c>
      <c r="CI141" s="10">
        <f t="shared" si="233"/>
        <v>0</v>
      </c>
      <c r="CJ141" s="10">
        <f t="shared" si="233"/>
        <v>0</v>
      </c>
      <c r="CK141" s="10">
        <f t="shared" si="233"/>
        <v>0</v>
      </c>
      <c r="CL141" s="10">
        <f t="shared" si="233"/>
        <v>0</v>
      </c>
      <c r="CM141" s="10">
        <f t="shared" si="233"/>
        <v>0</v>
      </c>
      <c r="CN141" s="10">
        <f t="shared" si="233"/>
        <v>0</v>
      </c>
      <c r="CO141" s="10">
        <f t="shared" si="233"/>
        <v>0</v>
      </c>
    </row>
    <row r="142" spans="1:93" ht="15.75" thickTop="1">
      <c r="A142" s="77"/>
      <c r="B142" s="101"/>
      <c r="C142" s="49" t="s">
        <v>832</v>
      </c>
      <c r="D142" s="49"/>
      <c r="E142" s="136"/>
      <c r="F142" s="49"/>
      <c r="G142" s="159" t="str">
        <f xml:space="preserve"> Monetary_Unit</f>
        <v>тыс. руб.</v>
      </c>
      <c r="H142" s="49"/>
      <c r="I142" s="23">
        <f>SUM(L142:CO142)</f>
        <v>0</v>
      </c>
      <c r="J142" s="49"/>
      <c r="K142" s="49"/>
      <c r="L142" s="49">
        <f t="shared" ref="L142:R142" si="234" xml:space="preserve"> SUM(L138:L141)</f>
        <v>0</v>
      </c>
      <c r="M142" s="49">
        <f t="shared" si="234"/>
        <v>0</v>
      </c>
      <c r="N142" s="49">
        <f t="shared" si="234"/>
        <v>0</v>
      </c>
      <c r="O142" s="49">
        <f t="shared" si="234"/>
        <v>0</v>
      </c>
      <c r="P142" s="49">
        <f t="shared" si="234"/>
        <v>0</v>
      </c>
      <c r="Q142" s="49">
        <f t="shared" si="234"/>
        <v>0</v>
      </c>
      <c r="R142" s="49">
        <f t="shared" si="234"/>
        <v>0</v>
      </c>
      <c r="S142" s="49">
        <f xml:space="preserve"> SUM(S138:S141)</f>
        <v>0</v>
      </c>
      <c r="T142" s="49">
        <f t="shared" ref="T142:CE142" si="235" xml:space="preserve"> SUM(T138:T141)</f>
        <v>0</v>
      </c>
      <c r="U142" s="49">
        <f t="shared" si="235"/>
        <v>0</v>
      </c>
      <c r="V142" s="49">
        <f t="shared" si="235"/>
        <v>0</v>
      </c>
      <c r="W142" s="49">
        <f t="shared" si="235"/>
        <v>0</v>
      </c>
      <c r="X142" s="49">
        <f t="shared" si="235"/>
        <v>0</v>
      </c>
      <c r="Y142" s="49">
        <f t="shared" si="235"/>
        <v>0</v>
      </c>
      <c r="Z142" s="49">
        <f t="shared" si="235"/>
        <v>0</v>
      </c>
      <c r="AA142" s="49">
        <f t="shared" si="235"/>
        <v>0</v>
      </c>
      <c r="AB142" s="49">
        <f t="shared" si="235"/>
        <v>0</v>
      </c>
      <c r="AC142" s="49">
        <f t="shared" si="235"/>
        <v>0</v>
      </c>
      <c r="AD142" s="49">
        <f t="shared" si="235"/>
        <v>0</v>
      </c>
      <c r="AE142" s="49">
        <f t="shared" si="235"/>
        <v>0</v>
      </c>
      <c r="AF142" s="49">
        <f t="shared" si="235"/>
        <v>0</v>
      </c>
      <c r="AG142" s="49">
        <f t="shared" si="235"/>
        <v>0</v>
      </c>
      <c r="AH142" s="49">
        <f t="shared" si="235"/>
        <v>0</v>
      </c>
      <c r="AI142" s="49">
        <f t="shared" si="235"/>
        <v>0</v>
      </c>
      <c r="AJ142" s="49">
        <f t="shared" si="235"/>
        <v>0</v>
      </c>
      <c r="AK142" s="49">
        <f t="shared" si="235"/>
        <v>0</v>
      </c>
      <c r="AL142" s="49">
        <f t="shared" si="235"/>
        <v>0</v>
      </c>
      <c r="AM142" s="49">
        <f t="shared" si="235"/>
        <v>0</v>
      </c>
      <c r="AN142" s="49">
        <f t="shared" si="235"/>
        <v>0</v>
      </c>
      <c r="AO142" s="49">
        <f t="shared" si="235"/>
        <v>0</v>
      </c>
      <c r="AP142" s="49">
        <f t="shared" si="235"/>
        <v>0</v>
      </c>
      <c r="AQ142" s="49">
        <f t="shared" si="235"/>
        <v>0</v>
      </c>
      <c r="AR142" s="49">
        <f t="shared" si="235"/>
        <v>0</v>
      </c>
      <c r="AS142" s="49">
        <f t="shared" si="235"/>
        <v>0</v>
      </c>
      <c r="AT142" s="49">
        <f t="shared" si="235"/>
        <v>0</v>
      </c>
      <c r="AU142" s="49">
        <f t="shared" si="235"/>
        <v>0</v>
      </c>
      <c r="AV142" s="49">
        <f t="shared" si="235"/>
        <v>0</v>
      </c>
      <c r="AW142" s="49">
        <f t="shared" si="235"/>
        <v>0</v>
      </c>
      <c r="AX142" s="49">
        <f t="shared" si="235"/>
        <v>0</v>
      </c>
      <c r="AY142" s="49">
        <f t="shared" si="235"/>
        <v>0</v>
      </c>
      <c r="AZ142" s="49">
        <f t="shared" si="235"/>
        <v>0</v>
      </c>
      <c r="BA142" s="49">
        <f t="shared" si="235"/>
        <v>0</v>
      </c>
      <c r="BB142" s="49">
        <f t="shared" si="235"/>
        <v>0</v>
      </c>
      <c r="BC142" s="49">
        <f t="shared" si="235"/>
        <v>0</v>
      </c>
      <c r="BD142" s="49">
        <f t="shared" si="235"/>
        <v>0</v>
      </c>
      <c r="BE142" s="49">
        <f t="shared" si="235"/>
        <v>0</v>
      </c>
      <c r="BF142" s="49">
        <f t="shared" si="235"/>
        <v>0</v>
      </c>
      <c r="BG142" s="49">
        <f t="shared" si="235"/>
        <v>0</v>
      </c>
      <c r="BH142" s="49">
        <f t="shared" si="235"/>
        <v>0</v>
      </c>
      <c r="BI142" s="49">
        <f t="shared" si="235"/>
        <v>0</v>
      </c>
      <c r="BJ142" s="49">
        <f t="shared" si="235"/>
        <v>0</v>
      </c>
      <c r="BK142" s="49">
        <f t="shared" si="235"/>
        <v>0</v>
      </c>
      <c r="BL142" s="49">
        <f t="shared" si="235"/>
        <v>0</v>
      </c>
      <c r="BM142" s="49">
        <f t="shared" si="235"/>
        <v>0</v>
      </c>
      <c r="BN142" s="49">
        <f t="shared" si="235"/>
        <v>0</v>
      </c>
      <c r="BO142" s="49">
        <f t="shared" si="235"/>
        <v>0</v>
      </c>
      <c r="BP142" s="49">
        <f t="shared" si="235"/>
        <v>0</v>
      </c>
      <c r="BQ142" s="49">
        <f t="shared" si="235"/>
        <v>0</v>
      </c>
      <c r="BR142" s="49">
        <f t="shared" si="235"/>
        <v>0</v>
      </c>
      <c r="BS142" s="49">
        <f t="shared" si="235"/>
        <v>0</v>
      </c>
      <c r="BT142" s="49">
        <f t="shared" si="235"/>
        <v>0</v>
      </c>
      <c r="BU142" s="49">
        <f t="shared" si="235"/>
        <v>0</v>
      </c>
      <c r="BV142" s="49">
        <f t="shared" si="235"/>
        <v>0</v>
      </c>
      <c r="BW142" s="49">
        <f t="shared" si="235"/>
        <v>0</v>
      </c>
      <c r="BX142" s="49">
        <f t="shared" si="235"/>
        <v>0</v>
      </c>
      <c r="BY142" s="49">
        <f t="shared" si="235"/>
        <v>0</v>
      </c>
      <c r="BZ142" s="49">
        <f t="shared" si="235"/>
        <v>0</v>
      </c>
      <c r="CA142" s="49">
        <f t="shared" si="235"/>
        <v>0</v>
      </c>
      <c r="CB142" s="49">
        <f t="shared" si="235"/>
        <v>0</v>
      </c>
      <c r="CC142" s="49">
        <f t="shared" si="235"/>
        <v>0</v>
      </c>
      <c r="CD142" s="49">
        <f t="shared" si="235"/>
        <v>0</v>
      </c>
      <c r="CE142" s="49">
        <f t="shared" si="235"/>
        <v>0</v>
      </c>
      <c r="CF142" s="49">
        <f t="shared" ref="CF142:CO142" si="236" xml:space="preserve"> SUM(CF138:CF141)</f>
        <v>0</v>
      </c>
      <c r="CG142" s="49">
        <f t="shared" si="236"/>
        <v>0</v>
      </c>
      <c r="CH142" s="49">
        <f t="shared" si="236"/>
        <v>0</v>
      </c>
      <c r="CI142" s="49">
        <f t="shared" si="236"/>
        <v>0</v>
      </c>
      <c r="CJ142" s="49">
        <f t="shared" si="236"/>
        <v>0</v>
      </c>
      <c r="CK142" s="49">
        <f t="shared" si="236"/>
        <v>0</v>
      </c>
      <c r="CL142" s="49">
        <f t="shared" si="236"/>
        <v>0</v>
      </c>
      <c r="CM142" s="49">
        <f t="shared" si="236"/>
        <v>0</v>
      </c>
      <c r="CN142" s="49">
        <f t="shared" si="236"/>
        <v>0</v>
      </c>
      <c r="CO142" s="49">
        <f t="shared" si="236"/>
        <v>0</v>
      </c>
    </row>
    <row r="143" spans="1:93">
      <c r="A143" s="77"/>
      <c r="B143" s="168"/>
      <c r="C143" s="169"/>
      <c r="D143" s="10"/>
      <c r="E143" s="62"/>
      <c r="F143" s="11"/>
      <c r="G143" s="11"/>
      <c r="H143" s="10"/>
      <c r="I143" s="10" t="str">
        <f>IF(IFERROR(I142=Предпосылки!E213*I108*$I$104,I142=0),"")</f>
        <v/>
      </c>
      <c r="J143" s="10"/>
      <c r="K143" s="1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0"/>
      <c r="AM143" s="170"/>
      <c r="AN143" s="170"/>
      <c r="AO143" s="170"/>
      <c r="AP143" s="170"/>
      <c r="AQ143" s="170"/>
      <c r="AR143" s="170"/>
      <c r="AS143" s="170"/>
      <c r="AT143" s="170"/>
      <c r="AU143" s="170"/>
      <c r="AV143" s="170"/>
      <c r="AW143" s="170"/>
      <c r="AX143" s="170"/>
      <c r="AY143" s="170"/>
      <c r="AZ143" s="170"/>
      <c r="BA143" s="170"/>
      <c r="BB143" s="170"/>
      <c r="BC143" s="170"/>
      <c r="BD143" s="170"/>
      <c r="BE143" s="170"/>
      <c r="BF143" s="170"/>
      <c r="BG143" s="170"/>
      <c r="BH143" s="170"/>
      <c r="BI143" s="170"/>
      <c r="BJ143" s="170"/>
      <c r="BK143" s="170"/>
      <c r="BL143" s="170"/>
      <c r="BM143" s="170"/>
      <c r="BN143" s="170"/>
      <c r="BO143" s="170"/>
      <c r="BP143" s="170"/>
      <c r="BQ143" s="170"/>
      <c r="BR143" s="170"/>
      <c r="BS143" s="170"/>
      <c r="BT143" s="170"/>
      <c r="BU143" s="170"/>
      <c r="BV143" s="170"/>
      <c r="BW143" s="170"/>
      <c r="BX143" s="170"/>
      <c r="BY143" s="170"/>
      <c r="BZ143" s="170"/>
      <c r="CA143" s="170"/>
      <c r="CB143" s="170"/>
      <c r="CC143" s="170"/>
      <c r="CD143" s="170"/>
      <c r="CE143" s="170"/>
      <c r="CF143" s="170"/>
      <c r="CG143" s="170"/>
      <c r="CH143" s="170"/>
      <c r="CI143" s="170"/>
      <c r="CJ143" s="170"/>
      <c r="CK143" s="170"/>
      <c r="CL143" s="170"/>
      <c r="CM143" s="170"/>
      <c r="CN143" s="170"/>
      <c r="CO143" s="170"/>
    </row>
    <row r="144" spans="1:93">
      <c r="A144" s="77"/>
      <c r="B144" s="168"/>
      <c r="C144" s="87" t="str">
        <f xml:space="preserve"> "Затраты на создание объектов " &amp; C34</f>
        <v>Затраты на создание объектов Прочая обеспечивающая инфраструктура</v>
      </c>
      <c r="D144" s="10"/>
      <c r="E144" s="62"/>
      <c r="F144" s="11"/>
      <c r="G144" s="11"/>
      <c r="H144" s="10"/>
      <c r="I144" s="10"/>
      <c r="J144" s="10"/>
      <c r="K144" s="1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  <c r="Z144" s="170"/>
      <c r="AA144" s="170"/>
      <c r="AB144" s="170"/>
      <c r="AC144" s="170"/>
      <c r="AD144" s="170"/>
      <c r="AE144" s="170"/>
      <c r="AF144" s="170"/>
      <c r="AG144" s="170"/>
      <c r="AH144" s="170"/>
      <c r="AI144" s="170"/>
      <c r="AJ144" s="170"/>
      <c r="AK144" s="170"/>
      <c r="AL144" s="170"/>
      <c r="AM144" s="170"/>
      <c r="AN144" s="170"/>
      <c r="AO144" s="170"/>
      <c r="AP144" s="170"/>
      <c r="AQ144" s="170"/>
      <c r="AR144" s="170"/>
      <c r="AS144" s="170"/>
      <c r="AT144" s="170"/>
      <c r="AU144" s="170"/>
      <c r="AV144" s="170"/>
      <c r="AW144" s="170"/>
      <c r="AX144" s="170"/>
      <c r="AY144" s="170"/>
      <c r="AZ144" s="170"/>
      <c r="BA144" s="170"/>
      <c r="BB144" s="170"/>
      <c r="BC144" s="170"/>
      <c r="BD144" s="170"/>
      <c r="BE144" s="170"/>
      <c r="BF144" s="170"/>
      <c r="BG144" s="170"/>
      <c r="BH144" s="170"/>
      <c r="BI144" s="170"/>
      <c r="BJ144" s="170"/>
      <c r="BK144" s="170"/>
      <c r="BL144" s="170"/>
      <c r="BM144" s="170"/>
      <c r="BN144" s="170"/>
      <c r="BO144" s="170"/>
      <c r="BP144" s="170"/>
      <c r="BQ144" s="170"/>
      <c r="BR144" s="170"/>
      <c r="BS144" s="170"/>
      <c r="BT144" s="170"/>
      <c r="BU144" s="170"/>
      <c r="BV144" s="170"/>
      <c r="BW144" s="170"/>
      <c r="BX144" s="170"/>
      <c r="BY144" s="170"/>
      <c r="BZ144" s="170"/>
      <c r="CA144" s="170"/>
      <c r="CB144" s="170"/>
      <c r="CC144" s="170"/>
      <c r="CD144" s="170"/>
      <c r="CE144" s="170"/>
      <c r="CF144" s="170"/>
      <c r="CG144" s="170"/>
      <c r="CH144" s="170"/>
      <c r="CI144" s="170"/>
      <c r="CJ144" s="170"/>
      <c r="CK144" s="170"/>
      <c r="CL144" s="170"/>
      <c r="CM144" s="170"/>
      <c r="CN144" s="170"/>
      <c r="CO144" s="170"/>
    </row>
    <row r="145" spans="1:93">
      <c r="A145" s="77"/>
      <c r="B145" s="168"/>
      <c r="C145" s="17" t="s">
        <v>630</v>
      </c>
      <c r="D145" s="10"/>
      <c r="E145" s="184">
        <f xml:space="preserve"> Предпосылки!E233 * $I$104 * $I$109</f>
        <v>0</v>
      </c>
      <c r="F145" s="11"/>
      <c r="G145" s="11" t="str">
        <f>Monetary_Unit</f>
        <v>тыс. руб.</v>
      </c>
      <c r="H145" s="10"/>
      <c r="I145" s="10"/>
      <c r="J145" s="10"/>
      <c r="K145" s="10"/>
      <c r="L145" s="171">
        <f xml:space="preserve"> Предпосылки!L240</f>
        <v>0</v>
      </c>
      <c r="M145" s="171">
        <f xml:space="preserve"> Предпосылки!M240</f>
        <v>0</v>
      </c>
      <c r="N145" s="171">
        <f xml:space="preserve"> Предпосылки!N240</f>
        <v>0</v>
      </c>
      <c r="O145" s="171">
        <f xml:space="preserve"> Предпосылки!O240</f>
        <v>0</v>
      </c>
      <c r="P145" s="171">
        <f xml:space="preserve"> Предпосылки!P240</f>
        <v>0</v>
      </c>
      <c r="Q145" s="171">
        <f xml:space="preserve"> Предпосылки!Q240</f>
        <v>0</v>
      </c>
      <c r="R145" s="171">
        <f xml:space="preserve"> Предпосылки!R240</f>
        <v>0</v>
      </c>
      <c r="S145" s="171">
        <f xml:space="preserve"> Предпосылки!S240</f>
        <v>0</v>
      </c>
      <c r="T145" s="171">
        <f xml:space="preserve"> Предпосылки!T240</f>
        <v>0</v>
      </c>
      <c r="U145" s="171">
        <f xml:space="preserve"> Предпосылки!U240</f>
        <v>0</v>
      </c>
      <c r="V145" s="171">
        <f xml:space="preserve"> Предпосылки!V240</f>
        <v>0</v>
      </c>
      <c r="W145" s="171">
        <f xml:space="preserve"> Предпосылки!W240</f>
        <v>0</v>
      </c>
      <c r="X145" s="171">
        <f xml:space="preserve"> Предпосылки!X240</f>
        <v>0</v>
      </c>
      <c r="Y145" s="171">
        <f xml:space="preserve"> Предпосылки!Y240</f>
        <v>0</v>
      </c>
      <c r="Z145" s="171">
        <f xml:space="preserve"> Предпосылки!Z240</f>
        <v>0</v>
      </c>
      <c r="AA145" s="171">
        <f xml:space="preserve"> Предпосылки!AA240</f>
        <v>0</v>
      </c>
      <c r="AB145" s="171">
        <f xml:space="preserve"> Предпосылки!AB240</f>
        <v>0</v>
      </c>
      <c r="AC145" s="171">
        <f xml:space="preserve"> Предпосылки!AC240</f>
        <v>0</v>
      </c>
      <c r="AD145" s="171">
        <f xml:space="preserve"> Предпосылки!AD240</f>
        <v>0</v>
      </c>
      <c r="AE145" s="171">
        <f xml:space="preserve"> Предпосылки!AE240</f>
        <v>0</v>
      </c>
      <c r="AF145" s="171">
        <f xml:space="preserve"> Предпосылки!AF240</f>
        <v>0</v>
      </c>
      <c r="AG145" s="171">
        <f xml:space="preserve"> Предпосылки!AG240</f>
        <v>0</v>
      </c>
      <c r="AH145" s="171">
        <f xml:space="preserve"> Предпосылки!AH240</f>
        <v>0</v>
      </c>
      <c r="AI145" s="171">
        <f xml:space="preserve"> Предпосылки!AI240</f>
        <v>0</v>
      </c>
      <c r="AJ145" s="171">
        <f xml:space="preserve"> Предпосылки!AJ240</f>
        <v>0</v>
      </c>
      <c r="AK145" s="171">
        <f xml:space="preserve"> Предпосылки!AK240</f>
        <v>0</v>
      </c>
      <c r="AL145" s="171">
        <f xml:space="preserve"> Предпосылки!AL240</f>
        <v>0</v>
      </c>
      <c r="AM145" s="171">
        <f xml:space="preserve"> Предпосылки!AM240</f>
        <v>0</v>
      </c>
      <c r="AN145" s="171">
        <f xml:space="preserve"> Предпосылки!AN240</f>
        <v>0</v>
      </c>
      <c r="AO145" s="171">
        <f xml:space="preserve"> Предпосылки!AO240</f>
        <v>0</v>
      </c>
      <c r="AP145" s="171">
        <f xml:space="preserve"> Предпосылки!AP240</f>
        <v>0</v>
      </c>
      <c r="AQ145" s="171">
        <f xml:space="preserve"> Предпосылки!AQ240</f>
        <v>0</v>
      </c>
      <c r="AR145" s="171">
        <f xml:space="preserve"> Предпосылки!AR240</f>
        <v>0</v>
      </c>
      <c r="AS145" s="171">
        <f xml:space="preserve"> Предпосылки!AS240</f>
        <v>0</v>
      </c>
      <c r="AT145" s="171">
        <f xml:space="preserve"> Предпосылки!AT240</f>
        <v>0</v>
      </c>
      <c r="AU145" s="171">
        <f xml:space="preserve"> Предпосылки!AU240</f>
        <v>0</v>
      </c>
      <c r="AV145" s="171">
        <f xml:space="preserve"> Предпосылки!AV240</f>
        <v>0</v>
      </c>
      <c r="AW145" s="171">
        <f xml:space="preserve"> Предпосылки!AW240</f>
        <v>0</v>
      </c>
      <c r="AX145" s="171">
        <f xml:space="preserve"> Предпосылки!AX240</f>
        <v>0</v>
      </c>
      <c r="AY145" s="171">
        <f xml:space="preserve"> Предпосылки!AY240</f>
        <v>0</v>
      </c>
      <c r="AZ145" s="171">
        <f xml:space="preserve"> Предпосылки!AZ240</f>
        <v>0</v>
      </c>
      <c r="BA145" s="171">
        <f xml:space="preserve"> Предпосылки!BA240</f>
        <v>0</v>
      </c>
      <c r="BB145" s="171">
        <f xml:space="preserve"> Предпосылки!BB240</f>
        <v>0</v>
      </c>
      <c r="BC145" s="171">
        <f xml:space="preserve"> Предпосылки!BC240</f>
        <v>0</v>
      </c>
      <c r="BD145" s="171">
        <f xml:space="preserve"> Предпосылки!BD240</f>
        <v>0</v>
      </c>
      <c r="BE145" s="171">
        <f xml:space="preserve"> Предпосылки!BE240</f>
        <v>0</v>
      </c>
      <c r="BF145" s="171">
        <f xml:space="preserve"> Предпосылки!BF240</f>
        <v>0</v>
      </c>
      <c r="BG145" s="171">
        <f xml:space="preserve"> Предпосылки!BG240</f>
        <v>0</v>
      </c>
      <c r="BH145" s="171">
        <f xml:space="preserve"> Предпосылки!BH240</f>
        <v>0</v>
      </c>
      <c r="BI145" s="171">
        <f xml:space="preserve"> Предпосылки!BI240</f>
        <v>0</v>
      </c>
      <c r="BJ145" s="171">
        <f xml:space="preserve"> Предпосылки!BJ240</f>
        <v>0</v>
      </c>
      <c r="BK145" s="171">
        <f xml:space="preserve"> Предпосылки!BK240</f>
        <v>0</v>
      </c>
      <c r="BL145" s="171">
        <f xml:space="preserve"> Предпосылки!BL240</f>
        <v>0</v>
      </c>
      <c r="BM145" s="171">
        <f xml:space="preserve"> Предпосылки!BM240</f>
        <v>0</v>
      </c>
      <c r="BN145" s="171">
        <f xml:space="preserve"> Предпосылки!BN240</f>
        <v>0</v>
      </c>
      <c r="BO145" s="171">
        <f xml:space="preserve"> Предпосылки!BO240</f>
        <v>0</v>
      </c>
      <c r="BP145" s="171">
        <f xml:space="preserve"> Предпосылки!BP240</f>
        <v>0</v>
      </c>
      <c r="BQ145" s="171">
        <f xml:space="preserve"> Предпосылки!BQ240</f>
        <v>0</v>
      </c>
      <c r="BR145" s="171">
        <f xml:space="preserve"> Предпосылки!BR240</f>
        <v>0</v>
      </c>
      <c r="BS145" s="171">
        <f xml:space="preserve"> Предпосылки!BS240</f>
        <v>0</v>
      </c>
      <c r="BT145" s="171">
        <f xml:space="preserve"> Предпосылки!BT240</f>
        <v>0</v>
      </c>
      <c r="BU145" s="171">
        <f xml:space="preserve"> Предпосылки!BU240</f>
        <v>0</v>
      </c>
      <c r="BV145" s="171">
        <f xml:space="preserve"> Предпосылки!BV240</f>
        <v>0</v>
      </c>
      <c r="BW145" s="171">
        <f xml:space="preserve"> Предпосылки!BW240</f>
        <v>0</v>
      </c>
      <c r="BX145" s="171">
        <f xml:space="preserve"> Предпосылки!BX240</f>
        <v>0</v>
      </c>
      <c r="BY145" s="171">
        <f xml:space="preserve"> Предпосылки!BY240</f>
        <v>0</v>
      </c>
      <c r="BZ145" s="171">
        <f xml:space="preserve"> Предпосылки!BZ240</f>
        <v>0</v>
      </c>
      <c r="CA145" s="171">
        <f xml:space="preserve"> Предпосылки!CA240</f>
        <v>0</v>
      </c>
      <c r="CB145" s="171">
        <f xml:space="preserve"> Предпосылки!CB240</f>
        <v>0</v>
      </c>
      <c r="CC145" s="171">
        <f xml:space="preserve"> Предпосылки!CC240</f>
        <v>0</v>
      </c>
      <c r="CD145" s="171">
        <f xml:space="preserve"> Предпосылки!CD240</f>
        <v>0</v>
      </c>
      <c r="CE145" s="171">
        <f xml:space="preserve"> Предпосылки!CE240</f>
        <v>0</v>
      </c>
      <c r="CF145" s="171">
        <f xml:space="preserve"> Предпосылки!CF240</f>
        <v>0</v>
      </c>
      <c r="CG145" s="171">
        <f xml:space="preserve"> Предпосылки!CG240</f>
        <v>0</v>
      </c>
      <c r="CH145" s="171">
        <f xml:space="preserve"> Предпосылки!CH240</f>
        <v>0</v>
      </c>
      <c r="CI145" s="171">
        <f xml:space="preserve"> Предпосылки!CI240</f>
        <v>0</v>
      </c>
      <c r="CJ145" s="171">
        <f xml:space="preserve"> Предпосылки!CJ240</f>
        <v>0</v>
      </c>
      <c r="CK145" s="171">
        <f xml:space="preserve"> Предпосылки!CK240</f>
        <v>0</v>
      </c>
      <c r="CL145" s="171">
        <f xml:space="preserve"> Предпосылки!CL240</f>
        <v>0</v>
      </c>
      <c r="CM145" s="171">
        <f xml:space="preserve"> Предпосылки!CM240</f>
        <v>0</v>
      </c>
      <c r="CN145" s="171">
        <f xml:space="preserve"> Предпосылки!CN240</f>
        <v>0</v>
      </c>
      <c r="CO145" s="171">
        <f xml:space="preserve"> Предпосылки!CO240</f>
        <v>0</v>
      </c>
    </row>
    <row r="146" spans="1:93">
      <c r="A146" s="77"/>
      <c r="B146" s="168"/>
      <c r="C146" s="17" t="s">
        <v>632</v>
      </c>
      <c r="D146" s="10"/>
      <c r="E146" s="184">
        <f xml:space="preserve"> Предпосылки!E234 * $I$104 * $I$109</f>
        <v>0</v>
      </c>
      <c r="F146" s="11"/>
      <c r="G146" s="11" t="str">
        <f>Monetary_Unit</f>
        <v>тыс. руб.</v>
      </c>
      <c r="H146" s="10"/>
      <c r="I146" s="10"/>
      <c r="J146" s="10"/>
      <c r="K146" s="10"/>
      <c r="L146" s="171">
        <f xml:space="preserve"> Предпосылки!L241</f>
        <v>0</v>
      </c>
      <c r="M146" s="171">
        <f xml:space="preserve"> Предпосылки!M241</f>
        <v>0</v>
      </c>
      <c r="N146" s="171">
        <f xml:space="preserve"> Предпосылки!N241</f>
        <v>0</v>
      </c>
      <c r="O146" s="171">
        <f xml:space="preserve"> Предпосылки!O241</f>
        <v>0</v>
      </c>
      <c r="P146" s="171">
        <f xml:space="preserve"> Предпосылки!P241</f>
        <v>0</v>
      </c>
      <c r="Q146" s="171">
        <f xml:space="preserve"> Предпосылки!Q241</f>
        <v>0</v>
      </c>
      <c r="R146" s="171">
        <f xml:space="preserve"> Предпосылки!R241</f>
        <v>0</v>
      </c>
      <c r="S146" s="171">
        <f xml:space="preserve"> Предпосылки!S241</f>
        <v>0</v>
      </c>
      <c r="T146" s="171">
        <f xml:space="preserve"> Предпосылки!T241</f>
        <v>0</v>
      </c>
      <c r="U146" s="171">
        <f xml:space="preserve"> Предпосылки!U241</f>
        <v>0</v>
      </c>
      <c r="V146" s="171">
        <f xml:space="preserve"> Предпосылки!V241</f>
        <v>0</v>
      </c>
      <c r="W146" s="171">
        <f xml:space="preserve"> Предпосылки!W241</f>
        <v>0</v>
      </c>
      <c r="X146" s="171">
        <f xml:space="preserve"> Предпосылки!X241</f>
        <v>0</v>
      </c>
      <c r="Y146" s="171">
        <f xml:space="preserve"> Предпосылки!Y241</f>
        <v>0</v>
      </c>
      <c r="Z146" s="171">
        <f xml:space="preserve"> Предпосылки!Z241</f>
        <v>0</v>
      </c>
      <c r="AA146" s="171">
        <f xml:space="preserve"> Предпосылки!AA241</f>
        <v>0</v>
      </c>
      <c r="AB146" s="171">
        <f xml:space="preserve"> Предпосылки!AB241</f>
        <v>0</v>
      </c>
      <c r="AC146" s="171">
        <f xml:space="preserve"> Предпосылки!AC241</f>
        <v>0</v>
      </c>
      <c r="AD146" s="171">
        <f xml:space="preserve"> Предпосылки!AD241</f>
        <v>0</v>
      </c>
      <c r="AE146" s="171">
        <f xml:space="preserve"> Предпосылки!AE241</f>
        <v>0</v>
      </c>
      <c r="AF146" s="171">
        <f xml:space="preserve"> Предпосылки!AF241</f>
        <v>0</v>
      </c>
      <c r="AG146" s="171">
        <f xml:space="preserve"> Предпосылки!AG241</f>
        <v>0</v>
      </c>
      <c r="AH146" s="171">
        <f xml:space="preserve"> Предпосылки!AH241</f>
        <v>0</v>
      </c>
      <c r="AI146" s="171">
        <f xml:space="preserve"> Предпосылки!AI241</f>
        <v>0</v>
      </c>
      <c r="AJ146" s="171">
        <f xml:space="preserve"> Предпосылки!AJ241</f>
        <v>0</v>
      </c>
      <c r="AK146" s="171">
        <f xml:space="preserve"> Предпосылки!AK241</f>
        <v>0</v>
      </c>
      <c r="AL146" s="171">
        <f xml:space="preserve"> Предпосылки!AL241</f>
        <v>0</v>
      </c>
      <c r="AM146" s="171">
        <f xml:space="preserve"> Предпосылки!AM241</f>
        <v>0</v>
      </c>
      <c r="AN146" s="171">
        <f xml:space="preserve"> Предпосылки!AN241</f>
        <v>0</v>
      </c>
      <c r="AO146" s="171">
        <f xml:space="preserve"> Предпосылки!AO241</f>
        <v>0</v>
      </c>
      <c r="AP146" s="171">
        <f xml:space="preserve"> Предпосылки!AP241</f>
        <v>0</v>
      </c>
      <c r="AQ146" s="171">
        <f xml:space="preserve"> Предпосылки!AQ241</f>
        <v>0</v>
      </c>
      <c r="AR146" s="171">
        <f xml:space="preserve"> Предпосылки!AR241</f>
        <v>0</v>
      </c>
      <c r="AS146" s="171">
        <f xml:space="preserve"> Предпосылки!AS241</f>
        <v>0</v>
      </c>
      <c r="AT146" s="171">
        <f xml:space="preserve"> Предпосылки!AT241</f>
        <v>0</v>
      </c>
      <c r="AU146" s="171">
        <f xml:space="preserve"> Предпосылки!AU241</f>
        <v>0</v>
      </c>
      <c r="AV146" s="171">
        <f xml:space="preserve"> Предпосылки!AV241</f>
        <v>0</v>
      </c>
      <c r="AW146" s="171">
        <f xml:space="preserve"> Предпосылки!AW241</f>
        <v>0</v>
      </c>
      <c r="AX146" s="171">
        <f xml:space="preserve"> Предпосылки!AX241</f>
        <v>0</v>
      </c>
      <c r="AY146" s="171">
        <f xml:space="preserve"> Предпосылки!AY241</f>
        <v>0</v>
      </c>
      <c r="AZ146" s="171">
        <f xml:space="preserve"> Предпосылки!AZ241</f>
        <v>0</v>
      </c>
      <c r="BA146" s="171">
        <f xml:space="preserve"> Предпосылки!BA241</f>
        <v>0</v>
      </c>
      <c r="BB146" s="171">
        <f xml:space="preserve"> Предпосылки!BB241</f>
        <v>0</v>
      </c>
      <c r="BC146" s="171">
        <f xml:space="preserve"> Предпосылки!BC241</f>
        <v>0</v>
      </c>
      <c r="BD146" s="171">
        <f xml:space="preserve"> Предпосылки!BD241</f>
        <v>0</v>
      </c>
      <c r="BE146" s="171">
        <f xml:space="preserve"> Предпосылки!BE241</f>
        <v>0</v>
      </c>
      <c r="BF146" s="171">
        <f xml:space="preserve"> Предпосылки!BF241</f>
        <v>0</v>
      </c>
      <c r="BG146" s="171">
        <f xml:space="preserve"> Предпосылки!BG241</f>
        <v>0</v>
      </c>
      <c r="BH146" s="171">
        <f xml:space="preserve"> Предпосылки!BH241</f>
        <v>0</v>
      </c>
      <c r="BI146" s="171">
        <f xml:space="preserve"> Предпосылки!BI241</f>
        <v>0</v>
      </c>
      <c r="BJ146" s="171">
        <f xml:space="preserve"> Предпосылки!BJ241</f>
        <v>0</v>
      </c>
      <c r="BK146" s="171">
        <f xml:space="preserve"> Предпосылки!BK241</f>
        <v>0</v>
      </c>
      <c r="BL146" s="171">
        <f xml:space="preserve"> Предпосылки!BL241</f>
        <v>0</v>
      </c>
      <c r="BM146" s="171">
        <f xml:space="preserve"> Предпосылки!BM241</f>
        <v>0</v>
      </c>
      <c r="BN146" s="171">
        <f xml:space="preserve"> Предпосылки!BN241</f>
        <v>0</v>
      </c>
      <c r="BO146" s="171">
        <f xml:space="preserve"> Предпосылки!BO241</f>
        <v>0</v>
      </c>
      <c r="BP146" s="171">
        <f xml:space="preserve"> Предпосылки!BP241</f>
        <v>0</v>
      </c>
      <c r="BQ146" s="171">
        <f xml:space="preserve"> Предпосылки!BQ241</f>
        <v>0</v>
      </c>
      <c r="BR146" s="171">
        <f xml:space="preserve"> Предпосылки!BR241</f>
        <v>0</v>
      </c>
      <c r="BS146" s="171">
        <f xml:space="preserve"> Предпосылки!BS241</f>
        <v>0</v>
      </c>
      <c r="BT146" s="171">
        <f xml:space="preserve"> Предпосылки!BT241</f>
        <v>0</v>
      </c>
      <c r="BU146" s="171">
        <f xml:space="preserve"> Предпосылки!BU241</f>
        <v>0</v>
      </c>
      <c r="BV146" s="171">
        <f xml:space="preserve"> Предпосылки!BV241</f>
        <v>0</v>
      </c>
      <c r="BW146" s="171">
        <f xml:space="preserve"> Предпосылки!BW241</f>
        <v>0</v>
      </c>
      <c r="BX146" s="171">
        <f xml:space="preserve"> Предпосылки!BX241</f>
        <v>0</v>
      </c>
      <c r="BY146" s="171">
        <f xml:space="preserve"> Предпосылки!BY241</f>
        <v>0</v>
      </c>
      <c r="BZ146" s="171">
        <f xml:space="preserve"> Предпосылки!BZ241</f>
        <v>0</v>
      </c>
      <c r="CA146" s="171">
        <f xml:space="preserve"> Предпосылки!CA241</f>
        <v>0</v>
      </c>
      <c r="CB146" s="171">
        <f xml:space="preserve"> Предпосылки!CB241</f>
        <v>0</v>
      </c>
      <c r="CC146" s="171">
        <f xml:space="preserve"> Предпосылки!CC241</f>
        <v>0</v>
      </c>
      <c r="CD146" s="171">
        <f xml:space="preserve"> Предпосылки!CD241</f>
        <v>0</v>
      </c>
      <c r="CE146" s="171">
        <f xml:space="preserve"> Предпосылки!CE241</f>
        <v>0</v>
      </c>
      <c r="CF146" s="171">
        <f xml:space="preserve"> Предпосылки!CF241</f>
        <v>0</v>
      </c>
      <c r="CG146" s="171">
        <f xml:space="preserve"> Предпосылки!CG241</f>
        <v>0</v>
      </c>
      <c r="CH146" s="171">
        <f xml:space="preserve"> Предпосылки!CH241</f>
        <v>0</v>
      </c>
      <c r="CI146" s="171">
        <f xml:space="preserve"> Предпосылки!CI241</f>
        <v>0</v>
      </c>
      <c r="CJ146" s="171">
        <f xml:space="preserve"> Предпосылки!CJ241</f>
        <v>0</v>
      </c>
      <c r="CK146" s="171">
        <f xml:space="preserve"> Предпосылки!CK241</f>
        <v>0</v>
      </c>
      <c r="CL146" s="171">
        <f xml:space="preserve"> Предпосылки!CL241</f>
        <v>0</v>
      </c>
      <c r="CM146" s="171">
        <f xml:space="preserve"> Предпосылки!CM241</f>
        <v>0</v>
      </c>
      <c r="CN146" s="171">
        <f xml:space="preserve"> Предпосылки!CN241</f>
        <v>0</v>
      </c>
      <c r="CO146" s="171">
        <f xml:space="preserve"> Предпосылки!CO241</f>
        <v>0</v>
      </c>
    </row>
    <row r="147" spans="1:93">
      <c r="A147" s="77"/>
      <c r="B147" s="168"/>
      <c r="C147" s="17" t="s">
        <v>821</v>
      </c>
      <c r="D147" s="10"/>
      <c r="E147" s="184">
        <f xml:space="preserve"> Предпосылки!E235 * $I$104 * $I$109</f>
        <v>0</v>
      </c>
      <c r="F147" s="11"/>
      <c r="G147" s="11" t="str">
        <f>Monetary_Unit</f>
        <v>тыс. руб.</v>
      </c>
      <c r="H147" s="10"/>
      <c r="I147" s="10"/>
      <c r="J147" s="10"/>
      <c r="K147" s="10"/>
      <c r="L147" s="171">
        <f xml:space="preserve"> Предпосылки!L242</f>
        <v>0</v>
      </c>
      <c r="M147" s="171">
        <f xml:space="preserve"> Предпосылки!M242</f>
        <v>0</v>
      </c>
      <c r="N147" s="171">
        <f xml:space="preserve"> Предпосылки!N242</f>
        <v>0</v>
      </c>
      <c r="O147" s="171">
        <f xml:space="preserve"> Предпосылки!O242</f>
        <v>0</v>
      </c>
      <c r="P147" s="171">
        <f xml:space="preserve"> Предпосылки!P242</f>
        <v>0</v>
      </c>
      <c r="Q147" s="171">
        <f xml:space="preserve"> Предпосылки!Q242</f>
        <v>0</v>
      </c>
      <c r="R147" s="171">
        <f xml:space="preserve"> Предпосылки!R242</f>
        <v>0</v>
      </c>
      <c r="S147" s="171">
        <f xml:space="preserve"> Предпосылки!S242</f>
        <v>0</v>
      </c>
      <c r="T147" s="171">
        <f xml:space="preserve"> Предпосылки!T242</f>
        <v>0</v>
      </c>
      <c r="U147" s="171">
        <f xml:space="preserve"> Предпосылки!U242</f>
        <v>0</v>
      </c>
      <c r="V147" s="171">
        <f xml:space="preserve"> Предпосылки!V242</f>
        <v>0</v>
      </c>
      <c r="W147" s="171">
        <f xml:space="preserve"> Предпосылки!W242</f>
        <v>0</v>
      </c>
      <c r="X147" s="171">
        <f xml:space="preserve"> Предпосылки!X242</f>
        <v>0</v>
      </c>
      <c r="Y147" s="171">
        <f xml:space="preserve"> Предпосылки!Y242</f>
        <v>0</v>
      </c>
      <c r="Z147" s="171">
        <f xml:space="preserve"> Предпосылки!Z242</f>
        <v>0</v>
      </c>
      <c r="AA147" s="171">
        <f xml:space="preserve"> Предпосылки!AA242</f>
        <v>0</v>
      </c>
      <c r="AB147" s="171">
        <f xml:space="preserve"> Предпосылки!AB242</f>
        <v>0</v>
      </c>
      <c r="AC147" s="171">
        <f xml:space="preserve"> Предпосылки!AC242</f>
        <v>0</v>
      </c>
      <c r="AD147" s="171">
        <f xml:space="preserve"> Предпосылки!AD242</f>
        <v>0</v>
      </c>
      <c r="AE147" s="171">
        <f xml:space="preserve"> Предпосылки!AE242</f>
        <v>0</v>
      </c>
      <c r="AF147" s="171">
        <f xml:space="preserve"> Предпосылки!AF242</f>
        <v>0</v>
      </c>
      <c r="AG147" s="171">
        <f xml:space="preserve"> Предпосылки!AG242</f>
        <v>0</v>
      </c>
      <c r="AH147" s="171">
        <f xml:space="preserve"> Предпосылки!AH242</f>
        <v>0</v>
      </c>
      <c r="AI147" s="171">
        <f xml:space="preserve"> Предпосылки!AI242</f>
        <v>0</v>
      </c>
      <c r="AJ147" s="171">
        <f xml:space="preserve"> Предпосылки!AJ242</f>
        <v>0</v>
      </c>
      <c r="AK147" s="171">
        <f xml:space="preserve"> Предпосылки!AK242</f>
        <v>0</v>
      </c>
      <c r="AL147" s="171">
        <f xml:space="preserve"> Предпосылки!AL242</f>
        <v>0</v>
      </c>
      <c r="AM147" s="171">
        <f xml:space="preserve"> Предпосылки!AM242</f>
        <v>0</v>
      </c>
      <c r="AN147" s="171">
        <f xml:space="preserve"> Предпосылки!AN242</f>
        <v>0</v>
      </c>
      <c r="AO147" s="171">
        <f xml:space="preserve"> Предпосылки!AO242</f>
        <v>0</v>
      </c>
      <c r="AP147" s="171">
        <f xml:space="preserve"> Предпосылки!AP242</f>
        <v>0</v>
      </c>
      <c r="AQ147" s="171">
        <f xml:space="preserve"> Предпосылки!AQ242</f>
        <v>0</v>
      </c>
      <c r="AR147" s="171">
        <f xml:space="preserve"> Предпосылки!AR242</f>
        <v>0</v>
      </c>
      <c r="AS147" s="171">
        <f xml:space="preserve"> Предпосылки!AS242</f>
        <v>0</v>
      </c>
      <c r="AT147" s="171">
        <f xml:space="preserve"> Предпосылки!AT242</f>
        <v>0</v>
      </c>
      <c r="AU147" s="171">
        <f xml:space="preserve"> Предпосылки!AU242</f>
        <v>0</v>
      </c>
      <c r="AV147" s="171">
        <f xml:space="preserve"> Предпосылки!AV242</f>
        <v>0</v>
      </c>
      <c r="AW147" s="171">
        <f xml:space="preserve"> Предпосылки!AW242</f>
        <v>0</v>
      </c>
      <c r="AX147" s="171">
        <f xml:space="preserve"> Предпосылки!AX242</f>
        <v>0</v>
      </c>
      <c r="AY147" s="171">
        <f xml:space="preserve"> Предпосылки!AY242</f>
        <v>0</v>
      </c>
      <c r="AZ147" s="171">
        <f xml:space="preserve"> Предпосылки!AZ242</f>
        <v>0</v>
      </c>
      <c r="BA147" s="171">
        <f xml:space="preserve"> Предпосылки!BA242</f>
        <v>0</v>
      </c>
      <c r="BB147" s="171">
        <f xml:space="preserve"> Предпосылки!BB242</f>
        <v>0</v>
      </c>
      <c r="BC147" s="171">
        <f xml:space="preserve"> Предпосылки!BC242</f>
        <v>0</v>
      </c>
      <c r="BD147" s="171">
        <f xml:space="preserve"> Предпосылки!BD242</f>
        <v>0</v>
      </c>
      <c r="BE147" s="171">
        <f xml:space="preserve"> Предпосылки!BE242</f>
        <v>0</v>
      </c>
      <c r="BF147" s="171">
        <f xml:space="preserve"> Предпосылки!BF242</f>
        <v>0</v>
      </c>
      <c r="BG147" s="171">
        <f xml:space="preserve"> Предпосылки!BG242</f>
        <v>0</v>
      </c>
      <c r="BH147" s="171">
        <f xml:space="preserve"> Предпосылки!BH242</f>
        <v>0</v>
      </c>
      <c r="BI147" s="171">
        <f xml:space="preserve"> Предпосылки!BI242</f>
        <v>0</v>
      </c>
      <c r="BJ147" s="171">
        <f xml:space="preserve"> Предпосылки!BJ242</f>
        <v>0</v>
      </c>
      <c r="BK147" s="171">
        <f xml:space="preserve"> Предпосылки!BK242</f>
        <v>0</v>
      </c>
      <c r="BL147" s="171">
        <f xml:space="preserve"> Предпосылки!BL242</f>
        <v>0</v>
      </c>
      <c r="BM147" s="171">
        <f xml:space="preserve"> Предпосылки!BM242</f>
        <v>0</v>
      </c>
      <c r="BN147" s="171">
        <f xml:space="preserve"> Предпосылки!BN242</f>
        <v>0</v>
      </c>
      <c r="BO147" s="171">
        <f xml:space="preserve"> Предпосылки!BO242</f>
        <v>0</v>
      </c>
      <c r="BP147" s="171">
        <f xml:space="preserve"> Предпосылки!BP242</f>
        <v>0</v>
      </c>
      <c r="BQ147" s="171">
        <f xml:space="preserve"> Предпосылки!BQ242</f>
        <v>0</v>
      </c>
      <c r="BR147" s="171">
        <f xml:space="preserve"> Предпосылки!BR242</f>
        <v>0</v>
      </c>
      <c r="BS147" s="171">
        <f xml:space="preserve"> Предпосылки!BS242</f>
        <v>0</v>
      </c>
      <c r="BT147" s="171">
        <f xml:space="preserve"> Предпосылки!BT242</f>
        <v>0</v>
      </c>
      <c r="BU147" s="171">
        <f xml:space="preserve"> Предпосылки!BU242</f>
        <v>0</v>
      </c>
      <c r="BV147" s="171">
        <f xml:space="preserve"> Предпосылки!BV242</f>
        <v>0</v>
      </c>
      <c r="BW147" s="171">
        <f xml:space="preserve"> Предпосылки!BW242</f>
        <v>0</v>
      </c>
      <c r="BX147" s="171">
        <f xml:space="preserve"> Предпосылки!BX242</f>
        <v>0</v>
      </c>
      <c r="BY147" s="171">
        <f xml:space="preserve"> Предпосылки!BY242</f>
        <v>0</v>
      </c>
      <c r="BZ147" s="171">
        <f xml:space="preserve"> Предпосылки!BZ242</f>
        <v>0</v>
      </c>
      <c r="CA147" s="171">
        <f xml:space="preserve"> Предпосылки!CA242</f>
        <v>0</v>
      </c>
      <c r="CB147" s="171">
        <f xml:space="preserve"> Предпосылки!CB242</f>
        <v>0</v>
      </c>
      <c r="CC147" s="171">
        <f xml:space="preserve"> Предпосылки!CC242</f>
        <v>0</v>
      </c>
      <c r="CD147" s="171">
        <f xml:space="preserve"> Предпосылки!CD242</f>
        <v>0</v>
      </c>
      <c r="CE147" s="171">
        <f xml:space="preserve"> Предпосылки!CE242</f>
        <v>0</v>
      </c>
      <c r="CF147" s="171">
        <f xml:space="preserve"> Предпосылки!CF242</f>
        <v>0</v>
      </c>
      <c r="CG147" s="171">
        <f xml:space="preserve"> Предпосылки!CG242</f>
        <v>0</v>
      </c>
      <c r="CH147" s="171">
        <f xml:space="preserve"> Предпосылки!CH242</f>
        <v>0</v>
      </c>
      <c r="CI147" s="171">
        <f xml:space="preserve"> Предпосылки!CI242</f>
        <v>0</v>
      </c>
      <c r="CJ147" s="171">
        <f xml:space="preserve"> Предпосылки!CJ242</f>
        <v>0</v>
      </c>
      <c r="CK147" s="171">
        <f xml:space="preserve"> Предпосылки!CK242</f>
        <v>0</v>
      </c>
      <c r="CL147" s="171">
        <f xml:space="preserve"> Предпосылки!CL242</f>
        <v>0</v>
      </c>
      <c r="CM147" s="171">
        <f xml:space="preserve"> Предпосылки!CM242</f>
        <v>0</v>
      </c>
      <c r="CN147" s="171">
        <f xml:space="preserve"> Предпосылки!CN242</f>
        <v>0</v>
      </c>
      <c r="CO147" s="171">
        <f xml:space="preserve"> Предпосылки!CO242</f>
        <v>0</v>
      </c>
    </row>
    <row r="148" spans="1:93">
      <c r="A148" s="77"/>
      <c r="B148" s="168"/>
      <c r="C148" s="17" t="s">
        <v>797</v>
      </c>
      <c r="D148" s="10"/>
      <c r="E148" s="232">
        <f xml:space="preserve"> Предпосылки!E230</f>
        <v>0</v>
      </c>
      <c r="F148" s="11"/>
      <c r="G148" s="11" t="s">
        <v>629</v>
      </c>
      <c r="H148" s="10"/>
      <c r="I148" s="10"/>
      <c r="J148" s="10"/>
      <c r="K148" s="1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170"/>
      <c r="BF148" s="170"/>
      <c r="BG148" s="170"/>
      <c r="BH148" s="170"/>
      <c r="BI148" s="170"/>
      <c r="BJ148" s="170"/>
      <c r="BK148" s="170"/>
      <c r="BL148" s="170"/>
      <c r="BM148" s="170"/>
      <c r="BN148" s="170"/>
      <c r="BO148" s="170"/>
      <c r="BP148" s="170"/>
      <c r="BQ148" s="170"/>
      <c r="BR148" s="170"/>
      <c r="BS148" s="170"/>
      <c r="BT148" s="170"/>
      <c r="BU148" s="170"/>
      <c r="BV148" s="170"/>
      <c r="BW148" s="170"/>
      <c r="BX148" s="170"/>
      <c r="BY148" s="170"/>
      <c r="BZ148" s="170"/>
      <c r="CA148" s="170"/>
      <c r="CB148" s="170"/>
      <c r="CC148" s="170"/>
      <c r="CD148" s="170"/>
      <c r="CE148" s="170"/>
      <c r="CF148" s="170"/>
      <c r="CG148" s="170"/>
      <c r="CH148" s="170"/>
      <c r="CI148" s="170"/>
      <c r="CJ148" s="170"/>
      <c r="CK148" s="170"/>
      <c r="CL148" s="170"/>
      <c r="CM148" s="170"/>
      <c r="CN148" s="170"/>
      <c r="CO148" s="170"/>
    </row>
    <row r="149" spans="1:93">
      <c r="A149" s="77"/>
      <c r="B149" s="168"/>
      <c r="C149" s="169"/>
      <c r="D149" s="10"/>
      <c r="E149" s="62"/>
      <c r="F149" s="11"/>
      <c r="G149" s="11"/>
      <c r="H149" s="10"/>
      <c r="I149" s="10"/>
      <c r="J149" s="10"/>
      <c r="K149" s="1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170"/>
      <c r="BF149" s="170"/>
      <c r="BG149" s="170"/>
      <c r="BH149" s="170"/>
      <c r="BI149" s="170"/>
      <c r="BJ149" s="170"/>
      <c r="BK149" s="170"/>
      <c r="BL149" s="170"/>
      <c r="BM149" s="170"/>
      <c r="BN149" s="170"/>
      <c r="BO149" s="170"/>
      <c r="BP149" s="170"/>
      <c r="BQ149" s="170"/>
      <c r="BR149" s="170"/>
      <c r="BS149" s="170"/>
      <c r="BT149" s="170"/>
      <c r="BU149" s="170"/>
      <c r="BV149" s="170"/>
      <c r="BW149" s="170"/>
      <c r="BX149" s="170"/>
      <c r="BY149" s="170"/>
      <c r="BZ149" s="170"/>
      <c r="CA149" s="170"/>
      <c r="CB149" s="170"/>
      <c r="CC149" s="170"/>
      <c r="CD149" s="170"/>
      <c r="CE149" s="170"/>
      <c r="CF149" s="170"/>
      <c r="CG149" s="170"/>
      <c r="CH149" s="170"/>
      <c r="CI149" s="170"/>
      <c r="CJ149" s="170"/>
      <c r="CK149" s="170"/>
      <c r="CL149" s="170"/>
      <c r="CM149" s="170"/>
      <c r="CN149" s="170"/>
      <c r="CO149" s="170"/>
    </row>
    <row r="150" spans="1:93">
      <c r="A150" s="77"/>
      <c r="B150" s="168"/>
      <c r="C150" s="17" t="s">
        <v>630</v>
      </c>
      <c r="D150" s="10"/>
      <c r="E150" s="62"/>
      <c r="F150" s="11"/>
      <c r="G150" s="11" t="str">
        <f>Monetary_Unit</f>
        <v>тыс. руб.</v>
      </c>
      <c r="H150" s="10"/>
      <c r="I150" s="23">
        <f>SUM(L150:CO150)</f>
        <v>0</v>
      </c>
      <c r="J150" s="10"/>
      <c r="K150" s="10"/>
      <c r="L150" s="10">
        <f t="shared" ref="L150:R150" si="237" xml:space="preserve"> $E145 * L145</f>
        <v>0</v>
      </c>
      <c r="M150" s="10">
        <f t="shared" si="237"/>
        <v>0</v>
      </c>
      <c r="N150" s="10">
        <f t="shared" si="237"/>
        <v>0</v>
      </c>
      <c r="O150" s="10">
        <f t="shared" si="237"/>
        <v>0</v>
      </c>
      <c r="P150" s="10">
        <f t="shared" si="237"/>
        <v>0</v>
      </c>
      <c r="Q150" s="10">
        <f t="shared" si="237"/>
        <v>0</v>
      </c>
      <c r="R150" s="10">
        <f t="shared" si="237"/>
        <v>0</v>
      </c>
      <c r="S150" s="10">
        <f xml:space="preserve"> $E145 * S145</f>
        <v>0</v>
      </c>
      <c r="T150" s="10">
        <f t="shared" ref="T150:CE150" si="238" xml:space="preserve"> $E145 * T145</f>
        <v>0</v>
      </c>
      <c r="U150" s="10">
        <f t="shared" si="238"/>
        <v>0</v>
      </c>
      <c r="V150" s="10">
        <f t="shared" si="238"/>
        <v>0</v>
      </c>
      <c r="W150" s="10">
        <f t="shared" si="238"/>
        <v>0</v>
      </c>
      <c r="X150" s="10">
        <f t="shared" si="238"/>
        <v>0</v>
      </c>
      <c r="Y150" s="10">
        <f t="shared" si="238"/>
        <v>0</v>
      </c>
      <c r="Z150" s="10">
        <f t="shared" si="238"/>
        <v>0</v>
      </c>
      <c r="AA150" s="10">
        <f t="shared" si="238"/>
        <v>0</v>
      </c>
      <c r="AB150" s="10">
        <f t="shared" si="238"/>
        <v>0</v>
      </c>
      <c r="AC150" s="10">
        <f t="shared" si="238"/>
        <v>0</v>
      </c>
      <c r="AD150" s="10">
        <f t="shared" si="238"/>
        <v>0</v>
      </c>
      <c r="AE150" s="10">
        <f t="shared" si="238"/>
        <v>0</v>
      </c>
      <c r="AF150" s="10">
        <f t="shared" si="238"/>
        <v>0</v>
      </c>
      <c r="AG150" s="10">
        <f t="shared" si="238"/>
        <v>0</v>
      </c>
      <c r="AH150" s="10">
        <f t="shared" si="238"/>
        <v>0</v>
      </c>
      <c r="AI150" s="10">
        <f t="shared" si="238"/>
        <v>0</v>
      </c>
      <c r="AJ150" s="10">
        <f t="shared" si="238"/>
        <v>0</v>
      </c>
      <c r="AK150" s="10">
        <f t="shared" si="238"/>
        <v>0</v>
      </c>
      <c r="AL150" s="10">
        <f t="shared" si="238"/>
        <v>0</v>
      </c>
      <c r="AM150" s="10">
        <f t="shared" si="238"/>
        <v>0</v>
      </c>
      <c r="AN150" s="10">
        <f t="shared" si="238"/>
        <v>0</v>
      </c>
      <c r="AO150" s="10">
        <f t="shared" si="238"/>
        <v>0</v>
      </c>
      <c r="AP150" s="10">
        <f t="shared" si="238"/>
        <v>0</v>
      </c>
      <c r="AQ150" s="10">
        <f t="shared" si="238"/>
        <v>0</v>
      </c>
      <c r="AR150" s="10">
        <f t="shared" si="238"/>
        <v>0</v>
      </c>
      <c r="AS150" s="10">
        <f t="shared" si="238"/>
        <v>0</v>
      </c>
      <c r="AT150" s="10">
        <f t="shared" si="238"/>
        <v>0</v>
      </c>
      <c r="AU150" s="10">
        <f t="shared" si="238"/>
        <v>0</v>
      </c>
      <c r="AV150" s="10">
        <f t="shared" si="238"/>
        <v>0</v>
      </c>
      <c r="AW150" s="10">
        <f t="shared" si="238"/>
        <v>0</v>
      </c>
      <c r="AX150" s="10">
        <f t="shared" si="238"/>
        <v>0</v>
      </c>
      <c r="AY150" s="10">
        <f t="shared" si="238"/>
        <v>0</v>
      </c>
      <c r="AZ150" s="10">
        <f t="shared" si="238"/>
        <v>0</v>
      </c>
      <c r="BA150" s="10">
        <f t="shared" si="238"/>
        <v>0</v>
      </c>
      <c r="BB150" s="10">
        <f t="shared" si="238"/>
        <v>0</v>
      </c>
      <c r="BC150" s="10">
        <f t="shared" si="238"/>
        <v>0</v>
      </c>
      <c r="BD150" s="10">
        <f t="shared" si="238"/>
        <v>0</v>
      </c>
      <c r="BE150" s="10">
        <f t="shared" si="238"/>
        <v>0</v>
      </c>
      <c r="BF150" s="10">
        <f t="shared" si="238"/>
        <v>0</v>
      </c>
      <c r="BG150" s="10">
        <f t="shared" si="238"/>
        <v>0</v>
      </c>
      <c r="BH150" s="10">
        <f t="shared" si="238"/>
        <v>0</v>
      </c>
      <c r="BI150" s="10">
        <f t="shared" si="238"/>
        <v>0</v>
      </c>
      <c r="BJ150" s="10">
        <f t="shared" si="238"/>
        <v>0</v>
      </c>
      <c r="BK150" s="10">
        <f t="shared" si="238"/>
        <v>0</v>
      </c>
      <c r="BL150" s="10">
        <f t="shared" si="238"/>
        <v>0</v>
      </c>
      <c r="BM150" s="10">
        <f t="shared" si="238"/>
        <v>0</v>
      </c>
      <c r="BN150" s="10">
        <f t="shared" si="238"/>
        <v>0</v>
      </c>
      <c r="BO150" s="10">
        <f t="shared" si="238"/>
        <v>0</v>
      </c>
      <c r="BP150" s="10">
        <f t="shared" si="238"/>
        <v>0</v>
      </c>
      <c r="BQ150" s="10">
        <f t="shared" si="238"/>
        <v>0</v>
      </c>
      <c r="BR150" s="10">
        <f t="shared" si="238"/>
        <v>0</v>
      </c>
      <c r="BS150" s="10">
        <f t="shared" si="238"/>
        <v>0</v>
      </c>
      <c r="BT150" s="10">
        <f t="shared" si="238"/>
        <v>0</v>
      </c>
      <c r="BU150" s="10">
        <f t="shared" si="238"/>
        <v>0</v>
      </c>
      <c r="BV150" s="10">
        <f t="shared" si="238"/>
        <v>0</v>
      </c>
      <c r="BW150" s="10">
        <f t="shared" si="238"/>
        <v>0</v>
      </c>
      <c r="BX150" s="10">
        <f t="shared" si="238"/>
        <v>0</v>
      </c>
      <c r="BY150" s="10">
        <f t="shared" si="238"/>
        <v>0</v>
      </c>
      <c r="BZ150" s="10">
        <f t="shared" si="238"/>
        <v>0</v>
      </c>
      <c r="CA150" s="10">
        <f t="shared" si="238"/>
        <v>0</v>
      </c>
      <c r="CB150" s="10">
        <f t="shared" si="238"/>
        <v>0</v>
      </c>
      <c r="CC150" s="10">
        <f t="shared" si="238"/>
        <v>0</v>
      </c>
      <c r="CD150" s="10">
        <f t="shared" si="238"/>
        <v>0</v>
      </c>
      <c r="CE150" s="10">
        <f t="shared" si="238"/>
        <v>0</v>
      </c>
      <c r="CF150" s="10">
        <f t="shared" ref="CF150:CO150" si="239" xml:space="preserve"> $E145 * CF145</f>
        <v>0</v>
      </c>
      <c r="CG150" s="10">
        <f t="shared" si="239"/>
        <v>0</v>
      </c>
      <c r="CH150" s="10">
        <f t="shared" si="239"/>
        <v>0</v>
      </c>
      <c r="CI150" s="10">
        <f t="shared" si="239"/>
        <v>0</v>
      </c>
      <c r="CJ150" s="10">
        <f t="shared" si="239"/>
        <v>0</v>
      </c>
      <c r="CK150" s="10">
        <f t="shared" si="239"/>
        <v>0</v>
      </c>
      <c r="CL150" s="10">
        <f t="shared" si="239"/>
        <v>0</v>
      </c>
      <c r="CM150" s="10">
        <f t="shared" si="239"/>
        <v>0</v>
      </c>
      <c r="CN150" s="10">
        <f t="shared" si="239"/>
        <v>0</v>
      </c>
      <c r="CO150" s="10">
        <f t="shared" si="239"/>
        <v>0</v>
      </c>
    </row>
    <row r="151" spans="1:93">
      <c r="A151" s="77"/>
      <c r="B151" s="168"/>
      <c r="C151" s="17" t="s">
        <v>632</v>
      </c>
      <c r="D151" s="10"/>
      <c r="E151" s="62"/>
      <c r="F151" s="11"/>
      <c r="G151" s="11" t="str">
        <f>Monetary_Unit</f>
        <v>тыс. руб.</v>
      </c>
      <c r="H151" s="10"/>
      <c r="I151" s="23">
        <f>SUM(L151:CO151)</f>
        <v>0</v>
      </c>
      <c r="J151" s="10"/>
      <c r="K151" s="10"/>
      <c r="L151" s="10">
        <f t="shared" ref="L151:R151" si="240" xml:space="preserve"> $E146 * L146</f>
        <v>0</v>
      </c>
      <c r="M151" s="10">
        <f t="shared" si="240"/>
        <v>0</v>
      </c>
      <c r="N151" s="10">
        <f t="shared" si="240"/>
        <v>0</v>
      </c>
      <c r="O151" s="10">
        <f t="shared" si="240"/>
        <v>0</v>
      </c>
      <c r="P151" s="10">
        <f t="shared" si="240"/>
        <v>0</v>
      </c>
      <c r="Q151" s="10">
        <f t="shared" si="240"/>
        <v>0</v>
      </c>
      <c r="R151" s="10">
        <f t="shared" si="240"/>
        <v>0</v>
      </c>
      <c r="S151" s="10">
        <f xml:space="preserve"> $E146 * S146</f>
        <v>0</v>
      </c>
      <c r="T151" s="10">
        <f t="shared" ref="T151:CE151" si="241" xml:space="preserve"> $E146 * T146</f>
        <v>0</v>
      </c>
      <c r="U151" s="10">
        <f t="shared" si="241"/>
        <v>0</v>
      </c>
      <c r="V151" s="10">
        <f t="shared" si="241"/>
        <v>0</v>
      </c>
      <c r="W151" s="10">
        <f t="shared" si="241"/>
        <v>0</v>
      </c>
      <c r="X151" s="10">
        <f t="shared" si="241"/>
        <v>0</v>
      </c>
      <c r="Y151" s="10">
        <f t="shared" si="241"/>
        <v>0</v>
      </c>
      <c r="Z151" s="10">
        <f t="shared" si="241"/>
        <v>0</v>
      </c>
      <c r="AA151" s="10">
        <f t="shared" si="241"/>
        <v>0</v>
      </c>
      <c r="AB151" s="10">
        <f t="shared" si="241"/>
        <v>0</v>
      </c>
      <c r="AC151" s="10">
        <f t="shared" si="241"/>
        <v>0</v>
      </c>
      <c r="AD151" s="10">
        <f t="shared" si="241"/>
        <v>0</v>
      </c>
      <c r="AE151" s="10">
        <f t="shared" si="241"/>
        <v>0</v>
      </c>
      <c r="AF151" s="10">
        <f t="shared" si="241"/>
        <v>0</v>
      </c>
      <c r="AG151" s="10">
        <f t="shared" si="241"/>
        <v>0</v>
      </c>
      <c r="AH151" s="10">
        <f t="shared" si="241"/>
        <v>0</v>
      </c>
      <c r="AI151" s="10">
        <f t="shared" si="241"/>
        <v>0</v>
      </c>
      <c r="AJ151" s="10">
        <f t="shared" si="241"/>
        <v>0</v>
      </c>
      <c r="AK151" s="10">
        <f t="shared" si="241"/>
        <v>0</v>
      </c>
      <c r="AL151" s="10">
        <f t="shared" si="241"/>
        <v>0</v>
      </c>
      <c r="AM151" s="10">
        <f t="shared" si="241"/>
        <v>0</v>
      </c>
      <c r="AN151" s="10">
        <f t="shared" si="241"/>
        <v>0</v>
      </c>
      <c r="AO151" s="10">
        <f t="shared" si="241"/>
        <v>0</v>
      </c>
      <c r="AP151" s="10">
        <f t="shared" si="241"/>
        <v>0</v>
      </c>
      <c r="AQ151" s="10">
        <f t="shared" si="241"/>
        <v>0</v>
      </c>
      <c r="AR151" s="10">
        <f t="shared" si="241"/>
        <v>0</v>
      </c>
      <c r="AS151" s="10">
        <f t="shared" si="241"/>
        <v>0</v>
      </c>
      <c r="AT151" s="10">
        <f t="shared" si="241"/>
        <v>0</v>
      </c>
      <c r="AU151" s="10">
        <f t="shared" si="241"/>
        <v>0</v>
      </c>
      <c r="AV151" s="10">
        <f t="shared" si="241"/>
        <v>0</v>
      </c>
      <c r="AW151" s="10">
        <f t="shared" si="241"/>
        <v>0</v>
      </c>
      <c r="AX151" s="10">
        <f t="shared" si="241"/>
        <v>0</v>
      </c>
      <c r="AY151" s="10">
        <f t="shared" si="241"/>
        <v>0</v>
      </c>
      <c r="AZ151" s="10">
        <f t="shared" si="241"/>
        <v>0</v>
      </c>
      <c r="BA151" s="10">
        <f t="shared" si="241"/>
        <v>0</v>
      </c>
      <c r="BB151" s="10">
        <f t="shared" si="241"/>
        <v>0</v>
      </c>
      <c r="BC151" s="10">
        <f t="shared" si="241"/>
        <v>0</v>
      </c>
      <c r="BD151" s="10">
        <f t="shared" si="241"/>
        <v>0</v>
      </c>
      <c r="BE151" s="10">
        <f t="shared" si="241"/>
        <v>0</v>
      </c>
      <c r="BF151" s="10">
        <f t="shared" si="241"/>
        <v>0</v>
      </c>
      <c r="BG151" s="10">
        <f t="shared" si="241"/>
        <v>0</v>
      </c>
      <c r="BH151" s="10">
        <f t="shared" si="241"/>
        <v>0</v>
      </c>
      <c r="BI151" s="10">
        <f t="shared" si="241"/>
        <v>0</v>
      </c>
      <c r="BJ151" s="10">
        <f t="shared" si="241"/>
        <v>0</v>
      </c>
      <c r="BK151" s="10">
        <f t="shared" si="241"/>
        <v>0</v>
      </c>
      <c r="BL151" s="10">
        <f t="shared" si="241"/>
        <v>0</v>
      </c>
      <c r="BM151" s="10">
        <f t="shared" si="241"/>
        <v>0</v>
      </c>
      <c r="BN151" s="10">
        <f t="shared" si="241"/>
        <v>0</v>
      </c>
      <c r="BO151" s="10">
        <f t="shared" si="241"/>
        <v>0</v>
      </c>
      <c r="BP151" s="10">
        <f t="shared" si="241"/>
        <v>0</v>
      </c>
      <c r="BQ151" s="10">
        <f t="shared" si="241"/>
        <v>0</v>
      </c>
      <c r="BR151" s="10">
        <f t="shared" si="241"/>
        <v>0</v>
      </c>
      <c r="BS151" s="10">
        <f t="shared" si="241"/>
        <v>0</v>
      </c>
      <c r="BT151" s="10">
        <f t="shared" si="241"/>
        <v>0</v>
      </c>
      <c r="BU151" s="10">
        <f t="shared" si="241"/>
        <v>0</v>
      </c>
      <c r="BV151" s="10">
        <f t="shared" si="241"/>
        <v>0</v>
      </c>
      <c r="BW151" s="10">
        <f t="shared" si="241"/>
        <v>0</v>
      </c>
      <c r="BX151" s="10">
        <f t="shared" si="241"/>
        <v>0</v>
      </c>
      <c r="BY151" s="10">
        <f t="shared" si="241"/>
        <v>0</v>
      </c>
      <c r="BZ151" s="10">
        <f t="shared" si="241"/>
        <v>0</v>
      </c>
      <c r="CA151" s="10">
        <f t="shared" si="241"/>
        <v>0</v>
      </c>
      <c r="CB151" s="10">
        <f t="shared" si="241"/>
        <v>0</v>
      </c>
      <c r="CC151" s="10">
        <f t="shared" si="241"/>
        <v>0</v>
      </c>
      <c r="CD151" s="10">
        <f t="shared" si="241"/>
        <v>0</v>
      </c>
      <c r="CE151" s="10">
        <f t="shared" si="241"/>
        <v>0</v>
      </c>
      <c r="CF151" s="10">
        <f t="shared" ref="CF151:CO151" si="242" xml:space="preserve"> $E146 * CF146</f>
        <v>0</v>
      </c>
      <c r="CG151" s="10">
        <f t="shared" si="242"/>
        <v>0</v>
      </c>
      <c r="CH151" s="10">
        <f t="shared" si="242"/>
        <v>0</v>
      </c>
      <c r="CI151" s="10">
        <f t="shared" si="242"/>
        <v>0</v>
      </c>
      <c r="CJ151" s="10">
        <f t="shared" si="242"/>
        <v>0</v>
      </c>
      <c r="CK151" s="10">
        <f t="shared" si="242"/>
        <v>0</v>
      </c>
      <c r="CL151" s="10">
        <f t="shared" si="242"/>
        <v>0</v>
      </c>
      <c r="CM151" s="10">
        <f t="shared" si="242"/>
        <v>0</v>
      </c>
      <c r="CN151" s="10">
        <f t="shared" si="242"/>
        <v>0</v>
      </c>
      <c r="CO151" s="10">
        <f t="shared" si="242"/>
        <v>0</v>
      </c>
    </row>
    <row r="152" spans="1:93">
      <c r="A152" s="77"/>
      <c r="B152" s="168"/>
      <c r="C152" s="17" t="s">
        <v>821</v>
      </c>
      <c r="D152" s="10"/>
      <c r="E152" s="62"/>
      <c r="F152" s="11"/>
      <c r="G152" s="11" t="str">
        <f>Monetary_Unit</f>
        <v>тыс. руб.</v>
      </c>
      <c r="H152" s="10"/>
      <c r="I152" s="23">
        <f>SUM(L152:CO152)</f>
        <v>0</v>
      </c>
      <c r="J152" s="10"/>
      <c r="K152" s="10"/>
      <c r="L152" s="10">
        <f t="shared" ref="L152:R152" si="243" xml:space="preserve"> $E147 * L147</f>
        <v>0</v>
      </c>
      <c r="M152" s="10">
        <f t="shared" si="243"/>
        <v>0</v>
      </c>
      <c r="N152" s="10">
        <f t="shared" si="243"/>
        <v>0</v>
      </c>
      <c r="O152" s="10">
        <f t="shared" si="243"/>
        <v>0</v>
      </c>
      <c r="P152" s="10">
        <f t="shared" si="243"/>
        <v>0</v>
      </c>
      <c r="Q152" s="10">
        <f t="shared" si="243"/>
        <v>0</v>
      </c>
      <c r="R152" s="10">
        <f t="shared" si="243"/>
        <v>0</v>
      </c>
      <c r="S152" s="10">
        <f xml:space="preserve"> $E147 * S147</f>
        <v>0</v>
      </c>
      <c r="T152" s="10">
        <f t="shared" ref="T152:CE152" si="244" xml:space="preserve"> $E147 * T147</f>
        <v>0</v>
      </c>
      <c r="U152" s="10">
        <f t="shared" si="244"/>
        <v>0</v>
      </c>
      <c r="V152" s="10">
        <f t="shared" si="244"/>
        <v>0</v>
      </c>
      <c r="W152" s="10">
        <f t="shared" si="244"/>
        <v>0</v>
      </c>
      <c r="X152" s="10">
        <f t="shared" si="244"/>
        <v>0</v>
      </c>
      <c r="Y152" s="10">
        <f t="shared" si="244"/>
        <v>0</v>
      </c>
      <c r="Z152" s="10">
        <f t="shared" si="244"/>
        <v>0</v>
      </c>
      <c r="AA152" s="10">
        <f t="shared" si="244"/>
        <v>0</v>
      </c>
      <c r="AB152" s="10">
        <f t="shared" si="244"/>
        <v>0</v>
      </c>
      <c r="AC152" s="10">
        <f t="shared" si="244"/>
        <v>0</v>
      </c>
      <c r="AD152" s="10">
        <f t="shared" si="244"/>
        <v>0</v>
      </c>
      <c r="AE152" s="10">
        <f t="shared" si="244"/>
        <v>0</v>
      </c>
      <c r="AF152" s="10">
        <f t="shared" si="244"/>
        <v>0</v>
      </c>
      <c r="AG152" s="10">
        <f t="shared" si="244"/>
        <v>0</v>
      </c>
      <c r="AH152" s="10">
        <f t="shared" si="244"/>
        <v>0</v>
      </c>
      <c r="AI152" s="10">
        <f t="shared" si="244"/>
        <v>0</v>
      </c>
      <c r="AJ152" s="10">
        <f t="shared" si="244"/>
        <v>0</v>
      </c>
      <c r="AK152" s="10">
        <f t="shared" si="244"/>
        <v>0</v>
      </c>
      <c r="AL152" s="10">
        <f t="shared" si="244"/>
        <v>0</v>
      </c>
      <c r="AM152" s="10">
        <f t="shared" si="244"/>
        <v>0</v>
      </c>
      <c r="AN152" s="10">
        <f t="shared" si="244"/>
        <v>0</v>
      </c>
      <c r="AO152" s="10">
        <f t="shared" si="244"/>
        <v>0</v>
      </c>
      <c r="AP152" s="10">
        <f t="shared" si="244"/>
        <v>0</v>
      </c>
      <c r="AQ152" s="10">
        <f t="shared" si="244"/>
        <v>0</v>
      </c>
      <c r="AR152" s="10">
        <f t="shared" si="244"/>
        <v>0</v>
      </c>
      <c r="AS152" s="10">
        <f t="shared" si="244"/>
        <v>0</v>
      </c>
      <c r="AT152" s="10">
        <f t="shared" si="244"/>
        <v>0</v>
      </c>
      <c r="AU152" s="10">
        <f t="shared" si="244"/>
        <v>0</v>
      </c>
      <c r="AV152" s="10">
        <f t="shared" si="244"/>
        <v>0</v>
      </c>
      <c r="AW152" s="10">
        <f t="shared" si="244"/>
        <v>0</v>
      </c>
      <c r="AX152" s="10">
        <f t="shared" si="244"/>
        <v>0</v>
      </c>
      <c r="AY152" s="10">
        <f t="shared" si="244"/>
        <v>0</v>
      </c>
      <c r="AZ152" s="10">
        <f t="shared" si="244"/>
        <v>0</v>
      </c>
      <c r="BA152" s="10">
        <f t="shared" si="244"/>
        <v>0</v>
      </c>
      <c r="BB152" s="10">
        <f t="shared" si="244"/>
        <v>0</v>
      </c>
      <c r="BC152" s="10">
        <f t="shared" si="244"/>
        <v>0</v>
      </c>
      <c r="BD152" s="10">
        <f t="shared" si="244"/>
        <v>0</v>
      </c>
      <c r="BE152" s="10">
        <f t="shared" si="244"/>
        <v>0</v>
      </c>
      <c r="BF152" s="10">
        <f t="shared" si="244"/>
        <v>0</v>
      </c>
      <c r="BG152" s="10">
        <f t="shared" si="244"/>
        <v>0</v>
      </c>
      <c r="BH152" s="10">
        <f t="shared" si="244"/>
        <v>0</v>
      </c>
      <c r="BI152" s="10">
        <f t="shared" si="244"/>
        <v>0</v>
      </c>
      <c r="BJ152" s="10">
        <f t="shared" si="244"/>
        <v>0</v>
      </c>
      <c r="BK152" s="10">
        <f t="shared" si="244"/>
        <v>0</v>
      </c>
      <c r="BL152" s="10">
        <f t="shared" si="244"/>
        <v>0</v>
      </c>
      <c r="BM152" s="10">
        <f t="shared" si="244"/>
        <v>0</v>
      </c>
      <c r="BN152" s="10">
        <f t="shared" si="244"/>
        <v>0</v>
      </c>
      <c r="BO152" s="10">
        <f t="shared" si="244"/>
        <v>0</v>
      </c>
      <c r="BP152" s="10">
        <f t="shared" si="244"/>
        <v>0</v>
      </c>
      <c r="BQ152" s="10">
        <f t="shared" si="244"/>
        <v>0</v>
      </c>
      <c r="BR152" s="10">
        <f t="shared" si="244"/>
        <v>0</v>
      </c>
      <c r="BS152" s="10">
        <f t="shared" si="244"/>
        <v>0</v>
      </c>
      <c r="BT152" s="10">
        <f t="shared" si="244"/>
        <v>0</v>
      </c>
      <c r="BU152" s="10">
        <f t="shared" si="244"/>
        <v>0</v>
      </c>
      <c r="BV152" s="10">
        <f t="shared" si="244"/>
        <v>0</v>
      </c>
      <c r="BW152" s="10">
        <f t="shared" si="244"/>
        <v>0</v>
      </c>
      <c r="BX152" s="10">
        <f t="shared" si="244"/>
        <v>0</v>
      </c>
      <c r="BY152" s="10">
        <f t="shared" si="244"/>
        <v>0</v>
      </c>
      <c r="BZ152" s="10">
        <f t="shared" si="244"/>
        <v>0</v>
      </c>
      <c r="CA152" s="10">
        <f t="shared" si="244"/>
        <v>0</v>
      </c>
      <c r="CB152" s="10">
        <f t="shared" si="244"/>
        <v>0</v>
      </c>
      <c r="CC152" s="10">
        <f t="shared" si="244"/>
        <v>0</v>
      </c>
      <c r="CD152" s="10">
        <f t="shared" si="244"/>
        <v>0</v>
      </c>
      <c r="CE152" s="10">
        <f t="shared" si="244"/>
        <v>0</v>
      </c>
      <c r="CF152" s="10">
        <f t="shared" ref="CF152:CO152" si="245" xml:space="preserve"> $E147 * CF147</f>
        <v>0</v>
      </c>
      <c r="CG152" s="10">
        <f t="shared" si="245"/>
        <v>0</v>
      </c>
      <c r="CH152" s="10">
        <f t="shared" si="245"/>
        <v>0</v>
      </c>
      <c r="CI152" s="10">
        <f t="shared" si="245"/>
        <v>0</v>
      </c>
      <c r="CJ152" s="10">
        <f t="shared" si="245"/>
        <v>0</v>
      </c>
      <c r="CK152" s="10">
        <f t="shared" si="245"/>
        <v>0</v>
      </c>
      <c r="CL152" s="10">
        <f t="shared" si="245"/>
        <v>0</v>
      </c>
      <c r="CM152" s="10">
        <f t="shared" si="245"/>
        <v>0</v>
      </c>
      <c r="CN152" s="10">
        <f t="shared" si="245"/>
        <v>0</v>
      </c>
      <c r="CO152" s="10">
        <f t="shared" si="245"/>
        <v>0</v>
      </c>
    </row>
    <row r="153" spans="1:93" ht="15.75" thickBot="1">
      <c r="A153" s="77"/>
      <c r="B153" s="168"/>
      <c r="C153" s="17" t="s">
        <v>821</v>
      </c>
      <c r="D153" s="10"/>
      <c r="E153" s="62"/>
      <c r="F153" s="11"/>
      <c r="G153" s="11" t="str">
        <f>Monetary_Unit</f>
        <v>тыс. руб.</v>
      </c>
      <c r="H153" s="10"/>
      <c r="I153" s="23">
        <f>SUM(L153:CO153)</f>
        <v>0</v>
      </c>
      <c r="J153" s="10"/>
      <c r="K153" s="10"/>
      <c r="L153" s="10">
        <f xml:space="preserve"> SUM(L150:L152)* $E$148</f>
        <v>0</v>
      </c>
      <c r="M153" s="10">
        <f t="shared" ref="M153:BX153" si="246" xml:space="preserve"> SUM(M150:M152)* $E$148</f>
        <v>0</v>
      </c>
      <c r="N153" s="10">
        <f t="shared" si="246"/>
        <v>0</v>
      </c>
      <c r="O153" s="10">
        <f t="shared" si="246"/>
        <v>0</v>
      </c>
      <c r="P153" s="10">
        <f t="shared" si="246"/>
        <v>0</v>
      </c>
      <c r="Q153" s="10">
        <f t="shared" si="246"/>
        <v>0</v>
      </c>
      <c r="R153" s="10">
        <f t="shared" si="246"/>
        <v>0</v>
      </c>
      <c r="S153" s="10">
        <f t="shared" si="246"/>
        <v>0</v>
      </c>
      <c r="T153" s="10">
        <f t="shared" si="246"/>
        <v>0</v>
      </c>
      <c r="U153" s="10">
        <f t="shared" si="246"/>
        <v>0</v>
      </c>
      <c r="V153" s="10">
        <f t="shared" si="246"/>
        <v>0</v>
      </c>
      <c r="W153" s="10">
        <f t="shared" si="246"/>
        <v>0</v>
      </c>
      <c r="X153" s="10">
        <f t="shared" si="246"/>
        <v>0</v>
      </c>
      <c r="Y153" s="10">
        <f t="shared" si="246"/>
        <v>0</v>
      </c>
      <c r="Z153" s="10">
        <f t="shared" si="246"/>
        <v>0</v>
      </c>
      <c r="AA153" s="10">
        <f t="shared" si="246"/>
        <v>0</v>
      </c>
      <c r="AB153" s="10">
        <f t="shared" si="246"/>
        <v>0</v>
      </c>
      <c r="AC153" s="10">
        <f t="shared" si="246"/>
        <v>0</v>
      </c>
      <c r="AD153" s="10">
        <f t="shared" si="246"/>
        <v>0</v>
      </c>
      <c r="AE153" s="10">
        <f t="shared" si="246"/>
        <v>0</v>
      </c>
      <c r="AF153" s="10">
        <f t="shared" si="246"/>
        <v>0</v>
      </c>
      <c r="AG153" s="10">
        <f t="shared" si="246"/>
        <v>0</v>
      </c>
      <c r="AH153" s="10">
        <f t="shared" si="246"/>
        <v>0</v>
      </c>
      <c r="AI153" s="10">
        <f t="shared" si="246"/>
        <v>0</v>
      </c>
      <c r="AJ153" s="10">
        <f t="shared" si="246"/>
        <v>0</v>
      </c>
      <c r="AK153" s="10">
        <f t="shared" si="246"/>
        <v>0</v>
      </c>
      <c r="AL153" s="10">
        <f t="shared" si="246"/>
        <v>0</v>
      </c>
      <c r="AM153" s="10">
        <f t="shared" si="246"/>
        <v>0</v>
      </c>
      <c r="AN153" s="10">
        <f t="shared" si="246"/>
        <v>0</v>
      </c>
      <c r="AO153" s="10">
        <f t="shared" si="246"/>
        <v>0</v>
      </c>
      <c r="AP153" s="10">
        <f t="shared" si="246"/>
        <v>0</v>
      </c>
      <c r="AQ153" s="10">
        <f t="shared" si="246"/>
        <v>0</v>
      </c>
      <c r="AR153" s="10">
        <f t="shared" si="246"/>
        <v>0</v>
      </c>
      <c r="AS153" s="10">
        <f t="shared" si="246"/>
        <v>0</v>
      </c>
      <c r="AT153" s="10">
        <f t="shared" si="246"/>
        <v>0</v>
      </c>
      <c r="AU153" s="10">
        <f t="shared" si="246"/>
        <v>0</v>
      </c>
      <c r="AV153" s="10">
        <f t="shared" si="246"/>
        <v>0</v>
      </c>
      <c r="AW153" s="10">
        <f t="shared" si="246"/>
        <v>0</v>
      </c>
      <c r="AX153" s="10">
        <f t="shared" si="246"/>
        <v>0</v>
      </c>
      <c r="AY153" s="10">
        <f t="shared" si="246"/>
        <v>0</v>
      </c>
      <c r="AZ153" s="10">
        <f t="shared" si="246"/>
        <v>0</v>
      </c>
      <c r="BA153" s="10">
        <f t="shared" si="246"/>
        <v>0</v>
      </c>
      <c r="BB153" s="10">
        <f t="shared" si="246"/>
        <v>0</v>
      </c>
      <c r="BC153" s="10">
        <f t="shared" si="246"/>
        <v>0</v>
      </c>
      <c r="BD153" s="10">
        <f t="shared" si="246"/>
        <v>0</v>
      </c>
      <c r="BE153" s="10">
        <f t="shared" si="246"/>
        <v>0</v>
      </c>
      <c r="BF153" s="10">
        <f t="shared" si="246"/>
        <v>0</v>
      </c>
      <c r="BG153" s="10">
        <f t="shared" si="246"/>
        <v>0</v>
      </c>
      <c r="BH153" s="10">
        <f t="shared" si="246"/>
        <v>0</v>
      </c>
      <c r="BI153" s="10">
        <f t="shared" si="246"/>
        <v>0</v>
      </c>
      <c r="BJ153" s="10">
        <f t="shared" si="246"/>
        <v>0</v>
      </c>
      <c r="BK153" s="10">
        <f t="shared" si="246"/>
        <v>0</v>
      </c>
      <c r="BL153" s="10">
        <f t="shared" si="246"/>
        <v>0</v>
      </c>
      <c r="BM153" s="10">
        <f t="shared" si="246"/>
        <v>0</v>
      </c>
      <c r="BN153" s="10">
        <f t="shared" si="246"/>
        <v>0</v>
      </c>
      <c r="BO153" s="10">
        <f t="shared" si="246"/>
        <v>0</v>
      </c>
      <c r="BP153" s="10">
        <f t="shared" si="246"/>
        <v>0</v>
      </c>
      <c r="BQ153" s="10">
        <f t="shared" si="246"/>
        <v>0</v>
      </c>
      <c r="BR153" s="10">
        <f t="shared" si="246"/>
        <v>0</v>
      </c>
      <c r="BS153" s="10">
        <f t="shared" si="246"/>
        <v>0</v>
      </c>
      <c r="BT153" s="10">
        <f t="shared" si="246"/>
        <v>0</v>
      </c>
      <c r="BU153" s="10">
        <f t="shared" si="246"/>
        <v>0</v>
      </c>
      <c r="BV153" s="10">
        <f t="shared" si="246"/>
        <v>0</v>
      </c>
      <c r="BW153" s="10">
        <f t="shared" si="246"/>
        <v>0</v>
      </c>
      <c r="BX153" s="10">
        <f t="shared" si="246"/>
        <v>0</v>
      </c>
      <c r="BY153" s="10">
        <f t="shared" ref="BY153:CO153" si="247" xml:space="preserve"> SUM(BY150:BY152)* $E$148</f>
        <v>0</v>
      </c>
      <c r="BZ153" s="10">
        <f t="shared" si="247"/>
        <v>0</v>
      </c>
      <c r="CA153" s="10">
        <f t="shared" si="247"/>
        <v>0</v>
      </c>
      <c r="CB153" s="10">
        <f t="shared" si="247"/>
        <v>0</v>
      </c>
      <c r="CC153" s="10">
        <f t="shared" si="247"/>
        <v>0</v>
      </c>
      <c r="CD153" s="10">
        <f t="shared" si="247"/>
        <v>0</v>
      </c>
      <c r="CE153" s="10">
        <f t="shared" si="247"/>
        <v>0</v>
      </c>
      <c r="CF153" s="10">
        <f t="shared" si="247"/>
        <v>0</v>
      </c>
      <c r="CG153" s="10">
        <f t="shared" si="247"/>
        <v>0</v>
      </c>
      <c r="CH153" s="10">
        <f t="shared" si="247"/>
        <v>0</v>
      </c>
      <c r="CI153" s="10">
        <f t="shared" si="247"/>
        <v>0</v>
      </c>
      <c r="CJ153" s="10">
        <f t="shared" si="247"/>
        <v>0</v>
      </c>
      <c r="CK153" s="10">
        <f t="shared" si="247"/>
        <v>0</v>
      </c>
      <c r="CL153" s="10">
        <f t="shared" si="247"/>
        <v>0</v>
      </c>
      <c r="CM153" s="10">
        <f t="shared" si="247"/>
        <v>0</v>
      </c>
      <c r="CN153" s="10">
        <f t="shared" si="247"/>
        <v>0</v>
      </c>
      <c r="CO153" s="10">
        <f t="shared" si="247"/>
        <v>0</v>
      </c>
    </row>
    <row r="154" spans="1:93" ht="15.75" thickTop="1">
      <c r="A154" s="77"/>
      <c r="B154" s="101"/>
      <c r="C154" s="49" t="s">
        <v>832</v>
      </c>
      <c r="D154" s="49"/>
      <c r="E154" s="136"/>
      <c r="F154" s="49"/>
      <c r="G154" s="159" t="str">
        <f xml:space="preserve"> Monetary_Unit</f>
        <v>тыс. руб.</v>
      </c>
      <c r="H154" s="49"/>
      <c r="I154" s="23">
        <f>SUM(L154:CO154)</f>
        <v>0</v>
      </c>
      <c r="J154" s="49"/>
      <c r="K154" s="49"/>
      <c r="L154" s="49">
        <f t="shared" ref="L154:R154" si="248" xml:space="preserve"> SUM(L150:L153)</f>
        <v>0</v>
      </c>
      <c r="M154" s="49">
        <f t="shared" si="248"/>
        <v>0</v>
      </c>
      <c r="N154" s="49">
        <f t="shared" si="248"/>
        <v>0</v>
      </c>
      <c r="O154" s="49">
        <f t="shared" si="248"/>
        <v>0</v>
      </c>
      <c r="P154" s="49">
        <f t="shared" si="248"/>
        <v>0</v>
      </c>
      <c r="Q154" s="49">
        <f t="shared" si="248"/>
        <v>0</v>
      </c>
      <c r="R154" s="49">
        <f t="shared" si="248"/>
        <v>0</v>
      </c>
      <c r="S154" s="49">
        <f xml:space="preserve"> SUM(S150:S153)</f>
        <v>0</v>
      </c>
      <c r="T154" s="49">
        <f t="shared" ref="T154:CE154" si="249" xml:space="preserve"> SUM(T150:T153)</f>
        <v>0</v>
      </c>
      <c r="U154" s="49">
        <f t="shared" si="249"/>
        <v>0</v>
      </c>
      <c r="V154" s="49">
        <f t="shared" si="249"/>
        <v>0</v>
      </c>
      <c r="W154" s="49">
        <f t="shared" si="249"/>
        <v>0</v>
      </c>
      <c r="X154" s="49">
        <f t="shared" si="249"/>
        <v>0</v>
      </c>
      <c r="Y154" s="49">
        <f t="shared" si="249"/>
        <v>0</v>
      </c>
      <c r="Z154" s="49">
        <f t="shared" si="249"/>
        <v>0</v>
      </c>
      <c r="AA154" s="49">
        <f t="shared" si="249"/>
        <v>0</v>
      </c>
      <c r="AB154" s="49">
        <f t="shared" si="249"/>
        <v>0</v>
      </c>
      <c r="AC154" s="49">
        <f t="shared" si="249"/>
        <v>0</v>
      </c>
      <c r="AD154" s="49">
        <f t="shared" si="249"/>
        <v>0</v>
      </c>
      <c r="AE154" s="49">
        <f t="shared" si="249"/>
        <v>0</v>
      </c>
      <c r="AF154" s="49">
        <f t="shared" si="249"/>
        <v>0</v>
      </c>
      <c r="AG154" s="49">
        <f t="shared" si="249"/>
        <v>0</v>
      </c>
      <c r="AH154" s="49">
        <f t="shared" si="249"/>
        <v>0</v>
      </c>
      <c r="AI154" s="49">
        <f t="shared" si="249"/>
        <v>0</v>
      </c>
      <c r="AJ154" s="49">
        <f t="shared" si="249"/>
        <v>0</v>
      </c>
      <c r="AK154" s="49">
        <f t="shared" si="249"/>
        <v>0</v>
      </c>
      <c r="AL154" s="49">
        <f t="shared" si="249"/>
        <v>0</v>
      </c>
      <c r="AM154" s="49">
        <f t="shared" si="249"/>
        <v>0</v>
      </c>
      <c r="AN154" s="49">
        <f t="shared" si="249"/>
        <v>0</v>
      </c>
      <c r="AO154" s="49">
        <f t="shared" si="249"/>
        <v>0</v>
      </c>
      <c r="AP154" s="49">
        <f t="shared" si="249"/>
        <v>0</v>
      </c>
      <c r="AQ154" s="49">
        <f t="shared" si="249"/>
        <v>0</v>
      </c>
      <c r="AR154" s="49">
        <f t="shared" si="249"/>
        <v>0</v>
      </c>
      <c r="AS154" s="49">
        <f t="shared" si="249"/>
        <v>0</v>
      </c>
      <c r="AT154" s="49">
        <f t="shared" si="249"/>
        <v>0</v>
      </c>
      <c r="AU154" s="49">
        <f t="shared" si="249"/>
        <v>0</v>
      </c>
      <c r="AV154" s="49">
        <f t="shared" si="249"/>
        <v>0</v>
      </c>
      <c r="AW154" s="49">
        <f t="shared" si="249"/>
        <v>0</v>
      </c>
      <c r="AX154" s="49">
        <f t="shared" si="249"/>
        <v>0</v>
      </c>
      <c r="AY154" s="49">
        <f t="shared" si="249"/>
        <v>0</v>
      </c>
      <c r="AZ154" s="49">
        <f t="shared" si="249"/>
        <v>0</v>
      </c>
      <c r="BA154" s="49">
        <f t="shared" si="249"/>
        <v>0</v>
      </c>
      <c r="BB154" s="49">
        <f t="shared" si="249"/>
        <v>0</v>
      </c>
      <c r="BC154" s="49">
        <f t="shared" si="249"/>
        <v>0</v>
      </c>
      <c r="BD154" s="49">
        <f t="shared" si="249"/>
        <v>0</v>
      </c>
      <c r="BE154" s="49">
        <f t="shared" si="249"/>
        <v>0</v>
      </c>
      <c r="BF154" s="49">
        <f t="shared" si="249"/>
        <v>0</v>
      </c>
      <c r="BG154" s="49">
        <f t="shared" si="249"/>
        <v>0</v>
      </c>
      <c r="BH154" s="49">
        <f t="shared" si="249"/>
        <v>0</v>
      </c>
      <c r="BI154" s="49">
        <f t="shared" si="249"/>
        <v>0</v>
      </c>
      <c r="BJ154" s="49">
        <f t="shared" si="249"/>
        <v>0</v>
      </c>
      <c r="BK154" s="49">
        <f t="shared" si="249"/>
        <v>0</v>
      </c>
      <c r="BL154" s="49">
        <f t="shared" si="249"/>
        <v>0</v>
      </c>
      <c r="BM154" s="49">
        <f t="shared" si="249"/>
        <v>0</v>
      </c>
      <c r="BN154" s="49">
        <f t="shared" si="249"/>
        <v>0</v>
      </c>
      <c r="BO154" s="49">
        <f t="shared" si="249"/>
        <v>0</v>
      </c>
      <c r="BP154" s="49">
        <f t="shared" si="249"/>
        <v>0</v>
      </c>
      <c r="BQ154" s="49">
        <f t="shared" si="249"/>
        <v>0</v>
      </c>
      <c r="BR154" s="49">
        <f t="shared" si="249"/>
        <v>0</v>
      </c>
      <c r="BS154" s="49">
        <f t="shared" si="249"/>
        <v>0</v>
      </c>
      <c r="BT154" s="49">
        <f t="shared" si="249"/>
        <v>0</v>
      </c>
      <c r="BU154" s="49">
        <f t="shared" si="249"/>
        <v>0</v>
      </c>
      <c r="BV154" s="49">
        <f t="shared" si="249"/>
        <v>0</v>
      </c>
      <c r="BW154" s="49">
        <f t="shared" si="249"/>
        <v>0</v>
      </c>
      <c r="BX154" s="49">
        <f t="shared" si="249"/>
        <v>0</v>
      </c>
      <c r="BY154" s="49">
        <f t="shared" si="249"/>
        <v>0</v>
      </c>
      <c r="BZ154" s="49">
        <f t="shared" si="249"/>
        <v>0</v>
      </c>
      <c r="CA154" s="49">
        <f t="shared" si="249"/>
        <v>0</v>
      </c>
      <c r="CB154" s="49">
        <f t="shared" si="249"/>
        <v>0</v>
      </c>
      <c r="CC154" s="49">
        <f t="shared" si="249"/>
        <v>0</v>
      </c>
      <c r="CD154" s="49">
        <f t="shared" si="249"/>
        <v>0</v>
      </c>
      <c r="CE154" s="49">
        <f t="shared" si="249"/>
        <v>0</v>
      </c>
      <c r="CF154" s="49">
        <f t="shared" ref="CF154:CO154" si="250" xml:space="preserve"> SUM(CF150:CF153)</f>
        <v>0</v>
      </c>
      <c r="CG154" s="49">
        <f t="shared" si="250"/>
        <v>0</v>
      </c>
      <c r="CH154" s="49">
        <f t="shared" si="250"/>
        <v>0</v>
      </c>
      <c r="CI154" s="49">
        <f t="shared" si="250"/>
        <v>0</v>
      </c>
      <c r="CJ154" s="49">
        <f t="shared" si="250"/>
        <v>0</v>
      </c>
      <c r="CK154" s="49">
        <f t="shared" si="250"/>
        <v>0</v>
      </c>
      <c r="CL154" s="49">
        <f t="shared" si="250"/>
        <v>0</v>
      </c>
      <c r="CM154" s="49">
        <f t="shared" si="250"/>
        <v>0</v>
      </c>
      <c r="CN154" s="49">
        <f t="shared" si="250"/>
        <v>0</v>
      </c>
      <c r="CO154" s="49">
        <f t="shared" si="250"/>
        <v>0</v>
      </c>
    </row>
    <row r="155" spans="1:93">
      <c r="A155" s="77"/>
      <c r="B155" s="168"/>
      <c r="C155" s="169"/>
      <c r="D155" s="10"/>
      <c r="E155" s="62"/>
      <c r="F155" s="11"/>
      <c r="G155" s="11"/>
      <c r="H155" s="10"/>
      <c r="I155" s="10" t="str">
        <f>IF(IFERROR(I154=Предпосылки!E237*I109*$I$104,I154=0),"")</f>
        <v/>
      </c>
      <c r="J155" s="10"/>
      <c r="K155" s="1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170"/>
      <c r="AK155" s="170"/>
      <c r="AL155" s="170"/>
      <c r="AM155" s="170"/>
      <c r="AN155" s="170"/>
      <c r="AO155" s="170"/>
      <c r="AP155" s="170"/>
      <c r="AQ155" s="170"/>
      <c r="AR155" s="170"/>
      <c r="AS155" s="170"/>
      <c r="AT155" s="170"/>
      <c r="AU155" s="170"/>
      <c r="AV155" s="170"/>
      <c r="AW155" s="170"/>
      <c r="AX155" s="170"/>
      <c r="AY155" s="170"/>
      <c r="AZ155" s="170"/>
      <c r="BA155" s="170"/>
      <c r="BB155" s="170"/>
      <c r="BC155" s="170"/>
      <c r="BD155" s="170"/>
      <c r="BE155" s="170"/>
      <c r="BF155" s="170"/>
      <c r="BG155" s="170"/>
      <c r="BH155" s="170"/>
      <c r="BI155" s="170"/>
      <c r="BJ155" s="170"/>
      <c r="BK155" s="170"/>
      <c r="BL155" s="170"/>
      <c r="BM155" s="170"/>
      <c r="BN155" s="170"/>
      <c r="BO155" s="170"/>
      <c r="BP155" s="170"/>
      <c r="BQ155" s="170"/>
      <c r="BR155" s="170"/>
      <c r="BS155" s="170"/>
      <c r="BT155" s="170"/>
      <c r="BU155" s="170"/>
      <c r="BV155" s="170"/>
      <c r="BW155" s="170"/>
      <c r="BX155" s="170"/>
      <c r="BY155" s="170"/>
      <c r="BZ155" s="170"/>
      <c r="CA155" s="170"/>
      <c r="CB155" s="170"/>
      <c r="CC155" s="170"/>
      <c r="CD155" s="170"/>
      <c r="CE155" s="170"/>
      <c r="CF155" s="170"/>
      <c r="CG155" s="170"/>
      <c r="CH155" s="170"/>
      <c r="CI155" s="170"/>
      <c r="CJ155" s="170"/>
      <c r="CK155" s="170"/>
      <c r="CL155" s="170"/>
      <c r="CM155" s="170"/>
      <c r="CN155" s="170"/>
      <c r="CO155" s="170"/>
    </row>
    <row r="156" spans="1:93" ht="16.5" thickBot="1">
      <c r="A156" s="9"/>
      <c r="B156" s="168"/>
      <c r="C156" s="12" t="s">
        <v>650</v>
      </c>
      <c r="D156" s="12"/>
      <c r="E156" s="12"/>
      <c r="F156" s="12"/>
      <c r="G156" s="360"/>
      <c r="H156" s="12"/>
      <c r="I156" s="12"/>
      <c r="J156" s="10"/>
      <c r="K156" s="1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Z156" s="170"/>
      <c r="AA156" s="170"/>
      <c r="AB156" s="170"/>
      <c r="AC156" s="170"/>
      <c r="AD156" s="170"/>
      <c r="AE156" s="170"/>
      <c r="AF156" s="170"/>
      <c r="AG156" s="170"/>
      <c r="AH156" s="170"/>
      <c r="AI156" s="170"/>
      <c r="AJ156" s="170"/>
      <c r="AK156" s="170"/>
      <c r="AL156" s="170"/>
      <c r="AM156" s="170"/>
      <c r="AN156" s="170"/>
      <c r="AO156" s="170"/>
      <c r="AP156" s="170"/>
      <c r="AQ156" s="170"/>
      <c r="AR156" s="170"/>
      <c r="AS156" s="170"/>
      <c r="AT156" s="170"/>
      <c r="AU156" s="170"/>
      <c r="AV156" s="170"/>
      <c r="AW156" s="170"/>
      <c r="AX156" s="170"/>
      <c r="AY156" s="170"/>
      <c r="AZ156" s="170"/>
      <c r="BA156" s="170"/>
      <c r="BB156" s="170"/>
      <c r="BC156" s="170"/>
      <c r="BD156" s="170"/>
      <c r="BE156" s="170"/>
      <c r="BF156" s="170"/>
      <c r="BG156" s="170"/>
      <c r="BH156" s="170"/>
      <c r="BI156" s="170"/>
      <c r="BJ156" s="170"/>
      <c r="BK156" s="170"/>
      <c r="BL156" s="170"/>
      <c r="BM156" s="170"/>
      <c r="BN156" s="170"/>
      <c r="BO156" s="170"/>
      <c r="BP156" s="170"/>
      <c r="BQ156" s="170"/>
      <c r="BR156" s="170"/>
      <c r="BS156" s="170"/>
      <c r="BT156" s="170"/>
      <c r="BU156" s="170"/>
      <c r="BV156" s="170"/>
      <c r="BW156" s="170"/>
      <c r="BX156" s="170"/>
      <c r="BY156" s="170"/>
      <c r="BZ156" s="170"/>
      <c r="CA156" s="170"/>
      <c r="CB156" s="170"/>
      <c r="CC156" s="170"/>
      <c r="CD156" s="170"/>
      <c r="CE156" s="170"/>
      <c r="CF156" s="170"/>
      <c r="CG156" s="170"/>
      <c r="CH156" s="170"/>
      <c r="CI156" s="170"/>
      <c r="CJ156" s="170"/>
      <c r="CK156" s="170"/>
      <c r="CL156" s="170"/>
      <c r="CM156" s="170"/>
      <c r="CN156" s="170"/>
      <c r="CO156" s="170"/>
    </row>
    <row r="157" spans="1:93">
      <c r="A157" s="9"/>
      <c r="B157" s="168"/>
      <c r="C157" s="169"/>
      <c r="D157" s="10"/>
      <c r="E157" s="62"/>
      <c r="F157" s="11"/>
      <c r="G157" s="11"/>
      <c r="H157" s="10"/>
      <c r="I157" s="10"/>
      <c r="J157" s="10"/>
      <c r="K157" s="1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  <c r="AP157" s="170"/>
      <c r="AQ157" s="170"/>
      <c r="AR157" s="170"/>
      <c r="AS157" s="170"/>
      <c r="AT157" s="170"/>
      <c r="AU157" s="170"/>
      <c r="AV157" s="170"/>
      <c r="AW157" s="170"/>
      <c r="AX157" s="170"/>
      <c r="AY157" s="170"/>
      <c r="AZ157" s="170"/>
      <c r="BA157" s="170"/>
      <c r="BB157" s="170"/>
      <c r="BC157" s="170"/>
      <c r="BD157" s="170"/>
      <c r="BE157" s="170"/>
      <c r="BF157" s="170"/>
      <c r="BG157" s="170"/>
      <c r="BH157" s="170"/>
      <c r="BI157" s="170"/>
      <c r="BJ157" s="170"/>
      <c r="BK157" s="170"/>
      <c r="BL157" s="170"/>
      <c r="BM157" s="170"/>
      <c r="BN157" s="170"/>
      <c r="BO157" s="170"/>
      <c r="BP157" s="170"/>
      <c r="BQ157" s="170"/>
      <c r="BR157" s="170"/>
      <c r="BS157" s="170"/>
      <c r="BT157" s="170"/>
      <c r="BU157" s="170"/>
      <c r="BV157" s="170"/>
      <c r="BW157" s="170"/>
      <c r="BX157" s="170"/>
      <c r="BY157" s="170"/>
      <c r="BZ157" s="170"/>
      <c r="CA157" s="170"/>
      <c r="CB157" s="170"/>
      <c r="CC157" s="170"/>
      <c r="CD157" s="170"/>
      <c r="CE157" s="170"/>
      <c r="CF157" s="170"/>
      <c r="CG157" s="170"/>
      <c r="CH157" s="170"/>
      <c r="CI157" s="170"/>
      <c r="CJ157" s="170"/>
      <c r="CK157" s="170"/>
      <c r="CL157" s="170"/>
      <c r="CM157" s="170"/>
      <c r="CN157" s="170"/>
      <c r="CO157" s="170"/>
    </row>
    <row r="158" spans="1:93">
      <c r="A158" s="9"/>
      <c r="B158" s="168"/>
      <c r="C158" s="87" t="str">
        <f>C120</f>
        <v>Затраты на создание объектов Транспортная инфраструктура</v>
      </c>
      <c r="D158" s="10"/>
      <c r="E158" s="62"/>
      <c r="F158" s="11"/>
      <c r="G158" s="11"/>
      <c r="H158" s="10"/>
      <c r="I158" s="10"/>
      <c r="J158" s="10"/>
      <c r="K158" s="1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/>
      <c r="AR158" s="170"/>
      <c r="AS158" s="170"/>
      <c r="AT158" s="170"/>
      <c r="AU158" s="170"/>
      <c r="AV158" s="170"/>
      <c r="AW158" s="170"/>
      <c r="AX158" s="170"/>
      <c r="AY158" s="170"/>
      <c r="AZ158" s="170"/>
      <c r="BA158" s="170"/>
      <c r="BB158" s="170"/>
      <c r="BC158" s="170"/>
      <c r="BD158" s="170"/>
      <c r="BE158" s="170"/>
      <c r="BF158" s="170"/>
      <c r="BG158" s="170"/>
      <c r="BH158" s="170"/>
      <c r="BI158" s="170"/>
      <c r="BJ158" s="170"/>
      <c r="BK158" s="170"/>
      <c r="BL158" s="170"/>
      <c r="BM158" s="170"/>
      <c r="BN158" s="170"/>
      <c r="BO158" s="170"/>
      <c r="BP158" s="170"/>
      <c r="BQ158" s="170"/>
      <c r="BR158" s="170"/>
      <c r="BS158" s="170"/>
      <c r="BT158" s="170"/>
      <c r="BU158" s="170"/>
      <c r="BV158" s="170"/>
      <c r="BW158" s="170"/>
      <c r="BX158" s="170"/>
      <c r="BY158" s="170"/>
      <c r="BZ158" s="170"/>
      <c r="CA158" s="170"/>
      <c r="CB158" s="170"/>
      <c r="CC158" s="170"/>
      <c r="CD158" s="170"/>
      <c r="CE158" s="170"/>
      <c r="CF158" s="170"/>
      <c r="CG158" s="170"/>
      <c r="CH158" s="170"/>
      <c r="CI158" s="170"/>
      <c r="CJ158" s="170"/>
      <c r="CK158" s="170"/>
      <c r="CL158" s="170"/>
      <c r="CM158" s="170"/>
      <c r="CN158" s="170"/>
      <c r="CO158" s="170"/>
    </row>
    <row r="159" spans="1:93">
      <c r="A159" s="9"/>
      <c r="B159" s="168"/>
      <c r="C159" s="17" t="s">
        <v>630</v>
      </c>
      <c r="D159" s="10"/>
      <c r="E159" s="62"/>
      <c r="F159" s="11"/>
      <c r="G159" s="11" t="str">
        <f>Monetary_Unit</f>
        <v>тыс. руб.</v>
      </c>
      <c r="H159" s="10"/>
      <c r="I159" s="23">
        <f ca="1">SUM(L159:CO159)</f>
        <v>951.70602513843323</v>
      </c>
      <c r="J159" s="10"/>
      <c r="K159" s="10"/>
      <c r="L159" s="10">
        <f t="shared" ref="L159:AQ159" ca="1" si="251" xml:space="preserve"> L126 * CAPEX_Accumulated_From_Date</f>
        <v>232.91999784273011</v>
      </c>
      <c r="M159" s="10">
        <f t="shared" ca="1" si="251"/>
        <v>236.22627098779674</v>
      </c>
      <c r="N159" s="10">
        <f t="shared" ca="1" si="251"/>
        <v>239.57947630790645</v>
      </c>
      <c r="O159" s="10">
        <f t="shared" ca="1" si="251"/>
        <v>242.98027999999991</v>
      </c>
      <c r="P159" s="10">
        <f t="shared" ca="1" si="251"/>
        <v>0</v>
      </c>
      <c r="Q159" s="10">
        <f t="shared" ca="1" si="251"/>
        <v>0</v>
      </c>
      <c r="R159" s="10">
        <f t="shared" ca="1" si="251"/>
        <v>0</v>
      </c>
      <c r="S159" s="10">
        <f t="shared" ca="1" si="251"/>
        <v>0</v>
      </c>
      <c r="T159" s="10">
        <f t="shared" ca="1" si="251"/>
        <v>0</v>
      </c>
      <c r="U159" s="10">
        <f t="shared" ca="1" si="251"/>
        <v>0</v>
      </c>
      <c r="V159" s="10">
        <f t="shared" ca="1" si="251"/>
        <v>0</v>
      </c>
      <c r="W159" s="10">
        <f t="shared" ca="1" si="251"/>
        <v>0</v>
      </c>
      <c r="X159" s="10">
        <f t="shared" ca="1" si="251"/>
        <v>0</v>
      </c>
      <c r="Y159" s="10">
        <f t="shared" ca="1" si="251"/>
        <v>0</v>
      </c>
      <c r="Z159" s="10">
        <f t="shared" ca="1" si="251"/>
        <v>0</v>
      </c>
      <c r="AA159" s="10">
        <f t="shared" ca="1" si="251"/>
        <v>0</v>
      </c>
      <c r="AB159" s="10">
        <f t="shared" ca="1" si="251"/>
        <v>0</v>
      </c>
      <c r="AC159" s="10">
        <f t="shared" ca="1" si="251"/>
        <v>0</v>
      </c>
      <c r="AD159" s="10">
        <f t="shared" ca="1" si="251"/>
        <v>0</v>
      </c>
      <c r="AE159" s="10">
        <f t="shared" ca="1" si="251"/>
        <v>0</v>
      </c>
      <c r="AF159" s="10">
        <f t="shared" ca="1" si="251"/>
        <v>0</v>
      </c>
      <c r="AG159" s="10">
        <f t="shared" ca="1" si="251"/>
        <v>0</v>
      </c>
      <c r="AH159" s="10">
        <f t="shared" ca="1" si="251"/>
        <v>0</v>
      </c>
      <c r="AI159" s="10">
        <f t="shared" ca="1" si="251"/>
        <v>0</v>
      </c>
      <c r="AJ159" s="10">
        <f t="shared" ca="1" si="251"/>
        <v>0</v>
      </c>
      <c r="AK159" s="10">
        <f t="shared" ca="1" si="251"/>
        <v>0</v>
      </c>
      <c r="AL159" s="10">
        <f t="shared" ca="1" si="251"/>
        <v>0</v>
      </c>
      <c r="AM159" s="10">
        <f t="shared" ca="1" si="251"/>
        <v>0</v>
      </c>
      <c r="AN159" s="10">
        <f t="shared" ca="1" si="251"/>
        <v>0</v>
      </c>
      <c r="AO159" s="10">
        <f t="shared" ca="1" si="251"/>
        <v>0</v>
      </c>
      <c r="AP159" s="10">
        <f t="shared" ca="1" si="251"/>
        <v>0</v>
      </c>
      <c r="AQ159" s="10">
        <f t="shared" ca="1" si="251"/>
        <v>0</v>
      </c>
      <c r="AR159" s="10">
        <f t="shared" ref="AR159:BW159" ca="1" si="252" xml:space="preserve"> AR126 * CAPEX_Accumulated_From_Date</f>
        <v>0</v>
      </c>
      <c r="AS159" s="10">
        <f t="shared" ca="1" si="252"/>
        <v>0</v>
      </c>
      <c r="AT159" s="10">
        <f t="shared" ca="1" si="252"/>
        <v>0</v>
      </c>
      <c r="AU159" s="10">
        <f t="shared" ca="1" si="252"/>
        <v>0</v>
      </c>
      <c r="AV159" s="10">
        <f t="shared" ca="1" si="252"/>
        <v>0</v>
      </c>
      <c r="AW159" s="10">
        <f t="shared" ca="1" si="252"/>
        <v>0</v>
      </c>
      <c r="AX159" s="10">
        <f t="shared" ca="1" si="252"/>
        <v>0</v>
      </c>
      <c r="AY159" s="10">
        <f t="shared" ca="1" si="252"/>
        <v>0</v>
      </c>
      <c r="AZ159" s="10">
        <f t="shared" ca="1" si="252"/>
        <v>0</v>
      </c>
      <c r="BA159" s="10">
        <f t="shared" ca="1" si="252"/>
        <v>0</v>
      </c>
      <c r="BB159" s="10">
        <f t="shared" ca="1" si="252"/>
        <v>0</v>
      </c>
      <c r="BC159" s="10">
        <f t="shared" ca="1" si="252"/>
        <v>0</v>
      </c>
      <c r="BD159" s="10">
        <f t="shared" ca="1" si="252"/>
        <v>0</v>
      </c>
      <c r="BE159" s="10">
        <f t="shared" ca="1" si="252"/>
        <v>0</v>
      </c>
      <c r="BF159" s="10">
        <f t="shared" ca="1" si="252"/>
        <v>0</v>
      </c>
      <c r="BG159" s="10">
        <f t="shared" ca="1" si="252"/>
        <v>0</v>
      </c>
      <c r="BH159" s="10">
        <f t="shared" ca="1" si="252"/>
        <v>0</v>
      </c>
      <c r="BI159" s="10">
        <f t="shared" ca="1" si="252"/>
        <v>0</v>
      </c>
      <c r="BJ159" s="10">
        <f t="shared" ca="1" si="252"/>
        <v>0</v>
      </c>
      <c r="BK159" s="10">
        <f t="shared" ca="1" si="252"/>
        <v>0</v>
      </c>
      <c r="BL159" s="10">
        <f t="shared" ca="1" si="252"/>
        <v>0</v>
      </c>
      <c r="BM159" s="10">
        <f t="shared" ca="1" si="252"/>
        <v>0</v>
      </c>
      <c r="BN159" s="10">
        <f t="shared" ca="1" si="252"/>
        <v>0</v>
      </c>
      <c r="BO159" s="10">
        <f t="shared" ca="1" si="252"/>
        <v>0</v>
      </c>
      <c r="BP159" s="10">
        <f t="shared" ca="1" si="252"/>
        <v>0</v>
      </c>
      <c r="BQ159" s="10">
        <f t="shared" ca="1" si="252"/>
        <v>0</v>
      </c>
      <c r="BR159" s="10">
        <f t="shared" ca="1" si="252"/>
        <v>0</v>
      </c>
      <c r="BS159" s="10">
        <f t="shared" ca="1" si="252"/>
        <v>0</v>
      </c>
      <c r="BT159" s="10">
        <f t="shared" ca="1" si="252"/>
        <v>0</v>
      </c>
      <c r="BU159" s="10">
        <f t="shared" ca="1" si="252"/>
        <v>0</v>
      </c>
      <c r="BV159" s="10">
        <f t="shared" ca="1" si="252"/>
        <v>0</v>
      </c>
      <c r="BW159" s="10">
        <f t="shared" ca="1" si="252"/>
        <v>0</v>
      </c>
      <c r="BX159" s="10">
        <f t="shared" ref="BX159:CO159" ca="1" si="253" xml:space="preserve"> BX126 * CAPEX_Accumulated_From_Date</f>
        <v>0</v>
      </c>
      <c r="BY159" s="10">
        <f t="shared" ca="1" si="253"/>
        <v>0</v>
      </c>
      <c r="BZ159" s="10">
        <f t="shared" ca="1" si="253"/>
        <v>0</v>
      </c>
      <c r="CA159" s="10">
        <f t="shared" ca="1" si="253"/>
        <v>0</v>
      </c>
      <c r="CB159" s="10">
        <f t="shared" ca="1" si="253"/>
        <v>0</v>
      </c>
      <c r="CC159" s="10">
        <f t="shared" ca="1" si="253"/>
        <v>0</v>
      </c>
      <c r="CD159" s="10">
        <f t="shared" ca="1" si="253"/>
        <v>0</v>
      </c>
      <c r="CE159" s="10">
        <f t="shared" ca="1" si="253"/>
        <v>0</v>
      </c>
      <c r="CF159" s="10">
        <f t="shared" ca="1" si="253"/>
        <v>0</v>
      </c>
      <c r="CG159" s="10">
        <f t="shared" ca="1" si="253"/>
        <v>0</v>
      </c>
      <c r="CH159" s="10">
        <f t="shared" ca="1" si="253"/>
        <v>0</v>
      </c>
      <c r="CI159" s="10">
        <f t="shared" ca="1" si="253"/>
        <v>0</v>
      </c>
      <c r="CJ159" s="10">
        <f t="shared" ca="1" si="253"/>
        <v>0</v>
      </c>
      <c r="CK159" s="10">
        <f t="shared" ca="1" si="253"/>
        <v>0</v>
      </c>
      <c r="CL159" s="10">
        <f t="shared" ca="1" si="253"/>
        <v>0</v>
      </c>
      <c r="CM159" s="10">
        <f t="shared" ca="1" si="253"/>
        <v>0</v>
      </c>
      <c r="CN159" s="10">
        <f t="shared" ca="1" si="253"/>
        <v>0</v>
      </c>
      <c r="CO159" s="10">
        <f t="shared" ca="1" si="253"/>
        <v>0</v>
      </c>
    </row>
    <row r="160" spans="1:93">
      <c r="A160" s="9"/>
      <c r="B160" s="168"/>
      <c r="C160" s="17" t="s">
        <v>632</v>
      </c>
      <c r="D160" s="10"/>
      <c r="E160" s="62"/>
      <c r="F160" s="11"/>
      <c r="G160" s="11" t="str">
        <f>Monetary_Unit</f>
        <v>тыс. руб.</v>
      </c>
      <c r="H160" s="10"/>
      <c r="I160" s="23">
        <f ca="1">SUM(L160:CO160)</f>
        <v>0</v>
      </c>
      <c r="J160" s="10"/>
      <c r="K160" s="10"/>
      <c r="L160" s="10">
        <f t="shared" ref="L160:AQ160" ca="1" si="254" xml:space="preserve"> L127 * CAPEX_Accumulated_From_Date</f>
        <v>0</v>
      </c>
      <c r="M160" s="10">
        <f t="shared" ca="1" si="254"/>
        <v>0</v>
      </c>
      <c r="N160" s="10">
        <f t="shared" ca="1" si="254"/>
        <v>0</v>
      </c>
      <c r="O160" s="10">
        <f t="shared" ca="1" si="254"/>
        <v>0</v>
      </c>
      <c r="P160" s="10">
        <f t="shared" ca="1" si="254"/>
        <v>0</v>
      </c>
      <c r="Q160" s="10">
        <f t="shared" ca="1" si="254"/>
        <v>0</v>
      </c>
      <c r="R160" s="10">
        <f t="shared" ca="1" si="254"/>
        <v>0</v>
      </c>
      <c r="S160" s="10">
        <f t="shared" ca="1" si="254"/>
        <v>0</v>
      </c>
      <c r="T160" s="10">
        <f t="shared" ca="1" si="254"/>
        <v>0</v>
      </c>
      <c r="U160" s="10">
        <f t="shared" ca="1" si="254"/>
        <v>0</v>
      </c>
      <c r="V160" s="10">
        <f t="shared" ca="1" si="254"/>
        <v>0</v>
      </c>
      <c r="W160" s="10">
        <f t="shared" ca="1" si="254"/>
        <v>0</v>
      </c>
      <c r="X160" s="10">
        <f t="shared" ca="1" si="254"/>
        <v>0</v>
      </c>
      <c r="Y160" s="10">
        <f t="shared" ca="1" si="254"/>
        <v>0</v>
      </c>
      <c r="Z160" s="10">
        <f t="shared" ca="1" si="254"/>
        <v>0</v>
      </c>
      <c r="AA160" s="10">
        <f t="shared" ca="1" si="254"/>
        <v>0</v>
      </c>
      <c r="AB160" s="10">
        <f t="shared" ca="1" si="254"/>
        <v>0</v>
      </c>
      <c r="AC160" s="10">
        <f t="shared" ca="1" si="254"/>
        <v>0</v>
      </c>
      <c r="AD160" s="10">
        <f t="shared" ca="1" si="254"/>
        <v>0</v>
      </c>
      <c r="AE160" s="10">
        <f t="shared" ca="1" si="254"/>
        <v>0</v>
      </c>
      <c r="AF160" s="10">
        <f t="shared" ca="1" si="254"/>
        <v>0</v>
      </c>
      <c r="AG160" s="10">
        <f t="shared" ca="1" si="254"/>
        <v>0</v>
      </c>
      <c r="AH160" s="10">
        <f t="shared" ca="1" si="254"/>
        <v>0</v>
      </c>
      <c r="AI160" s="10">
        <f t="shared" ca="1" si="254"/>
        <v>0</v>
      </c>
      <c r="AJ160" s="10">
        <f t="shared" ca="1" si="254"/>
        <v>0</v>
      </c>
      <c r="AK160" s="10">
        <f t="shared" ca="1" si="254"/>
        <v>0</v>
      </c>
      <c r="AL160" s="10">
        <f t="shared" ca="1" si="254"/>
        <v>0</v>
      </c>
      <c r="AM160" s="10">
        <f t="shared" ca="1" si="254"/>
        <v>0</v>
      </c>
      <c r="AN160" s="10">
        <f t="shared" ca="1" si="254"/>
        <v>0</v>
      </c>
      <c r="AO160" s="10">
        <f t="shared" ca="1" si="254"/>
        <v>0</v>
      </c>
      <c r="AP160" s="10">
        <f t="shared" ca="1" si="254"/>
        <v>0</v>
      </c>
      <c r="AQ160" s="10">
        <f t="shared" ca="1" si="254"/>
        <v>0</v>
      </c>
      <c r="AR160" s="10">
        <f t="shared" ref="AR160:BW160" ca="1" si="255" xml:space="preserve"> AR127 * CAPEX_Accumulated_From_Date</f>
        <v>0</v>
      </c>
      <c r="AS160" s="10">
        <f t="shared" ca="1" si="255"/>
        <v>0</v>
      </c>
      <c r="AT160" s="10">
        <f t="shared" ca="1" si="255"/>
        <v>0</v>
      </c>
      <c r="AU160" s="10">
        <f t="shared" ca="1" si="255"/>
        <v>0</v>
      </c>
      <c r="AV160" s="10">
        <f t="shared" ca="1" si="255"/>
        <v>0</v>
      </c>
      <c r="AW160" s="10">
        <f t="shared" ca="1" si="255"/>
        <v>0</v>
      </c>
      <c r="AX160" s="10">
        <f t="shared" ca="1" si="255"/>
        <v>0</v>
      </c>
      <c r="AY160" s="10">
        <f t="shared" ca="1" si="255"/>
        <v>0</v>
      </c>
      <c r="AZ160" s="10">
        <f t="shared" ca="1" si="255"/>
        <v>0</v>
      </c>
      <c r="BA160" s="10">
        <f t="shared" ca="1" si="255"/>
        <v>0</v>
      </c>
      <c r="BB160" s="10">
        <f t="shared" ca="1" si="255"/>
        <v>0</v>
      </c>
      <c r="BC160" s="10">
        <f t="shared" ca="1" si="255"/>
        <v>0</v>
      </c>
      <c r="BD160" s="10">
        <f t="shared" ca="1" si="255"/>
        <v>0</v>
      </c>
      <c r="BE160" s="10">
        <f t="shared" ca="1" si="255"/>
        <v>0</v>
      </c>
      <c r="BF160" s="10">
        <f t="shared" ca="1" si="255"/>
        <v>0</v>
      </c>
      <c r="BG160" s="10">
        <f t="shared" ca="1" si="255"/>
        <v>0</v>
      </c>
      <c r="BH160" s="10">
        <f t="shared" ca="1" si="255"/>
        <v>0</v>
      </c>
      <c r="BI160" s="10">
        <f t="shared" ca="1" si="255"/>
        <v>0</v>
      </c>
      <c r="BJ160" s="10">
        <f t="shared" ca="1" si="255"/>
        <v>0</v>
      </c>
      <c r="BK160" s="10">
        <f t="shared" ca="1" si="255"/>
        <v>0</v>
      </c>
      <c r="BL160" s="10">
        <f t="shared" ca="1" si="255"/>
        <v>0</v>
      </c>
      <c r="BM160" s="10">
        <f t="shared" ca="1" si="255"/>
        <v>0</v>
      </c>
      <c r="BN160" s="10">
        <f t="shared" ca="1" si="255"/>
        <v>0</v>
      </c>
      <c r="BO160" s="10">
        <f t="shared" ca="1" si="255"/>
        <v>0</v>
      </c>
      <c r="BP160" s="10">
        <f t="shared" ca="1" si="255"/>
        <v>0</v>
      </c>
      <c r="BQ160" s="10">
        <f t="shared" ca="1" si="255"/>
        <v>0</v>
      </c>
      <c r="BR160" s="10">
        <f t="shared" ca="1" si="255"/>
        <v>0</v>
      </c>
      <c r="BS160" s="10">
        <f t="shared" ca="1" si="255"/>
        <v>0</v>
      </c>
      <c r="BT160" s="10">
        <f t="shared" ca="1" si="255"/>
        <v>0</v>
      </c>
      <c r="BU160" s="10">
        <f t="shared" ca="1" si="255"/>
        <v>0</v>
      </c>
      <c r="BV160" s="10">
        <f t="shared" ca="1" si="255"/>
        <v>0</v>
      </c>
      <c r="BW160" s="10">
        <f t="shared" ca="1" si="255"/>
        <v>0</v>
      </c>
      <c r="BX160" s="10">
        <f t="shared" ref="BX160:CO160" ca="1" si="256" xml:space="preserve"> BX127 * CAPEX_Accumulated_From_Date</f>
        <v>0</v>
      </c>
      <c r="BY160" s="10">
        <f t="shared" ca="1" si="256"/>
        <v>0</v>
      </c>
      <c r="BZ160" s="10">
        <f t="shared" ca="1" si="256"/>
        <v>0</v>
      </c>
      <c r="CA160" s="10">
        <f t="shared" ca="1" si="256"/>
        <v>0</v>
      </c>
      <c r="CB160" s="10">
        <f t="shared" ca="1" si="256"/>
        <v>0</v>
      </c>
      <c r="CC160" s="10">
        <f t="shared" ca="1" si="256"/>
        <v>0</v>
      </c>
      <c r="CD160" s="10">
        <f t="shared" ca="1" si="256"/>
        <v>0</v>
      </c>
      <c r="CE160" s="10">
        <f t="shared" ca="1" si="256"/>
        <v>0</v>
      </c>
      <c r="CF160" s="10">
        <f t="shared" ca="1" si="256"/>
        <v>0</v>
      </c>
      <c r="CG160" s="10">
        <f t="shared" ca="1" si="256"/>
        <v>0</v>
      </c>
      <c r="CH160" s="10">
        <f t="shared" ca="1" si="256"/>
        <v>0</v>
      </c>
      <c r="CI160" s="10">
        <f t="shared" ca="1" si="256"/>
        <v>0</v>
      </c>
      <c r="CJ160" s="10">
        <f t="shared" ca="1" si="256"/>
        <v>0</v>
      </c>
      <c r="CK160" s="10">
        <f t="shared" ca="1" si="256"/>
        <v>0</v>
      </c>
      <c r="CL160" s="10">
        <f t="shared" ca="1" si="256"/>
        <v>0</v>
      </c>
      <c r="CM160" s="10">
        <f t="shared" ca="1" si="256"/>
        <v>0</v>
      </c>
      <c r="CN160" s="10">
        <f t="shared" ca="1" si="256"/>
        <v>0</v>
      </c>
      <c r="CO160" s="10">
        <f t="shared" ca="1" si="256"/>
        <v>0</v>
      </c>
    </row>
    <row r="161" spans="1:94">
      <c r="A161" s="9"/>
      <c r="B161" s="168"/>
      <c r="C161" s="17" t="s">
        <v>821</v>
      </c>
      <c r="D161" s="10"/>
      <c r="E161" s="62"/>
      <c r="F161" s="11"/>
      <c r="G161" s="11" t="str">
        <f>Monetary_Unit</f>
        <v>тыс. руб.</v>
      </c>
      <c r="H161" s="10"/>
      <c r="I161" s="23">
        <f ca="1">SUM(L161:CO161)</f>
        <v>26041.836522187514</v>
      </c>
      <c r="J161" s="10"/>
      <c r="K161" s="10"/>
      <c r="L161" s="10">
        <f t="shared" ref="L161:AQ161" ca="1" si="257" xml:space="preserve"> L128 * CAPEX_Accumulated_From_Date</f>
        <v>0</v>
      </c>
      <c r="M161" s="10">
        <f t="shared" ca="1" si="257"/>
        <v>0</v>
      </c>
      <c r="N161" s="10">
        <f t="shared" ca="1" si="257"/>
        <v>0</v>
      </c>
      <c r="O161" s="10">
        <f t="shared" ca="1" si="257"/>
        <v>0</v>
      </c>
      <c r="P161" s="10">
        <f t="shared" ca="1" si="257"/>
        <v>1887.4958729401706</v>
      </c>
      <c r="Q161" s="10">
        <f t="shared" ca="1" si="257"/>
        <v>1906.094137135751</v>
      </c>
      <c r="R161" s="10">
        <f t="shared" ca="1" si="257"/>
        <v>1924.8756575895554</v>
      </c>
      <c r="S161" s="10">
        <f t="shared" ca="1" si="257"/>
        <v>1943.8422399999984</v>
      </c>
      <c r="T161" s="10">
        <f t="shared" ca="1" si="257"/>
        <v>1962.995707857777</v>
      </c>
      <c r="U161" s="10">
        <f t="shared" ca="1" si="257"/>
        <v>1982.3379026211805</v>
      </c>
      <c r="V161" s="10">
        <f t="shared" ca="1" si="257"/>
        <v>2001.8706838931366</v>
      </c>
      <c r="W161" s="10">
        <f t="shared" ca="1" si="257"/>
        <v>2021.5959295999985</v>
      </c>
      <c r="X161" s="10">
        <f t="shared" ca="1" si="257"/>
        <v>2041.5155361720872</v>
      </c>
      <c r="Y161" s="10">
        <f t="shared" ca="1" si="257"/>
        <v>2061.6314187260273</v>
      </c>
      <c r="Z161" s="10">
        <f t="shared" ca="1" si="257"/>
        <v>2081.9455112488627</v>
      </c>
      <c r="AA161" s="10">
        <f t="shared" ca="1" si="257"/>
        <v>2102.459766783998</v>
      </c>
      <c r="AB161" s="10">
        <f t="shared" ca="1" si="257"/>
        <v>2123.1761576189688</v>
      </c>
      <c r="AC161" s="10">
        <f t="shared" ca="1" si="257"/>
        <v>0</v>
      </c>
      <c r="AD161" s="10">
        <f t="shared" ca="1" si="257"/>
        <v>0</v>
      </c>
      <c r="AE161" s="10">
        <f t="shared" ca="1" si="257"/>
        <v>0</v>
      </c>
      <c r="AF161" s="10">
        <f t="shared" ca="1" si="257"/>
        <v>0</v>
      </c>
      <c r="AG161" s="10">
        <f t="shared" ca="1" si="257"/>
        <v>0</v>
      </c>
      <c r="AH161" s="10">
        <f t="shared" ca="1" si="257"/>
        <v>0</v>
      </c>
      <c r="AI161" s="10">
        <f t="shared" ca="1" si="257"/>
        <v>0</v>
      </c>
      <c r="AJ161" s="10">
        <f t="shared" ca="1" si="257"/>
        <v>0</v>
      </c>
      <c r="AK161" s="10">
        <f t="shared" ca="1" si="257"/>
        <v>0</v>
      </c>
      <c r="AL161" s="10">
        <f t="shared" ca="1" si="257"/>
        <v>0</v>
      </c>
      <c r="AM161" s="10">
        <f t="shared" ca="1" si="257"/>
        <v>0</v>
      </c>
      <c r="AN161" s="10">
        <f t="shared" ca="1" si="257"/>
        <v>0</v>
      </c>
      <c r="AO161" s="10">
        <f t="shared" ca="1" si="257"/>
        <v>0</v>
      </c>
      <c r="AP161" s="10">
        <f t="shared" ca="1" si="257"/>
        <v>0</v>
      </c>
      <c r="AQ161" s="10">
        <f t="shared" ca="1" si="257"/>
        <v>0</v>
      </c>
      <c r="AR161" s="10">
        <f t="shared" ref="AR161:BW161" ca="1" si="258" xml:space="preserve"> AR128 * CAPEX_Accumulated_From_Date</f>
        <v>0</v>
      </c>
      <c r="AS161" s="10">
        <f t="shared" ca="1" si="258"/>
        <v>0</v>
      </c>
      <c r="AT161" s="10">
        <f t="shared" ca="1" si="258"/>
        <v>0</v>
      </c>
      <c r="AU161" s="10">
        <f t="shared" ca="1" si="258"/>
        <v>0</v>
      </c>
      <c r="AV161" s="10">
        <f t="shared" ca="1" si="258"/>
        <v>0</v>
      </c>
      <c r="AW161" s="10">
        <f t="shared" ca="1" si="258"/>
        <v>0</v>
      </c>
      <c r="AX161" s="10">
        <f t="shared" ca="1" si="258"/>
        <v>0</v>
      </c>
      <c r="AY161" s="10">
        <f t="shared" ca="1" si="258"/>
        <v>0</v>
      </c>
      <c r="AZ161" s="10">
        <f t="shared" ca="1" si="258"/>
        <v>0</v>
      </c>
      <c r="BA161" s="10">
        <f t="shared" ca="1" si="258"/>
        <v>0</v>
      </c>
      <c r="BB161" s="10">
        <f t="shared" ca="1" si="258"/>
        <v>0</v>
      </c>
      <c r="BC161" s="10">
        <f t="shared" ca="1" si="258"/>
        <v>0</v>
      </c>
      <c r="BD161" s="10">
        <f t="shared" ca="1" si="258"/>
        <v>0</v>
      </c>
      <c r="BE161" s="10">
        <f t="shared" ca="1" si="258"/>
        <v>0</v>
      </c>
      <c r="BF161" s="10">
        <f t="shared" ca="1" si="258"/>
        <v>0</v>
      </c>
      <c r="BG161" s="10">
        <f t="shared" ca="1" si="258"/>
        <v>0</v>
      </c>
      <c r="BH161" s="10">
        <f t="shared" ca="1" si="258"/>
        <v>0</v>
      </c>
      <c r="BI161" s="10">
        <f t="shared" ca="1" si="258"/>
        <v>0</v>
      </c>
      <c r="BJ161" s="10">
        <f t="shared" ca="1" si="258"/>
        <v>0</v>
      </c>
      <c r="BK161" s="10">
        <f t="shared" ca="1" si="258"/>
        <v>0</v>
      </c>
      <c r="BL161" s="10">
        <f t="shared" ca="1" si="258"/>
        <v>0</v>
      </c>
      <c r="BM161" s="10">
        <f t="shared" ca="1" si="258"/>
        <v>0</v>
      </c>
      <c r="BN161" s="10">
        <f t="shared" ca="1" si="258"/>
        <v>0</v>
      </c>
      <c r="BO161" s="10">
        <f t="shared" ca="1" si="258"/>
        <v>0</v>
      </c>
      <c r="BP161" s="10">
        <f t="shared" ca="1" si="258"/>
        <v>0</v>
      </c>
      <c r="BQ161" s="10">
        <f t="shared" ca="1" si="258"/>
        <v>0</v>
      </c>
      <c r="BR161" s="10">
        <f t="shared" ca="1" si="258"/>
        <v>0</v>
      </c>
      <c r="BS161" s="10">
        <f t="shared" ca="1" si="258"/>
        <v>0</v>
      </c>
      <c r="BT161" s="10">
        <f t="shared" ca="1" si="258"/>
        <v>0</v>
      </c>
      <c r="BU161" s="10">
        <f t="shared" ca="1" si="258"/>
        <v>0</v>
      </c>
      <c r="BV161" s="10">
        <f t="shared" ca="1" si="258"/>
        <v>0</v>
      </c>
      <c r="BW161" s="10">
        <f t="shared" ca="1" si="258"/>
        <v>0</v>
      </c>
      <c r="BX161" s="10">
        <f t="shared" ref="BX161:CO161" ca="1" si="259" xml:space="preserve"> BX128 * CAPEX_Accumulated_From_Date</f>
        <v>0</v>
      </c>
      <c r="BY161" s="10">
        <f t="shared" ca="1" si="259"/>
        <v>0</v>
      </c>
      <c r="BZ161" s="10">
        <f t="shared" ca="1" si="259"/>
        <v>0</v>
      </c>
      <c r="CA161" s="10">
        <f t="shared" ca="1" si="259"/>
        <v>0</v>
      </c>
      <c r="CB161" s="10">
        <f t="shared" ca="1" si="259"/>
        <v>0</v>
      </c>
      <c r="CC161" s="10">
        <f t="shared" ca="1" si="259"/>
        <v>0</v>
      </c>
      <c r="CD161" s="10">
        <f t="shared" ca="1" si="259"/>
        <v>0</v>
      </c>
      <c r="CE161" s="10">
        <f t="shared" ca="1" si="259"/>
        <v>0</v>
      </c>
      <c r="CF161" s="10">
        <f t="shared" ca="1" si="259"/>
        <v>0</v>
      </c>
      <c r="CG161" s="10">
        <f t="shared" ca="1" si="259"/>
        <v>0</v>
      </c>
      <c r="CH161" s="10">
        <f t="shared" ca="1" si="259"/>
        <v>0</v>
      </c>
      <c r="CI161" s="10">
        <f t="shared" ca="1" si="259"/>
        <v>0</v>
      </c>
      <c r="CJ161" s="10">
        <f t="shared" ca="1" si="259"/>
        <v>0</v>
      </c>
      <c r="CK161" s="10">
        <f t="shared" ca="1" si="259"/>
        <v>0</v>
      </c>
      <c r="CL161" s="10">
        <f t="shared" ca="1" si="259"/>
        <v>0</v>
      </c>
      <c r="CM161" s="10">
        <f t="shared" ca="1" si="259"/>
        <v>0</v>
      </c>
      <c r="CN161" s="10">
        <f t="shared" ca="1" si="259"/>
        <v>0</v>
      </c>
      <c r="CO161" s="10">
        <f t="shared" ca="1" si="259"/>
        <v>0</v>
      </c>
    </row>
    <row r="162" spans="1:94" ht="15.75" thickBot="1">
      <c r="A162" s="9"/>
      <c r="B162" s="168"/>
      <c r="C162" s="17" t="s">
        <v>797</v>
      </c>
      <c r="D162" s="10"/>
      <c r="E162" s="62"/>
      <c r="F162" s="11"/>
      <c r="G162" s="11" t="str">
        <f>Monetary_Unit</f>
        <v>тыс. руб.</v>
      </c>
      <c r="H162" s="10"/>
      <c r="I162" s="23">
        <f ca="1">SUM(L162:CO162)</f>
        <v>781.2550956656255</v>
      </c>
      <c r="J162" s="10"/>
      <c r="K162" s="10"/>
      <c r="L162" s="10">
        <f t="shared" ref="L162:AQ162" ca="1" si="260" xml:space="preserve"> L129 * CAPEX_Accumulated_From_Date</f>
        <v>0</v>
      </c>
      <c r="M162" s="10">
        <f t="shared" ca="1" si="260"/>
        <v>0</v>
      </c>
      <c r="N162" s="10">
        <f t="shared" ca="1" si="260"/>
        <v>0</v>
      </c>
      <c r="O162" s="10">
        <f t="shared" ca="1" si="260"/>
        <v>0</v>
      </c>
      <c r="P162" s="10">
        <f t="shared" ca="1" si="260"/>
        <v>56.624876188205121</v>
      </c>
      <c r="Q162" s="10">
        <f t="shared" ca="1" si="260"/>
        <v>57.182824114072531</v>
      </c>
      <c r="R162" s="10">
        <f t="shared" ca="1" si="260"/>
        <v>57.746269727686659</v>
      </c>
      <c r="S162" s="10">
        <f t="shared" ca="1" si="260"/>
        <v>58.315267199999951</v>
      </c>
      <c r="T162" s="10">
        <f t="shared" ca="1" si="260"/>
        <v>58.88987123573331</v>
      </c>
      <c r="U162" s="10">
        <f t="shared" ca="1" si="260"/>
        <v>59.470137078635418</v>
      </c>
      <c r="V162" s="10">
        <f t="shared" ca="1" si="260"/>
        <v>60.056120516794095</v>
      </c>
      <c r="W162" s="10">
        <f t="shared" ca="1" si="260"/>
        <v>60.647877887999954</v>
      </c>
      <c r="X162" s="10">
        <f t="shared" ca="1" si="260"/>
        <v>61.245466085162612</v>
      </c>
      <c r="Y162" s="10">
        <f t="shared" ca="1" si="260"/>
        <v>61.848942561780824</v>
      </c>
      <c r="Z162" s="10">
        <f t="shared" ca="1" si="260"/>
        <v>62.458365337465878</v>
      </c>
      <c r="AA162" s="10">
        <f t="shared" ca="1" si="260"/>
        <v>63.073793003519938</v>
      </c>
      <c r="AB162" s="10">
        <f t="shared" ca="1" si="260"/>
        <v>63.695284728569064</v>
      </c>
      <c r="AC162" s="10">
        <f t="shared" ca="1" si="260"/>
        <v>0</v>
      </c>
      <c r="AD162" s="10">
        <f t="shared" ca="1" si="260"/>
        <v>0</v>
      </c>
      <c r="AE162" s="10">
        <f t="shared" ca="1" si="260"/>
        <v>0</v>
      </c>
      <c r="AF162" s="10">
        <f t="shared" ca="1" si="260"/>
        <v>0</v>
      </c>
      <c r="AG162" s="10">
        <f t="shared" ca="1" si="260"/>
        <v>0</v>
      </c>
      <c r="AH162" s="10">
        <f t="shared" ca="1" si="260"/>
        <v>0</v>
      </c>
      <c r="AI162" s="10">
        <f t="shared" ca="1" si="260"/>
        <v>0</v>
      </c>
      <c r="AJ162" s="10">
        <f t="shared" ca="1" si="260"/>
        <v>0</v>
      </c>
      <c r="AK162" s="10">
        <f t="shared" ca="1" si="260"/>
        <v>0</v>
      </c>
      <c r="AL162" s="10">
        <f t="shared" ca="1" si="260"/>
        <v>0</v>
      </c>
      <c r="AM162" s="10">
        <f t="shared" ca="1" si="260"/>
        <v>0</v>
      </c>
      <c r="AN162" s="10">
        <f t="shared" ca="1" si="260"/>
        <v>0</v>
      </c>
      <c r="AO162" s="10">
        <f t="shared" ca="1" si="260"/>
        <v>0</v>
      </c>
      <c r="AP162" s="10">
        <f t="shared" ca="1" si="260"/>
        <v>0</v>
      </c>
      <c r="AQ162" s="10">
        <f t="shared" ca="1" si="260"/>
        <v>0</v>
      </c>
      <c r="AR162" s="10">
        <f t="shared" ref="AR162:BW162" ca="1" si="261" xml:space="preserve"> AR129 * CAPEX_Accumulated_From_Date</f>
        <v>0</v>
      </c>
      <c r="AS162" s="10">
        <f t="shared" ca="1" si="261"/>
        <v>0</v>
      </c>
      <c r="AT162" s="10">
        <f t="shared" ca="1" si="261"/>
        <v>0</v>
      </c>
      <c r="AU162" s="10">
        <f t="shared" ca="1" si="261"/>
        <v>0</v>
      </c>
      <c r="AV162" s="10">
        <f t="shared" ca="1" si="261"/>
        <v>0</v>
      </c>
      <c r="AW162" s="10">
        <f t="shared" ca="1" si="261"/>
        <v>0</v>
      </c>
      <c r="AX162" s="10">
        <f t="shared" ca="1" si="261"/>
        <v>0</v>
      </c>
      <c r="AY162" s="10">
        <f t="shared" ca="1" si="261"/>
        <v>0</v>
      </c>
      <c r="AZ162" s="10">
        <f t="shared" ca="1" si="261"/>
        <v>0</v>
      </c>
      <c r="BA162" s="10">
        <f t="shared" ca="1" si="261"/>
        <v>0</v>
      </c>
      <c r="BB162" s="10">
        <f t="shared" ca="1" si="261"/>
        <v>0</v>
      </c>
      <c r="BC162" s="10">
        <f t="shared" ca="1" si="261"/>
        <v>0</v>
      </c>
      <c r="BD162" s="10">
        <f t="shared" ca="1" si="261"/>
        <v>0</v>
      </c>
      <c r="BE162" s="10">
        <f t="shared" ca="1" si="261"/>
        <v>0</v>
      </c>
      <c r="BF162" s="10">
        <f t="shared" ca="1" si="261"/>
        <v>0</v>
      </c>
      <c r="BG162" s="10">
        <f t="shared" ca="1" si="261"/>
        <v>0</v>
      </c>
      <c r="BH162" s="10">
        <f t="shared" ca="1" si="261"/>
        <v>0</v>
      </c>
      <c r="BI162" s="10">
        <f t="shared" ca="1" si="261"/>
        <v>0</v>
      </c>
      <c r="BJ162" s="10">
        <f t="shared" ca="1" si="261"/>
        <v>0</v>
      </c>
      <c r="BK162" s="10">
        <f t="shared" ca="1" si="261"/>
        <v>0</v>
      </c>
      <c r="BL162" s="10">
        <f t="shared" ca="1" si="261"/>
        <v>0</v>
      </c>
      <c r="BM162" s="10">
        <f t="shared" ca="1" si="261"/>
        <v>0</v>
      </c>
      <c r="BN162" s="10">
        <f t="shared" ca="1" si="261"/>
        <v>0</v>
      </c>
      <c r="BO162" s="10">
        <f t="shared" ca="1" si="261"/>
        <v>0</v>
      </c>
      <c r="BP162" s="10">
        <f t="shared" ca="1" si="261"/>
        <v>0</v>
      </c>
      <c r="BQ162" s="10">
        <f t="shared" ca="1" si="261"/>
        <v>0</v>
      </c>
      <c r="BR162" s="10">
        <f t="shared" ca="1" si="261"/>
        <v>0</v>
      </c>
      <c r="BS162" s="10">
        <f t="shared" ca="1" si="261"/>
        <v>0</v>
      </c>
      <c r="BT162" s="10">
        <f t="shared" ca="1" si="261"/>
        <v>0</v>
      </c>
      <c r="BU162" s="10">
        <f t="shared" ca="1" si="261"/>
        <v>0</v>
      </c>
      <c r="BV162" s="10">
        <f t="shared" ca="1" si="261"/>
        <v>0</v>
      </c>
      <c r="BW162" s="10">
        <f t="shared" ca="1" si="261"/>
        <v>0</v>
      </c>
      <c r="BX162" s="10">
        <f t="shared" ref="BX162:CO162" ca="1" si="262" xml:space="preserve"> BX129 * CAPEX_Accumulated_From_Date</f>
        <v>0</v>
      </c>
      <c r="BY162" s="10">
        <f t="shared" ca="1" si="262"/>
        <v>0</v>
      </c>
      <c r="BZ162" s="10">
        <f t="shared" ca="1" si="262"/>
        <v>0</v>
      </c>
      <c r="CA162" s="10">
        <f t="shared" ca="1" si="262"/>
        <v>0</v>
      </c>
      <c r="CB162" s="10">
        <f t="shared" ca="1" si="262"/>
        <v>0</v>
      </c>
      <c r="CC162" s="10">
        <f t="shared" ca="1" si="262"/>
        <v>0</v>
      </c>
      <c r="CD162" s="10">
        <f t="shared" ca="1" si="262"/>
        <v>0</v>
      </c>
      <c r="CE162" s="10">
        <f t="shared" ca="1" si="262"/>
        <v>0</v>
      </c>
      <c r="CF162" s="10">
        <f t="shared" ca="1" si="262"/>
        <v>0</v>
      </c>
      <c r="CG162" s="10">
        <f t="shared" ca="1" si="262"/>
        <v>0</v>
      </c>
      <c r="CH162" s="10">
        <f t="shared" ca="1" si="262"/>
        <v>0</v>
      </c>
      <c r="CI162" s="10">
        <f t="shared" ca="1" si="262"/>
        <v>0</v>
      </c>
      <c r="CJ162" s="10">
        <f t="shared" ca="1" si="262"/>
        <v>0</v>
      </c>
      <c r="CK162" s="10">
        <f t="shared" ca="1" si="262"/>
        <v>0</v>
      </c>
      <c r="CL162" s="10">
        <f t="shared" ca="1" si="262"/>
        <v>0</v>
      </c>
      <c r="CM162" s="10">
        <f t="shared" ca="1" si="262"/>
        <v>0</v>
      </c>
      <c r="CN162" s="10">
        <f t="shared" ca="1" si="262"/>
        <v>0</v>
      </c>
      <c r="CO162" s="10">
        <f t="shared" ca="1" si="262"/>
        <v>0</v>
      </c>
    </row>
    <row r="163" spans="1:94" ht="15.75" thickTop="1">
      <c r="A163" s="77"/>
      <c r="B163" s="101"/>
      <c r="C163" s="49" t="s">
        <v>831</v>
      </c>
      <c r="D163" s="49"/>
      <c r="E163" s="136"/>
      <c r="F163" s="49"/>
      <c r="G163" s="159" t="str">
        <f xml:space="preserve"> Monetary_Unit</f>
        <v>тыс. руб.</v>
      </c>
      <c r="H163" s="49"/>
      <c r="I163" s="23">
        <f ca="1">SUM(L163:CO163)</f>
        <v>27774.797642991573</v>
      </c>
      <c r="J163" s="49"/>
      <c r="K163" s="49"/>
      <c r="L163" s="49">
        <f t="shared" ref="L163:R163" ca="1" si="263" xml:space="preserve"> SUM(L159:L162)</f>
        <v>232.91999784273011</v>
      </c>
      <c r="M163" s="49">
        <f t="shared" ca="1" si="263"/>
        <v>236.22627098779674</v>
      </c>
      <c r="N163" s="49">
        <f t="shared" ca="1" si="263"/>
        <v>239.57947630790645</v>
      </c>
      <c r="O163" s="49">
        <f t="shared" ca="1" si="263"/>
        <v>242.98027999999991</v>
      </c>
      <c r="P163" s="49">
        <f t="shared" ca="1" si="263"/>
        <v>1944.1207491283758</v>
      </c>
      <c r="Q163" s="49">
        <f t="shared" ca="1" si="263"/>
        <v>1963.2769612498234</v>
      </c>
      <c r="R163" s="49">
        <f t="shared" ca="1" si="263"/>
        <v>1982.6219273172421</v>
      </c>
      <c r="S163" s="49">
        <f ca="1" xml:space="preserve"> SUM(S159:S162)</f>
        <v>2002.1575071999982</v>
      </c>
      <c r="T163" s="49">
        <f t="shared" ref="T163:CE163" ca="1" si="264" xml:space="preserve"> SUM(T159:T162)</f>
        <v>2021.8855790935104</v>
      </c>
      <c r="U163" s="49">
        <f t="shared" ca="1" si="264"/>
        <v>2041.8080396998159</v>
      </c>
      <c r="V163" s="49">
        <f t="shared" ca="1" si="264"/>
        <v>2061.9268044099308</v>
      </c>
      <c r="W163" s="49">
        <f t="shared" ca="1" si="264"/>
        <v>2082.2438074879983</v>
      </c>
      <c r="X163" s="49">
        <f t="shared" ca="1" si="264"/>
        <v>2102.7610022572499</v>
      </c>
      <c r="Y163" s="49">
        <f t="shared" ca="1" si="264"/>
        <v>2123.4803612878081</v>
      </c>
      <c r="Z163" s="49">
        <f t="shared" ca="1" si="264"/>
        <v>2144.4038765863284</v>
      </c>
      <c r="AA163" s="49">
        <f t="shared" ca="1" si="264"/>
        <v>2165.5335597875178</v>
      </c>
      <c r="AB163" s="49">
        <f t="shared" ca="1" si="264"/>
        <v>2186.871442347538</v>
      </c>
      <c r="AC163" s="49">
        <f t="shared" ca="1" si="264"/>
        <v>0</v>
      </c>
      <c r="AD163" s="49">
        <f t="shared" ca="1" si="264"/>
        <v>0</v>
      </c>
      <c r="AE163" s="49">
        <f t="shared" ca="1" si="264"/>
        <v>0</v>
      </c>
      <c r="AF163" s="49">
        <f t="shared" ca="1" si="264"/>
        <v>0</v>
      </c>
      <c r="AG163" s="49">
        <f t="shared" ca="1" si="264"/>
        <v>0</v>
      </c>
      <c r="AH163" s="49">
        <f t="shared" ca="1" si="264"/>
        <v>0</v>
      </c>
      <c r="AI163" s="49">
        <f t="shared" ca="1" si="264"/>
        <v>0</v>
      </c>
      <c r="AJ163" s="49">
        <f t="shared" ca="1" si="264"/>
        <v>0</v>
      </c>
      <c r="AK163" s="49">
        <f t="shared" ca="1" si="264"/>
        <v>0</v>
      </c>
      <c r="AL163" s="49">
        <f t="shared" ca="1" si="264"/>
        <v>0</v>
      </c>
      <c r="AM163" s="49">
        <f t="shared" ca="1" si="264"/>
        <v>0</v>
      </c>
      <c r="AN163" s="49">
        <f t="shared" ca="1" si="264"/>
        <v>0</v>
      </c>
      <c r="AO163" s="49">
        <f t="shared" ca="1" si="264"/>
        <v>0</v>
      </c>
      <c r="AP163" s="49">
        <f t="shared" ca="1" si="264"/>
        <v>0</v>
      </c>
      <c r="AQ163" s="49">
        <f t="shared" ca="1" si="264"/>
        <v>0</v>
      </c>
      <c r="AR163" s="49">
        <f t="shared" ca="1" si="264"/>
        <v>0</v>
      </c>
      <c r="AS163" s="49">
        <f t="shared" ca="1" si="264"/>
        <v>0</v>
      </c>
      <c r="AT163" s="49">
        <f t="shared" ca="1" si="264"/>
        <v>0</v>
      </c>
      <c r="AU163" s="49">
        <f t="shared" ca="1" si="264"/>
        <v>0</v>
      </c>
      <c r="AV163" s="49">
        <f t="shared" ca="1" si="264"/>
        <v>0</v>
      </c>
      <c r="AW163" s="49">
        <f t="shared" ca="1" si="264"/>
        <v>0</v>
      </c>
      <c r="AX163" s="49">
        <f t="shared" ca="1" si="264"/>
        <v>0</v>
      </c>
      <c r="AY163" s="49">
        <f t="shared" ca="1" si="264"/>
        <v>0</v>
      </c>
      <c r="AZ163" s="49">
        <f t="shared" ca="1" si="264"/>
        <v>0</v>
      </c>
      <c r="BA163" s="49">
        <f t="shared" ca="1" si="264"/>
        <v>0</v>
      </c>
      <c r="BB163" s="49">
        <f t="shared" ca="1" si="264"/>
        <v>0</v>
      </c>
      <c r="BC163" s="49">
        <f t="shared" ca="1" si="264"/>
        <v>0</v>
      </c>
      <c r="BD163" s="49">
        <f t="shared" ca="1" si="264"/>
        <v>0</v>
      </c>
      <c r="BE163" s="49">
        <f t="shared" ca="1" si="264"/>
        <v>0</v>
      </c>
      <c r="BF163" s="49">
        <f t="shared" ca="1" si="264"/>
        <v>0</v>
      </c>
      <c r="BG163" s="49">
        <f t="shared" ca="1" si="264"/>
        <v>0</v>
      </c>
      <c r="BH163" s="49">
        <f t="shared" ca="1" si="264"/>
        <v>0</v>
      </c>
      <c r="BI163" s="49">
        <f t="shared" ca="1" si="264"/>
        <v>0</v>
      </c>
      <c r="BJ163" s="49">
        <f t="shared" ca="1" si="264"/>
        <v>0</v>
      </c>
      <c r="BK163" s="49">
        <f t="shared" ca="1" si="264"/>
        <v>0</v>
      </c>
      <c r="BL163" s="49">
        <f t="shared" ca="1" si="264"/>
        <v>0</v>
      </c>
      <c r="BM163" s="49">
        <f t="shared" ca="1" si="264"/>
        <v>0</v>
      </c>
      <c r="BN163" s="49">
        <f t="shared" ca="1" si="264"/>
        <v>0</v>
      </c>
      <c r="BO163" s="49">
        <f t="shared" ca="1" si="264"/>
        <v>0</v>
      </c>
      <c r="BP163" s="49">
        <f t="shared" ca="1" si="264"/>
        <v>0</v>
      </c>
      <c r="BQ163" s="49">
        <f t="shared" ca="1" si="264"/>
        <v>0</v>
      </c>
      <c r="BR163" s="49">
        <f t="shared" ca="1" si="264"/>
        <v>0</v>
      </c>
      <c r="BS163" s="49">
        <f t="shared" ca="1" si="264"/>
        <v>0</v>
      </c>
      <c r="BT163" s="49">
        <f t="shared" ca="1" si="264"/>
        <v>0</v>
      </c>
      <c r="BU163" s="49">
        <f t="shared" ca="1" si="264"/>
        <v>0</v>
      </c>
      <c r="BV163" s="49">
        <f t="shared" ca="1" si="264"/>
        <v>0</v>
      </c>
      <c r="BW163" s="49">
        <f t="shared" ca="1" si="264"/>
        <v>0</v>
      </c>
      <c r="BX163" s="49">
        <f t="shared" ca="1" si="264"/>
        <v>0</v>
      </c>
      <c r="BY163" s="49">
        <f t="shared" ca="1" si="264"/>
        <v>0</v>
      </c>
      <c r="BZ163" s="49">
        <f t="shared" ca="1" si="264"/>
        <v>0</v>
      </c>
      <c r="CA163" s="49">
        <f t="shared" ca="1" si="264"/>
        <v>0</v>
      </c>
      <c r="CB163" s="49">
        <f t="shared" ca="1" si="264"/>
        <v>0</v>
      </c>
      <c r="CC163" s="49">
        <f t="shared" ca="1" si="264"/>
        <v>0</v>
      </c>
      <c r="CD163" s="49">
        <f t="shared" ca="1" si="264"/>
        <v>0</v>
      </c>
      <c r="CE163" s="49">
        <f t="shared" ca="1" si="264"/>
        <v>0</v>
      </c>
      <c r="CF163" s="49">
        <f t="shared" ref="CF163:CO163" ca="1" si="265" xml:space="preserve"> SUM(CF159:CF162)</f>
        <v>0</v>
      </c>
      <c r="CG163" s="49">
        <f t="shared" ca="1" si="265"/>
        <v>0</v>
      </c>
      <c r="CH163" s="49">
        <f t="shared" ca="1" si="265"/>
        <v>0</v>
      </c>
      <c r="CI163" s="49">
        <f t="shared" ca="1" si="265"/>
        <v>0</v>
      </c>
      <c r="CJ163" s="49">
        <f t="shared" ca="1" si="265"/>
        <v>0</v>
      </c>
      <c r="CK163" s="49">
        <f t="shared" ca="1" si="265"/>
        <v>0</v>
      </c>
      <c r="CL163" s="49">
        <f t="shared" ca="1" si="265"/>
        <v>0</v>
      </c>
      <c r="CM163" s="49">
        <f t="shared" ca="1" si="265"/>
        <v>0</v>
      </c>
      <c r="CN163" s="49">
        <f t="shared" ca="1" si="265"/>
        <v>0</v>
      </c>
      <c r="CO163" s="49">
        <f t="shared" ca="1" si="265"/>
        <v>0</v>
      </c>
    </row>
    <row r="164" spans="1:94">
      <c r="A164" s="9"/>
      <c r="B164" s="168"/>
      <c r="C164" s="169"/>
      <c r="D164" s="10"/>
      <c r="E164" s="62"/>
      <c r="F164" s="11"/>
      <c r="G164" s="11"/>
      <c r="H164" s="10"/>
      <c r="I164" s="10" t="str">
        <f ca="1">IF(IFERROR(I163=Предпосылки!H181*I107*$I$104,I163=0),"")</f>
        <v/>
      </c>
      <c r="J164" s="10"/>
      <c r="K164" s="10"/>
      <c r="L164" s="170"/>
      <c r="M164" s="170"/>
      <c r="N164" s="170"/>
      <c r="O164" s="170"/>
      <c r="P164" s="170"/>
      <c r="Q164" s="170"/>
      <c r="R164" s="170"/>
      <c r="S164" s="170"/>
      <c r="T164" s="170"/>
      <c r="U164" s="170"/>
      <c r="V164" s="170"/>
      <c r="W164" s="170"/>
      <c r="X164" s="170"/>
      <c r="Y164" s="170"/>
      <c r="Z164" s="170"/>
      <c r="AA164" s="170"/>
      <c r="AB164" s="170"/>
      <c r="AC164" s="170"/>
      <c r="AD164" s="170"/>
      <c r="AE164" s="170"/>
      <c r="AF164" s="170"/>
      <c r="AG164" s="170"/>
      <c r="AH164" s="170"/>
      <c r="AI164" s="170"/>
      <c r="AJ164" s="170"/>
      <c r="AK164" s="170"/>
      <c r="AL164" s="170"/>
      <c r="AM164" s="170"/>
      <c r="AN164" s="170"/>
      <c r="AO164" s="170"/>
      <c r="AP164" s="170"/>
      <c r="AQ164" s="170"/>
      <c r="AR164" s="170"/>
      <c r="AS164" s="170"/>
      <c r="AT164" s="170"/>
      <c r="AU164" s="170"/>
      <c r="AV164" s="170"/>
      <c r="AW164" s="170"/>
      <c r="AX164" s="170"/>
      <c r="AY164" s="170"/>
      <c r="AZ164" s="170"/>
      <c r="BA164" s="170"/>
      <c r="BB164" s="170"/>
      <c r="BC164" s="170"/>
      <c r="BD164" s="170"/>
      <c r="BE164" s="170"/>
      <c r="BF164" s="170"/>
      <c r="BG164" s="170"/>
      <c r="BH164" s="170"/>
      <c r="BI164" s="170"/>
      <c r="BJ164" s="170"/>
      <c r="BK164" s="170"/>
      <c r="BL164" s="170"/>
      <c r="BM164" s="170"/>
      <c r="BN164" s="170"/>
      <c r="BO164" s="170"/>
      <c r="BP164" s="170"/>
      <c r="BQ164" s="170"/>
      <c r="BR164" s="170"/>
      <c r="BS164" s="170"/>
      <c r="BT164" s="170"/>
      <c r="BU164" s="170"/>
      <c r="BV164" s="170"/>
      <c r="BW164" s="170"/>
      <c r="BX164" s="170"/>
      <c r="BY164" s="170"/>
      <c r="BZ164" s="170"/>
      <c r="CA164" s="170"/>
      <c r="CB164" s="170"/>
      <c r="CC164" s="170"/>
      <c r="CD164" s="170"/>
      <c r="CE164" s="170"/>
      <c r="CF164" s="170"/>
      <c r="CG164" s="170"/>
      <c r="CH164" s="170"/>
      <c r="CI164" s="170"/>
      <c r="CJ164" s="170"/>
      <c r="CK164" s="170"/>
      <c r="CL164" s="170"/>
      <c r="CM164" s="170"/>
      <c r="CN164" s="170"/>
      <c r="CO164" s="170"/>
    </row>
    <row r="165" spans="1:94">
      <c r="A165" s="9"/>
      <c r="B165" s="168"/>
      <c r="C165" s="87" t="str">
        <f>C132</f>
        <v>Затраты на создание объектов Коммунальная инфраструктура</v>
      </c>
      <c r="D165" s="10"/>
      <c r="E165" s="62"/>
      <c r="F165" s="11"/>
      <c r="G165" s="11"/>
      <c r="H165" s="10"/>
      <c r="I165" s="10"/>
      <c r="J165" s="10"/>
      <c r="K165" s="10"/>
      <c r="L165" s="170"/>
      <c r="M165" s="170"/>
      <c r="N165" s="170"/>
      <c r="O165" s="170"/>
      <c r="P165" s="170"/>
      <c r="Q165" s="170"/>
      <c r="R165" s="170"/>
      <c r="S165" s="170"/>
      <c r="T165" s="170"/>
      <c r="U165" s="170"/>
      <c r="V165" s="170"/>
      <c r="W165" s="170"/>
      <c r="X165" s="170"/>
      <c r="Y165" s="170"/>
      <c r="Z165" s="170"/>
      <c r="AA165" s="170"/>
      <c r="AB165" s="170"/>
      <c r="AC165" s="170"/>
      <c r="AD165" s="170"/>
      <c r="AE165" s="170"/>
      <c r="AF165" s="170"/>
      <c r="AG165" s="170"/>
      <c r="AH165" s="170"/>
      <c r="AI165" s="170"/>
      <c r="AJ165" s="170"/>
      <c r="AK165" s="170"/>
      <c r="AL165" s="170"/>
      <c r="AM165" s="170"/>
      <c r="AN165" s="170"/>
      <c r="AO165" s="170"/>
      <c r="AP165" s="170"/>
      <c r="AQ165" s="170"/>
      <c r="AR165" s="170"/>
      <c r="AS165" s="170"/>
      <c r="AT165" s="170"/>
      <c r="AU165" s="170"/>
      <c r="AV165" s="170"/>
      <c r="AW165" s="170"/>
      <c r="AX165" s="170"/>
      <c r="AY165" s="170"/>
      <c r="AZ165" s="170"/>
      <c r="BA165" s="170"/>
      <c r="BB165" s="170"/>
      <c r="BC165" s="170"/>
      <c r="BD165" s="170"/>
      <c r="BE165" s="170"/>
      <c r="BF165" s="170"/>
      <c r="BG165" s="170"/>
      <c r="BH165" s="170"/>
      <c r="BI165" s="170"/>
      <c r="BJ165" s="170"/>
      <c r="BK165" s="170"/>
      <c r="BL165" s="170"/>
      <c r="BM165" s="170"/>
      <c r="BN165" s="170"/>
      <c r="BO165" s="170"/>
      <c r="BP165" s="170"/>
      <c r="BQ165" s="170"/>
      <c r="BR165" s="170"/>
      <c r="BS165" s="170"/>
      <c r="BT165" s="170"/>
      <c r="BU165" s="170"/>
      <c r="BV165" s="170"/>
      <c r="BW165" s="170"/>
      <c r="BX165" s="170"/>
      <c r="BY165" s="170"/>
      <c r="BZ165" s="170"/>
      <c r="CA165" s="170"/>
      <c r="CB165" s="170"/>
      <c r="CC165" s="170"/>
      <c r="CD165" s="170"/>
      <c r="CE165" s="170"/>
      <c r="CF165" s="170"/>
      <c r="CG165" s="170"/>
      <c r="CH165" s="170"/>
      <c r="CI165" s="170"/>
      <c r="CJ165" s="170"/>
      <c r="CK165" s="170"/>
      <c r="CL165" s="170"/>
      <c r="CM165" s="170"/>
      <c r="CN165" s="170"/>
      <c r="CO165" s="170"/>
    </row>
    <row r="166" spans="1:94">
      <c r="A166" s="9"/>
      <c r="B166" s="168"/>
      <c r="C166" s="17" t="s">
        <v>630</v>
      </c>
      <c r="D166" s="10"/>
      <c r="E166" s="62"/>
      <c r="F166" s="11"/>
      <c r="G166" s="11" t="str">
        <f>Monetary_Unit</f>
        <v>тыс. руб.</v>
      </c>
      <c r="H166" s="10"/>
      <c r="I166" s="23">
        <f ca="1">SUM(L166:CO166)</f>
        <v>0</v>
      </c>
      <c r="J166" s="10"/>
      <c r="K166" s="10"/>
      <c r="L166" s="10">
        <f t="shared" ref="L166:AQ166" ca="1" si="266" xml:space="preserve"> L138 * CAPEX_Accumulated_From_Date</f>
        <v>0</v>
      </c>
      <c r="M166" s="10">
        <f t="shared" ca="1" si="266"/>
        <v>0</v>
      </c>
      <c r="N166" s="10">
        <f t="shared" ca="1" si="266"/>
        <v>0</v>
      </c>
      <c r="O166" s="10">
        <f t="shared" ca="1" si="266"/>
        <v>0</v>
      </c>
      <c r="P166" s="10">
        <f t="shared" ca="1" si="266"/>
        <v>0</v>
      </c>
      <c r="Q166" s="10">
        <f t="shared" ca="1" si="266"/>
        <v>0</v>
      </c>
      <c r="R166" s="10">
        <f t="shared" ca="1" si="266"/>
        <v>0</v>
      </c>
      <c r="S166" s="10">
        <f t="shared" ca="1" si="266"/>
        <v>0</v>
      </c>
      <c r="T166" s="10">
        <f t="shared" ca="1" si="266"/>
        <v>0</v>
      </c>
      <c r="U166" s="10">
        <f t="shared" ca="1" si="266"/>
        <v>0</v>
      </c>
      <c r="V166" s="10">
        <f t="shared" ca="1" si="266"/>
        <v>0</v>
      </c>
      <c r="W166" s="10">
        <f t="shared" ca="1" si="266"/>
        <v>0</v>
      </c>
      <c r="X166" s="10">
        <f t="shared" ca="1" si="266"/>
        <v>0</v>
      </c>
      <c r="Y166" s="10">
        <f t="shared" ca="1" si="266"/>
        <v>0</v>
      </c>
      <c r="Z166" s="10">
        <f t="shared" ca="1" si="266"/>
        <v>0</v>
      </c>
      <c r="AA166" s="10">
        <f t="shared" ca="1" si="266"/>
        <v>0</v>
      </c>
      <c r="AB166" s="10">
        <f t="shared" ca="1" si="266"/>
        <v>0</v>
      </c>
      <c r="AC166" s="10">
        <f t="shared" ca="1" si="266"/>
        <v>0</v>
      </c>
      <c r="AD166" s="10">
        <f t="shared" ca="1" si="266"/>
        <v>0</v>
      </c>
      <c r="AE166" s="10">
        <f t="shared" ca="1" si="266"/>
        <v>0</v>
      </c>
      <c r="AF166" s="10">
        <f t="shared" ca="1" si="266"/>
        <v>0</v>
      </c>
      <c r="AG166" s="10">
        <f t="shared" ca="1" si="266"/>
        <v>0</v>
      </c>
      <c r="AH166" s="10">
        <f t="shared" ca="1" si="266"/>
        <v>0</v>
      </c>
      <c r="AI166" s="10">
        <f t="shared" ca="1" si="266"/>
        <v>0</v>
      </c>
      <c r="AJ166" s="10">
        <f t="shared" ca="1" si="266"/>
        <v>0</v>
      </c>
      <c r="AK166" s="10">
        <f t="shared" ca="1" si="266"/>
        <v>0</v>
      </c>
      <c r="AL166" s="10">
        <f t="shared" ca="1" si="266"/>
        <v>0</v>
      </c>
      <c r="AM166" s="10">
        <f t="shared" ca="1" si="266"/>
        <v>0</v>
      </c>
      <c r="AN166" s="10">
        <f t="shared" ca="1" si="266"/>
        <v>0</v>
      </c>
      <c r="AO166" s="10">
        <f t="shared" ca="1" si="266"/>
        <v>0</v>
      </c>
      <c r="AP166" s="10">
        <f t="shared" ca="1" si="266"/>
        <v>0</v>
      </c>
      <c r="AQ166" s="10">
        <f t="shared" ca="1" si="266"/>
        <v>0</v>
      </c>
      <c r="AR166" s="10">
        <f t="shared" ref="AR166:BW166" ca="1" si="267" xml:space="preserve"> AR138 * CAPEX_Accumulated_From_Date</f>
        <v>0</v>
      </c>
      <c r="AS166" s="10">
        <f t="shared" ca="1" si="267"/>
        <v>0</v>
      </c>
      <c r="AT166" s="10">
        <f t="shared" ca="1" si="267"/>
        <v>0</v>
      </c>
      <c r="AU166" s="10">
        <f t="shared" ca="1" si="267"/>
        <v>0</v>
      </c>
      <c r="AV166" s="10">
        <f t="shared" ca="1" si="267"/>
        <v>0</v>
      </c>
      <c r="AW166" s="10">
        <f t="shared" ca="1" si="267"/>
        <v>0</v>
      </c>
      <c r="AX166" s="10">
        <f t="shared" ca="1" si="267"/>
        <v>0</v>
      </c>
      <c r="AY166" s="10">
        <f t="shared" ca="1" si="267"/>
        <v>0</v>
      </c>
      <c r="AZ166" s="10">
        <f t="shared" ca="1" si="267"/>
        <v>0</v>
      </c>
      <c r="BA166" s="10">
        <f t="shared" ca="1" si="267"/>
        <v>0</v>
      </c>
      <c r="BB166" s="10">
        <f t="shared" ca="1" si="267"/>
        <v>0</v>
      </c>
      <c r="BC166" s="10">
        <f t="shared" ca="1" si="267"/>
        <v>0</v>
      </c>
      <c r="BD166" s="10">
        <f t="shared" ca="1" si="267"/>
        <v>0</v>
      </c>
      <c r="BE166" s="10">
        <f t="shared" ca="1" si="267"/>
        <v>0</v>
      </c>
      <c r="BF166" s="10">
        <f t="shared" ca="1" si="267"/>
        <v>0</v>
      </c>
      <c r="BG166" s="10">
        <f t="shared" ca="1" si="267"/>
        <v>0</v>
      </c>
      <c r="BH166" s="10">
        <f t="shared" ca="1" si="267"/>
        <v>0</v>
      </c>
      <c r="BI166" s="10">
        <f t="shared" ca="1" si="267"/>
        <v>0</v>
      </c>
      <c r="BJ166" s="10">
        <f t="shared" ca="1" si="267"/>
        <v>0</v>
      </c>
      <c r="BK166" s="10">
        <f t="shared" ca="1" si="267"/>
        <v>0</v>
      </c>
      <c r="BL166" s="10">
        <f t="shared" ca="1" si="267"/>
        <v>0</v>
      </c>
      <c r="BM166" s="10">
        <f t="shared" ca="1" si="267"/>
        <v>0</v>
      </c>
      <c r="BN166" s="10">
        <f t="shared" ca="1" si="267"/>
        <v>0</v>
      </c>
      <c r="BO166" s="10">
        <f t="shared" ca="1" si="267"/>
        <v>0</v>
      </c>
      <c r="BP166" s="10">
        <f t="shared" ca="1" si="267"/>
        <v>0</v>
      </c>
      <c r="BQ166" s="10">
        <f t="shared" ca="1" si="267"/>
        <v>0</v>
      </c>
      <c r="BR166" s="10">
        <f t="shared" ca="1" si="267"/>
        <v>0</v>
      </c>
      <c r="BS166" s="10">
        <f t="shared" ca="1" si="267"/>
        <v>0</v>
      </c>
      <c r="BT166" s="10">
        <f t="shared" ca="1" si="267"/>
        <v>0</v>
      </c>
      <c r="BU166" s="10">
        <f t="shared" ca="1" si="267"/>
        <v>0</v>
      </c>
      <c r="BV166" s="10">
        <f t="shared" ca="1" si="267"/>
        <v>0</v>
      </c>
      <c r="BW166" s="10">
        <f t="shared" ca="1" si="267"/>
        <v>0</v>
      </c>
      <c r="BX166" s="10">
        <f t="shared" ref="BX166:CO166" ca="1" si="268" xml:space="preserve"> BX138 * CAPEX_Accumulated_From_Date</f>
        <v>0</v>
      </c>
      <c r="BY166" s="10">
        <f t="shared" ca="1" si="268"/>
        <v>0</v>
      </c>
      <c r="BZ166" s="10">
        <f t="shared" ca="1" si="268"/>
        <v>0</v>
      </c>
      <c r="CA166" s="10">
        <f t="shared" ca="1" si="268"/>
        <v>0</v>
      </c>
      <c r="CB166" s="10">
        <f t="shared" ca="1" si="268"/>
        <v>0</v>
      </c>
      <c r="CC166" s="10">
        <f t="shared" ca="1" si="268"/>
        <v>0</v>
      </c>
      <c r="CD166" s="10">
        <f t="shared" ca="1" si="268"/>
        <v>0</v>
      </c>
      <c r="CE166" s="10">
        <f t="shared" ca="1" si="268"/>
        <v>0</v>
      </c>
      <c r="CF166" s="10">
        <f t="shared" ca="1" si="268"/>
        <v>0</v>
      </c>
      <c r="CG166" s="10">
        <f t="shared" ca="1" si="268"/>
        <v>0</v>
      </c>
      <c r="CH166" s="10">
        <f t="shared" ca="1" si="268"/>
        <v>0</v>
      </c>
      <c r="CI166" s="10">
        <f t="shared" ca="1" si="268"/>
        <v>0</v>
      </c>
      <c r="CJ166" s="10">
        <f t="shared" ca="1" si="268"/>
        <v>0</v>
      </c>
      <c r="CK166" s="10">
        <f t="shared" ca="1" si="268"/>
        <v>0</v>
      </c>
      <c r="CL166" s="10">
        <f t="shared" ca="1" si="268"/>
        <v>0</v>
      </c>
      <c r="CM166" s="10">
        <f t="shared" ca="1" si="268"/>
        <v>0</v>
      </c>
      <c r="CN166" s="10">
        <f t="shared" ca="1" si="268"/>
        <v>0</v>
      </c>
      <c r="CO166" s="10">
        <f t="shared" ca="1" si="268"/>
        <v>0</v>
      </c>
    </row>
    <row r="167" spans="1:94">
      <c r="A167" s="9"/>
      <c r="B167" s="168"/>
      <c r="C167" s="17" t="s">
        <v>632</v>
      </c>
      <c r="D167" s="10"/>
      <c r="E167" s="62"/>
      <c r="F167" s="11"/>
      <c r="G167" s="11" t="str">
        <f>Monetary_Unit</f>
        <v>тыс. руб.</v>
      </c>
      <c r="H167" s="10"/>
      <c r="I167" s="23">
        <f ca="1">SUM(L167:CO167)</f>
        <v>0</v>
      </c>
      <c r="J167" s="10"/>
      <c r="K167" s="10"/>
      <c r="L167" s="10">
        <f t="shared" ref="L167:AQ167" ca="1" si="269" xml:space="preserve"> L139 * CAPEX_Accumulated_From_Date</f>
        <v>0</v>
      </c>
      <c r="M167" s="10">
        <f t="shared" ca="1" si="269"/>
        <v>0</v>
      </c>
      <c r="N167" s="10">
        <f t="shared" ca="1" si="269"/>
        <v>0</v>
      </c>
      <c r="O167" s="10">
        <f t="shared" ca="1" si="269"/>
        <v>0</v>
      </c>
      <c r="P167" s="10">
        <f t="shared" ca="1" si="269"/>
        <v>0</v>
      </c>
      <c r="Q167" s="10">
        <f t="shared" ca="1" si="269"/>
        <v>0</v>
      </c>
      <c r="R167" s="10">
        <f t="shared" ca="1" si="269"/>
        <v>0</v>
      </c>
      <c r="S167" s="10">
        <f t="shared" ca="1" si="269"/>
        <v>0</v>
      </c>
      <c r="T167" s="10">
        <f t="shared" ca="1" si="269"/>
        <v>0</v>
      </c>
      <c r="U167" s="10">
        <f t="shared" ca="1" si="269"/>
        <v>0</v>
      </c>
      <c r="V167" s="10">
        <f t="shared" ca="1" si="269"/>
        <v>0</v>
      </c>
      <c r="W167" s="10">
        <f t="shared" ca="1" si="269"/>
        <v>0</v>
      </c>
      <c r="X167" s="10">
        <f t="shared" ca="1" si="269"/>
        <v>0</v>
      </c>
      <c r="Y167" s="10">
        <f t="shared" ca="1" si="269"/>
        <v>0</v>
      </c>
      <c r="Z167" s="10">
        <f t="shared" ca="1" si="269"/>
        <v>0</v>
      </c>
      <c r="AA167" s="10">
        <f t="shared" ca="1" si="269"/>
        <v>0</v>
      </c>
      <c r="AB167" s="10">
        <f t="shared" ca="1" si="269"/>
        <v>0</v>
      </c>
      <c r="AC167" s="10">
        <f t="shared" ca="1" si="269"/>
        <v>0</v>
      </c>
      <c r="AD167" s="10">
        <f t="shared" ca="1" si="269"/>
        <v>0</v>
      </c>
      <c r="AE167" s="10">
        <f t="shared" ca="1" si="269"/>
        <v>0</v>
      </c>
      <c r="AF167" s="10">
        <f t="shared" ca="1" si="269"/>
        <v>0</v>
      </c>
      <c r="AG167" s="10">
        <f t="shared" ca="1" si="269"/>
        <v>0</v>
      </c>
      <c r="AH167" s="10">
        <f t="shared" ca="1" si="269"/>
        <v>0</v>
      </c>
      <c r="AI167" s="10">
        <f t="shared" ca="1" si="269"/>
        <v>0</v>
      </c>
      <c r="AJ167" s="10">
        <f t="shared" ca="1" si="269"/>
        <v>0</v>
      </c>
      <c r="AK167" s="10">
        <f t="shared" ca="1" si="269"/>
        <v>0</v>
      </c>
      <c r="AL167" s="10">
        <f t="shared" ca="1" si="269"/>
        <v>0</v>
      </c>
      <c r="AM167" s="10">
        <f t="shared" ca="1" si="269"/>
        <v>0</v>
      </c>
      <c r="AN167" s="10">
        <f t="shared" ca="1" si="269"/>
        <v>0</v>
      </c>
      <c r="AO167" s="10">
        <f t="shared" ca="1" si="269"/>
        <v>0</v>
      </c>
      <c r="AP167" s="10">
        <f t="shared" ca="1" si="269"/>
        <v>0</v>
      </c>
      <c r="AQ167" s="10">
        <f t="shared" ca="1" si="269"/>
        <v>0</v>
      </c>
      <c r="AR167" s="10">
        <f t="shared" ref="AR167:BW167" ca="1" si="270" xml:space="preserve"> AR139 * CAPEX_Accumulated_From_Date</f>
        <v>0</v>
      </c>
      <c r="AS167" s="10">
        <f t="shared" ca="1" si="270"/>
        <v>0</v>
      </c>
      <c r="AT167" s="10">
        <f t="shared" ca="1" si="270"/>
        <v>0</v>
      </c>
      <c r="AU167" s="10">
        <f t="shared" ca="1" si="270"/>
        <v>0</v>
      </c>
      <c r="AV167" s="10">
        <f t="shared" ca="1" si="270"/>
        <v>0</v>
      </c>
      <c r="AW167" s="10">
        <f t="shared" ca="1" si="270"/>
        <v>0</v>
      </c>
      <c r="AX167" s="10">
        <f t="shared" ca="1" si="270"/>
        <v>0</v>
      </c>
      <c r="AY167" s="10">
        <f t="shared" ca="1" si="270"/>
        <v>0</v>
      </c>
      <c r="AZ167" s="10">
        <f t="shared" ca="1" si="270"/>
        <v>0</v>
      </c>
      <c r="BA167" s="10">
        <f t="shared" ca="1" si="270"/>
        <v>0</v>
      </c>
      <c r="BB167" s="10">
        <f t="shared" ca="1" si="270"/>
        <v>0</v>
      </c>
      <c r="BC167" s="10">
        <f t="shared" ca="1" si="270"/>
        <v>0</v>
      </c>
      <c r="BD167" s="10">
        <f t="shared" ca="1" si="270"/>
        <v>0</v>
      </c>
      <c r="BE167" s="10">
        <f t="shared" ca="1" si="270"/>
        <v>0</v>
      </c>
      <c r="BF167" s="10">
        <f t="shared" ca="1" si="270"/>
        <v>0</v>
      </c>
      <c r="BG167" s="10">
        <f t="shared" ca="1" si="270"/>
        <v>0</v>
      </c>
      <c r="BH167" s="10">
        <f t="shared" ca="1" si="270"/>
        <v>0</v>
      </c>
      <c r="BI167" s="10">
        <f t="shared" ca="1" si="270"/>
        <v>0</v>
      </c>
      <c r="BJ167" s="10">
        <f t="shared" ca="1" si="270"/>
        <v>0</v>
      </c>
      <c r="BK167" s="10">
        <f t="shared" ca="1" si="270"/>
        <v>0</v>
      </c>
      <c r="BL167" s="10">
        <f t="shared" ca="1" si="270"/>
        <v>0</v>
      </c>
      <c r="BM167" s="10">
        <f t="shared" ca="1" si="270"/>
        <v>0</v>
      </c>
      <c r="BN167" s="10">
        <f t="shared" ca="1" si="270"/>
        <v>0</v>
      </c>
      <c r="BO167" s="10">
        <f t="shared" ca="1" si="270"/>
        <v>0</v>
      </c>
      <c r="BP167" s="10">
        <f t="shared" ca="1" si="270"/>
        <v>0</v>
      </c>
      <c r="BQ167" s="10">
        <f t="shared" ca="1" si="270"/>
        <v>0</v>
      </c>
      <c r="BR167" s="10">
        <f t="shared" ca="1" si="270"/>
        <v>0</v>
      </c>
      <c r="BS167" s="10">
        <f t="shared" ca="1" si="270"/>
        <v>0</v>
      </c>
      <c r="BT167" s="10">
        <f t="shared" ca="1" si="270"/>
        <v>0</v>
      </c>
      <c r="BU167" s="10">
        <f t="shared" ca="1" si="270"/>
        <v>0</v>
      </c>
      <c r="BV167" s="10">
        <f t="shared" ca="1" si="270"/>
        <v>0</v>
      </c>
      <c r="BW167" s="10">
        <f t="shared" ca="1" si="270"/>
        <v>0</v>
      </c>
      <c r="BX167" s="10">
        <f t="shared" ref="BX167:CO167" ca="1" si="271" xml:space="preserve"> BX139 * CAPEX_Accumulated_From_Date</f>
        <v>0</v>
      </c>
      <c r="BY167" s="10">
        <f t="shared" ca="1" si="271"/>
        <v>0</v>
      </c>
      <c r="BZ167" s="10">
        <f t="shared" ca="1" si="271"/>
        <v>0</v>
      </c>
      <c r="CA167" s="10">
        <f t="shared" ca="1" si="271"/>
        <v>0</v>
      </c>
      <c r="CB167" s="10">
        <f t="shared" ca="1" si="271"/>
        <v>0</v>
      </c>
      <c r="CC167" s="10">
        <f t="shared" ca="1" si="271"/>
        <v>0</v>
      </c>
      <c r="CD167" s="10">
        <f t="shared" ca="1" si="271"/>
        <v>0</v>
      </c>
      <c r="CE167" s="10">
        <f t="shared" ca="1" si="271"/>
        <v>0</v>
      </c>
      <c r="CF167" s="10">
        <f t="shared" ca="1" si="271"/>
        <v>0</v>
      </c>
      <c r="CG167" s="10">
        <f t="shared" ca="1" si="271"/>
        <v>0</v>
      </c>
      <c r="CH167" s="10">
        <f t="shared" ca="1" si="271"/>
        <v>0</v>
      </c>
      <c r="CI167" s="10">
        <f t="shared" ca="1" si="271"/>
        <v>0</v>
      </c>
      <c r="CJ167" s="10">
        <f t="shared" ca="1" si="271"/>
        <v>0</v>
      </c>
      <c r="CK167" s="10">
        <f t="shared" ca="1" si="271"/>
        <v>0</v>
      </c>
      <c r="CL167" s="10">
        <f t="shared" ca="1" si="271"/>
        <v>0</v>
      </c>
      <c r="CM167" s="10">
        <f t="shared" ca="1" si="271"/>
        <v>0</v>
      </c>
      <c r="CN167" s="10">
        <f t="shared" ca="1" si="271"/>
        <v>0</v>
      </c>
      <c r="CO167" s="10">
        <f t="shared" ca="1" si="271"/>
        <v>0</v>
      </c>
    </row>
    <row r="168" spans="1:94">
      <c r="A168" s="9"/>
      <c r="B168" s="168"/>
      <c r="C168" s="17" t="s">
        <v>821</v>
      </c>
      <c r="D168" s="10"/>
      <c r="E168" s="62"/>
      <c r="F168" s="11"/>
      <c r="G168" s="11" t="str">
        <f>Monetary_Unit</f>
        <v>тыс. руб.</v>
      </c>
      <c r="H168" s="10"/>
      <c r="I168" s="23">
        <f ca="1">SUM(L168:CO168)</f>
        <v>0</v>
      </c>
      <c r="J168" s="10"/>
      <c r="K168" s="10"/>
      <c r="L168" s="10">
        <f t="shared" ref="L168:AQ168" ca="1" si="272" xml:space="preserve"> L140 * CAPEX_Accumulated_From_Date</f>
        <v>0</v>
      </c>
      <c r="M168" s="10">
        <f t="shared" ca="1" si="272"/>
        <v>0</v>
      </c>
      <c r="N168" s="10">
        <f t="shared" ca="1" si="272"/>
        <v>0</v>
      </c>
      <c r="O168" s="10">
        <f t="shared" ca="1" si="272"/>
        <v>0</v>
      </c>
      <c r="P168" s="10">
        <f t="shared" ca="1" si="272"/>
        <v>0</v>
      </c>
      <c r="Q168" s="10">
        <f t="shared" ca="1" si="272"/>
        <v>0</v>
      </c>
      <c r="R168" s="10">
        <f t="shared" ca="1" si="272"/>
        <v>0</v>
      </c>
      <c r="S168" s="10">
        <f t="shared" ca="1" si="272"/>
        <v>0</v>
      </c>
      <c r="T168" s="10">
        <f t="shared" ca="1" si="272"/>
        <v>0</v>
      </c>
      <c r="U168" s="10">
        <f t="shared" ca="1" si="272"/>
        <v>0</v>
      </c>
      <c r="V168" s="10">
        <f t="shared" ca="1" si="272"/>
        <v>0</v>
      </c>
      <c r="W168" s="10">
        <f t="shared" ca="1" si="272"/>
        <v>0</v>
      </c>
      <c r="X168" s="10">
        <f t="shared" ca="1" si="272"/>
        <v>0</v>
      </c>
      <c r="Y168" s="10">
        <f t="shared" ca="1" si="272"/>
        <v>0</v>
      </c>
      <c r="Z168" s="10">
        <f t="shared" ca="1" si="272"/>
        <v>0</v>
      </c>
      <c r="AA168" s="10">
        <f t="shared" ca="1" si="272"/>
        <v>0</v>
      </c>
      <c r="AB168" s="10">
        <f t="shared" ca="1" si="272"/>
        <v>0</v>
      </c>
      <c r="AC168" s="10">
        <f t="shared" ca="1" si="272"/>
        <v>0</v>
      </c>
      <c r="AD168" s="10">
        <f t="shared" ca="1" si="272"/>
        <v>0</v>
      </c>
      <c r="AE168" s="10">
        <f t="shared" ca="1" si="272"/>
        <v>0</v>
      </c>
      <c r="AF168" s="10">
        <f t="shared" ca="1" si="272"/>
        <v>0</v>
      </c>
      <c r="AG168" s="10">
        <f t="shared" ca="1" si="272"/>
        <v>0</v>
      </c>
      <c r="AH168" s="10">
        <f t="shared" ca="1" si="272"/>
        <v>0</v>
      </c>
      <c r="AI168" s="10">
        <f t="shared" ca="1" si="272"/>
        <v>0</v>
      </c>
      <c r="AJ168" s="10">
        <f t="shared" ca="1" si="272"/>
        <v>0</v>
      </c>
      <c r="AK168" s="10">
        <f t="shared" ca="1" si="272"/>
        <v>0</v>
      </c>
      <c r="AL168" s="10">
        <f t="shared" ca="1" si="272"/>
        <v>0</v>
      </c>
      <c r="AM168" s="10">
        <f t="shared" ca="1" si="272"/>
        <v>0</v>
      </c>
      <c r="AN168" s="10">
        <f t="shared" ca="1" si="272"/>
        <v>0</v>
      </c>
      <c r="AO168" s="10">
        <f t="shared" ca="1" si="272"/>
        <v>0</v>
      </c>
      <c r="AP168" s="10">
        <f t="shared" ca="1" si="272"/>
        <v>0</v>
      </c>
      <c r="AQ168" s="10">
        <f t="shared" ca="1" si="272"/>
        <v>0</v>
      </c>
      <c r="AR168" s="10">
        <f t="shared" ref="AR168:BW168" ca="1" si="273" xml:space="preserve"> AR140 * CAPEX_Accumulated_From_Date</f>
        <v>0</v>
      </c>
      <c r="AS168" s="10">
        <f t="shared" ca="1" si="273"/>
        <v>0</v>
      </c>
      <c r="AT168" s="10">
        <f t="shared" ca="1" si="273"/>
        <v>0</v>
      </c>
      <c r="AU168" s="10">
        <f t="shared" ca="1" si="273"/>
        <v>0</v>
      </c>
      <c r="AV168" s="10">
        <f t="shared" ca="1" si="273"/>
        <v>0</v>
      </c>
      <c r="AW168" s="10">
        <f t="shared" ca="1" si="273"/>
        <v>0</v>
      </c>
      <c r="AX168" s="10">
        <f t="shared" ca="1" si="273"/>
        <v>0</v>
      </c>
      <c r="AY168" s="10">
        <f t="shared" ca="1" si="273"/>
        <v>0</v>
      </c>
      <c r="AZ168" s="10">
        <f t="shared" ca="1" si="273"/>
        <v>0</v>
      </c>
      <c r="BA168" s="10">
        <f t="shared" ca="1" si="273"/>
        <v>0</v>
      </c>
      <c r="BB168" s="10">
        <f t="shared" ca="1" si="273"/>
        <v>0</v>
      </c>
      <c r="BC168" s="10">
        <f t="shared" ca="1" si="273"/>
        <v>0</v>
      </c>
      <c r="BD168" s="10">
        <f t="shared" ca="1" si="273"/>
        <v>0</v>
      </c>
      <c r="BE168" s="10">
        <f t="shared" ca="1" si="273"/>
        <v>0</v>
      </c>
      <c r="BF168" s="10">
        <f t="shared" ca="1" si="273"/>
        <v>0</v>
      </c>
      <c r="BG168" s="10">
        <f t="shared" ca="1" si="273"/>
        <v>0</v>
      </c>
      <c r="BH168" s="10">
        <f t="shared" ca="1" si="273"/>
        <v>0</v>
      </c>
      <c r="BI168" s="10">
        <f t="shared" ca="1" si="273"/>
        <v>0</v>
      </c>
      <c r="BJ168" s="10">
        <f t="shared" ca="1" si="273"/>
        <v>0</v>
      </c>
      <c r="BK168" s="10">
        <f t="shared" ca="1" si="273"/>
        <v>0</v>
      </c>
      <c r="BL168" s="10">
        <f t="shared" ca="1" si="273"/>
        <v>0</v>
      </c>
      <c r="BM168" s="10">
        <f t="shared" ca="1" si="273"/>
        <v>0</v>
      </c>
      <c r="BN168" s="10">
        <f t="shared" ca="1" si="273"/>
        <v>0</v>
      </c>
      <c r="BO168" s="10">
        <f t="shared" ca="1" si="273"/>
        <v>0</v>
      </c>
      <c r="BP168" s="10">
        <f t="shared" ca="1" si="273"/>
        <v>0</v>
      </c>
      <c r="BQ168" s="10">
        <f t="shared" ca="1" si="273"/>
        <v>0</v>
      </c>
      <c r="BR168" s="10">
        <f t="shared" ca="1" si="273"/>
        <v>0</v>
      </c>
      <c r="BS168" s="10">
        <f t="shared" ca="1" si="273"/>
        <v>0</v>
      </c>
      <c r="BT168" s="10">
        <f t="shared" ca="1" si="273"/>
        <v>0</v>
      </c>
      <c r="BU168" s="10">
        <f t="shared" ca="1" si="273"/>
        <v>0</v>
      </c>
      <c r="BV168" s="10">
        <f t="shared" ca="1" si="273"/>
        <v>0</v>
      </c>
      <c r="BW168" s="10">
        <f t="shared" ca="1" si="273"/>
        <v>0</v>
      </c>
      <c r="BX168" s="10">
        <f t="shared" ref="BX168:CO168" ca="1" si="274" xml:space="preserve"> BX140 * CAPEX_Accumulated_From_Date</f>
        <v>0</v>
      </c>
      <c r="BY168" s="10">
        <f t="shared" ca="1" si="274"/>
        <v>0</v>
      </c>
      <c r="BZ168" s="10">
        <f t="shared" ca="1" si="274"/>
        <v>0</v>
      </c>
      <c r="CA168" s="10">
        <f t="shared" ca="1" si="274"/>
        <v>0</v>
      </c>
      <c r="CB168" s="10">
        <f t="shared" ca="1" si="274"/>
        <v>0</v>
      </c>
      <c r="CC168" s="10">
        <f t="shared" ca="1" si="274"/>
        <v>0</v>
      </c>
      <c r="CD168" s="10">
        <f t="shared" ca="1" si="274"/>
        <v>0</v>
      </c>
      <c r="CE168" s="10">
        <f t="shared" ca="1" si="274"/>
        <v>0</v>
      </c>
      <c r="CF168" s="10">
        <f t="shared" ca="1" si="274"/>
        <v>0</v>
      </c>
      <c r="CG168" s="10">
        <f t="shared" ca="1" si="274"/>
        <v>0</v>
      </c>
      <c r="CH168" s="10">
        <f t="shared" ca="1" si="274"/>
        <v>0</v>
      </c>
      <c r="CI168" s="10">
        <f t="shared" ca="1" si="274"/>
        <v>0</v>
      </c>
      <c r="CJ168" s="10">
        <f t="shared" ca="1" si="274"/>
        <v>0</v>
      </c>
      <c r="CK168" s="10">
        <f t="shared" ca="1" si="274"/>
        <v>0</v>
      </c>
      <c r="CL168" s="10">
        <f t="shared" ca="1" si="274"/>
        <v>0</v>
      </c>
      <c r="CM168" s="10">
        <f t="shared" ca="1" si="274"/>
        <v>0</v>
      </c>
      <c r="CN168" s="10">
        <f t="shared" ca="1" si="274"/>
        <v>0</v>
      </c>
      <c r="CO168" s="10">
        <f t="shared" ca="1" si="274"/>
        <v>0</v>
      </c>
    </row>
    <row r="169" spans="1:94" ht="15.75" thickBot="1">
      <c r="A169" s="9"/>
      <c r="B169" s="168"/>
      <c r="C169" s="17" t="s">
        <v>797</v>
      </c>
      <c r="D169" s="10"/>
      <c r="E169" s="62"/>
      <c r="F169" s="11"/>
      <c r="G169" s="11" t="str">
        <f>Monetary_Unit</f>
        <v>тыс. руб.</v>
      </c>
      <c r="H169" s="10"/>
      <c r="I169" s="23">
        <f ca="1">SUM(L169:CO169)</f>
        <v>0</v>
      </c>
      <c r="J169" s="10"/>
      <c r="K169" s="10"/>
      <c r="L169" s="10">
        <f t="shared" ref="L169:AQ169" ca="1" si="275" xml:space="preserve"> L141 * CAPEX_Accumulated_From_Date</f>
        <v>0</v>
      </c>
      <c r="M169" s="10">
        <f t="shared" ca="1" si="275"/>
        <v>0</v>
      </c>
      <c r="N169" s="10">
        <f t="shared" ca="1" si="275"/>
        <v>0</v>
      </c>
      <c r="O169" s="10">
        <f t="shared" ca="1" si="275"/>
        <v>0</v>
      </c>
      <c r="P169" s="10">
        <f t="shared" ca="1" si="275"/>
        <v>0</v>
      </c>
      <c r="Q169" s="10">
        <f t="shared" ca="1" si="275"/>
        <v>0</v>
      </c>
      <c r="R169" s="10">
        <f t="shared" ca="1" si="275"/>
        <v>0</v>
      </c>
      <c r="S169" s="10">
        <f t="shared" ca="1" si="275"/>
        <v>0</v>
      </c>
      <c r="T169" s="10">
        <f t="shared" ca="1" si="275"/>
        <v>0</v>
      </c>
      <c r="U169" s="10">
        <f t="shared" ca="1" si="275"/>
        <v>0</v>
      </c>
      <c r="V169" s="10">
        <f t="shared" ca="1" si="275"/>
        <v>0</v>
      </c>
      <c r="W169" s="10">
        <f t="shared" ca="1" si="275"/>
        <v>0</v>
      </c>
      <c r="X169" s="10">
        <f t="shared" ca="1" si="275"/>
        <v>0</v>
      </c>
      <c r="Y169" s="10">
        <f t="shared" ca="1" si="275"/>
        <v>0</v>
      </c>
      <c r="Z169" s="10">
        <f t="shared" ca="1" si="275"/>
        <v>0</v>
      </c>
      <c r="AA169" s="10">
        <f t="shared" ca="1" si="275"/>
        <v>0</v>
      </c>
      <c r="AB169" s="10">
        <f t="shared" ca="1" si="275"/>
        <v>0</v>
      </c>
      <c r="AC169" s="10">
        <f t="shared" ca="1" si="275"/>
        <v>0</v>
      </c>
      <c r="AD169" s="10">
        <f t="shared" ca="1" si="275"/>
        <v>0</v>
      </c>
      <c r="AE169" s="10">
        <f t="shared" ca="1" si="275"/>
        <v>0</v>
      </c>
      <c r="AF169" s="10">
        <f t="shared" ca="1" si="275"/>
        <v>0</v>
      </c>
      <c r="AG169" s="10">
        <f t="shared" ca="1" si="275"/>
        <v>0</v>
      </c>
      <c r="AH169" s="10">
        <f t="shared" ca="1" si="275"/>
        <v>0</v>
      </c>
      <c r="AI169" s="10">
        <f t="shared" ca="1" si="275"/>
        <v>0</v>
      </c>
      <c r="AJ169" s="10">
        <f t="shared" ca="1" si="275"/>
        <v>0</v>
      </c>
      <c r="AK169" s="10">
        <f t="shared" ca="1" si="275"/>
        <v>0</v>
      </c>
      <c r="AL169" s="10">
        <f t="shared" ca="1" si="275"/>
        <v>0</v>
      </c>
      <c r="AM169" s="10">
        <f t="shared" ca="1" si="275"/>
        <v>0</v>
      </c>
      <c r="AN169" s="10">
        <f t="shared" ca="1" si="275"/>
        <v>0</v>
      </c>
      <c r="AO169" s="10">
        <f t="shared" ca="1" si="275"/>
        <v>0</v>
      </c>
      <c r="AP169" s="10">
        <f t="shared" ca="1" si="275"/>
        <v>0</v>
      </c>
      <c r="AQ169" s="10">
        <f t="shared" ca="1" si="275"/>
        <v>0</v>
      </c>
      <c r="AR169" s="10">
        <f t="shared" ref="AR169:BW169" ca="1" si="276" xml:space="preserve"> AR141 * CAPEX_Accumulated_From_Date</f>
        <v>0</v>
      </c>
      <c r="AS169" s="10">
        <f t="shared" ca="1" si="276"/>
        <v>0</v>
      </c>
      <c r="AT169" s="10">
        <f t="shared" ca="1" si="276"/>
        <v>0</v>
      </c>
      <c r="AU169" s="10">
        <f t="shared" ca="1" si="276"/>
        <v>0</v>
      </c>
      <c r="AV169" s="10">
        <f t="shared" ca="1" si="276"/>
        <v>0</v>
      </c>
      <c r="AW169" s="10">
        <f t="shared" ca="1" si="276"/>
        <v>0</v>
      </c>
      <c r="AX169" s="10">
        <f t="shared" ca="1" si="276"/>
        <v>0</v>
      </c>
      <c r="AY169" s="10">
        <f t="shared" ca="1" si="276"/>
        <v>0</v>
      </c>
      <c r="AZ169" s="10">
        <f t="shared" ca="1" si="276"/>
        <v>0</v>
      </c>
      <c r="BA169" s="10">
        <f t="shared" ca="1" si="276"/>
        <v>0</v>
      </c>
      <c r="BB169" s="10">
        <f t="shared" ca="1" si="276"/>
        <v>0</v>
      </c>
      <c r="BC169" s="10">
        <f t="shared" ca="1" si="276"/>
        <v>0</v>
      </c>
      <c r="BD169" s="10">
        <f t="shared" ca="1" si="276"/>
        <v>0</v>
      </c>
      <c r="BE169" s="10">
        <f t="shared" ca="1" si="276"/>
        <v>0</v>
      </c>
      <c r="BF169" s="10">
        <f t="shared" ca="1" si="276"/>
        <v>0</v>
      </c>
      <c r="BG169" s="10">
        <f t="shared" ca="1" si="276"/>
        <v>0</v>
      </c>
      <c r="BH169" s="10">
        <f t="shared" ca="1" si="276"/>
        <v>0</v>
      </c>
      <c r="BI169" s="10">
        <f t="shared" ca="1" si="276"/>
        <v>0</v>
      </c>
      <c r="BJ169" s="10">
        <f t="shared" ca="1" si="276"/>
        <v>0</v>
      </c>
      <c r="BK169" s="10">
        <f t="shared" ca="1" si="276"/>
        <v>0</v>
      </c>
      <c r="BL169" s="10">
        <f t="shared" ca="1" si="276"/>
        <v>0</v>
      </c>
      <c r="BM169" s="10">
        <f t="shared" ca="1" si="276"/>
        <v>0</v>
      </c>
      <c r="BN169" s="10">
        <f t="shared" ca="1" si="276"/>
        <v>0</v>
      </c>
      <c r="BO169" s="10">
        <f t="shared" ca="1" si="276"/>
        <v>0</v>
      </c>
      <c r="BP169" s="10">
        <f t="shared" ca="1" si="276"/>
        <v>0</v>
      </c>
      <c r="BQ169" s="10">
        <f t="shared" ca="1" si="276"/>
        <v>0</v>
      </c>
      <c r="BR169" s="10">
        <f t="shared" ca="1" si="276"/>
        <v>0</v>
      </c>
      <c r="BS169" s="10">
        <f t="shared" ca="1" si="276"/>
        <v>0</v>
      </c>
      <c r="BT169" s="10">
        <f t="shared" ca="1" si="276"/>
        <v>0</v>
      </c>
      <c r="BU169" s="10">
        <f t="shared" ca="1" si="276"/>
        <v>0</v>
      </c>
      <c r="BV169" s="10">
        <f t="shared" ca="1" si="276"/>
        <v>0</v>
      </c>
      <c r="BW169" s="10">
        <f t="shared" ca="1" si="276"/>
        <v>0</v>
      </c>
      <c r="BX169" s="10">
        <f t="shared" ref="BX169:CO169" ca="1" si="277" xml:space="preserve"> BX141 * CAPEX_Accumulated_From_Date</f>
        <v>0</v>
      </c>
      <c r="BY169" s="10">
        <f t="shared" ca="1" si="277"/>
        <v>0</v>
      </c>
      <c r="BZ169" s="10">
        <f t="shared" ca="1" si="277"/>
        <v>0</v>
      </c>
      <c r="CA169" s="10">
        <f t="shared" ca="1" si="277"/>
        <v>0</v>
      </c>
      <c r="CB169" s="10">
        <f t="shared" ca="1" si="277"/>
        <v>0</v>
      </c>
      <c r="CC169" s="10">
        <f t="shared" ca="1" si="277"/>
        <v>0</v>
      </c>
      <c r="CD169" s="10">
        <f t="shared" ca="1" si="277"/>
        <v>0</v>
      </c>
      <c r="CE169" s="10">
        <f t="shared" ca="1" si="277"/>
        <v>0</v>
      </c>
      <c r="CF169" s="10">
        <f t="shared" ca="1" si="277"/>
        <v>0</v>
      </c>
      <c r="CG169" s="10">
        <f t="shared" ca="1" si="277"/>
        <v>0</v>
      </c>
      <c r="CH169" s="10">
        <f t="shared" ca="1" si="277"/>
        <v>0</v>
      </c>
      <c r="CI169" s="10">
        <f t="shared" ca="1" si="277"/>
        <v>0</v>
      </c>
      <c r="CJ169" s="10">
        <f t="shared" ca="1" si="277"/>
        <v>0</v>
      </c>
      <c r="CK169" s="10">
        <f t="shared" ca="1" si="277"/>
        <v>0</v>
      </c>
      <c r="CL169" s="10">
        <f t="shared" ca="1" si="277"/>
        <v>0</v>
      </c>
      <c r="CM169" s="10">
        <f t="shared" ca="1" si="277"/>
        <v>0</v>
      </c>
      <c r="CN169" s="10">
        <f t="shared" ca="1" si="277"/>
        <v>0</v>
      </c>
      <c r="CO169" s="10">
        <f t="shared" ca="1" si="277"/>
        <v>0</v>
      </c>
    </row>
    <row r="170" spans="1:94" ht="15.75" thickTop="1">
      <c r="A170" s="77"/>
      <c r="B170" s="101"/>
      <c r="C170" s="49" t="s">
        <v>831</v>
      </c>
      <c r="D170" s="49"/>
      <c r="E170" s="136"/>
      <c r="F170" s="49"/>
      <c r="G170" s="159" t="str">
        <f xml:space="preserve"> Monetary_Unit</f>
        <v>тыс. руб.</v>
      </c>
      <c r="H170" s="49"/>
      <c r="I170" s="23">
        <f ca="1">SUM(L170:CO170)</f>
        <v>0</v>
      </c>
      <c r="J170" s="49"/>
      <c r="K170" s="49"/>
      <c r="L170" s="49">
        <f t="shared" ref="L170:R170" ca="1" si="278" xml:space="preserve"> SUM(L166:L169)</f>
        <v>0</v>
      </c>
      <c r="M170" s="49">
        <f t="shared" ca="1" si="278"/>
        <v>0</v>
      </c>
      <c r="N170" s="49">
        <f t="shared" ca="1" si="278"/>
        <v>0</v>
      </c>
      <c r="O170" s="49">
        <f t="shared" ca="1" si="278"/>
        <v>0</v>
      </c>
      <c r="P170" s="49">
        <f t="shared" ca="1" si="278"/>
        <v>0</v>
      </c>
      <c r="Q170" s="49">
        <f t="shared" ca="1" si="278"/>
        <v>0</v>
      </c>
      <c r="R170" s="49">
        <f t="shared" ca="1" si="278"/>
        <v>0</v>
      </c>
      <c r="S170" s="49">
        <f ca="1" xml:space="preserve"> SUM(S166:S169)</f>
        <v>0</v>
      </c>
      <c r="T170" s="49">
        <f t="shared" ref="T170:CE170" ca="1" si="279" xml:space="preserve"> SUM(T166:T169)</f>
        <v>0</v>
      </c>
      <c r="U170" s="49">
        <f t="shared" ca="1" si="279"/>
        <v>0</v>
      </c>
      <c r="V170" s="49">
        <f t="shared" ca="1" si="279"/>
        <v>0</v>
      </c>
      <c r="W170" s="49">
        <f t="shared" ca="1" si="279"/>
        <v>0</v>
      </c>
      <c r="X170" s="49">
        <f t="shared" ca="1" si="279"/>
        <v>0</v>
      </c>
      <c r="Y170" s="49">
        <f t="shared" ca="1" si="279"/>
        <v>0</v>
      </c>
      <c r="Z170" s="49">
        <f t="shared" ca="1" si="279"/>
        <v>0</v>
      </c>
      <c r="AA170" s="49">
        <f t="shared" ca="1" si="279"/>
        <v>0</v>
      </c>
      <c r="AB170" s="49">
        <f t="shared" ca="1" si="279"/>
        <v>0</v>
      </c>
      <c r="AC170" s="49">
        <f t="shared" ca="1" si="279"/>
        <v>0</v>
      </c>
      <c r="AD170" s="49">
        <f t="shared" ca="1" si="279"/>
        <v>0</v>
      </c>
      <c r="AE170" s="49">
        <f t="shared" ca="1" si="279"/>
        <v>0</v>
      </c>
      <c r="AF170" s="49">
        <f t="shared" ca="1" si="279"/>
        <v>0</v>
      </c>
      <c r="AG170" s="49">
        <f t="shared" ca="1" si="279"/>
        <v>0</v>
      </c>
      <c r="AH170" s="49">
        <f t="shared" ca="1" si="279"/>
        <v>0</v>
      </c>
      <c r="AI170" s="49">
        <f t="shared" ca="1" si="279"/>
        <v>0</v>
      </c>
      <c r="AJ170" s="49">
        <f t="shared" ca="1" si="279"/>
        <v>0</v>
      </c>
      <c r="AK170" s="49">
        <f t="shared" ca="1" si="279"/>
        <v>0</v>
      </c>
      <c r="AL170" s="49">
        <f t="shared" ca="1" si="279"/>
        <v>0</v>
      </c>
      <c r="AM170" s="49">
        <f t="shared" ca="1" si="279"/>
        <v>0</v>
      </c>
      <c r="AN170" s="49">
        <f t="shared" ca="1" si="279"/>
        <v>0</v>
      </c>
      <c r="AO170" s="49">
        <f t="shared" ca="1" si="279"/>
        <v>0</v>
      </c>
      <c r="AP170" s="49">
        <f t="shared" ca="1" si="279"/>
        <v>0</v>
      </c>
      <c r="AQ170" s="49">
        <f t="shared" ca="1" si="279"/>
        <v>0</v>
      </c>
      <c r="AR170" s="49">
        <f t="shared" ca="1" si="279"/>
        <v>0</v>
      </c>
      <c r="AS170" s="49">
        <f t="shared" ca="1" si="279"/>
        <v>0</v>
      </c>
      <c r="AT170" s="49">
        <f t="shared" ca="1" si="279"/>
        <v>0</v>
      </c>
      <c r="AU170" s="49">
        <f t="shared" ca="1" si="279"/>
        <v>0</v>
      </c>
      <c r="AV170" s="49">
        <f t="shared" ca="1" si="279"/>
        <v>0</v>
      </c>
      <c r="AW170" s="49">
        <f t="shared" ca="1" si="279"/>
        <v>0</v>
      </c>
      <c r="AX170" s="49">
        <f t="shared" ca="1" si="279"/>
        <v>0</v>
      </c>
      <c r="AY170" s="49">
        <f t="shared" ca="1" si="279"/>
        <v>0</v>
      </c>
      <c r="AZ170" s="49">
        <f t="shared" ca="1" si="279"/>
        <v>0</v>
      </c>
      <c r="BA170" s="49">
        <f t="shared" ca="1" si="279"/>
        <v>0</v>
      </c>
      <c r="BB170" s="49">
        <f t="shared" ca="1" si="279"/>
        <v>0</v>
      </c>
      <c r="BC170" s="49">
        <f t="shared" ca="1" si="279"/>
        <v>0</v>
      </c>
      <c r="BD170" s="49">
        <f t="shared" ca="1" si="279"/>
        <v>0</v>
      </c>
      <c r="BE170" s="49">
        <f t="shared" ca="1" si="279"/>
        <v>0</v>
      </c>
      <c r="BF170" s="49">
        <f t="shared" ca="1" si="279"/>
        <v>0</v>
      </c>
      <c r="BG170" s="49">
        <f t="shared" ca="1" si="279"/>
        <v>0</v>
      </c>
      <c r="BH170" s="49">
        <f t="shared" ca="1" si="279"/>
        <v>0</v>
      </c>
      <c r="BI170" s="49">
        <f t="shared" ca="1" si="279"/>
        <v>0</v>
      </c>
      <c r="BJ170" s="49">
        <f t="shared" ca="1" si="279"/>
        <v>0</v>
      </c>
      <c r="BK170" s="49">
        <f t="shared" ca="1" si="279"/>
        <v>0</v>
      </c>
      <c r="BL170" s="49">
        <f t="shared" ca="1" si="279"/>
        <v>0</v>
      </c>
      <c r="BM170" s="49">
        <f t="shared" ca="1" si="279"/>
        <v>0</v>
      </c>
      <c r="BN170" s="49">
        <f t="shared" ca="1" si="279"/>
        <v>0</v>
      </c>
      <c r="BO170" s="49">
        <f t="shared" ca="1" si="279"/>
        <v>0</v>
      </c>
      <c r="BP170" s="49">
        <f t="shared" ca="1" si="279"/>
        <v>0</v>
      </c>
      <c r="BQ170" s="49">
        <f t="shared" ca="1" si="279"/>
        <v>0</v>
      </c>
      <c r="BR170" s="49">
        <f t="shared" ca="1" si="279"/>
        <v>0</v>
      </c>
      <c r="BS170" s="49">
        <f t="shared" ca="1" si="279"/>
        <v>0</v>
      </c>
      <c r="BT170" s="49">
        <f t="shared" ca="1" si="279"/>
        <v>0</v>
      </c>
      <c r="BU170" s="49">
        <f t="shared" ca="1" si="279"/>
        <v>0</v>
      </c>
      <c r="BV170" s="49">
        <f t="shared" ca="1" si="279"/>
        <v>0</v>
      </c>
      <c r="BW170" s="49">
        <f t="shared" ca="1" si="279"/>
        <v>0</v>
      </c>
      <c r="BX170" s="49">
        <f t="shared" ca="1" si="279"/>
        <v>0</v>
      </c>
      <c r="BY170" s="49">
        <f t="shared" ca="1" si="279"/>
        <v>0</v>
      </c>
      <c r="BZ170" s="49">
        <f t="shared" ca="1" si="279"/>
        <v>0</v>
      </c>
      <c r="CA170" s="49">
        <f t="shared" ca="1" si="279"/>
        <v>0</v>
      </c>
      <c r="CB170" s="49">
        <f t="shared" ca="1" si="279"/>
        <v>0</v>
      </c>
      <c r="CC170" s="49">
        <f t="shared" ca="1" si="279"/>
        <v>0</v>
      </c>
      <c r="CD170" s="49">
        <f t="shared" ca="1" si="279"/>
        <v>0</v>
      </c>
      <c r="CE170" s="49">
        <f t="shared" ca="1" si="279"/>
        <v>0</v>
      </c>
      <c r="CF170" s="49">
        <f t="shared" ref="CF170:CO170" ca="1" si="280" xml:space="preserve"> SUM(CF166:CF169)</f>
        <v>0</v>
      </c>
      <c r="CG170" s="49">
        <f t="shared" ca="1" si="280"/>
        <v>0</v>
      </c>
      <c r="CH170" s="49">
        <f t="shared" ca="1" si="280"/>
        <v>0</v>
      </c>
      <c r="CI170" s="49">
        <f t="shared" ca="1" si="280"/>
        <v>0</v>
      </c>
      <c r="CJ170" s="49">
        <f t="shared" ca="1" si="280"/>
        <v>0</v>
      </c>
      <c r="CK170" s="49">
        <f t="shared" ca="1" si="280"/>
        <v>0</v>
      </c>
      <c r="CL170" s="49">
        <f t="shared" ca="1" si="280"/>
        <v>0</v>
      </c>
      <c r="CM170" s="49">
        <f t="shared" ca="1" si="280"/>
        <v>0</v>
      </c>
      <c r="CN170" s="49">
        <f t="shared" ca="1" si="280"/>
        <v>0</v>
      </c>
      <c r="CO170" s="49">
        <f t="shared" ca="1" si="280"/>
        <v>0</v>
      </c>
    </row>
    <row r="171" spans="1:94">
      <c r="A171" s="9"/>
      <c r="B171" s="168"/>
      <c r="C171" s="169"/>
      <c r="D171" s="10"/>
      <c r="E171" s="62"/>
      <c r="F171" s="11"/>
      <c r="G171" s="11"/>
      <c r="H171" s="10"/>
      <c r="I171" s="10" t="str">
        <f ca="1">IF(IFERROR(I170=Предпосылки!H213*I108*$I$104,I170=0),"")</f>
        <v/>
      </c>
      <c r="J171" s="10"/>
      <c r="K171" s="1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0"/>
      <c r="AH171" s="170"/>
      <c r="AI171" s="170"/>
      <c r="AJ171" s="170"/>
      <c r="AK171" s="170"/>
      <c r="AL171" s="170"/>
      <c r="AM171" s="170"/>
      <c r="AN171" s="170"/>
      <c r="AO171" s="170"/>
      <c r="AP171" s="170"/>
      <c r="AQ171" s="170"/>
      <c r="AR171" s="170"/>
      <c r="AS171" s="170"/>
      <c r="AT171" s="170"/>
      <c r="AU171" s="170"/>
      <c r="AV171" s="170"/>
      <c r="AW171" s="170"/>
      <c r="AX171" s="170"/>
      <c r="AY171" s="170"/>
      <c r="AZ171" s="170"/>
      <c r="BA171" s="170"/>
      <c r="BB171" s="170"/>
      <c r="BC171" s="170"/>
      <c r="BD171" s="170"/>
      <c r="BE171" s="170"/>
      <c r="BF171" s="170"/>
      <c r="BG171" s="170"/>
      <c r="BH171" s="170"/>
      <c r="BI171" s="170"/>
      <c r="BJ171" s="170"/>
      <c r="BK171" s="170"/>
      <c r="BL171" s="170"/>
      <c r="BM171" s="170"/>
      <c r="BN171" s="170"/>
      <c r="BO171" s="170"/>
      <c r="BP171" s="170"/>
      <c r="BQ171" s="170"/>
      <c r="BR171" s="170"/>
      <c r="BS171" s="170"/>
      <c r="BT171" s="170"/>
      <c r="BU171" s="170"/>
      <c r="BV171" s="170"/>
      <c r="BW171" s="170"/>
      <c r="BX171" s="170"/>
      <c r="BY171" s="170"/>
      <c r="BZ171" s="170"/>
      <c r="CA171" s="170"/>
      <c r="CB171" s="170"/>
      <c r="CC171" s="170"/>
      <c r="CD171" s="170"/>
      <c r="CE171" s="170"/>
      <c r="CF171" s="170"/>
      <c r="CG171" s="170"/>
      <c r="CH171" s="170"/>
      <c r="CI171" s="170"/>
      <c r="CJ171" s="170"/>
      <c r="CK171" s="170"/>
      <c r="CL171" s="170"/>
      <c r="CM171" s="170"/>
      <c r="CN171" s="170"/>
      <c r="CO171" s="170"/>
    </row>
    <row r="172" spans="1:94">
      <c r="A172" s="9"/>
      <c r="B172" s="168"/>
      <c r="C172" s="87" t="str">
        <f>C144</f>
        <v>Затраты на создание объектов Прочая обеспечивающая инфраструктура</v>
      </c>
      <c r="D172" s="10"/>
      <c r="E172" s="62"/>
      <c r="F172" s="11"/>
      <c r="G172" s="11"/>
      <c r="H172" s="10"/>
      <c r="I172" s="10"/>
      <c r="J172" s="10"/>
      <c r="K172" s="1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0"/>
      <c r="Y172" s="170"/>
      <c r="Z172" s="170"/>
      <c r="AA172" s="170"/>
      <c r="AB172" s="170"/>
      <c r="AC172" s="170"/>
      <c r="AD172" s="170"/>
      <c r="AE172" s="170"/>
      <c r="AF172" s="170"/>
      <c r="AG172" s="170"/>
      <c r="AH172" s="170"/>
      <c r="AI172" s="170"/>
      <c r="AJ172" s="170"/>
      <c r="AK172" s="170"/>
      <c r="AL172" s="170"/>
      <c r="AM172" s="170"/>
      <c r="AN172" s="170"/>
      <c r="AO172" s="170"/>
      <c r="AP172" s="170"/>
      <c r="AQ172" s="170"/>
      <c r="AR172" s="170"/>
      <c r="AS172" s="170"/>
      <c r="AT172" s="170"/>
      <c r="AU172" s="170"/>
      <c r="AV172" s="170"/>
      <c r="AW172" s="170"/>
      <c r="AX172" s="170"/>
      <c r="AY172" s="170"/>
      <c r="AZ172" s="170"/>
      <c r="BA172" s="170"/>
      <c r="BB172" s="170"/>
      <c r="BC172" s="170"/>
      <c r="BD172" s="170"/>
      <c r="BE172" s="170"/>
      <c r="BF172" s="170"/>
      <c r="BG172" s="170"/>
      <c r="BH172" s="170"/>
      <c r="BI172" s="170"/>
      <c r="BJ172" s="170"/>
      <c r="BK172" s="170"/>
      <c r="BL172" s="170"/>
      <c r="BM172" s="170"/>
      <c r="BN172" s="170"/>
      <c r="BO172" s="170"/>
      <c r="BP172" s="170"/>
      <c r="BQ172" s="170"/>
      <c r="BR172" s="170"/>
      <c r="BS172" s="170"/>
      <c r="BT172" s="170"/>
      <c r="BU172" s="170"/>
      <c r="BV172" s="170"/>
      <c r="BW172" s="170"/>
      <c r="BX172" s="170"/>
      <c r="BY172" s="170"/>
      <c r="BZ172" s="170"/>
      <c r="CA172" s="170"/>
      <c r="CB172" s="170"/>
      <c r="CC172" s="170"/>
      <c r="CD172" s="170"/>
      <c r="CE172" s="170"/>
      <c r="CF172" s="170"/>
      <c r="CG172" s="170"/>
      <c r="CH172" s="170"/>
      <c r="CI172" s="170"/>
      <c r="CJ172" s="170"/>
      <c r="CK172" s="170"/>
      <c r="CL172" s="170"/>
      <c r="CM172" s="170"/>
      <c r="CN172" s="170"/>
      <c r="CO172" s="170"/>
    </row>
    <row r="173" spans="1:94">
      <c r="A173" s="9"/>
      <c r="B173" s="168"/>
      <c r="C173" s="17" t="s">
        <v>630</v>
      </c>
      <c r="D173" s="10"/>
      <c r="E173" s="62"/>
      <c r="F173" s="11"/>
      <c r="G173" s="11" t="str">
        <f>Monetary_Unit</f>
        <v>тыс. руб.</v>
      </c>
      <c r="H173" s="10"/>
      <c r="I173" s="23">
        <f ca="1">SUM(L173:CO173)</f>
        <v>0</v>
      </c>
      <c r="J173" s="10"/>
      <c r="K173" s="10"/>
      <c r="L173" s="10">
        <f t="shared" ref="L173:AQ173" ca="1" si="281" xml:space="preserve"> L150 * CAPEX_Accumulated_From_Date</f>
        <v>0</v>
      </c>
      <c r="M173" s="10">
        <f t="shared" ca="1" si="281"/>
        <v>0</v>
      </c>
      <c r="N173" s="10">
        <f t="shared" ca="1" si="281"/>
        <v>0</v>
      </c>
      <c r="O173" s="10">
        <f t="shared" ca="1" si="281"/>
        <v>0</v>
      </c>
      <c r="P173" s="10">
        <f t="shared" ca="1" si="281"/>
        <v>0</v>
      </c>
      <c r="Q173" s="10">
        <f t="shared" ca="1" si="281"/>
        <v>0</v>
      </c>
      <c r="R173" s="10">
        <f t="shared" ca="1" si="281"/>
        <v>0</v>
      </c>
      <c r="S173" s="10">
        <f t="shared" ca="1" si="281"/>
        <v>0</v>
      </c>
      <c r="T173" s="10">
        <f t="shared" ca="1" si="281"/>
        <v>0</v>
      </c>
      <c r="U173" s="10">
        <f t="shared" ca="1" si="281"/>
        <v>0</v>
      </c>
      <c r="V173" s="10">
        <f t="shared" ca="1" si="281"/>
        <v>0</v>
      </c>
      <c r="W173" s="10">
        <f t="shared" ca="1" si="281"/>
        <v>0</v>
      </c>
      <c r="X173" s="10">
        <f t="shared" ca="1" si="281"/>
        <v>0</v>
      </c>
      <c r="Y173" s="10">
        <f t="shared" ca="1" si="281"/>
        <v>0</v>
      </c>
      <c r="Z173" s="10">
        <f t="shared" ca="1" si="281"/>
        <v>0</v>
      </c>
      <c r="AA173" s="10">
        <f t="shared" ca="1" si="281"/>
        <v>0</v>
      </c>
      <c r="AB173" s="10">
        <f t="shared" ca="1" si="281"/>
        <v>0</v>
      </c>
      <c r="AC173" s="10">
        <f t="shared" ca="1" si="281"/>
        <v>0</v>
      </c>
      <c r="AD173" s="10">
        <f t="shared" ca="1" si="281"/>
        <v>0</v>
      </c>
      <c r="AE173" s="10">
        <f t="shared" ca="1" si="281"/>
        <v>0</v>
      </c>
      <c r="AF173" s="10">
        <f t="shared" ca="1" si="281"/>
        <v>0</v>
      </c>
      <c r="AG173" s="10">
        <f t="shared" ca="1" si="281"/>
        <v>0</v>
      </c>
      <c r="AH173" s="10">
        <f t="shared" ca="1" si="281"/>
        <v>0</v>
      </c>
      <c r="AI173" s="10">
        <f t="shared" ca="1" si="281"/>
        <v>0</v>
      </c>
      <c r="AJ173" s="10">
        <f t="shared" ca="1" si="281"/>
        <v>0</v>
      </c>
      <c r="AK173" s="10">
        <f t="shared" ca="1" si="281"/>
        <v>0</v>
      </c>
      <c r="AL173" s="10">
        <f t="shared" ca="1" si="281"/>
        <v>0</v>
      </c>
      <c r="AM173" s="10">
        <f t="shared" ca="1" si="281"/>
        <v>0</v>
      </c>
      <c r="AN173" s="10">
        <f t="shared" ca="1" si="281"/>
        <v>0</v>
      </c>
      <c r="AO173" s="10">
        <f t="shared" ca="1" si="281"/>
        <v>0</v>
      </c>
      <c r="AP173" s="10">
        <f t="shared" ca="1" si="281"/>
        <v>0</v>
      </c>
      <c r="AQ173" s="10">
        <f t="shared" ca="1" si="281"/>
        <v>0</v>
      </c>
      <c r="AR173" s="10">
        <f t="shared" ref="AR173:BW173" ca="1" si="282" xml:space="preserve"> AR150 * CAPEX_Accumulated_From_Date</f>
        <v>0</v>
      </c>
      <c r="AS173" s="10">
        <f t="shared" ca="1" si="282"/>
        <v>0</v>
      </c>
      <c r="AT173" s="10">
        <f t="shared" ca="1" si="282"/>
        <v>0</v>
      </c>
      <c r="AU173" s="10">
        <f t="shared" ca="1" si="282"/>
        <v>0</v>
      </c>
      <c r="AV173" s="10">
        <f t="shared" ca="1" si="282"/>
        <v>0</v>
      </c>
      <c r="AW173" s="10">
        <f t="shared" ca="1" si="282"/>
        <v>0</v>
      </c>
      <c r="AX173" s="10">
        <f t="shared" ca="1" si="282"/>
        <v>0</v>
      </c>
      <c r="AY173" s="10">
        <f t="shared" ca="1" si="282"/>
        <v>0</v>
      </c>
      <c r="AZ173" s="10">
        <f t="shared" ca="1" si="282"/>
        <v>0</v>
      </c>
      <c r="BA173" s="10">
        <f t="shared" ca="1" si="282"/>
        <v>0</v>
      </c>
      <c r="BB173" s="10">
        <f t="shared" ca="1" si="282"/>
        <v>0</v>
      </c>
      <c r="BC173" s="10">
        <f t="shared" ca="1" si="282"/>
        <v>0</v>
      </c>
      <c r="BD173" s="10">
        <f t="shared" ca="1" si="282"/>
        <v>0</v>
      </c>
      <c r="BE173" s="10">
        <f t="shared" ca="1" si="282"/>
        <v>0</v>
      </c>
      <c r="BF173" s="10">
        <f t="shared" ca="1" si="282"/>
        <v>0</v>
      </c>
      <c r="BG173" s="10">
        <f t="shared" ca="1" si="282"/>
        <v>0</v>
      </c>
      <c r="BH173" s="10">
        <f t="shared" ca="1" si="282"/>
        <v>0</v>
      </c>
      <c r="BI173" s="10">
        <f t="shared" ca="1" si="282"/>
        <v>0</v>
      </c>
      <c r="BJ173" s="10">
        <f t="shared" ca="1" si="282"/>
        <v>0</v>
      </c>
      <c r="BK173" s="10">
        <f t="shared" ca="1" si="282"/>
        <v>0</v>
      </c>
      <c r="BL173" s="10">
        <f t="shared" ca="1" si="282"/>
        <v>0</v>
      </c>
      <c r="BM173" s="10">
        <f t="shared" ca="1" si="282"/>
        <v>0</v>
      </c>
      <c r="BN173" s="10">
        <f t="shared" ca="1" si="282"/>
        <v>0</v>
      </c>
      <c r="BO173" s="10">
        <f t="shared" ca="1" si="282"/>
        <v>0</v>
      </c>
      <c r="BP173" s="10">
        <f t="shared" ca="1" si="282"/>
        <v>0</v>
      </c>
      <c r="BQ173" s="10">
        <f t="shared" ca="1" si="282"/>
        <v>0</v>
      </c>
      <c r="BR173" s="10">
        <f t="shared" ca="1" si="282"/>
        <v>0</v>
      </c>
      <c r="BS173" s="10">
        <f t="shared" ca="1" si="282"/>
        <v>0</v>
      </c>
      <c r="BT173" s="10">
        <f t="shared" ca="1" si="282"/>
        <v>0</v>
      </c>
      <c r="BU173" s="10">
        <f t="shared" ca="1" si="282"/>
        <v>0</v>
      </c>
      <c r="BV173" s="10">
        <f t="shared" ca="1" si="282"/>
        <v>0</v>
      </c>
      <c r="BW173" s="10">
        <f t="shared" ca="1" si="282"/>
        <v>0</v>
      </c>
      <c r="BX173" s="10">
        <f t="shared" ref="BX173:CO173" ca="1" si="283" xml:space="preserve"> BX150 * CAPEX_Accumulated_From_Date</f>
        <v>0</v>
      </c>
      <c r="BY173" s="10">
        <f t="shared" ca="1" si="283"/>
        <v>0</v>
      </c>
      <c r="BZ173" s="10">
        <f t="shared" ca="1" si="283"/>
        <v>0</v>
      </c>
      <c r="CA173" s="10">
        <f t="shared" ca="1" si="283"/>
        <v>0</v>
      </c>
      <c r="CB173" s="10">
        <f t="shared" ca="1" si="283"/>
        <v>0</v>
      </c>
      <c r="CC173" s="10">
        <f t="shared" ca="1" si="283"/>
        <v>0</v>
      </c>
      <c r="CD173" s="10">
        <f t="shared" ca="1" si="283"/>
        <v>0</v>
      </c>
      <c r="CE173" s="10">
        <f t="shared" ca="1" si="283"/>
        <v>0</v>
      </c>
      <c r="CF173" s="10">
        <f t="shared" ca="1" si="283"/>
        <v>0</v>
      </c>
      <c r="CG173" s="10">
        <f t="shared" ca="1" si="283"/>
        <v>0</v>
      </c>
      <c r="CH173" s="10">
        <f t="shared" ca="1" si="283"/>
        <v>0</v>
      </c>
      <c r="CI173" s="10">
        <f t="shared" ca="1" si="283"/>
        <v>0</v>
      </c>
      <c r="CJ173" s="10">
        <f t="shared" ca="1" si="283"/>
        <v>0</v>
      </c>
      <c r="CK173" s="10">
        <f t="shared" ca="1" si="283"/>
        <v>0</v>
      </c>
      <c r="CL173" s="10">
        <f t="shared" ca="1" si="283"/>
        <v>0</v>
      </c>
      <c r="CM173" s="10">
        <f t="shared" ca="1" si="283"/>
        <v>0</v>
      </c>
      <c r="CN173" s="10">
        <f t="shared" ca="1" si="283"/>
        <v>0</v>
      </c>
      <c r="CO173" s="10">
        <f t="shared" ca="1" si="283"/>
        <v>0</v>
      </c>
      <c r="CP173" s="10"/>
    </row>
    <row r="174" spans="1:94">
      <c r="A174" s="9"/>
      <c r="B174" s="168"/>
      <c r="C174" s="17" t="s">
        <v>632</v>
      </c>
      <c r="D174" s="10"/>
      <c r="E174" s="62"/>
      <c r="F174" s="11"/>
      <c r="G174" s="11" t="str">
        <f>Monetary_Unit</f>
        <v>тыс. руб.</v>
      </c>
      <c r="H174" s="10"/>
      <c r="I174" s="23">
        <f ca="1">SUM(L174:CO174)</f>
        <v>0</v>
      </c>
      <c r="J174" s="10"/>
      <c r="K174" s="10"/>
      <c r="L174" s="10">
        <f t="shared" ref="L174:AQ174" ca="1" si="284" xml:space="preserve"> L151 * CAPEX_Accumulated_From_Date</f>
        <v>0</v>
      </c>
      <c r="M174" s="10">
        <f t="shared" ca="1" si="284"/>
        <v>0</v>
      </c>
      <c r="N174" s="10">
        <f t="shared" ca="1" si="284"/>
        <v>0</v>
      </c>
      <c r="O174" s="10">
        <f t="shared" ca="1" si="284"/>
        <v>0</v>
      </c>
      <c r="P174" s="10">
        <f t="shared" ca="1" si="284"/>
        <v>0</v>
      </c>
      <c r="Q174" s="10">
        <f t="shared" ca="1" si="284"/>
        <v>0</v>
      </c>
      <c r="R174" s="10">
        <f t="shared" ca="1" si="284"/>
        <v>0</v>
      </c>
      <c r="S174" s="10">
        <f t="shared" ca="1" si="284"/>
        <v>0</v>
      </c>
      <c r="T174" s="10">
        <f t="shared" ca="1" si="284"/>
        <v>0</v>
      </c>
      <c r="U174" s="10">
        <f t="shared" ca="1" si="284"/>
        <v>0</v>
      </c>
      <c r="V174" s="10">
        <f t="shared" ca="1" si="284"/>
        <v>0</v>
      </c>
      <c r="W174" s="10">
        <f t="shared" ca="1" si="284"/>
        <v>0</v>
      </c>
      <c r="X174" s="10">
        <f t="shared" ca="1" si="284"/>
        <v>0</v>
      </c>
      <c r="Y174" s="10">
        <f t="shared" ca="1" si="284"/>
        <v>0</v>
      </c>
      <c r="Z174" s="10">
        <f t="shared" ca="1" si="284"/>
        <v>0</v>
      </c>
      <c r="AA174" s="10">
        <f t="shared" ca="1" si="284"/>
        <v>0</v>
      </c>
      <c r="AB174" s="10">
        <f t="shared" ca="1" si="284"/>
        <v>0</v>
      </c>
      <c r="AC174" s="10">
        <f t="shared" ca="1" si="284"/>
        <v>0</v>
      </c>
      <c r="AD174" s="10">
        <f t="shared" ca="1" si="284"/>
        <v>0</v>
      </c>
      <c r="AE174" s="10">
        <f t="shared" ca="1" si="284"/>
        <v>0</v>
      </c>
      <c r="AF174" s="10">
        <f t="shared" ca="1" si="284"/>
        <v>0</v>
      </c>
      <c r="AG174" s="10">
        <f t="shared" ca="1" si="284"/>
        <v>0</v>
      </c>
      <c r="AH174" s="10">
        <f t="shared" ca="1" si="284"/>
        <v>0</v>
      </c>
      <c r="AI174" s="10">
        <f t="shared" ca="1" si="284"/>
        <v>0</v>
      </c>
      <c r="AJ174" s="10">
        <f t="shared" ca="1" si="284"/>
        <v>0</v>
      </c>
      <c r="AK174" s="10">
        <f t="shared" ca="1" si="284"/>
        <v>0</v>
      </c>
      <c r="AL174" s="10">
        <f t="shared" ca="1" si="284"/>
        <v>0</v>
      </c>
      <c r="AM174" s="10">
        <f t="shared" ca="1" si="284"/>
        <v>0</v>
      </c>
      <c r="AN174" s="10">
        <f t="shared" ca="1" si="284"/>
        <v>0</v>
      </c>
      <c r="AO174" s="10">
        <f t="shared" ca="1" si="284"/>
        <v>0</v>
      </c>
      <c r="AP174" s="10">
        <f t="shared" ca="1" si="284"/>
        <v>0</v>
      </c>
      <c r="AQ174" s="10">
        <f t="shared" ca="1" si="284"/>
        <v>0</v>
      </c>
      <c r="AR174" s="10">
        <f t="shared" ref="AR174:BW174" ca="1" si="285" xml:space="preserve"> AR151 * CAPEX_Accumulated_From_Date</f>
        <v>0</v>
      </c>
      <c r="AS174" s="10">
        <f t="shared" ca="1" si="285"/>
        <v>0</v>
      </c>
      <c r="AT174" s="10">
        <f t="shared" ca="1" si="285"/>
        <v>0</v>
      </c>
      <c r="AU174" s="10">
        <f t="shared" ca="1" si="285"/>
        <v>0</v>
      </c>
      <c r="AV174" s="10">
        <f t="shared" ca="1" si="285"/>
        <v>0</v>
      </c>
      <c r="AW174" s="10">
        <f t="shared" ca="1" si="285"/>
        <v>0</v>
      </c>
      <c r="AX174" s="10">
        <f t="shared" ca="1" si="285"/>
        <v>0</v>
      </c>
      <c r="AY174" s="10">
        <f t="shared" ca="1" si="285"/>
        <v>0</v>
      </c>
      <c r="AZ174" s="10">
        <f t="shared" ca="1" si="285"/>
        <v>0</v>
      </c>
      <c r="BA174" s="10">
        <f t="shared" ca="1" si="285"/>
        <v>0</v>
      </c>
      <c r="BB174" s="10">
        <f t="shared" ca="1" si="285"/>
        <v>0</v>
      </c>
      <c r="BC174" s="10">
        <f t="shared" ca="1" si="285"/>
        <v>0</v>
      </c>
      <c r="BD174" s="10">
        <f t="shared" ca="1" si="285"/>
        <v>0</v>
      </c>
      <c r="BE174" s="10">
        <f t="shared" ca="1" si="285"/>
        <v>0</v>
      </c>
      <c r="BF174" s="10">
        <f t="shared" ca="1" si="285"/>
        <v>0</v>
      </c>
      <c r="BG174" s="10">
        <f t="shared" ca="1" si="285"/>
        <v>0</v>
      </c>
      <c r="BH174" s="10">
        <f t="shared" ca="1" si="285"/>
        <v>0</v>
      </c>
      <c r="BI174" s="10">
        <f t="shared" ca="1" si="285"/>
        <v>0</v>
      </c>
      <c r="BJ174" s="10">
        <f t="shared" ca="1" si="285"/>
        <v>0</v>
      </c>
      <c r="BK174" s="10">
        <f t="shared" ca="1" si="285"/>
        <v>0</v>
      </c>
      <c r="BL174" s="10">
        <f t="shared" ca="1" si="285"/>
        <v>0</v>
      </c>
      <c r="BM174" s="10">
        <f t="shared" ca="1" si="285"/>
        <v>0</v>
      </c>
      <c r="BN174" s="10">
        <f t="shared" ca="1" si="285"/>
        <v>0</v>
      </c>
      <c r="BO174" s="10">
        <f t="shared" ca="1" si="285"/>
        <v>0</v>
      </c>
      <c r="BP174" s="10">
        <f t="shared" ca="1" si="285"/>
        <v>0</v>
      </c>
      <c r="BQ174" s="10">
        <f t="shared" ca="1" si="285"/>
        <v>0</v>
      </c>
      <c r="BR174" s="10">
        <f t="shared" ca="1" si="285"/>
        <v>0</v>
      </c>
      <c r="BS174" s="10">
        <f t="shared" ca="1" si="285"/>
        <v>0</v>
      </c>
      <c r="BT174" s="10">
        <f t="shared" ca="1" si="285"/>
        <v>0</v>
      </c>
      <c r="BU174" s="10">
        <f t="shared" ca="1" si="285"/>
        <v>0</v>
      </c>
      <c r="BV174" s="10">
        <f t="shared" ca="1" si="285"/>
        <v>0</v>
      </c>
      <c r="BW174" s="10">
        <f t="shared" ca="1" si="285"/>
        <v>0</v>
      </c>
      <c r="BX174" s="10">
        <f t="shared" ref="BX174:CO174" ca="1" si="286" xml:space="preserve"> BX151 * CAPEX_Accumulated_From_Date</f>
        <v>0</v>
      </c>
      <c r="BY174" s="10">
        <f t="shared" ca="1" si="286"/>
        <v>0</v>
      </c>
      <c r="BZ174" s="10">
        <f t="shared" ca="1" si="286"/>
        <v>0</v>
      </c>
      <c r="CA174" s="10">
        <f t="shared" ca="1" si="286"/>
        <v>0</v>
      </c>
      <c r="CB174" s="10">
        <f t="shared" ca="1" si="286"/>
        <v>0</v>
      </c>
      <c r="CC174" s="10">
        <f t="shared" ca="1" si="286"/>
        <v>0</v>
      </c>
      <c r="CD174" s="10">
        <f t="shared" ca="1" si="286"/>
        <v>0</v>
      </c>
      <c r="CE174" s="10">
        <f t="shared" ca="1" si="286"/>
        <v>0</v>
      </c>
      <c r="CF174" s="10">
        <f t="shared" ca="1" si="286"/>
        <v>0</v>
      </c>
      <c r="CG174" s="10">
        <f t="shared" ca="1" si="286"/>
        <v>0</v>
      </c>
      <c r="CH174" s="10">
        <f t="shared" ca="1" si="286"/>
        <v>0</v>
      </c>
      <c r="CI174" s="10">
        <f t="shared" ca="1" si="286"/>
        <v>0</v>
      </c>
      <c r="CJ174" s="10">
        <f t="shared" ca="1" si="286"/>
        <v>0</v>
      </c>
      <c r="CK174" s="10">
        <f t="shared" ca="1" si="286"/>
        <v>0</v>
      </c>
      <c r="CL174" s="10">
        <f t="shared" ca="1" si="286"/>
        <v>0</v>
      </c>
      <c r="CM174" s="10">
        <f t="shared" ca="1" si="286"/>
        <v>0</v>
      </c>
      <c r="CN174" s="10">
        <f t="shared" ca="1" si="286"/>
        <v>0</v>
      </c>
      <c r="CO174" s="10">
        <f t="shared" ca="1" si="286"/>
        <v>0</v>
      </c>
      <c r="CP174" s="10"/>
    </row>
    <row r="175" spans="1:94">
      <c r="A175" s="9"/>
      <c r="B175" s="168"/>
      <c r="C175" s="17" t="s">
        <v>821</v>
      </c>
      <c r="D175" s="10"/>
      <c r="E175" s="62"/>
      <c r="F175" s="11"/>
      <c r="G175" s="11" t="str">
        <f>Monetary_Unit</f>
        <v>тыс. руб.</v>
      </c>
      <c r="H175" s="10"/>
      <c r="I175" s="23">
        <f ca="1">SUM(L175:CO175)</f>
        <v>0</v>
      </c>
      <c r="J175" s="10"/>
      <c r="K175" s="10"/>
      <c r="L175" s="10">
        <f t="shared" ref="L175:AQ175" ca="1" si="287" xml:space="preserve"> L152 * CAPEX_Accumulated_From_Date</f>
        <v>0</v>
      </c>
      <c r="M175" s="10">
        <f t="shared" ca="1" si="287"/>
        <v>0</v>
      </c>
      <c r="N175" s="10">
        <f t="shared" ca="1" si="287"/>
        <v>0</v>
      </c>
      <c r="O175" s="10">
        <f t="shared" ca="1" si="287"/>
        <v>0</v>
      </c>
      <c r="P175" s="10">
        <f t="shared" ca="1" si="287"/>
        <v>0</v>
      </c>
      <c r="Q175" s="10">
        <f t="shared" ca="1" si="287"/>
        <v>0</v>
      </c>
      <c r="R175" s="10">
        <f t="shared" ca="1" si="287"/>
        <v>0</v>
      </c>
      <c r="S175" s="10">
        <f t="shared" ca="1" si="287"/>
        <v>0</v>
      </c>
      <c r="T175" s="10">
        <f t="shared" ca="1" si="287"/>
        <v>0</v>
      </c>
      <c r="U175" s="10">
        <f t="shared" ca="1" si="287"/>
        <v>0</v>
      </c>
      <c r="V175" s="10">
        <f t="shared" ca="1" si="287"/>
        <v>0</v>
      </c>
      <c r="W175" s="10">
        <f t="shared" ca="1" si="287"/>
        <v>0</v>
      </c>
      <c r="X175" s="10">
        <f t="shared" ca="1" si="287"/>
        <v>0</v>
      </c>
      <c r="Y175" s="10">
        <f t="shared" ca="1" si="287"/>
        <v>0</v>
      </c>
      <c r="Z175" s="10">
        <f t="shared" ca="1" si="287"/>
        <v>0</v>
      </c>
      <c r="AA175" s="10">
        <f t="shared" ca="1" si="287"/>
        <v>0</v>
      </c>
      <c r="AB175" s="10">
        <f t="shared" ca="1" si="287"/>
        <v>0</v>
      </c>
      <c r="AC175" s="10">
        <f t="shared" ca="1" si="287"/>
        <v>0</v>
      </c>
      <c r="AD175" s="10">
        <f t="shared" ca="1" si="287"/>
        <v>0</v>
      </c>
      <c r="AE175" s="10">
        <f t="shared" ca="1" si="287"/>
        <v>0</v>
      </c>
      <c r="AF175" s="10">
        <f t="shared" ca="1" si="287"/>
        <v>0</v>
      </c>
      <c r="AG175" s="10">
        <f t="shared" ca="1" si="287"/>
        <v>0</v>
      </c>
      <c r="AH175" s="10">
        <f t="shared" ca="1" si="287"/>
        <v>0</v>
      </c>
      <c r="AI175" s="10">
        <f t="shared" ca="1" si="287"/>
        <v>0</v>
      </c>
      <c r="AJ175" s="10">
        <f t="shared" ca="1" si="287"/>
        <v>0</v>
      </c>
      <c r="AK175" s="10">
        <f t="shared" ca="1" si="287"/>
        <v>0</v>
      </c>
      <c r="AL175" s="10">
        <f t="shared" ca="1" si="287"/>
        <v>0</v>
      </c>
      <c r="AM175" s="10">
        <f t="shared" ca="1" si="287"/>
        <v>0</v>
      </c>
      <c r="AN175" s="10">
        <f t="shared" ca="1" si="287"/>
        <v>0</v>
      </c>
      <c r="AO175" s="10">
        <f t="shared" ca="1" si="287"/>
        <v>0</v>
      </c>
      <c r="AP175" s="10">
        <f t="shared" ca="1" si="287"/>
        <v>0</v>
      </c>
      <c r="AQ175" s="10">
        <f t="shared" ca="1" si="287"/>
        <v>0</v>
      </c>
      <c r="AR175" s="10">
        <f t="shared" ref="AR175:BW175" ca="1" si="288" xml:space="preserve"> AR152 * CAPEX_Accumulated_From_Date</f>
        <v>0</v>
      </c>
      <c r="AS175" s="10">
        <f t="shared" ca="1" si="288"/>
        <v>0</v>
      </c>
      <c r="AT175" s="10">
        <f t="shared" ca="1" si="288"/>
        <v>0</v>
      </c>
      <c r="AU175" s="10">
        <f t="shared" ca="1" si="288"/>
        <v>0</v>
      </c>
      <c r="AV175" s="10">
        <f t="shared" ca="1" si="288"/>
        <v>0</v>
      </c>
      <c r="AW175" s="10">
        <f t="shared" ca="1" si="288"/>
        <v>0</v>
      </c>
      <c r="AX175" s="10">
        <f t="shared" ca="1" si="288"/>
        <v>0</v>
      </c>
      <c r="AY175" s="10">
        <f t="shared" ca="1" si="288"/>
        <v>0</v>
      </c>
      <c r="AZ175" s="10">
        <f t="shared" ca="1" si="288"/>
        <v>0</v>
      </c>
      <c r="BA175" s="10">
        <f t="shared" ca="1" si="288"/>
        <v>0</v>
      </c>
      <c r="BB175" s="10">
        <f t="shared" ca="1" si="288"/>
        <v>0</v>
      </c>
      <c r="BC175" s="10">
        <f t="shared" ca="1" si="288"/>
        <v>0</v>
      </c>
      <c r="BD175" s="10">
        <f t="shared" ca="1" si="288"/>
        <v>0</v>
      </c>
      <c r="BE175" s="10">
        <f t="shared" ca="1" si="288"/>
        <v>0</v>
      </c>
      <c r="BF175" s="10">
        <f t="shared" ca="1" si="288"/>
        <v>0</v>
      </c>
      <c r="BG175" s="10">
        <f t="shared" ca="1" si="288"/>
        <v>0</v>
      </c>
      <c r="BH175" s="10">
        <f t="shared" ca="1" si="288"/>
        <v>0</v>
      </c>
      <c r="BI175" s="10">
        <f t="shared" ca="1" si="288"/>
        <v>0</v>
      </c>
      <c r="BJ175" s="10">
        <f t="shared" ca="1" si="288"/>
        <v>0</v>
      </c>
      <c r="BK175" s="10">
        <f t="shared" ca="1" si="288"/>
        <v>0</v>
      </c>
      <c r="BL175" s="10">
        <f t="shared" ca="1" si="288"/>
        <v>0</v>
      </c>
      <c r="BM175" s="10">
        <f t="shared" ca="1" si="288"/>
        <v>0</v>
      </c>
      <c r="BN175" s="10">
        <f t="shared" ca="1" si="288"/>
        <v>0</v>
      </c>
      <c r="BO175" s="10">
        <f t="shared" ca="1" si="288"/>
        <v>0</v>
      </c>
      <c r="BP175" s="10">
        <f t="shared" ca="1" si="288"/>
        <v>0</v>
      </c>
      <c r="BQ175" s="10">
        <f t="shared" ca="1" si="288"/>
        <v>0</v>
      </c>
      <c r="BR175" s="10">
        <f t="shared" ca="1" si="288"/>
        <v>0</v>
      </c>
      <c r="BS175" s="10">
        <f t="shared" ca="1" si="288"/>
        <v>0</v>
      </c>
      <c r="BT175" s="10">
        <f t="shared" ca="1" si="288"/>
        <v>0</v>
      </c>
      <c r="BU175" s="10">
        <f t="shared" ca="1" si="288"/>
        <v>0</v>
      </c>
      <c r="BV175" s="10">
        <f t="shared" ca="1" si="288"/>
        <v>0</v>
      </c>
      <c r="BW175" s="10">
        <f t="shared" ca="1" si="288"/>
        <v>0</v>
      </c>
      <c r="BX175" s="10">
        <f t="shared" ref="BX175:CO175" ca="1" si="289" xml:space="preserve"> BX152 * CAPEX_Accumulated_From_Date</f>
        <v>0</v>
      </c>
      <c r="BY175" s="10">
        <f t="shared" ca="1" si="289"/>
        <v>0</v>
      </c>
      <c r="BZ175" s="10">
        <f t="shared" ca="1" si="289"/>
        <v>0</v>
      </c>
      <c r="CA175" s="10">
        <f t="shared" ca="1" si="289"/>
        <v>0</v>
      </c>
      <c r="CB175" s="10">
        <f t="shared" ca="1" si="289"/>
        <v>0</v>
      </c>
      <c r="CC175" s="10">
        <f t="shared" ca="1" si="289"/>
        <v>0</v>
      </c>
      <c r="CD175" s="10">
        <f t="shared" ca="1" si="289"/>
        <v>0</v>
      </c>
      <c r="CE175" s="10">
        <f t="shared" ca="1" si="289"/>
        <v>0</v>
      </c>
      <c r="CF175" s="10">
        <f t="shared" ca="1" si="289"/>
        <v>0</v>
      </c>
      <c r="CG175" s="10">
        <f t="shared" ca="1" si="289"/>
        <v>0</v>
      </c>
      <c r="CH175" s="10">
        <f t="shared" ca="1" si="289"/>
        <v>0</v>
      </c>
      <c r="CI175" s="10">
        <f t="shared" ca="1" si="289"/>
        <v>0</v>
      </c>
      <c r="CJ175" s="10">
        <f t="shared" ca="1" si="289"/>
        <v>0</v>
      </c>
      <c r="CK175" s="10">
        <f t="shared" ca="1" si="289"/>
        <v>0</v>
      </c>
      <c r="CL175" s="10">
        <f t="shared" ca="1" si="289"/>
        <v>0</v>
      </c>
      <c r="CM175" s="10">
        <f t="shared" ca="1" si="289"/>
        <v>0</v>
      </c>
      <c r="CN175" s="10">
        <f t="shared" ca="1" si="289"/>
        <v>0</v>
      </c>
      <c r="CO175" s="10">
        <f t="shared" ca="1" si="289"/>
        <v>0</v>
      </c>
      <c r="CP175" s="10"/>
    </row>
    <row r="176" spans="1:94" ht="15.75" thickBot="1">
      <c r="A176" s="9"/>
      <c r="B176" s="168"/>
      <c r="C176" s="17" t="s">
        <v>797</v>
      </c>
      <c r="D176" s="10"/>
      <c r="E176" s="62"/>
      <c r="F176" s="11"/>
      <c r="G176" s="11" t="str">
        <f>Monetary_Unit</f>
        <v>тыс. руб.</v>
      </c>
      <c r="H176" s="10"/>
      <c r="I176" s="23">
        <f ca="1">SUM(L176:CO176)</f>
        <v>0</v>
      </c>
      <c r="J176" s="10"/>
      <c r="K176" s="10"/>
      <c r="L176" s="10">
        <f t="shared" ref="L176:AQ176" ca="1" si="290" xml:space="preserve"> L153 * CAPEX_Accumulated_From_Date</f>
        <v>0</v>
      </c>
      <c r="M176" s="10">
        <f t="shared" ca="1" si="290"/>
        <v>0</v>
      </c>
      <c r="N176" s="10">
        <f t="shared" ca="1" si="290"/>
        <v>0</v>
      </c>
      <c r="O176" s="10">
        <f t="shared" ca="1" si="290"/>
        <v>0</v>
      </c>
      <c r="P176" s="10">
        <f t="shared" ca="1" si="290"/>
        <v>0</v>
      </c>
      <c r="Q176" s="10">
        <f t="shared" ca="1" si="290"/>
        <v>0</v>
      </c>
      <c r="R176" s="10">
        <f t="shared" ca="1" si="290"/>
        <v>0</v>
      </c>
      <c r="S176" s="10">
        <f t="shared" ca="1" si="290"/>
        <v>0</v>
      </c>
      <c r="T176" s="10">
        <f t="shared" ca="1" si="290"/>
        <v>0</v>
      </c>
      <c r="U176" s="10">
        <f t="shared" ca="1" si="290"/>
        <v>0</v>
      </c>
      <c r="V176" s="10">
        <f t="shared" ca="1" si="290"/>
        <v>0</v>
      </c>
      <c r="W176" s="10">
        <f t="shared" ca="1" si="290"/>
        <v>0</v>
      </c>
      <c r="X176" s="10">
        <f t="shared" ca="1" si="290"/>
        <v>0</v>
      </c>
      <c r="Y176" s="10">
        <f t="shared" ca="1" si="290"/>
        <v>0</v>
      </c>
      <c r="Z176" s="10">
        <f t="shared" ca="1" si="290"/>
        <v>0</v>
      </c>
      <c r="AA176" s="10">
        <f t="shared" ca="1" si="290"/>
        <v>0</v>
      </c>
      <c r="AB176" s="10">
        <f t="shared" ca="1" si="290"/>
        <v>0</v>
      </c>
      <c r="AC176" s="10">
        <f t="shared" ca="1" si="290"/>
        <v>0</v>
      </c>
      <c r="AD176" s="10">
        <f t="shared" ca="1" si="290"/>
        <v>0</v>
      </c>
      <c r="AE176" s="10">
        <f t="shared" ca="1" si="290"/>
        <v>0</v>
      </c>
      <c r="AF176" s="10">
        <f t="shared" ca="1" si="290"/>
        <v>0</v>
      </c>
      <c r="AG176" s="10">
        <f t="shared" ca="1" si="290"/>
        <v>0</v>
      </c>
      <c r="AH176" s="10">
        <f t="shared" ca="1" si="290"/>
        <v>0</v>
      </c>
      <c r="AI176" s="10">
        <f t="shared" ca="1" si="290"/>
        <v>0</v>
      </c>
      <c r="AJ176" s="10">
        <f t="shared" ca="1" si="290"/>
        <v>0</v>
      </c>
      <c r="AK176" s="10">
        <f t="shared" ca="1" si="290"/>
        <v>0</v>
      </c>
      <c r="AL176" s="10">
        <f t="shared" ca="1" si="290"/>
        <v>0</v>
      </c>
      <c r="AM176" s="10">
        <f t="shared" ca="1" si="290"/>
        <v>0</v>
      </c>
      <c r="AN176" s="10">
        <f t="shared" ca="1" si="290"/>
        <v>0</v>
      </c>
      <c r="AO176" s="10">
        <f t="shared" ca="1" si="290"/>
        <v>0</v>
      </c>
      <c r="AP176" s="10">
        <f t="shared" ca="1" si="290"/>
        <v>0</v>
      </c>
      <c r="AQ176" s="10">
        <f t="shared" ca="1" si="290"/>
        <v>0</v>
      </c>
      <c r="AR176" s="10">
        <f t="shared" ref="AR176:BW176" ca="1" si="291" xml:space="preserve"> AR153 * CAPEX_Accumulated_From_Date</f>
        <v>0</v>
      </c>
      <c r="AS176" s="10">
        <f t="shared" ca="1" si="291"/>
        <v>0</v>
      </c>
      <c r="AT176" s="10">
        <f t="shared" ca="1" si="291"/>
        <v>0</v>
      </c>
      <c r="AU176" s="10">
        <f t="shared" ca="1" si="291"/>
        <v>0</v>
      </c>
      <c r="AV176" s="10">
        <f t="shared" ca="1" si="291"/>
        <v>0</v>
      </c>
      <c r="AW176" s="10">
        <f t="shared" ca="1" si="291"/>
        <v>0</v>
      </c>
      <c r="AX176" s="10">
        <f t="shared" ca="1" si="291"/>
        <v>0</v>
      </c>
      <c r="AY176" s="10">
        <f t="shared" ca="1" si="291"/>
        <v>0</v>
      </c>
      <c r="AZ176" s="10">
        <f t="shared" ca="1" si="291"/>
        <v>0</v>
      </c>
      <c r="BA176" s="10">
        <f t="shared" ca="1" si="291"/>
        <v>0</v>
      </c>
      <c r="BB176" s="10">
        <f t="shared" ca="1" si="291"/>
        <v>0</v>
      </c>
      <c r="BC176" s="10">
        <f t="shared" ca="1" si="291"/>
        <v>0</v>
      </c>
      <c r="BD176" s="10">
        <f t="shared" ca="1" si="291"/>
        <v>0</v>
      </c>
      <c r="BE176" s="10">
        <f t="shared" ca="1" si="291"/>
        <v>0</v>
      </c>
      <c r="BF176" s="10">
        <f t="shared" ca="1" si="291"/>
        <v>0</v>
      </c>
      <c r="BG176" s="10">
        <f t="shared" ca="1" si="291"/>
        <v>0</v>
      </c>
      <c r="BH176" s="10">
        <f t="shared" ca="1" si="291"/>
        <v>0</v>
      </c>
      <c r="BI176" s="10">
        <f t="shared" ca="1" si="291"/>
        <v>0</v>
      </c>
      <c r="BJ176" s="10">
        <f t="shared" ca="1" si="291"/>
        <v>0</v>
      </c>
      <c r="BK176" s="10">
        <f t="shared" ca="1" si="291"/>
        <v>0</v>
      </c>
      <c r="BL176" s="10">
        <f t="shared" ca="1" si="291"/>
        <v>0</v>
      </c>
      <c r="BM176" s="10">
        <f t="shared" ca="1" si="291"/>
        <v>0</v>
      </c>
      <c r="BN176" s="10">
        <f t="shared" ca="1" si="291"/>
        <v>0</v>
      </c>
      <c r="BO176" s="10">
        <f t="shared" ca="1" si="291"/>
        <v>0</v>
      </c>
      <c r="BP176" s="10">
        <f t="shared" ca="1" si="291"/>
        <v>0</v>
      </c>
      <c r="BQ176" s="10">
        <f t="shared" ca="1" si="291"/>
        <v>0</v>
      </c>
      <c r="BR176" s="10">
        <f t="shared" ca="1" si="291"/>
        <v>0</v>
      </c>
      <c r="BS176" s="10">
        <f t="shared" ca="1" si="291"/>
        <v>0</v>
      </c>
      <c r="BT176" s="10">
        <f t="shared" ca="1" si="291"/>
        <v>0</v>
      </c>
      <c r="BU176" s="10">
        <f t="shared" ca="1" si="291"/>
        <v>0</v>
      </c>
      <c r="BV176" s="10">
        <f t="shared" ca="1" si="291"/>
        <v>0</v>
      </c>
      <c r="BW176" s="10">
        <f t="shared" ca="1" si="291"/>
        <v>0</v>
      </c>
      <c r="BX176" s="10">
        <f t="shared" ref="BX176:CO176" ca="1" si="292" xml:space="preserve"> BX153 * CAPEX_Accumulated_From_Date</f>
        <v>0</v>
      </c>
      <c r="BY176" s="10">
        <f t="shared" ca="1" si="292"/>
        <v>0</v>
      </c>
      <c r="BZ176" s="10">
        <f t="shared" ca="1" si="292"/>
        <v>0</v>
      </c>
      <c r="CA176" s="10">
        <f t="shared" ca="1" si="292"/>
        <v>0</v>
      </c>
      <c r="CB176" s="10">
        <f t="shared" ca="1" si="292"/>
        <v>0</v>
      </c>
      <c r="CC176" s="10">
        <f t="shared" ca="1" si="292"/>
        <v>0</v>
      </c>
      <c r="CD176" s="10">
        <f t="shared" ca="1" si="292"/>
        <v>0</v>
      </c>
      <c r="CE176" s="10">
        <f t="shared" ca="1" si="292"/>
        <v>0</v>
      </c>
      <c r="CF176" s="10">
        <f t="shared" ca="1" si="292"/>
        <v>0</v>
      </c>
      <c r="CG176" s="10">
        <f t="shared" ca="1" si="292"/>
        <v>0</v>
      </c>
      <c r="CH176" s="10">
        <f t="shared" ca="1" si="292"/>
        <v>0</v>
      </c>
      <c r="CI176" s="10">
        <f t="shared" ca="1" si="292"/>
        <v>0</v>
      </c>
      <c r="CJ176" s="10">
        <f t="shared" ca="1" si="292"/>
        <v>0</v>
      </c>
      <c r="CK176" s="10">
        <f t="shared" ca="1" si="292"/>
        <v>0</v>
      </c>
      <c r="CL176" s="10">
        <f t="shared" ca="1" si="292"/>
        <v>0</v>
      </c>
      <c r="CM176" s="10">
        <f t="shared" ca="1" si="292"/>
        <v>0</v>
      </c>
      <c r="CN176" s="10">
        <f t="shared" ca="1" si="292"/>
        <v>0</v>
      </c>
      <c r="CO176" s="10">
        <f t="shared" ca="1" si="292"/>
        <v>0</v>
      </c>
      <c r="CP176" s="10"/>
    </row>
    <row r="177" spans="1:93" ht="15.75" thickTop="1">
      <c r="A177" s="77"/>
      <c r="B177" s="101"/>
      <c r="C177" s="49" t="s">
        <v>831</v>
      </c>
      <c r="D177" s="49"/>
      <c r="E177" s="136"/>
      <c r="F177" s="49"/>
      <c r="G177" s="159" t="str">
        <f xml:space="preserve"> Monetary_Unit</f>
        <v>тыс. руб.</v>
      </c>
      <c r="H177" s="49"/>
      <c r="I177" s="23">
        <f ca="1">SUM(L177:CO177)</f>
        <v>0</v>
      </c>
      <c r="J177" s="49"/>
      <c r="K177" s="49"/>
      <c r="L177" s="49">
        <f t="shared" ref="L177:R177" ca="1" si="293" xml:space="preserve"> SUM(L173:L176)</f>
        <v>0</v>
      </c>
      <c r="M177" s="49">
        <f t="shared" ca="1" si="293"/>
        <v>0</v>
      </c>
      <c r="N177" s="49">
        <f t="shared" ca="1" si="293"/>
        <v>0</v>
      </c>
      <c r="O177" s="49">
        <f t="shared" ca="1" si="293"/>
        <v>0</v>
      </c>
      <c r="P177" s="49">
        <f t="shared" ca="1" si="293"/>
        <v>0</v>
      </c>
      <c r="Q177" s="49">
        <f t="shared" ca="1" si="293"/>
        <v>0</v>
      </c>
      <c r="R177" s="49">
        <f t="shared" ca="1" si="293"/>
        <v>0</v>
      </c>
      <c r="S177" s="49">
        <f ca="1" xml:space="preserve"> SUM(S173:S176)</f>
        <v>0</v>
      </c>
      <c r="T177" s="49">
        <f t="shared" ref="T177:CE177" ca="1" si="294" xml:space="preserve"> SUM(T173:T176)</f>
        <v>0</v>
      </c>
      <c r="U177" s="49">
        <f t="shared" ca="1" si="294"/>
        <v>0</v>
      </c>
      <c r="V177" s="49">
        <f t="shared" ca="1" si="294"/>
        <v>0</v>
      </c>
      <c r="W177" s="49">
        <f t="shared" ca="1" si="294"/>
        <v>0</v>
      </c>
      <c r="X177" s="49">
        <f t="shared" ca="1" si="294"/>
        <v>0</v>
      </c>
      <c r="Y177" s="49">
        <f t="shared" ca="1" si="294"/>
        <v>0</v>
      </c>
      <c r="Z177" s="49">
        <f t="shared" ca="1" si="294"/>
        <v>0</v>
      </c>
      <c r="AA177" s="49">
        <f t="shared" ca="1" si="294"/>
        <v>0</v>
      </c>
      <c r="AB177" s="49">
        <f t="shared" ca="1" si="294"/>
        <v>0</v>
      </c>
      <c r="AC177" s="49">
        <f t="shared" ca="1" si="294"/>
        <v>0</v>
      </c>
      <c r="AD177" s="49">
        <f t="shared" ca="1" si="294"/>
        <v>0</v>
      </c>
      <c r="AE177" s="49">
        <f t="shared" ca="1" si="294"/>
        <v>0</v>
      </c>
      <c r="AF177" s="49">
        <f t="shared" ca="1" si="294"/>
        <v>0</v>
      </c>
      <c r="AG177" s="49">
        <f t="shared" ca="1" si="294"/>
        <v>0</v>
      </c>
      <c r="AH177" s="49">
        <f t="shared" ca="1" si="294"/>
        <v>0</v>
      </c>
      <c r="AI177" s="49">
        <f t="shared" ca="1" si="294"/>
        <v>0</v>
      </c>
      <c r="AJ177" s="49">
        <f t="shared" ca="1" si="294"/>
        <v>0</v>
      </c>
      <c r="AK177" s="49">
        <f t="shared" ca="1" si="294"/>
        <v>0</v>
      </c>
      <c r="AL177" s="49">
        <f t="shared" ca="1" si="294"/>
        <v>0</v>
      </c>
      <c r="AM177" s="49">
        <f t="shared" ca="1" si="294"/>
        <v>0</v>
      </c>
      <c r="AN177" s="49">
        <f t="shared" ca="1" si="294"/>
        <v>0</v>
      </c>
      <c r="AO177" s="49">
        <f t="shared" ca="1" si="294"/>
        <v>0</v>
      </c>
      <c r="AP177" s="49">
        <f t="shared" ca="1" si="294"/>
        <v>0</v>
      </c>
      <c r="AQ177" s="49">
        <f t="shared" ca="1" si="294"/>
        <v>0</v>
      </c>
      <c r="AR177" s="49">
        <f t="shared" ca="1" si="294"/>
        <v>0</v>
      </c>
      <c r="AS177" s="49">
        <f t="shared" ca="1" si="294"/>
        <v>0</v>
      </c>
      <c r="AT177" s="49">
        <f t="shared" ca="1" si="294"/>
        <v>0</v>
      </c>
      <c r="AU177" s="49">
        <f t="shared" ca="1" si="294"/>
        <v>0</v>
      </c>
      <c r="AV177" s="49">
        <f t="shared" ca="1" si="294"/>
        <v>0</v>
      </c>
      <c r="AW177" s="49">
        <f t="shared" ca="1" si="294"/>
        <v>0</v>
      </c>
      <c r="AX177" s="49">
        <f t="shared" ca="1" si="294"/>
        <v>0</v>
      </c>
      <c r="AY177" s="49">
        <f t="shared" ca="1" si="294"/>
        <v>0</v>
      </c>
      <c r="AZ177" s="49">
        <f t="shared" ca="1" si="294"/>
        <v>0</v>
      </c>
      <c r="BA177" s="49">
        <f t="shared" ca="1" si="294"/>
        <v>0</v>
      </c>
      <c r="BB177" s="49">
        <f t="shared" ca="1" si="294"/>
        <v>0</v>
      </c>
      <c r="BC177" s="49">
        <f t="shared" ca="1" si="294"/>
        <v>0</v>
      </c>
      <c r="BD177" s="49">
        <f t="shared" ca="1" si="294"/>
        <v>0</v>
      </c>
      <c r="BE177" s="49">
        <f t="shared" ca="1" si="294"/>
        <v>0</v>
      </c>
      <c r="BF177" s="49">
        <f t="shared" ca="1" si="294"/>
        <v>0</v>
      </c>
      <c r="BG177" s="49">
        <f t="shared" ca="1" si="294"/>
        <v>0</v>
      </c>
      <c r="BH177" s="49">
        <f t="shared" ca="1" si="294"/>
        <v>0</v>
      </c>
      <c r="BI177" s="49">
        <f t="shared" ca="1" si="294"/>
        <v>0</v>
      </c>
      <c r="BJ177" s="49">
        <f t="shared" ca="1" si="294"/>
        <v>0</v>
      </c>
      <c r="BK177" s="49">
        <f t="shared" ca="1" si="294"/>
        <v>0</v>
      </c>
      <c r="BL177" s="49">
        <f t="shared" ca="1" si="294"/>
        <v>0</v>
      </c>
      <c r="BM177" s="49">
        <f t="shared" ca="1" si="294"/>
        <v>0</v>
      </c>
      <c r="BN177" s="49">
        <f t="shared" ca="1" si="294"/>
        <v>0</v>
      </c>
      <c r="BO177" s="49">
        <f t="shared" ca="1" si="294"/>
        <v>0</v>
      </c>
      <c r="BP177" s="49">
        <f t="shared" ca="1" si="294"/>
        <v>0</v>
      </c>
      <c r="BQ177" s="49">
        <f t="shared" ca="1" si="294"/>
        <v>0</v>
      </c>
      <c r="BR177" s="49">
        <f t="shared" ca="1" si="294"/>
        <v>0</v>
      </c>
      <c r="BS177" s="49">
        <f t="shared" ca="1" si="294"/>
        <v>0</v>
      </c>
      <c r="BT177" s="49">
        <f t="shared" ca="1" si="294"/>
        <v>0</v>
      </c>
      <c r="BU177" s="49">
        <f t="shared" ca="1" si="294"/>
        <v>0</v>
      </c>
      <c r="BV177" s="49">
        <f t="shared" ca="1" si="294"/>
        <v>0</v>
      </c>
      <c r="BW177" s="49">
        <f t="shared" ca="1" si="294"/>
        <v>0</v>
      </c>
      <c r="BX177" s="49">
        <f t="shared" ca="1" si="294"/>
        <v>0</v>
      </c>
      <c r="BY177" s="49">
        <f t="shared" ca="1" si="294"/>
        <v>0</v>
      </c>
      <c r="BZ177" s="49">
        <f t="shared" ca="1" si="294"/>
        <v>0</v>
      </c>
      <c r="CA177" s="49">
        <f t="shared" ca="1" si="294"/>
        <v>0</v>
      </c>
      <c r="CB177" s="49">
        <f t="shared" ca="1" si="294"/>
        <v>0</v>
      </c>
      <c r="CC177" s="49">
        <f t="shared" ca="1" si="294"/>
        <v>0</v>
      </c>
      <c r="CD177" s="49">
        <f t="shared" ca="1" si="294"/>
        <v>0</v>
      </c>
      <c r="CE177" s="49">
        <f t="shared" ca="1" si="294"/>
        <v>0</v>
      </c>
      <c r="CF177" s="49">
        <f t="shared" ref="CF177:CO177" ca="1" si="295" xml:space="preserve"> SUM(CF173:CF176)</f>
        <v>0</v>
      </c>
      <c r="CG177" s="49">
        <f t="shared" ca="1" si="295"/>
        <v>0</v>
      </c>
      <c r="CH177" s="49">
        <f t="shared" ca="1" si="295"/>
        <v>0</v>
      </c>
      <c r="CI177" s="49">
        <f t="shared" ca="1" si="295"/>
        <v>0</v>
      </c>
      <c r="CJ177" s="49">
        <f t="shared" ca="1" si="295"/>
        <v>0</v>
      </c>
      <c r="CK177" s="49">
        <f t="shared" ca="1" si="295"/>
        <v>0</v>
      </c>
      <c r="CL177" s="49">
        <f t="shared" ca="1" si="295"/>
        <v>0</v>
      </c>
      <c r="CM177" s="49">
        <f t="shared" ca="1" si="295"/>
        <v>0</v>
      </c>
      <c r="CN177" s="49">
        <f t="shared" ca="1" si="295"/>
        <v>0</v>
      </c>
      <c r="CO177" s="49">
        <f t="shared" ca="1" si="295"/>
        <v>0</v>
      </c>
    </row>
    <row r="178" spans="1:93">
      <c r="A178" s="77"/>
      <c r="B178" s="168"/>
      <c r="C178" s="169"/>
      <c r="D178" s="10"/>
      <c r="E178" s="62"/>
      <c r="F178" s="11"/>
      <c r="G178" s="11"/>
      <c r="H178" s="10"/>
      <c r="I178" s="10" t="str">
        <f ca="1">IF(IFERROR(I177=Предпосылки!H237*I109*$I$104,I177=0),"")</f>
        <v/>
      </c>
      <c r="J178" s="10"/>
      <c r="K178" s="10"/>
      <c r="L178" s="170"/>
      <c r="M178" s="170"/>
      <c r="N178" s="170"/>
      <c r="O178" s="170"/>
      <c r="P178" s="170"/>
      <c r="Q178" s="170"/>
      <c r="R178" s="170"/>
      <c r="S178" s="170"/>
      <c r="T178" s="170"/>
      <c r="U178" s="170"/>
      <c r="V178" s="170"/>
      <c r="W178" s="170"/>
      <c r="X178" s="170"/>
      <c r="Y178" s="170"/>
      <c r="Z178" s="170"/>
      <c r="AA178" s="170"/>
      <c r="AB178" s="170"/>
      <c r="AC178" s="170"/>
      <c r="AD178" s="170"/>
      <c r="AE178" s="170"/>
      <c r="AF178" s="170"/>
      <c r="AG178" s="170"/>
      <c r="AH178" s="170"/>
      <c r="AI178" s="170"/>
      <c r="AJ178" s="170"/>
      <c r="AK178" s="170"/>
      <c r="AL178" s="170"/>
      <c r="AM178" s="170"/>
      <c r="AN178" s="170"/>
      <c r="AO178" s="170"/>
      <c r="AP178" s="170"/>
      <c r="AQ178" s="170"/>
      <c r="AR178" s="170"/>
      <c r="AS178" s="170"/>
      <c r="AT178" s="170"/>
      <c r="AU178" s="170"/>
      <c r="AV178" s="170"/>
      <c r="AW178" s="170"/>
      <c r="AX178" s="170"/>
      <c r="AY178" s="170"/>
      <c r="AZ178" s="170"/>
      <c r="BA178" s="170"/>
      <c r="BB178" s="170"/>
      <c r="BC178" s="170"/>
      <c r="BD178" s="170"/>
      <c r="BE178" s="170"/>
      <c r="BF178" s="170"/>
      <c r="BG178" s="170"/>
      <c r="BH178" s="170"/>
      <c r="BI178" s="170"/>
      <c r="BJ178" s="170"/>
      <c r="BK178" s="170"/>
      <c r="BL178" s="170"/>
      <c r="BM178" s="170"/>
      <c r="BN178" s="170"/>
      <c r="BO178" s="170"/>
      <c r="BP178" s="170"/>
      <c r="BQ178" s="170"/>
      <c r="BR178" s="170"/>
      <c r="BS178" s="170"/>
      <c r="BT178" s="170"/>
      <c r="BU178" s="170"/>
      <c r="BV178" s="170"/>
      <c r="BW178" s="170"/>
      <c r="BX178" s="170"/>
      <c r="BY178" s="170"/>
      <c r="BZ178" s="170"/>
      <c r="CA178" s="170"/>
      <c r="CB178" s="170"/>
      <c r="CC178" s="170"/>
      <c r="CD178" s="170"/>
      <c r="CE178" s="170"/>
      <c r="CF178" s="170"/>
      <c r="CG178" s="170"/>
      <c r="CH178" s="170"/>
      <c r="CI178" s="170"/>
      <c r="CJ178" s="170"/>
      <c r="CK178" s="170"/>
      <c r="CL178" s="170"/>
      <c r="CM178" s="170"/>
      <c r="CN178" s="170"/>
      <c r="CO178" s="170"/>
    </row>
    <row r="179" spans="1:93" ht="15" customHeight="1">
      <c r="A179" s="10"/>
      <c r="B179" s="3"/>
      <c r="C179" s="382" t="str">
        <f>C95</f>
        <v>Сегмент 1: Объект размещения (отель)</v>
      </c>
      <c r="D179" s="271"/>
      <c r="E179" s="271"/>
      <c r="F179" s="271"/>
      <c r="G179" s="272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  <c r="CA179" s="271"/>
      <c r="CB179" s="271"/>
      <c r="CC179" s="271"/>
      <c r="CD179" s="271"/>
      <c r="CE179" s="271"/>
      <c r="CF179" s="271"/>
      <c r="CG179" s="271"/>
      <c r="CH179" s="271"/>
      <c r="CI179" s="271"/>
      <c r="CJ179" s="271"/>
      <c r="CK179" s="271"/>
      <c r="CL179" s="271"/>
      <c r="CM179" s="271"/>
      <c r="CN179" s="271"/>
      <c r="CO179" s="271"/>
    </row>
    <row r="180" spans="1:93">
      <c r="A180" s="77"/>
      <c r="B180" s="168"/>
      <c r="C180" s="169"/>
      <c r="D180" s="10"/>
      <c r="E180" s="62"/>
      <c r="F180" s="11"/>
      <c r="G180" s="11"/>
      <c r="H180" s="10"/>
      <c r="I180" s="10"/>
      <c r="J180" s="10"/>
      <c r="K180" s="10"/>
      <c r="L180" s="170"/>
      <c r="M180" s="170"/>
      <c r="N180" s="170"/>
      <c r="O180" s="170"/>
      <c r="P180" s="170"/>
      <c r="Q180" s="170"/>
      <c r="R180" s="170"/>
      <c r="S180" s="170"/>
      <c r="T180" s="170"/>
      <c r="U180" s="170"/>
      <c r="V180" s="170"/>
      <c r="W180" s="170"/>
      <c r="X180" s="170"/>
      <c r="Y180" s="170"/>
      <c r="Z180" s="170"/>
      <c r="AA180" s="170"/>
      <c r="AB180" s="170"/>
      <c r="AC180" s="170"/>
      <c r="AD180" s="170"/>
      <c r="AE180" s="170"/>
      <c r="AF180" s="170"/>
      <c r="AG180" s="170"/>
      <c r="AH180" s="170"/>
      <c r="AI180" s="170"/>
      <c r="AJ180" s="170"/>
      <c r="AK180" s="170"/>
      <c r="AL180" s="170"/>
      <c r="AM180" s="170"/>
      <c r="AN180" s="170"/>
      <c r="AO180" s="170"/>
      <c r="AP180" s="170"/>
      <c r="AQ180" s="170"/>
      <c r="AR180" s="170"/>
      <c r="AS180" s="170"/>
      <c r="AT180" s="170"/>
      <c r="AU180" s="170"/>
      <c r="AV180" s="170"/>
      <c r="AW180" s="170"/>
      <c r="AX180" s="170"/>
      <c r="AY180" s="170"/>
      <c r="AZ180" s="170"/>
      <c r="BA180" s="170"/>
      <c r="BB180" s="170"/>
      <c r="BC180" s="170"/>
      <c r="BD180" s="170"/>
      <c r="BE180" s="170"/>
      <c r="BF180" s="170"/>
      <c r="BG180" s="170"/>
      <c r="BH180" s="170"/>
      <c r="BI180" s="170"/>
      <c r="BJ180" s="170"/>
      <c r="BK180" s="170"/>
      <c r="BL180" s="170"/>
      <c r="BM180" s="170"/>
      <c r="BN180" s="170"/>
      <c r="BO180" s="170"/>
      <c r="BP180" s="170"/>
      <c r="BQ180" s="170"/>
      <c r="BR180" s="170"/>
      <c r="BS180" s="170"/>
      <c r="BT180" s="170"/>
      <c r="BU180" s="170"/>
      <c r="BV180" s="170"/>
      <c r="BW180" s="170"/>
      <c r="BX180" s="170"/>
      <c r="BY180" s="170"/>
      <c r="BZ180" s="170"/>
      <c r="CA180" s="170"/>
      <c r="CB180" s="170"/>
      <c r="CC180" s="170"/>
      <c r="CD180" s="170"/>
      <c r="CE180" s="170"/>
      <c r="CF180" s="170"/>
      <c r="CG180" s="170"/>
      <c r="CH180" s="170"/>
      <c r="CI180" s="170"/>
      <c r="CJ180" s="170"/>
      <c r="CK180" s="170"/>
      <c r="CL180" s="170"/>
      <c r="CM180" s="170"/>
      <c r="CN180" s="170"/>
      <c r="CO180" s="170"/>
    </row>
    <row r="181" spans="1:93" ht="16.5" thickBot="1">
      <c r="A181" s="77"/>
      <c r="B181" s="168"/>
      <c r="C181" s="12" t="s">
        <v>649</v>
      </c>
      <c r="D181" s="12"/>
      <c r="E181" s="12"/>
      <c r="F181" s="12"/>
      <c r="G181" s="360"/>
      <c r="H181" s="12"/>
      <c r="I181" s="12"/>
      <c r="J181" s="10"/>
      <c r="K181" s="10"/>
      <c r="L181" s="170"/>
      <c r="M181" s="170"/>
      <c r="N181" s="170"/>
      <c r="O181" s="170"/>
      <c r="P181" s="170"/>
      <c r="Q181" s="170"/>
      <c r="R181" s="170"/>
      <c r="S181" s="170"/>
      <c r="T181" s="170"/>
      <c r="U181" s="170"/>
      <c r="V181" s="170"/>
      <c r="W181" s="170"/>
      <c r="X181" s="170"/>
      <c r="Y181" s="170"/>
      <c r="Z181" s="170"/>
      <c r="AA181" s="170"/>
      <c r="AB181" s="170"/>
      <c r="AC181" s="170"/>
      <c r="AD181" s="170"/>
      <c r="AE181" s="170"/>
      <c r="AF181" s="170"/>
      <c r="AG181" s="170"/>
      <c r="AH181" s="170"/>
      <c r="AI181" s="170"/>
      <c r="AJ181" s="170"/>
      <c r="AK181" s="170"/>
      <c r="AL181" s="170"/>
      <c r="AM181" s="170"/>
      <c r="AN181" s="170"/>
      <c r="AO181" s="170"/>
      <c r="AP181" s="170"/>
      <c r="AQ181" s="170"/>
      <c r="AR181" s="170"/>
      <c r="AS181" s="170"/>
      <c r="AT181" s="170"/>
      <c r="AU181" s="170"/>
      <c r="AV181" s="170"/>
      <c r="AW181" s="170"/>
      <c r="AX181" s="170"/>
      <c r="AY181" s="170"/>
      <c r="AZ181" s="170"/>
      <c r="BA181" s="170"/>
      <c r="BB181" s="170"/>
      <c r="BC181" s="170"/>
      <c r="BD181" s="170"/>
      <c r="BE181" s="170"/>
      <c r="BF181" s="170"/>
      <c r="BG181" s="170"/>
      <c r="BH181" s="170"/>
      <c r="BI181" s="170"/>
      <c r="BJ181" s="170"/>
      <c r="BK181" s="170"/>
      <c r="BL181" s="170"/>
      <c r="BM181" s="170"/>
      <c r="BN181" s="170"/>
      <c r="BO181" s="170"/>
      <c r="BP181" s="170"/>
      <c r="BQ181" s="170"/>
      <c r="BR181" s="170"/>
      <c r="BS181" s="170"/>
      <c r="BT181" s="170"/>
      <c r="BU181" s="170"/>
      <c r="BV181" s="170"/>
      <c r="BW181" s="170"/>
      <c r="BX181" s="170"/>
      <c r="BY181" s="170"/>
      <c r="BZ181" s="170"/>
      <c r="CA181" s="170"/>
      <c r="CB181" s="170"/>
      <c r="CC181" s="170"/>
      <c r="CD181" s="170"/>
      <c r="CE181" s="170"/>
      <c r="CF181" s="170"/>
      <c r="CG181" s="170"/>
      <c r="CH181" s="170"/>
      <c r="CI181" s="170"/>
      <c r="CJ181" s="170"/>
      <c r="CK181" s="170"/>
      <c r="CL181" s="170"/>
      <c r="CM181" s="170"/>
      <c r="CN181" s="170"/>
      <c r="CO181" s="170"/>
    </row>
    <row r="182" spans="1:93">
      <c r="A182" s="77"/>
      <c r="B182" s="168"/>
      <c r="C182" s="169"/>
      <c r="D182" s="10"/>
      <c r="E182" s="62"/>
      <c r="F182" s="11"/>
      <c r="G182" s="11"/>
      <c r="H182" s="10"/>
      <c r="I182" s="10"/>
      <c r="J182" s="10"/>
      <c r="K182" s="10"/>
      <c r="L182" s="170"/>
      <c r="M182" s="170"/>
      <c r="N182" s="170"/>
      <c r="O182" s="170"/>
      <c r="P182" s="170"/>
      <c r="Q182" s="170"/>
      <c r="R182" s="170"/>
      <c r="S182" s="170"/>
      <c r="T182" s="170"/>
      <c r="U182" s="170"/>
      <c r="V182" s="170"/>
      <c r="W182" s="170"/>
      <c r="X182" s="170"/>
      <c r="Y182" s="170"/>
      <c r="Z182" s="170"/>
      <c r="AA182" s="170"/>
      <c r="AB182" s="170"/>
      <c r="AC182" s="170"/>
      <c r="AD182" s="170"/>
      <c r="AE182" s="170"/>
      <c r="AF182" s="170"/>
      <c r="AG182" s="170"/>
      <c r="AH182" s="170"/>
      <c r="AI182" s="170"/>
      <c r="AJ182" s="170"/>
      <c r="AK182" s="170"/>
      <c r="AL182" s="170"/>
      <c r="AM182" s="170"/>
      <c r="AN182" s="170"/>
      <c r="AO182" s="170"/>
      <c r="AP182" s="170"/>
      <c r="AQ182" s="170"/>
      <c r="AR182" s="170"/>
      <c r="AS182" s="170"/>
      <c r="AT182" s="170"/>
      <c r="AU182" s="170"/>
      <c r="AV182" s="170"/>
      <c r="AW182" s="170"/>
      <c r="AX182" s="170"/>
      <c r="AY182" s="170"/>
      <c r="AZ182" s="170"/>
      <c r="BA182" s="170"/>
      <c r="BB182" s="170"/>
      <c r="BC182" s="170"/>
      <c r="BD182" s="170"/>
      <c r="BE182" s="170"/>
      <c r="BF182" s="170"/>
      <c r="BG182" s="170"/>
      <c r="BH182" s="170"/>
      <c r="BI182" s="170"/>
      <c r="BJ182" s="170"/>
      <c r="BK182" s="170"/>
      <c r="BL182" s="170"/>
      <c r="BM182" s="170"/>
      <c r="BN182" s="170"/>
      <c r="BO182" s="170"/>
      <c r="BP182" s="170"/>
      <c r="BQ182" s="170"/>
      <c r="BR182" s="170"/>
      <c r="BS182" s="170"/>
      <c r="BT182" s="170"/>
      <c r="BU182" s="170"/>
      <c r="BV182" s="170"/>
      <c r="BW182" s="170"/>
      <c r="BX182" s="170"/>
      <c r="BY182" s="170"/>
      <c r="BZ182" s="170"/>
      <c r="CA182" s="170"/>
      <c r="CB182" s="170"/>
      <c r="CC182" s="170"/>
      <c r="CD182" s="170"/>
      <c r="CE182" s="170"/>
      <c r="CF182" s="170"/>
      <c r="CG182" s="170"/>
      <c r="CH182" s="170"/>
      <c r="CI182" s="170"/>
      <c r="CJ182" s="170"/>
      <c r="CK182" s="170"/>
      <c r="CL182" s="170"/>
      <c r="CM182" s="170"/>
      <c r="CN182" s="170"/>
      <c r="CO182" s="170"/>
    </row>
    <row r="183" spans="1:93">
      <c r="A183" s="77"/>
      <c r="B183" s="168"/>
      <c r="C183" s="17" t="s">
        <v>630</v>
      </c>
      <c r="D183" s="10"/>
      <c r="E183" s="184">
        <f xml:space="preserve"> Предпосылки!E285 * $I$112 * $I$95</f>
        <v>65575.987624000001</v>
      </c>
      <c r="F183" s="11"/>
      <c r="G183" s="11" t="str">
        <f t="shared" ref="G183:G188" si="296">Monetary_Unit</f>
        <v>тыс. руб.</v>
      </c>
      <c r="H183" s="10"/>
      <c r="I183" s="10"/>
      <c r="J183" s="10"/>
      <c r="K183" s="10"/>
      <c r="L183" s="171">
        <f xml:space="preserve"> Предпосылки!L296</f>
        <v>0.25</v>
      </c>
      <c r="M183" s="171">
        <f xml:space="preserve"> Предпосылки!M296</f>
        <v>0.25</v>
      </c>
      <c r="N183" s="171">
        <f xml:space="preserve"> Предпосылки!N296</f>
        <v>0.25</v>
      </c>
      <c r="O183" s="171">
        <f xml:space="preserve"> Предпосылки!O296</f>
        <v>0.25</v>
      </c>
      <c r="P183" s="171">
        <f xml:space="preserve"> Предпосылки!P296</f>
        <v>0</v>
      </c>
      <c r="Q183" s="171">
        <f xml:space="preserve"> Предпосылки!Q296</f>
        <v>0</v>
      </c>
      <c r="R183" s="171">
        <f xml:space="preserve"> Предпосылки!R296</f>
        <v>0</v>
      </c>
      <c r="S183" s="171">
        <f xml:space="preserve"> Предпосылки!S296</f>
        <v>0</v>
      </c>
      <c r="T183" s="171">
        <f xml:space="preserve"> Предпосылки!T296</f>
        <v>0</v>
      </c>
      <c r="U183" s="171">
        <f xml:space="preserve"> Предпосылки!U296</f>
        <v>0</v>
      </c>
      <c r="V183" s="171">
        <f xml:space="preserve"> Предпосылки!V296</f>
        <v>0</v>
      </c>
      <c r="W183" s="171">
        <f xml:space="preserve"> Предпосылки!W296</f>
        <v>0</v>
      </c>
      <c r="X183" s="171">
        <f xml:space="preserve"> Предпосылки!X296</f>
        <v>0</v>
      </c>
      <c r="Y183" s="171">
        <f xml:space="preserve"> Предпосылки!Y296</f>
        <v>0</v>
      </c>
      <c r="Z183" s="171">
        <f xml:space="preserve"> Предпосылки!Z296</f>
        <v>0</v>
      </c>
      <c r="AA183" s="171">
        <f xml:space="preserve"> Предпосылки!AA296</f>
        <v>0</v>
      </c>
      <c r="AB183" s="171">
        <f xml:space="preserve"> Предпосылки!AB296</f>
        <v>0</v>
      </c>
      <c r="AC183" s="171">
        <f xml:space="preserve"> Предпосылки!AC296</f>
        <v>0</v>
      </c>
      <c r="AD183" s="171">
        <f xml:space="preserve"> Предпосылки!AD296</f>
        <v>0</v>
      </c>
      <c r="AE183" s="171">
        <f xml:space="preserve"> Предпосылки!AE296</f>
        <v>0</v>
      </c>
      <c r="AF183" s="171">
        <f xml:space="preserve"> Предпосылки!AF296</f>
        <v>0</v>
      </c>
      <c r="AG183" s="171">
        <f xml:space="preserve"> Предпосылки!AG296</f>
        <v>0</v>
      </c>
      <c r="AH183" s="171">
        <f xml:space="preserve"> Предпосылки!AH296</f>
        <v>0</v>
      </c>
      <c r="AI183" s="171">
        <f xml:space="preserve"> Предпосылки!AI296</f>
        <v>0</v>
      </c>
      <c r="AJ183" s="171">
        <f xml:space="preserve"> Предпосылки!AJ296</f>
        <v>0</v>
      </c>
      <c r="AK183" s="171">
        <f xml:space="preserve"> Предпосылки!AK296</f>
        <v>0</v>
      </c>
      <c r="AL183" s="171">
        <f xml:space="preserve"> Предпосылки!AL296</f>
        <v>0</v>
      </c>
      <c r="AM183" s="171">
        <f xml:space="preserve"> Предпосылки!AM296</f>
        <v>0</v>
      </c>
      <c r="AN183" s="171">
        <f xml:space="preserve"> Предпосылки!AN296</f>
        <v>0</v>
      </c>
      <c r="AO183" s="171">
        <f xml:space="preserve"> Предпосылки!AO296</f>
        <v>0</v>
      </c>
      <c r="AP183" s="171">
        <f xml:space="preserve"> Предпосылки!AP296</f>
        <v>0</v>
      </c>
      <c r="AQ183" s="171">
        <f xml:space="preserve"> Предпосылки!AQ296</f>
        <v>0</v>
      </c>
      <c r="AR183" s="171">
        <f xml:space="preserve"> Предпосылки!AR296</f>
        <v>0</v>
      </c>
      <c r="AS183" s="171">
        <f xml:space="preserve"> Предпосылки!AS296</f>
        <v>0</v>
      </c>
      <c r="AT183" s="171">
        <f xml:space="preserve"> Предпосылки!AT296</f>
        <v>0</v>
      </c>
      <c r="AU183" s="171">
        <f xml:space="preserve"> Предпосылки!AU296</f>
        <v>0</v>
      </c>
      <c r="AV183" s="171">
        <f xml:space="preserve"> Предпосылки!AV296</f>
        <v>0</v>
      </c>
      <c r="AW183" s="171">
        <f xml:space="preserve"> Предпосылки!AW296</f>
        <v>0</v>
      </c>
      <c r="AX183" s="171">
        <f xml:space="preserve"> Предпосылки!AX296</f>
        <v>0</v>
      </c>
      <c r="AY183" s="171">
        <f xml:space="preserve"> Предпосылки!AY296</f>
        <v>0</v>
      </c>
      <c r="AZ183" s="171">
        <f xml:space="preserve"> Предпосылки!AZ296</f>
        <v>0</v>
      </c>
      <c r="BA183" s="171">
        <f xml:space="preserve"> Предпосылки!BA296</f>
        <v>0</v>
      </c>
      <c r="BB183" s="171">
        <f xml:space="preserve"> Предпосылки!BB296</f>
        <v>0</v>
      </c>
      <c r="BC183" s="171">
        <f xml:space="preserve"> Предпосылки!BC296</f>
        <v>0</v>
      </c>
      <c r="BD183" s="171">
        <f xml:space="preserve"> Предпосылки!BD296</f>
        <v>0</v>
      </c>
      <c r="BE183" s="171">
        <f xml:space="preserve"> Предпосылки!BE296</f>
        <v>0</v>
      </c>
      <c r="BF183" s="171">
        <f xml:space="preserve"> Предпосылки!BF296</f>
        <v>0</v>
      </c>
      <c r="BG183" s="171">
        <f xml:space="preserve"> Предпосылки!BG296</f>
        <v>0</v>
      </c>
      <c r="BH183" s="171">
        <f xml:space="preserve"> Предпосылки!BH296</f>
        <v>0</v>
      </c>
      <c r="BI183" s="171">
        <f xml:space="preserve"> Предпосылки!BI296</f>
        <v>0</v>
      </c>
      <c r="BJ183" s="171">
        <f xml:space="preserve"> Предпосылки!BJ296</f>
        <v>0</v>
      </c>
      <c r="BK183" s="171">
        <f xml:space="preserve"> Предпосылки!BK296</f>
        <v>0</v>
      </c>
      <c r="BL183" s="171">
        <f xml:space="preserve"> Предпосылки!BL296</f>
        <v>0</v>
      </c>
      <c r="BM183" s="171">
        <f xml:space="preserve"> Предпосылки!BM296</f>
        <v>0</v>
      </c>
      <c r="BN183" s="171">
        <f xml:space="preserve"> Предпосылки!BN296</f>
        <v>0</v>
      </c>
      <c r="BO183" s="171">
        <f xml:space="preserve"> Предпосылки!BO296</f>
        <v>0</v>
      </c>
      <c r="BP183" s="171">
        <f xml:space="preserve"> Предпосылки!BP296</f>
        <v>0</v>
      </c>
      <c r="BQ183" s="171">
        <f xml:space="preserve"> Предпосылки!BQ296</f>
        <v>0</v>
      </c>
      <c r="BR183" s="171">
        <f xml:space="preserve"> Предпосылки!BR296</f>
        <v>0</v>
      </c>
      <c r="BS183" s="171">
        <f xml:space="preserve"> Предпосылки!BS296</f>
        <v>0</v>
      </c>
      <c r="BT183" s="171">
        <f xml:space="preserve"> Предпосылки!BT296</f>
        <v>0</v>
      </c>
      <c r="BU183" s="171">
        <f xml:space="preserve"> Предпосылки!BU296</f>
        <v>0</v>
      </c>
      <c r="BV183" s="171">
        <f xml:space="preserve"> Предпосылки!BV296</f>
        <v>0</v>
      </c>
      <c r="BW183" s="171">
        <f xml:space="preserve"> Предпосылки!BW296</f>
        <v>0</v>
      </c>
      <c r="BX183" s="171">
        <f xml:space="preserve"> Предпосылки!BX296</f>
        <v>0</v>
      </c>
      <c r="BY183" s="171">
        <f xml:space="preserve"> Предпосылки!BY296</f>
        <v>0</v>
      </c>
      <c r="BZ183" s="171">
        <f xml:space="preserve"> Предпосылки!BZ296</f>
        <v>0</v>
      </c>
      <c r="CA183" s="171">
        <f xml:space="preserve"> Предпосылки!CA296</f>
        <v>0</v>
      </c>
      <c r="CB183" s="171">
        <f xml:space="preserve"> Предпосылки!CB296</f>
        <v>0</v>
      </c>
      <c r="CC183" s="171">
        <f xml:space="preserve"> Предпосылки!CC296</f>
        <v>0</v>
      </c>
      <c r="CD183" s="171">
        <f xml:space="preserve"> Предпосылки!CD296</f>
        <v>0</v>
      </c>
      <c r="CE183" s="171">
        <f xml:space="preserve"> Предпосылки!CE296</f>
        <v>0</v>
      </c>
      <c r="CF183" s="171">
        <f xml:space="preserve"> Предпосылки!CF296</f>
        <v>0</v>
      </c>
      <c r="CG183" s="171">
        <f xml:space="preserve"> Предпосылки!CG296</f>
        <v>0</v>
      </c>
      <c r="CH183" s="171">
        <f xml:space="preserve"> Предпосылки!CH296</f>
        <v>0</v>
      </c>
      <c r="CI183" s="171">
        <f xml:space="preserve"> Предпосылки!CI296</f>
        <v>0</v>
      </c>
      <c r="CJ183" s="171">
        <f xml:space="preserve"> Предпосылки!CJ296</f>
        <v>0</v>
      </c>
      <c r="CK183" s="171">
        <f xml:space="preserve"> Предпосылки!CK296</f>
        <v>0</v>
      </c>
      <c r="CL183" s="171">
        <f xml:space="preserve"> Предпосылки!CL296</f>
        <v>0</v>
      </c>
      <c r="CM183" s="171">
        <f xml:space="preserve"> Предпосылки!CM296</f>
        <v>0</v>
      </c>
      <c r="CN183" s="171">
        <f xml:space="preserve"> Предпосылки!CN296</f>
        <v>0</v>
      </c>
      <c r="CO183" s="171">
        <f xml:space="preserve"> Предпосылки!CO296</f>
        <v>0</v>
      </c>
    </row>
    <row r="184" spans="1:93">
      <c r="A184" s="77"/>
      <c r="B184" s="168"/>
      <c r="C184" s="17" t="s">
        <v>632</v>
      </c>
      <c r="D184" s="10"/>
      <c r="E184" s="184">
        <f xml:space="preserve"> Предпосылки!E286 * $I$112 * $I$95</f>
        <v>0</v>
      </c>
      <c r="F184" s="11"/>
      <c r="G184" s="11" t="str">
        <f t="shared" si="296"/>
        <v>тыс. руб.</v>
      </c>
      <c r="H184" s="10"/>
      <c r="I184" s="10"/>
      <c r="J184" s="10"/>
      <c r="K184" s="10"/>
      <c r="L184" s="171">
        <f xml:space="preserve"> Предпосылки!L297</f>
        <v>0</v>
      </c>
      <c r="M184" s="171">
        <f xml:space="preserve"> Предпосылки!M297</f>
        <v>0</v>
      </c>
      <c r="N184" s="171">
        <f xml:space="preserve"> Предпосылки!N297</f>
        <v>0</v>
      </c>
      <c r="O184" s="171">
        <f xml:space="preserve"> Предпосылки!O297</f>
        <v>0.2</v>
      </c>
      <c r="P184" s="171">
        <f xml:space="preserve"> Предпосылки!P297</f>
        <v>0.2</v>
      </c>
      <c r="Q184" s="171">
        <f xml:space="preserve"> Предпосылки!Q297</f>
        <v>0.19999999999999998</v>
      </c>
      <c r="R184" s="171">
        <f xml:space="preserve"> Предпосылки!R297</f>
        <v>0.2</v>
      </c>
      <c r="S184" s="171">
        <f xml:space="preserve"> Предпосылки!S297</f>
        <v>0.19999999999999996</v>
      </c>
      <c r="T184" s="171">
        <f xml:space="preserve"> Предпосылки!T297</f>
        <v>0</v>
      </c>
      <c r="U184" s="171">
        <f xml:space="preserve"> Предпосылки!U297</f>
        <v>0</v>
      </c>
      <c r="V184" s="171">
        <f xml:space="preserve"> Предпосылки!V297</f>
        <v>0</v>
      </c>
      <c r="W184" s="171">
        <f xml:space="preserve"> Предпосылки!W297</f>
        <v>0</v>
      </c>
      <c r="X184" s="171">
        <f xml:space="preserve"> Предпосылки!X297</f>
        <v>0</v>
      </c>
      <c r="Y184" s="171">
        <f xml:space="preserve"> Предпосылки!Y297</f>
        <v>0</v>
      </c>
      <c r="Z184" s="171">
        <f xml:space="preserve"> Предпосылки!Z297</f>
        <v>0</v>
      </c>
      <c r="AA184" s="171">
        <f xml:space="preserve"> Предпосылки!AA297</f>
        <v>0</v>
      </c>
      <c r="AB184" s="171">
        <f xml:space="preserve"> Предпосылки!AB297</f>
        <v>0</v>
      </c>
      <c r="AC184" s="171">
        <f xml:space="preserve"> Предпосылки!AC297</f>
        <v>0</v>
      </c>
      <c r="AD184" s="171">
        <f xml:space="preserve"> Предпосылки!AD297</f>
        <v>0</v>
      </c>
      <c r="AE184" s="171">
        <f xml:space="preserve"> Предпосылки!AE297</f>
        <v>0</v>
      </c>
      <c r="AF184" s="171">
        <f xml:space="preserve"> Предпосылки!AF297</f>
        <v>0</v>
      </c>
      <c r="AG184" s="171">
        <f xml:space="preserve"> Предпосылки!AG297</f>
        <v>0</v>
      </c>
      <c r="AH184" s="171">
        <f xml:space="preserve"> Предпосылки!AH297</f>
        <v>0</v>
      </c>
      <c r="AI184" s="171">
        <f xml:space="preserve"> Предпосылки!AI297</f>
        <v>0</v>
      </c>
      <c r="AJ184" s="171">
        <f xml:space="preserve"> Предпосылки!AJ297</f>
        <v>0</v>
      </c>
      <c r="AK184" s="171">
        <f xml:space="preserve"> Предпосылки!AK297</f>
        <v>0</v>
      </c>
      <c r="AL184" s="171">
        <f xml:space="preserve"> Предпосылки!AL297</f>
        <v>0</v>
      </c>
      <c r="AM184" s="171">
        <f xml:space="preserve"> Предпосылки!AM297</f>
        <v>0</v>
      </c>
      <c r="AN184" s="171">
        <f xml:space="preserve"> Предпосылки!AN297</f>
        <v>0</v>
      </c>
      <c r="AO184" s="171">
        <f xml:space="preserve"> Предпосылки!AO297</f>
        <v>0</v>
      </c>
      <c r="AP184" s="171">
        <f xml:space="preserve"> Предпосылки!AP297</f>
        <v>0</v>
      </c>
      <c r="AQ184" s="171">
        <f xml:space="preserve"> Предпосылки!AQ297</f>
        <v>0</v>
      </c>
      <c r="AR184" s="171">
        <f xml:space="preserve"> Предпосылки!AR297</f>
        <v>0</v>
      </c>
      <c r="AS184" s="171">
        <f xml:space="preserve"> Предпосылки!AS297</f>
        <v>0</v>
      </c>
      <c r="AT184" s="171">
        <f xml:space="preserve"> Предпосылки!AT297</f>
        <v>0</v>
      </c>
      <c r="AU184" s="171">
        <f xml:space="preserve"> Предпосылки!AU297</f>
        <v>0</v>
      </c>
      <c r="AV184" s="171">
        <f xml:space="preserve"> Предпосылки!AV297</f>
        <v>0</v>
      </c>
      <c r="AW184" s="171">
        <f xml:space="preserve"> Предпосылки!AW297</f>
        <v>0</v>
      </c>
      <c r="AX184" s="171">
        <f xml:space="preserve"> Предпосылки!AX297</f>
        <v>0</v>
      </c>
      <c r="AY184" s="171">
        <f xml:space="preserve"> Предпосылки!AY297</f>
        <v>0</v>
      </c>
      <c r="AZ184" s="171">
        <f xml:space="preserve"> Предпосылки!AZ297</f>
        <v>0</v>
      </c>
      <c r="BA184" s="171">
        <f xml:space="preserve"> Предпосылки!BA297</f>
        <v>0</v>
      </c>
      <c r="BB184" s="171">
        <f xml:space="preserve"> Предпосылки!BB297</f>
        <v>0</v>
      </c>
      <c r="BC184" s="171">
        <f xml:space="preserve"> Предпосылки!BC297</f>
        <v>0</v>
      </c>
      <c r="BD184" s="171">
        <f xml:space="preserve"> Предпосылки!BD297</f>
        <v>0</v>
      </c>
      <c r="BE184" s="171">
        <f xml:space="preserve"> Предпосылки!BE297</f>
        <v>0</v>
      </c>
      <c r="BF184" s="171">
        <f xml:space="preserve"> Предпосылки!BF297</f>
        <v>0</v>
      </c>
      <c r="BG184" s="171">
        <f xml:space="preserve"> Предпосылки!BG297</f>
        <v>0</v>
      </c>
      <c r="BH184" s="171">
        <f xml:space="preserve"> Предпосылки!BH297</f>
        <v>0</v>
      </c>
      <c r="BI184" s="171">
        <f xml:space="preserve"> Предпосылки!BI297</f>
        <v>0</v>
      </c>
      <c r="BJ184" s="171">
        <f xml:space="preserve"> Предпосылки!BJ297</f>
        <v>0</v>
      </c>
      <c r="BK184" s="171">
        <f xml:space="preserve"> Предпосылки!BK297</f>
        <v>0</v>
      </c>
      <c r="BL184" s="171">
        <f xml:space="preserve"> Предпосылки!BL297</f>
        <v>0</v>
      </c>
      <c r="BM184" s="171">
        <f xml:space="preserve"> Предпосылки!BM297</f>
        <v>0</v>
      </c>
      <c r="BN184" s="171">
        <f xml:space="preserve"> Предпосылки!BN297</f>
        <v>0</v>
      </c>
      <c r="BO184" s="171">
        <f xml:space="preserve"> Предпосылки!BO297</f>
        <v>0</v>
      </c>
      <c r="BP184" s="171">
        <f xml:space="preserve"> Предпосылки!BP297</f>
        <v>0</v>
      </c>
      <c r="BQ184" s="171">
        <f xml:space="preserve"> Предпосылки!BQ297</f>
        <v>0</v>
      </c>
      <c r="BR184" s="171">
        <f xml:space="preserve"> Предпосылки!BR297</f>
        <v>0</v>
      </c>
      <c r="BS184" s="171">
        <f xml:space="preserve"> Предпосылки!BS297</f>
        <v>0</v>
      </c>
      <c r="BT184" s="171">
        <f xml:space="preserve"> Предпосылки!BT297</f>
        <v>0</v>
      </c>
      <c r="BU184" s="171">
        <f xml:space="preserve"> Предпосылки!BU297</f>
        <v>0</v>
      </c>
      <c r="BV184" s="171">
        <f xml:space="preserve"> Предпосылки!BV297</f>
        <v>0</v>
      </c>
      <c r="BW184" s="171">
        <f xml:space="preserve"> Предпосылки!BW297</f>
        <v>0</v>
      </c>
      <c r="BX184" s="171">
        <f xml:space="preserve"> Предпосылки!BX297</f>
        <v>0</v>
      </c>
      <c r="BY184" s="171">
        <f xml:space="preserve"> Предпосылки!BY297</f>
        <v>0</v>
      </c>
      <c r="BZ184" s="171">
        <f xml:space="preserve"> Предпосылки!BZ297</f>
        <v>0</v>
      </c>
      <c r="CA184" s="171">
        <f xml:space="preserve"> Предпосылки!CA297</f>
        <v>0</v>
      </c>
      <c r="CB184" s="171">
        <f xml:space="preserve"> Предпосылки!CB297</f>
        <v>0</v>
      </c>
      <c r="CC184" s="171">
        <f xml:space="preserve"> Предпосылки!CC297</f>
        <v>0</v>
      </c>
      <c r="CD184" s="171">
        <f xml:space="preserve"> Предпосылки!CD297</f>
        <v>0</v>
      </c>
      <c r="CE184" s="171">
        <f xml:space="preserve"> Предпосылки!CE297</f>
        <v>0</v>
      </c>
      <c r="CF184" s="171">
        <f xml:space="preserve"> Предпосылки!CF297</f>
        <v>0</v>
      </c>
      <c r="CG184" s="171">
        <f xml:space="preserve"> Предпосылки!CG297</f>
        <v>0</v>
      </c>
      <c r="CH184" s="171">
        <f xml:space="preserve"> Предпосылки!CH297</f>
        <v>0</v>
      </c>
      <c r="CI184" s="171">
        <f xml:space="preserve"> Предпосылки!CI297</f>
        <v>0</v>
      </c>
      <c r="CJ184" s="171">
        <f xml:space="preserve"> Предпосылки!CJ297</f>
        <v>0</v>
      </c>
      <c r="CK184" s="171">
        <f xml:space="preserve"> Предпосылки!CK297</f>
        <v>0</v>
      </c>
      <c r="CL184" s="171">
        <f xml:space="preserve"> Предпосылки!CL297</f>
        <v>0</v>
      </c>
      <c r="CM184" s="171">
        <f xml:space="preserve"> Предпосылки!CM297</f>
        <v>0</v>
      </c>
      <c r="CN184" s="171">
        <f xml:space="preserve"> Предпосылки!CN297</f>
        <v>0</v>
      </c>
      <c r="CO184" s="171">
        <f xml:space="preserve"> Предпосылки!CO297</f>
        <v>0</v>
      </c>
    </row>
    <row r="185" spans="1:93">
      <c r="A185" s="77"/>
      <c r="B185" s="168"/>
      <c r="C185" s="17" t="s">
        <v>631</v>
      </c>
      <c r="D185" s="10"/>
      <c r="E185" s="184">
        <f xml:space="preserve"> Предпосылки!E287 * $I$112 * $I$95</f>
        <v>1639399.6905999999</v>
      </c>
      <c r="F185" s="11"/>
      <c r="G185" s="11" t="str">
        <f t="shared" si="296"/>
        <v>тыс. руб.</v>
      </c>
      <c r="H185" s="10"/>
      <c r="I185" s="10"/>
      <c r="J185" s="10"/>
      <c r="K185" s="10"/>
      <c r="L185" s="171">
        <f xml:space="preserve"> Предпосылки!L298</f>
        <v>0</v>
      </c>
      <c r="M185" s="171">
        <f xml:space="preserve"> Предпосылки!M298</f>
        <v>0</v>
      </c>
      <c r="N185" s="171">
        <f xml:space="preserve"> Предпосылки!N298</f>
        <v>0</v>
      </c>
      <c r="O185" s="171">
        <f xml:space="preserve"> Предпосылки!O298</f>
        <v>0</v>
      </c>
      <c r="P185" s="171">
        <f xml:space="preserve"> Предпосылки!P298</f>
        <v>8.3333333333333329E-2</v>
      </c>
      <c r="Q185" s="171">
        <f xml:space="preserve"> Предпосылки!Q298</f>
        <v>8.3333333333333329E-2</v>
      </c>
      <c r="R185" s="171">
        <f xml:space="preserve"> Предпосылки!R298</f>
        <v>8.3333333333333343E-2</v>
      </c>
      <c r="S185" s="171">
        <f xml:space="preserve"> Предпосылки!S298</f>
        <v>8.3333333333333329E-2</v>
      </c>
      <c r="T185" s="171">
        <f xml:space="preserve"> Предпосылки!T298</f>
        <v>8.3333333333333343E-2</v>
      </c>
      <c r="U185" s="171">
        <f xml:space="preserve"> Предпосылки!U298</f>
        <v>8.3333333333333343E-2</v>
      </c>
      <c r="V185" s="171">
        <f xml:space="preserve"> Предпосылки!V298</f>
        <v>8.3333333333333329E-2</v>
      </c>
      <c r="W185" s="171">
        <f xml:space="preserve"> Предпосылки!W298</f>
        <v>8.3333333333333329E-2</v>
      </c>
      <c r="X185" s="171">
        <f xml:space="preserve"> Предпосылки!X298</f>
        <v>8.3333333333333315E-2</v>
      </c>
      <c r="Y185" s="171">
        <f xml:space="preserve"> Предпосылки!Y298</f>
        <v>8.3333333333333329E-2</v>
      </c>
      <c r="Z185" s="171">
        <f xml:space="preserve"> Предпосылки!Z298</f>
        <v>8.3333333333333315E-2</v>
      </c>
      <c r="AA185" s="171">
        <f xml:space="preserve"> Предпосылки!AA298</f>
        <v>8.3333333333333259E-2</v>
      </c>
      <c r="AB185" s="171">
        <f xml:space="preserve"> Предпосылки!AB298</f>
        <v>0</v>
      </c>
      <c r="AC185" s="171">
        <f xml:space="preserve"> Предпосылки!AC298</f>
        <v>0</v>
      </c>
      <c r="AD185" s="171">
        <f xml:space="preserve"> Предпосылки!AD298</f>
        <v>0</v>
      </c>
      <c r="AE185" s="171">
        <f xml:space="preserve"> Предпосылки!AE298</f>
        <v>0</v>
      </c>
      <c r="AF185" s="171">
        <f xml:space="preserve"> Предпосылки!AF298</f>
        <v>0</v>
      </c>
      <c r="AG185" s="171">
        <f xml:space="preserve"> Предпосылки!AG298</f>
        <v>0</v>
      </c>
      <c r="AH185" s="171">
        <f xml:space="preserve"> Предпосылки!AH298</f>
        <v>0</v>
      </c>
      <c r="AI185" s="171">
        <f xml:space="preserve"> Предпосылки!AI298</f>
        <v>0</v>
      </c>
      <c r="AJ185" s="171">
        <f xml:space="preserve"> Предпосылки!AJ298</f>
        <v>0</v>
      </c>
      <c r="AK185" s="171">
        <f xml:space="preserve"> Предпосылки!AK298</f>
        <v>0</v>
      </c>
      <c r="AL185" s="171">
        <f xml:space="preserve"> Предпосылки!AL298</f>
        <v>0</v>
      </c>
      <c r="AM185" s="171">
        <f xml:space="preserve"> Предпосылки!AM298</f>
        <v>0</v>
      </c>
      <c r="AN185" s="171">
        <f xml:space="preserve"> Предпосылки!AN298</f>
        <v>0</v>
      </c>
      <c r="AO185" s="171">
        <f xml:space="preserve"> Предпосылки!AO298</f>
        <v>0</v>
      </c>
      <c r="AP185" s="171">
        <f xml:space="preserve"> Предпосылки!AP298</f>
        <v>0</v>
      </c>
      <c r="AQ185" s="171">
        <f xml:space="preserve"> Предпосылки!AQ298</f>
        <v>0</v>
      </c>
      <c r="AR185" s="171">
        <f xml:space="preserve"> Предпосылки!AR298</f>
        <v>0</v>
      </c>
      <c r="AS185" s="171">
        <f xml:space="preserve"> Предпосылки!AS298</f>
        <v>0</v>
      </c>
      <c r="AT185" s="171">
        <f xml:space="preserve"> Предпосылки!AT298</f>
        <v>0</v>
      </c>
      <c r="AU185" s="171">
        <f xml:space="preserve"> Предпосылки!AU298</f>
        <v>0</v>
      </c>
      <c r="AV185" s="171">
        <f xml:space="preserve"> Предпосылки!AV298</f>
        <v>0</v>
      </c>
      <c r="AW185" s="171">
        <f xml:space="preserve"> Предпосылки!AW298</f>
        <v>0</v>
      </c>
      <c r="AX185" s="171">
        <f xml:space="preserve"> Предпосылки!AX298</f>
        <v>0</v>
      </c>
      <c r="AY185" s="171">
        <f xml:space="preserve"> Предпосылки!AY298</f>
        <v>0</v>
      </c>
      <c r="AZ185" s="171">
        <f xml:space="preserve"> Предпосылки!AZ298</f>
        <v>0</v>
      </c>
      <c r="BA185" s="171">
        <f xml:space="preserve"> Предпосылки!BA298</f>
        <v>0</v>
      </c>
      <c r="BB185" s="171">
        <f xml:space="preserve"> Предпосылки!BB298</f>
        <v>0</v>
      </c>
      <c r="BC185" s="171">
        <f xml:space="preserve"> Предпосылки!BC298</f>
        <v>0</v>
      </c>
      <c r="BD185" s="171">
        <f xml:space="preserve"> Предпосылки!BD298</f>
        <v>0</v>
      </c>
      <c r="BE185" s="171">
        <f xml:space="preserve"> Предпосылки!BE298</f>
        <v>0</v>
      </c>
      <c r="BF185" s="171">
        <f xml:space="preserve"> Предпосылки!BF298</f>
        <v>0</v>
      </c>
      <c r="BG185" s="171">
        <f xml:space="preserve"> Предпосылки!BG298</f>
        <v>0</v>
      </c>
      <c r="BH185" s="171">
        <f xml:space="preserve"> Предпосылки!BH298</f>
        <v>0</v>
      </c>
      <c r="BI185" s="171">
        <f xml:space="preserve"> Предпосылки!BI298</f>
        <v>0</v>
      </c>
      <c r="BJ185" s="171">
        <f xml:space="preserve"> Предпосылки!BJ298</f>
        <v>0</v>
      </c>
      <c r="BK185" s="171">
        <f xml:space="preserve"> Предпосылки!BK298</f>
        <v>0</v>
      </c>
      <c r="BL185" s="171">
        <f xml:space="preserve"> Предпосылки!BL298</f>
        <v>0</v>
      </c>
      <c r="BM185" s="171">
        <f xml:space="preserve"> Предпосылки!BM298</f>
        <v>0</v>
      </c>
      <c r="BN185" s="171">
        <f xml:space="preserve"> Предпосылки!BN298</f>
        <v>0</v>
      </c>
      <c r="BO185" s="171">
        <f xml:space="preserve"> Предпосылки!BO298</f>
        <v>0</v>
      </c>
      <c r="BP185" s="171">
        <f xml:space="preserve"> Предпосылки!BP298</f>
        <v>0</v>
      </c>
      <c r="BQ185" s="171">
        <f xml:space="preserve"> Предпосылки!BQ298</f>
        <v>0</v>
      </c>
      <c r="BR185" s="171">
        <f xml:space="preserve"> Предпосылки!BR298</f>
        <v>0</v>
      </c>
      <c r="BS185" s="171">
        <f xml:space="preserve"> Предпосылки!BS298</f>
        <v>0</v>
      </c>
      <c r="BT185" s="171">
        <f xml:space="preserve"> Предпосылки!BT298</f>
        <v>0</v>
      </c>
      <c r="BU185" s="171">
        <f xml:space="preserve"> Предпосылки!BU298</f>
        <v>0</v>
      </c>
      <c r="BV185" s="171">
        <f xml:space="preserve"> Предпосылки!BV298</f>
        <v>0</v>
      </c>
      <c r="BW185" s="171">
        <f xml:space="preserve"> Предпосылки!BW298</f>
        <v>0</v>
      </c>
      <c r="BX185" s="171">
        <f xml:space="preserve"> Предпосылки!BX298</f>
        <v>0</v>
      </c>
      <c r="BY185" s="171">
        <f xml:space="preserve"> Предпосылки!BY298</f>
        <v>0</v>
      </c>
      <c r="BZ185" s="171">
        <f xml:space="preserve"> Предпосылки!BZ298</f>
        <v>0</v>
      </c>
      <c r="CA185" s="171">
        <f xml:space="preserve"> Предпосылки!CA298</f>
        <v>0</v>
      </c>
      <c r="CB185" s="171">
        <f xml:space="preserve"> Предпосылки!CB298</f>
        <v>0</v>
      </c>
      <c r="CC185" s="171">
        <f xml:space="preserve"> Предпосылки!CC298</f>
        <v>0</v>
      </c>
      <c r="CD185" s="171">
        <f xml:space="preserve"> Предпосылки!CD298</f>
        <v>0</v>
      </c>
      <c r="CE185" s="171">
        <f xml:space="preserve"> Предпосылки!CE298</f>
        <v>0</v>
      </c>
      <c r="CF185" s="171">
        <f xml:space="preserve"> Предпосылки!CF298</f>
        <v>0</v>
      </c>
      <c r="CG185" s="171">
        <f xml:space="preserve"> Предпосылки!CG298</f>
        <v>0</v>
      </c>
      <c r="CH185" s="171">
        <f xml:space="preserve"> Предпосылки!CH298</f>
        <v>0</v>
      </c>
      <c r="CI185" s="171">
        <f xml:space="preserve"> Предпосылки!CI298</f>
        <v>0</v>
      </c>
      <c r="CJ185" s="171">
        <f xml:space="preserve"> Предпосылки!CJ298</f>
        <v>0</v>
      </c>
      <c r="CK185" s="171">
        <f xml:space="preserve"> Предпосылки!CK298</f>
        <v>0</v>
      </c>
      <c r="CL185" s="171">
        <f xml:space="preserve"> Предпосылки!CL298</f>
        <v>0</v>
      </c>
      <c r="CM185" s="171">
        <f xml:space="preserve"> Предпосылки!CM298</f>
        <v>0</v>
      </c>
      <c r="CN185" s="171">
        <f xml:space="preserve"> Предпосылки!CN298</f>
        <v>0</v>
      </c>
      <c r="CO185" s="171">
        <f xml:space="preserve"> Предпосылки!CO298</f>
        <v>0</v>
      </c>
    </row>
    <row r="186" spans="1:93">
      <c r="A186" s="77"/>
      <c r="B186" s="168"/>
      <c r="C186" s="17" t="s">
        <v>633</v>
      </c>
      <c r="D186" s="10"/>
      <c r="E186" s="184">
        <f xml:space="preserve"> Предпосылки!E288 * $I$112 * $I$95</f>
        <v>506520.429</v>
      </c>
      <c r="F186" s="11"/>
      <c r="G186" s="11" t="str">
        <f t="shared" si="296"/>
        <v>тыс. руб.</v>
      </c>
      <c r="H186" s="10"/>
      <c r="I186" s="10"/>
      <c r="J186" s="10"/>
      <c r="K186" s="10"/>
      <c r="L186" s="171">
        <f xml:space="preserve"> Предпосылки!L299</f>
        <v>0</v>
      </c>
      <c r="M186" s="171">
        <f xml:space="preserve"> Предпосылки!M299</f>
        <v>0</v>
      </c>
      <c r="N186" s="171">
        <f xml:space="preserve"> Предпосылки!N299</f>
        <v>0</v>
      </c>
      <c r="O186" s="171">
        <f xml:space="preserve"> Предпосылки!O299</f>
        <v>0</v>
      </c>
      <c r="P186" s="171">
        <f xml:space="preserve"> Предпосылки!P299</f>
        <v>0</v>
      </c>
      <c r="Q186" s="171">
        <f xml:space="preserve"> Предпосылки!Q299</f>
        <v>0</v>
      </c>
      <c r="R186" s="171">
        <f xml:space="preserve"> Предпосылки!R299</f>
        <v>0</v>
      </c>
      <c r="S186" s="171">
        <f xml:space="preserve"> Предпосылки!S299</f>
        <v>0</v>
      </c>
      <c r="T186" s="171">
        <f xml:space="preserve"> Предпосылки!T299</f>
        <v>0</v>
      </c>
      <c r="U186" s="171">
        <f xml:space="preserve"> Предпосылки!U299</f>
        <v>0</v>
      </c>
      <c r="V186" s="171">
        <f xml:space="preserve"> Предпосылки!V299</f>
        <v>0</v>
      </c>
      <c r="W186" s="171">
        <f xml:space="preserve"> Предпосылки!W299</f>
        <v>0</v>
      </c>
      <c r="X186" s="171">
        <f xml:space="preserve"> Предпосылки!X299</f>
        <v>0.25</v>
      </c>
      <c r="Y186" s="171">
        <f xml:space="preserve"> Предпосылки!Y299</f>
        <v>0.25</v>
      </c>
      <c r="Z186" s="171">
        <f xml:space="preserve"> Предпосылки!Z299</f>
        <v>0.25</v>
      </c>
      <c r="AA186" s="171">
        <f xml:space="preserve"> Предпосылки!AA299</f>
        <v>0.25</v>
      </c>
      <c r="AB186" s="171">
        <f xml:space="preserve"> Предпосылки!AB299</f>
        <v>0</v>
      </c>
      <c r="AC186" s="171">
        <f xml:space="preserve"> Предпосылки!AC299</f>
        <v>0</v>
      </c>
      <c r="AD186" s="171">
        <f xml:space="preserve"> Предпосылки!AD299</f>
        <v>0</v>
      </c>
      <c r="AE186" s="171">
        <f xml:space="preserve"> Предпосылки!AE299</f>
        <v>0</v>
      </c>
      <c r="AF186" s="171">
        <f xml:space="preserve"> Предпосылки!AF299</f>
        <v>0</v>
      </c>
      <c r="AG186" s="171">
        <f xml:space="preserve"> Предпосылки!AG299</f>
        <v>0</v>
      </c>
      <c r="AH186" s="171">
        <f xml:space="preserve"> Предпосылки!AH299</f>
        <v>0</v>
      </c>
      <c r="AI186" s="171">
        <f xml:space="preserve"> Предпосылки!AI299</f>
        <v>0</v>
      </c>
      <c r="AJ186" s="171">
        <f xml:space="preserve"> Предпосылки!AJ299</f>
        <v>0</v>
      </c>
      <c r="AK186" s="171">
        <f xml:space="preserve"> Предпосылки!AK299</f>
        <v>0</v>
      </c>
      <c r="AL186" s="171">
        <f xml:space="preserve"> Предпосылки!AL299</f>
        <v>0</v>
      </c>
      <c r="AM186" s="171">
        <f xml:space="preserve"> Предпосылки!AM299</f>
        <v>0</v>
      </c>
      <c r="AN186" s="171">
        <f xml:space="preserve"> Предпосылки!AN299</f>
        <v>0</v>
      </c>
      <c r="AO186" s="171">
        <f xml:space="preserve"> Предпосылки!AO299</f>
        <v>0</v>
      </c>
      <c r="AP186" s="171">
        <f xml:space="preserve"> Предпосылки!AP299</f>
        <v>0</v>
      </c>
      <c r="AQ186" s="171">
        <f xml:space="preserve"> Предпосылки!AQ299</f>
        <v>0</v>
      </c>
      <c r="AR186" s="171">
        <f xml:space="preserve"> Предпосылки!AR299</f>
        <v>0</v>
      </c>
      <c r="AS186" s="171">
        <f xml:space="preserve"> Предпосылки!AS299</f>
        <v>0</v>
      </c>
      <c r="AT186" s="171">
        <f xml:space="preserve"> Предпосылки!AT299</f>
        <v>0</v>
      </c>
      <c r="AU186" s="171">
        <f xml:space="preserve"> Предпосылки!AU299</f>
        <v>0</v>
      </c>
      <c r="AV186" s="171">
        <f xml:space="preserve"> Предпосылки!AV299</f>
        <v>0</v>
      </c>
      <c r="AW186" s="171">
        <f xml:space="preserve"> Предпосылки!AW299</f>
        <v>0</v>
      </c>
      <c r="AX186" s="171">
        <f xml:space="preserve"> Предпосылки!AX299</f>
        <v>0</v>
      </c>
      <c r="AY186" s="171">
        <f xml:space="preserve"> Предпосылки!AY299</f>
        <v>0</v>
      </c>
      <c r="AZ186" s="171">
        <f xml:space="preserve"> Предпосылки!AZ299</f>
        <v>0</v>
      </c>
      <c r="BA186" s="171">
        <f xml:space="preserve"> Предпосылки!BA299</f>
        <v>0</v>
      </c>
      <c r="BB186" s="171">
        <f xml:space="preserve"> Предпосылки!BB299</f>
        <v>0</v>
      </c>
      <c r="BC186" s="171">
        <f xml:space="preserve"> Предпосылки!BC299</f>
        <v>0</v>
      </c>
      <c r="BD186" s="171">
        <f xml:space="preserve"> Предпосылки!BD299</f>
        <v>0</v>
      </c>
      <c r="BE186" s="171">
        <f xml:space="preserve"> Предпосылки!BE299</f>
        <v>0</v>
      </c>
      <c r="BF186" s="171">
        <f xml:space="preserve"> Предпосылки!BF299</f>
        <v>0</v>
      </c>
      <c r="BG186" s="171">
        <f xml:space="preserve"> Предпосылки!BG299</f>
        <v>0</v>
      </c>
      <c r="BH186" s="171">
        <f xml:space="preserve"> Предпосылки!BH299</f>
        <v>0</v>
      </c>
      <c r="BI186" s="171">
        <f xml:space="preserve"> Предпосылки!BI299</f>
        <v>0</v>
      </c>
      <c r="BJ186" s="171">
        <f xml:space="preserve"> Предпосылки!BJ299</f>
        <v>0</v>
      </c>
      <c r="BK186" s="171">
        <f xml:space="preserve"> Предпосылки!BK299</f>
        <v>0</v>
      </c>
      <c r="BL186" s="171">
        <f xml:space="preserve"> Предпосылки!BL299</f>
        <v>0</v>
      </c>
      <c r="BM186" s="171">
        <f xml:space="preserve"> Предпосылки!BM299</f>
        <v>0</v>
      </c>
      <c r="BN186" s="171">
        <f xml:space="preserve"> Предпосылки!BN299</f>
        <v>0</v>
      </c>
      <c r="BO186" s="171">
        <f xml:space="preserve"> Предпосылки!BO299</f>
        <v>0</v>
      </c>
      <c r="BP186" s="171">
        <f xml:space="preserve"> Предпосылки!BP299</f>
        <v>0</v>
      </c>
      <c r="BQ186" s="171">
        <f xml:space="preserve"> Предпосылки!BQ299</f>
        <v>0</v>
      </c>
      <c r="BR186" s="171">
        <f xml:space="preserve"> Предпосылки!BR299</f>
        <v>0</v>
      </c>
      <c r="BS186" s="171">
        <f xml:space="preserve"> Предпосылки!BS299</f>
        <v>0</v>
      </c>
      <c r="BT186" s="171">
        <f xml:space="preserve"> Предпосылки!BT299</f>
        <v>0</v>
      </c>
      <c r="BU186" s="171">
        <f xml:space="preserve"> Предпосылки!BU299</f>
        <v>0</v>
      </c>
      <c r="BV186" s="171">
        <f xml:space="preserve"> Предпосылки!BV299</f>
        <v>0</v>
      </c>
      <c r="BW186" s="171">
        <f xml:space="preserve"> Предпосылки!BW299</f>
        <v>0</v>
      </c>
      <c r="BX186" s="171">
        <f xml:space="preserve"> Предпосылки!BX299</f>
        <v>0</v>
      </c>
      <c r="BY186" s="171">
        <f xml:space="preserve"> Предпосылки!BY299</f>
        <v>0</v>
      </c>
      <c r="BZ186" s="171">
        <f xml:space="preserve"> Предпосылки!BZ299</f>
        <v>0</v>
      </c>
      <c r="CA186" s="171">
        <f xml:space="preserve"> Предпосылки!CA299</f>
        <v>0</v>
      </c>
      <c r="CB186" s="171">
        <f xml:space="preserve"> Предпосылки!CB299</f>
        <v>0</v>
      </c>
      <c r="CC186" s="171">
        <f xml:space="preserve"> Предпосылки!CC299</f>
        <v>0</v>
      </c>
      <c r="CD186" s="171">
        <f xml:space="preserve"> Предпосылки!CD299</f>
        <v>0</v>
      </c>
      <c r="CE186" s="171">
        <f xml:space="preserve"> Предпосылки!CE299</f>
        <v>0</v>
      </c>
      <c r="CF186" s="171">
        <f xml:space="preserve"> Предпосылки!CF299</f>
        <v>0</v>
      </c>
      <c r="CG186" s="171">
        <f xml:space="preserve"> Предпосылки!CG299</f>
        <v>0</v>
      </c>
      <c r="CH186" s="171">
        <f xml:space="preserve"> Предпосылки!CH299</f>
        <v>0</v>
      </c>
      <c r="CI186" s="171">
        <f xml:space="preserve"> Предпосылки!CI299</f>
        <v>0</v>
      </c>
      <c r="CJ186" s="171">
        <f xml:space="preserve"> Предпосылки!CJ299</f>
        <v>0</v>
      </c>
      <c r="CK186" s="171">
        <f xml:space="preserve"> Предпосылки!CK299</f>
        <v>0</v>
      </c>
      <c r="CL186" s="171">
        <f xml:space="preserve"> Предпосылки!CL299</f>
        <v>0</v>
      </c>
      <c r="CM186" s="171">
        <f xml:space="preserve"> Предпосылки!CM299</f>
        <v>0</v>
      </c>
      <c r="CN186" s="171">
        <f xml:space="preserve"> Предпосылки!CN299</f>
        <v>0</v>
      </c>
      <c r="CO186" s="171">
        <f xml:space="preserve"> Предпосылки!CO299</f>
        <v>0</v>
      </c>
    </row>
    <row r="187" spans="1:93">
      <c r="A187" s="77"/>
      <c r="B187" s="168"/>
      <c r="C187" s="17" t="s">
        <v>1190</v>
      </c>
      <c r="D187" s="10"/>
      <c r="E187" s="184">
        <f xml:space="preserve"> Предпосылки!E289 * $I$112 * $I$95</f>
        <v>377145</v>
      </c>
      <c r="F187" s="11"/>
      <c r="G187" s="11" t="str">
        <f t="shared" si="296"/>
        <v>тыс. руб.</v>
      </c>
      <c r="H187" s="10"/>
      <c r="I187" s="10"/>
      <c r="J187" s="10"/>
      <c r="K187" s="10"/>
      <c r="L187" s="171">
        <f xml:space="preserve"> Предпосылки!L300</f>
        <v>0</v>
      </c>
      <c r="M187" s="171">
        <f xml:space="preserve"> Предпосылки!M300</f>
        <v>0</v>
      </c>
      <c r="N187" s="171">
        <f xml:space="preserve"> Предпосылки!N300</f>
        <v>0</v>
      </c>
      <c r="O187" s="171">
        <f xml:space="preserve"> Предпосылки!O300</f>
        <v>0</v>
      </c>
      <c r="P187" s="171">
        <f xml:space="preserve"> Предпосылки!P300</f>
        <v>0</v>
      </c>
      <c r="Q187" s="171">
        <f xml:space="preserve"> Предпосылки!Q300</f>
        <v>0</v>
      </c>
      <c r="R187" s="171">
        <f xml:space="preserve"> Предпосылки!R300</f>
        <v>0</v>
      </c>
      <c r="S187" s="171">
        <f xml:space="preserve"> Предпосылки!S300</f>
        <v>0</v>
      </c>
      <c r="T187" s="171">
        <f xml:space="preserve"> Предпосылки!T300</f>
        <v>0</v>
      </c>
      <c r="U187" s="171">
        <f xml:space="preserve"> Предпосылки!U300</f>
        <v>0</v>
      </c>
      <c r="V187" s="171">
        <f xml:space="preserve"> Предпосылки!V300</f>
        <v>0</v>
      </c>
      <c r="W187" s="171">
        <f xml:space="preserve"> Предпосылки!W300</f>
        <v>0</v>
      </c>
      <c r="X187" s="171">
        <f xml:space="preserve"> Предпосылки!X300</f>
        <v>0</v>
      </c>
      <c r="Y187" s="171">
        <f xml:space="preserve"> Предпосылки!Y300</f>
        <v>0</v>
      </c>
      <c r="Z187" s="171">
        <f xml:space="preserve"> Предпосылки!Z300</f>
        <v>0</v>
      </c>
      <c r="AA187" s="171">
        <f xml:space="preserve"> Предпосылки!AA300</f>
        <v>0</v>
      </c>
      <c r="AB187" s="171">
        <f xml:space="preserve"> Предпосылки!AB300</f>
        <v>1</v>
      </c>
      <c r="AC187" s="171">
        <f xml:space="preserve"> Предпосылки!AC300</f>
        <v>0</v>
      </c>
      <c r="AD187" s="171">
        <f xml:space="preserve"> Предпосылки!AD300</f>
        <v>0</v>
      </c>
      <c r="AE187" s="171">
        <f xml:space="preserve"> Предпосылки!AE300</f>
        <v>0</v>
      </c>
      <c r="AF187" s="171">
        <f xml:space="preserve"> Предпосылки!AF300</f>
        <v>0</v>
      </c>
      <c r="AG187" s="171">
        <f xml:space="preserve"> Предпосылки!AG300</f>
        <v>0</v>
      </c>
      <c r="AH187" s="171">
        <f xml:space="preserve"> Предпосылки!AH300</f>
        <v>0</v>
      </c>
      <c r="AI187" s="171">
        <f xml:space="preserve"> Предпосылки!AI300</f>
        <v>0</v>
      </c>
      <c r="AJ187" s="171">
        <f xml:space="preserve"> Предпосылки!AJ300</f>
        <v>0</v>
      </c>
      <c r="AK187" s="171">
        <f xml:space="preserve"> Предпосылки!AK300</f>
        <v>0</v>
      </c>
      <c r="AL187" s="171">
        <f xml:space="preserve"> Предпосылки!AL300</f>
        <v>0</v>
      </c>
      <c r="AM187" s="171">
        <f xml:space="preserve"> Предпосылки!AM300</f>
        <v>0</v>
      </c>
      <c r="AN187" s="171">
        <f xml:space="preserve"> Предпосылки!AN300</f>
        <v>0</v>
      </c>
      <c r="AO187" s="171">
        <f xml:space="preserve"> Предпосылки!AO300</f>
        <v>0</v>
      </c>
      <c r="AP187" s="171">
        <f xml:space="preserve"> Предпосылки!AP300</f>
        <v>0</v>
      </c>
      <c r="AQ187" s="171">
        <f xml:space="preserve"> Предпосылки!AQ300</f>
        <v>0</v>
      </c>
      <c r="AR187" s="171">
        <f xml:space="preserve"> Предпосылки!AR300</f>
        <v>0</v>
      </c>
      <c r="AS187" s="171">
        <f xml:space="preserve"> Предпосылки!AS300</f>
        <v>0</v>
      </c>
      <c r="AT187" s="171">
        <f xml:space="preserve"> Предпосылки!AT300</f>
        <v>0</v>
      </c>
      <c r="AU187" s="171">
        <f xml:space="preserve"> Предпосылки!AU300</f>
        <v>0</v>
      </c>
      <c r="AV187" s="171">
        <f xml:space="preserve"> Предпосылки!AV300</f>
        <v>0</v>
      </c>
      <c r="AW187" s="171">
        <f xml:space="preserve"> Предпосылки!AW300</f>
        <v>0</v>
      </c>
      <c r="AX187" s="171">
        <f xml:space="preserve"> Предпосылки!AX300</f>
        <v>0</v>
      </c>
      <c r="AY187" s="171">
        <f xml:space="preserve"> Предпосылки!AY300</f>
        <v>0</v>
      </c>
      <c r="AZ187" s="171">
        <f xml:space="preserve"> Предпосылки!AZ300</f>
        <v>0</v>
      </c>
      <c r="BA187" s="171">
        <f xml:space="preserve"> Предпосылки!BA300</f>
        <v>0</v>
      </c>
      <c r="BB187" s="171">
        <f xml:space="preserve"> Предпосылки!BB300</f>
        <v>0</v>
      </c>
      <c r="BC187" s="171">
        <f xml:space="preserve"> Предпосылки!BC300</f>
        <v>0</v>
      </c>
      <c r="BD187" s="171">
        <f xml:space="preserve"> Предпосылки!BD300</f>
        <v>0</v>
      </c>
      <c r="BE187" s="171">
        <f xml:space="preserve"> Предпосылки!BE300</f>
        <v>0</v>
      </c>
      <c r="BF187" s="171">
        <f xml:space="preserve"> Предпосылки!BF300</f>
        <v>0</v>
      </c>
      <c r="BG187" s="171">
        <f xml:space="preserve"> Предпосылки!BG300</f>
        <v>0</v>
      </c>
      <c r="BH187" s="171">
        <f xml:space="preserve"> Предпосылки!BH300</f>
        <v>0</v>
      </c>
      <c r="BI187" s="171">
        <f xml:space="preserve"> Предпосылки!BI300</f>
        <v>0</v>
      </c>
      <c r="BJ187" s="171">
        <f xml:space="preserve"> Предпосылки!BJ300</f>
        <v>0</v>
      </c>
      <c r="BK187" s="171">
        <f xml:space="preserve"> Предпосылки!BK300</f>
        <v>0</v>
      </c>
      <c r="BL187" s="171">
        <f xml:space="preserve"> Предпосылки!BL300</f>
        <v>0</v>
      </c>
      <c r="BM187" s="171">
        <f xml:space="preserve"> Предпосылки!BM300</f>
        <v>0</v>
      </c>
      <c r="BN187" s="171">
        <f xml:space="preserve"> Предпосылки!BN300</f>
        <v>0</v>
      </c>
      <c r="BO187" s="171">
        <f xml:space="preserve"> Предпосылки!BO300</f>
        <v>0</v>
      </c>
      <c r="BP187" s="171">
        <f xml:space="preserve"> Предпосылки!BP300</f>
        <v>0</v>
      </c>
      <c r="BQ187" s="171">
        <f xml:space="preserve"> Предпосылки!BQ300</f>
        <v>0</v>
      </c>
      <c r="BR187" s="171">
        <f xml:space="preserve"> Предпосылки!BR300</f>
        <v>0</v>
      </c>
      <c r="BS187" s="171">
        <f xml:space="preserve"> Предпосылки!BS300</f>
        <v>0</v>
      </c>
      <c r="BT187" s="171">
        <f xml:space="preserve"> Предпосылки!BT300</f>
        <v>0</v>
      </c>
      <c r="BU187" s="171">
        <f xml:space="preserve"> Предпосылки!BU300</f>
        <v>0</v>
      </c>
      <c r="BV187" s="171">
        <f xml:space="preserve"> Предпосылки!BV300</f>
        <v>0</v>
      </c>
      <c r="BW187" s="171">
        <f xml:space="preserve"> Предпосылки!BW300</f>
        <v>0</v>
      </c>
      <c r="BX187" s="171">
        <f xml:space="preserve"> Предпосылки!BX300</f>
        <v>0</v>
      </c>
      <c r="BY187" s="171">
        <f xml:space="preserve"> Предпосылки!BY300</f>
        <v>0</v>
      </c>
      <c r="BZ187" s="171">
        <f xml:space="preserve"> Предпосылки!BZ300</f>
        <v>0</v>
      </c>
      <c r="CA187" s="171">
        <f xml:space="preserve"> Предпосылки!CA300</f>
        <v>0</v>
      </c>
      <c r="CB187" s="171">
        <f xml:space="preserve"> Предпосылки!CB300</f>
        <v>0</v>
      </c>
      <c r="CC187" s="171">
        <f xml:space="preserve"> Предпосылки!CC300</f>
        <v>0</v>
      </c>
      <c r="CD187" s="171">
        <f xml:space="preserve"> Предпосылки!CD300</f>
        <v>0</v>
      </c>
      <c r="CE187" s="171">
        <f xml:space="preserve"> Предпосылки!CE300</f>
        <v>0</v>
      </c>
      <c r="CF187" s="171">
        <f xml:space="preserve"> Предпосылки!CF300</f>
        <v>0</v>
      </c>
      <c r="CG187" s="171">
        <f xml:space="preserve"> Предпосылки!CG300</f>
        <v>0</v>
      </c>
      <c r="CH187" s="171">
        <f xml:space="preserve"> Предпосылки!CH300</f>
        <v>0</v>
      </c>
      <c r="CI187" s="171">
        <f xml:space="preserve"> Предпосылки!CI300</f>
        <v>0</v>
      </c>
      <c r="CJ187" s="171">
        <f xml:space="preserve"> Предпосылки!CJ300</f>
        <v>0</v>
      </c>
      <c r="CK187" s="171">
        <f xml:space="preserve"> Предпосылки!CK300</f>
        <v>0</v>
      </c>
      <c r="CL187" s="171">
        <f xml:space="preserve"> Предпосылки!CL300</f>
        <v>0</v>
      </c>
      <c r="CM187" s="171">
        <f xml:space="preserve"> Предпосылки!CM300</f>
        <v>0</v>
      </c>
      <c r="CN187" s="171">
        <f xml:space="preserve"> Предпосылки!CN300</f>
        <v>0</v>
      </c>
      <c r="CO187" s="171">
        <f xml:space="preserve"> Предпосылки!CO300</f>
        <v>0</v>
      </c>
    </row>
    <row r="188" spans="1:93">
      <c r="A188" s="77"/>
      <c r="B188" s="168"/>
      <c r="C188" s="17" t="s">
        <v>1191</v>
      </c>
      <c r="D188" s="10"/>
      <c r="E188" s="184">
        <f>Предпосылки!E290</f>
        <v>78691.185148799996</v>
      </c>
      <c r="F188" s="11"/>
      <c r="G188" s="11" t="str">
        <f t="shared" si="296"/>
        <v>тыс. руб.</v>
      </c>
      <c r="H188" s="10"/>
      <c r="I188" s="10"/>
      <c r="J188" s="10"/>
      <c r="K188" s="10"/>
      <c r="L188" s="171">
        <f xml:space="preserve"> Предпосылки!L301</f>
        <v>0</v>
      </c>
      <c r="M188" s="171">
        <f xml:space="preserve"> Предпосылки!M301</f>
        <v>0</v>
      </c>
      <c r="N188" s="171">
        <f xml:space="preserve"> Предпосылки!N301</f>
        <v>0</v>
      </c>
      <c r="O188" s="171">
        <f xml:space="preserve"> Предпосылки!O301</f>
        <v>0</v>
      </c>
      <c r="P188" s="171">
        <f xml:space="preserve"> Предпосылки!P301</f>
        <v>0</v>
      </c>
      <c r="Q188" s="171">
        <f xml:space="preserve"> Предпосылки!Q301</f>
        <v>0</v>
      </c>
      <c r="R188" s="171">
        <f xml:space="preserve"> Предпосылки!R301</f>
        <v>0</v>
      </c>
      <c r="S188" s="171">
        <f xml:space="preserve"> Предпосылки!S301</f>
        <v>0</v>
      </c>
      <c r="T188" s="171">
        <f xml:space="preserve"> Предпосылки!T301</f>
        <v>0</v>
      </c>
      <c r="U188" s="171">
        <f xml:space="preserve"> Предпосылки!U301</f>
        <v>0</v>
      </c>
      <c r="V188" s="171">
        <f xml:space="preserve"> Предпосылки!V301</f>
        <v>0</v>
      </c>
      <c r="W188" s="171">
        <f xml:space="preserve"> Предпосылки!W301</f>
        <v>0</v>
      </c>
      <c r="X188" s="171">
        <f xml:space="preserve"> Предпосылки!X301</f>
        <v>0</v>
      </c>
      <c r="Y188" s="171">
        <f xml:space="preserve"> Предпосылки!Y301</f>
        <v>0</v>
      </c>
      <c r="Z188" s="171">
        <f xml:space="preserve"> Предпосылки!Z301</f>
        <v>0</v>
      </c>
      <c r="AA188" s="171">
        <f xml:space="preserve"> Предпосылки!AA301</f>
        <v>0</v>
      </c>
      <c r="AB188" s="171">
        <f xml:space="preserve"> Предпосылки!AB301</f>
        <v>1</v>
      </c>
      <c r="AC188" s="171">
        <f xml:space="preserve"> Предпосылки!AC301</f>
        <v>0</v>
      </c>
      <c r="AD188" s="171">
        <f xml:space="preserve"> Предпосылки!AD301</f>
        <v>0</v>
      </c>
      <c r="AE188" s="171">
        <f xml:space="preserve"> Предпосылки!AE301</f>
        <v>0</v>
      </c>
      <c r="AF188" s="171">
        <f xml:space="preserve"> Предпосылки!AF301</f>
        <v>0</v>
      </c>
      <c r="AG188" s="171">
        <f xml:space="preserve"> Предпосылки!AG301</f>
        <v>0</v>
      </c>
      <c r="AH188" s="171">
        <f xml:space="preserve"> Предпосылки!AH301</f>
        <v>0</v>
      </c>
      <c r="AI188" s="171">
        <f xml:space="preserve"> Предпосылки!AI301</f>
        <v>0</v>
      </c>
      <c r="AJ188" s="171">
        <f xml:space="preserve"> Предпосылки!AJ301</f>
        <v>0</v>
      </c>
      <c r="AK188" s="171">
        <f xml:space="preserve"> Предпосылки!AK301</f>
        <v>0</v>
      </c>
      <c r="AL188" s="171">
        <f xml:space="preserve"> Предпосылки!AL301</f>
        <v>0</v>
      </c>
      <c r="AM188" s="171">
        <f xml:space="preserve"> Предпосылки!AM301</f>
        <v>0</v>
      </c>
      <c r="AN188" s="171">
        <f xml:space="preserve"> Предпосылки!AN301</f>
        <v>0</v>
      </c>
      <c r="AO188" s="171">
        <f xml:space="preserve"> Предпосылки!AO301</f>
        <v>0</v>
      </c>
      <c r="AP188" s="171">
        <f xml:space="preserve"> Предпосылки!AP301</f>
        <v>0</v>
      </c>
      <c r="AQ188" s="171">
        <f xml:space="preserve"> Предпосылки!AQ301</f>
        <v>0</v>
      </c>
      <c r="AR188" s="171">
        <f xml:space="preserve"> Предпосылки!AR301</f>
        <v>0</v>
      </c>
      <c r="AS188" s="171">
        <f xml:space="preserve"> Предпосылки!AS301</f>
        <v>0</v>
      </c>
      <c r="AT188" s="171">
        <f xml:space="preserve"> Предпосылки!AT301</f>
        <v>0</v>
      </c>
      <c r="AU188" s="171">
        <f xml:space="preserve"> Предпосылки!AU301</f>
        <v>0</v>
      </c>
      <c r="AV188" s="171">
        <f xml:space="preserve"> Предпосылки!AV301</f>
        <v>0</v>
      </c>
      <c r="AW188" s="171">
        <f xml:space="preserve"> Предпосылки!AW301</f>
        <v>0</v>
      </c>
      <c r="AX188" s="171">
        <f xml:space="preserve"> Предпосылки!AX301</f>
        <v>0</v>
      </c>
      <c r="AY188" s="171">
        <f xml:space="preserve"> Предпосылки!AY301</f>
        <v>0</v>
      </c>
      <c r="AZ188" s="171">
        <f xml:space="preserve"> Предпосылки!AZ301</f>
        <v>0</v>
      </c>
      <c r="BA188" s="171">
        <f xml:space="preserve"> Предпосылки!BA301</f>
        <v>0</v>
      </c>
      <c r="BB188" s="171">
        <f xml:space="preserve"> Предпосылки!BB301</f>
        <v>0</v>
      </c>
      <c r="BC188" s="171">
        <f xml:space="preserve"> Предпосылки!BC301</f>
        <v>0</v>
      </c>
      <c r="BD188" s="171">
        <f xml:space="preserve"> Предпосылки!BD301</f>
        <v>0</v>
      </c>
      <c r="BE188" s="171">
        <f xml:space="preserve"> Предпосылки!BE301</f>
        <v>0</v>
      </c>
      <c r="BF188" s="171">
        <f xml:space="preserve"> Предпосылки!BF301</f>
        <v>0</v>
      </c>
      <c r="BG188" s="171">
        <f xml:space="preserve"> Предпосылки!BG301</f>
        <v>0</v>
      </c>
      <c r="BH188" s="171">
        <f xml:space="preserve"> Предпосылки!BH301</f>
        <v>0</v>
      </c>
      <c r="BI188" s="171">
        <f xml:space="preserve"> Предпосылки!BI301</f>
        <v>0</v>
      </c>
      <c r="BJ188" s="171">
        <f xml:space="preserve"> Предпосылки!BJ301</f>
        <v>0</v>
      </c>
      <c r="BK188" s="171">
        <f xml:space="preserve"> Предпосылки!BK301</f>
        <v>0</v>
      </c>
      <c r="BL188" s="171">
        <f xml:space="preserve"> Предпосылки!BL301</f>
        <v>0</v>
      </c>
      <c r="BM188" s="171">
        <f xml:space="preserve"> Предпосылки!BM301</f>
        <v>0</v>
      </c>
      <c r="BN188" s="171">
        <f xml:space="preserve"> Предпосылки!BN301</f>
        <v>0</v>
      </c>
      <c r="BO188" s="171">
        <f xml:space="preserve"> Предпосылки!BO301</f>
        <v>0</v>
      </c>
      <c r="BP188" s="171">
        <f xml:space="preserve"> Предпосылки!BP301</f>
        <v>0</v>
      </c>
      <c r="BQ188" s="171">
        <f xml:space="preserve"> Предпосылки!BQ301</f>
        <v>0</v>
      </c>
      <c r="BR188" s="171">
        <f xml:space="preserve"> Предпосылки!BR301</f>
        <v>0</v>
      </c>
      <c r="BS188" s="171">
        <f xml:space="preserve"> Предпосылки!BS301</f>
        <v>0</v>
      </c>
      <c r="BT188" s="171">
        <f xml:space="preserve"> Предпосылки!BT301</f>
        <v>0</v>
      </c>
      <c r="BU188" s="171">
        <f xml:space="preserve"> Предпосылки!BU301</f>
        <v>0</v>
      </c>
      <c r="BV188" s="171">
        <f xml:space="preserve"> Предпосылки!BV301</f>
        <v>0</v>
      </c>
      <c r="BW188" s="171">
        <f xml:space="preserve"> Предпосылки!BW301</f>
        <v>0</v>
      </c>
      <c r="BX188" s="171">
        <f xml:space="preserve"> Предпосылки!BX301</f>
        <v>0</v>
      </c>
      <c r="BY188" s="171">
        <f xml:space="preserve"> Предпосылки!BY301</f>
        <v>0</v>
      </c>
      <c r="BZ188" s="171">
        <f xml:space="preserve"> Предпосылки!BZ301</f>
        <v>0</v>
      </c>
      <c r="CA188" s="171">
        <f xml:space="preserve"> Предпосылки!CA301</f>
        <v>0</v>
      </c>
      <c r="CB188" s="171">
        <f xml:space="preserve"> Предпосылки!CB301</f>
        <v>0</v>
      </c>
      <c r="CC188" s="171">
        <f xml:space="preserve"> Предпосылки!CC301</f>
        <v>0</v>
      </c>
      <c r="CD188" s="171">
        <f xml:space="preserve"> Предпосылки!CD301</f>
        <v>0</v>
      </c>
      <c r="CE188" s="171">
        <f xml:space="preserve"> Предпосылки!CE301</f>
        <v>0</v>
      </c>
      <c r="CF188" s="171">
        <f xml:space="preserve"> Предпосылки!CF301</f>
        <v>0</v>
      </c>
      <c r="CG188" s="171">
        <f xml:space="preserve"> Предпосылки!CG301</f>
        <v>0</v>
      </c>
      <c r="CH188" s="171">
        <f xml:space="preserve"> Предпосылки!CH301</f>
        <v>0</v>
      </c>
      <c r="CI188" s="171">
        <f xml:space="preserve"> Предпосылки!CI301</f>
        <v>0</v>
      </c>
      <c r="CJ188" s="171">
        <f xml:space="preserve"> Предпосылки!CJ301</f>
        <v>0</v>
      </c>
      <c r="CK188" s="171">
        <f xml:space="preserve"> Предпосылки!CK301</f>
        <v>0</v>
      </c>
      <c r="CL188" s="171">
        <f xml:space="preserve"> Предпосылки!CL301</f>
        <v>0</v>
      </c>
      <c r="CM188" s="171">
        <f xml:space="preserve"> Предпосылки!CM301</f>
        <v>0</v>
      </c>
      <c r="CN188" s="171">
        <f xml:space="preserve"> Предпосылки!CN301</f>
        <v>0</v>
      </c>
      <c r="CO188" s="171">
        <f xml:space="preserve"> Предпосылки!CO301</f>
        <v>0</v>
      </c>
    </row>
    <row r="189" spans="1:93">
      <c r="A189" s="77"/>
      <c r="B189" s="168"/>
      <c r="C189" s="17" t="s">
        <v>627</v>
      </c>
      <c r="D189" s="10"/>
      <c r="E189" s="232">
        <f xml:space="preserve"> Предпосылки!E281</f>
        <v>0</v>
      </c>
      <c r="F189" s="11"/>
      <c r="G189" s="11" t="s">
        <v>625</v>
      </c>
      <c r="H189" s="10"/>
      <c r="I189" s="10"/>
      <c r="J189" s="10"/>
      <c r="K189" s="1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  <c r="Z189" s="170"/>
      <c r="AA189" s="170"/>
      <c r="AB189" s="170"/>
      <c r="AC189" s="170"/>
      <c r="AD189" s="170"/>
      <c r="AE189" s="170"/>
      <c r="AF189" s="170"/>
      <c r="AG189" s="170"/>
      <c r="AH189" s="170"/>
      <c r="AI189" s="170"/>
      <c r="AJ189" s="170"/>
      <c r="AK189" s="170"/>
      <c r="AL189" s="170"/>
      <c r="AM189" s="170"/>
      <c r="AN189" s="170"/>
      <c r="AO189" s="170"/>
      <c r="AP189" s="170"/>
      <c r="AQ189" s="170"/>
      <c r="AR189" s="170"/>
      <c r="AS189" s="170"/>
      <c r="AT189" s="170"/>
      <c r="AU189" s="170"/>
      <c r="AV189" s="170"/>
      <c r="AW189" s="170"/>
      <c r="AX189" s="170"/>
      <c r="AY189" s="170"/>
      <c r="AZ189" s="170"/>
      <c r="BA189" s="170"/>
      <c r="BB189" s="170"/>
      <c r="BC189" s="170"/>
      <c r="BD189" s="170"/>
      <c r="BE189" s="170"/>
      <c r="BF189" s="170"/>
      <c r="BG189" s="170"/>
      <c r="BH189" s="170"/>
      <c r="BI189" s="170"/>
      <c r="BJ189" s="170"/>
      <c r="BK189" s="170"/>
      <c r="BL189" s="170"/>
      <c r="BM189" s="170"/>
      <c r="BN189" s="170"/>
      <c r="BO189" s="170"/>
      <c r="BP189" s="170"/>
      <c r="BQ189" s="170"/>
      <c r="BR189" s="170"/>
      <c r="BS189" s="170"/>
      <c r="BT189" s="170"/>
      <c r="BU189" s="170"/>
      <c r="BV189" s="170"/>
      <c r="BW189" s="170"/>
      <c r="BX189" s="170"/>
      <c r="BY189" s="170"/>
      <c r="BZ189" s="170"/>
      <c r="CA189" s="170"/>
      <c r="CB189" s="170"/>
      <c r="CC189" s="170"/>
      <c r="CD189" s="170"/>
      <c r="CE189" s="170"/>
      <c r="CF189" s="170"/>
      <c r="CG189" s="170"/>
      <c r="CH189" s="170"/>
      <c r="CI189" s="170"/>
      <c r="CJ189" s="170"/>
      <c r="CK189" s="170"/>
      <c r="CL189" s="170"/>
      <c r="CM189" s="170"/>
      <c r="CN189" s="170"/>
      <c r="CO189" s="170"/>
    </row>
    <row r="190" spans="1:93">
      <c r="A190" s="77"/>
      <c r="B190" s="168"/>
      <c r="C190" s="17" t="s">
        <v>628</v>
      </c>
      <c r="D190" s="10"/>
      <c r="E190" s="232">
        <f xml:space="preserve"> Предпосылки!E282</f>
        <v>0</v>
      </c>
      <c r="F190" s="11"/>
      <c r="G190" s="11" t="s">
        <v>629</v>
      </c>
      <c r="H190" s="10"/>
      <c r="I190" s="10"/>
      <c r="J190" s="10"/>
      <c r="K190" s="1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Z190" s="170"/>
      <c r="AA190" s="170"/>
      <c r="AB190" s="170"/>
      <c r="AC190" s="170"/>
      <c r="AD190" s="170"/>
      <c r="AE190" s="170"/>
      <c r="AF190" s="170"/>
      <c r="AG190" s="170"/>
      <c r="AH190" s="170"/>
      <c r="AI190" s="170"/>
      <c r="AJ190" s="170"/>
      <c r="AK190" s="170"/>
      <c r="AL190" s="170"/>
      <c r="AM190" s="170"/>
      <c r="AN190" s="170"/>
      <c r="AO190" s="170"/>
      <c r="AP190" s="170"/>
      <c r="AQ190" s="170"/>
      <c r="AR190" s="170"/>
      <c r="AS190" s="170"/>
      <c r="AT190" s="170"/>
      <c r="AU190" s="170"/>
      <c r="AV190" s="170"/>
      <c r="AW190" s="170"/>
      <c r="AX190" s="170"/>
      <c r="AY190" s="170"/>
      <c r="AZ190" s="170"/>
      <c r="BA190" s="170"/>
      <c r="BB190" s="170"/>
      <c r="BC190" s="170"/>
      <c r="BD190" s="170"/>
      <c r="BE190" s="170"/>
      <c r="BF190" s="170"/>
      <c r="BG190" s="170"/>
      <c r="BH190" s="170"/>
      <c r="BI190" s="170"/>
      <c r="BJ190" s="170"/>
      <c r="BK190" s="170"/>
      <c r="BL190" s="170"/>
      <c r="BM190" s="170"/>
      <c r="BN190" s="170"/>
      <c r="BO190" s="170"/>
      <c r="BP190" s="170"/>
      <c r="BQ190" s="170"/>
      <c r="BR190" s="170"/>
      <c r="BS190" s="170"/>
      <c r="BT190" s="170"/>
      <c r="BU190" s="170"/>
      <c r="BV190" s="170"/>
      <c r="BW190" s="170"/>
      <c r="BX190" s="170"/>
      <c r="BY190" s="170"/>
      <c r="BZ190" s="170"/>
      <c r="CA190" s="170"/>
      <c r="CB190" s="170"/>
      <c r="CC190" s="170"/>
      <c r="CD190" s="170"/>
      <c r="CE190" s="170"/>
      <c r="CF190" s="170"/>
      <c r="CG190" s="170"/>
      <c r="CH190" s="170"/>
      <c r="CI190" s="170"/>
      <c r="CJ190" s="170"/>
      <c r="CK190" s="170"/>
      <c r="CL190" s="170"/>
      <c r="CM190" s="170"/>
      <c r="CN190" s="170"/>
      <c r="CO190" s="170"/>
    </row>
    <row r="191" spans="1:93">
      <c r="A191" s="77"/>
      <c r="B191" s="168"/>
      <c r="C191" s="169"/>
      <c r="D191" s="10"/>
      <c r="E191" s="62"/>
      <c r="F191" s="11"/>
      <c r="G191" s="11"/>
      <c r="H191" s="10"/>
      <c r="I191" s="10"/>
      <c r="J191" s="10"/>
      <c r="K191" s="1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Z191" s="170"/>
      <c r="AA191" s="170"/>
      <c r="AB191" s="170"/>
      <c r="AC191" s="170"/>
      <c r="AD191" s="170"/>
      <c r="AE191" s="170"/>
      <c r="AF191" s="170"/>
      <c r="AG191" s="170"/>
      <c r="AH191" s="170"/>
      <c r="AI191" s="170"/>
      <c r="AJ191" s="170"/>
      <c r="AK191" s="170"/>
      <c r="AL191" s="170"/>
      <c r="AM191" s="170"/>
      <c r="AN191" s="170"/>
      <c r="AO191" s="170"/>
      <c r="AP191" s="170"/>
      <c r="AQ191" s="170"/>
      <c r="AR191" s="170"/>
      <c r="AS191" s="170"/>
      <c r="AT191" s="170"/>
      <c r="AU191" s="170"/>
      <c r="AV191" s="170"/>
      <c r="AW191" s="170"/>
      <c r="AX191" s="170"/>
      <c r="AY191" s="170"/>
      <c r="AZ191" s="170"/>
      <c r="BA191" s="170"/>
      <c r="BB191" s="170"/>
      <c r="BC191" s="170"/>
      <c r="BD191" s="170"/>
      <c r="BE191" s="170"/>
      <c r="BF191" s="170"/>
      <c r="BG191" s="170"/>
      <c r="BH191" s="170"/>
      <c r="BI191" s="170"/>
      <c r="BJ191" s="170"/>
      <c r="BK191" s="170"/>
      <c r="BL191" s="170"/>
      <c r="BM191" s="170"/>
      <c r="BN191" s="170"/>
      <c r="BO191" s="170"/>
      <c r="BP191" s="170"/>
      <c r="BQ191" s="170"/>
      <c r="BR191" s="170"/>
      <c r="BS191" s="170"/>
      <c r="BT191" s="170"/>
      <c r="BU191" s="170"/>
      <c r="BV191" s="170"/>
      <c r="BW191" s="170"/>
      <c r="BX191" s="170"/>
      <c r="BY191" s="170"/>
      <c r="BZ191" s="170"/>
      <c r="CA191" s="170"/>
      <c r="CB191" s="170"/>
      <c r="CC191" s="170"/>
      <c r="CD191" s="170"/>
      <c r="CE191" s="170"/>
      <c r="CF191" s="170"/>
      <c r="CG191" s="170"/>
      <c r="CH191" s="170"/>
      <c r="CI191" s="170"/>
      <c r="CJ191" s="170"/>
      <c r="CK191" s="170"/>
      <c r="CL191" s="170"/>
      <c r="CM191" s="170"/>
      <c r="CN191" s="170"/>
      <c r="CO191" s="170"/>
    </row>
    <row r="192" spans="1:93">
      <c r="A192" s="77"/>
      <c r="B192" s="168"/>
      <c r="C192" s="17" t="s">
        <v>630</v>
      </c>
      <c r="D192" s="10"/>
      <c r="E192" s="62"/>
      <c r="F192" s="11"/>
      <c r="G192" s="11" t="str">
        <f t="shared" ref="G192:G199" si="297">Monetary_Unit</f>
        <v>тыс. руб.</v>
      </c>
      <c r="H192" s="10"/>
      <c r="I192" s="23">
        <f t="shared" ref="I192:I200" si="298">SUM(L192:CO192)</f>
        <v>65575.987624000001</v>
      </c>
      <c r="J192" s="10"/>
      <c r="K192" s="10"/>
      <c r="L192" s="10">
        <f xml:space="preserve"> $E183 * L183</f>
        <v>16393.996906</v>
      </c>
      <c r="M192" s="10">
        <f t="shared" ref="M192:BX192" si="299" xml:space="preserve"> $E183 * M183</f>
        <v>16393.996906</v>
      </c>
      <c r="N192" s="10">
        <f t="shared" si="299"/>
        <v>16393.996906</v>
      </c>
      <c r="O192" s="10">
        <f t="shared" si="299"/>
        <v>16393.996906</v>
      </c>
      <c r="P192" s="10">
        <f t="shared" si="299"/>
        <v>0</v>
      </c>
      <c r="Q192" s="10">
        <f t="shared" si="299"/>
        <v>0</v>
      </c>
      <c r="R192" s="10">
        <f t="shared" si="299"/>
        <v>0</v>
      </c>
      <c r="S192" s="10">
        <f t="shared" si="299"/>
        <v>0</v>
      </c>
      <c r="T192" s="10">
        <f t="shared" si="299"/>
        <v>0</v>
      </c>
      <c r="U192" s="10">
        <f t="shared" si="299"/>
        <v>0</v>
      </c>
      <c r="V192" s="10">
        <f t="shared" si="299"/>
        <v>0</v>
      </c>
      <c r="W192" s="10">
        <f t="shared" si="299"/>
        <v>0</v>
      </c>
      <c r="X192" s="10">
        <f t="shared" si="299"/>
        <v>0</v>
      </c>
      <c r="Y192" s="10">
        <f t="shared" si="299"/>
        <v>0</v>
      </c>
      <c r="Z192" s="10">
        <f t="shared" si="299"/>
        <v>0</v>
      </c>
      <c r="AA192" s="10">
        <f t="shared" si="299"/>
        <v>0</v>
      </c>
      <c r="AB192" s="10">
        <f t="shared" si="299"/>
        <v>0</v>
      </c>
      <c r="AC192" s="10">
        <f t="shared" si="299"/>
        <v>0</v>
      </c>
      <c r="AD192" s="10">
        <f t="shared" si="299"/>
        <v>0</v>
      </c>
      <c r="AE192" s="10">
        <f t="shared" si="299"/>
        <v>0</v>
      </c>
      <c r="AF192" s="10">
        <f t="shared" si="299"/>
        <v>0</v>
      </c>
      <c r="AG192" s="10">
        <f t="shared" si="299"/>
        <v>0</v>
      </c>
      <c r="AH192" s="10">
        <f t="shared" si="299"/>
        <v>0</v>
      </c>
      <c r="AI192" s="10">
        <f t="shared" si="299"/>
        <v>0</v>
      </c>
      <c r="AJ192" s="10">
        <f t="shared" si="299"/>
        <v>0</v>
      </c>
      <c r="AK192" s="10">
        <f t="shared" si="299"/>
        <v>0</v>
      </c>
      <c r="AL192" s="10">
        <f t="shared" si="299"/>
        <v>0</v>
      </c>
      <c r="AM192" s="10">
        <f t="shared" si="299"/>
        <v>0</v>
      </c>
      <c r="AN192" s="10">
        <f t="shared" si="299"/>
        <v>0</v>
      </c>
      <c r="AO192" s="10">
        <f t="shared" si="299"/>
        <v>0</v>
      </c>
      <c r="AP192" s="10">
        <f t="shared" si="299"/>
        <v>0</v>
      </c>
      <c r="AQ192" s="10">
        <f t="shared" si="299"/>
        <v>0</v>
      </c>
      <c r="AR192" s="10">
        <f t="shared" si="299"/>
        <v>0</v>
      </c>
      <c r="AS192" s="10">
        <f t="shared" si="299"/>
        <v>0</v>
      </c>
      <c r="AT192" s="10">
        <f t="shared" si="299"/>
        <v>0</v>
      </c>
      <c r="AU192" s="10">
        <f t="shared" si="299"/>
        <v>0</v>
      </c>
      <c r="AV192" s="10">
        <f t="shared" si="299"/>
        <v>0</v>
      </c>
      <c r="AW192" s="10">
        <f t="shared" si="299"/>
        <v>0</v>
      </c>
      <c r="AX192" s="10">
        <f t="shared" si="299"/>
        <v>0</v>
      </c>
      <c r="AY192" s="10">
        <f t="shared" si="299"/>
        <v>0</v>
      </c>
      <c r="AZ192" s="10">
        <f t="shared" si="299"/>
        <v>0</v>
      </c>
      <c r="BA192" s="10">
        <f t="shared" si="299"/>
        <v>0</v>
      </c>
      <c r="BB192" s="10">
        <f t="shared" si="299"/>
        <v>0</v>
      </c>
      <c r="BC192" s="10">
        <f t="shared" si="299"/>
        <v>0</v>
      </c>
      <c r="BD192" s="10">
        <f t="shared" si="299"/>
        <v>0</v>
      </c>
      <c r="BE192" s="10">
        <f t="shared" si="299"/>
        <v>0</v>
      </c>
      <c r="BF192" s="10">
        <f t="shared" si="299"/>
        <v>0</v>
      </c>
      <c r="BG192" s="10">
        <f t="shared" si="299"/>
        <v>0</v>
      </c>
      <c r="BH192" s="10">
        <f t="shared" si="299"/>
        <v>0</v>
      </c>
      <c r="BI192" s="10">
        <f t="shared" si="299"/>
        <v>0</v>
      </c>
      <c r="BJ192" s="10">
        <f t="shared" si="299"/>
        <v>0</v>
      </c>
      <c r="BK192" s="10">
        <f t="shared" si="299"/>
        <v>0</v>
      </c>
      <c r="BL192" s="10">
        <f t="shared" si="299"/>
        <v>0</v>
      </c>
      <c r="BM192" s="10">
        <f t="shared" si="299"/>
        <v>0</v>
      </c>
      <c r="BN192" s="10">
        <f t="shared" si="299"/>
        <v>0</v>
      </c>
      <c r="BO192" s="10">
        <f t="shared" si="299"/>
        <v>0</v>
      </c>
      <c r="BP192" s="10">
        <f t="shared" si="299"/>
        <v>0</v>
      </c>
      <c r="BQ192" s="10">
        <f t="shared" si="299"/>
        <v>0</v>
      </c>
      <c r="BR192" s="10">
        <f t="shared" si="299"/>
        <v>0</v>
      </c>
      <c r="BS192" s="10">
        <f t="shared" si="299"/>
        <v>0</v>
      </c>
      <c r="BT192" s="10">
        <f t="shared" si="299"/>
        <v>0</v>
      </c>
      <c r="BU192" s="10">
        <f t="shared" si="299"/>
        <v>0</v>
      </c>
      <c r="BV192" s="10">
        <f t="shared" si="299"/>
        <v>0</v>
      </c>
      <c r="BW192" s="10">
        <f t="shared" si="299"/>
        <v>0</v>
      </c>
      <c r="BX192" s="10">
        <f t="shared" si="299"/>
        <v>0</v>
      </c>
      <c r="BY192" s="10">
        <f t="shared" ref="BY192:CO192" si="300" xml:space="preserve"> $E183 * BY183</f>
        <v>0</v>
      </c>
      <c r="BZ192" s="10">
        <f t="shared" si="300"/>
        <v>0</v>
      </c>
      <c r="CA192" s="10">
        <f t="shared" si="300"/>
        <v>0</v>
      </c>
      <c r="CB192" s="10">
        <f t="shared" si="300"/>
        <v>0</v>
      </c>
      <c r="CC192" s="10">
        <f t="shared" si="300"/>
        <v>0</v>
      </c>
      <c r="CD192" s="10">
        <f t="shared" si="300"/>
        <v>0</v>
      </c>
      <c r="CE192" s="10">
        <f t="shared" si="300"/>
        <v>0</v>
      </c>
      <c r="CF192" s="10">
        <f t="shared" si="300"/>
        <v>0</v>
      </c>
      <c r="CG192" s="10">
        <f t="shared" si="300"/>
        <v>0</v>
      </c>
      <c r="CH192" s="10">
        <f t="shared" si="300"/>
        <v>0</v>
      </c>
      <c r="CI192" s="10">
        <f t="shared" si="300"/>
        <v>0</v>
      </c>
      <c r="CJ192" s="10">
        <f t="shared" si="300"/>
        <v>0</v>
      </c>
      <c r="CK192" s="10">
        <f t="shared" si="300"/>
        <v>0</v>
      </c>
      <c r="CL192" s="10">
        <f t="shared" si="300"/>
        <v>0</v>
      </c>
      <c r="CM192" s="10">
        <f t="shared" si="300"/>
        <v>0</v>
      </c>
      <c r="CN192" s="10">
        <f t="shared" si="300"/>
        <v>0</v>
      </c>
      <c r="CO192" s="10">
        <f t="shared" si="300"/>
        <v>0</v>
      </c>
    </row>
    <row r="193" spans="1:93">
      <c r="A193" s="77"/>
      <c r="B193" s="168"/>
      <c r="C193" s="17" t="s">
        <v>632</v>
      </c>
      <c r="D193" s="10"/>
      <c r="E193" s="62"/>
      <c r="F193" s="11"/>
      <c r="G193" s="11" t="str">
        <f t="shared" si="297"/>
        <v>тыс. руб.</v>
      </c>
      <c r="H193" s="10"/>
      <c r="I193" s="23">
        <f t="shared" si="298"/>
        <v>0</v>
      </c>
      <c r="J193" s="10"/>
      <c r="K193" s="10"/>
      <c r="L193" s="10">
        <f t="shared" ref="L193:BW193" si="301" xml:space="preserve"> $E184 * L184</f>
        <v>0</v>
      </c>
      <c r="M193" s="10">
        <f t="shared" si="301"/>
        <v>0</v>
      </c>
      <c r="N193" s="10">
        <f t="shared" si="301"/>
        <v>0</v>
      </c>
      <c r="O193" s="10">
        <f t="shared" si="301"/>
        <v>0</v>
      </c>
      <c r="P193" s="10">
        <f t="shared" si="301"/>
        <v>0</v>
      </c>
      <c r="Q193" s="10">
        <f t="shared" si="301"/>
        <v>0</v>
      </c>
      <c r="R193" s="10">
        <f t="shared" si="301"/>
        <v>0</v>
      </c>
      <c r="S193" s="10">
        <f t="shared" si="301"/>
        <v>0</v>
      </c>
      <c r="T193" s="10">
        <f t="shared" si="301"/>
        <v>0</v>
      </c>
      <c r="U193" s="10">
        <f t="shared" si="301"/>
        <v>0</v>
      </c>
      <c r="V193" s="10">
        <f t="shared" si="301"/>
        <v>0</v>
      </c>
      <c r="W193" s="10">
        <f t="shared" si="301"/>
        <v>0</v>
      </c>
      <c r="X193" s="10">
        <f t="shared" si="301"/>
        <v>0</v>
      </c>
      <c r="Y193" s="10">
        <f t="shared" si="301"/>
        <v>0</v>
      </c>
      <c r="Z193" s="10">
        <f t="shared" si="301"/>
        <v>0</v>
      </c>
      <c r="AA193" s="10">
        <f t="shared" si="301"/>
        <v>0</v>
      </c>
      <c r="AB193" s="10">
        <f t="shared" si="301"/>
        <v>0</v>
      </c>
      <c r="AC193" s="10">
        <f t="shared" si="301"/>
        <v>0</v>
      </c>
      <c r="AD193" s="10">
        <f t="shared" si="301"/>
        <v>0</v>
      </c>
      <c r="AE193" s="10">
        <f t="shared" si="301"/>
        <v>0</v>
      </c>
      <c r="AF193" s="10">
        <f t="shared" si="301"/>
        <v>0</v>
      </c>
      <c r="AG193" s="10">
        <f t="shared" si="301"/>
        <v>0</v>
      </c>
      <c r="AH193" s="10">
        <f t="shared" si="301"/>
        <v>0</v>
      </c>
      <c r="AI193" s="10">
        <f t="shared" si="301"/>
        <v>0</v>
      </c>
      <c r="AJ193" s="10">
        <f t="shared" si="301"/>
        <v>0</v>
      </c>
      <c r="AK193" s="10">
        <f t="shared" si="301"/>
        <v>0</v>
      </c>
      <c r="AL193" s="10">
        <f t="shared" si="301"/>
        <v>0</v>
      </c>
      <c r="AM193" s="10">
        <f t="shared" si="301"/>
        <v>0</v>
      </c>
      <c r="AN193" s="10">
        <f t="shared" si="301"/>
        <v>0</v>
      </c>
      <c r="AO193" s="10">
        <f t="shared" si="301"/>
        <v>0</v>
      </c>
      <c r="AP193" s="10">
        <f t="shared" si="301"/>
        <v>0</v>
      </c>
      <c r="AQ193" s="10">
        <f t="shared" si="301"/>
        <v>0</v>
      </c>
      <c r="AR193" s="10">
        <f t="shared" si="301"/>
        <v>0</v>
      </c>
      <c r="AS193" s="10">
        <f t="shared" si="301"/>
        <v>0</v>
      </c>
      <c r="AT193" s="10">
        <f t="shared" si="301"/>
        <v>0</v>
      </c>
      <c r="AU193" s="10">
        <f t="shared" si="301"/>
        <v>0</v>
      </c>
      <c r="AV193" s="10">
        <f t="shared" si="301"/>
        <v>0</v>
      </c>
      <c r="AW193" s="10">
        <f t="shared" si="301"/>
        <v>0</v>
      </c>
      <c r="AX193" s="10">
        <f t="shared" si="301"/>
        <v>0</v>
      </c>
      <c r="AY193" s="10">
        <f t="shared" si="301"/>
        <v>0</v>
      </c>
      <c r="AZ193" s="10">
        <f t="shared" si="301"/>
        <v>0</v>
      </c>
      <c r="BA193" s="10">
        <f t="shared" si="301"/>
        <v>0</v>
      </c>
      <c r="BB193" s="10">
        <f t="shared" si="301"/>
        <v>0</v>
      </c>
      <c r="BC193" s="10">
        <f t="shared" si="301"/>
        <v>0</v>
      </c>
      <c r="BD193" s="10">
        <f t="shared" si="301"/>
        <v>0</v>
      </c>
      <c r="BE193" s="10">
        <f t="shared" si="301"/>
        <v>0</v>
      </c>
      <c r="BF193" s="10">
        <f t="shared" si="301"/>
        <v>0</v>
      </c>
      <c r="BG193" s="10">
        <f t="shared" si="301"/>
        <v>0</v>
      </c>
      <c r="BH193" s="10">
        <f t="shared" si="301"/>
        <v>0</v>
      </c>
      <c r="BI193" s="10">
        <f t="shared" si="301"/>
        <v>0</v>
      </c>
      <c r="BJ193" s="10">
        <f t="shared" si="301"/>
        <v>0</v>
      </c>
      <c r="BK193" s="10">
        <f t="shared" si="301"/>
        <v>0</v>
      </c>
      <c r="BL193" s="10">
        <f t="shared" si="301"/>
        <v>0</v>
      </c>
      <c r="BM193" s="10">
        <f t="shared" si="301"/>
        <v>0</v>
      </c>
      <c r="BN193" s="10">
        <f t="shared" si="301"/>
        <v>0</v>
      </c>
      <c r="BO193" s="10">
        <f t="shared" si="301"/>
        <v>0</v>
      </c>
      <c r="BP193" s="10">
        <f t="shared" si="301"/>
        <v>0</v>
      </c>
      <c r="BQ193" s="10">
        <f t="shared" si="301"/>
        <v>0</v>
      </c>
      <c r="BR193" s="10">
        <f t="shared" si="301"/>
        <v>0</v>
      </c>
      <c r="BS193" s="10">
        <f t="shared" si="301"/>
        <v>0</v>
      </c>
      <c r="BT193" s="10">
        <f t="shared" si="301"/>
        <v>0</v>
      </c>
      <c r="BU193" s="10">
        <f t="shared" si="301"/>
        <v>0</v>
      </c>
      <c r="BV193" s="10">
        <f t="shared" si="301"/>
        <v>0</v>
      </c>
      <c r="BW193" s="10">
        <f t="shared" si="301"/>
        <v>0</v>
      </c>
      <c r="BX193" s="10">
        <f t="shared" ref="BX193:CO193" si="302" xml:space="preserve"> $E184 * BX184</f>
        <v>0</v>
      </c>
      <c r="BY193" s="10">
        <f t="shared" si="302"/>
        <v>0</v>
      </c>
      <c r="BZ193" s="10">
        <f t="shared" si="302"/>
        <v>0</v>
      </c>
      <c r="CA193" s="10">
        <f t="shared" si="302"/>
        <v>0</v>
      </c>
      <c r="CB193" s="10">
        <f t="shared" si="302"/>
        <v>0</v>
      </c>
      <c r="CC193" s="10">
        <f t="shared" si="302"/>
        <v>0</v>
      </c>
      <c r="CD193" s="10">
        <f t="shared" si="302"/>
        <v>0</v>
      </c>
      <c r="CE193" s="10">
        <f t="shared" si="302"/>
        <v>0</v>
      </c>
      <c r="CF193" s="10">
        <f t="shared" si="302"/>
        <v>0</v>
      </c>
      <c r="CG193" s="10">
        <f t="shared" si="302"/>
        <v>0</v>
      </c>
      <c r="CH193" s="10">
        <f t="shared" si="302"/>
        <v>0</v>
      </c>
      <c r="CI193" s="10">
        <f t="shared" si="302"/>
        <v>0</v>
      </c>
      <c r="CJ193" s="10">
        <f t="shared" si="302"/>
        <v>0</v>
      </c>
      <c r="CK193" s="10">
        <f t="shared" si="302"/>
        <v>0</v>
      </c>
      <c r="CL193" s="10">
        <f t="shared" si="302"/>
        <v>0</v>
      </c>
      <c r="CM193" s="10">
        <f t="shared" si="302"/>
        <v>0</v>
      </c>
      <c r="CN193" s="10">
        <f t="shared" si="302"/>
        <v>0</v>
      </c>
      <c r="CO193" s="10">
        <f t="shared" si="302"/>
        <v>0</v>
      </c>
    </row>
    <row r="194" spans="1:93">
      <c r="A194" s="77"/>
      <c r="B194" s="168"/>
      <c r="C194" s="17" t="s">
        <v>631</v>
      </c>
      <c r="D194" s="10"/>
      <c r="E194" s="62"/>
      <c r="F194" s="11"/>
      <c r="G194" s="11" t="str">
        <f t="shared" si="297"/>
        <v>тыс. руб.</v>
      </c>
      <c r="H194" s="10"/>
      <c r="I194" s="23">
        <f t="shared" si="298"/>
        <v>1639399.6905999996</v>
      </c>
      <c r="J194" s="10"/>
      <c r="K194" s="10"/>
      <c r="L194" s="10">
        <f t="shared" ref="L194:BW194" si="303" xml:space="preserve"> $E185 * L185</f>
        <v>0</v>
      </c>
      <c r="M194" s="10">
        <f t="shared" si="303"/>
        <v>0</v>
      </c>
      <c r="N194" s="10">
        <f t="shared" si="303"/>
        <v>0</v>
      </c>
      <c r="O194" s="10">
        <f t="shared" si="303"/>
        <v>0</v>
      </c>
      <c r="P194" s="10">
        <f t="shared" si="303"/>
        <v>136616.64088333331</v>
      </c>
      <c r="Q194" s="10">
        <f t="shared" si="303"/>
        <v>136616.64088333331</v>
      </c>
      <c r="R194" s="10">
        <f t="shared" si="303"/>
        <v>136616.64088333334</v>
      </c>
      <c r="S194" s="10">
        <f t="shared" si="303"/>
        <v>136616.64088333331</v>
      </c>
      <c r="T194" s="10">
        <f t="shared" si="303"/>
        <v>136616.64088333334</v>
      </c>
      <c r="U194" s="10">
        <f t="shared" si="303"/>
        <v>136616.64088333334</v>
      </c>
      <c r="V194" s="10">
        <f t="shared" si="303"/>
        <v>136616.64088333331</v>
      </c>
      <c r="W194" s="10">
        <f t="shared" si="303"/>
        <v>136616.64088333331</v>
      </c>
      <c r="X194" s="10">
        <f t="shared" si="303"/>
        <v>136616.64088333328</v>
      </c>
      <c r="Y194" s="10">
        <f t="shared" si="303"/>
        <v>136616.64088333331</v>
      </c>
      <c r="Z194" s="10">
        <f t="shared" si="303"/>
        <v>136616.64088333328</v>
      </c>
      <c r="AA194" s="10">
        <f t="shared" si="303"/>
        <v>136616.6408833332</v>
      </c>
      <c r="AB194" s="10">
        <f t="shared" si="303"/>
        <v>0</v>
      </c>
      <c r="AC194" s="10">
        <f t="shared" si="303"/>
        <v>0</v>
      </c>
      <c r="AD194" s="10">
        <f t="shared" si="303"/>
        <v>0</v>
      </c>
      <c r="AE194" s="10">
        <f t="shared" si="303"/>
        <v>0</v>
      </c>
      <c r="AF194" s="10">
        <f t="shared" si="303"/>
        <v>0</v>
      </c>
      <c r="AG194" s="10">
        <f t="shared" si="303"/>
        <v>0</v>
      </c>
      <c r="AH194" s="10">
        <f t="shared" si="303"/>
        <v>0</v>
      </c>
      <c r="AI194" s="10">
        <f t="shared" si="303"/>
        <v>0</v>
      </c>
      <c r="AJ194" s="10">
        <f t="shared" si="303"/>
        <v>0</v>
      </c>
      <c r="AK194" s="10">
        <f t="shared" si="303"/>
        <v>0</v>
      </c>
      <c r="AL194" s="10">
        <f t="shared" si="303"/>
        <v>0</v>
      </c>
      <c r="AM194" s="10">
        <f t="shared" si="303"/>
        <v>0</v>
      </c>
      <c r="AN194" s="10">
        <f t="shared" si="303"/>
        <v>0</v>
      </c>
      <c r="AO194" s="10">
        <f t="shared" si="303"/>
        <v>0</v>
      </c>
      <c r="AP194" s="10">
        <f t="shared" si="303"/>
        <v>0</v>
      </c>
      <c r="AQ194" s="10">
        <f t="shared" si="303"/>
        <v>0</v>
      </c>
      <c r="AR194" s="10">
        <f t="shared" si="303"/>
        <v>0</v>
      </c>
      <c r="AS194" s="10">
        <f t="shared" si="303"/>
        <v>0</v>
      </c>
      <c r="AT194" s="10">
        <f t="shared" si="303"/>
        <v>0</v>
      </c>
      <c r="AU194" s="10">
        <f t="shared" si="303"/>
        <v>0</v>
      </c>
      <c r="AV194" s="10">
        <f t="shared" si="303"/>
        <v>0</v>
      </c>
      <c r="AW194" s="10">
        <f t="shared" si="303"/>
        <v>0</v>
      </c>
      <c r="AX194" s="10">
        <f t="shared" si="303"/>
        <v>0</v>
      </c>
      <c r="AY194" s="10">
        <f t="shared" si="303"/>
        <v>0</v>
      </c>
      <c r="AZ194" s="10">
        <f t="shared" si="303"/>
        <v>0</v>
      </c>
      <c r="BA194" s="10">
        <f t="shared" si="303"/>
        <v>0</v>
      </c>
      <c r="BB194" s="10">
        <f t="shared" si="303"/>
        <v>0</v>
      </c>
      <c r="BC194" s="10">
        <f t="shared" si="303"/>
        <v>0</v>
      </c>
      <c r="BD194" s="10">
        <f t="shared" si="303"/>
        <v>0</v>
      </c>
      <c r="BE194" s="10">
        <f t="shared" si="303"/>
        <v>0</v>
      </c>
      <c r="BF194" s="10">
        <f t="shared" si="303"/>
        <v>0</v>
      </c>
      <c r="BG194" s="10">
        <f t="shared" si="303"/>
        <v>0</v>
      </c>
      <c r="BH194" s="10">
        <f t="shared" si="303"/>
        <v>0</v>
      </c>
      <c r="BI194" s="10">
        <f t="shared" si="303"/>
        <v>0</v>
      </c>
      <c r="BJ194" s="10">
        <f t="shared" si="303"/>
        <v>0</v>
      </c>
      <c r="BK194" s="10">
        <f t="shared" si="303"/>
        <v>0</v>
      </c>
      <c r="BL194" s="10">
        <f t="shared" si="303"/>
        <v>0</v>
      </c>
      <c r="BM194" s="10">
        <f t="shared" si="303"/>
        <v>0</v>
      </c>
      <c r="BN194" s="10">
        <f t="shared" si="303"/>
        <v>0</v>
      </c>
      <c r="BO194" s="10">
        <f t="shared" si="303"/>
        <v>0</v>
      </c>
      <c r="BP194" s="10">
        <f t="shared" si="303"/>
        <v>0</v>
      </c>
      <c r="BQ194" s="10">
        <f t="shared" si="303"/>
        <v>0</v>
      </c>
      <c r="BR194" s="10">
        <f t="shared" si="303"/>
        <v>0</v>
      </c>
      <c r="BS194" s="10">
        <f t="shared" si="303"/>
        <v>0</v>
      </c>
      <c r="BT194" s="10">
        <f t="shared" si="303"/>
        <v>0</v>
      </c>
      <c r="BU194" s="10">
        <f t="shared" si="303"/>
        <v>0</v>
      </c>
      <c r="BV194" s="10">
        <f t="shared" si="303"/>
        <v>0</v>
      </c>
      <c r="BW194" s="10">
        <f t="shared" si="303"/>
        <v>0</v>
      </c>
      <c r="BX194" s="10">
        <f t="shared" ref="BX194:CO194" si="304" xml:space="preserve"> $E185 * BX185</f>
        <v>0</v>
      </c>
      <c r="BY194" s="10">
        <f t="shared" si="304"/>
        <v>0</v>
      </c>
      <c r="BZ194" s="10">
        <f t="shared" si="304"/>
        <v>0</v>
      </c>
      <c r="CA194" s="10">
        <f t="shared" si="304"/>
        <v>0</v>
      </c>
      <c r="CB194" s="10">
        <f t="shared" si="304"/>
        <v>0</v>
      </c>
      <c r="CC194" s="10">
        <f t="shared" si="304"/>
        <v>0</v>
      </c>
      <c r="CD194" s="10">
        <f t="shared" si="304"/>
        <v>0</v>
      </c>
      <c r="CE194" s="10">
        <f t="shared" si="304"/>
        <v>0</v>
      </c>
      <c r="CF194" s="10">
        <f t="shared" si="304"/>
        <v>0</v>
      </c>
      <c r="CG194" s="10">
        <f t="shared" si="304"/>
        <v>0</v>
      </c>
      <c r="CH194" s="10">
        <f t="shared" si="304"/>
        <v>0</v>
      </c>
      <c r="CI194" s="10">
        <f t="shared" si="304"/>
        <v>0</v>
      </c>
      <c r="CJ194" s="10">
        <f t="shared" si="304"/>
        <v>0</v>
      </c>
      <c r="CK194" s="10">
        <f t="shared" si="304"/>
        <v>0</v>
      </c>
      <c r="CL194" s="10">
        <f t="shared" si="304"/>
        <v>0</v>
      </c>
      <c r="CM194" s="10">
        <f t="shared" si="304"/>
        <v>0</v>
      </c>
      <c r="CN194" s="10">
        <f t="shared" si="304"/>
        <v>0</v>
      </c>
      <c r="CO194" s="10">
        <f t="shared" si="304"/>
        <v>0</v>
      </c>
    </row>
    <row r="195" spans="1:93">
      <c r="A195" s="77"/>
      <c r="B195" s="168"/>
      <c r="C195" s="17" t="s">
        <v>633</v>
      </c>
      <c r="D195" s="10"/>
      <c r="E195" s="62"/>
      <c r="F195" s="11"/>
      <c r="G195" s="11" t="str">
        <f t="shared" si="297"/>
        <v>тыс. руб.</v>
      </c>
      <c r="H195" s="10"/>
      <c r="I195" s="23">
        <f t="shared" si="298"/>
        <v>506520.429</v>
      </c>
      <c r="J195" s="10"/>
      <c r="K195" s="10"/>
      <c r="L195" s="10">
        <f t="shared" ref="L195:BW195" si="305" xml:space="preserve"> $E186 * L186</f>
        <v>0</v>
      </c>
      <c r="M195" s="10">
        <f t="shared" si="305"/>
        <v>0</v>
      </c>
      <c r="N195" s="10">
        <f t="shared" si="305"/>
        <v>0</v>
      </c>
      <c r="O195" s="10">
        <f t="shared" si="305"/>
        <v>0</v>
      </c>
      <c r="P195" s="10">
        <f t="shared" si="305"/>
        <v>0</v>
      </c>
      <c r="Q195" s="10">
        <f t="shared" si="305"/>
        <v>0</v>
      </c>
      <c r="R195" s="10">
        <f t="shared" si="305"/>
        <v>0</v>
      </c>
      <c r="S195" s="10">
        <f t="shared" si="305"/>
        <v>0</v>
      </c>
      <c r="T195" s="10">
        <f t="shared" si="305"/>
        <v>0</v>
      </c>
      <c r="U195" s="10">
        <f t="shared" si="305"/>
        <v>0</v>
      </c>
      <c r="V195" s="10">
        <f t="shared" si="305"/>
        <v>0</v>
      </c>
      <c r="W195" s="10">
        <f t="shared" si="305"/>
        <v>0</v>
      </c>
      <c r="X195" s="10">
        <f t="shared" si="305"/>
        <v>126630.10725</v>
      </c>
      <c r="Y195" s="10">
        <f t="shared" si="305"/>
        <v>126630.10725</v>
      </c>
      <c r="Z195" s="10">
        <f t="shared" si="305"/>
        <v>126630.10725</v>
      </c>
      <c r="AA195" s="10">
        <f t="shared" si="305"/>
        <v>126630.10725</v>
      </c>
      <c r="AB195" s="10">
        <f t="shared" si="305"/>
        <v>0</v>
      </c>
      <c r="AC195" s="10">
        <f t="shared" si="305"/>
        <v>0</v>
      </c>
      <c r="AD195" s="10">
        <f t="shared" si="305"/>
        <v>0</v>
      </c>
      <c r="AE195" s="10">
        <f t="shared" si="305"/>
        <v>0</v>
      </c>
      <c r="AF195" s="10">
        <f t="shared" si="305"/>
        <v>0</v>
      </c>
      <c r="AG195" s="10">
        <f t="shared" si="305"/>
        <v>0</v>
      </c>
      <c r="AH195" s="10">
        <f t="shared" si="305"/>
        <v>0</v>
      </c>
      <c r="AI195" s="10">
        <f t="shared" si="305"/>
        <v>0</v>
      </c>
      <c r="AJ195" s="10">
        <f t="shared" si="305"/>
        <v>0</v>
      </c>
      <c r="AK195" s="10">
        <f t="shared" si="305"/>
        <v>0</v>
      </c>
      <c r="AL195" s="10">
        <f t="shared" si="305"/>
        <v>0</v>
      </c>
      <c r="AM195" s="10">
        <f t="shared" si="305"/>
        <v>0</v>
      </c>
      <c r="AN195" s="10">
        <f t="shared" si="305"/>
        <v>0</v>
      </c>
      <c r="AO195" s="10">
        <f t="shared" si="305"/>
        <v>0</v>
      </c>
      <c r="AP195" s="10">
        <f t="shared" si="305"/>
        <v>0</v>
      </c>
      <c r="AQ195" s="10">
        <f t="shared" si="305"/>
        <v>0</v>
      </c>
      <c r="AR195" s="10">
        <f t="shared" si="305"/>
        <v>0</v>
      </c>
      <c r="AS195" s="10">
        <f t="shared" si="305"/>
        <v>0</v>
      </c>
      <c r="AT195" s="10">
        <f t="shared" si="305"/>
        <v>0</v>
      </c>
      <c r="AU195" s="10">
        <f t="shared" si="305"/>
        <v>0</v>
      </c>
      <c r="AV195" s="10">
        <f t="shared" si="305"/>
        <v>0</v>
      </c>
      <c r="AW195" s="10">
        <f t="shared" si="305"/>
        <v>0</v>
      </c>
      <c r="AX195" s="10">
        <f t="shared" si="305"/>
        <v>0</v>
      </c>
      <c r="AY195" s="10">
        <f t="shared" si="305"/>
        <v>0</v>
      </c>
      <c r="AZ195" s="10">
        <f t="shared" si="305"/>
        <v>0</v>
      </c>
      <c r="BA195" s="10">
        <f t="shared" si="305"/>
        <v>0</v>
      </c>
      <c r="BB195" s="10">
        <f t="shared" si="305"/>
        <v>0</v>
      </c>
      <c r="BC195" s="10">
        <f t="shared" si="305"/>
        <v>0</v>
      </c>
      <c r="BD195" s="10">
        <f t="shared" si="305"/>
        <v>0</v>
      </c>
      <c r="BE195" s="10">
        <f t="shared" si="305"/>
        <v>0</v>
      </c>
      <c r="BF195" s="10">
        <f t="shared" si="305"/>
        <v>0</v>
      </c>
      <c r="BG195" s="10">
        <f t="shared" si="305"/>
        <v>0</v>
      </c>
      <c r="BH195" s="10">
        <f t="shared" si="305"/>
        <v>0</v>
      </c>
      <c r="BI195" s="10">
        <f t="shared" si="305"/>
        <v>0</v>
      </c>
      <c r="BJ195" s="10">
        <f t="shared" si="305"/>
        <v>0</v>
      </c>
      <c r="BK195" s="10">
        <f t="shared" si="305"/>
        <v>0</v>
      </c>
      <c r="BL195" s="10">
        <f t="shared" si="305"/>
        <v>0</v>
      </c>
      <c r="BM195" s="10">
        <f t="shared" si="305"/>
        <v>0</v>
      </c>
      <c r="BN195" s="10">
        <f t="shared" si="305"/>
        <v>0</v>
      </c>
      <c r="BO195" s="10">
        <f t="shared" si="305"/>
        <v>0</v>
      </c>
      <c r="BP195" s="10">
        <f t="shared" si="305"/>
        <v>0</v>
      </c>
      <c r="BQ195" s="10">
        <f t="shared" si="305"/>
        <v>0</v>
      </c>
      <c r="BR195" s="10">
        <f t="shared" si="305"/>
        <v>0</v>
      </c>
      <c r="BS195" s="10">
        <f t="shared" si="305"/>
        <v>0</v>
      </c>
      <c r="BT195" s="10">
        <f t="shared" si="305"/>
        <v>0</v>
      </c>
      <c r="BU195" s="10">
        <f t="shared" si="305"/>
        <v>0</v>
      </c>
      <c r="BV195" s="10">
        <f t="shared" si="305"/>
        <v>0</v>
      </c>
      <c r="BW195" s="10">
        <f t="shared" si="305"/>
        <v>0</v>
      </c>
      <c r="BX195" s="10">
        <f t="shared" ref="BX195:CO195" si="306" xml:space="preserve"> $E186 * BX186</f>
        <v>0</v>
      </c>
      <c r="BY195" s="10">
        <f t="shared" si="306"/>
        <v>0</v>
      </c>
      <c r="BZ195" s="10">
        <f t="shared" si="306"/>
        <v>0</v>
      </c>
      <c r="CA195" s="10">
        <f t="shared" si="306"/>
        <v>0</v>
      </c>
      <c r="CB195" s="10">
        <f t="shared" si="306"/>
        <v>0</v>
      </c>
      <c r="CC195" s="10">
        <f t="shared" si="306"/>
        <v>0</v>
      </c>
      <c r="CD195" s="10">
        <f t="shared" si="306"/>
        <v>0</v>
      </c>
      <c r="CE195" s="10">
        <f t="shared" si="306"/>
        <v>0</v>
      </c>
      <c r="CF195" s="10">
        <f t="shared" si="306"/>
        <v>0</v>
      </c>
      <c r="CG195" s="10">
        <f t="shared" si="306"/>
        <v>0</v>
      </c>
      <c r="CH195" s="10">
        <f t="shared" si="306"/>
        <v>0</v>
      </c>
      <c r="CI195" s="10">
        <f t="shared" si="306"/>
        <v>0</v>
      </c>
      <c r="CJ195" s="10">
        <f t="shared" si="306"/>
        <v>0</v>
      </c>
      <c r="CK195" s="10">
        <f t="shared" si="306"/>
        <v>0</v>
      </c>
      <c r="CL195" s="10">
        <f t="shared" si="306"/>
        <v>0</v>
      </c>
      <c r="CM195" s="10">
        <f t="shared" si="306"/>
        <v>0</v>
      </c>
      <c r="CN195" s="10">
        <f t="shared" si="306"/>
        <v>0</v>
      </c>
      <c r="CO195" s="10">
        <f t="shared" si="306"/>
        <v>0</v>
      </c>
    </row>
    <row r="196" spans="1:93">
      <c r="A196" s="77"/>
      <c r="B196" s="168"/>
      <c r="C196" s="17" t="s">
        <v>1190</v>
      </c>
      <c r="D196" s="10"/>
      <c r="E196" s="62"/>
      <c r="F196" s="11"/>
      <c r="G196" s="11" t="str">
        <f t="shared" si="297"/>
        <v>тыс. руб.</v>
      </c>
      <c r="H196" s="10"/>
      <c r="I196" s="23">
        <f t="shared" si="298"/>
        <v>377145</v>
      </c>
      <c r="J196" s="10"/>
      <c r="K196" s="10"/>
      <c r="L196" s="10">
        <f t="shared" ref="L196:BW197" si="307" xml:space="preserve"> $E187 * L187</f>
        <v>0</v>
      </c>
      <c r="M196" s="10">
        <f t="shared" si="307"/>
        <v>0</v>
      </c>
      <c r="N196" s="10">
        <f t="shared" si="307"/>
        <v>0</v>
      </c>
      <c r="O196" s="10">
        <f t="shared" si="307"/>
        <v>0</v>
      </c>
      <c r="P196" s="10">
        <f t="shared" si="307"/>
        <v>0</v>
      </c>
      <c r="Q196" s="10">
        <f t="shared" si="307"/>
        <v>0</v>
      </c>
      <c r="R196" s="10">
        <f t="shared" si="307"/>
        <v>0</v>
      </c>
      <c r="S196" s="10">
        <f t="shared" si="307"/>
        <v>0</v>
      </c>
      <c r="T196" s="10">
        <f t="shared" si="307"/>
        <v>0</v>
      </c>
      <c r="U196" s="10">
        <f t="shared" si="307"/>
        <v>0</v>
      </c>
      <c r="V196" s="10">
        <f t="shared" si="307"/>
        <v>0</v>
      </c>
      <c r="W196" s="10">
        <f t="shared" si="307"/>
        <v>0</v>
      </c>
      <c r="X196" s="10">
        <f t="shared" si="307"/>
        <v>0</v>
      </c>
      <c r="Y196" s="10">
        <f t="shared" si="307"/>
        <v>0</v>
      </c>
      <c r="Z196" s="10">
        <f t="shared" si="307"/>
        <v>0</v>
      </c>
      <c r="AA196" s="10">
        <f t="shared" si="307"/>
        <v>0</v>
      </c>
      <c r="AB196" s="10">
        <f t="shared" si="307"/>
        <v>377145</v>
      </c>
      <c r="AC196" s="10">
        <f t="shared" si="307"/>
        <v>0</v>
      </c>
      <c r="AD196" s="10">
        <f t="shared" si="307"/>
        <v>0</v>
      </c>
      <c r="AE196" s="10">
        <f t="shared" si="307"/>
        <v>0</v>
      </c>
      <c r="AF196" s="10">
        <f t="shared" si="307"/>
        <v>0</v>
      </c>
      <c r="AG196" s="10">
        <f t="shared" si="307"/>
        <v>0</v>
      </c>
      <c r="AH196" s="10">
        <f t="shared" si="307"/>
        <v>0</v>
      </c>
      <c r="AI196" s="10">
        <f t="shared" si="307"/>
        <v>0</v>
      </c>
      <c r="AJ196" s="10">
        <f t="shared" si="307"/>
        <v>0</v>
      </c>
      <c r="AK196" s="10">
        <f t="shared" si="307"/>
        <v>0</v>
      </c>
      <c r="AL196" s="10">
        <f t="shared" si="307"/>
        <v>0</v>
      </c>
      <c r="AM196" s="10">
        <f t="shared" si="307"/>
        <v>0</v>
      </c>
      <c r="AN196" s="10">
        <f t="shared" si="307"/>
        <v>0</v>
      </c>
      <c r="AO196" s="10">
        <f t="shared" si="307"/>
        <v>0</v>
      </c>
      <c r="AP196" s="10">
        <f t="shared" si="307"/>
        <v>0</v>
      </c>
      <c r="AQ196" s="10">
        <f t="shared" si="307"/>
        <v>0</v>
      </c>
      <c r="AR196" s="10">
        <f t="shared" si="307"/>
        <v>0</v>
      </c>
      <c r="AS196" s="10">
        <f t="shared" si="307"/>
        <v>0</v>
      </c>
      <c r="AT196" s="10">
        <f t="shared" si="307"/>
        <v>0</v>
      </c>
      <c r="AU196" s="10">
        <f t="shared" si="307"/>
        <v>0</v>
      </c>
      <c r="AV196" s="10">
        <f t="shared" si="307"/>
        <v>0</v>
      </c>
      <c r="AW196" s="10">
        <f t="shared" si="307"/>
        <v>0</v>
      </c>
      <c r="AX196" s="10">
        <f t="shared" si="307"/>
        <v>0</v>
      </c>
      <c r="AY196" s="10">
        <f t="shared" si="307"/>
        <v>0</v>
      </c>
      <c r="AZ196" s="10">
        <f t="shared" si="307"/>
        <v>0</v>
      </c>
      <c r="BA196" s="10">
        <f t="shared" si="307"/>
        <v>0</v>
      </c>
      <c r="BB196" s="10">
        <f t="shared" si="307"/>
        <v>0</v>
      </c>
      <c r="BC196" s="10">
        <f t="shared" si="307"/>
        <v>0</v>
      </c>
      <c r="BD196" s="10">
        <f t="shared" si="307"/>
        <v>0</v>
      </c>
      <c r="BE196" s="10">
        <f t="shared" si="307"/>
        <v>0</v>
      </c>
      <c r="BF196" s="10">
        <f t="shared" si="307"/>
        <v>0</v>
      </c>
      <c r="BG196" s="10">
        <f t="shared" si="307"/>
        <v>0</v>
      </c>
      <c r="BH196" s="10">
        <f t="shared" si="307"/>
        <v>0</v>
      </c>
      <c r="BI196" s="10">
        <f t="shared" si="307"/>
        <v>0</v>
      </c>
      <c r="BJ196" s="10">
        <f t="shared" si="307"/>
        <v>0</v>
      </c>
      <c r="BK196" s="10">
        <f t="shared" si="307"/>
        <v>0</v>
      </c>
      <c r="BL196" s="10">
        <f t="shared" si="307"/>
        <v>0</v>
      </c>
      <c r="BM196" s="10">
        <f t="shared" si="307"/>
        <v>0</v>
      </c>
      <c r="BN196" s="10">
        <f t="shared" si="307"/>
        <v>0</v>
      </c>
      <c r="BO196" s="10">
        <f t="shared" si="307"/>
        <v>0</v>
      </c>
      <c r="BP196" s="10">
        <f t="shared" si="307"/>
        <v>0</v>
      </c>
      <c r="BQ196" s="10">
        <f t="shared" si="307"/>
        <v>0</v>
      </c>
      <c r="BR196" s="10">
        <f t="shared" si="307"/>
        <v>0</v>
      </c>
      <c r="BS196" s="10">
        <f t="shared" si="307"/>
        <v>0</v>
      </c>
      <c r="BT196" s="10">
        <f t="shared" si="307"/>
        <v>0</v>
      </c>
      <c r="BU196" s="10">
        <f t="shared" si="307"/>
        <v>0</v>
      </c>
      <c r="BV196" s="10">
        <f t="shared" si="307"/>
        <v>0</v>
      </c>
      <c r="BW196" s="10">
        <f t="shared" si="307"/>
        <v>0</v>
      </c>
      <c r="BX196" s="10">
        <f t="shared" ref="BX196:CO197" si="308" xml:space="preserve"> $E187 * BX187</f>
        <v>0</v>
      </c>
      <c r="BY196" s="10">
        <f t="shared" si="308"/>
        <v>0</v>
      </c>
      <c r="BZ196" s="10">
        <f t="shared" si="308"/>
        <v>0</v>
      </c>
      <c r="CA196" s="10">
        <f t="shared" si="308"/>
        <v>0</v>
      </c>
      <c r="CB196" s="10">
        <f t="shared" si="308"/>
        <v>0</v>
      </c>
      <c r="CC196" s="10">
        <f t="shared" si="308"/>
        <v>0</v>
      </c>
      <c r="CD196" s="10">
        <f t="shared" si="308"/>
        <v>0</v>
      </c>
      <c r="CE196" s="10">
        <f t="shared" si="308"/>
        <v>0</v>
      </c>
      <c r="CF196" s="10">
        <f t="shared" si="308"/>
        <v>0</v>
      </c>
      <c r="CG196" s="10">
        <f t="shared" si="308"/>
        <v>0</v>
      </c>
      <c r="CH196" s="10">
        <f t="shared" si="308"/>
        <v>0</v>
      </c>
      <c r="CI196" s="10">
        <f t="shared" si="308"/>
        <v>0</v>
      </c>
      <c r="CJ196" s="10">
        <f t="shared" si="308"/>
        <v>0</v>
      </c>
      <c r="CK196" s="10">
        <f t="shared" si="308"/>
        <v>0</v>
      </c>
      <c r="CL196" s="10">
        <f t="shared" si="308"/>
        <v>0</v>
      </c>
      <c r="CM196" s="10">
        <f t="shared" si="308"/>
        <v>0</v>
      </c>
      <c r="CN196" s="10">
        <f t="shared" si="308"/>
        <v>0</v>
      </c>
      <c r="CO196" s="10">
        <f t="shared" si="308"/>
        <v>0</v>
      </c>
    </row>
    <row r="197" spans="1:93">
      <c r="A197" s="77"/>
      <c r="B197" s="168"/>
      <c r="C197" s="17" t="s">
        <v>1191</v>
      </c>
      <c r="D197" s="10"/>
      <c r="E197" s="62"/>
      <c r="F197" s="11"/>
      <c r="G197" s="11" t="str">
        <f t="shared" si="297"/>
        <v>тыс. руб.</v>
      </c>
      <c r="H197" s="10"/>
      <c r="I197" s="23">
        <f t="shared" si="298"/>
        <v>78691.185148799996</v>
      </c>
      <c r="J197" s="10"/>
      <c r="K197" s="10"/>
      <c r="L197" s="10">
        <f t="shared" si="307"/>
        <v>0</v>
      </c>
      <c r="M197" s="10">
        <f t="shared" si="307"/>
        <v>0</v>
      </c>
      <c r="N197" s="10">
        <f t="shared" si="307"/>
        <v>0</v>
      </c>
      <c r="O197" s="10">
        <f t="shared" si="307"/>
        <v>0</v>
      </c>
      <c r="P197" s="10">
        <f t="shared" si="307"/>
        <v>0</v>
      </c>
      <c r="Q197" s="10">
        <f t="shared" si="307"/>
        <v>0</v>
      </c>
      <c r="R197" s="10">
        <f t="shared" si="307"/>
        <v>0</v>
      </c>
      <c r="S197" s="10">
        <f t="shared" si="307"/>
        <v>0</v>
      </c>
      <c r="T197" s="10">
        <f t="shared" si="307"/>
        <v>0</v>
      </c>
      <c r="U197" s="10">
        <f t="shared" si="307"/>
        <v>0</v>
      </c>
      <c r="V197" s="10">
        <f t="shared" si="307"/>
        <v>0</v>
      </c>
      <c r="W197" s="10">
        <f t="shared" si="307"/>
        <v>0</v>
      </c>
      <c r="X197" s="10">
        <f t="shared" si="307"/>
        <v>0</v>
      </c>
      <c r="Y197" s="10">
        <f t="shared" si="307"/>
        <v>0</v>
      </c>
      <c r="Z197" s="10">
        <f t="shared" si="307"/>
        <v>0</v>
      </c>
      <c r="AA197" s="10">
        <f t="shared" si="307"/>
        <v>0</v>
      </c>
      <c r="AB197" s="10">
        <f t="shared" si="307"/>
        <v>78691.185148799996</v>
      </c>
      <c r="AC197" s="10">
        <f t="shared" si="307"/>
        <v>0</v>
      </c>
      <c r="AD197" s="10">
        <f t="shared" si="307"/>
        <v>0</v>
      </c>
      <c r="AE197" s="10">
        <f t="shared" si="307"/>
        <v>0</v>
      </c>
      <c r="AF197" s="10">
        <f t="shared" si="307"/>
        <v>0</v>
      </c>
      <c r="AG197" s="10">
        <f t="shared" si="307"/>
        <v>0</v>
      </c>
      <c r="AH197" s="10">
        <f t="shared" si="307"/>
        <v>0</v>
      </c>
      <c r="AI197" s="10">
        <f t="shared" si="307"/>
        <v>0</v>
      </c>
      <c r="AJ197" s="10">
        <f t="shared" si="307"/>
        <v>0</v>
      </c>
      <c r="AK197" s="10">
        <f t="shared" si="307"/>
        <v>0</v>
      </c>
      <c r="AL197" s="10">
        <f t="shared" si="307"/>
        <v>0</v>
      </c>
      <c r="AM197" s="10">
        <f t="shared" si="307"/>
        <v>0</v>
      </c>
      <c r="AN197" s="10">
        <f t="shared" si="307"/>
        <v>0</v>
      </c>
      <c r="AO197" s="10">
        <f t="shared" si="307"/>
        <v>0</v>
      </c>
      <c r="AP197" s="10">
        <f t="shared" si="307"/>
        <v>0</v>
      </c>
      <c r="AQ197" s="10">
        <f t="shared" si="307"/>
        <v>0</v>
      </c>
      <c r="AR197" s="10">
        <f t="shared" si="307"/>
        <v>0</v>
      </c>
      <c r="AS197" s="10">
        <f t="shared" si="307"/>
        <v>0</v>
      </c>
      <c r="AT197" s="10">
        <f t="shared" si="307"/>
        <v>0</v>
      </c>
      <c r="AU197" s="10">
        <f t="shared" si="307"/>
        <v>0</v>
      </c>
      <c r="AV197" s="10">
        <f t="shared" si="307"/>
        <v>0</v>
      </c>
      <c r="AW197" s="10">
        <f t="shared" si="307"/>
        <v>0</v>
      </c>
      <c r="AX197" s="10">
        <f t="shared" si="307"/>
        <v>0</v>
      </c>
      <c r="AY197" s="10">
        <f t="shared" si="307"/>
        <v>0</v>
      </c>
      <c r="AZ197" s="10">
        <f t="shared" si="307"/>
        <v>0</v>
      </c>
      <c r="BA197" s="10">
        <f t="shared" si="307"/>
        <v>0</v>
      </c>
      <c r="BB197" s="10">
        <f t="shared" si="307"/>
        <v>0</v>
      </c>
      <c r="BC197" s="10">
        <f t="shared" si="307"/>
        <v>0</v>
      </c>
      <c r="BD197" s="10">
        <f t="shared" si="307"/>
        <v>0</v>
      </c>
      <c r="BE197" s="10">
        <f t="shared" si="307"/>
        <v>0</v>
      </c>
      <c r="BF197" s="10">
        <f t="shared" si="307"/>
        <v>0</v>
      </c>
      <c r="BG197" s="10">
        <f t="shared" si="307"/>
        <v>0</v>
      </c>
      <c r="BH197" s="10">
        <f t="shared" si="307"/>
        <v>0</v>
      </c>
      <c r="BI197" s="10">
        <f t="shared" si="307"/>
        <v>0</v>
      </c>
      <c r="BJ197" s="10">
        <f t="shared" si="307"/>
        <v>0</v>
      </c>
      <c r="BK197" s="10">
        <f t="shared" si="307"/>
        <v>0</v>
      </c>
      <c r="BL197" s="10">
        <f t="shared" si="307"/>
        <v>0</v>
      </c>
      <c r="BM197" s="10">
        <f t="shared" si="307"/>
        <v>0</v>
      </c>
      <c r="BN197" s="10">
        <f t="shared" si="307"/>
        <v>0</v>
      </c>
      <c r="BO197" s="10">
        <f t="shared" si="307"/>
        <v>0</v>
      </c>
      <c r="BP197" s="10">
        <f t="shared" si="307"/>
        <v>0</v>
      </c>
      <c r="BQ197" s="10">
        <f t="shared" si="307"/>
        <v>0</v>
      </c>
      <c r="BR197" s="10">
        <f t="shared" si="307"/>
        <v>0</v>
      </c>
      <c r="BS197" s="10">
        <f t="shared" si="307"/>
        <v>0</v>
      </c>
      <c r="BT197" s="10">
        <f t="shared" si="307"/>
        <v>0</v>
      </c>
      <c r="BU197" s="10">
        <f t="shared" si="307"/>
        <v>0</v>
      </c>
      <c r="BV197" s="10">
        <f t="shared" si="307"/>
        <v>0</v>
      </c>
      <c r="BW197" s="10">
        <f t="shared" si="307"/>
        <v>0</v>
      </c>
      <c r="BX197" s="10">
        <f t="shared" si="308"/>
        <v>0</v>
      </c>
      <c r="BY197" s="10">
        <f t="shared" si="308"/>
        <v>0</v>
      </c>
      <c r="BZ197" s="10">
        <f t="shared" si="308"/>
        <v>0</v>
      </c>
      <c r="CA197" s="10">
        <f t="shared" si="308"/>
        <v>0</v>
      </c>
      <c r="CB197" s="10">
        <f t="shared" si="308"/>
        <v>0</v>
      </c>
      <c r="CC197" s="10">
        <f t="shared" si="308"/>
        <v>0</v>
      </c>
      <c r="CD197" s="10">
        <f t="shared" si="308"/>
        <v>0</v>
      </c>
      <c r="CE197" s="10">
        <f t="shared" si="308"/>
        <v>0</v>
      </c>
      <c r="CF197" s="10">
        <f t="shared" si="308"/>
        <v>0</v>
      </c>
      <c r="CG197" s="10">
        <f t="shared" si="308"/>
        <v>0</v>
      </c>
      <c r="CH197" s="10">
        <f t="shared" si="308"/>
        <v>0</v>
      </c>
      <c r="CI197" s="10">
        <f t="shared" si="308"/>
        <v>0</v>
      </c>
      <c r="CJ197" s="10">
        <f t="shared" si="308"/>
        <v>0</v>
      </c>
      <c r="CK197" s="10">
        <f t="shared" si="308"/>
        <v>0</v>
      </c>
      <c r="CL197" s="10">
        <f t="shared" si="308"/>
        <v>0</v>
      </c>
      <c r="CM197" s="10">
        <f t="shared" si="308"/>
        <v>0</v>
      </c>
      <c r="CN197" s="10">
        <f t="shared" si="308"/>
        <v>0</v>
      </c>
      <c r="CO197" s="10">
        <f t="shared" si="308"/>
        <v>0</v>
      </c>
    </row>
    <row r="198" spans="1:93">
      <c r="A198" s="77"/>
      <c r="B198" s="168"/>
      <c r="C198" s="17" t="s">
        <v>627</v>
      </c>
      <c r="D198" s="10"/>
      <c r="E198" s="62"/>
      <c r="F198" s="11"/>
      <c r="G198" s="11" t="str">
        <f t="shared" si="297"/>
        <v>тыс. руб.</v>
      </c>
      <c r="H198" s="10"/>
      <c r="I198" s="23">
        <f t="shared" si="298"/>
        <v>0</v>
      </c>
      <c r="J198" s="10"/>
      <c r="K198" s="10"/>
      <c r="L198" s="10">
        <f t="shared" ref="L198:R198" si="309" xml:space="preserve"> L194 * $E189</f>
        <v>0</v>
      </c>
      <c r="M198" s="10">
        <f t="shared" si="309"/>
        <v>0</v>
      </c>
      <c r="N198" s="10">
        <f t="shared" si="309"/>
        <v>0</v>
      </c>
      <c r="O198" s="10">
        <f t="shared" si="309"/>
        <v>0</v>
      </c>
      <c r="P198" s="10">
        <f t="shared" si="309"/>
        <v>0</v>
      </c>
      <c r="Q198" s="10">
        <f t="shared" si="309"/>
        <v>0</v>
      </c>
      <c r="R198" s="10">
        <f t="shared" si="309"/>
        <v>0</v>
      </c>
      <c r="S198" s="10">
        <f xml:space="preserve"> S194 * $E189</f>
        <v>0</v>
      </c>
      <c r="T198" s="10">
        <f t="shared" ref="T198:CE198" si="310" xml:space="preserve"> T194 * $E189</f>
        <v>0</v>
      </c>
      <c r="U198" s="10">
        <f t="shared" si="310"/>
        <v>0</v>
      </c>
      <c r="V198" s="10">
        <f t="shared" si="310"/>
        <v>0</v>
      </c>
      <c r="W198" s="10">
        <f t="shared" si="310"/>
        <v>0</v>
      </c>
      <c r="X198" s="10">
        <f t="shared" si="310"/>
        <v>0</v>
      </c>
      <c r="Y198" s="10">
        <f t="shared" si="310"/>
        <v>0</v>
      </c>
      <c r="Z198" s="10">
        <f t="shared" si="310"/>
        <v>0</v>
      </c>
      <c r="AA198" s="10">
        <f t="shared" si="310"/>
        <v>0</v>
      </c>
      <c r="AB198" s="10">
        <f t="shared" si="310"/>
        <v>0</v>
      </c>
      <c r="AC198" s="10">
        <f t="shared" si="310"/>
        <v>0</v>
      </c>
      <c r="AD198" s="10">
        <f t="shared" si="310"/>
        <v>0</v>
      </c>
      <c r="AE198" s="10">
        <f t="shared" si="310"/>
        <v>0</v>
      </c>
      <c r="AF198" s="10">
        <f t="shared" si="310"/>
        <v>0</v>
      </c>
      <c r="AG198" s="10">
        <f t="shared" si="310"/>
        <v>0</v>
      </c>
      <c r="AH198" s="10">
        <f t="shared" si="310"/>
        <v>0</v>
      </c>
      <c r="AI198" s="10">
        <f t="shared" si="310"/>
        <v>0</v>
      </c>
      <c r="AJ198" s="10">
        <f t="shared" si="310"/>
        <v>0</v>
      </c>
      <c r="AK198" s="10">
        <f t="shared" si="310"/>
        <v>0</v>
      </c>
      <c r="AL198" s="10">
        <f t="shared" si="310"/>
        <v>0</v>
      </c>
      <c r="AM198" s="10">
        <f t="shared" si="310"/>
        <v>0</v>
      </c>
      <c r="AN198" s="10">
        <f t="shared" si="310"/>
        <v>0</v>
      </c>
      <c r="AO198" s="10">
        <f t="shared" si="310"/>
        <v>0</v>
      </c>
      <c r="AP198" s="10">
        <f t="shared" si="310"/>
        <v>0</v>
      </c>
      <c r="AQ198" s="10">
        <f t="shared" si="310"/>
        <v>0</v>
      </c>
      <c r="AR198" s="10">
        <f t="shared" si="310"/>
        <v>0</v>
      </c>
      <c r="AS198" s="10">
        <f t="shared" si="310"/>
        <v>0</v>
      </c>
      <c r="AT198" s="10">
        <f t="shared" si="310"/>
        <v>0</v>
      </c>
      <c r="AU198" s="10">
        <f t="shared" si="310"/>
        <v>0</v>
      </c>
      <c r="AV198" s="10">
        <f t="shared" si="310"/>
        <v>0</v>
      </c>
      <c r="AW198" s="10">
        <f t="shared" si="310"/>
        <v>0</v>
      </c>
      <c r="AX198" s="10">
        <f t="shared" si="310"/>
        <v>0</v>
      </c>
      <c r="AY198" s="10">
        <f t="shared" si="310"/>
        <v>0</v>
      </c>
      <c r="AZ198" s="10">
        <f t="shared" si="310"/>
        <v>0</v>
      </c>
      <c r="BA198" s="10">
        <f t="shared" si="310"/>
        <v>0</v>
      </c>
      <c r="BB198" s="10">
        <f t="shared" si="310"/>
        <v>0</v>
      </c>
      <c r="BC198" s="10">
        <f t="shared" si="310"/>
        <v>0</v>
      </c>
      <c r="BD198" s="10">
        <f t="shared" si="310"/>
        <v>0</v>
      </c>
      <c r="BE198" s="10">
        <f t="shared" si="310"/>
        <v>0</v>
      </c>
      <c r="BF198" s="10">
        <f t="shared" si="310"/>
        <v>0</v>
      </c>
      <c r="BG198" s="10">
        <f t="shared" si="310"/>
        <v>0</v>
      </c>
      <c r="BH198" s="10">
        <f t="shared" si="310"/>
        <v>0</v>
      </c>
      <c r="BI198" s="10">
        <f t="shared" si="310"/>
        <v>0</v>
      </c>
      <c r="BJ198" s="10">
        <f t="shared" si="310"/>
        <v>0</v>
      </c>
      <c r="BK198" s="10">
        <f t="shared" si="310"/>
        <v>0</v>
      </c>
      <c r="BL198" s="10">
        <f t="shared" si="310"/>
        <v>0</v>
      </c>
      <c r="BM198" s="10">
        <f t="shared" si="310"/>
        <v>0</v>
      </c>
      <c r="BN198" s="10">
        <f t="shared" si="310"/>
        <v>0</v>
      </c>
      <c r="BO198" s="10">
        <f t="shared" si="310"/>
        <v>0</v>
      </c>
      <c r="BP198" s="10">
        <f t="shared" si="310"/>
        <v>0</v>
      </c>
      <c r="BQ198" s="10">
        <f t="shared" si="310"/>
        <v>0</v>
      </c>
      <c r="BR198" s="10">
        <f t="shared" si="310"/>
        <v>0</v>
      </c>
      <c r="BS198" s="10">
        <f t="shared" si="310"/>
        <v>0</v>
      </c>
      <c r="BT198" s="10">
        <f t="shared" si="310"/>
        <v>0</v>
      </c>
      <c r="BU198" s="10">
        <f t="shared" si="310"/>
        <v>0</v>
      </c>
      <c r="BV198" s="10">
        <f t="shared" si="310"/>
        <v>0</v>
      </c>
      <c r="BW198" s="10">
        <f t="shared" si="310"/>
        <v>0</v>
      </c>
      <c r="BX198" s="10">
        <f t="shared" si="310"/>
        <v>0</v>
      </c>
      <c r="BY198" s="10">
        <f t="shared" si="310"/>
        <v>0</v>
      </c>
      <c r="BZ198" s="10">
        <f t="shared" si="310"/>
        <v>0</v>
      </c>
      <c r="CA198" s="10">
        <f t="shared" si="310"/>
        <v>0</v>
      </c>
      <c r="CB198" s="10">
        <f t="shared" si="310"/>
        <v>0</v>
      </c>
      <c r="CC198" s="10">
        <f t="shared" si="310"/>
        <v>0</v>
      </c>
      <c r="CD198" s="10">
        <f t="shared" si="310"/>
        <v>0</v>
      </c>
      <c r="CE198" s="10">
        <f t="shared" si="310"/>
        <v>0</v>
      </c>
      <c r="CF198" s="10">
        <f t="shared" ref="CF198:CO198" si="311" xml:space="preserve"> CF194 * $E189</f>
        <v>0</v>
      </c>
      <c r="CG198" s="10">
        <f t="shared" si="311"/>
        <v>0</v>
      </c>
      <c r="CH198" s="10">
        <f t="shared" si="311"/>
        <v>0</v>
      </c>
      <c r="CI198" s="10">
        <f t="shared" si="311"/>
        <v>0</v>
      </c>
      <c r="CJ198" s="10">
        <f t="shared" si="311"/>
        <v>0</v>
      </c>
      <c r="CK198" s="10">
        <f t="shared" si="311"/>
        <v>0</v>
      </c>
      <c r="CL198" s="10">
        <f t="shared" si="311"/>
        <v>0</v>
      </c>
      <c r="CM198" s="10">
        <f t="shared" si="311"/>
        <v>0</v>
      </c>
      <c r="CN198" s="10">
        <f t="shared" si="311"/>
        <v>0</v>
      </c>
      <c r="CO198" s="10">
        <f t="shared" si="311"/>
        <v>0</v>
      </c>
    </row>
    <row r="199" spans="1:93" ht="15.75" thickBot="1">
      <c r="A199" s="77"/>
      <c r="B199" s="168"/>
      <c r="C199" s="17" t="s">
        <v>628</v>
      </c>
      <c r="D199" s="10"/>
      <c r="E199" s="62"/>
      <c r="F199" s="11"/>
      <c r="G199" s="11" t="str">
        <f t="shared" si="297"/>
        <v>тыс. руб.</v>
      </c>
      <c r="H199" s="10"/>
      <c r="I199" s="23">
        <f t="shared" si="298"/>
        <v>0</v>
      </c>
      <c r="J199" s="10"/>
      <c r="K199" s="10"/>
      <c r="L199" s="10">
        <f t="shared" ref="L199:R199" si="312">SUM(L192:L196,L197:L198) * $E190</f>
        <v>0</v>
      </c>
      <c r="M199" s="10">
        <f t="shared" si="312"/>
        <v>0</v>
      </c>
      <c r="N199" s="10">
        <f t="shared" si="312"/>
        <v>0</v>
      </c>
      <c r="O199" s="10">
        <f t="shared" si="312"/>
        <v>0</v>
      </c>
      <c r="P199" s="10">
        <f t="shared" si="312"/>
        <v>0</v>
      </c>
      <c r="Q199" s="10">
        <f t="shared" si="312"/>
        <v>0</v>
      </c>
      <c r="R199" s="10">
        <f t="shared" si="312"/>
        <v>0</v>
      </c>
      <c r="S199" s="10">
        <f>SUM(S192:S196,S197:S198) * $E190</f>
        <v>0</v>
      </c>
      <c r="T199" s="10">
        <f t="shared" ref="T199:CE199" si="313">SUM(T192:T196,T197:T198) * $E190</f>
        <v>0</v>
      </c>
      <c r="U199" s="10">
        <f t="shared" si="313"/>
        <v>0</v>
      </c>
      <c r="V199" s="10">
        <f t="shared" si="313"/>
        <v>0</v>
      </c>
      <c r="W199" s="10">
        <f t="shared" si="313"/>
        <v>0</v>
      </c>
      <c r="X199" s="10">
        <f t="shared" si="313"/>
        <v>0</v>
      </c>
      <c r="Y199" s="10">
        <f t="shared" si="313"/>
        <v>0</v>
      </c>
      <c r="Z199" s="10">
        <f t="shared" si="313"/>
        <v>0</v>
      </c>
      <c r="AA199" s="10">
        <f t="shared" si="313"/>
        <v>0</v>
      </c>
      <c r="AB199" s="10">
        <f t="shared" si="313"/>
        <v>0</v>
      </c>
      <c r="AC199" s="10">
        <f t="shared" si="313"/>
        <v>0</v>
      </c>
      <c r="AD199" s="10">
        <f t="shared" si="313"/>
        <v>0</v>
      </c>
      <c r="AE199" s="10">
        <f t="shared" si="313"/>
        <v>0</v>
      </c>
      <c r="AF199" s="10">
        <f t="shared" si="313"/>
        <v>0</v>
      </c>
      <c r="AG199" s="10">
        <f t="shared" si="313"/>
        <v>0</v>
      </c>
      <c r="AH199" s="10">
        <f t="shared" si="313"/>
        <v>0</v>
      </c>
      <c r="AI199" s="10">
        <f t="shared" si="313"/>
        <v>0</v>
      </c>
      <c r="AJ199" s="10">
        <f t="shared" si="313"/>
        <v>0</v>
      </c>
      <c r="AK199" s="10">
        <f t="shared" si="313"/>
        <v>0</v>
      </c>
      <c r="AL199" s="10">
        <f t="shared" si="313"/>
        <v>0</v>
      </c>
      <c r="AM199" s="10">
        <f t="shared" si="313"/>
        <v>0</v>
      </c>
      <c r="AN199" s="10">
        <f t="shared" si="313"/>
        <v>0</v>
      </c>
      <c r="AO199" s="10">
        <f t="shared" si="313"/>
        <v>0</v>
      </c>
      <c r="AP199" s="10">
        <f t="shared" si="313"/>
        <v>0</v>
      </c>
      <c r="AQ199" s="10">
        <f t="shared" si="313"/>
        <v>0</v>
      </c>
      <c r="AR199" s="10">
        <f t="shared" si="313"/>
        <v>0</v>
      </c>
      <c r="AS199" s="10">
        <f t="shared" si="313"/>
        <v>0</v>
      </c>
      <c r="AT199" s="10">
        <f t="shared" si="313"/>
        <v>0</v>
      </c>
      <c r="AU199" s="10">
        <f t="shared" si="313"/>
        <v>0</v>
      </c>
      <c r="AV199" s="10">
        <f t="shared" si="313"/>
        <v>0</v>
      </c>
      <c r="AW199" s="10">
        <f t="shared" si="313"/>
        <v>0</v>
      </c>
      <c r="AX199" s="10">
        <f t="shared" si="313"/>
        <v>0</v>
      </c>
      <c r="AY199" s="10">
        <f t="shared" si="313"/>
        <v>0</v>
      </c>
      <c r="AZ199" s="10">
        <f t="shared" si="313"/>
        <v>0</v>
      </c>
      <c r="BA199" s="10">
        <f t="shared" si="313"/>
        <v>0</v>
      </c>
      <c r="BB199" s="10">
        <f t="shared" si="313"/>
        <v>0</v>
      </c>
      <c r="BC199" s="10">
        <f t="shared" si="313"/>
        <v>0</v>
      </c>
      <c r="BD199" s="10">
        <f t="shared" si="313"/>
        <v>0</v>
      </c>
      <c r="BE199" s="10">
        <f t="shared" si="313"/>
        <v>0</v>
      </c>
      <c r="BF199" s="10">
        <f t="shared" si="313"/>
        <v>0</v>
      </c>
      <c r="BG199" s="10">
        <f t="shared" si="313"/>
        <v>0</v>
      </c>
      <c r="BH199" s="10">
        <f t="shared" si="313"/>
        <v>0</v>
      </c>
      <c r="BI199" s="10">
        <f t="shared" si="313"/>
        <v>0</v>
      </c>
      <c r="BJ199" s="10">
        <f t="shared" si="313"/>
        <v>0</v>
      </c>
      <c r="BK199" s="10">
        <f t="shared" si="313"/>
        <v>0</v>
      </c>
      <c r="BL199" s="10">
        <f t="shared" si="313"/>
        <v>0</v>
      </c>
      <c r="BM199" s="10">
        <f t="shared" si="313"/>
        <v>0</v>
      </c>
      <c r="BN199" s="10">
        <f t="shared" si="313"/>
        <v>0</v>
      </c>
      <c r="BO199" s="10">
        <f t="shared" si="313"/>
        <v>0</v>
      </c>
      <c r="BP199" s="10">
        <f t="shared" si="313"/>
        <v>0</v>
      </c>
      <c r="BQ199" s="10">
        <f t="shared" si="313"/>
        <v>0</v>
      </c>
      <c r="BR199" s="10">
        <f t="shared" si="313"/>
        <v>0</v>
      </c>
      <c r="BS199" s="10">
        <f t="shared" si="313"/>
        <v>0</v>
      </c>
      <c r="BT199" s="10">
        <f t="shared" si="313"/>
        <v>0</v>
      </c>
      <c r="BU199" s="10">
        <f t="shared" si="313"/>
        <v>0</v>
      </c>
      <c r="BV199" s="10">
        <f t="shared" si="313"/>
        <v>0</v>
      </c>
      <c r="BW199" s="10">
        <f t="shared" si="313"/>
        <v>0</v>
      </c>
      <c r="BX199" s="10">
        <f t="shared" si="313"/>
        <v>0</v>
      </c>
      <c r="BY199" s="10">
        <f t="shared" si="313"/>
        <v>0</v>
      </c>
      <c r="BZ199" s="10">
        <f t="shared" si="313"/>
        <v>0</v>
      </c>
      <c r="CA199" s="10">
        <f t="shared" si="313"/>
        <v>0</v>
      </c>
      <c r="CB199" s="10">
        <f t="shared" si="313"/>
        <v>0</v>
      </c>
      <c r="CC199" s="10">
        <f t="shared" si="313"/>
        <v>0</v>
      </c>
      <c r="CD199" s="10">
        <f t="shared" si="313"/>
        <v>0</v>
      </c>
      <c r="CE199" s="10">
        <f t="shared" si="313"/>
        <v>0</v>
      </c>
      <c r="CF199" s="10">
        <f t="shared" ref="CF199:CO199" si="314">SUM(CF192:CF196,CF197:CF198) * $E190</f>
        <v>0</v>
      </c>
      <c r="CG199" s="10">
        <f t="shared" si="314"/>
        <v>0</v>
      </c>
      <c r="CH199" s="10">
        <f t="shared" si="314"/>
        <v>0</v>
      </c>
      <c r="CI199" s="10">
        <f t="shared" si="314"/>
        <v>0</v>
      </c>
      <c r="CJ199" s="10">
        <f t="shared" si="314"/>
        <v>0</v>
      </c>
      <c r="CK199" s="10">
        <f t="shared" si="314"/>
        <v>0</v>
      </c>
      <c r="CL199" s="10">
        <f t="shared" si="314"/>
        <v>0</v>
      </c>
      <c r="CM199" s="10">
        <f t="shared" si="314"/>
        <v>0</v>
      </c>
      <c r="CN199" s="10">
        <f t="shared" si="314"/>
        <v>0</v>
      </c>
      <c r="CO199" s="10">
        <f t="shared" si="314"/>
        <v>0</v>
      </c>
    </row>
    <row r="200" spans="1:93" ht="15.75" thickTop="1">
      <c r="A200" s="77"/>
      <c r="B200" s="101"/>
      <c r="C200" s="49" t="s">
        <v>832</v>
      </c>
      <c r="D200" s="49"/>
      <c r="E200" s="136"/>
      <c r="F200" s="49"/>
      <c r="G200" s="159" t="str">
        <f xml:space="preserve"> Monetary_Unit</f>
        <v>тыс. руб.</v>
      </c>
      <c r="H200" s="49"/>
      <c r="I200" s="23">
        <f t="shared" si="298"/>
        <v>2667332.2923727995</v>
      </c>
      <c r="J200" s="49"/>
      <c r="K200" s="49"/>
      <c r="L200" s="49">
        <f t="shared" ref="L200:R200" si="315" xml:space="preserve"> SUM(L192:L199)</f>
        <v>16393.996906</v>
      </c>
      <c r="M200" s="49">
        <f t="shared" si="315"/>
        <v>16393.996906</v>
      </c>
      <c r="N200" s="49">
        <f t="shared" si="315"/>
        <v>16393.996906</v>
      </c>
      <c r="O200" s="49">
        <f t="shared" si="315"/>
        <v>16393.996906</v>
      </c>
      <c r="P200" s="49">
        <f t="shared" si="315"/>
        <v>136616.64088333331</v>
      </c>
      <c r="Q200" s="49">
        <f t="shared" si="315"/>
        <v>136616.64088333331</v>
      </c>
      <c r="R200" s="49">
        <f t="shared" si="315"/>
        <v>136616.64088333334</v>
      </c>
      <c r="S200" s="49">
        <f xml:space="preserve"> SUM(S192:S199)</f>
        <v>136616.64088333331</v>
      </c>
      <c r="T200" s="49">
        <f t="shared" ref="T200:CE200" si="316" xml:space="preserve"> SUM(T192:T199)</f>
        <v>136616.64088333334</v>
      </c>
      <c r="U200" s="49">
        <f t="shared" si="316"/>
        <v>136616.64088333334</v>
      </c>
      <c r="V200" s="49">
        <f t="shared" si="316"/>
        <v>136616.64088333331</v>
      </c>
      <c r="W200" s="49">
        <f t="shared" si="316"/>
        <v>136616.64088333331</v>
      </c>
      <c r="X200" s="49">
        <f t="shared" si="316"/>
        <v>263246.74813333328</v>
      </c>
      <c r="Y200" s="49">
        <f t="shared" si="316"/>
        <v>263246.74813333328</v>
      </c>
      <c r="Z200" s="49">
        <f t="shared" si="316"/>
        <v>263246.74813333328</v>
      </c>
      <c r="AA200" s="49">
        <f t="shared" si="316"/>
        <v>263246.74813333317</v>
      </c>
      <c r="AB200" s="49">
        <f t="shared" si="316"/>
        <v>455836.18514880002</v>
      </c>
      <c r="AC200" s="49">
        <f t="shared" si="316"/>
        <v>0</v>
      </c>
      <c r="AD200" s="49">
        <f t="shared" si="316"/>
        <v>0</v>
      </c>
      <c r="AE200" s="49">
        <f t="shared" si="316"/>
        <v>0</v>
      </c>
      <c r="AF200" s="49">
        <f t="shared" si="316"/>
        <v>0</v>
      </c>
      <c r="AG200" s="49">
        <f t="shared" si="316"/>
        <v>0</v>
      </c>
      <c r="AH200" s="49">
        <f t="shared" si="316"/>
        <v>0</v>
      </c>
      <c r="AI200" s="49">
        <f t="shared" si="316"/>
        <v>0</v>
      </c>
      <c r="AJ200" s="49">
        <f t="shared" si="316"/>
        <v>0</v>
      </c>
      <c r="AK200" s="49">
        <f t="shared" si="316"/>
        <v>0</v>
      </c>
      <c r="AL200" s="49">
        <f t="shared" si="316"/>
        <v>0</v>
      </c>
      <c r="AM200" s="49">
        <f t="shared" si="316"/>
        <v>0</v>
      </c>
      <c r="AN200" s="49">
        <f t="shared" si="316"/>
        <v>0</v>
      </c>
      <c r="AO200" s="49">
        <f t="shared" si="316"/>
        <v>0</v>
      </c>
      <c r="AP200" s="49">
        <f t="shared" si="316"/>
        <v>0</v>
      </c>
      <c r="AQ200" s="49">
        <f t="shared" si="316"/>
        <v>0</v>
      </c>
      <c r="AR200" s="49">
        <f t="shared" si="316"/>
        <v>0</v>
      </c>
      <c r="AS200" s="49">
        <f t="shared" si="316"/>
        <v>0</v>
      </c>
      <c r="AT200" s="49">
        <f t="shared" si="316"/>
        <v>0</v>
      </c>
      <c r="AU200" s="49">
        <f t="shared" si="316"/>
        <v>0</v>
      </c>
      <c r="AV200" s="49">
        <f t="shared" si="316"/>
        <v>0</v>
      </c>
      <c r="AW200" s="49">
        <f t="shared" si="316"/>
        <v>0</v>
      </c>
      <c r="AX200" s="49">
        <f t="shared" si="316"/>
        <v>0</v>
      </c>
      <c r="AY200" s="49">
        <f t="shared" si="316"/>
        <v>0</v>
      </c>
      <c r="AZ200" s="49">
        <f t="shared" si="316"/>
        <v>0</v>
      </c>
      <c r="BA200" s="49">
        <f t="shared" si="316"/>
        <v>0</v>
      </c>
      <c r="BB200" s="49">
        <f t="shared" si="316"/>
        <v>0</v>
      </c>
      <c r="BC200" s="49">
        <f t="shared" si="316"/>
        <v>0</v>
      </c>
      <c r="BD200" s="49">
        <f t="shared" si="316"/>
        <v>0</v>
      </c>
      <c r="BE200" s="49">
        <f t="shared" si="316"/>
        <v>0</v>
      </c>
      <c r="BF200" s="49">
        <f t="shared" si="316"/>
        <v>0</v>
      </c>
      <c r="BG200" s="49">
        <f t="shared" si="316"/>
        <v>0</v>
      </c>
      <c r="BH200" s="49">
        <f t="shared" si="316"/>
        <v>0</v>
      </c>
      <c r="BI200" s="49">
        <f t="shared" si="316"/>
        <v>0</v>
      </c>
      <c r="BJ200" s="49">
        <f t="shared" si="316"/>
        <v>0</v>
      </c>
      <c r="BK200" s="49">
        <f t="shared" si="316"/>
        <v>0</v>
      </c>
      <c r="BL200" s="49">
        <f t="shared" si="316"/>
        <v>0</v>
      </c>
      <c r="BM200" s="49">
        <f t="shared" si="316"/>
        <v>0</v>
      </c>
      <c r="BN200" s="49">
        <f t="shared" si="316"/>
        <v>0</v>
      </c>
      <c r="BO200" s="49">
        <f t="shared" si="316"/>
        <v>0</v>
      </c>
      <c r="BP200" s="49">
        <f t="shared" si="316"/>
        <v>0</v>
      </c>
      <c r="BQ200" s="49">
        <f t="shared" si="316"/>
        <v>0</v>
      </c>
      <c r="BR200" s="49">
        <f t="shared" si="316"/>
        <v>0</v>
      </c>
      <c r="BS200" s="49">
        <f t="shared" si="316"/>
        <v>0</v>
      </c>
      <c r="BT200" s="49">
        <f t="shared" si="316"/>
        <v>0</v>
      </c>
      <c r="BU200" s="49">
        <f t="shared" si="316"/>
        <v>0</v>
      </c>
      <c r="BV200" s="49">
        <f t="shared" si="316"/>
        <v>0</v>
      </c>
      <c r="BW200" s="49">
        <f t="shared" si="316"/>
        <v>0</v>
      </c>
      <c r="BX200" s="49">
        <f t="shared" si="316"/>
        <v>0</v>
      </c>
      <c r="BY200" s="49">
        <f t="shared" si="316"/>
        <v>0</v>
      </c>
      <c r="BZ200" s="49">
        <f t="shared" si="316"/>
        <v>0</v>
      </c>
      <c r="CA200" s="49">
        <f t="shared" si="316"/>
        <v>0</v>
      </c>
      <c r="CB200" s="49">
        <f t="shared" si="316"/>
        <v>0</v>
      </c>
      <c r="CC200" s="49">
        <f t="shared" si="316"/>
        <v>0</v>
      </c>
      <c r="CD200" s="49">
        <f t="shared" si="316"/>
        <v>0</v>
      </c>
      <c r="CE200" s="49">
        <f t="shared" si="316"/>
        <v>0</v>
      </c>
      <c r="CF200" s="49">
        <f t="shared" ref="CF200:CO200" si="317" xml:space="preserve"> SUM(CF192:CF199)</f>
        <v>0</v>
      </c>
      <c r="CG200" s="49">
        <f t="shared" si="317"/>
        <v>0</v>
      </c>
      <c r="CH200" s="49">
        <f t="shared" si="317"/>
        <v>0</v>
      </c>
      <c r="CI200" s="49">
        <f t="shared" si="317"/>
        <v>0</v>
      </c>
      <c r="CJ200" s="49">
        <f t="shared" si="317"/>
        <v>0</v>
      </c>
      <c r="CK200" s="49">
        <f t="shared" si="317"/>
        <v>0</v>
      </c>
      <c r="CL200" s="49">
        <f t="shared" si="317"/>
        <v>0</v>
      </c>
      <c r="CM200" s="49">
        <f t="shared" si="317"/>
        <v>0</v>
      </c>
      <c r="CN200" s="49">
        <f t="shared" si="317"/>
        <v>0</v>
      </c>
      <c r="CO200" s="49">
        <f t="shared" si="317"/>
        <v>0</v>
      </c>
    </row>
    <row r="201" spans="1:93">
      <c r="A201" s="77"/>
      <c r="B201" s="168"/>
      <c r="C201" s="169"/>
      <c r="D201" s="10"/>
      <c r="E201" s="62"/>
      <c r="F201" s="11"/>
      <c r="G201" s="11"/>
      <c r="H201" s="10"/>
      <c r="I201" s="10" t="str">
        <f>IF(IFERROR(I200=Предпосылки!E293*I95*I112,I200=0),"")</f>
        <v/>
      </c>
      <c r="J201" s="10"/>
      <c r="K201" s="10"/>
      <c r="L201" s="170"/>
      <c r="M201" s="170"/>
      <c r="N201" s="170"/>
      <c r="O201" s="170"/>
      <c r="P201" s="170"/>
      <c r="Q201" s="170"/>
      <c r="R201" s="170"/>
      <c r="S201" s="170"/>
      <c r="T201" s="170"/>
      <c r="U201" s="170"/>
      <c r="V201" s="170"/>
      <c r="W201" s="170"/>
      <c r="X201" s="170"/>
      <c r="Y201" s="170"/>
      <c r="Z201" s="170"/>
      <c r="AA201" s="170"/>
      <c r="AB201" s="170"/>
      <c r="AC201" s="170"/>
      <c r="AD201" s="170"/>
      <c r="AE201" s="170"/>
      <c r="AF201" s="170"/>
      <c r="AG201" s="170"/>
      <c r="AH201" s="170"/>
      <c r="AI201" s="170"/>
      <c r="AJ201" s="170"/>
      <c r="AK201" s="170"/>
      <c r="AL201" s="170"/>
      <c r="AM201" s="170"/>
      <c r="AN201" s="170"/>
      <c r="AO201" s="170"/>
      <c r="AP201" s="170"/>
      <c r="AQ201" s="170"/>
      <c r="AR201" s="170"/>
      <c r="AS201" s="170"/>
      <c r="AT201" s="170"/>
      <c r="AU201" s="170"/>
      <c r="AV201" s="170"/>
      <c r="AW201" s="170"/>
      <c r="AX201" s="170"/>
      <c r="AY201" s="170"/>
      <c r="AZ201" s="170"/>
      <c r="BA201" s="170"/>
      <c r="BB201" s="170"/>
      <c r="BC201" s="170"/>
      <c r="BD201" s="170"/>
      <c r="BE201" s="170"/>
      <c r="BF201" s="170"/>
      <c r="BG201" s="170"/>
      <c r="BH201" s="170"/>
      <c r="BI201" s="170"/>
      <c r="BJ201" s="170"/>
      <c r="BK201" s="170"/>
      <c r="BL201" s="170"/>
      <c r="BM201" s="170"/>
      <c r="BN201" s="170"/>
      <c r="BO201" s="170"/>
      <c r="BP201" s="170"/>
      <c r="BQ201" s="170"/>
      <c r="BR201" s="170"/>
      <c r="BS201" s="170"/>
      <c r="BT201" s="170"/>
      <c r="BU201" s="170"/>
      <c r="BV201" s="170"/>
      <c r="BW201" s="170"/>
      <c r="BX201" s="170"/>
      <c r="BY201" s="170"/>
      <c r="BZ201" s="170"/>
      <c r="CA201" s="170"/>
      <c r="CB201" s="170"/>
      <c r="CC201" s="170"/>
      <c r="CD201" s="170"/>
      <c r="CE201" s="170"/>
      <c r="CF201" s="170"/>
      <c r="CG201" s="170"/>
      <c r="CH201" s="170"/>
      <c r="CI201" s="170"/>
      <c r="CJ201" s="170"/>
      <c r="CK201" s="170"/>
      <c r="CL201" s="170"/>
      <c r="CM201" s="170"/>
      <c r="CN201" s="170"/>
      <c r="CO201" s="170"/>
    </row>
    <row r="202" spans="1:93" ht="16.5" thickBot="1">
      <c r="A202" s="9"/>
      <c r="B202" s="168"/>
      <c r="C202" s="12" t="s">
        <v>650</v>
      </c>
      <c r="D202" s="12"/>
      <c r="E202" s="12"/>
      <c r="F202" s="12"/>
      <c r="G202" s="360"/>
      <c r="H202" s="12"/>
      <c r="I202" s="12"/>
      <c r="J202" s="10"/>
      <c r="K202" s="10"/>
      <c r="L202" s="170"/>
      <c r="M202" s="170"/>
      <c r="N202" s="170"/>
      <c r="O202" s="170"/>
      <c r="P202" s="170"/>
      <c r="Q202" s="170"/>
      <c r="R202" s="170"/>
      <c r="S202" s="170"/>
      <c r="T202" s="170"/>
      <c r="U202" s="170"/>
      <c r="V202" s="170"/>
      <c r="W202" s="170"/>
      <c r="X202" s="170"/>
      <c r="Y202" s="170"/>
      <c r="Z202" s="170"/>
      <c r="AA202" s="170"/>
      <c r="AB202" s="170"/>
      <c r="AC202" s="170"/>
      <c r="AD202" s="170"/>
      <c r="AE202" s="170"/>
      <c r="AF202" s="170"/>
      <c r="AG202" s="170"/>
      <c r="AH202" s="170"/>
      <c r="AI202" s="170"/>
      <c r="AJ202" s="170"/>
      <c r="AK202" s="170"/>
      <c r="AL202" s="170"/>
      <c r="AM202" s="170"/>
      <c r="AN202" s="170"/>
      <c r="AO202" s="170"/>
      <c r="AP202" s="170"/>
      <c r="AQ202" s="170"/>
      <c r="AR202" s="170"/>
      <c r="AS202" s="170"/>
      <c r="AT202" s="170"/>
      <c r="AU202" s="170"/>
      <c r="AV202" s="170"/>
      <c r="AW202" s="170"/>
      <c r="AX202" s="170"/>
      <c r="AY202" s="170"/>
      <c r="AZ202" s="170"/>
      <c r="BA202" s="170"/>
      <c r="BB202" s="170"/>
      <c r="BC202" s="170"/>
      <c r="BD202" s="170"/>
      <c r="BE202" s="170"/>
      <c r="BF202" s="170"/>
      <c r="BG202" s="170"/>
      <c r="BH202" s="170"/>
      <c r="BI202" s="170"/>
      <c r="BJ202" s="170"/>
      <c r="BK202" s="170"/>
      <c r="BL202" s="170"/>
      <c r="BM202" s="170"/>
      <c r="BN202" s="170"/>
      <c r="BO202" s="170"/>
      <c r="BP202" s="170"/>
      <c r="BQ202" s="170"/>
      <c r="BR202" s="170"/>
      <c r="BS202" s="170"/>
      <c r="BT202" s="170"/>
      <c r="BU202" s="170"/>
      <c r="BV202" s="170"/>
      <c r="BW202" s="170"/>
      <c r="BX202" s="170"/>
      <c r="BY202" s="170"/>
      <c r="BZ202" s="170"/>
      <c r="CA202" s="170"/>
      <c r="CB202" s="170"/>
      <c r="CC202" s="170"/>
      <c r="CD202" s="170"/>
      <c r="CE202" s="170"/>
      <c r="CF202" s="170"/>
      <c r="CG202" s="170"/>
      <c r="CH202" s="170"/>
      <c r="CI202" s="170"/>
      <c r="CJ202" s="170"/>
      <c r="CK202" s="170"/>
      <c r="CL202" s="170"/>
      <c r="CM202" s="170"/>
      <c r="CN202" s="170"/>
      <c r="CO202" s="170"/>
    </row>
    <row r="203" spans="1:93">
      <c r="A203" s="77"/>
      <c r="B203" s="168"/>
      <c r="C203" s="169"/>
      <c r="D203" s="10"/>
      <c r="E203" s="62"/>
      <c r="F203" s="11"/>
      <c r="G203" s="11"/>
      <c r="H203" s="10"/>
      <c r="I203" s="10"/>
      <c r="J203" s="10"/>
      <c r="K203" s="1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  <c r="Z203" s="170"/>
      <c r="AA203" s="170"/>
      <c r="AB203" s="170"/>
      <c r="AC203" s="170"/>
      <c r="AD203" s="170"/>
      <c r="AE203" s="170"/>
      <c r="AF203" s="170"/>
      <c r="AG203" s="170"/>
      <c r="AH203" s="170"/>
      <c r="AI203" s="170"/>
      <c r="AJ203" s="170"/>
      <c r="AK203" s="170"/>
      <c r="AL203" s="170"/>
      <c r="AM203" s="170"/>
      <c r="AN203" s="170"/>
      <c r="AO203" s="170"/>
      <c r="AP203" s="170"/>
      <c r="AQ203" s="170"/>
      <c r="AR203" s="170"/>
      <c r="AS203" s="170"/>
      <c r="AT203" s="170"/>
      <c r="AU203" s="170"/>
      <c r="AV203" s="170"/>
      <c r="AW203" s="170"/>
      <c r="AX203" s="170"/>
      <c r="AY203" s="170"/>
      <c r="AZ203" s="170"/>
      <c r="BA203" s="170"/>
      <c r="BB203" s="170"/>
      <c r="BC203" s="170"/>
      <c r="BD203" s="170"/>
      <c r="BE203" s="170"/>
      <c r="BF203" s="170"/>
      <c r="BG203" s="170"/>
      <c r="BH203" s="170"/>
      <c r="BI203" s="170"/>
      <c r="BJ203" s="170"/>
      <c r="BK203" s="170"/>
      <c r="BL203" s="170"/>
      <c r="BM203" s="170"/>
      <c r="BN203" s="170"/>
      <c r="BO203" s="170"/>
      <c r="BP203" s="170"/>
      <c r="BQ203" s="170"/>
      <c r="BR203" s="170"/>
      <c r="BS203" s="170"/>
      <c r="BT203" s="170"/>
      <c r="BU203" s="170"/>
      <c r="BV203" s="170"/>
      <c r="BW203" s="170"/>
      <c r="BX203" s="170"/>
      <c r="BY203" s="170"/>
      <c r="BZ203" s="170"/>
      <c r="CA203" s="170"/>
      <c r="CB203" s="170"/>
      <c r="CC203" s="170"/>
      <c r="CD203" s="170"/>
      <c r="CE203" s="170"/>
      <c r="CF203" s="170"/>
      <c r="CG203" s="170"/>
      <c r="CH203" s="170"/>
      <c r="CI203" s="170"/>
      <c r="CJ203" s="170"/>
      <c r="CK203" s="170"/>
      <c r="CL203" s="170"/>
      <c r="CM203" s="170"/>
      <c r="CN203" s="170"/>
      <c r="CO203" s="170"/>
    </row>
    <row r="204" spans="1:93">
      <c r="A204" s="9"/>
      <c r="B204" s="168"/>
      <c r="C204" s="17" t="s">
        <v>630</v>
      </c>
      <c r="D204" s="10"/>
      <c r="E204" s="62"/>
      <c r="F204" s="11"/>
      <c r="G204" s="11" t="str">
        <f t="shared" ref="G204:G211" si="318">Monetary_Unit</f>
        <v>тыс. руб.</v>
      </c>
      <c r="H204" s="10"/>
      <c r="I204" s="23">
        <f t="shared" ref="I204:I212" ca="1" si="319">SUM(L204:CO204)</f>
        <v>67936.365198733052</v>
      </c>
      <c r="J204" s="10"/>
      <c r="K204" s="10"/>
      <c r="L204" s="10">
        <f t="shared" ref="L204:AQ204" ca="1" si="320" xml:space="preserve"> L192 * CAPEX_Accumulated_From_Date</f>
        <v>16626.707846291232</v>
      </c>
      <c r="M204" s="10">
        <f t="shared" ca="1" si="320"/>
        <v>16862.722092179123</v>
      </c>
      <c r="N204" s="10">
        <f t="shared" ca="1" si="320"/>
        <v>17102.086533714704</v>
      </c>
      <c r="O204" s="10">
        <f t="shared" ca="1" si="320"/>
        <v>17344.848726547993</v>
      </c>
      <c r="P204" s="10">
        <f t="shared" ca="1" si="320"/>
        <v>0</v>
      </c>
      <c r="Q204" s="10">
        <f t="shared" ca="1" si="320"/>
        <v>0</v>
      </c>
      <c r="R204" s="10">
        <f t="shared" ca="1" si="320"/>
        <v>0</v>
      </c>
      <c r="S204" s="10">
        <f t="shared" ca="1" si="320"/>
        <v>0</v>
      </c>
      <c r="T204" s="10">
        <f t="shared" ca="1" si="320"/>
        <v>0</v>
      </c>
      <c r="U204" s="10">
        <f t="shared" ca="1" si="320"/>
        <v>0</v>
      </c>
      <c r="V204" s="10">
        <f t="shared" ca="1" si="320"/>
        <v>0</v>
      </c>
      <c r="W204" s="10">
        <f t="shared" ca="1" si="320"/>
        <v>0</v>
      </c>
      <c r="X204" s="10">
        <f t="shared" ca="1" si="320"/>
        <v>0</v>
      </c>
      <c r="Y204" s="10">
        <f t="shared" ca="1" si="320"/>
        <v>0</v>
      </c>
      <c r="Z204" s="10">
        <f t="shared" ca="1" si="320"/>
        <v>0</v>
      </c>
      <c r="AA204" s="10">
        <f t="shared" ca="1" si="320"/>
        <v>0</v>
      </c>
      <c r="AB204" s="10">
        <f t="shared" ca="1" si="320"/>
        <v>0</v>
      </c>
      <c r="AC204" s="10">
        <f t="shared" ca="1" si="320"/>
        <v>0</v>
      </c>
      <c r="AD204" s="10">
        <f t="shared" ca="1" si="320"/>
        <v>0</v>
      </c>
      <c r="AE204" s="10">
        <f t="shared" ca="1" si="320"/>
        <v>0</v>
      </c>
      <c r="AF204" s="10">
        <f t="shared" ca="1" si="320"/>
        <v>0</v>
      </c>
      <c r="AG204" s="10">
        <f t="shared" ca="1" si="320"/>
        <v>0</v>
      </c>
      <c r="AH204" s="10">
        <f t="shared" ca="1" si="320"/>
        <v>0</v>
      </c>
      <c r="AI204" s="10">
        <f t="shared" ca="1" si="320"/>
        <v>0</v>
      </c>
      <c r="AJ204" s="10">
        <f t="shared" ca="1" si="320"/>
        <v>0</v>
      </c>
      <c r="AK204" s="10">
        <f t="shared" ca="1" si="320"/>
        <v>0</v>
      </c>
      <c r="AL204" s="10">
        <f t="shared" ca="1" si="320"/>
        <v>0</v>
      </c>
      <c r="AM204" s="10">
        <f t="shared" ca="1" si="320"/>
        <v>0</v>
      </c>
      <c r="AN204" s="10">
        <f t="shared" ca="1" si="320"/>
        <v>0</v>
      </c>
      <c r="AO204" s="10">
        <f t="shared" ca="1" si="320"/>
        <v>0</v>
      </c>
      <c r="AP204" s="10">
        <f t="shared" ca="1" si="320"/>
        <v>0</v>
      </c>
      <c r="AQ204" s="10">
        <f t="shared" ca="1" si="320"/>
        <v>0</v>
      </c>
      <c r="AR204" s="10">
        <f t="shared" ref="AR204:BW204" ca="1" si="321" xml:space="preserve"> AR192 * CAPEX_Accumulated_From_Date</f>
        <v>0</v>
      </c>
      <c r="AS204" s="10">
        <f t="shared" ca="1" si="321"/>
        <v>0</v>
      </c>
      <c r="AT204" s="10">
        <f t="shared" ca="1" si="321"/>
        <v>0</v>
      </c>
      <c r="AU204" s="10">
        <f t="shared" ca="1" si="321"/>
        <v>0</v>
      </c>
      <c r="AV204" s="10">
        <f t="shared" ca="1" si="321"/>
        <v>0</v>
      </c>
      <c r="AW204" s="10">
        <f t="shared" ca="1" si="321"/>
        <v>0</v>
      </c>
      <c r="AX204" s="10">
        <f t="shared" ca="1" si="321"/>
        <v>0</v>
      </c>
      <c r="AY204" s="10">
        <f t="shared" ca="1" si="321"/>
        <v>0</v>
      </c>
      <c r="AZ204" s="10">
        <f t="shared" ca="1" si="321"/>
        <v>0</v>
      </c>
      <c r="BA204" s="10">
        <f t="shared" ca="1" si="321"/>
        <v>0</v>
      </c>
      <c r="BB204" s="10">
        <f t="shared" ca="1" si="321"/>
        <v>0</v>
      </c>
      <c r="BC204" s="10">
        <f t="shared" ca="1" si="321"/>
        <v>0</v>
      </c>
      <c r="BD204" s="10">
        <f t="shared" ca="1" si="321"/>
        <v>0</v>
      </c>
      <c r="BE204" s="10">
        <f t="shared" ca="1" si="321"/>
        <v>0</v>
      </c>
      <c r="BF204" s="10">
        <f t="shared" ca="1" si="321"/>
        <v>0</v>
      </c>
      <c r="BG204" s="10">
        <f t="shared" ca="1" si="321"/>
        <v>0</v>
      </c>
      <c r="BH204" s="10">
        <f t="shared" ca="1" si="321"/>
        <v>0</v>
      </c>
      <c r="BI204" s="10">
        <f t="shared" ca="1" si="321"/>
        <v>0</v>
      </c>
      <c r="BJ204" s="10">
        <f t="shared" ca="1" si="321"/>
        <v>0</v>
      </c>
      <c r="BK204" s="10">
        <f t="shared" ca="1" si="321"/>
        <v>0</v>
      </c>
      <c r="BL204" s="10">
        <f t="shared" ca="1" si="321"/>
        <v>0</v>
      </c>
      <c r="BM204" s="10">
        <f t="shared" ca="1" si="321"/>
        <v>0</v>
      </c>
      <c r="BN204" s="10">
        <f t="shared" ca="1" si="321"/>
        <v>0</v>
      </c>
      <c r="BO204" s="10">
        <f t="shared" ca="1" si="321"/>
        <v>0</v>
      </c>
      <c r="BP204" s="10">
        <f t="shared" ca="1" si="321"/>
        <v>0</v>
      </c>
      <c r="BQ204" s="10">
        <f t="shared" ca="1" si="321"/>
        <v>0</v>
      </c>
      <c r="BR204" s="10">
        <f t="shared" ca="1" si="321"/>
        <v>0</v>
      </c>
      <c r="BS204" s="10">
        <f t="shared" ca="1" si="321"/>
        <v>0</v>
      </c>
      <c r="BT204" s="10">
        <f t="shared" ca="1" si="321"/>
        <v>0</v>
      </c>
      <c r="BU204" s="10">
        <f t="shared" ca="1" si="321"/>
        <v>0</v>
      </c>
      <c r="BV204" s="10">
        <f t="shared" ca="1" si="321"/>
        <v>0</v>
      </c>
      <c r="BW204" s="10">
        <f t="shared" ca="1" si="321"/>
        <v>0</v>
      </c>
      <c r="BX204" s="10">
        <f t="shared" ref="BX204:CO204" ca="1" si="322" xml:space="preserve"> BX192 * CAPEX_Accumulated_From_Date</f>
        <v>0</v>
      </c>
      <c r="BY204" s="10">
        <f t="shared" ca="1" si="322"/>
        <v>0</v>
      </c>
      <c r="BZ204" s="10">
        <f t="shared" ca="1" si="322"/>
        <v>0</v>
      </c>
      <c r="CA204" s="10">
        <f t="shared" ca="1" si="322"/>
        <v>0</v>
      </c>
      <c r="CB204" s="10">
        <f t="shared" ca="1" si="322"/>
        <v>0</v>
      </c>
      <c r="CC204" s="10">
        <f t="shared" ca="1" si="322"/>
        <v>0</v>
      </c>
      <c r="CD204" s="10">
        <f t="shared" ca="1" si="322"/>
        <v>0</v>
      </c>
      <c r="CE204" s="10">
        <f t="shared" ca="1" si="322"/>
        <v>0</v>
      </c>
      <c r="CF204" s="10">
        <f t="shared" ca="1" si="322"/>
        <v>0</v>
      </c>
      <c r="CG204" s="10">
        <f t="shared" ca="1" si="322"/>
        <v>0</v>
      </c>
      <c r="CH204" s="10">
        <f t="shared" ca="1" si="322"/>
        <v>0</v>
      </c>
      <c r="CI204" s="10">
        <f t="shared" ca="1" si="322"/>
        <v>0</v>
      </c>
      <c r="CJ204" s="10">
        <f t="shared" ca="1" si="322"/>
        <v>0</v>
      </c>
      <c r="CK204" s="10">
        <f t="shared" ca="1" si="322"/>
        <v>0</v>
      </c>
      <c r="CL204" s="10">
        <f t="shared" ca="1" si="322"/>
        <v>0</v>
      </c>
      <c r="CM204" s="10">
        <f t="shared" ca="1" si="322"/>
        <v>0</v>
      </c>
      <c r="CN204" s="10">
        <f t="shared" ca="1" si="322"/>
        <v>0</v>
      </c>
      <c r="CO204" s="10">
        <f t="shared" ca="1" si="322"/>
        <v>0</v>
      </c>
    </row>
    <row r="205" spans="1:93">
      <c r="A205" s="9"/>
      <c r="B205" s="168"/>
      <c r="C205" s="17" t="s">
        <v>632</v>
      </c>
      <c r="D205" s="10"/>
      <c r="E205" s="62"/>
      <c r="F205" s="11"/>
      <c r="G205" s="11" t="str">
        <f t="shared" si="318"/>
        <v>тыс. руб.</v>
      </c>
      <c r="H205" s="10"/>
      <c r="I205" s="23">
        <f t="shared" ca="1" si="319"/>
        <v>0</v>
      </c>
      <c r="J205" s="10"/>
      <c r="K205" s="10"/>
      <c r="L205" s="10">
        <f t="shared" ref="L205:AQ205" ca="1" si="323" xml:space="preserve"> L193 * CAPEX_Accumulated_From_Date</f>
        <v>0</v>
      </c>
      <c r="M205" s="10">
        <f t="shared" ca="1" si="323"/>
        <v>0</v>
      </c>
      <c r="N205" s="10">
        <f t="shared" ca="1" si="323"/>
        <v>0</v>
      </c>
      <c r="O205" s="10">
        <f t="shared" ca="1" si="323"/>
        <v>0</v>
      </c>
      <c r="P205" s="10">
        <f t="shared" ca="1" si="323"/>
        <v>0</v>
      </c>
      <c r="Q205" s="10">
        <f t="shared" ca="1" si="323"/>
        <v>0</v>
      </c>
      <c r="R205" s="10">
        <f t="shared" ca="1" si="323"/>
        <v>0</v>
      </c>
      <c r="S205" s="10">
        <f t="shared" ca="1" si="323"/>
        <v>0</v>
      </c>
      <c r="T205" s="10">
        <f t="shared" ca="1" si="323"/>
        <v>0</v>
      </c>
      <c r="U205" s="10">
        <f t="shared" ca="1" si="323"/>
        <v>0</v>
      </c>
      <c r="V205" s="10">
        <f t="shared" ca="1" si="323"/>
        <v>0</v>
      </c>
      <c r="W205" s="10">
        <f t="shared" ca="1" si="323"/>
        <v>0</v>
      </c>
      <c r="X205" s="10">
        <f t="shared" ca="1" si="323"/>
        <v>0</v>
      </c>
      <c r="Y205" s="10">
        <f t="shared" ca="1" si="323"/>
        <v>0</v>
      </c>
      <c r="Z205" s="10">
        <f t="shared" ca="1" si="323"/>
        <v>0</v>
      </c>
      <c r="AA205" s="10">
        <f t="shared" ca="1" si="323"/>
        <v>0</v>
      </c>
      <c r="AB205" s="10">
        <f t="shared" ca="1" si="323"/>
        <v>0</v>
      </c>
      <c r="AC205" s="10">
        <f t="shared" ca="1" si="323"/>
        <v>0</v>
      </c>
      <c r="AD205" s="10">
        <f t="shared" ca="1" si="323"/>
        <v>0</v>
      </c>
      <c r="AE205" s="10">
        <f t="shared" ca="1" si="323"/>
        <v>0</v>
      </c>
      <c r="AF205" s="10">
        <f t="shared" ca="1" si="323"/>
        <v>0</v>
      </c>
      <c r="AG205" s="10">
        <f t="shared" ca="1" si="323"/>
        <v>0</v>
      </c>
      <c r="AH205" s="10">
        <f t="shared" ca="1" si="323"/>
        <v>0</v>
      </c>
      <c r="AI205" s="10">
        <f t="shared" ca="1" si="323"/>
        <v>0</v>
      </c>
      <c r="AJ205" s="10">
        <f t="shared" ca="1" si="323"/>
        <v>0</v>
      </c>
      <c r="AK205" s="10">
        <f t="shared" ca="1" si="323"/>
        <v>0</v>
      </c>
      <c r="AL205" s="10">
        <f t="shared" ca="1" si="323"/>
        <v>0</v>
      </c>
      <c r="AM205" s="10">
        <f t="shared" ca="1" si="323"/>
        <v>0</v>
      </c>
      <c r="AN205" s="10">
        <f t="shared" ca="1" si="323"/>
        <v>0</v>
      </c>
      <c r="AO205" s="10">
        <f t="shared" ca="1" si="323"/>
        <v>0</v>
      </c>
      <c r="AP205" s="10">
        <f t="shared" ca="1" si="323"/>
        <v>0</v>
      </c>
      <c r="AQ205" s="10">
        <f t="shared" ca="1" si="323"/>
        <v>0</v>
      </c>
      <c r="AR205" s="10">
        <f t="shared" ref="AR205:BW205" ca="1" si="324" xml:space="preserve"> AR193 * CAPEX_Accumulated_From_Date</f>
        <v>0</v>
      </c>
      <c r="AS205" s="10">
        <f t="shared" ca="1" si="324"/>
        <v>0</v>
      </c>
      <c r="AT205" s="10">
        <f t="shared" ca="1" si="324"/>
        <v>0</v>
      </c>
      <c r="AU205" s="10">
        <f t="shared" ca="1" si="324"/>
        <v>0</v>
      </c>
      <c r="AV205" s="10">
        <f t="shared" ca="1" si="324"/>
        <v>0</v>
      </c>
      <c r="AW205" s="10">
        <f t="shared" ca="1" si="324"/>
        <v>0</v>
      </c>
      <c r="AX205" s="10">
        <f t="shared" ca="1" si="324"/>
        <v>0</v>
      </c>
      <c r="AY205" s="10">
        <f t="shared" ca="1" si="324"/>
        <v>0</v>
      </c>
      <c r="AZ205" s="10">
        <f t="shared" ca="1" si="324"/>
        <v>0</v>
      </c>
      <c r="BA205" s="10">
        <f t="shared" ca="1" si="324"/>
        <v>0</v>
      </c>
      <c r="BB205" s="10">
        <f t="shared" ca="1" si="324"/>
        <v>0</v>
      </c>
      <c r="BC205" s="10">
        <f t="shared" ca="1" si="324"/>
        <v>0</v>
      </c>
      <c r="BD205" s="10">
        <f t="shared" ca="1" si="324"/>
        <v>0</v>
      </c>
      <c r="BE205" s="10">
        <f t="shared" ca="1" si="324"/>
        <v>0</v>
      </c>
      <c r="BF205" s="10">
        <f t="shared" ca="1" si="324"/>
        <v>0</v>
      </c>
      <c r="BG205" s="10">
        <f t="shared" ca="1" si="324"/>
        <v>0</v>
      </c>
      <c r="BH205" s="10">
        <f t="shared" ca="1" si="324"/>
        <v>0</v>
      </c>
      <c r="BI205" s="10">
        <f t="shared" ca="1" si="324"/>
        <v>0</v>
      </c>
      <c r="BJ205" s="10">
        <f t="shared" ca="1" si="324"/>
        <v>0</v>
      </c>
      <c r="BK205" s="10">
        <f t="shared" ca="1" si="324"/>
        <v>0</v>
      </c>
      <c r="BL205" s="10">
        <f t="shared" ca="1" si="324"/>
        <v>0</v>
      </c>
      <c r="BM205" s="10">
        <f t="shared" ca="1" si="324"/>
        <v>0</v>
      </c>
      <c r="BN205" s="10">
        <f t="shared" ca="1" si="324"/>
        <v>0</v>
      </c>
      <c r="BO205" s="10">
        <f t="shared" ca="1" si="324"/>
        <v>0</v>
      </c>
      <c r="BP205" s="10">
        <f t="shared" ca="1" si="324"/>
        <v>0</v>
      </c>
      <c r="BQ205" s="10">
        <f t="shared" ca="1" si="324"/>
        <v>0</v>
      </c>
      <c r="BR205" s="10">
        <f t="shared" ca="1" si="324"/>
        <v>0</v>
      </c>
      <c r="BS205" s="10">
        <f t="shared" ca="1" si="324"/>
        <v>0</v>
      </c>
      <c r="BT205" s="10">
        <f t="shared" ca="1" si="324"/>
        <v>0</v>
      </c>
      <c r="BU205" s="10">
        <f t="shared" ca="1" si="324"/>
        <v>0</v>
      </c>
      <c r="BV205" s="10">
        <f t="shared" ca="1" si="324"/>
        <v>0</v>
      </c>
      <c r="BW205" s="10">
        <f t="shared" ca="1" si="324"/>
        <v>0</v>
      </c>
      <c r="BX205" s="10">
        <f t="shared" ref="BX205:CO205" ca="1" si="325" xml:space="preserve"> BX193 * CAPEX_Accumulated_From_Date</f>
        <v>0</v>
      </c>
      <c r="BY205" s="10">
        <f t="shared" ca="1" si="325"/>
        <v>0</v>
      </c>
      <c r="BZ205" s="10">
        <f t="shared" ca="1" si="325"/>
        <v>0</v>
      </c>
      <c r="CA205" s="10">
        <f t="shared" ca="1" si="325"/>
        <v>0</v>
      </c>
      <c r="CB205" s="10">
        <f t="shared" ca="1" si="325"/>
        <v>0</v>
      </c>
      <c r="CC205" s="10">
        <f t="shared" ca="1" si="325"/>
        <v>0</v>
      </c>
      <c r="CD205" s="10">
        <f t="shared" ca="1" si="325"/>
        <v>0</v>
      </c>
      <c r="CE205" s="10">
        <f t="shared" ca="1" si="325"/>
        <v>0</v>
      </c>
      <c r="CF205" s="10">
        <f t="shared" ca="1" si="325"/>
        <v>0</v>
      </c>
      <c r="CG205" s="10">
        <f t="shared" ca="1" si="325"/>
        <v>0</v>
      </c>
      <c r="CH205" s="10">
        <f t="shared" ca="1" si="325"/>
        <v>0</v>
      </c>
      <c r="CI205" s="10">
        <f t="shared" ca="1" si="325"/>
        <v>0</v>
      </c>
      <c r="CJ205" s="10">
        <f t="shared" ca="1" si="325"/>
        <v>0</v>
      </c>
      <c r="CK205" s="10">
        <f t="shared" ca="1" si="325"/>
        <v>0</v>
      </c>
      <c r="CL205" s="10">
        <f t="shared" ca="1" si="325"/>
        <v>0</v>
      </c>
      <c r="CM205" s="10">
        <f t="shared" ca="1" si="325"/>
        <v>0</v>
      </c>
      <c r="CN205" s="10">
        <f t="shared" ca="1" si="325"/>
        <v>0</v>
      </c>
      <c r="CO205" s="10">
        <f t="shared" ca="1" si="325"/>
        <v>0</v>
      </c>
    </row>
    <row r="206" spans="1:93">
      <c r="A206" s="9"/>
      <c r="B206" s="168"/>
      <c r="C206" s="17" t="s">
        <v>631</v>
      </c>
      <c r="D206" s="10"/>
      <c r="E206" s="62"/>
      <c r="F206" s="11"/>
      <c r="G206" s="11" t="str">
        <f t="shared" si="318"/>
        <v>тыс. руб.</v>
      </c>
      <c r="H206" s="10"/>
      <c r="I206" s="23">
        <f t="shared" ca="1" si="319"/>
        <v>1849687.8618251684</v>
      </c>
      <c r="J206" s="10"/>
      <c r="K206" s="10"/>
      <c r="L206" s="10">
        <f t="shared" ref="L206:AQ206" ca="1" si="326" xml:space="preserve"> L194 * CAPEX_Accumulated_From_Date</f>
        <v>0</v>
      </c>
      <c r="M206" s="10">
        <f t="shared" ca="1" si="326"/>
        <v>0</v>
      </c>
      <c r="N206" s="10">
        <f t="shared" ca="1" si="326"/>
        <v>0</v>
      </c>
      <c r="O206" s="10">
        <f t="shared" ca="1" si="326"/>
        <v>0</v>
      </c>
      <c r="P206" s="10">
        <f t="shared" ca="1" si="326"/>
        <v>145964.62143817527</v>
      </c>
      <c r="Q206" s="10">
        <f t="shared" ca="1" si="326"/>
        <v>147402.87019497194</v>
      </c>
      <c r="R206" s="10">
        <f t="shared" ca="1" si="326"/>
        <v>148855.29060148791</v>
      </c>
      <c r="S206" s="10">
        <f t="shared" ca="1" si="326"/>
        <v>150322.0222967492</v>
      </c>
      <c r="T206" s="10">
        <f t="shared" ca="1" si="326"/>
        <v>151803.20629570226</v>
      </c>
      <c r="U206" s="10">
        <f t="shared" ca="1" si="326"/>
        <v>153298.98500277082</v>
      </c>
      <c r="V206" s="10">
        <f t="shared" ca="1" si="326"/>
        <v>154809.50222554733</v>
      </c>
      <c r="W206" s="10">
        <f t="shared" ca="1" si="326"/>
        <v>156334.90318861915</v>
      </c>
      <c r="X206" s="10">
        <f t="shared" ca="1" si="326"/>
        <v>157875.33454753025</v>
      </c>
      <c r="Y206" s="10">
        <f t="shared" ca="1" si="326"/>
        <v>159430.94440288158</v>
      </c>
      <c r="Z206" s="10">
        <f t="shared" ca="1" si="326"/>
        <v>161001.88231456917</v>
      </c>
      <c r="AA206" s="10">
        <f t="shared" ca="1" si="326"/>
        <v>162588.29931616373</v>
      </c>
      <c r="AB206" s="10">
        <f t="shared" ca="1" si="326"/>
        <v>0</v>
      </c>
      <c r="AC206" s="10">
        <f t="shared" ca="1" si="326"/>
        <v>0</v>
      </c>
      <c r="AD206" s="10">
        <f t="shared" ca="1" si="326"/>
        <v>0</v>
      </c>
      <c r="AE206" s="10">
        <f t="shared" ca="1" si="326"/>
        <v>0</v>
      </c>
      <c r="AF206" s="10">
        <f t="shared" ca="1" si="326"/>
        <v>0</v>
      </c>
      <c r="AG206" s="10">
        <f t="shared" ca="1" si="326"/>
        <v>0</v>
      </c>
      <c r="AH206" s="10">
        <f t="shared" ca="1" si="326"/>
        <v>0</v>
      </c>
      <c r="AI206" s="10">
        <f t="shared" ca="1" si="326"/>
        <v>0</v>
      </c>
      <c r="AJ206" s="10">
        <f t="shared" ca="1" si="326"/>
        <v>0</v>
      </c>
      <c r="AK206" s="10">
        <f t="shared" ca="1" si="326"/>
        <v>0</v>
      </c>
      <c r="AL206" s="10">
        <f t="shared" ca="1" si="326"/>
        <v>0</v>
      </c>
      <c r="AM206" s="10">
        <f t="shared" ca="1" si="326"/>
        <v>0</v>
      </c>
      <c r="AN206" s="10">
        <f t="shared" ca="1" si="326"/>
        <v>0</v>
      </c>
      <c r="AO206" s="10">
        <f t="shared" ca="1" si="326"/>
        <v>0</v>
      </c>
      <c r="AP206" s="10">
        <f t="shared" ca="1" si="326"/>
        <v>0</v>
      </c>
      <c r="AQ206" s="10">
        <f t="shared" ca="1" si="326"/>
        <v>0</v>
      </c>
      <c r="AR206" s="10">
        <f t="shared" ref="AR206:BW206" ca="1" si="327" xml:space="preserve"> AR194 * CAPEX_Accumulated_From_Date</f>
        <v>0</v>
      </c>
      <c r="AS206" s="10">
        <f t="shared" ca="1" si="327"/>
        <v>0</v>
      </c>
      <c r="AT206" s="10">
        <f t="shared" ca="1" si="327"/>
        <v>0</v>
      </c>
      <c r="AU206" s="10">
        <f t="shared" ca="1" si="327"/>
        <v>0</v>
      </c>
      <c r="AV206" s="10">
        <f t="shared" ca="1" si="327"/>
        <v>0</v>
      </c>
      <c r="AW206" s="10">
        <f t="shared" ca="1" si="327"/>
        <v>0</v>
      </c>
      <c r="AX206" s="10">
        <f t="shared" ca="1" si="327"/>
        <v>0</v>
      </c>
      <c r="AY206" s="10">
        <f t="shared" ca="1" si="327"/>
        <v>0</v>
      </c>
      <c r="AZ206" s="10">
        <f t="shared" ca="1" si="327"/>
        <v>0</v>
      </c>
      <c r="BA206" s="10">
        <f t="shared" ca="1" si="327"/>
        <v>0</v>
      </c>
      <c r="BB206" s="10">
        <f t="shared" ca="1" si="327"/>
        <v>0</v>
      </c>
      <c r="BC206" s="10">
        <f t="shared" ca="1" si="327"/>
        <v>0</v>
      </c>
      <c r="BD206" s="10">
        <f t="shared" ca="1" si="327"/>
        <v>0</v>
      </c>
      <c r="BE206" s="10">
        <f t="shared" ca="1" si="327"/>
        <v>0</v>
      </c>
      <c r="BF206" s="10">
        <f t="shared" ca="1" si="327"/>
        <v>0</v>
      </c>
      <c r="BG206" s="10">
        <f t="shared" ca="1" si="327"/>
        <v>0</v>
      </c>
      <c r="BH206" s="10">
        <f t="shared" ca="1" si="327"/>
        <v>0</v>
      </c>
      <c r="BI206" s="10">
        <f t="shared" ca="1" si="327"/>
        <v>0</v>
      </c>
      <c r="BJ206" s="10">
        <f t="shared" ca="1" si="327"/>
        <v>0</v>
      </c>
      <c r="BK206" s="10">
        <f t="shared" ca="1" si="327"/>
        <v>0</v>
      </c>
      <c r="BL206" s="10">
        <f t="shared" ca="1" si="327"/>
        <v>0</v>
      </c>
      <c r="BM206" s="10">
        <f t="shared" ca="1" si="327"/>
        <v>0</v>
      </c>
      <c r="BN206" s="10">
        <f t="shared" ca="1" si="327"/>
        <v>0</v>
      </c>
      <c r="BO206" s="10">
        <f t="shared" ca="1" si="327"/>
        <v>0</v>
      </c>
      <c r="BP206" s="10">
        <f t="shared" ca="1" si="327"/>
        <v>0</v>
      </c>
      <c r="BQ206" s="10">
        <f t="shared" ca="1" si="327"/>
        <v>0</v>
      </c>
      <c r="BR206" s="10">
        <f t="shared" ca="1" si="327"/>
        <v>0</v>
      </c>
      <c r="BS206" s="10">
        <f t="shared" ca="1" si="327"/>
        <v>0</v>
      </c>
      <c r="BT206" s="10">
        <f t="shared" ca="1" si="327"/>
        <v>0</v>
      </c>
      <c r="BU206" s="10">
        <f t="shared" ca="1" si="327"/>
        <v>0</v>
      </c>
      <c r="BV206" s="10">
        <f t="shared" ca="1" si="327"/>
        <v>0</v>
      </c>
      <c r="BW206" s="10">
        <f t="shared" ca="1" si="327"/>
        <v>0</v>
      </c>
      <c r="BX206" s="10">
        <f t="shared" ref="BX206:CO206" ca="1" si="328" xml:space="preserve"> BX194 * CAPEX_Accumulated_From_Date</f>
        <v>0</v>
      </c>
      <c r="BY206" s="10">
        <f t="shared" ca="1" si="328"/>
        <v>0</v>
      </c>
      <c r="BZ206" s="10">
        <f t="shared" ca="1" si="328"/>
        <v>0</v>
      </c>
      <c r="CA206" s="10">
        <f t="shared" ca="1" si="328"/>
        <v>0</v>
      </c>
      <c r="CB206" s="10">
        <f t="shared" ca="1" si="328"/>
        <v>0</v>
      </c>
      <c r="CC206" s="10">
        <f t="shared" ca="1" si="328"/>
        <v>0</v>
      </c>
      <c r="CD206" s="10">
        <f t="shared" ca="1" si="328"/>
        <v>0</v>
      </c>
      <c r="CE206" s="10">
        <f t="shared" ca="1" si="328"/>
        <v>0</v>
      </c>
      <c r="CF206" s="10">
        <f t="shared" ca="1" si="328"/>
        <v>0</v>
      </c>
      <c r="CG206" s="10">
        <f t="shared" ca="1" si="328"/>
        <v>0</v>
      </c>
      <c r="CH206" s="10">
        <f t="shared" ca="1" si="328"/>
        <v>0</v>
      </c>
      <c r="CI206" s="10">
        <f t="shared" ca="1" si="328"/>
        <v>0</v>
      </c>
      <c r="CJ206" s="10">
        <f t="shared" ca="1" si="328"/>
        <v>0</v>
      </c>
      <c r="CK206" s="10">
        <f t="shared" ca="1" si="328"/>
        <v>0</v>
      </c>
      <c r="CL206" s="10">
        <f t="shared" ca="1" si="328"/>
        <v>0</v>
      </c>
      <c r="CM206" s="10">
        <f t="shared" ca="1" si="328"/>
        <v>0</v>
      </c>
      <c r="CN206" s="10">
        <f t="shared" ca="1" si="328"/>
        <v>0</v>
      </c>
      <c r="CO206" s="10">
        <f t="shared" ca="1" si="328"/>
        <v>0</v>
      </c>
    </row>
    <row r="207" spans="1:93">
      <c r="A207" s="9"/>
      <c r="B207" s="168"/>
      <c r="C207" s="17" t="s">
        <v>633</v>
      </c>
      <c r="D207" s="10"/>
      <c r="E207" s="62"/>
      <c r="F207" s="11"/>
      <c r="G207" s="11" t="str">
        <f t="shared" si="318"/>
        <v>тыс. руб.</v>
      </c>
      <c r="H207" s="10"/>
      <c r="I207" s="23">
        <f t="shared" ca="1" si="319"/>
        <v>594047.59928800585</v>
      </c>
      <c r="J207" s="10"/>
      <c r="K207" s="10"/>
      <c r="L207" s="10">
        <f t="shared" ref="L207:AQ207" ca="1" si="329" xml:space="preserve"> L195 * CAPEX_Accumulated_From_Date</f>
        <v>0</v>
      </c>
      <c r="M207" s="10">
        <f t="shared" ca="1" si="329"/>
        <v>0</v>
      </c>
      <c r="N207" s="10">
        <f t="shared" ca="1" si="329"/>
        <v>0</v>
      </c>
      <c r="O207" s="10">
        <f t="shared" ca="1" si="329"/>
        <v>0</v>
      </c>
      <c r="P207" s="10">
        <f t="shared" ca="1" si="329"/>
        <v>0</v>
      </c>
      <c r="Q207" s="10">
        <f t="shared" ca="1" si="329"/>
        <v>0</v>
      </c>
      <c r="R207" s="10">
        <f t="shared" ca="1" si="329"/>
        <v>0</v>
      </c>
      <c r="S207" s="10">
        <f t="shared" ca="1" si="329"/>
        <v>0</v>
      </c>
      <c r="T207" s="10">
        <f t="shared" ca="1" si="329"/>
        <v>0</v>
      </c>
      <c r="U207" s="10">
        <f t="shared" ca="1" si="329"/>
        <v>0</v>
      </c>
      <c r="V207" s="10">
        <f t="shared" ca="1" si="329"/>
        <v>0</v>
      </c>
      <c r="W207" s="10">
        <f t="shared" ca="1" si="329"/>
        <v>0</v>
      </c>
      <c r="X207" s="10">
        <f t="shared" ca="1" si="329"/>
        <v>146334.81263059154</v>
      </c>
      <c r="Y207" s="10">
        <f t="shared" ca="1" si="329"/>
        <v>147776.70903170793</v>
      </c>
      <c r="Z207" s="10">
        <f t="shared" ca="1" si="329"/>
        <v>149232.81302426601</v>
      </c>
      <c r="AA207" s="10">
        <f t="shared" ca="1" si="329"/>
        <v>150703.26460144034</v>
      </c>
      <c r="AB207" s="10">
        <f t="shared" ca="1" si="329"/>
        <v>0</v>
      </c>
      <c r="AC207" s="10">
        <f t="shared" ca="1" si="329"/>
        <v>0</v>
      </c>
      <c r="AD207" s="10">
        <f t="shared" ca="1" si="329"/>
        <v>0</v>
      </c>
      <c r="AE207" s="10">
        <f t="shared" ca="1" si="329"/>
        <v>0</v>
      </c>
      <c r="AF207" s="10">
        <f t="shared" ca="1" si="329"/>
        <v>0</v>
      </c>
      <c r="AG207" s="10">
        <f t="shared" ca="1" si="329"/>
        <v>0</v>
      </c>
      <c r="AH207" s="10">
        <f t="shared" ca="1" si="329"/>
        <v>0</v>
      </c>
      <c r="AI207" s="10">
        <f t="shared" ca="1" si="329"/>
        <v>0</v>
      </c>
      <c r="AJ207" s="10">
        <f t="shared" ca="1" si="329"/>
        <v>0</v>
      </c>
      <c r="AK207" s="10">
        <f t="shared" ca="1" si="329"/>
        <v>0</v>
      </c>
      <c r="AL207" s="10">
        <f t="shared" ca="1" si="329"/>
        <v>0</v>
      </c>
      <c r="AM207" s="10">
        <f t="shared" ca="1" si="329"/>
        <v>0</v>
      </c>
      <c r="AN207" s="10">
        <f t="shared" ca="1" si="329"/>
        <v>0</v>
      </c>
      <c r="AO207" s="10">
        <f t="shared" ca="1" si="329"/>
        <v>0</v>
      </c>
      <c r="AP207" s="10">
        <f t="shared" ca="1" si="329"/>
        <v>0</v>
      </c>
      <c r="AQ207" s="10">
        <f t="shared" ca="1" si="329"/>
        <v>0</v>
      </c>
      <c r="AR207" s="10">
        <f t="shared" ref="AR207:BW207" ca="1" si="330" xml:space="preserve"> AR195 * CAPEX_Accumulated_From_Date</f>
        <v>0</v>
      </c>
      <c r="AS207" s="10">
        <f t="shared" ca="1" si="330"/>
        <v>0</v>
      </c>
      <c r="AT207" s="10">
        <f t="shared" ca="1" si="330"/>
        <v>0</v>
      </c>
      <c r="AU207" s="10">
        <f t="shared" ca="1" si="330"/>
        <v>0</v>
      </c>
      <c r="AV207" s="10">
        <f t="shared" ca="1" si="330"/>
        <v>0</v>
      </c>
      <c r="AW207" s="10">
        <f t="shared" ca="1" si="330"/>
        <v>0</v>
      </c>
      <c r="AX207" s="10">
        <f t="shared" ca="1" si="330"/>
        <v>0</v>
      </c>
      <c r="AY207" s="10">
        <f t="shared" ca="1" si="330"/>
        <v>0</v>
      </c>
      <c r="AZ207" s="10">
        <f t="shared" ca="1" si="330"/>
        <v>0</v>
      </c>
      <c r="BA207" s="10">
        <f t="shared" ca="1" si="330"/>
        <v>0</v>
      </c>
      <c r="BB207" s="10">
        <f t="shared" ca="1" si="330"/>
        <v>0</v>
      </c>
      <c r="BC207" s="10">
        <f t="shared" ca="1" si="330"/>
        <v>0</v>
      </c>
      <c r="BD207" s="10">
        <f t="shared" ca="1" si="330"/>
        <v>0</v>
      </c>
      <c r="BE207" s="10">
        <f t="shared" ca="1" si="330"/>
        <v>0</v>
      </c>
      <c r="BF207" s="10">
        <f t="shared" ca="1" si="330"/>
        <v>0</v>
      </c>
      <c r="BG207" s="10">
        <f t="shared" ca="1" si="330"/>
        <v>0</v>
      </c>
      <c r="BH207" s="10">
        <f t="shared" ca="1" si="330"/>
        <v>0</v>
      </c>
      <c r="BI207" s="10">
        <f t="shared" ca="1" si="330"/>
        <v>0</v>
      </c>
      <c r="BJ207" s="10">
        <f t="shared" ca="1" si="330"/>
        <v>0</v>
      </c>
      <c r="BK207" s="10">
        <f t="shared" ca="1" si="330"/>
        <v>0</v>
      </c>
      <c r="BL207" s="10">
        <f t="shared" ca="1" si="330"/>
        <v>0</v>
      </c>
      <c r="BM207" s="10">
        <f t="shared" ca="1" si="330"/>
        <v>0</v>
      </c>
      <c r="BN207" s="10">
        <f t="shared" ca="1" si="330"/>
        <v>0</v>
      </c>
      <c r="BO207" s="10">
        <f t="shared" ca="1" si="330"/>
        <v>0</v>
      </c>
      <c r="BP207" s="10">
        <f t="shared" ca="1" si="330"/>
        <v>0</v>
      </c>
      <c r="BQ207" s="10">
        <f t="shared" ca="1" si="330"/>
        <v>0</v>
      </c>
      <c r="BR207" s="10">
        <f t="shared" ca="1" si="330"/>
        <v>0</v>
      </c>
      <c r="BS207" s="10">
        <f t="shared" ca="1" si="330"/>
        <v>0</v>
      </c>
      <c r="BT207" s="10">
        <f t="shared" ca="1" si="330"/>
        <v>0</v>
      </c>
      <c r="BU207" s="10">
        <f t="shared" ca="1" si="330"/>
        <v>0</v>
      </c>
      <c r="BV207" s="10">
        <f t="shared" ca="1" si="330"/>
        <v>0</v>
      </c>
      <c r="BW207" s="10">
        <f t="shared" ca="1" si="330"/>
        <v>0</v>
      </c>
      <c r="BX207" s="10">
        <f t="shared" ref="BX207:CO207" ca="1" si="331" xml:space="preserve"> BX195 * CAPEX_Accumulated_From_Date</f>
        <v>0</v>
      </c>
      <c r="BY207" s="10">
        <f t="shared" ca="1" si="331"/>
        <v>0</v>
      </c>
      <c r="BZ207" s="10">
        <f t="shared" ca="1" si="331"/>
        <v>0</v>
      </c>
      <c r="CA207" s="10">
        <f t="shared" ca="1" si="331"/>
        <v>0</v>
      </c>
      <c r="CB207" s="10">
        <f t="shared" ca="1" si="331"/>
        <v>0</v>
      </c>
      <c r="CC207" s="10">
        <f t="shared" ca="1" si="331"/>
        <v>0</v>
      </c>
      <c r="CD207" s="10">
        <f t="shared" ca="1" si="331"/>
        <v>0</v>
      </c>
      <c r="CE207" s="10">
        <f t="shared" ca="1" si="331"/>
        <v>0</v>
      </c>
      <c r="CF207" s="10">
        <f t="shared" ca="1" si="331"/>
        <v>0</v>
      </c>
      <c r="CG207" s="10">
        <f t="shared" ca="1" si="331"/>
        <v>0</v>
      </c>
      <c r="CH207" s="10">
        <f t="shared" ca="1" si="331"/>
        <v>0</v>
      </c>
      <c r="CI207" s="10">
        <f t="shared" ca="1" si="331"/>
        <v>0</v>
      </c>
      <c r="CJ207" s="10">
        <f t="shared" ca="1" si="331"/>
        <v>0</v>
      </c>
      <c r="CK207" s="10">
        <f t="shared" ca="1" si="331"/>
        <v>0</v>
      </c>
      <c r="CL207" s="10">
        <f t="shared" ca="1" si="331"/>
        <v>0</v>
      </c>
      <c r="CM207" s="10">
        <f t="shared" ca="1" si="331"/>
        <v>0</v>
      </c>
      <c r="CN207" s="10">
        <f t="shared" ca="1" si="331"/>
        <v>0</v>
      </c>
      <c r="CO207" s="10">
        <f t="shared" ca="1" si="331"/>
        <v>0</v>
      </c>
    </row>
    <row r="208" spans="1:93">
      <c r="A208" s="9"/>
      <c r="B208" s="168"/>
      <c r="C208" s="17" t="s">
        <v>634</v>
      </c>
      <c r="D208" s="10"/>
      <c r="E208" s="62"/>
      <c r="F208" s="11"/>
      <c r="G208" s="11" t="str">
        <f t="shared" si="318"/>
        <v>тыс. руб.</v>
      </c>
      <c r="H208" s="10"/>
      <c r="I208" s="23">
        <f t="shared" ca="1" si="319"/>
        <v>453265.197925093</v>
      </c>
      <c r="J208" s="10"/>
      <c r="K208" s="10"/>
      <c r="L208" s="10">
        <f t="shared" ref="L208:AQ208" ca="1" si="332" xml:space="preserve"> L196 * CAPEX_Accumulated_From_Date</f>
        <v>0</v>
      </c>
      <c r="M208" s="10">
        <f t="shared" ca="1" si="332"/>
        <v>0</v>
      </c>
      <c r="N208" s="10">
        <f t="shared" ca="1" si="332"/>
        <v>0</v>
      </c>
      <c r="O208" s="10">
        <f t="shared" ca="1" si="332"/>
        <v>0</v>
      </c>
      <c r="P208" s="10">
        <f t="shared" ca="1" si="332"/>
        <v>0</v>
      </c>
      <c r="Q208" s="10">
        <f t="shared" ca="1" si="332"/>
        <v>0</v>
      </c>
      <c r="R208" s="10">
        <f t="shared" ca="1" si="332"/>
        <v>0</v>
      </c>
      <c r="S208" s="10">
        <f t="shared" ca="1" si="332"/>
        <v>0</v>
      </c>
      <c r="T208" s="10">
        <f t="shared" ca="1" si="332"/>
        <v>0</v>
      </c>
      <c r="U208" s="10">
        <f t="shared" ca="1" si="332"/>
        <v>0</v>
      </c>
      <c r="V208" s="10">
        <f t="shared" ca="1" si="332"/>
        <v>0</v>
      </c>
      <c r="W208" s="10">
        <f t="shared" ca="1" si="332"/>
        <v>0</v>
      </c>
      <c r="X208" s="10">
        <f t="shared" ca="1" si="332"/>
        <v>0</v>
      </c>
      <c r="Y208" s="10">
        <f t="shared" ca="1" si="332"/>
        <v>0</v>
      </c>
      <c r="Z208" s="10">
        <f t="shared" ca="1" si="332"/>
        <v>0</v>
      </c>
      <c r="AA208" s="10">
        <f t="shared" ca="1" si="332"/>
        <v>0</v>
      </c>
      <c r="AB208" s="10">
        <f t="shared" ca="1" si="332"/>
        <v>453265.197925093</v>
      </c>
      <c r="AC208" s="10">
        <f t="shared" ca="1" si="332"/>
        <v>0</v>
      </c>
      <c r="AD208" s="10">
        <f t="shared" ca="1" si="332"/>
        <v>0</v>
      </c>
      <c r="AE208" s="10">
        <f t="shared" ca="1" si="332"/>
        <v>0</v>
      </c>
      <c r="AF208" s="10">
        <f t="shared" ca="1" si="332"/>
        <v>0</v>
      </c>
      <c r="AG208" s="10">
        <f t="shared" ca="1" si="332"/>
        <v>0</v>
      </c>
      <c r="AH208" s="10">
        <f t="shared" ca="1" si="332"/>
        <v>0</v>
      </c>
      <c r="AI208" s="10">
        <f t="shared" ca="1" si="332"/>
        <v>0</v>
      </c>
      <c r="AJ208" s="10">
        <f t="shared" ca="1" si="332"/>
        <v>0</v>
      </c>
      <c r="AK208" s="10">
        <f t="shared" ca="1" si="332"/>
        <v>0</v>
      </c>
      <c r="AL208" s="10">
        <f t="shared" ca="1" si="332"/>
        <v>0</v>
      </c>
      <c r="AM208" s="10">
        <f t="shared" ca="1" si="332"/>
        <v>0</v>
      </c>
      <c r="AN208" s="10">
        <f t="shared" ca="1" si="332"/>
        <v>0</v>
      </c>
      <c r="AO208" s="10">
        <f t="shared" ca="1" si="332"/>
        <v>0</v>
      </c>
      <c r="AP208" s="10">
        <f t="shared" ca="1" si="332"/>
        <v>0</v>
      </c>
      <c r="AQ208" s="10">
        <f t="shared" ca="1" si="332"/>
        <v>0</v>
      </c>
      <c r="AR208" s="10">
        <f t="shared" ref="AR208:BW208" ca="1" si="333" xml:space="preserve"> AR196 * CAPEX_Accumulated_From_Date</f>
        <v>0</v>
      </c>
      <c r="AS208" s="10">
        <f t="shared" ca="1" si="333"/>
        <v>0</v>
      </c>
      <c r="AT208" s="10">
        <f t="shared" ca="1" si="333"/>
        <v>0</v>
      </c>
      <c r="AU208" s="10">
        <f t="shared" ca="1" si="333"/>
        <v>0</v>
      </c>
      <c r="AV208" s="10">
        <f t="shared" ca="1" si="333"/>
        <v>0</v>
      </c>
      <c r="AW208" s="10">
        <f t="shared" ca="1" si="333"/>
        <v>0</v>
      </c>
      <c r="AX208" s="10">
        <f t="shared" ca="1" si="333"/>
        <v>0</v>
      </c>
      <c r="AY208" s="10">
        <f t="shared" ca="1" si="333"/>
        <v>0</v>
      </c>
      <c r="AZ208" s="10">
        <f t="shared" ca="1" si="333"/>
        <v>0</v>
      </c>
      <c r="BA208" s="10">
        <f t="shared" ca="1" si="333"/>
        <v>0</v>
      </c>
      <c r="BB208" s="10">
        <f t="shared" ca="1" si="333"/>
        <v>0</v>
      </c>
      <c r="BC208" s="10">
        <f t="shared" ca="1" si="333"/>
        <v>0</v>
      </c>
      <c r="BD208" s="10">
        <f t="shared" ca="1" si="333"/>
        <v>0</v>
      </c>
      <c r="BE208" s="10">
        <f t="shared" ca="1" si="333"/>
        <v>0</v>
      </c>
      <c r="BF208" s="10">
        <f t="shared" ca="1" si="333"/>
        <v>0</v>
      </c>
      <c r="BG208" s="10">
        <f t="shared" ca="1" si="333"/>
        <v>0</v>
      </c>
      <c r="BH208" s="10">
        <f t="shared" ca="1" si="333"/>
        <v>0</v>
      </c>
      <c r="BI208" s="10">
        <f t="shared" ca="1" si="333"/>
        <v>0</v>
      </c>
      <c r="BJ208" s="10">
        <f t="shared" ca="1" si="333"/>
        <v>0</v>
      </c>
      <c r="BK208" s="10">
        <f t="shared" ca="1" si="333"/>
        <v>0</v>
      </c>
      <c r="BL208" s="10">
        <f t="shared" ca="1" si="333"/>
        <v>0</v>
      </c>
      <c r="BM208" s="10">
        <f t="shared" ca="1" si="333"/>
        <v>0</v>
      </c>
      <c r="BN208" s="10">
        <f t="shared" ca="1" si="333"/>
        <v>0</v>
      </c>
      <c r="BO208" s="10">
        <f t="shared" ca="1" si="333"/>
        <v>0</v>
      </c>
      <c r="BP208" s="10">
        <f t="shared" ca="1" si="333"/>
        <v>0</v>
      </c>
      <c r="BQ208" s="10">
        <f t="shared" ca="1" si="333"/>
        <v>0</v>
      </c>
      <c r="BR208" s="10">
        <f t="shared" ca="1" si="333"/>
        <v>0</v>
      </c>
      <c r="BS208" s="10">
        <f t="shared" ca="1" si="333"/>
        <v>0</v>
      </c>
      <c r="BT208" s="10">
        <f t="shared" ca="1" si="333"/>
        <v>0</v>
      </c>
      <c r="BU208" s="10">
        <f t="shared" ca="1" si="333"/>
        <v>0</v>
      </c>
      <c r="BV208" s="10">
        <f t="shared" ca="1" si="333"/>
        <v>0</v>
      </c>
      <c r="BW208" s="10">
        <f t="shared" ca="1" si="333"/>
        <v>0</v>
      </c>
      <c r="BX208" s="10">
        <f t="shared" ref="BX208:CO208" ca="1" si="334" xml:space="preserve"> BX196 * CAPEX_Accumulated_From_Date</f>
        <v>0</v>
      </c>
      <c r="BY208" s="10">
        <f t="shared" ca="1" si="334"/>
        <v>0</v>
      </c>
      <c r="BZ208" s="10">
        <f t="shared" ca="1" si="334"/>
        <v>0</v>
      </c>
      <c r="CA208" s="10">
        <f t="shared" ca="1" si="334"/>
        <v>0</v>
      </c>
      <c r="CB208" s="10">
        <f t="shared" ca="1" si="334"/>
        <v>0</v>
      </c>
      <c r="CC208" s="10">
        <f t="shared" ca="1" si="334"/>
        <v>0</v>
      </c>
      <c r="CD208" s="10">
        <f t="shared" ca="1" si="334"/>
        <v>0</v>
      </c>
      <c r="CE208" s="10">
        <f t="shared" ca="1" si="334"/>
        <v>0</v>
      </c>
      <c r="CF208" s="10">
        <f t="shared" ca="1" si="334"/>
        <v>0</v>
      </c>
      <c r="CG208" s="10">
        <f t="shared" ca="1" si="334"/>
        <v>0</v>
      </c>
      <c r="CH208" s="10">
        <f t="shared" ca="1" si="334"/>
        <v>0</v>
      </c>
      <c r="CI208" s="10">
        <f t="shared" ca="1" si="334"/>
        <v>0</v>
      </c>
      <c r="CJ208" s="10">
        <f t="shared" ca="1" si="334"/>
        <v>0</v>
      </c>
      <c r="CK208" s="10">
        <f t="shared" ca="1" si="334"/>
        <v>0</v>
      </c>
      <c r="CL208" s="10">
        <f t="shared" ca="1" si="334"/>
        <v>0</v>
      </c>
      <c r="CM208" s="10">
        <f t="shared" ca="1" si="334"/>
        <v>0</v>
      </c>
      <c r="CN208" s="10">
        <f t="shared" ca="1" si="334"/>
        <v>0</v>
      </c>
      <c r="CO208" s="10">
        <f t="shared" ca="1" si="334"/>
        <v>0</v>
      </c>
    </row>
    <row r="209" spans="1:93">
      <c r="A209" s="9"/>
      <c r="B209" s="168"/>
      <c r="C209" s="17" t="s">
        <v>626</v>
      </c>
      <c r="D209" s="10"/>
      <c r="E209" s="62"/>
      <c r="F209" s="11"/>
      <c r="G209" s="11" t="str">
        <f t="shared" si="318"/>
        <v>тыс. руб.</v>
      </c>
      <c r="H209" s="10"/>
      <c r="I209" s="23">
        <f t="shared" ca="1" si="319"/>
        <v>94573.640407352534</v>
      </c>
      <c r="J209" s="10"/>
      <c r="K209" s="10"/>
      <c r="L209" s="10">
        <f t="shared" ref="L209:AQ209" ca="1" si="335" xml:space="preserve"> L197 * CAPEX_Accumulated_From_Date</f>
        <v>0</v>
      </c>
      <c r="M209" s="10">
        <f t="shared" ca="1" si="335"/>
        <v>0</v>
      </c>
      <c r="N209" s="10">
        <f t="shared" ca="1" si="335"/>
        <v>0</v>
      </c>
      <c r="O209" s="10">
        <f t="shared" ca="1" si="335"/>
        <v>0</v>
      </c>
      <c r="P209" s="10">
        <f t="shared" ca="1" si="335"/>
        <v>0</v>
      </c>
      <c r="Q209" s="10">
        <f t="shared" ca="1" si="335"/>
        <v>0</v>
      </c>
      <c r="R209" s="10">
        <f t="shared" ca="1" si="335"/>
        <v>0</v>
      </c>
      <c r="S209" s="10">
        <f t="shared" ca="1" si="335"/>
        <v>0</v>
      </c>
      <c r="T209" s="10">
        <f t="shared" ca="1" si="335"/>
        <v>0</v>
      </c>
      <c r="U209" s="10">
        <f t="shared" ca="1" si="335"/>
        <v>0</v>
      </c>
      <c r="V209" s="10">
        <f t="shared" ca="1" si="335"/>
        <v>0</v>
      </c>
      <c r="W209" s="10">
        <f t="shared" ca="1" si="335"/>
        <v>0</v>
      </c>
      <c r="X209" s="10">
        <f t="shared" ca="1" si="335"/>
        <v>0</v>
      </c>
      <c r="Y209" s="10">
        <f t="shared" ca="1" si="335"/>
        <v>0</v>
      </c>
      <c r="Z209" s="10">
        <f t="shared" ca="1" si="335"/>
        <v>0</v>
      </c>
      <c r="AA209" s="10">
        <f t="shared" ca="1" si="335"/>
        <v>0</v>
      </c>
      <c r="AB209" s="10">
        <f t="shared" ca="1" si="335"/>
        <v>94573.640407352534</v>
      </c>
      <c r="AC209" s="10">
        <f t="shared" ca="1" si="335"/>
        <v>0</v>
      </c>
      <c r="AD209" s="10">
        <f t="shared" ca="1" si="335"/>
        <v>0</v>
      </c>
      <c r="AE209" s="10">
        <f t="shared" ca="1" si="335"/>
        <v>0</v>
      </c>
      <c r="AF209" s="10">
        <f t="shared" ca="1" si="335"/>
        <v>0</v>
      </c>
      <c r="AG209" s="10">
        <f t="shared" ca="1" si="335"/>
        <v>0</v>
      </c>
      <c r="AH209" s="10">
        <f t="shared" ca="1" si="335"/>
        <v>0</v>
      </c>
      <c r="AI209" s="10">
        <f t="shared" ca="1" si="335"/>
        <v>0</v>
      </c>
      <c r="AJ209" s="10">
        <f t="shared" ca="1" si="335"/>
        <v>0</v>
      </c>
      <c r="AK209" s="10">
        <f t="shared" ca="1" si="335"/>
        <v>0</v>
      </c>
      <c r="AL209" s="10">
        <f t="shared" ca="1" si="335"/>
        <v>0</v>
      </c>
      <c r="AM209" s="10">
        <f t="shared" ca="1" si="335"/>
        <v>0</v>
      </c>
      <c r="AN209" s="10">
        <f t="shared" ca="1" si="335"/>
        <v>0</v>
      </c>
      <c r="AO209" s="10">
        <f t="shared" ca="1" si="335"/>
        <v>0</v>
      </c>
      <c r="AP209" s="10">
        <f t="shared" ca="1" si="335"/>
        <v>0</v>
      </c>
      <c r="AQ209" s="10">
        <f t="shared" ca="1" si="335"/>
        <v>0</v>
      </c>
      <c r="AR209" s="10">
        <f t="shared" ref="AR209:BW209" ca="1" si="336" xml:space="preserve"> AR197 * CAPEX_Accumulated_From_Date</f>
        <v>0</v>
      </c>
      <c r="AS209" s="10">
        <f t="shared" ca="1" si="336"/>
        <v>0</v>
      </c>
      <c r="AT209" s="10">
        <f t="shared" ca="1" si="336"/>
        <v>0</v>
      </c>
      <c r="AU209" s="10">
        <f t="shared" ca="1" si="336"/>
        <v>0</v>
      </c>
      <c r="AV209" s="10">
        <f t="shared" ca="1" si="336"/>
        <v>0</v>
      </c>
      <c r="AW209" s="10">
        <f t="shared" ca="1" si="336"/>
        <v>0</v>
      </c>
      <c r="AX209" s="10">
        <f t="shared" ca="1" si="336"/>
        <v>0</v>
      </c>
      <c r="AY209" s="10">
        <f t="shared" ca="1" si="336"/>
        <v>0</v>
      </c>
      <c r="AZ209" s="10">
        <f t="shared" ca="1" si="336"/>
        <v>0</v>
      </c>
      <c r="BA209" s="10">
        <f t="shared" ca="1" si="336"/>
        <v>0</v>
      </c>
      <c r="BB209" s="10">
        <f t="shared" ca="1" si="336"/>
        <v>0</v>
      </c>
      <c r="BC209" s="10">
        <f t="shared" ca="1" si="336"/>
        <v>0</v>
      </c>
      <c r="BD209" s="10">
        <f t="shared" ca="1" si="336"/>
        <v>0</v>
      </c>
      <c r="BE209" s="10">
        <f t="shared" ca="1" si="336"/>
        <v>0</v>
      </c>
      <c r="BF209" s="10">
        <f t="shared" ca="1" si="336"/>
        <v>0</v>
      </c>
      <c r="BG209" s="10">
        <f t="shared" ca="1" si="336"/>
        <v>0</v>
      </c>
      <c r="BH209" s="10">
        <f t="shared" ca="1" si="336"/>
        <v>0</v>
      </c>
      <c r="BI209" s="10">
        <f t="shared" ca="1" si="336"/>
        <v>0</v>
      </c>
      <c r="BJ209" s="10">
        <f t="shared" ca="1" si="336"/>
        <v>0</v>
      </c>
      <c r="BK209" s="10">
        <f t="shared" ca="1" si="336"/>
        <v>0</v>
      </c>
      <c r="BL209" s="10">
        <f t="shared" ca="1" si="336"/>
        <v>0</v>
      </c>
      <c r="BM209" s="10">
        <f t="shared" ca="1" si="336"/>
        <v>0</v>
      </c>
      <c r="BN209" s="10">
        <f t="shared" ca="1" si="336"/>
        <v>0</v>
      </c>
      <c r="BO209" s="10">
        <f t="shared" ca="1" si="336"/>
        <v>0</v>
      </c>
      <c r="BP209" s="10">
        <f t="shared" ca="1" si="336"/>
        <v>0</v>
      </c>
      <c r="BQ209" s="10">
        <f t="shared" ca="1" si="336"/>
        <v>0</v>
      </c>
      <c r="BR209" s="10">
        <f t="shared" ca="1" si="336"/>
        <v>0</v>
      </c>
      <c r="BS209" s="10">
        <f t="shared" ca="1" si="336"/>
        <v>0</v>
      </c>
      <c r="BT209" s="10">
        <f t="shared" ca="1" si="336"/>
        <v>0</v>
      </c>
      <c r="BU209" s="10">
        <f t="shared" ca="1" si="336"/>
        <v>0</v>
      </c>
      <c r="BV209" s="10">
        <f t="shared" ca="1" si="336"/>
        <v>0</v>
      </c>
      <c r="BW209" s="10">
        <f t="shared" ca="1" si="336"/>
        <v>0</v>
      </c>
      <c r="BX209" s="10">
        <f t="shared" ref="BX209:CO209" ca="1" si="337" xml:space="preserve"> BX197 * CAPEX_Accumulated_From_Date</f>
        <v>0</v>
      </c>
      <c r="BY209" s="10">
        <f t="shared" ca="1" si="337"/>
        <v>0</v>
      </c>
      <c r="BZ209" s="10">
        <f t="shared" ca="1" si="337"/>
        <v>0</v>
      </c>
      <c r="CA209" s="10">
        <f t="shared" ca="1" si="337"/>
        <v>0</v>
      </c>
      <c r="CB209" s="10">
        <f t="shared" ca="1" si="337"/>
        <v>0</v>
      </c>
      <c r="CC209" s="10">
        <f t="shared" ca="1" si="337"/>
        <v>0</v>
      </c>
      <c r="CD209" s="10">
        <f t="shared" ca="1" si="337"/>
        <v>0</v>
      </c>
      <c r="CE209" s="10">
        <f t="shared" ca="1" si="337"/>
        <v>0</v>
      </c>
      <c r="CF209" s="10">
        <f t="shared" ca="1" si="337"/>
        <v>0</v>
      </c>
      <c r="CG209" s="10">
        <f t="shared" ca="1" si="337"/>
        <v>0</v>
      </c>
      <c r="CH209" s="10">
        <f t="shared" ca="1" si="337"/>
        <v>0</v>
      </c>
      <c r="CI209" s="10">
        <f t="shared" ca="1" si="337"/>
        <v>0</v>
      </c>
      <c r="CJ209" s="10">
        <f t="shared" ca="1" si="337"/>
        <v>0</v>
      </c>
      <c r="CK209" s="10">
        <f t="shared" ca="1" si="337"/>
        <v>0</v>
      </c>
      <c r="CL209" s="10">
        <f t="shared" ca="1" si="337"/>
        <v>0</v>
      </c>
      <c r="CM209" s="10">
        <f t="shared" ca="1" si="337"/>
        <v>0</v>
      </c>
      <c r="CN209" s="10">
        <f t="shared" ca="1" si="337"/>
        <v>0</v>
      </c>
      <c r="CO209" s="10">
        <f t="shared" ca="1" si="337"/>
        <v>0</v>
      </c>
    </row>
    <row r="210" spans="1:93">
      <c r="A210" s="9"/>
      <c r="B210" s="168"/>
      <c r="C210" s="17" t="s">
        <v>627</v>
      </c>
      <c r="D210" s="10"/>
      <c r="E210" s="62"/>
      <c r="F210" s="11"/>
      <c r="G210" s="11" t="str">
        <f t="shared" si="318"/>
        <v>тыс. руб.</v>
      </c>
      <c r="H210" s="10"/>
      <c r="I210" s="23">
        <f t="shared" ca="1" si="319"/>
        <v>0</v>
      </c>
      <c r="J210" s="10"/>
      <c r="K210" s="10"/>
      <c r="L210" s="10">
        <f t="shared" ref="L210:AQ210" ca="1" si="338" xml:space="preserve"> L198 * CAPEX_Accumulated_From_Date</f>
        <v>0</v>
      </c>
      <c r="M210" s="10">
        <f t="shared" ca="1" si="338"/>
        <v>0</v>
      </c>
      <c r="N210" s="10">
        <f t="shared" ca="1" si="338"/>
        <v>0</v>
      </c>
      <c r="O210" s="10">
        <f t="shared" ca="1" si="338"/>
        <v>0</v>
      </c>
      <c r="P210" s="10">
        <f t="shared" ca="1" si="338"/>
        <v>0</v>
      </c>
      <c r="Q210" s="10">
        <f t="shared" ca="1" si="338"/>
        <v>0</v>
      </c>
      <c r="R210" s="10">
        <f t="shared" ca="1" si="338"/>
        <v>0</v>
      </c>
      <c r="S210" s="10">
        <f t="shared" ca="1" si="338"/>
        <v>0</v>
      </c>
      <c r="T210" s="10">
        <f t="shared" ca="1" si="338"/>
        <v>0</v>
      </c>
      <c r="U210" s="10">
        <f t="shared" ca="1" si="338"/>
        <v>0</v>
      </c>
      <c r="V210" s="10">
        <f t="shared" ca="1" si="338"/>
        <v>0</v>
      </c>
      <c r="W210" s="10">
        <f t="shared" ca="1" si="338"/>
        <v>0</v>
      </c>
      <c r="X210" s="10">
        <f t="shared" ca="1" si="338"/>
        <v>0</v>
      </c>
      <c r="Y210" s="10">
        <f t="shared" ca="1" si="338"/>
        <v>0</v>
      </c>
      <c r="Z210" s="10">
        <f t="shared" ca="1" si="338"/>
        <v>0</v>
      </c>
      <c r="AA210" s="10">
        <f t="shared" ca="1" si="338"/>
        <v>0</v>
      </c>
      <c r="AB210" s="10">
        <f t="shared" ca="1" si="338"/>
        <v>0</v>
      </c>
      <c r="AC210" s="10">
        <f t="shared" ca="1" si="338"/>
        <v>0</v>
      </c>
      <c r="AD210" s="10">
        <f t="shared" ca="1" si="338"/>
        <v>0</v>
      </c>
      <c r="AE210" s="10">
        <f t="shared" ca="1" si="338"/>
        <v>0</v>
      </c>
      <c r="AF210" s="10">
        <f t="shared" ca="1" si="338"/>
        <v>0</v>
      </c>
      <c r="AG210" s="10">
        <f t="shared" ca="1" si="338"/>
        <v>0</v>
      </c>
      <c r="AH210" s="10">
        <f t="shared" ca="1" si="338"/>
        <v>0</v>
      </c>
      <c r="AI210" s="10">
        <f t="shared" ca="1" si="338"/>
        <v>0</v>
      </c>
      <c r="AJ210" s="10">
        <f t="shared" ca="1" si="338"/>
        <v>0</v>
      </c>
      <c r="AK210" s="10">
        <f t="shared" ca="1" si="338"/>
        <v>0</v>
      </c>
      <c r="AL210" s="10">
        <f t="shared" ca="1" si="338"/>
        <v>0</v>
      </c>
      <c r="AM210" s="10">
        <f t="shared" ca="1" si="338"/>
        <v>0</v>
      </c>
      <c r="AN210" s="10">
        <f t="shared" ca="1" si="338"/>
        <v>0</v>
      </c>
      <c r="AO210" s="10">
        <f t="shared" ca="1" si="338"/>
        <v>0</v>
      </c>
      <c r="AP210" s="10">
        <f t="shared" ca="1" si="338"/>
        <v>0</v>
      </c>
      <c r="AQ210" s="10">
        <f t="shared" ca="1" si="338"/>
        <v>0</v>
      </c>
      <c r="AR210" s="10">
        <f t="shared" ref="AR210:BW210" ca="1" si="339" xml:space="preserve"> AR198 * CAPEX_Accumulated_From_Date</f>
        <v>0</v>
      </c>
      <c r="AS210" s="10">
        <f t="shared" ca="1" si="339"/>
        <v>0</v>
      </c>
      <c r="AT210" s="10">
        <f t="shared" ca="1" si="339"/>
        <v>0</v>
      </c>
      <c r="AU210" s="10">
        <f t="shared" ca="1" si="339"/>
        <v>0</v>
      </c>
      <c r="AV210" s="10">
        <f t="shared" ca="1" si="339"/>
        <v>0</v>
      </c>
      <c r="AW210" s="10">
        <f t="shared" ca="1" si="339"/>
        <v>0</v>
      </c>
      <c r="AX210" s="10">
        <f t="shared" ca="1" si="339"/>
        <v>0</v>
      </c>
      <c r="AY210" s="10">
        <f t="shared" ca="1" si="339"/>
        <v>0</v>
      </c>
      <c r="AZ210" s="10">
        <f t="shared" ca="1" si="339"/>
        <v>0</v>
      </c>
      <c r="BA210" s="10">
        <f t="shared" ca="1" si="339"/>
        <v>0</v>
      </c>
      <c r="BB210" s="10">
        <f t="shared" ca="1" si="339"/>
        <v>0</v>
      </c>
      <c r="BC210" s="10">
        <f t="shared" ca="1" si="339"/>
        <v>0</v>
      </c>
      <c r="BD210" s="10">
        <f t="shared" ca="1" si="339"/>
        <v>0</v>
      </c>
      <c r="BE210" s="10">
        <f t="shared" ca="1" si="339"/>
        <v>0</v>
      </c>
      <c r="BF210" s="10">
        <f t="shared" ca="1" si="339"/>
        <v>0</v>
      </c>
      <c r="BG210" s="10">
        <f t="shared" ca="1" si="339"/>
        <v>0</v>
      </c>
      <c r="BH210" s="10">
        <f t="shared" ca="1" si="339"/>
        <v>0</v>
      </c>
      <c r="BI210" s="10">
        <f t="shared" ca="1" si="339"/>
        <v>0</v>
      </c>
      <c r="BJ210" s="10">
        <f t="shared" ca="1" si="339"/>
        <v>0</v>
      </c>
      <c r="BK210" s="10">
        <f t="shared" ca="1" si="339"/>
        <v>0</v>
      </c>
      <c r="BL210" s="10">
        <f t="shared" ca="1" si="339"/>
        <v>0</v>
      </c>
      <c r="BM210" s="10">
        <f t="shared" ca="1" si="339"/>
        <v>0</v>
      </c>
      <c r="BN210" s="10">
        <f t="shared" ca="1" si="339"/>
        <v>0</v>
      </c>
      <c r="BO210" s="10">
        <f t="shared" ca="1" si="339"/>
        <v>0</v>
      </c>
      <c r="BP210" s="10">
        <f t="shared" ca="1" si="339"/>
        <v>0</v>
      </c>
      <c r="BQ210" s="10">
        <f t="shared" ca="1" si="339"/>
        <v>0</v>
      </c>
      <c r="BR210" s="10">
        <f t="shared" ca="1" si="339"/>
        <v>0</v>
      </c>
      <c r="BS210" s="10">
        <f t="shared" ca="1" si="339"/>
        <v>0</v>
      </c>
      <c r="BT210" s="10">
        <f t="shared" ca="1" si="339"/>
        <v>0</v>
      </c>
      <c r="BU210" s="10">
        <f t="shared" ca="1" si="339"/>
        <v>0</v>
      </c>
      <c r="BV210" s="10">
        <f t="shared" ca="1" si="339"/>
        <v>0</v>
      </c>
      <c r="BW210" s="10">
        <f t="shared" ca="1" si="339"/>
        <v>0</v>
      </c>
      <c r="BX210" s="10">
        <f t="shared" ref="BX210:CO210" ca="1" si="340" xml:space="preserve"> BX198 * CAPEX_Accumulated_From_Date</f>
        <v>0</v>
      </c>
      <c r="BY210" s="10">
        <f t="shared" ca="1" si="340"/>
        <v>0</v>
      </c>
      <c r="BZ210" s="10">
        <f t="shared" ca="1" si="340"/>
        <v>0</v>
      </c>
      <c r="CA210" s="10">
        <f t="shared" ca="1" si="340"/>
        <v>0</v>
      </c>
      <c r="CB210" s="10">
        <f t="shared" ca="1" si="340"/>
        <v>0</v>
      </c>
      <c r="CC210" s="10">
        <f t="shared" ca="1" si="340"/>
        <v>0</v>
      </c>
      <c r="CD210" s="10">
        <f t="shared" ca="1" si="340"/>
        <v>0</v>
      </c>
      <c r="CE210" s="10">
        <f t="shared" ca="1" si="340"/>
        <v>0</v>
      </c>
      <c r="CF210" s="10">
        <f t="shared" ca="1" si="340"/>
        <v>0</v>
      </c>
      <c r="CG210" s="10">
        <f t="shared" ca="1" si="340"/>
        <v>0</v>
      </c>
      <c r="CH210" s="10">
        <f t="shared" ca="1" si="340"/>
        <v>0</v>
      </c>
      <c r="CI210" s="10">
        <f t="shared" ca="1" si="340"/>
        <v>0</v>
      </c>
      <c r="CJ210" s="10">
        <f t="shared" ca="1" si="340"/>
        <v>0</v>
      </c>
      <c r="CK210" s="10">
        <f t="shared" ca="1" si="340"/>
        <v>0</v>
      </c>
      <c r="CL210" s="10">
        <f t="shared" ca="1" si="340"/>
        <v>0</v>
      </c>
      <c r="CM210" s="10">
        <f t="shared" ca="1" si="340"/>
        <v>0</v>
      </c>
      <c r="CN210" s="10">
        <f t="shared" ca="1" si="340"/>
        <v>0</v>
      </c>
      <c r="CO210" s="10">
        <f t="shared" ca="1" si="340"/>
        <v>0</v>
      </c>
    </row>
    <row r="211" spans="1:93" ht="15.75" thickBot="1">
      <c r="A211" s="9"/>
      <c r="B211" s="168"/>
      <c r="C211" s="17" t="s">
        <v>628</v>
      </c>
      <c r="D211" s="10"/>
      <c r="E211" s="62"/>
      <c r="F211" s="11"/>
      <c r="G211" s="11" t="str">
        <f t="shared" si="318"/>
        <v>тыс. руб.</v>
      </c>
      <c r="H211" s="10"/>
      <c r="I211" s="23">
        <f t="shared" ca="1" si="319"/>
        <v>0</v>
      </c>
      <c r="J211" s="10"/>
      <c r="K211" s="10"/>
      <c r="L211" s="10">
        <f t="shared" ref="L211:AQ211" ca="1" si="341" xml:space="preserve"> L199 * CAPEX_Accumulated_From_Date</f>
        <v>0</v>
      </c>
      <c r="M211" s="10">
        <f t="shared" ca="1" si="341"/>
        <v>0</v>
      </c>
      <c r="N211" s="10">
        <f t="shared" ca="1" si="341"/>
        <v>0</v>
      </c>
      <c r="O211" s="10">
        <f t="shared" ca="1" si="341"/>
        <v>0</v>
      </c>
      <c r="P211" s="10">
        <f t="shared" ca="1" si="341"/>
        <v>0</v>
      </c>
      <c r="Q211" s="10">
        <f t="shared" ca="1" si="341"/>
        <v>0</v>
      </c>
      <c r="R211" s="10">
        <f t="shared" ca="1" si="341"/>
        <v>0</v>
      </c>
      <c r="S211" s="10">
        <f t="shared" ca="1" si="341"/>
        <v>0</v>
      </c>
      <c r="T211" s="10">
        <f t="shared" ca="1" si="341"/>
        <v>0</v>
      </c>
      <c r="U211" s="10">
        <f t="shared" ca="1" si="341"/>
        <v>0</v>
      </c>
      <c r="V211" s="10">
        <f t="shared" ca="1" si="341"/>
        <v>0</v>
      </c>
      <c r="W211" s="10">
        <f t="shared" ca="1" si="341"/>
        <v>0</v>
      </c>
      <c r="X211" s="10">
        <f t="shared" ca="1" si="341"/>
        <v>0</v>
      </c>
      <c r="Y211" s="10">
        <f t="shared" ca="1" si="341"/>
        <v>0</v>
      </c>
      <c r="Z211" s="10">
        <f t="shared" ca="1" si="341"/>
        <v>0</v>
      </c>
      <c r="AA211" s="10">
        <f t="shared" ca="1" si="341"/>
        <v>0</v>
      </c>
      <c r="AB211" s="10">
        <f t="shared" ca="1" si="341"/>
        <v>0</v>
      </c>
      <c r="AC211" s="10">
        <f t="shared" ca="1" si="341"/>
        <v>0</v>
      </c>
      <c r="AD211" s="10">
        <f t="shared" ca="1" si="341"/>
        <v>0</v>
      </c>
      <c r="AE211" s="10">
        <f t="shared" ca="1" si="341"/>
        <v>0</v>
      </c>
      <c r="AF211" s="10">
        <f t="shared" ca="1" si="341"/>
        <v>0</v>
      </c>
      <c r="AG211" s="10">
        <f t="shared" ca="1" si="341"/>
        <v>0</v>
      </c>
      <c r="AH211" s="10">
        <f t="shared" ca="1" si="341"/>
        <v>0</v>
      </c>
      <c r="AI211" s="10">
        <f t="shared" ca="1" si="341"/>
        <v>0</v>
      </c>
      <c r="AJ211" s="10">
        <f t="shared" ca="1" si="341"/>
        <v>0</v>
      </c>
      <c r="AK211" s="10">
        <f t="shared" ca="1" si="341"/>
        <v>0</v>
      </c>
      <c r="AL211" s="10">
        <f t="shared" ca="1" si="341"/>
        <v>0</v>
      </c>
      <c r="AM211" s="10">
        <f t="shared" ca="1" si="341"/>
        <v>0</v>
      </c>
      <c r="AN211" s="10">
        <f t="shared" ca="1" si="341"/>
        <v>0</v>
      </c>
      <c r="AO211" s="10">
        <f t="shared" ca="1" si="341"/>
        <v>0</v>
      </c>
      <c r="AP211" s="10">
        <f t="shared" ca="1" si="341"/>
        <v>0</v>
      </c>
      <c r="AQ211" s="10">
        <f t="shared" ca="1" si="341"/>
        <v>0</v>
      </c>
      <c r="AR211" s="10">
        <f t="shared" ref="AR211:BW211" ca="1" si="342" xml:space="preserve"> AR199 * CAPEX_Accumulated_From_Date</f>
        <v>0</v>
      </c>
      <c r="AS211" s="10">
        <f t="shared" ca="1" si="342"/>
        <v>0</v>
      </c>
      <c r="AT211" s="10">
        <f t="shared" ca="1" si="342"/>
        <v>0</v>
      </c>
      <c r="AU211" s="10">
        <f t="shared" ca="1" si="342"/>
        <v>0</v>
      </c>
      <c r="AV211" s="10">
        <f t="shared" ca="1" si="342"/>
        <v>0</v>
      </c>
      <c r="AW211" s="10">
        <f t="shared" ca="1" si="342"/>
        <v>0</v>
      </c>
      <c r="AX211" s="10">
        <f t="shared" ca="1" si="342"/>
        <v>0</v>
      </c>
      <c r="AY211" s="10">
        <f t="shared" ca="1" si="342"/>
        <v>0</v>
      </c>
      <c r="AZ211" s="10">
        <f t="shared" ca="1" si="342"/>
        <v>0</v>
      </c>
      <c r="BA211" s="10">
        <f t="shared" ca="1" si="342"/>
        <v>0</v>
      </c>
      <c r="BB211" s="10">
        <f t="shared" ca="1" si="342"/>
        <v>0</v>
      </c>
      <c r="BC211" s="10">
        <f t="shared" ca="1" si="342"/>
        <v>0</v>
      </c>
      <c r="BD211" s="10">
        <f t="shared" ca="1" si="342"/>
        <v>0</v>
      </c>
      <c r="BE211" s="10">
        <f t="shared" ca="1" si="342"/>
        <v>0</v>
      </c>
      <c r="BF211" s="10">
        <f t="shared" ca="1" si="342"/>
        <v>0</v>
      </c>
      <c r="BG211" s="10">
        <f t="shared" ca="1" si="342"/>
        <v>0</v>
      </c>
      <c r="BH211" s="10">
        <f t="shared" ca="1" si="342"/>
        <v>0</v>
      </c>
      <c r="BI211" s="10">
        <f t="shared" ca="1" si="342"/>
        <v>0</v>
      </c>
      <c r="BJ211" s="10">
        <f t="shared" ca="1" si="342"/>
        <v>0</v>
      </c>
      <c r="BK211" s="10">
        <f t="shared" ca="1" si="342"/>
        <v>0</v>
      </c>
      <c r="BL211" s="10">
        <f t="shared" ca="1" si="342"/>
        <v>0</v>
      </c>
      <c r="BM211" s="10">
        <f t="shared" ca="1" si="342"/>
        <v>0</v>
      </c>
      <c r="BN211" s="10">
        <f t="shared" ca="1" si="342"/>
        <v>0</v>
      </c>
      <c r="BO211" s="10">
        <f t="shared" ca="1" si="342"/>
        <v>0</v>
      </c>
      <c r="BP211" s="10">
        <f t="shared" ca="1" si="342"/>
        <v>0</v>
      </c>
      <c r="BQ211" s="10">
        <f t="shared" ca="1" si="342"/>
        <v>0</v>
      </c>
      <c r="BR211" s="10">
        <f t="shared" ca="1" si="342"/>
        <v>0</v>
      </c>
      <c r="BS211" s="10">
        <f t="shared" ca="1" si="342"/>
        <v>0</v>
      </c>
      <c r="BT211" s="10">
        <f t="shared" ca="1" si="342"/>
        <v>0</v>
      </c>
      <c r="BU211" s="10">
        <f t="shared" ca="1" si="342"/>
        <v>0</v>
      </c>
      <c r="BV211" s="10">
        <f t="shared" ca="1" si="342"/>
        <v>0</v>
      </c>
      <c r="BW211" s="10">
        <f t="shared" ca="1" si="342"/>
        <v>0</v>
      </c>
      <c r="BX211" s="10">
        <f t="shared" ref="BX211:CO211" ca="1" si="343" xml:space="preserve"> BX199 * CAPEX_Accumulated_From_Date</f>
        <v>0</v>
      </c>
      <c r="BY211" s="10">
        <f t="shared" ca="1" si="343"/>
        <v>0</v>
      </c>
      <c r="BZ211" s="10">
        <f t="shared" ca="1" si="343"/>
        <v>0</v>
      </c>
      <c r="CA211" s="10">
        <f t="shared" ca="1" si="343"/>
        <v>0</v>
      </c>
      <c r="CB211" s="10">
        <f t="shared" ca="1" si="343"/>
        <v>0</v>
      </c>
      <c r="CC211" s="10">
        <f t="shared" ca="1" si="343"/>
        <v>0</v>
      </c>
      <c r="CD211" s="10">
        <f t="shared" ca="1" si="343"/>
        <v>0</v>
      </c>
      <c r="CE211" s="10">
        <f t="shared" ca="1" si="343"/>
        <v>0</v>
      </c>
      <c r="CF211" s="10">
        <f t="shared" ca="1" si="343"/>
        <v>0</v>
      </c>
      <c r="CG211" s="10">
        <f t="shared" ca="1" si="343"/>
        <v>0</v>
      </c>
      <c r="CH211" s="10">
        <f t="shared" ca="1" si="343"/>
        <v>0</v>
      </c>
      <c r="CI211" s="10">
        <f t="shared" ca="1" si="343"/>
        <v>0</v>
      </c>
      <c r="CJ211" s="10">
        <f t="shared" ca="1" si="343"/>
        <v>0</v>
      </c>
      <c r="CK211" s="10">
        <f t="shared" ca="1" si="343"/>
        <v>0</v>
      </c>
      <c r="CL211" s="10">
        <f t="shared" ca="1" si="343"/>
        <v>0</v>
      </c>
      <c r="CM211" s="10">
        <f t="shared" ca="1" si="343"/>
        <v>0</v>
      </c>
      <c r="CN211" s="10">
        <f t="shared" ca="1" si="343"/>
        <v>0</v>
      </c>
      <c r="CO211" s="10">
        <f t="shared" ca="1" si="343"/>
        <v>0</v>
      </c>
    </row>
    <row r="212" spans="1:93" ht="15.75" thickTop="1">
      <c r="A212" s="77"/>
      <c r="B212" s="101"/>
      <c r="C212" s="49" t="s">
        <v>831</v>
      </c>
      <c r="D212" s="49"/>
      <c r="E212" s="136"/>
      <c r="F212" s="49"/>
      <c r="G212" s="159" t="str">
        <f xml:space="preserve"> Monetary_Unit</f>
        <v>тыс. руб.</v>
      </c>
      <c r="H212" s="49"/>
      <c r="I212" s="23">
        <f t="shared" ca="1" si="319"/>
        <v>3059510.6646443531</v>
      </c>
      <c r="J212" s="49"/>
      <c r="K212" s="49"/>
      <c r="L212" s="49">
        <f t="shared" ref="L212:R212" ca="1" si="344" xml:space="preserve"> SUM(L204:L211)</f>
        <v>16626.707846291232</v>
      </c>
      <c r="M212" s="49">
        <f t="shared" ca="1" si="344"/>
        <v>16862.722092179123</v>
      </c>
      <c r="N212" s="49">
        <f t="shared" ca="1" si="344"/>
        <v>17102.086533714704</v>
      </c>
      <c r="O212" s="49">
        <f t="shared" ca="1" si="344"/>
        <v>17344.848726547993</v>
      </c>
      <c r="P212" s="49">
        <f t="shared" ca="1" si="344"/>
        <v>145964.62143817527</v>
      </c>
      <c r="Q212" s="49">
        <f t="shared" ca="1" si="344"/>
        <v>147402.87019497194</v>
      </c>
      <c r="R212" s="49">
        <f t="shared" ca="1" si="344"/>
        <v>148855.29060148791</v>
      </c>
      <c r="S212" s="49">
        <f ca="1" xml:space="preserve"> SUM(S204:S211)</f>
        <v>150322.0222967492</v>
      </c>
      <c r="T212" s="49">
        <f t="shared" ref="T212:CE212" ca="1" si="345" xml:space="preserve"> SUM(T204:T211)</f>
        <v>151803.20629570226</v>
      </c>
      <c r="U212" s="49">
        <f t="shared" ca="1" si="345"/>
        <v>153298.98500277082</v>
      </c>
      <c r="V212" s="49">
        <f t="shared" ca="1" si="345"/>
        <v>154809.50222554733</v>
      </c>
      <c r="W212" s="49">
        <f t="shared" ca="1" si="345"/>
        <v>156334.90318861915</v>
      </c>
      <c r="X212" s="49">
        <f t="shared" ca="1" si="345"/>
        <v>304210.14717812178</v>
      </c>
      <c r="Y212" s="49">
        <f t="shared" ca="1" si="345"/>
        <v>307207.65343458951</v>
      </c>
      <c r="Z212" s="49">
        <f t="shared" ca="1" si="345"/>
        <v>310234.69533883518</v>
      </c>
      <c r="AA212" s="49">
        <f t="shared" ca="1" si="345"/>
        <v>313291.56391760404</v>
      </c>
      <c r="AB212" s="49">
        <f t="shared" ca="1" si="345"/>
        <v>547838.83833244559</v>
      </c>
      <c r="AC212" s="49">
        <f t="shared" ca="1" si="345"/>
        <v>0</v>
      </c>
      <c r="AD212" s="49">
        <f t="shared" ca="1" si="345"/>
        <v>0</v>
      </c>
      <c r="AE212" s="49">
        <f t="shared" ca="1" si="345"/>
        <v>0</v>
      </c>
      <c r="AF212" s="49">
        <f t="shared" ca="1" si="345"/>
        <v>0</v>
      </c>
      <c r="AG212" s="49">
        <f t="shared" ca="1" si="345"/>
        <v>0</v>
      </c>
      <c r="AH212" s="49">
        <f t="shared" ca="1" si="345"/>
        <v>0</v>
      </c>
      <c r="AI212" s="49">
        <f t="shared" ca="1" si="345"/>
        <v>0</v>
      </c>
      <c r="AJ212" s="49">
        <f t="shared" ca="1" si="345"/>
        <v>0</v>
      </c>
      <c r="AK212" s="49">
        <f t="shared" ca="1" si="345"/>
        <v>0</v>
      </c>
      <c r="AL212" s="49">
        <f t="shared" ca="1" si="345"/>
        <v>0</v>
      </c>
      <c r="AM212" s="49">
        <f t="shared" ca="1" si="345"/>
        <v>0</v>
      </c>
      <c r="AN212" s="49">
        <f t="shared" ca="1" si="345"/>
        <v>0</v>
      </c>
      <c r="AO212" s="49">
        <f t="shared" ca="1" si="345"/>
        <v>0</v>
      </c>
      <c r="AP212" s="49">
        <f t="shared" ca="1" si="345"/>
        <v>0</v>
      </c>
      <c r="AQ212" s="49">
        <f t="shared" ca="1" si="345"/>
        <v>0</v>
      </c>
      <c r="AR212" s="49">
        <f t="shared" ca="1" si="345"/>
        <v>0</v>
      </c>
      <c r="AS212" s="49">
        <f t="shared" ca="1" si="345"/>
        <v>0</v>
      </c>
      <c r="AT212" s="49">
        <f t="shared" ca="1" si="345"/>
        <v>0</v>
      </c>
      <c r="AU212" s="49">
        <f t="shared" ca="1" si="345"/>
        <v>0</v>
      </c>
      <c r="AV212" s="49">
        <f t="shared" ca="1" si="345"/>
        <v>0</v>
      </c>
      <c r="AW212" s="49">
        <f t="shared" ca="1" si="345"/>
        <v>0</v>
      </c>
      <c r="AX212" s="49">
        <f t="shared" ca="1" si="345"/>
        <v>0</v>
      </c>
      <c r="AY212" s="49">
        <f t="shared" ca="1" si="345"/>
        <v>0</v>
      </c>
      <c r="AZ212" s="49">
        <f t="shared" ca="1" si="345"/>
        <v>0</v>
      </c>
      <c r="BA212" s="49">
        <f t="shared" ca="1" si="345"/>
        <v>0</v>
      </c>
      <c r="BB212" s="49">
        <f t="shared" ca="1" si="345"/>
        <v>0</v>
      </c>
      <c r="BC212" s="49">
        <f t="shared" ca="1" si="345"/>
        <v>0</v>
      </c>
      <c r="BD212" s="49">
        <f t="shared" ca="1" si="345"/>
        <v>0</v>
      </c>
      <c r="BE212" s="49">
        <f t="shared" ca="1" si="345"/>
        <v>0</v>
      </c>
      <c r="BF212" s="49">
        <f t="shared" ca="1" si="345"/>
        <v>0</v>
      </c>
      <c r="BG212" s="49">
        <f t="shared" ca="1" si="345"/>
        <v>0</v>
      </c>
      <c r="BH212" s="49">
        <f t="shared" ca="1" si="345"/>
        <v>0</v>
      </c>
      <c r="BI212" s="49">
        <f t="shared" ca="1" si="345"/>
        <v>0</v>
      </c>
      <c r="BJ212" s="49">
        <f t="shared" ca="1" si="345"/>
        <v>0</v>
      </c>
      <c r="BK212" s="49">
        <f t="shared" ca="1" si="345"/>
        <v>0</v>
      </c>
      <c r="BL212" s="49">
        <f t="shared" ca="1" si="345"/>
        <v>0</v>
      </c>
      <c r="BM212" s="49">
        <f t="shared" ca="1" si="345"/>
        <v>0</v>
      </c>
      <c r="BN212" s="49">
        <f t="shared" ca="1" si="345"/>
        <v>0</v>
      </c>
      <c r="BO212" s="49">
        <f t="shared" ca="1" si="345"/>
        <v>0</v>
      </c>
      <c r="BP212" s="49">
        <f t="shared" ca="1" si="345"/>
        <v>0</v>
      </c>
      <c r="BQ212" s="49">
        <f t="shared" ca="1" si="345"/>
        <v>0</v>
      </c>
      <c r="BR212" s="49">
        <f t="shared" ca="1" si="345"/>
        <v>0</v>
      </c>
      <c r="BS212" s="49">
        <f t="shared" ca="1" si="345"/>
        <v>0</v>
      </c>
      <c r="BT212" s="49">
        <f t="shared" ca="1" si="345"/>
        <v>0</v>
      </c>
      <c r="BU212" s="49">
        <f t="shared" ca="1" si="345"/>
        <v>0</v>
      </c>
      <c r="BV212" s="49">
        <f t="shared" ca="1" si="345"/>
        <v>0</v>
      </c>
      <c r="BW212" s="49">
        <f t="shared" ca="1" si="345"/>
        <v>0</v>
      </c>
      <c r="BX212" s="49">
        <f t="shared" ca="1" si="345"/>
        <v>0</v>
      </c>
      <c r="BY212" s="49">
        <f t="shared" ca="1" si="345"/>
        <v>0</v>
      </c>
      <c r="BZ212" s="49">
        <f t="shared" ca="1" si="345"/>
        <v>0</v>
      </c>
      <c r="CA212" s="49">
        <f t="shared" ca="1" si="345"/>
        <v>0</v>
      </c>
      <c r="CB212" s="49">
        <f t="shared" ca="1" si="345"/>
        <v>0</v>
      </c>
      <c r="CC212" s="49">
        <f t="shared" ca="1" si="345"/>
        <v>0</v>
      </c>
      <c r="CD212" s="49">
        <f t="shared" ca="1" si="345"/>
        <v>0</v>
      </c>
      <c r="CE212" s="49">
        <f t="shared" ca="1" si="345"/>
        <v>0</v>
      </c>
      <c r="CF212" s="49">
        <f t="shared" ref="CF212:CO212" ca="1" si="346" xml:space="preserve"> SUM(CF204:CF211)</f>
        <v>0</v>
      </c>
      <c r="CG212" s="49">
        <f t="shared" ca="1" si="346"/>
        <v>0</v>
      </c>
      <c r="CH212" s="49">
        <f t="shared" ca="1" si="346"/>
        <v>0</v>
      </c>
      <c r="CI212" s="49">
        <f t="shared" ca="1" si="346"/>
        <v>0</v>
      </c>
      <c r="CJ212" s="49">
        <f t="shared" ca="1" si="346"/>
        <v>0</v>
      </c>
      <c r="CK212" s="49">
        <f t="shared" ca="1" si="346"/>
        <v>0</v>
      </c>
      <c r="CL212" s="49">
        <f t="shared" ca="1" si="346"/>
        <v>0</v>
      </c>
      <c r="CM212" s="49">
        <f t="shared" ca="1" si="346"/>
        <v>0</v>
      </c>
      <c r="CN212" s="49">
        <f t="shared" ca="1" si="346"/>
        <v>0</v>
      </c>
      <c r="CO212" s="49">
        <f t="shared" ca="1" si="346"/>
        <v>0</v>
      </c>
    </row>
    <row r="213" spans="1:93">
      <c r="A213" s="77"/>
      <c r="B213" s="168"/>
      <c r="C213" s="169"/>
      <c r="D213" s="10"/>
      <c r="E213" s="62"/>
      <c r="F213" s="11"/>
      <c r="G213" s="11"/>
      <c r="H213" s="10"/>
      <c r="I213" s="10" t="str">
        <f ca="1">IF(IFERROR(I212=Предпосылки!H293*I95*I112,I212=0),"")</f>
        <v/>
      </c>
      <c r="J213" s="10"/>
      <c r="K213" s="1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170"/>
      <c r="AH213" s="170"/>
      <c r="AI213" s="170"/>
      <c r="AJ213" s="170"/>
      <c r="AK213" s="170"/>
      <c r="AL213" s="170"/>
      <c r="AM213" s="170"/>
      <c r="AN213" s="170"/>
      <c r="AO213" s="170"/>
      <c r="AP213" s="170"/>
      <c r="AQ213" s="170"/>
      <c r="AR213" s="170"/>
      <c r="AS213" s="170"/>
      <c r="AT213" s="170"/>
      <c r="AU213" s="170"/>
      <c r="AV213" s="170"/>
      <c r="AW213" s="170"/>
      <c r="AX213" s="170"/>
      <c r="AY213" s="170"/>
      <c r="AZ213" s="170"/>
      <c r="BA213" s="170"/>
      <c r="BB213" s="170"/>
      <c r="BC213" s="170"/>
      <c r="BD213" s="170"/>
      <c r="BE213" s="170"/>
      <c r="BF213" s="170"/>
      <c r="BG213" s="170"/>
      <c r="BH213" s="170"/>
      <c r="BI213" s="170"/>
      <c r="BJ213" s="170"/>
      <c r="BK213" s="170"/>
      <c r="BL213" s="170"/>
      <c r="BM213" s="170"/>
      <c r="BN213" s="170"/>
      <c r="BO213" s="170"/>
      <c r="BP213" s="170"/>
      <c r="BQ213" s="170"/>
      <c r="BR213" s="170"/>
      <c r="BS213" s="170"/>
      <c r="BT213" s="170"/>
      <c r="BU213" s="170"/>
      <c r="BV213" s="170"/>
      <c r="BW213" s="170"/>
      <c r="BX213" s="170"/>
      <c r="BY213" s="170"/>
      <c r="BZ213" s="170"/>
      <c r="CA213" s="170"/>
      <c r="CB213" s="170"/>
      <c r="CC213" s="170"/>
      <c r="CD213" s="170"/>
      <c r="CE213" s="170"/>
      <c r="CF213" s="170"/>
      <c r="CG213" s="170"/>
      <c r="CH213" s="170"/>
      <c r="CI213" s="170"/>
      <c r="CJ213" s="170"/>
      <c r="CK213" s="170"/>
      <c r="CL213" s="170"/>
      <c r="CM213" s="170"/>
      <c r="CN213" s="170"/>
      <c r="CO213" s="170"/>
    </row>
    <row r="214" spans="1:93" ht="15" customHeight="1">
      <c r="A214" s="10"/>
      <c r="B214" s="3"/>
      <c r="C214" s="382" t="str">
        <f>C96</f>
        <v>Сегмент 2: Развлекательный комплекс</v>
      </c>
      <c r="D214" s="271"/>
      <c r="E214" s="271"/>
      <c r="F214" s="271"/>
      <c r="G214" s="272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  <c r="CA214" s="271"/>
      <c r="CB214" s="271"/>
      <c r="CC214" s="271"/>
      <c r="CD214" s="271"/>
      <c r="CE214" s="271"/>
      <c r="CF214" s="271"/>
      <c r="CG214" s="271"/>
      <c r="CH214" s="271"/>
      <c r="CI214" s="271"/>
      <c r="CJ214" s="271"/>
      <c r="CK214" s="271"/>
      <c r="CL214" s="271"/>
      <c r="CM214" s="271"/>
      <c r="CN214" s="271"/>
      <c r="CO214" s="271"/>
    </row>
    <row r="215" spans="1:93">
      <c r="A215" s="77"/>
      <c r="B215" s="168"/>
      <c r="C215" s="169"/>
      <c r="D215" s="10"/>
      <c r="E215" s="62"/>
      <c r="F215" s="11"/>
      <c r="G215" s="11"/>
      <c r="H215" s="10"/>
      <c r="I215" s="10"/>
      <c r="J215" s="10"/>
      <c r="K215" s="1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170"/>
      <c r="AH215" s="170"/>
      <c r="AI215" s="170"/>
      <c r="AJ215" s="170"/>
      <c r="AK215" s="170"/>
      <c r="AL215" s="170"/>
      <c r="AM215" s="170"/>
      <c r="AN215" s="170"/>
      <c r="AO215" s="170"/>
      <c r="AP215" s="170"/>
      <c r="AQ215" s="170"/>
      <c r="AR215" s="170"/>
      <c r="AS215" s="170"/>
      <c r="AT215" s="170"/>
      <c r="AU215" s="170"/>
      <c r="AV215" s="170"/>
      <c r="AW215" s="170"/>
      <c r="AX215" s="170"/>
      <c r="AY215" s="170"/>
      <c r="AZ215" s="170"/>
      <c r="BA215" s="170"/>
      <c r="BB215" s="170"/>
      <c r="BC215" s="170"/>
      <c r="BD215" s="170"/>
      <c r="BE215" s="170"/>
      <c r="BF215" s="170"/>
      <c r="BG215" s="170"/>
      <c r="BH215" s="170"/>
      <c r="BI215" s="170"/>
      <c r="BJ215" s="170"/>
      <c r="BK215" s="170"/>
      <c r="BL215" s="170"/>
      <c r="BM215" s="170"/>
      <c r="BN215" s="170"/>
      <c r="BO215" s="170"/>
      <c r="BP215" s="170"/>
      <c r="BQ215" s="170"/>
      <c r="BR215" s="170"/>
      <c r="BS215" s="170"/>
      <c r="BT215" s="170"/>
      <c r="BU215" s="170"/>
      <c r="BV215" s="170"/>
      <c r="BW215" s="170"/>
      <c r="BX215" s="170"/>
      <c r="BY215" s="170"/>
      <c r="BZ215" s="170"/>
      <c r="CA215" s="170"/>
      <c r="CB215" s="170"/>
      <c r="CC215" s="170"/>
      <c r="CD215" s="170"/>
      <c r="CE215" s="170"/>
      <c r="CF215" s="170"/>
      <c r="CG215" s="170"/>
      <c r="CH215" s="170"/>
      <c r="CI215" s="170"/>
      <c r="CJ215" s="170"/>
      <c r="CK215" s="170"/>
      <c r="CL215" s="170"/>
      <c r="CM215" s="170"/>
      <c r="CN215" s="170"/>
      <c r="CO215" s="170"/>
    </row>
    <row r="216" spans="1:93" ht="16.5" thickBot="1">
      <c r="A216" s="77"/>
      <c r="B216" s="168"/>
      <c r="C216" s="12" t="s">
        <v>649</v>
      </c>
      <c r="D216" s="12"/>
      <c r="E216" s="12"/>
      <c r="F216" s="12"/>
      <c r="G216" s="360"/>
      <c r="H216" s="12"/>
      <c r="I216" s="12"/>
      <c r="J216" s="10"/>
      <c r="K216" s="1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170"/>
      <c r="AH216" s="170"/>
      <c r="AI216" s="170"/>
      <c r="AJ216" s="170"/>
      <c r="AK216" s="170"/>
      <c r="AL216" s="170"/>
      <c r="AM216" s="170"/>
      <c r="AN216" s="170"/>
      <c r="AO216" s="170"/>
      <c r="AP216" s="170"/>
      <c r="AQ216" s="170"/>
      <c r="AR216" s="170"/>
      <c r="AS216" s="170"/>
      <c r="AT216" s="170"/>
      <c r="AU216" s="170"/>
      <c r="AV216" s="170"/>
      <c r="AW216" s="170"/>
      <c r="AX216" s="170"/>
      <c r="AY216" s="170"/>
      <c r="AZ216" s="170"/>
      <c r="BA216" s="170"/>
      <c r="BB216" s="170"/>
      <c r="BC216" s="170"/>
      <c r="BD216" s="170"/>
      <c r="BE216" s="170"/>
      <c r="BF216" s="170"/>
      <c r="BG216" s="170"/>
      <c r="BH216" s="170"/>
      <c r="BI216" s="170"/>
      <c r="BJ216" s="170"/>
      <c r="BK216" s="170"/>
      <c r="BL216" s="170"/>
      <c r="BM216" s="170"/>
      <c r="BN216" s="170"/>
      <c r="BO216" s="170"/>
      <c r="BP216" s="170"/>
      <c r="BQ216" s="170"/>
      <c r="BR216" s="170"/>
      <c r="BS216" s="170"/>
      <c r="BT216" s="170"/>
      <c r="BU216" s="170"/>
      <c r="BV216" s="170"/>
      <c r="BW216" s="170"/>
      <c r="BX216" s="170"/>
      <c r="BY216" s="170"/>
      <c r="BZ216" s="170"/>
      <c r="CA216" s="170"/>
      <c r="CB216" s="170"/>
      <c r="CC216" s="170"/>
      <c r="CD216" s="170"/>
      <c r="CE216" s="170"/>
      <c r="CF216" s="170"/>
      <c r="CG216" s="170"/>
      <c r="CH216" s="170"/>
      <c r="CI216" s="170"/>
      <c r="CJ216" s="170"/>
      <c r="CK216" s="170"/>
      <c r="CL216" s="170"/>
      <c r="CM216" s="170"/>
      <c r="CN216" s="170"/>
      <c r="CO216" s="170"/>
    </row>
    <row r="217" spans="1:93">
      <c r="A217" s="77"/>
      <c r="B217" s="168"/>
      <c r="C217" s="87"/>
      <c r="D217" s="10"/>
      <c r="E217" s="62"/>
      <c r="F217" s="11"/>
      <c r="G217" s="11"/>
      <c r="H217" s="10"/>
      <c r="I217" s="10"/>
      <c r="J217" s="10"/>
      <c r="K217" s="1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170"/>
      <c r="AH217" s="170"/>
      <c r="AI217" s="170"/>
      <c r="AJ217" s="170"/>
      <c r="AK217" s="170"/>
      <c r="AL217" s="170"/>
      <c r="AM217" s="170"/>
      <c r="AN217" s="170"/>
      <c r="AO217" s="170"/>
      <c r="AP217" s="170"/>
      <c r="AQ217" s="170"/>
      <c r="AR217" s="170"/>
      <c r="AS217" s="170"/>
      <c r="AT217" s="170"/>
      <c r="AU217" s="170"/>
      <c r="AV217" s="170"/>
      <c r="AW217" s="170"/>
      <c r="AX217" s="170"/>
      <c r="AY217" s="170"/>
      <c r="AZ217" s="170"/>
      <c r="BA217" s="170"/>
      <c r="BB217" s="170"/>
      <c r="BC217" s="170"/>
      <c r="BD217" s="170"/>
      <c r="BE217" s="170"/>
      <c r="BF217" s="170"/>
      <c r="BG217" s="170"/>
      <c r="BH217" s="170"/>
      <c r="BI217" s="170"/>
      <c r="BJ217" s="170"/>
      <c r="BK217" s="170"/>
      <c r="BL217" s="170"/>
      <c r="BM217" s="170"/>
      <c r="BN217" s="170"/>
      <c r="BO217" s="170"/>
      <c r="BP217" s="170"/>
      <c r="BQ217" s="170"/>
      <c r="BR217" s="170"/>
      <c r="BS217" s="170"/>
      <c r="BT217" s="170"/>
      <c r="BU217" s="170"/>
      <c r="BV217" s="170"/>
      <c r="BW217" s="170"/>
      <c r="BX217" s="170"/>
      <c r="BY217" s="170"/>
      <c r="BZ217" s="170"/>
      <c r="CA217" s="170"/>
      <c r="CB217" s="170"/>
      <c r="CC217" s="170"/>
      <c r="CD217" s="170"/>
      <c r="CE217" s="170"/>
      <c r="CF217" s="170"/>
      <c r="CG217" s="170"/>
      <c r="CH217" s="170"/>
      <c r="CI217" s="170"/>
      <c r="CJ217" s="170"/>
      <c r="CK217" s="170"/>
      <c r="CL217" s="170"/>
      <c r="CM217" s="170"/>
      <c r="CN217" s="170"/>
      <c r="CO217" s="170"/>
    </row>
    <row r="218" spans="1:93">
      <c r="A218" s="77"/>
      <c r="B218" s="168"/>
      <c r="C218" s="17" t="s">
        <v>630</v>
      </c>
      <c r="D218" s="10"/>
      <c r="E218" s="184">
        <f xml:space="preserve"> Предпосылки!E322 * $I$113 * $I$96</f>
        <v>0</v>
      </c>
      <c r="F218" s="11"/>
      <c r="G218" s="11" t="str">
        <f>Monetary_Unit</f>
        <v>тыс. руб.</v>
      </c>
      <c r="H218" s="10"/>
      <c r="I218" s="10"/>
      <c r="J218" s="10"/>
      <c r="K218" s="10"/>
      <c r="L218" s="171">
        <f xml:space="preserve"> Предпосылки!L329</f>
        <v>0</v>
      </c>
      <c r="M218" s="171">
        <f xml:space="preserve"> Предпосылки!M329</f>
        <v>0</v>
      </c>
      <c r="N218" s="171">
        <f xml:space="preserve"> Предпосылки!N329</f>
        <v>0.5</v>
      </c>
      <c r="O218" s="171">
        <f xml:space="preserve"> Предпосылки!O329</f>
        <v>0.5</v>
      </c>
      <c r="P218" s="171">
        <f xml:space="preserve"> Предпосылки!P329</f>
        <v>0</v>
      </c>
      <c r="Q218" s="171">
        <f xml:space="preserve"> Предпосылки!Q329</f>
        <v>0</v>
      </c>
      <c r="R218" s="171">
        <f xml:space="preserve"> Предпосылки!R329</f>
        <v>0</v>
      </c>
      <c r="S218" s="171">
        <f xml:space="preserve"> Предпосылки!S329</f>
        <v>0</v>
      </c>
      <c r="T218" s="171">
        <f xml:space="preserve"> Предпосылки!T329</f>
        <v>0</v>
      </c>
      <c r="U218" s="171">
        <f xml:space="preserve"> Предпосылки!U329</f>
        <v>0</v>
      </c>
      <c r="V218" s="171">
        <f xml:space="preserve"> Предпосылки!V329</f>
        <v>0</v>
      </c>
      <c r="W218" s="171">
        <f xml:space="preserve"> Предпосылки!W329</f>
        <v>0</v>
      </c>
      <c r="X218" s="171">
        <f xml:space="preserve"> Предпосылки!X329</f>
        <v>0</v>
      </c>
      <c r="Y218" s="171">
        <f xml:space="preserve"> Предпосылки!Y329</f>
        <v>0</v>
      </c>
      <c r="Z218" s="171">
        <f xml:space="preserve"> Предпосылки!Z329</f>
        <v>0</v>
      </c>
      <c r="AA218" s="171">
        <f xml:space="preserve"> Предпосылки!AA329</f>
        <v>0</v>
      </c>
      <c r="AB218" s="171">
        <f xml:space="preserve"> Предпосылки!AB329</f>
        <v>0</v>
      </c>
      <c r="AC218" s="171">
        <f xml:space="preserve"> Предпосылки!AC329</f>
        <v>0</v>
      </c>
      <c r="AD218" s="171">
        <f xml:space="preserve"> Предпосылки!AD329</f>
        <v>0</v>
      </c>
      <c r="AE218" s="171">
        <f xml:space="preserve"> Предпосылки!AE329</f>
        <v>0</v>
      </c>
      <c r="AF218" s="171">
        <f xml:space="preserve"> Предпосылки!AF329</f>
        <v>0</v>
      </c>
      <c r="AG218" s="171">
        <f xml:space="preserve"> Предпосылки!AG329</f>
        <v>0</v>
      </c>
      <c r="AH218" s="171">
        <f xml:space="preserve"> Предпосылки!AH329</f>
        <v>0</v>
      </c>
      <c r="AI218" s="171">
        <f xml:space="preserve"> Предпосылки!AI329</f>
        <v>0</v>
      </c>
      <c r="AJ218" s="171">
        <f xml:space="preserve"> Предпосылки!AJ329</f>
        <v>0</v>
      </c>
      <c r="AK218" s="171">
        <f xml:space="preserve"> Предпосылки!AK329</f>
        <v>0</v>
      </c>
      <c r="AL218" s="171">
        <f xml:space="preserve"> Предпосылки!AL329</f>
        <v>0</v>
      </c>
      <c r="AM218" s="171">
        <f xml:space="preserve"> Предпосылки!AM329</f>
        <v>0</v>
      </c>
      <c r="AN218" s="171">
        <f xml:space="preserve"> Предпосылки!AN329</f>
        <v>0</v>
      </c>
      <c r="AO218" s="171">
        <f xml:space="preserve"> Предпосылки!AO329</f>
        <v>0</v>
      </c>
      <c r="AP218" s="171">
        <f xml:space="preserve"> Предпосылки!AP329</f>
        <v>0</v>
      </c>
      <c r="AQ218" s="171">
        <f xml:space="preserve"> Предпосылки!AQ329</f>
        <v>0</v>
      </c>
      <c r="AR218" s="171">
        <f xml:space="preserve"> Предпосылки!AR329</f>
        <v>0</v>
      </c>
      <c r="AS218" s="171">
        <f xml:space="preserve"> Предпосылки!AS329</f>
        <v>0</v>
      </c>
      <c r="AT218" s="171">
        <f xml:space="preserve"> Предпосылки!AT329</f>
        <v>0</v>
      </c>
      <c r="AU218" s="171">
        <f xml:space="preserve"> Предпосылки!AU329</f>
        <v>0</v>
      </c>
      <c r="AV218" s="171">
        <f xml:space="preserve"> Предпосылки!AV329</f>
        <v>0</v>
      </c>
      <c r="AW218" s="171">
        <f xml:space="preserve"> Предпосылки!AW329</f>
        <v>0</v>
      </c>
      <c r="AX218" s="171">
        <f xml:space="preserve"> Предпосылки!AX329</f>
        <v>0</v>
      </c>
      <c r="AY218" s="171">
        <f xml:space="preserve"> Предпосылки!AY329</f>
        <v>0</v>
      </c>
      <c r="AZ218" s="171">
        <f xml:space="preserve"> Предпосылки!AZ329</f>
        <v>0</v>
      </c>
      <c r="BA218" s="171">
        <f xml:space="preserve"> Предпосылки!BA329</f>
        <v>0</v>
      </c>
      <c r="BB218" s="171">
        <f xml:space="preserve"> Предпосылки!BB329</f>
        <v>0</v>
      </c>
      <c r="BC218" s="171">
        <f xml:space="preserve"> Предпосылки!BC329</f>
        <v>0</v>
      </c>
      <c r="BD218" s="171">
        <f xml:space="preserve"> Предпосылки!BD329</f>
        <v>0</v>
      </c>
      <c r="BE218" s="171">
        <f xml:space="preserve"> Предпосылки!BE329</f>
        <v>0</v>
      </c>
      <c r="BF218" s="171">
        <f xml:space="preserve"> Предпосылки!BF329</f>
        <v>0</v>
      </c>
      <c r="BG218" s="171">
        <f xml:space="preserve"> Предпосылки!BG329</f>
        <v>0</v>
      </c>
      <c r="BH218" s="171">
        <f xml:space="preserve"> Предпосылки!BH329</f>
        <v>0</v>
      </c>
      <c r="BI218" s="171">
        <f xml:space="preserve"> Предпосылки!BI329</f>
        <v>0</v>
      </c>
      <c r="BJ218" s="171">
        <f xml:space="preserve"> Предпосылки!BJ329</f>
        <v>0</v>
      </c>
      <c r="BK218" s="171">
        <f xml:space="preserve"> Предпосылки!BK329</f>
        <v>0</v>
      </c>
      <c r="BL218" s="171">
        <f xml:space="preserve"> Предпосылки!BL329</f>
        <v>0</v>
      </c>
      <c r="BM218" s="171">
        <f xml:space="preserve"> Предпосылки!BM329</f>
        <v>0</v>
      </c>
      <c r="BN218" s="171">
        <f xml:space="preserve"> Предпосылки!BN329</f>
        <v>0</v>
      </c>
      <c r="BO218" s="171">
        <f xml:space="preserve"> Предпосылки!BO329</f>
        <v>0</v>
      </c>
      <c r="BP218" s="171">
        <f xml:space="preserve"> Предпосылки!BP329</f>
        <v>0</v>
      </c>
      <c r="BQ218" s="171">
        <f xml:space="preserve"> Предпосылки!BQ329</f>
        <v>0</v>
      </c>
      <c r="BR218" s="171">
        <f xml:space="preserve"> Предпосылки!BR329</f>
        <v>0</v>
      </c>
      <c r="BS218" s="171">
        <f xml:space="preserve"> Предпосылки!BS329</f>
        <v>0</v>
      </c>
      <c r="BT218" s="171">
        <f xml:space="preserve"> Предпосылки!BT329</f>
        <v>0</v>
      </c>
      <c r="BU218" s="171">
        <f xml:space="preserve"> Предпосылки!BU329</f>
        <v>0</v>
      </c>
      <c r="BV218" s="171">
        <f xml:space="preserve"> Предпосылки!BV329</f>
        <v>0</v>
      </c>
      <c r="BW218" s="171">
        <f xml:space="preserve"> Предпосылки!BW329</f>
        <v>0</v>
      </c>
      <c r="BX218" s="171">
        <f xml:space="preserve"> Предпосылки!BX329</f>
        <v>0</v>
      </c>
      <c r="BY218" s="171">
        <f xml:space="preserve"> Предпосылки!BY329</f>
        <v>0</v>
      </c>
      <c r="BZ218" s="171">
        <f xml:space="preserve"> Предпосылки!BZ329</f>
        <v>0</v>
      </c>
      <c r="CA218" s="171">
        <f xml:space="preserve"> Предпосылки!CA329</f>
        <v>0</v>
      </c>
      <c r="CB218" s="171">
        <f xml:space="preserve"> Предпосылки!CB329</f>
        <v>0</v>
      </c>
      <c r="CC218" s="171">
        <f xml:space="preserve"> Предпосылки!CC329</f>
        <v>0</v>
      </c>
      <c r="CD218" s="171">
        <f xml:space="preserve"> Предпосылки!CD329</f>
        <v>0</v>
      </c>
      <c r="CE218" s="171">
        <f xml:space="preserve"> Предпосылки!CE329</f>
        <v>0</v>
      </c>
      <c r="CF218" s="171">
        <f xml:space="preserve"> Предпосылки!CF329</f>
        <v>0</v>
      </c>
      <c r="CG218" s="171">
        <f xml:space="preserve"> Предпосылки!CG329</f>
        <v>0</v>
      </c>
      <c r="CH218" s="171">
        <f xml:space="preserve"> Предпосылки!CH329</f>
        <v>0</v>
      </c>
      <c r="CI218" s="171">
        <f xml:space="preserve"> Предпосылки!CI329</f>
        <v>0</v>
      </c>
      <c r="CJ218" s="171">
        <f xml:space="preserve"> Предпосылки!CJ329</f>
        <v>0</v>
      </c>
      <c r="CK218" s="171">
        <f xml:space="preserve"> Предпосылки!CK329</f>
        <v>0</v>
      </c>
      <c r="CL218" s="171">
        <f xml:space="preserve"> Предпосылки!CL329</f>
        <v>0</v>
      </c>
      <c r="CM218" s="171">
        <f xml:space="preserve"> Предпосылки!CM329</f>
        <v>0</v>
      </c>
      <c r="CN218" s="171">
        <f xml:space="preserve"> Предпосылки!CN329</f>
        <v>0</v>
      </c>
      <c r="CO218" s="171">
        <f xml:space="preserve"> Предпосылки!CO329</f>
        <v>0</v>
      </c>
    </row>
    <row r="219" spans="1:93">
      <c r="A219" s="77"/>
      <c r="B219" s="168"/>
      <c r="C219" s="17" t="s">
        <v>632</v>
      </c>
      <c r="D219" s="10"/>
      <c r="E219" s="184">
        <f xml:space="preserve"> Предпосылки!E323 * $I$113 * $I$96</f>
        <v>0</v>
      </c>
      <c r="F219" s="11"/>
      <c r="G219" s="11" t="str">
        <f>Monetary_Unit</f>
        <v>тыс. руб.</v>
      </c>
      <c r="H219" s="10"/>
      <c r="I219" s="10"/>
      <c r="J219" s="10"/>
      <c r="K219" s="10"/>
      <c r="L219" s="171">
        <f xml:space="preserve"> Предпосылки!L330</f>
        <v>0</v>
      </c>
      <c r="M219" s="171">
        <f xml:space="preserve"> Предпосылки!M330</f>
        <v>0</v>
      </c>
      <c r="N219" s="171">
        <f xml:space="preserve"> Предпосылки!N330</f>
        <v>1</v>
      </c>
      <c r="O219" s="171">
        <f xml:space="preserve"> Предпосылки!O330</f>
        <v>0</v>
      </c>
      <c r="P219" s="171">
        <f xml:space="preserve"> Предпосылки!P330</f>
        <v>0</v>
      </c>
      <c r="Q219" s="171">
        <f xml:space="preserve"> Предпосылки!Q330</f>
        <v>0</v>
      </c>
      <c r="R219" s="171">
        <f xml:space="preserve"> Предпосылки!R330</f>
        <v>0</v>
      </c>
      <c r="S219" s="171">
        <f xml:space="preserve"> Предпосылки!S330</f>
        <v>0</v>
      </c>
      <c r="T219" s="171">
        <f xml:space="preserve"> Предпосылки!T330</f>
        <v>0</v>
      </c>
      <c r="U219" s="171">
        <f xml:space="preserve"> Предпосылки!U330</f>
        <v>0</v>
      </c>
      <c r="V219" s="171">
        <f xml:space="preserve"> Предпосылки!V330</f>
        <v>0</v>
      </c>
      <c r="W219" s="171">
        <f xml:space="preserve"> Предпосылки!W330</f>
        <v>0</v>
      </c>
      <c r="X219" s="171">
        <f xml:space="preserve"> Предпосылки!X330</f>
        <v>0</v>
      </c>
      <c r="Y219" s="171">
        <f xml:space="preserve"> Предпосылки!Y330</f>
        <v>0</v>
      </c>
      <c r="Z219" s="171">
        <f xml:space="preserve"> Предпосылки!Z330</f>
        <v>0</v>
      </c>
      <c r="AA219" s="171">
        <f xml:space="preserve"> Предпосылки!AA330</f>
        <v>0</v>
      </c>
      <c r="AB219" s="171">
        <f xml:space="preserve"> Предпосылки!AB330</f>
        <v>0</v>
      </c>
      <c r="AC219" s="171">
        <f xml:space="preserve"> Предпосылки!AC330</f>
        <v>0</v>
      </c>
      <c r="AD219" s="171">
        <f xml:space="preserve"> Предпосылки!AD330</f>
        <v>0</v>
      </c>
      <c r="AE219" s="171">
        <f xml:space="preserve"> Предпосылки!AE330</f>
        <v>0</v>
      </c>
      <c r="AF219" s="171">
        <f xml:space="preserve"> Предпосылки!AF330</f>
        <v>0</v>
      </c>
      <c r="AG219" s="171">
        <f xml:space="preserve"> Предпосылки!AG330</f>
        <v>0</v>
      </c>
      <c r="AH219" s="171">
        <f xml:space="preserve"> Предпосылки!AH330</f>
        <v>0</v>
      </c>
      <c r="AI219" s="171">
        <f xml:space="preserve"> Предпосылки!AI330</f>
        <v>0</v>
      </c>
      <c r="AJ219" s="171">
        <f xml:space="preserve"> Предпосылки!AJ330</f>
        <v>0</v>
      </c>
      <c r="AK219" s="171">
        <f xml:space="preserve"> Предпосылки!AK330</f>
        <v>0</v>
      </c>
      <c r="AL219" s="171">
        <f xml:space="preserve"> Предпосылки!AL330</f>
        <v>0</v>
      </c>
      <c r="AM219" s="171">
        <f xml:space="preserve"> Предпосылки!AM330</f>
        <v>0</v>
      </c>
      <c r="AN219" s="171">
        <f xml:space="preserve"> Предпосылки!AN330</f>
        <v>0</v>
      </c>
      <c r="AO219" s="171">
        <f xml:space="preserve"> Предпосылки!AO330</f>
        <v>0</v>
      </c>
      <c r="AP219" s="171">
        <f xml:space="preserve"> Предпосылки!AP330</f>
        <v>0</v>
      </c>
      <c r="AQ219" s="171">
        <f xml:space="preserve"> Предпосылки!AQ330</f>
        <v>0</v>
      </c>
      <c r="AR219" s="171">
        <f xml:space="preserve"> Предпосылки!AR330</f>
        <v>0</v>
      </c>
      <c r="AS219" s="171">
        <f xml:space="preserve"> Предпосылки!AS330</f>
        <v>0</v>
      </c>
      <c r="AT219" s="171">
        <f xml:space="preserve"> Предпосылки!AT330</f>
        <v>0</v>
      </c>
      <c r="AU219" s="171">
        <f xml:space="preserve"> Предпосылки!AU330</f>
        <v>0</v>
      </c>
      <c r="AV219" s="171">
        <f xml:space="preserve"> Предпосылки!AV330</f>
        <v>0</v>
      </c>
      <c r="AW219" s="171">
        <f xml:space="preserve"> Предпосылки!AW330</f>
        <v>0</v>
      </c>
      <c r="AX219" s="171">
        <f xml:space="preserve"> Предпосылки!AX330</f>
        <v>0</v>
      </c>
      <c r="AY219" s="171">
        <f xml:space="preserve"> Предпосылки!AY330</f>
        <v>0</v>
      </c>
      <c r="AZ219" s="171">
        <f xml:space="preserve"> Предпосылки!AZ330</f>
        <v>0</v>
      </c>
      <c r="BA219" s="171">
        <f xml:space="preserve"> Предпосылки!BA330</f>
        <v>0</v>
      </c>
      <c r="BB219" s="171">
        <f xml:space="preserve"> Предпосылки!BB330</f>
        <v>0</v>
      </c>
      <c r="BC219" s="171">
        <f xml:space="preserve"> Предпосылки!BC330</f>
        <v>0</v>
      </c>
      <c r="BD219" s="171">
        <f xml:space="preserve"> Предпосылки!BD330</f>
        <v>0</v>
      </c>
      <c r="BE219" s="171">
        <f xml:space="preserve"> Предпосылки!BE330</f>
        <v>0</v>
      </c>
      <c r="BF219" s="171">
        <f xml:space="preserve"> Предпосылки!BF330</f>
        <v>0</v>
      </c>
      <c r="BG219" s="171">
        <f xml:space="preserve"> Предпосылки!BG330</f>
        <v>0</v>
      </c>
      <c r="BH219" s="171">
        <f xml:space="preserve"> Предпосылки!BH330</f>
        <v>0</v>
      </c>
      <c r="BI219" s="171">
        <f xml:space="preserve"> Предпосылки!BI330</f>
        <v>0</v>
      </c>
      <c r="BJ219" s="171">
        <f xml:space="preserve"> Предпосылки!BJ330</f>
        <v>0</v>
      </c>
      <c r="BK219" s="171">
        <f xml:space="preserve"> Предпосылки!BK330</f>
        <v>0</v>
      </c>
      <c r="BL219" s="171">
        <f xml:space="preserve"> Предпосылки!BL330</f>
        <v>0</v>
      </c>
      <c r="BM219" s="171">
        <f xml:space="preserve"> Предпосылки!BM330</f>
        <v>0</v>
      </c>
      <c r="BN219" s="171">
        <f xml:space="preserve"> Предпосылки!BN330</f>
        <v>0</v>
      </c>
      <c r="BO219" s="171">
        <f xml:space="preserve"> Предпосылки!BO330</f>
        <v>0</v>
      </c>
      <c r="BP219" s="171">
        <f xml:space="preserve"> Предпосылки!BP330</f>
        <v>0</v>
      </c>
      <c r="BQ219" s="171">
        <f xml:space="preserve"> Предпосылки!BQ330</f>
        <v>0</v>
      </c>
      <c r="BR219" s="171">
        <f xml:space="preserve"> Предпосылки!BR330</f>
        <v>0</v>
      </c>
      <c r="BS219" s="171">
        <f xml:space="preserve"> Предпосылки!BS330</f>
        <v>0</v>
      </c>
      <c r="BT219" s="171">
        <f xml:space="preserve"> Предпосылки!BT330</f>
        <v>0</v>
      </c>
      <c r="BU219" s="171">
        <f xml:space="preserve"> Предпосылки!BU330</f>
        <v>0</v>
      </c>
      <c r="BV219" s="171">
        <f xml:space="preserve"> Предпосылки!BV330</f>
        <v>0</v>
      </c>
      <c r="BW219" s="171">
        <f xml:space="preserve"> Предпосылки!BW330</f>
        <v>0</v>
      </c>
      <c r="BX219" s="171">
        <f xml:space="preserve"> Предпосылки!BX330</f>
        <v>0</v>
      </c>
      <c r="BY219" s="171">
        <f xml:space="preserve"> Предпосылки!BY330</f>
        <v>0</v>
      </c>
      <c r="BZ219" s="171">
        <f xml:space="preserve"> Предпосылки!BZ330</f>
        <v>0</v>
      </c>
      <c r="CA219" s="171">
        <f xml:space="preserve"> Предпосылки!CA330</f>
        <v>0</v>
      </c>
      <c r="CB219" s="171">
        <f xml:space="preserve"> Предпосылки!CB330</f>
        <v>0</v>
      </c>
      <c r="CC219" s="171">
        <f xml:space="preserve"> Предпосылки!CC330</f>
        <v>0</v>
      </c>
      <c r="CD219" s="171">
        <f xml:space="preserve"> Предпосылки!CD330</f>
        <v>0</v>
      </c>
      <c r="CE219" s="171">
        <f xml:space="preserve"> Предпосылки!CE330</f>
        <v>0</v>
      </c>
      <c r="CF219" s="171">
        <f xml:space="preserve"> Предпосылки!CF330</f>
        <v>0</v>
      </c>
      <c r="CG219" s="171">
        <f xml:space="preserve"> Предпосылки!CG330</f>
        <v>0</v>
      </c>
      <c r="CH219" s="171">
        <f xml:space="preserve"> Предпосылки!CH330</f>
        <v>0</v>
      </c>
      <c r="CI219" s="171">
        <f xml:space="preserve"> Предпосылки!CI330</f>
        <v>0</v>
      </c>
      <c r="CJ219" s="171">
        <f xml:space="preserve"> Предпосылки!CJ330</f>
        <v>0</v>
      </c>
      <c r="CK219" s="171">
        <f xml:space="preserve"> Предпосылки!CK330</f>
        <v>0</v>
      </c>
      <c r="CL219" s="171">
        <f xml:space="preserve"> Предпосылки!CL330</f>
        <v>0</v>
      </c>
      <c r="CM219" s="171">
        <f xml:space="preserve"> Предпосылки!CM330</f>
        <v>0</v>
      </c>
      <c r="CN219" s="171">
        <f xml:space="preserve"> Предпосылки!CN330</f>
        <v>0</v>
      </c>
      <c r="CO219" s="171">
        <f xml:space="preserve"> Предпосылки!CO330</f>
        <v>0</v>
      </c>
    </row>
    <row r="220" spans="1:93">
      <c r="A220" s="77"/>
      <c r="B220" s="168"/>
      <c r="C220" s="17" t="s">
        <v>821</v>
      </c>
      <c r="D220" s="10"/>
      <c r="E220" s="184">
        <f xml:space="preserve"> Предпосылки!E324 * $I$113 * $I$96</f>
        <v>0</v>
      </c>
      <c r="F220" s="11"/>
      <c r="G220" s="11" t="str">
        <f>Monetary_Unit</f>
        <v>тыс. руб.</v>
      </c>
      <c r="H220" s="10"/>
      <c r="I220" s="10"/>
      <c r="J220" s="10"/>
      <c r="K220" s="10"/>
      <c r="L220" s="171">
        <f xml:space="preserve"> Предпосылки!L331</f>
        <v>0</v>
      </c>
      <c r="M220" s="171">
        <f xml:space="preserve"> Предпосылки!M331</f>
        <v>0</v>
      </c>
      <c r="N220" s="171">
        <f xml:space="preserve"> Предпосылки!N331</f>
        <v>0</v>
      </c>
      <c r="O220" s="171">
        <f xml:space="preserve"> Предпосылки!O331</f>
        <v>0</v>
      </c>
      <c r="P220" s="171">
        <f xml:space="preserve"> Предпосылки!P331</f>
        <v>8.3333333333333329E-2</v>
      </c>
      <c r="Q220" s="171">
        <f xml:space="preserve"> Предпосылки!Q331</f>
        <v>8.3333333333333329E-2</v>
      </c>
      <c r="R220" s="171">
        <f xml:space="preserve"> Предпосылки!R331</f>
        <v>8.3333333333333343E-2</v>
      </c>
      <c r="S220" s="171">
        <f xml:space="preserve"> Предпосылки!S331</f>
        <v>8.3333333333333329E-2</v>
      </c>
      <c r="T220" s="171">
        <f xml:space="preserve"> Предпосылки!T331</f>
        <v>8.3333333333333343E-2</v>
      </c>
      <c r="U220" s="171">
        <f xml:space="preserve"> Предпосылки!U331</f>
        <v>8.3333333333333343E-2</v>
      </c>
      <c r="V220" s="171">
        <f xml:space="preserve"> Предпосылки!V331</f>
        <v>8.3333333333333329E-2</v>
      </c>
      <c r="W220" s="171">
        <f xml:space="preserve"> Предпосылки!W331</f>
        <v>8.3333333333333329E-2</v>
      </c>
      <c r="X220" s="171">
        <f xml:space="preserve"> Предпосылки!X331</f>
        <v>8.3333333333333315E-2</v>
      </c>
      <c r="Y220" s="171">
        <f xml:space="preserve"> Предпосылки!Y331</f>
        <v>8.3333333333333329E-2</v>
      </c>
      <c r="Z220" s="171">
        <f xml:space="preserve"> Предпосылки!Z331</f>
        <v>8.3333333333333315E-2</v>
      </c>
      <c r="AA220" s="171">
        <f xml:space="preserve"> Предпосылки!AA331</f>
        <v>8.3333333333333259E-2</v>
      </c>
      <c r="AB220" s="171">
        <f xml:space="preserve"> Предпосылки!AB331</f>
        <v>0</v>
      </c>
      <c r="AC220" s="171">
        <f xml:space="preserve"> Предпосылки!AC331</f>
        <v>0</v>
      </c>
      <c r="AD220" s="171">
        <f xml:space="preserve"> Предпосылки!AD331</f>
        <v>0</v>
      </c>
      <c r="AE220" s="171">
        <f xml:space="preserve"> Предпосылки!AE331</f>
        <v>0</v>
      </c>
      <c r="AF220" s="171">
        <f xml:space="preserve"> Предпосылки!AF331</f>
        <v>0</v>
      </c>
      <c r="AG220" s="171">
        <f xml:space="preserve"> Предпосылки!AG331</f>
        <v>0</v>
      </c>
      <c r="AH220" s="171">
        <f xml:space="preserve"> Предпосылки!AH331</f>
        <v>0</v>
      </c>
      <c r="AI220" s="171">
        <f xml:space="preserve"> Предпосылки!AI331</f>
        <v>0</v>
      </c>
      <c r="AJ220" s="171">
        <f xml:space="preserve"> Предпосылки!AJ331</f>
        <v>0</v>
      </c>
      <c r="AK220" s="171">
        <f xml:space="preserve"> Предпосылки!AK331</f>
        <v>0</v>
      </c>
      <c r="AL220" s="171">
        <f xml:space="preserve"> Предпосылки!AL331</f>
        <v>0</v>
      </c>
      <c r="AM220" s="171">
        <f xml:space="preserve"> Предпосылки!AM331</f>
        <v>0</v>
      </c>
      <c r="AN220" s="171">
        <f xml:space="preserve"> Предпосылки!AN331</f>
        <v>0</v>
      </c>
      <c r="AO220" s="171">
        <f xml:space="preserve"> Предпосылки!AO331</f>
        <v>0</v>
      </c>
      <c r="AP220" s="171">
        <f xml:space="preserve"> Предпосылки!AP331</f>
        <v>0</v>
      </c>
      <c r="AQ220" s="171">
        <f xml:space="preserve"> Предпосылки!AQ331</f>
        <v>0</v>
      </c>
      <c r="AR220" s="171">
        <f xml:space="preserve"> Предпосылки!AR331</f>
        <v>0</v>
      </c>
      <c r="AS220" s="171">
        <f xml:space="preserve"> Предпосылки!AS331</f>
        <v>0</v>
      </c>
      <c r="AT220" s="171">
        <f xml:space="preserve"> Предпосылки!AT331</f>
        <v>0</v>
      </c>
      <c r="AU220" s="171">
        <f xml:space="preserve"> Предпосылки!AU331</f>
        <v>0</v>
      </c>
      <c r="AV220" s="171">
        <f xml:space="preserve"> Предпосылки!AV331</f>
        <v>0</v>
      </c>
      <c r="AW220" s="171">
        <f xml:space="preserve"> Предпосылки!AW331</f>
        <v>0</v>
      </c>
      <c r="AX220" s="171">
        <f xml:space="preserve"> Предпосылки!AX331</f>
        <v>0</v>
      </c>
      <c r="AY220" s="171">
        <f xml:space="preserve"> Предпосылки!AY331</f>
        <v>0</v>
      </c>
      <c r="AZ220" s="171">
        <f xml:space="preserve"> Предпосылки!AZ331</f>
        <v>0</v>
      </c>
      <c r="BA220" s="171">
        <f xml:space="preserve"> Предпосылки!BA331</f>
        <v>0</v>
      </c>
      <c r="BB220" s="171">
        <f xml:space="preserve"> Предпосылки!BB331</f>
        <v>0</v>
      </c>
      <c r="BC220" s="171">
        <f xml:space="preserve"> Предпосылки!BC331</f>
        <v>0</v>
      </c>
      <c r="BD220" s="171">
        <f xml:space="preserve"> Предпосылки!BD331</f>
        <v>0</v>
      </c>
      <c r="BE220" s="171">
        <f xml:space="preserve"> Предпосылки!BE331</f>
        <v>0</v>
      </c>
      <c r="BF220" s="171">
        <f xml:space="preserve"> Предпосылки!BF331</f>
        <v>0</v>
      </c>
      <c r="BG220" s="171">
        <f xml:space="preserve"> Предпосылки!BG331</f>
        <v>0</v>
      </c>
      <c r="BH220" s="171">
        <f xml:space="preserve"> Предпосылки!BH331</f>
        <v>0</v>
      </c>
      <c r="BI220" s="171">
        <f xml:space="preserve"> Предпосылки!BI331</f>
        <v>0</v>
      </c>
      <c r="BJ220" s="171">
        <f xml:space="preserve"> Предпосылки!BJ331</f>
        <v>0</v>
      </c>
      <c r="BK220" s="171">
        <f xml:space="preserve"> Предпосылки!BK331</f>
        <v>0</v>
      </c>
      <c r="BL220" s="171">
        <f xml:space="preserve"> Предпосылки!BL331</f>
        <v>0</v>
      </c>
      <c r="BM220" s="171">
        <f xml:space="preserve"> Предпосылки!BM331</f>
        <v>0</v>
      </c>
      <c r="BN220" s="171">
        <f xml:space="preserve"> Предпосылки!BN331</f>
        <v>0</v>
      </c>
      <c r="BO220" s="171">
        <f xml:space="preserve"> Предпосылки!BO331</f>
        <v>0</v>
      </c>
      <c r="BP220" s="171">
        <f xml:space="preserve"> Предпосылки!BP331</f>
        <v>0</v>
      </c>
      <c r="BQ220" s="171">
        <f xml:space="preserve"> Предпосылки!BQ331</f>
        <v>0</v>
      </c>
      <c r="BR220" s="171">
        <f xml:space="preserve"> Предпосылки!BR331</f>
        <v>0</v>
      </c>
      <c r="BS220" s="171">
        <f xml:space="preserve"> Предпосылки!BS331</f>
        <v>0</v>
      </c>
      <c r="BT220" s="171">
        <f xml:space="preserve"> Предпосылки!BT331</f>
        <v>0</v>
      </c>
      <c r="BU220" s="171">
        <f xml:space="preserve"> Предпосылки!BU331</f>
        <v>0</v>
      </c>
      <c r="BV220" s="171">
        <f xml:space="preserve"> Предпосылки!BV331</f>
        <v>0</v>
      </c>
      <c r="BW220" s="171">
        <f xml:space="preserve"> Предпосылки!BW331</f>
        <v>0</v>
      </c>
      <c r="BX220" s="171">
        <f xml:space="preserve"> Предпосылки!BX331</f>
        <v>0</v>
      </c>
      <c r="BY220" s="171">
        <f xml:space="preserve"> Предпосылки!BY331</f>
        <v>0</v>
      </c>
      <c r="BZ220" s="171">
        <f xml:space="preserve"> Предпосылки!BZ331</f>
        <v>0</v>
      </c>
      <c r="CA220" s="171">
        <f xml:space="preserve"> Предпосылки!CA331</f>
        <v>0</v>
      </c>
      <c r="CB220" s="171">
        <f xml:space="preserve"> Предпосылки!CB331</f>
        <v>0</v>
      </c>
      <c r="CC220" s="171">
        <f xml:space="preserve"> Предпосылки!CC331</f>
        <v>0</v>
      </c>
      <c r="CD220" s="171">
        <f xml:space="preserve"> Предпосылки!CD331</f>
        <v>0</v>
      </c>
      <c r="CE220" s="171">
        <f xml:space="preserve"> Предпосылки!CE331</f>
        <v>0</v>
      </c>
      <c r="CF220" s="171">
        <f xml:space="preserve"> Предпосылки!CF331</f>
        <v>0</v>
      </c>
      <c r="CG220" s="171">
        <f xml:space="preserve"> Предпосылки!CG331</f>
        <v>0</v>
      </c>
      <c r="CH220" s="171">
        <f xml:space="preserve"> Предпосылки!CH331</f>
        <v>0</v>
      </c>
      <c r="CI220" s="171">
        <f xml:space="preserve"> Предпосылки!CI331</f>
        <v>0</v>
      </c>
      <c r="CJ220" s="171">
        <f xml:space="preserve"> Предпосылки!CJ331</f>
        <v>0</v>
      </c>
      <c r="CK220" s="171">
        <f xml:space="preserve"> Предпосылки!CK331</f>
        <v>0</v>
      </c>
      <c r="CL220" s="171">
        <f xml:space="preserve"> Предпосылки!CL331</f>
        <v>0</v>
      </c>
      <c r="CM220" s="171">
        <f xml:space="preserve"> Предпосылки!CM331</f>
        <v>0</v>
      </c>
      <c r="CN220" s="171">
        <f xml:space="preserve"> Предпосылки!CN331</f>
        <v>0</v>
      </c>
      <c r="CO220" s="171">
        <f xml:space="preserve"> Предпосылки!CO331</f>
        <v>0</v>
      </c>
    </row>
    <row r="221" spans="1:93">
      <c r="A221" s="77"/>
      <c r="B221" s="168"/>
      <c r="C221" s="17" t="s">
        <v>797</v>
      </c>
      <c r="D221" s="10"/>
      <c r="E221" s="232">
        <f xml:space="preserve"> Предпосылки!E319</f>
        <v>0.01</v>
      </c>
      <c r="F221" s="11"/>
      <c r="G221" s="11" t="s">
        <v>625</v>
      </c>
      <c r="H221" s="10"/>
      <c r="I221" s="10"/>
      <c r="J221" s="10"/>
      <c r="K221" s="1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  <c r="Z221" s="170"/>
      <c r="AA221" s="170"/>
      <c r="AB221" s="170"/>
      <c r="AC221" s="170"/>
      <c r="AD221" s="170"/>
      <c r="AE221" s="170"/>
      <c r="AF221" s="170"/>
      <c r="AG221" s="170"/>
      <c r="AH221" s="170"/>
      <c r="AI221" s="170"/>
      <c r="AJ221" s="170"/>
      <c r="AK221" s="170"/>
      <c r="AL221" s="170"/>
      <c r="AM221" s="170"/>
      <c r="AN221" s="170"/>
      <c r="AO221" s="170"/>
      <c r="AP221" s="170"/>
      <c r="AQ221" s="170"/>
      <c r="AR221" s="170"/>
      <c r="AS221" s="170"/>
      <c r="AT221" s="170"/>
      <c r="AU221" s="170"/>
      <c r="AV221" s="170"/>
      <c r="AW221" s="170"/>
      <c r="AX221" s="170"/>
      <c r="AY221" s="170"/>
      <c r="AZ221" s="170"/>
      <c r="BA221" s="170"/>
      <c r="BB221" s="170"/>
      <c r="BC221" s="170"/>
      <c r="BD221" s="170"/>
      <c r="BE221" s="170"/>
      <c r="BF221" s="170"/>
      <c r="BG221" s="170"/>
      <c r="BH221" s="170"/>
      <c r="BI221" s="170"/>
      <c r="BJ221" s="170"/>
      <c r="BK221" s="170"/>
      <c r="BL221" s="170"/>
      <c r="BM221" s="170"/>
      <c r="BN221" s="170"/>
      <c r="BO221" s="170"/>
      <c r="BP221" s="170"/>
      <c r="BQ221" s="170"/>
      <c r="BR221" s="170"/>
      <c r="BS221" s="170"/>
      <c r="BT221" s="170"/>
      <c r="BU221" s="170"/>
      <c r="BV221" s="170"/>
      <c r="BW221" s="170"/>
      <c r="BX221" s="170"/>
      <c r="BY221" s="170"/>
      <c r="BZ221" s="170"/>
      <c r="CA221" s="170"/>
      <c r="CB221" s="170"/>
      <c r="CC221" s="170"/>
      <c r="CD221" s="170"/>
      <c r="CE221" s="170"/>
      <c r="CF221" s="170"/>
      <c r="CG221" s="170"/>
      <c r="CH221" s="170"/>
      <c r="CI221" s="170"/>
      <c r="CJ221" s="170"/>
      <c r="CK221" s="170"/>
      <c r="CL221" s="170"/>
      <c r="CM221" s="170"/>
      <c r="CN221" s="170"/>
      <c r="CO221" s="170"/>
    </row>
    <row r="222" spans="1:93">
      <c r="A222" s="77"/>
      <c r="B222" s="168"/>
      <c r="C222" s="169"/>
      <c r="D222" s="10"/>
      <c r="E222" s="62"/>
      <c r="F222" s="11"/>
      <c r="G222" s="11"/>
      <c r="H222" s="10"/>
      <c r="I222" s="10"/>
      <c r="J222" s="10"/>
      <c r="K222" s="1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  <c r="Z222" s="170"/>
      <c r="AA222" s="170"/>
      <c r="AB222" s="170"/>
      <c r="AC222" s="170"/>
      <c r="AD222" s="170"/>
      <c r="AE222" s="170"/>
      <c r="AF222" s="170"/>
      <c r="AG222" s="170"/>
      <c r="AH222" s="170"/>
      <c r="AI222" s="170"/>
      <c r="AJ222" s="170"/>
      <c r="AK222" s="170"/>
      <c r="AL222" s="170"/>
      <c r="AM222" s="170"/>
      <c r="AN222" s="170"/>
      <c r="AO222" s="170"/>
      <c r="AP222" s="170"/>
      <c r="AQ222" s="170"/>
      <c r="AR222" s="170"/>
      <c r="AS222" s="170"/>
      <c r="AT222" s="170"/>
      <c r="AU222" s="170"/>
      <c r="AV222" s="170"/>
      <c r="AW222" s="170"/>
      <c r="AX222" s="170"/>
      <c r="AY222" s="170"/>
      <c r="AZ222" s="170"/>
      <c r="BA222" s="170"/>
      <c r="BB222" s="170"/>
      <c r="BC222" s="170"/>
      <c r="BD222" s="170"/>
      <c r="BE222" s="170"/>
      <c r="BF222" s="170"/>
      <c r="BG222" s="170"/>
      <c r="BH222" s="170"/>
      <c r="BI222" s="170"/>
      <c r="BJ222" s="170"/>
      <c r="BK222" s="170"/>
      <c r="BL222" s="170"/>
      <c r="BM222" s="170"/>
      <c r="BN222" s="170"/>
      <c r="BO222" s="170"/>
      <c r="BP222" s="170"/>
      <c r="BQ222" s="170"/>
      <c r="BR222" s="170"/>
      <c r="BS222" s="170"/>
      <c r="BT222" s="170"/>
      <c r="BU222" s="170"/>
      <c r="BV222" s="170"/>
      <c r="BW222" s="170"/>
      <c r="BX222" s="170"/>
      <c r="BY222" s="170"/>
      <c r="BZ222" s="170"/>
      <c r="CA222" s="170"/>
      <c r="CB222" s="170"/>
      <c r="CC222" s="170"/>
      <c r="CD222" s="170"/>
      <c r="CE222" s="170"/>
      <c r="CF222" s="170"/>
      <c r="CG222" s="170"/>
      <c r="CH222" s="170"/>
      <c r="CI222" s="170"/>
      <c r="CJ222" s="170"/>
      <c r="CK222" s="170"/>
      <c r="CL222" s="170"/>
      <c r="CM222" s="170"/>
      <c r="CN222" s="170"/>
      <c r="CO222" s="170"/>
    </row>
    <row r="223" spans="1:93">
      <c r="A223" s="77"/>
      <c r="B223" s="168"/>
      <c r="C223" s="17" t="s">
        <v>630</v>
      </c>
      <c r="D223" s="10"/>
      <c r="E223" s="62"/>
      <c r="F223" s="11"/>
      <c r="G223" s="11" t="str">
        <f>Monetary_Unit</f>
        <v>тыс. руб.</v>
      </c>
      <c r="H223" s="10"/>
      <c r="I223" s="23">
        <f>SUM(L223:CO223)</f>
        <v>0</v>
      </c>
      <c r="J223" s="10"/>
      <c r="K223" s="10"/>
      <c r="L223" s="10">
        <f xml:space="preserve"> $E218 * L218</f>
        <v>0</v>
      </c>
      <c r="M223" s="10">
        <f t="shared" ref="M223:BX224" si="347" xml:space="preserve"> $E218 * M218</f>
        <v>0</v>
      </c>
      <c r="N223" s="10">
        <f t="shared" si="347"/>
        <v>0</v>
      </c>
      <c r="O223" s="10">
        <f t="shared" si="347"/>
        <v>0</v>
      </c>
      <c r="P223" s="10">
        <f t="shared" si="347"/>
        <v>0</v>
      </c>
      <c r="Q223" s="10">
        <f t="shared" si="347"/>
        <v>0</v>
      </c>
      <c r="R223" s="10">
        <f t="shared" si="347"/>
        <v>0</v>
      </c>
      <c r="S223" s="10">
        <f t="shared" si="347"/>
        <v>0</v>
      </c>
      <c r="T223" s="10">
        <f t="shared" si="347"/>
        <v>0</v>
      </c>
      <c r="U223" s="10">
        <f t="shared" si="347"/>
        <v>0</v>
      </c>
      <c r="V223" s="10">
        <f t="shared" si="347"/>
        <v>0</v>
      </c>
      <c r="W223" s="10">
        <f t="shared" si="347"/>
        <v>0</v>
      </c>
      <c r="X223" s="10">
        <f t="shared" si="347"/>
        <v>0</v>
      </c>
      <c r="Y223" s="10">
        <f t="shared" si="347"/>
        <v>0</v>
      </c>
      <c r="Z223" s="10">
        <f t="shared" si="347"/>
        <v>0</v>
      </c>
      <c r="AA223" s="10">
        <f t="shared" si="347"/>
        <v>0</v>
      </c>
      <c r="AB223" s="10">
        <f t="shared" si="347"/>
        <v>0</v>
      </c>
      <c r="AC223" s="10">
        <f t="shared" si="347"/>
        <v>0</v>
      </c>
      <c r="AD223" s="10">
        <f t="shared" si="347"/>
        <v>0</v>
      </c>
      <c r="AE223" s="10">
        <f t="shared" si="347"/>
        <v>0</v>
      </c>
      <c r="AF223" s="10">
        <f t="shared" si="347"/>
        <v>0</v>
      </c>
      <c r="AG223" s="10">
        <f t="shared" si="347"/>
        <v>0</v>
      </c>
      <c r="AH223" s="10">
        <f t="shared" si="347"/>
        <v>0</v>
      </c>
      <c r="AI223" s="10">
        <f t="shared" si="347"/>
        <v>0</v>
      </c>
      <c r="AJ223" s="10">
        <f t="shared" si="347"/>
        <v>0</v>
      </c>
      <c r="AK223" s="10">
        <f t="shared" si="347"/>
        <v>0</v>
      </c>
      <c r="AL223" s="10">
        <f t="shared" si="347"/>
        <v>0</v>
      </c>
      <c r="AM223" s="10">
        <f t="shared" si="347"/>
        <v>0</v>
      </c>
      <c r="AN223" s="10">
        <f t="shared" si="347"/>
        <v>0</v>
      </c>
      <c r="AO223" s="10">
        <f t="shared" si="347"/>
        <v>0</v>
      </c>
      <c r="AP223" s="10">
        <f t="shared" si="347"/>
        <v>0</v>
      </c>
      <c r="AQ223" s="10">
        <f t="shared" si="347"/>
        <v>0</v>
      </c>
      <c r="AR223" s="10">
        <f t="shared" si="347"/>
        <v>0</v>
      </c>
      <c r="AS223" s="10">
        <f t="shared" si="347"/>
        <v>0</v>
      </c>
      <c r="AT223" s="10">
        <f t="shared" si="347"/>
        <v>0</v>
      </c>
      <c r="AU223" s="10">
        <f t="shared" si="347"/>
        <v>0</v>
      </c>
      <c r="AV223" s="10">
        <f t="shared" si="347"/>
        <v>0</v>
      </c>
      <c r="AW223" s="10">
        <f t="shared" si="347"/>
        <v>0</v>
      </c>
      <c r="AX223" s="10">
        <f t="shared" si="347"/>
        <v>0</v>
      </c>
      <c r="AY223" s="10">
        <f t="shared" si="347"/>
        <v>0</v>
      </c>
      <c r="AZ223" s="10">
        <f t="shared" si="347"/>
        <v>0</v>
      </c>
      <c r="BA223" s="10">
        <f t="shared" si="347"/>
        <v>0</v>
      </c>
      <c r="BB223" s="10">
        <f t="shared" si="347"/>
        <v>0</v>
      </c>
      <c r="BC223" s="10">
        <f t="shared" si="347"/>
        <v>0</v>
      </c>
      <c r="BD223" s="10">
        <f t="shared" si="347"/>
        <v>0</v>
      </c>
      <c r="BE223" s="10">
        <f t="shared" si="347"/>
        <v>0</v>
      </c>
      <c r="BF223" s="10">
        <f t="shared" si="347"/>
        <v>0</v>
      </c>
      <c r="BG223" s="10">
        <f t="shared" si="347"/>
        <v>0</v>
      </c>
      <c r="BH223" s="10">
        <f t="shared" si="347"/>
        <v>0</v>
      </c>
      <c r="BI223" s="10">
        <f t="shared" si="347"/>
        <v>0</v>
      </c>
      <c r="BJ223" s="10">
        <f t="shared" si="347"/>
        <v>0</v>
      </c>
      <c r="BK223" s="10">
        <f t="shared" si="347"/>
        <v>0</v>
      </c>
      <c r="BL223" s="10">
        <f t="shared" si="347"/>
        <v>0</v>
      </c>
      <c r="BM223" s="10">
        <f t="shared" si="347"/>
        <v>0</v>
      </c>
      <c r="BN223" s="10">
        <f t="shared" si="347"/>
        <v>0</v>
      </c>
      <c r="BO223" s="10">
        <f t="shared" si="347"/>
        <v>0</v>
      </c>
      <c r="BP223" s="10">
        <f t="shared" si="347"/>
        <v>0</v>
      </c>
      <c r="BQ223" s="10">
        <f t="shared" si="347"/>
        <v>0</v>
      </c>
      <c r="BR223" s="10">
        <f t="shared" si="347"/>
        <v>0</v>
      </c>
      <c r="BS223" s="10">
        <f t="shared" si="347"/>
        <v>0</v>
      </c>
      <c r="BT223" s="10">
        <f t="shared" si="347"/>
        <v>0</v>
      </c>
      <c r="BU223" s="10">
        <f t="shared" si="347"/>
        <v>0</v>
      </c>
      <c r="BV223" s="10">
        <f t="shared" si="347"/>
        <v>0</v>
      </c>
      <c r="BW223" s="10">
        <f t="shared" si="347"/>
        <v>0</v>
      </c>
      <c r="BX223" s="10">
        <f t="shared" si="347"/>
        <v>0</v>
      </c>
      <c r="BY223" s="10">
        <f t="shared" ref="BY223:CO225" si="348" xml:space="preserve"> $E218 * BY218</f>
        <v>0</v>
      </c>
      <c r="BZ223" s="10">
        <f t="shared" si="348"/>
        <v>0</v>
      </c>
      <c r="CA223" s="10">
        <f t="shared" si="348"/>
        <v>0</v>
      </c>
      <c r="CB223" s="10">
        <f t="shared" si="348"/>
        <v>0</v>
      </c>
      <c r="CC223" s="10">
        <f t="shared" si="348"/>
        <v>0</v>
      </c>
      <c r="CD223" s="10">
        <f t="shared" si="348"/>
        <v>0</v>
      </c>
      <c r="CE223" s="10">
        <f t="shared" si="348"/>
        <v>0</v>
      </c>
      <c r="CF223" s="10">
        <f t="shared" si="348"/>
        <v>0</v>
      </c>
      <c r="CG223" s="10">
        <f t="shared" si="348"/>
        <v>0</v>
      </c>
      <c r="CH223" s="10">
        <f t="shared" si="348"/>
        <v>0</v>
      </c>
      <c r="CI223" s="10">
        <f t="shared" si="348"/>
        <v>0</v>
      </c>
      <c r="CJ223" s="10">
        <f t="shared" si="348"/>
        <v>0</v>
      </c>
      <c r="CK223" s="10">
        <f t="shared" si="348"/>
        <v>0</v>
      </c>
      <c r="CL223" s="10">
        <f t="shared" si="348"/>
        <v>0</v>
      </c>
      <c r="CM223" s="10">
        <f t="shared" si="348"/>
        <v>0</v>
      </c>
      <c r="CN223" s="10">
        <f t="shared" si="348"/>
        <v>0</v>
      </c>
      <c r="CO223" s="10">
        <f t="shared" si="348"/>
        <v>0</v>
      </c>
    </row>
    <row r="224" spans="1:93">
      <c r="A224" s="77"/>
      <c r="B224" s="168"/>
      <c r="C224" s="17" t="s">
        <v>632</v>
      </c>
      <c r="D224" s="10"/>
      <c r="E224" s="62"/>
      <c r="F224" s="11"/>
      <c r="G224" s="11" t="str">
        <f>Monetary_Unit</f>
        <v>тыс. руб.</v>
      </c>
      <c r="H224" s="10"/>
      <c r="I224" s="23">
        <f>SUM(L224:CO224)</f>
        <v>0</v>
      </c>
      <c r="J224" s="10"/>
      <c r="K224" s="10"/>
      <c r="L224" s="10">
        <f t="shared" ref="L224:AA225" si="349" xml:space="preserve"> $E219 * L219</f>
        <v>0</v>
      </c>
      <c r="M224" s="10">
        <f t="shared" si="349"/>
        <v>0</v>
      </c>
      <c r="N224" s="10">
        <f t="shared" si="349"/>
        <v>0</v>
      </c>
      <c r="O224" s="10">
        <f t="shared" si="349"/>
        <v>0</v>
      </c>
      <c r="P224" s="10">
        <f t="shared" si="349"/>
        <v>0</v>
      </c>
      <c r="Q224" s="10">
        <f t="shared" si="349"/>
        <v>0</v>
      </c>
      <c r="R224" s="10">
        <f t="shared" si="349"/>
        <v>0</v>
      </c>
      <c r="S224" s="10">
        <f t="shared" si="349"/>
        <v>0</v>
      </c>
      <c r="T224" s="10">
        <f t="shared" si="349"/>
        <v>0</v>
      </c>
      <c r="U224" s="10">
        <f t="shared" si="349"/>
        <v>0</v>
      </c>
      <c r="V224" s="10">
        <f t="shared" si="349"/>
        <v>0</v>
      </c>
      <c r="W224" s="10">
        <f t="shared" si="349"/>
        <v>0</v>
      </c>
      <c r="X224" s="10">
        <f t="shared" si="349"/>
        <v>0</v>
      </c>
      <c r="Y224" s="10">
        <f t="shared" si="349"/>
        <v>0</v>
      </c>
      <c r="Z224" s="10">
        <f t="shared" si="349"/>
        <v>0</v>
      </c>
      <c r="AA224" s="10">
        <f t="shared" si="349"/>
        <v>0</v>
      </c>
      <c r="AB224" s="10">
        <f t="shared" si="347"/>
        <v>0</v>
      </c>
      <c r="AC224" s="10">
        <f t="shared" si="347"/>
        <v>0</v>
      </c>
      <c r="AD224" s="10">
        <f t="shared" si="347"/>
        <v>0</v>
      </c>
      <c r="AE224" s="10">
        <f t="shared" si="347"/>
        <v>0</v>
      </c>
      <c r="AF224" s="10">
        <f t="shared" si="347"/>
        <v>0</v>
      </c>
      <c r="AG224" s="10">
        <f t="shared" si="347"/>
        <v>0</v>
      </c>
      <c r="AH224" s="10">
        <f t="shared" si="347"/>
        <v>0</v>
      </c>
      <c r="AI224" s="10">
        <f t="shared" si="347"/>
        <v>0</v>
      </c>
      <c r="AJ224" s="10">
        <f t="shared" si="347"/>
        <v>0</v>
      </c>
      <c r="AK224" s="10">
        <f t="shared" si="347"/>
        <v>0</v>
      </c>
      <c r="AL224" s="10">
        <f t="shared" si="347"/>
        <v>0</v>
      </c>
      <c r="AM224" s="10">
        <f t="shared" si="347"/>
        <v>0</v>
      </c>
      <c r="AN224" s="10">
        <f t="shared" si="347"/>
        <v>0</v>
      </c>
      <c r="AO224" s="10">
        <f t="shared" si="347"/>
        <v>0</v>
      </c>
      <c r="AP224" s="10">
        <f t="shared" si="347"/>
        <v>0</v>
      </c>
      <c r="AQ224" s="10">
        <f t="shared" si="347"/>
        <v>0</v>
      </c>
      <c r="AR224" s="10">
        <f t="shared" si="347"/>
        <v>0</v>
      </c>
      <c r="AS224" s="10">
        <f t="shared" si="347"/>
        <v>0</v>
      </c>
      <c r="AT224" s="10">
        <f t="shared" si="347"/>
        <v>0</v>
      </c>
      <c r="AU224" s="10">
        <f t="shared" si="347"/>
        <v>0</v>
      </c>
      <c r="AV224" s="10">
        <f t="shared" si="347"/>
        <v>0</v>
      </c>
      <c r="AW224" s="10">
        <f t="shared" si="347"/>
        <v>0</v>
      </c>
      <c r="AX224" s="10">
        <f t="shared" si="347"/>
        <v>0</v>
      </c>
      <c r="AY224" s="10">
        <f t="shared" si="347"/>
        <v>0</v>
      </c>
      <c r="AZ224" s="10">
        <f t="shared" si="347"/>
        <v>0</v>
      </c>
      <c r="BA224" s="10">
        <f t="shared" si="347"/>
        <v>0</v>
      </c>
      <c r="BB224" s="10">
        <f t="shared" si="347"/>
        <v>0</v>
      </c>
      <c r="BC224" s="10">
        <f t="shared" si="347"/>
        <v>0</v>
      </c>
      <c r="BD224" s="10">
        <f t="shared" si="347"/>
        <v>0</v>
      </c>
      <c r="BE224" s="10">
        <f t="shared" si="347"/>
        <v>0</v>
      </c>
      <c r="BF224" s="10">
        <f t="shared" si="347"/>
        <v>0</v>
      </c>
      <c r="BG224" s="10">
        <f t="shared" si="347"/>
        <v>0</v>
      </c>
      <c r="BH224" s="10">
        <f t="shared" si="347"/>
        <v>0</v>
      </c>
      <c r="BI224" s="10">
        <f t="shared" si="347"/>
        <v>0</v>
      </c>
      <c r="BJ224" s="10">
        <f t="shared" si="347"/>
        <v>0</v>
      </c>
      <c r="BK224" s="10">
        <f t="shared" si="347"/>
        <v>0</v>
      </c>
      <c r="BL224" s="10">
        <f t="shared" si="347"/>
        <v>0</v>
      </c>
      <c r="BM224" s="10">
        <f t="shared" si="347"/>
        <v>0</v>
      </c>
      <c r="BN224" s="10">
        <f t="shared" si="347"/>
        <v>0</v>
      </c>
      <c r="BO224" s="10">
        <f t="shared" si="347"/>
        <v>0</v>
      </c>
      <c r="BP224" s="10">
        <f t="shared" si="347"/>
        <v>0</v>
      </c>
      <c r="BQ224" s="10">
        <f t="shared" si="347"/>
        <v>0</v>
      </c>
      <c r="BR224" s="10">
        <f t="shared" si="347"/>
        <v>0</v>
      </c>
      <c r="BS224" s="10">
        <f t="shared" si="347"/>
        <v>0</v>
      </c>
      <c r="BT224" s="10">
        <f t="shared" si="347"/>
        <v>0</v>
      </c>
      <c r="BU224" s="10">
        <f t="shared" si="347"/>
        <v>0</v>
      </c>
      <c r="BV224" s="10">
        <f t="shared" si="347"/>
        <v>0</v>
      </c>
      <c r="BW224" s="10">
        <f t="shared" si="347"/>
        <v>0</v>
      </c>
      <c r="BX224" s="10">
        <f t="shared" si="347"/>
        <v>0</v>
      </c>
      <c r="BY224" s="10">
        <f t="shared" si="348"/>
        <v>0</v>
      </c>
      <c r="BZ224" s="10">
        <f t="shared" si="348"/>
        <v>0</v>
      </c>
      <c r="CA224" s="10">
        <f t="shared" si="348"/>
        <v>0</v>
      </c>
      <c r="CB224" s="10">
        <f t="shared" si="348"/>
        <v>0</v>
      </c>
      <c r="CC224" s="10">
        <f t="shared" si="348"/>
        <v>0</v>
      </c>
      <c r="CD224" s="10">
        <f t="shared" si="348"/>
        <v>0</v>
      </c>
      <c r="CE224" s="10">
        <f t="shared" si="348"/>
        <v>0</v>
      </c>
      <c r="CF224" s="10">
        <f t="shared" si="348"/>
        <v>0</v>
      </c>
      <c r="CG224" s="10">
        <f t="shared" si="348"/>
        <v>0</v>
      </c>
      <c r="CH224" s="10">
        <f t="shared" si="348"/>
        <v>0</v>
      </c>
      <c r="CI224" s="10">
        <f t="shared" si="348"/>
        <v>0</v>
      </c>
      <c r="CJ224" s="10">
        <f t="shared" si="348"/>
        <v>0</v>
      </c>
      <c r="CK224" s="10">
        <f t="shared" si="348"/>
        <v>0</v>
      </c>
      <c r="CL224" s="10">
        <f t="shared" si="348"/>
        <v>0</v>
      </c>
      <c r="CM224" s="10">
        <f t="shared" si="348"/>
        <v>0</v>
      </c>
      <c r="CN224" s="10">
        <f t="shared" si="348"/>
        <v>0</v>
      </c>
      <c r="CO224" s="10">
        <f t="shared" si="348"/>
        <v>0</v>
      </c>
    </row>
    <row r="225" spans="1:93">
      <c r="A225" s="77"/>
      <c r="B225" s="168"/>
      <c r="C225" s="17" t="s">
        <v>821</v>
      </c>
      <c r="D225" s="10"/>
      <c r="E225" s="62"/>
      <c r="F225" s="11"/>
      <c r="G225" s="11" t="str">
        <f>Monetary_Unit</f>
        <v>тыс. руб.</v>
      </c>
      <c r="H225" s="10"/>
      <c r="I225" s="23">
        <f>SUM(L225:CO225)</f>
        <v>0</v>
      </c>
      <c r="J225" s="10"/>
      <c r="K225" s="10"/>
      <c r="L225" s="10">
        <f t="shared" si="349"/>
        <v>0</v>
      </c>
      <c r="M225" s="10">
        <f t="shared" ref="M225:BX225" si="350" xml:space="preserve"> $E220 * M220</f>
        <v>0</v>
      </c>
      <c r="N225" s="10">
        <f t="shared" si="350"/>
        <v>0</v>
      </c>
      <c r="O225" s="10">
        <f t="shared" si="350"/>
        <v>0</v>
      </c>
      <c r="P225" s="10">
        <f t="shared" si="350"/>
        <v>0</v>
      </c>
      <c r="Q225" s="10">
        <f t="shared" si="350"/>
        <v>0</v>
      </c>
      <c r="R225" s="10">
        <f t="shared" si="350"/>
        <v>0</v>
      </c>
      <c r="S225" s="10">
        <f t="shared" si="350"/>
        <v>0</v>
      </c>
      <c r="T225" s="10">
        <f t="shared" si="350"/>
        <v>0</v>
      </c>
      <c r="U225" s="10">
        <f t="shared" si="350"/>
        <v>0</v>
      </c>
      <c r="V225" s="10">
        <f t="shared" si="350"/>
        <v>0</v>
      </c>
      <c r="W225" s="10">
        <f t="shared" si="350"/>
        <v>0</v>
      </c>
      <c r="X225" s="10">
        <f t="shared" si="350"/>
        <v>0</v>
      </c>
      <c r="Y225" s="10">
        <f t="shared" si="350"/>
        <v>0</v>
      </c>
      <c r="Z225" s="10">
        <f t="shared" si="350"/>
        <v>0</v>
      </c>
      <c r="AA225" s="10">
        <f t="shared" si="350"/>
        <v>0</v>
      </c>
      <c r="AB225" s="10">
        <f t="shared" si="350"/>
        <v>0</v>
      </c>
      <c r="AC225" s="10">
        <f t="shared" si="350"/>
        <v>0</v>
      </c>
      <c r="AD225" s="10">
        <f t="shared" si="350"/>
        <v>0</v>
      </c>
      <c r="AE225" s="10">
        <f t="shared" si="350"/>
        <v>0</v>
      </c>
      <c r="AF225" s="10">
        <f t="shared" si="350"/>
        <v>0</v>
      </c>
      <c r="AG225" s="10">
        <f t="shared" si="350"/>
        <v>0</v>
      </c>
      <c r="AH225" s="10">
        <f t="shared" si="350"/>
        <v>0</v>
      </c>
      <c r="AI225" s="10">
        <f t="shared" si="350"/>
        <v>0</v>
      </c>
      <c r="AJ225" s="10">
        <f t="shared" si="350"/>
        <v>0</v>
      </c>
      <c r="AK225" s="10">
        <f t="shared" si="350"/>
        <v>0</v>
      </c>
      <c r="AL225" s="10">
        <f t="shared" si="350"/>
        <v>0</v>
      </c>
      <c r="AM225" s="10">
        <f t="shared" si="350"/>
        <v>0</v>
      </c>
      <c r="AN225" s="10">
        <f t="shared" si="350"/>
        <v>0</v>
      </c>
      <c r="AO225" s="10">
        <f t="shared" si="350"/>
        <v>0</v>
      </c>
      <c r="AP225" s="10">
        <f t="shared" si="350"/>
        <v>0</v>
      </c>
      <c r="AQ225" s="10">
        <f t="shared" si="350"/>
        <v>0</v>
      </c>
      <c r="AR225" s="10">
        <f t="shared" si="350"/>
        <v>0</v>
      </c>
      <c r="AS225" s="10">
        <f t="shared" si="350"/>
        <v>0</v>
      </c>
      <c r="AT225" s="10">
        <f t="shared" si="350"/>
        <v>0</v>
      </c>
      <c r="AU225" s="10">
        <f t="shared" si="350"/>
        <v>0</v>
      </c>
      <c r="AV225" s="10">
        <f t="shared" si="350"/>
        <v>0</v>
      </c>
      <c r="AW225" s="10">
        <f t="shared" si="350"/>
        <v>0</v>
      </c>
      <c r="AX225" s="10">
        <f t="shared" si="350"/>
        <v>0</v>
      </c>
      <c r="AY225" s="10">
        <f t="shared" si="350"/>
        <v>0</v>
      </c>
      <c r="AZ225" s="10">
        <f t="shared" si="350"/>
        <v>0</v>
      </c>
      <c r="BA225" s="10">
        <f t="shared" si="350"/>
        <v>0</v>
      </c>
      <c r="BB225" s="10">
        <f t="shared" si="350"/>
        <v>0</v>
      </c>
      <c r="BC225" s="10">
        <f t="shared" si="350"/>
        <v>0</v>
      </c>
      <c r="BD225" s="10">
        <f t="shared" si="350"/>
        <v>0</v>
      </c>
      <c r="BE225" s="10">
        <f t="shared" si="350"/>
        <v>0</v>
      </c>
      <c r="BF225" s="10">
        <f t="shared" si="350"/>
        <v>0</v>
      </c>
      <c r="BG225" s="10">
        <f t="shared" si="350"/>
        <v>0</v>
      </c>
      <c r="BH225" s="10">
        <f t="shared" si="350"/>
        <v>0</v>
      </c>
      <c r="BI225" s="10">
        <f t="shared" si="350"/>
        <v>0</v>
      </c>
      <c r="BJ225" s="10">
        <f t="shared" si="350"/>
        <v>0</v>
      </c>
      <c r="BK225" s="10">
        <f t="shared" si="350"/>
        <v>0</v>
      </c>
      <c r="BL225" s="10">
        <f t="shared" si="350"/>
        <v>0</v>
      </c>
      <c r="BM225" s="10">
        <f t="shared" si="350"/>
        <v>0</v>
      </c>
      <c r="BN225" s="10">
        <f t="shared" si="350"/>
        <v>0</v>
      </c>
      <c r="BO225" s="10">
        <f t="shared" si="350"/>
        <v>0</v>
      </c>
      <c r="BP225" s="10">
        <f t="shared" si="350"/>
        <v>0</v>
      </c>
      <c r="BQ225" s="10">
        <f t="shared" si="350"/>
        <v>0</v>
      </c>
      <c r="BR225" s="10">
        <f t="shared" si="350"/>
        <v>0</v>
      </c>
      <c r="BS225" s="10">
        <f t="shared" si="350"/>
        <v>0</v>
      </c>
      <c r="BT225" s="10">
        <f t="shared" si="350"/>
        <v>0</v>
      </c>
      <c r="BU225" s="10">
        <f t="shared" si="350"/>
        <v>0</v>
      </c>
      <c r="BV225" s="10">
        <f t="shared" si="350"/>
        <v>0</v>
      </c>
      <c r="BW225" s="10">
        <f t="shared" si="350"/>
        <v>0</v>
      </c>
      <c r="BX225" s="10">
        <f t="shared" si="350"/>
        <v>0</v>
      </c>
      <c r="BY225" s="10">
        <f t="shared" si="348"/>
        <v>0</v>
      </c>
      <c r="BZ225" s="10">
        <f t="shared" si="348"/>
        <v>0</v>
      </c>
      <c r="CA225" s="10">
        <f t="shared" si="348"/>
        <v>0</v>
      </c>
      <c r="CB225" s="10">
        <f t="shared" si="348"/>
        <v>0</v>
      </c>
      <c r="CC225" s="10">
        <f t="shared" si="348"/>
        <v>0</v>
      </c>
      <c r="CD225" s="10">
        <f t="shared" si="348"/>
        <v>0</v>
      </c>
      <c r="CE225" s="10">
        <f t="shared" si="348"/>
        <v>0</v>
      </c>
      <c r="CF225" s="10">
        <f t="shared" si="348"/>
        <v>0</v>
      </c>
      <c r="CG225" s="10">
        <f t="shared" si="348"/>
        <v>0</v>
      </c>
      <c r="CH225" s="10">
        <f t="shared" si="348"/>
        <v>0</v>
      </c>
      <c r="CI225" s="10">
        <f t="shared" si="348"/>
        <v>0</v>
      </c>
      <c r="CJ225" s="10">
        <f t="shared" si="348"/>
        <v>0</v>
      </c>
      <c r="CK225" s="10">
        <f t="shared" si="348"/>
        <v>0</v>
      </c>
      <c r="CL225" s="10">
        <f t="shared" si="348"/>
        <v>0</v>
      </c>
      <c r="CM225" s="10">
        <f t="shared" si="348"/>
        <v>0</v>
      </c>
      <c r="CN225" s="10">
        <f t="shared" si="348"/>
        <v>0</v>
      </c>
      <c r="CO225" s="10">
        <f t="shared" si="348"/>
        <v>0</v>
      </c>
    </row>
    <row r="226" spans="1:93" ht="15.75" thickBot="1">
      <c r="A226" s="77"/>
      <c r="B226" s="168"/>
      <c r="C226" s="17" t="s">
        <v>797</v>
      </c>
      <c r="D226" s="10"/>
      <c r="E226" s="62"/>
      <c r="F226" s="11"/>
      <c r="G226" s="11" t="str">
        <f>Monetary_Unit</f>
        <v>тыс. руб.</v>
      </c>
      <c r="H226" s="10"/>
      <c r="I226" s="23">
        <f>SUM(L226:CO226)</f>
        <v>0</v>
      </c>
      <c r="J226" s="10"/>
      <c r="K226" s="10"/>
      <c r="L226" s="10">
        <f t="shared" ref="L226:R226" si="351" xml:space="preserve"> L225 * $E$221</f>
        <v>0</v>
      </c>
      <c r="M226" s="10">
        <f t="shared" si="351"/>
        <v>0</v>
      </c>
      <c r="N226" s="10">
        <f t="shared" si="351"/>
        <v>0</v>
      </c>
      <c r="O226" s="10">
        <f t="shared" si="351"/>
        <v>0</v>
      </c>
      <c r="P226" s="10">
        <f t="shared" si="351"/>
        <v>0</v>
      </c>
      <c r="Q226" s="10">
        <f t="shared" si="351"/>
        <v>0</v>
      </c>
      <c r="R226" s="10">
        <f t="shared" si="351"/>
        <v>0</v>
      </c>
      <c r="S226" s="10">
        <f xml:space="preserve"> S225 * $E$221</f>
        <v>0</v>
      </c>
      <c r="T226" s="10">
        <f t="shared" ref="T226:CE226" si="352" xml:space="preserve"> T225 * $E$221</f>
        <v>0</v>
      </c>
      <c r="U226" s="10">
        <f t="shared" si="352"/>
        <v>0</v>
      </c>
      <c r="V226" s="10">
        <f t="shared" si="352"/>
        <v>0</v>
      </c>
      <c r="W226" s="10">
        <f t="shared" si="352"/>
        <v>0</v>
      </c>
      <c r="X226" s="10">
        <f t="shared" si="352"/>
        <v>0</v>
      </c>
      <c r="Y226" s="10">
        <f t="shared" si="352"/>
        <v>0</v>
      </c>
      <c r="Z226" s="10">
        <f t="shared" si="352"/>
        <v>0</v>
      </c>
      <c r="AA226" s="10">
        <f t="shared" si="352"/>
        <v>0</v>
      </c>
      <c r="AB226" s="10">
        <f t="shared" si="352"/>
        <v>0</v>
      </c>
      <c r="AC226" s="10">
        <f t="shared" si="352"/>
        <v>0</v>
      </c>
      <c r="AD226" s="10">
        <f t="shared" si="352"/>
        <v>0</v>
      </c>
      <c r="AE226" s="10">
        <f t="shared" si="352"/>
        <v>0</v>
      </c>
      <c r="AF226" s="10">
        <f t="shared" si="352"/>
        <v>0</v>
      </c>
      <c r="AG226" s="10">
        <f t="shared" si="352"/>
        <v>0</v>
      </c>
      <c r="AH226" s="10">
        <f t="shared" si="352"/>
        <v>0</v>
      </c>
      <c r="AI226" s="10">
        <f t="shared" si="352"/>
        <v>0</v>
      </c>
      <c r="AJ226" s="10">
        <f t="shared" si="352"/>
        <v>0</v>
      </c>
      <c r="AK226" s="10">
        <f t="shared" si="352"/>
        <v>0</v>
      </c>
      <c r="AL226" s="10">
        <f t="shared" si="352"/>
        <v>0</v>
      </c>
      <c r="AM226" s="10">
        <f t="shared" si="352"/>
        <v>0</v>
      </c>
      <c r="AN226" s="10">
        <f t="shared" si="352"/>
        <v>0</v>
      </c>
      <c r="AO226" s="10">
        <f t="shared" si="352"/>
        <v>0</v>
      </c>
      <c r="AP226" s="10">
        <f t="shared" si="352"/>
        <v>0</v>
      </c>
      <c r="AQ226" s="10">
        <f t="shared" si="352"/>
        <v>0</v>
      </c>
      <c r="AR226" s="10">
        <f t="shared" si="352"/>
        <v>0</v>
      </c>
      <c r="AS226" s="10">
        <f t="shared" si="352"/>
        <v>0</v>
      </c>
      <c r="AT226" s="10">
        <f t="shared" si="352"/>
        <v>0</v>
      </c>
      <c r="AU226" s="10">
        <f t="shared" si="352"/>
        <v>0</v>
      </c>
      <c r="AV226" s="10">
        <f t="shared" si="352"/>
        <v>0</v>
      </c>
      <c r="AW226" s="10">
        <f t="shared" si="352"/>
        <v>0</v>
      </c>
      <c r="AX226" s="10">
        <f t="shared" si="352"/>
        <v>0</v>
      </c>
      <c r="AY226" s="10">
        <f t="shared" si="352"/>
        <v>0</v>
      </c>
      <c r="AZ226" s="10">
        <f t="shared" si="352"/>
        <v>0</v>
      </c>
      <c r="BA226" s="10">
        <f t="shared" si="352"/>
        <v>0</v>
      </c>
      <c r="BB226" s="10">
        <f t="shared" si="352"/>
        <v>0</v>
      </c>
      <c r="BC226" s="10">
        <f t="shared" si="352"/>
        <v>0</v>
      </c>
      <c r="BD226" s="10">
        <f t="shared" si="352"/>
        <v>0</v>
      </c>
      <c r="BE226" s="10">
        <f t="shared" si="352"/>
        <v>0</v>
      </c>
      <c r="BF226" s="10">
        <f t="shared" si="352"/>
        <v>0</v>
      </c>
      <c r="BG226" s="10">
        <f t="shared" si="352"/>
        <v>0</v>
      </c>
      <c r="BH226" s="10">
        <f t="shared" si="352"/>
        <v>0</v>
      </c>
      <c r="BI226" s="10">
        <f t="shared" si="352"/>
        <v>0</v>
      </c>
      <c r="BJ226" s="10">
        <f t="shared" si="352"/>
        <v>0</v>
      </c>
      <c r="BK226" s="10">
        <f t="shared" si="352"/>
        <v>0</v>
      </c>
      <c r="BL226" s="10">
        <f t="shared" si="352"/>
        <v>0</v>
      </c>
      <c r="BM226" s="10">
        <f t="shared" si="352"/>
        <v>0</v>
      </c>
      <c r="BN226" s="10">
        <f t="shared" si="352"/>
        <v>0</v>
      </c>
      <c r="BO226" s="10">
        <f t="shared" si="352"/>
        <v>0</v>
      </c>
      <c r="BP226" s="10">
        <f t="shared" si="352"/>
        <v>0</v>
      </c>
      <c r="BQ226" s="10">
        <f t="shared" si="352"/>
        <v>0</v>
      </c>
      <c r="BR226" s="10">
        <f t="shared" si="352"/>
        <v>0</v>
      </c>
      <c r="BS226" s="10">
        <f t="shared" si="352"/>
        <v>0</v>
      </c>
      <c r="BT226" s="10">
        <f t="shared" si="352"/>
        <v>0</v>
      </c>
      <c r="BU226" s="10">
        <f t="shared" si="352"/>
        <v>0</v>
      </c>
      <c r="BV226" s="10">
        <f t="shared" si="352"/>
        <v>0</v>
      </c>
      <c r="BW226" s="10">
        <f t="shared" si="352"/>
        <v>0</v>
      </c>
      <c r="BX226" s="10">
        <f t="shared" si="352"/>
        <v>0</v>
      </c>
      <c r="BY226" s="10">
        <f t="shared" si="352"/>
        <v>0</v>
      </c>
      <c r="BZ226" s="10">
        <f t="shared" si="352"/>
        <v>0</v>
      </c>
      <c r="CA226" s="10">
        <f t="shared" si="352"/>
        <v>0</v>
      </c>
      <c r="CB226" s="10">
        <f t="shared" si="352"/>
        <v>0</v>
      </c>
      <c r="CC226" s="10">
        <f t="shared" si="352"/>
        <v>0</v>
      </c>
      <c r="CD226" s="10">
        <f t="shared" si="352"/>
        <v>0</v>
      </c>
      <c r="CE226" s="10">
        <f t="shared" si="352"/>
        <v>0</v>
      </c>
      <c r="CF226" s="10">
        <f t="shared" ref="CF226:CO226" si="353" xml:space="preserve"> CF225 * $E$221</f>
        <v>0</v>
      </c>
      <c r="CG226" s="10">
        <f t="shared" si="353"/>
        <v>0</v>
      </c>
      <c r="CH226" s="10">
        <f t="shared" si="353"/>
        <v>0</v>
      </c>
      <c r="CI226" s="10">
        <f t="shared" si="353"/>
        <v>0</v>
      </c>
      <c r="CJ226" s="10">
        <f t="shared" si="353"/>
        <v>0</v>
      </c>
      <c r="CK226" s="10">
        <f t="shared" si="353"/>
        <v>0</v>
      </c>
      <c r="CL226" s="10">
        <f t="shared" si="353"/>
        <v>0</v>
      </c>
      <c r="CM226" s="10">
        <f t="shared" si="353"/>
        <v>0</v>
      </c>
      <c r="CN226" s="10">
        <f t="shared" si="353"/>
        <v>0</v>
      </c>
      <c r="CO226" s="10">
        <f t="shared" si="353"/>
        <v>0</v>
      </c>
    </row>
    <row r="227" spans="1:93" ht="15.75" thickTop="1">
      <c r="A227" s="77"/>
      <c r="B227" s="101"/>
      <c r="C227" s="49" t="s">
        <v>832</v>
      </c>
      <c r="D227" s="49"/>
      <c r="E227" s="136"/>
      <c r="F227" s="49"/>
      <c r="G227" s="159" t="str">
        <f xml:space="preserve"> Monetary_Unit</f>
        <v>тыс. руб.</v>
      </c>
      <c r="H227" s="49"/>
      <c r="I227" s="23">
        <f>SUM(L227:CO227)</f>
        <v>0</v>
      </c>
      <c r="J227" s="49"/>
      <c r="K227" s="49"/>
      <c r="L227" s="49">
        <f t="shared" ref="L227:R227" si="354" xml:space="preserve"> SUM(L223:L226)</f>
        <v>0</v>
      </c>
      <c r="M227" s="49">
        <f t="shared" si="354"/>
        <v>0</v>
      </c>
      <c r="N227" s="49">
        <f t="shared" si="354"/>
        <v>0</v>
      </c>
      <c r="O227" s="49">
        <f t="shared" si="354"/>
        <v>0</v>
      </c>
      <c r="P227" s="49">
        <f t="shared" si="354"/>
        <v>0</v>
      </c>
      <c r="Q227" s="49">
        <f t="shared" si="354"/>
        <v>0</v>
      </c>
      <c r="R227" s="49">
        <f t="shared" si="354"/>
        <v>0</v>
      </c>
      <c r="S227" s="49">
        <f xml:space="preserve"> SUM(S223:S226)</f>
        <v>0</v>
      </c>
      <c r="T227" s="49">
        <f t="shared" ref="T227:CE227" si="355" xml:space="preserve"> SUM(T223:T226)</f>
        <v>0</v>
      </c>
      <c r="U227" s="49">
        <f t="shared" si="355"/>
        <v>0</v>
      </c>
      <c r="V227" s="49">
        <f t="shared" si="355"/>
        <v>0</v>
      </c>
      <c r="W227" s="49">
        <f t="shared" si="355"/>
        <v>0</v>
      </c>
      <c r="X227" s="49">
        <f t="shared" si="355"/>
        <v>0</v>
      </c>
      <c r="Y227" s="49">
        <f t="shared" si="355"/>
        <v>0</v>
      </c>
      <c r="Z227" s="49">
        <f t="shared" si="355"/>
        <v>0</v>
      </c>
      <c r="AA227" s="49">
        <f t="shared" si="355"/>
        <v>0</v>
      </c>
      <c r="AB227" s="49">
        <f t="shared" si="355"/>
        <v>0</v>
      </c>
      <c r="AC227" s="49">
        <f t="shared" si="355"/>
        <v>0</v>
      </c>
      <c r="AD227" s="49">
        <f t="shared" si="355"/>
        <v>0</v>
      </c>
      <c r="AE227" s="49">
        <f t="shared" si="355"/>
        <v>0</v>
      </c>
      <c r="AF227" s="49">
        <f t="shared" si="355"/>
        <v>0</v>
      </c>
      <c r="AG227" s="49">
        <f t="shared" si="355"/>
        <v>0</v>
      </c>
      <c r="AH227" s="49">
        <f t="shared" si="355"/>
        <v>0</v>
      </c>
      <c r="AI227" s="49">
        <f t="shared" si="355"/>
        <v>0</v>
      </c>
      <c r="AJ227" s="49">
        <f t="shared" si="355"/>
        <v>0</v>
      </c>
      <c r="AK227" s="49">
        <f t="shared" si="355"/>
        <v>0</v>
      </c>
      <c r="AL227" s="49">
        <f t="shared" si="355"/>
        <v>0</v>
      </c>
      <c r="AM227" s="49">
        <f t="shared" si="355"/>
        <v>0</v>
      </c>
      <c r="AN227" s="49">
        <f t="shared" si="355"/>
        <v>0</v>
      </c>
      <c r="AO227" s="49">
        <f t="shared" si="355"/>
        <v>0</v>
      </c>
      <c r="AP227" s="49">
        <f t="shared" si="355"/>
        <v>0</v>
      </c>
      <c r="AQ227" s="49">
        <f t="shared" si="355"/>
        <v>0</v>
      </c>
      <c r="AR227" s="49">
        <f t="shared" si="355"/>
        <v>0</v>
      </c>
      <c r="AS227" s="49">
        <f t="shared" si="355"/>
        <v>0</v>
      </c>
      <c r="AT227" s="49">
        <f t="shared" si="355"/>
        <v>0</v>
      </c>
      <c r="AU227" s="49">
        <f t="shared" si="355"/>
        <v>0</v>
      </c>
      <c r="AV227" s="49">
        <f t="shared" si="355"/>
        <v>0</v>
      </c>
      <c r="AW227" s="49">
        <f t="shared" si="355"/>
        <v>0</v>
      </c>
      <c r="AX227" s="49">
        <f t="shared" si="355"/>
        <v>0</v>
      </c>
      <c r="AY227" s="49">
        <f t="shared" si="355"/>
        <v>0</v>
      </c>
      <c r="AZ227" s="49">
        <f t="shared" si="355"/>
        <v>0</v>
      </c>
      <c r="BA227" s="49">
        <f t="shared" si="355"/>
        <v>0</v>
      </c>
      <c r="BB227" s="49">
        <f t="shared" si="355"/>
        <v>0</v>
      </c>
      <c r="BC227" s="49">
        <f t="shared" si="355"/>
        <v>0</v>
      </c>
      <c r="BD227" s="49">
        <f t="shared" si="355"/>
        <v>0</v>
      </c>
      <c r="BE227" s="49">
        <f t="shared" si="355"/>
        <v>0</v>
      </c>
      <c r="BF227" s="49">
        <f t="shared" si="355"/>
        <v>0</v>
      </c>
      <c r="BG227" s="49">
        <f t="shared" si="355"/>
        <v>0</v>
      </c>
      <c r="BH227" s="49">
        <f t="shared" si="355"/>
        <v>0</v>
      </c>
      <c r="BI227" s="49">
        <f t="shared" si="355"/>
        <v>0</v>
      </c>
      <c r="BJ227" s="49">
        <f t="shared" si="355"/>
        <v>0</v>
      </c>
      <c r="BK227" s="49">
        <f t="shared" si="355"/>
        <v>0</v>
      </c>
      <c r="BL227" s="49">
        <f t="shared" si="355"/>
        <v>0</v>
      </c>
      <c r="BM227" s="49">
        <f t="shared" si="355"/>
        <v>0</v>
      </c>
      <c r="BN227" s="49">
        <f t="shared" si="355"/>
        <v>0</v>
      </c>
      <c r="BO227" s="49">
        <f t="shared" si="355"/>
        <v>0</v>
      </c>
      <c r="BP227" s="49">
        <f t="shared" si="355"/>
        <v>0</v>
      </c>
      <c r="BQ227" s="49">
        <f t="shared" si="355"/>
        <v>0</v>
      </c>
      <c r="BR227" s="49">
        <f t="shared" si="355"/>
        <v>0</v>
      </c>
      <c r="BS227" s="49">
        <f t="shared" si="355"/>
        <v>0</v>
      </c>
      <c r="BT227" s="49">
        <f t="shared" si="355"/>
        <v>0</v>
      </c>
      <c r="BU227" s="49">
        <f t="shared" si="355"/>
        <v>0</v>
      </c>
      <c r="BV227" s="49">
        <f t="shared" si="355"/>
        <v>0</v>
      </c>
      <c r="BW227" s="49">
        <f t="shared" si="355"/>
        <v>0</v>
      </c>
      <c r="BX227" s="49">
        <f t="shared" si="355"/>
        <v>0</v>
      </c>
      <c r="BY227" s="49">
        <f t="shared" si="355"/>
        <v>0</v>
      </c>
      <c r="BZ227" s="49">
        <f t="shared" si="355"/>
        <v>0</v>
      </c>
      <c r="CA227" s="49">
        <f t="shared" si="355"/>
        <v>0</v>
      </c>
      <c r="CB227" s="49">
        <f t="shared" si="355"/>
        <v>0</v>
      </c>
      <c r="CC227" s="49">
        <f t="shared" si="355"/>
        <v>0</v>
      </c>
      <c r="CD227" s="49">
        <f t="shared" si="355"/>
        <v>0</v>
      </c>
      <c r="CE227" s="49">
        <f t="shared" si="355"/>
        <v>0</v>
      </c>
      <c r="CF227" s="49">
        <f t="shared" ref="CF227:CO227" si="356" xml:space="preserve"> SUM(CF223:CF226)</f>
        <v>0</v>
      </c>
      <c r="CG227" s="49">
        <f t="shared" si="356"/>
        <v>0</v>
      </c>
      <c r="CH227" s="49">
        <f t="shared" si="356"/>
        <v>0</v>
      </c>
      <c r="CI227" s="49">
        <f t="shared" si="356"/>
        <v>0</v>
      </c>
      <c r="CJ227" s="49">
        <f t="shared" si="356"/>
        <v>0</v>
      </c>
      <c r="CK227" s="49">
        <f t="shared" si="356"/>
        <v>0</v>
      </c>
      <c r="CL227" s="49">
        <f t="shared" si="356"/>
        <v>0</v>
      </c>
      <c r="CM227" s="49">
        <f t="shared" si="356"/>
        <v>0</v>
      </c>
      <c r="CN227" s="49">
        <f t="shared" si="356"/>
        <v>0</v>
      </c>
      <c r="CO227" s="49">
        <f t="shared" si="356"/>
        <v>0</v>
      </c>
    </row>
    <row r="228" spans="1:93">
      <c r="A228" s="77"/>
      <c r="B228" s="168"/>
      <c r="C228" s="169"/>
      <c r="D228" s="10"/>
      <c r="E228" s="62"/>
      <c r="F228" s="11"/>
      <c r="G228" s="11"/>
      <c r="H228" s="10"/>
      <c r="I228" s="10" t="str">
        <f>IF(IFERROR(I227=Предпосылки!E326*I96*I113,I227=0),"")</f>
        <v/>
      </c>
      <c r="J228" s="10"/>
      <c r="K228" s="1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  <c r="Z228" s="170"/>
      <c r="AA228" s="170"/>
      <c r="AB228" s="170"/>
      <c r="AC228" s="170"/>
      <c r="AD228" s="170"/>
      <c r="AE228" s="170"/>
      <c r="AF228" s="170"/>
      <c r="AG228" s="170"/>
      <c r="AH228" s="170"/>
      <c r="AI228" s="170"/>
      <c r="AJ228" s="170"/>
      <c r="AK228" s="170"/>
      <c r="AL228" s="170"/>
      <c r="AM228" s="170"/>
      <c r="AN228" s="170"/>
      <c r="AO228" s="170"/>
      <c r="AP228" s="170"/>
      <c r="AQ228" s="170"/>
      <c r="AR228" s="170"/>
      <c r="AS228" s="170"/>
      <c r="AT228" s="170"/>
      <c r="AU228" s="170"/>
      <c r="AV228" s="170"/>
      <c r="AW228" s="170"/>
      <c r="AX228" s="170"/>
      <c r="AY228" s="170"/>
      <c r="AZ228" s="170"/>
      <c r="BA228" s="170"/>
      <c r="BB228" s="170"/>
      <c r="BC228" s="170"/>
      <c r="BD228" s="170"/>
      <c r="BE228" s="170"/>
      <c r="BF228" s="170"/>
      <c r="BG228" s="170"/>
      <c r="BH228" s="170"/>
      <c r="BI228" s="170"/>
      <c r="BJ228" s="170"/>
      <c r="BK228" s="170"/>
      <c r="BL228" s="170"/>
      <c r="BM228" s="170"/>
      <c r="BN228" s="170"/>
      <c r="BO228" s="170"/>
      <c r="BP228" s="170"/>
      <c r="BQ228" s="170"/>
      <c r="BR228" s="170"/>
      <c r="BS228" s="170"/>
      <c r="BT228" s="170"/>
      <c r="BU228" s="170"/>
      <c r="BV228" s="170"/>
      <c r="BW228" s="170"/>
      <c r="BX228" s="170"/>
      <c r="BY228" s="170"/>
      <c r="BZ228" s="170"/>
      <c r="CA228" s="170"/>
      <c r="CB228" s="170"/>
      <c r="CC228" s="170"/>
      <c r="CD228" s="170"/>
      <c r="CE228" s="170"/>
      <c r="CF228" s="170"/>
      <c r="CG228" s="170"/>
      <c r="CH228" s="170"/>
      <c r="CI228" s="170"/>
      <c r="CJ228" s="170"/>
      <c r="CK228" s="170"/>
      <c r="CL228" s="170"/>
      <c r="CM228" s="170"/>
      <c r="CN228" s="170"/>
      <c r="CO228" s="170"/>
    </row>
    <row r="229" spans="1:93" ht="16.5" thickBot="1">
      <c r="A229" s="9"/>
      <c r="B229" s="168"/>
      <c r="C229" s="12" t="s">
        <v>650</v>
      </c>
      <c r="D229" s="12"/>
      <c r="E229" s="12"/>
      <c r="F229" s="12"/>
      <c r="G229" s="360"/>
      <c r="H229" s="12"/>
      <c r="I229" s="12"/>
      <c r="J229" s="10"/>
      <c r="K229" s="10"/>
      <c r="L229" s="170"/>
      <c r="M229" s="170"/>
      <c r="N229" s="170"/>
      <c r="O229" s="170"/>
      <c r="P229" s="170"/>
      <c r="Q229" s="170"/>
      <c r="R229" s="170"/>
      <c r="S229" s="170"/>
      <c r="T229" s="170"/>
      <c r="U229" s="170"/>
      <c r="V229" s="170"/>
      <c r="W229" s="170"/>
      <c r="X229" s="170"/>
      <c r="Y229" s="170"/>
      <c r="Z229" s="170"/>
      <c r="AA229" s="170"/>
      <c r="AB229" s="170"/>
      <c r="AC229" s="170"/>
      <c r="AD229" s="170"/>
      <c r="AE229" s="170"/>
      <c r="AF229" s="170"/>
      <c r="AG229" s="170"/>
      <c r="AH229" s="170"/>
      <c r="AI229" s="170"/>
      <c r="AJ229" s="170"/>
      <c r="AK229" s="170"/>
      <c r="AL229" s="170"/>
      <c r="AM229" s="170"/>
      <c r="AN229" s="170"/>
      <c r="AO229" s="170"/>
      <c r="AP229" s="170"/>
      <c r="AQ229" s="170"/>
      <c r="AR229" s="170"/>
      <c r="AS229" s="170"/>
      <c r="AT229" s="170"/>
      <c r="AU229" s="170"/>
      <c r="AV229" s="170"/>
      <c r="AW229" s="170"/>
      <c r="AX229" s="170"/>
      <c r="AY229" s="170"/>
      <c r="AZ229" s="170"/>
      <c r="BA229" s="170"/>
      <c r="BB229" s="170"/>
      <c r="BC229" s="170"/>
      <c r="BD229" s="170"/>
      <c r="BE229" s="170"/>
      <c r="BF229" s="170"/>
      <c r="BG229" s="170"/>
      <c r="BH229" s="170"/>
      <c r="BI229" s="170"/>
      <c r="BJ229" s="170"/>
      <c r="BK229" s="170"/>
      <c r="BL229" s="170"/>
      <c r="BM229" s="170"/>
      <c r="BN229" s="170"/>
      <c r="BO229" s="170"/>
      <c r="BP229" s="170"/>
      <c r="BQ229" s="170"/>
      <c r="BR229" s="170"/>
      <c r="BS229" s="170"/>
      <c r="BT229" s="170"/>
      <c r="BU229" s="170"/>
      <c r="BV229" s="170"/>
      <c r="BW229" s="170"/>
      <c r="BX229" s="170"/>
      <c r="BY229" s="170"/>
      <c r="BZ229" s="170"/>
      <c r="CA229" s="170"/>
      <c r="CB229" s="170"/>
      <c r="CC229" s="170"/>
      <c r="CD229" s="170"/>
      <c r="CE229" s="170"/>
      <c r="CF229" s="170"/>
      <c r="CG229" s="170"/>
      <c r="CH229" s="170"/>
      <c r="CI229" s="170"/>
      <c r="CJ229" s="170"/>
      <c r="CK229" s="170"/>
      <c r="CL229" s="170"/>
      <c r="CM229" s="170"/>
      <c r="CN229" s="170"/>
      <c r="CO229" s="170"/>
    </row>
    <row r="230" spans="1:93">
      <c r="A230" s="77"/>
      <c r="B230" s="168"/>
      <c r="C230" s="169"/>
      <c r="D230" s="10"/>
      <c r="E230" s="62"/>
      <c r="F230" s="11"/>
      <c r="G230" s="11"/>
      <c r="H230" s="10"/>
      <c r="I230" s="10"/>
      <c r="J230" s="10"/>
      <c r="K230" s="10"/>
      <c r="L230" s="170"/>
      <c r="M230" s="170"/>
      <c r="N230" s="170"/>
      <c r="O230" s="170"/>
      <c r="P230" s="170"/>
      <c r="Q230" s="170"/>
      <c r="R230" s="170"/>
      <c r="S230" s="170"/>
      <c r="T230" s="170"/>
      <c r="U230" s="170"/>
      <c r="V230" s="170"/>
      <c r="W230" s="170"/>
      <c r="X230" s="170"/>
      <c r="Y230" s="170"/>
      <c r="Z230" s="170"/>
      <c r="AA230" s="170"/>
      <c r="AB230" s="170"/>
      <c r="AC230" s="170"/>
      <c r="AD230" s="170"/>
      <c r="AE230" s="170"/>
      <c r="AF230" s="170"/>
      <c r="AG230" s="170"/>
      <c r="AH230" s="170"/>
      <c r="AI230" s="170"/>
      <c r="AJ230" s="170"/>
      <c r="AK230" s="170"/>
      <c r="AL230" s="170"/>
      <c r="AM230" s="170"/>
      <c r="AN230" s="170"/>
      <c r="AO230" s="170"/>
      <c r="AP230" s="170"/>
      <c r="AQ230" s="170"/>
      <c r="AR230" s="170"/>
      <c r="AS230" s="170"/>
      <c r="AT230" s="170"/>
      <c r="AU230" s="170"/>
      <c r="AV230" s="170"/>
      <c r="AW230" s="170"/>
      <c r="AX230" s="170"/>
      <c r="AY230" s="170"/>
      <c r="AZ230" s="170"/>
      <c r="BA230" s="170"/>
      <c r="BB230" s="170"/>
      <c r="BC230" s="170"/>
      <c r="BD230" s="170"/>
      <c r="BE230" s="170"/>
      <c r="BF230" s="170"/>
      <c r="BG230" s="170"/>
      <c r="BH230" s="170"/>
      <c r="BI230" s="170"/>
      <c r="BJ230" s="170"/>
      <c r="BK230" s="170"/>
      <c r="BL230" s="170"/>
      <c r="BM230" s="170"/>
      <c r="BN230" s="170"/>
      <c r="BO230" s="170"/>
      <c r="BP230" s="170"/>
      <c r="BQ230" s="170"/>
      <c r="BR230" s="170"/>
      <c r="BS230" s="170"/>
      <c r="BT230" s="170"/>
      <c r="BU230" s="170"/>
      <c r="BV230" s="170"/>
      <c r="BW230" s="170"/>
      <c r="BX230" s="170"/>
      <c r="BY230" s="170"/>
      <c r="BZ230" s="170"/>
      <c r="CA230" s="170"/>
      <c r="CB230" s="170"/>
      <c r="CC230" s="170"/>
      <c r="CD230" s="170"/>
      <c r="CE230" s="170"/>
      <c r="CF230" s="170"/>
      <c r="CG230" s="170"/>
      <c r="CH230" s="170"/>
      <c r="CI230" s="170"/>
      <c r="CJ230" s="170"/>
      <c r="CK230" s="170"/>
      <c r="CL230" s="170"/>
      <c r="CM230" s="170"/>
      <c r="CN230" s="170"/>
      <c r="CO230" s="170"/>
    </row>
    <row r="231" spans="1:93">
      <c r="A231" s="9"/>
      <c r="B231" s="168"/>
      <c r="C231" s="17" t="s">
        <v>630</v>
      </c>
      <c r="D231" s="10"/>
      <c r="E231" s="62"/>
      <c r="F231" s="11"/>
      <c r="G231" s="11" t="str">
        <f>Monetary_Unit</f>
        <v>тыс. руб.</v>
      </c>
      <c r="H231" s="10"/>
      <c r="I231" s="23">
        <f ca="1">SUM(L231:CO231)</f>
        <v>0</v>
      </c>
      <c r="J231" s="10"/>
      <c r="K231" s="10"/>
      <c r="L231" s="10">
        <f t="shared" ref="L231:AQ231" ca="1" si="357" xml:space="preserve"> L223 * CAPEX_Accumulated_From_Date</f>
        <v>0</v>
      </c>
      <c r="M231" s="10">
        <f t="shared" ca="1" si="357"/>
        <v>0</v>
      </c>
      <c r="N231" s="10">
        <f t="shared" ca="1" si="357"/>
        <v>0</v>
      </c>
      <c r="O231" s="10">
        <f t="shared" ca="1" si="357"/>
        <v>0</v>
      </c>
      <c r="P231" s="10">
        <f t="shared" ca="1" si="357"/>
        <v>0</v>
      </c>
      <c r="Q231" s="10">
        <f t="shared" ca="1" si="357"/>
        <v>0</v>
      </c>
      <c r="R231" s="10">
        <f t="shared" ca="1" si="357"/>
        <v>0</v>
      </c>
      <c r="S231" s="10">
        <f t="shared" ca="1" si="357"/>
        <v>0</v>
      </c>
      <c r="T231" s="10">
        <f t="shared" ca="1" si="357"/>
        <v>0</v>
      </c>
      <c r="U231" s="10">
        <f t="shared" ca="1" si="357"/>
        <v>0</v>
      </c>
      <c r="V231" s="10">
        <f t="shared" ca="1" si="357"/>
        <v>0</v>
      </c>
      <c r="W231" s="10">
        <f t="shared" ca="1" si="357"/>
        <v>0</v>
      </c>
      <c r="X231" s="10">
        <f t="shared" ca="1" si="357"/>
        <v>0</v>
      </c>
      <c r="Y231" s="10">
        <f t="shared" ca="1" si="357"/>
        <v>0</v>
      </c>
      <c r="Z231" s="10">
        <f t="shared" ca="1" si="357"/>
        <v>0</v>
      </c>
      <c r="AA231" s="10">
        <f t="shared" ca="1" si="357"/>
        <v>0</v>
      </c>
      <c r="AB231" s="10">
        <f t="shared" ca="1" si="357"/>
        <v>0</v>
      </c>
      <c r="AC231" s="10">
        <f t="shared" ca="1" si="357"/>
        <v>0</v>
      </c>
      <c r="AD231" s="10">
        <f t="shared" ca="1" si="357"/>
        <v>0</v>
      </c>
      <c r="AE231" s="10">
        <f t="shared" ca="1" si="357"/>
        <v>0</v>
      </c>
      <c r="AF231" s="10">
        <f t="shared" ca="1" si="357"/>
        <v>0</v>
      </c>
      <c r="AG231" s="10">
        <f t="shared" ca="1" si="357"/>
        <v>0</v>
      </c>
      <c r="AH231" s="10">
        <f t="shared" ca="1" si="357"/>
        <v>0</v>
      </c>
      <c r="AI231" s="10">
        <f t="shared" ca="1" si="357"/>
        <v>0</v>
      </c>
      <c r="AJ231" s="10">
        <f t="shared" ca="1" si="357"/>
        <v>0</v>
      </c>
      <c r="AK231" s="10">
        <f t="shared" ca="1" si="357"/>
        <v>0</v>
      </c>
      <c r="AL231" s="10">
        <f t="shared" ca="1" si="357"/>
        <v>0</v>
      </c>
      <c r="AM231" s="10">
        <f t="shared" ca="1" si="357"/>
        <v>0</v>
      </c>
      <c r="AN231" s="10">
        <f t="shared" ca="1" si="357"/>
        <v>0</v>
      </c>
      <c r="AO231" s="10">
        <f t="shared" ca="1" si="357"/>
        <v>0</v>
      </c>
      <c r="AP231" s="10">
        <f t="shared" ca="1" si="357"/>
        <v>0</v>
      </c>
      <c r="AQ231" s="10">
        <f t="shared" ca="1" si="357"/>
        <v>0</v>
      </c>
      <c r="AR231" s="10">
        <f t="shared" ref="AR231:BW231" ca="1" si="358" xml:space="preserve"> AR223 * CAPEX_Accumulated_From_Date</f>
        <v>0</v>
      </c>
      <c r="AS231" s="10">
        <f t="shared" ca="1" si="358"/>
        <v>0</v>
      </c>
      <c r="AT231" s="10">
        <f t="shared" ca="1" si="358"/>
        <v>0</v>
      </c>
      <c r="AU231" s="10">
        <f t="shared" ca="1" si="358"/>
        <v>0</v>
      </c>
      <c r="AV231" s="10">
        <f t="shared" ca="1" si="358"/>
        <v>0</v>
      </c>
      <c r="AW231" s="10">
        <f t="shared" ca="1" si="358"/>
        <v>0</v>
      </c>
      <c r="AX231" s="10">
        <f t="shared" ca="1" si="358"/>
        <v>0</v>
      </c>
      <c r="AY231" s="10">
        <f t="shared" ca="1" si="358"/>
        <v>0</v>
      </c>
      <c r="AZ231" s="10">
        <f t="shared" ca="1" si="358"/>
        <v>0</v>
      </c>
      <c r="BA231" s="10">
        <f t="shared" ca="1" si="358"/>
        <v>0</v>
      </c>
      <c r="BB231" s="10">
        <f t="shared" ca="1" si="358"/>
        <v>0</v>
      </c>
      <c r="BC231" s="10">
        <f t="shared" ca="1" si="358"/>
        <v>0</v>
      </c>
      <c r="BD231" s="10">
        <f t="shared" ca="1" si="358"/>
        <v>0</v>
      </c>
      <c r="BE231" s="10">
        <f t="shared" ca="1" si="358"/>
        <v>0</v>
      </c>
      <c r="BF231" s="10">
        <f t="shared" ca="1" si="358"/>
        <v>0</v>
      </c>
      <c r="BG231" s="10">
        <f t="shared" ca="1" si="358"/>
        <v>0</v>
      </c>
      <c r="BH231" s="10">
        <f t="shared" ca="1" si="358"/>
        <v>0</v>
      </c>
      <c r="BI231" s="10">
        <f t="shared" ca="1" si="358"/>
        <v>0</v>
      </c>
      <c r="BJ231" s="10">
        <f t="shared" ca="1" si="358"/>
        <v>0</v>
      </c>
      <c r="BK231" s="10">
        <f t="shared" ca="1" si="358"/>
        <v>0</v>
      </c>
      <c r="BL231" s="10">
        <f t="shared" ca="1" si="358"/>
        <v>0</v>
      </c>
      <c r="BM231" s="10">
        <f t="shared" ca="1" si="358"/>
        <v>0</v>
      </c>
      <c r="BN231" s="10">
        <f t="shared" ca="1" si="358"/>
        <v>0</v>
      </c>
      <c r="BO231" s="10">
        <f t="shared" ca="1" si="358"/>
        <v>0</v>
      </c>
      <c r="BP231" s="10">
        <f t="shared" ca="1" si="358"/>
        <v>0</v>
      </c>
      <c r="BQ231" s="10">
        <f t="shared" ca="1" si="358"/>
        <v>0</v>
      </c>
      <c r="BR231" s="10">
        <f t="shared" ca="1" si="358"/>
        <v>0</v>
      </c>
      <c r="BS231" s="10">
        <f t="shared" ca="1" si="358"/>
        <v>0</v>
      </c>
      <c r="BT231" s="10">
        <f t="shared" ca="1" si="358"/>
        <v>0</v>
      </c>
      <c r="BU231" s="10">
        <f t="shared" ca="1" si="358"/>
        <v>0</v>
      </c>
      <c r="BV231" s="10">
        <f t="shared" ca="1" si="358"/>
        <v>0</v>
      </c>
      <c r="BW231" s="10">
        <f t="shared" ca="1" si="358"/>
        <v>0</v>
      </c>
      <c r="BX231" s="10">
        <f t="shared" ref="BX231:CO231" ca="1" si="359" xml:space="preserve"> BX223 * CAPEX_Accumulated_From_Date</f>
        <v>0</v>
      </c>
      <c r="BY231" s="10">
        <f t="shared" ca="1" si="359"/>
        <v>0</v>
      </c>
      <c r="BZ231" s="10">
        <f t="shared" ca="1" si="359"/>
        <v>0</v>
      </c>
      <c r="CA231" s="10">
        <f t="shared" ca="1" si="359"/>
        <v>0</v>
      </c>
      <c r="CB231" s="10">
        <f t="shared" ca="1" si="359"/>
        <v>0</v>
      </c>
      <c r="CC231" s="10">
        <f t="shared" ca="1" si="359"/>
        <v>0</v>
      </c>
      <c r="CD231" s="10">
        <f t="shared" ca="1" si="359"/>
        <v>0</v>
      </c>
      <c r="CE231" s="10">
        <f t="shared" ca="1" si="359"/>
        <v>0</v>
      </c>
      <c r="CF231" s="10">
        <f t="shared" ca="1" si="359"/>
        <v>0</v>
      </c>
      <c r="CG231" s="10">
        <f t="shared" ca="1" si="359"/>
        <v>0</v>
      </c>
      <c r="CH231" s="10">
        <f t="shared" ca="1" si="359"/>
        <v>0</v>
      </c>
      <c r="CI231" s="10">
        <f t="shared" ca="1" si="359"/>
        <v>0</v>
      </c>
      <c r="CJ231" s="10">
        <f t="shared" ca="1" si="359"/>
        <v>0</v>
      </c>
      <c r="CK231" s="10">
        <f t="shared" ca="1" si="359"/>
        <v>0</v>
      </c>
      <c r="CL231" s="10">
        <f t="shared" ca="1" si="359"/>
        <v>0</v>
      </c>
      <c r="CM231" s="10">
        <f t="shared" ca="1" si="359"/>
        <v>0</v>
      </c>
      <c r="CN231" s="10">
        <f t="shared" ca="1" si="359"/>
        <v>0</v>
      </c>
      <c r="CO231" s="10">
        <f t="shared" ca="1" si="359"/>
        <v>0</v>
      </c>
    </row>
    <row r="232" spans="1:93">
      <c r="A232" s="9"/>
      <c r="B232" s="168"/>
      <c r="C232" s="17" t="s">
        <v>632</v>
      </c>
      <c r="D232" s="10"/>
      <c r="E232" s="62"/>
      <c r="F232" s="11"/>
      <c r="G232" s="11" t="str">
        <f>Monetary_Unit</f>
        <v>тыс. руб.</v>
      </c>
      <c r="H232" s="10"/>
      <c r="I232" s="23">
        <f ca="1">SUM(L232:CO232)</f>
        <v>0</v>
      </c>
      <c r="J232" s="10"/>
      <c r="K232" s="10"/>
      <c r="L232" s="10">
        <f t="shared" ref="L232:AQ232" ca="1" si="360" xml:space="preserve"> L224 * CAPEX_Accumulated_From_Date</f>
        <v>0</v>
      </c>
      <c r="M232" s="10">
        <f t="shared" ca="1" si="360"/>
        <v>0</v>
      </c>
      <c r="N232" s="10">
        <f t="shared" ca="1" si="360"/>
        <v>0</v>
      </c>
      <c r="O232" s="10">
        <f t="shared" ca="1" si="360"/>
        <v>0</v>
      </c>
      <c r="P232" s="10">
        <f t="shared" ca="1" si="360"/>
        <v>0</v>
      </c>
      <c r="Q232" s="10">
        <f t="shared" ca="1" si="360"/>
        <v>0</v>
      </c>
      <c r="R232" s="10">
        <f t="shared" ca="1" si="360"/>
        <v>0</v>
      </c>
      <c r="S232" s="10">
        <f t="shared" ca="1" si="360"/>
        <v>0</v>
      </c>
      <c r="T232" s="10">
        <f t="shared" ca="1" si="360"/>
        <v>0</v>
      </c>
      <c r="U232" s="10">
        <f t="shared" ca="1" si="360"/>
        <v>0</v>
      </c>
      <c r="V232" s="10">
        <f t="shared" ca="1" si="360"/>
        <v>0</v>
      </c>
      <c r="W232" s="10">
        <f t="shared" ca="1" si="360"/>
        <v>0</v>
      </c>
      <c r="X232" s="10">
        <f t="shared" ca="1" si="360"/>
        <v>0</v>
      </c>
      <c r="Y232" s="10">
        <f t="shared" ca="1" si="360"/>
        <v>0</v>
      </c>
      <c r="Z232" s="10">
        <f t="shared" ca="1" si="360"/>
        <v>0</v>
      </c>
      <c r="AA232" s="10">
        <f t="shared" ca="1" si="360"/>
        <v>0</v>
      </c>
      <c r="AB232" s="10">
        <f t="shared" ca="1" si="360"/>
        <v>0</v>
      </c>
      <c r="AC232" s="10">
        <f t="shared" ca="1" si="360"/>
        <v>0</v>
      </c>
      <c r="AD232" s="10">
        <f t="shared" ca="1" si="360"/>
        <v>0</v>
      </c>
      <c r="AE232" s="10">
        <f t="shared" ca="1" si="360"/>
        <v>0</v>
      </c>
      <c r="AF232" s="10">
        <f t="shared" ca="1" si="360"/>
        <v>0</v>
      </c>
      <c r="AG232" s="10">
        <f t="shared" ca="1" si="360"/>
        <v>0</v>
      </c>
      <c r="AH232" s="10">
        <f t="shared" ca="1" si="360"/>
        <v>0</v>
      </c>
      <c r="AI232" s="10">
        <f t="shared" ca="1" si="360"/>
        <v>0</v>
      </c>
      <c r="AJ232" s="10">
        <f t="shared" ca="1" si="360"/>
        <v>0</v>
      </c>
      <c r="AK232" s="10">
        <f t="shared" ca="1" si="360"/>
        <v>0</v>
      </c>
      <c r="AL232" s="10">
        <f t="shared" ca="1" si="360"/>
        <v>0</v>
      </c>
      <c r="AM232" s="10">
        <f t="shared" ca="1" si="360"/>
        <v>0</v>
      </c>
      <c r="AN232" s="10">
        <f t="shared" ca="1" si="360"/>
        <v>0</v>
      </c>
      <c r="AO232" s="10">
        <f t="shared" ca="1" si="360"/>
        <v>0</v>
      </c>
      <c r="AP232" s="10">
        <f t="shared" ca="1" si="360"/>
        <v>0</v>
      </c>
      <c r="AQ232" s="10">
        <f t="shared" ca="1" si="360"/>
        <v>0</v>
      </c>
      <c r="AR232" s="10">
        <f t="shared" ref="AR232:BW232" ca="1" si="361" xml:space="preserve"> AR224 * CAPEX_Accumulated_From_Date</f>
        <v>0</v>
      </c>
      <c r="AS232" s="10">
        <f t="shared" ca="1" si="361"/>
        <v>0</v>
      </c>
      <c r="AT232" s="10">
        <f t="shared" ca="1" si="361"/>
        <v>0</v>
      </c>
      <c r="AU232" s="10">
        <f t="shared" ca="1" si="361"/>
        <v>0</v>
      </c>
      <c r="AV232" s="10">
        <f t="shared" ca="1" si="361"/>
        <v>0</v>
      </c>
      <c r="AW232" s="10">
        <f t="shared" ca="1" si="361"/>
        <v>0</v>
      </c>
      <c r="AX232" s="10">
        <f t="shared" ca="1" si="361"/>
        <v>0</v>
      </c>
      <c r="AY232" s="10">
        <f t="shared" ca="1" si="361"/>
        <v>0</v>
      </c>
      <c r="AZ232" s="10">
        <f t="shared" ca="1" si="361"/>
        <v>0</v>
      </c>
      <c r="BA232" s="10">
        <f t="shared" ca="1" si="361"/>
        <v>0</v>
      </c>
      <c r="BB232" s="10">
        <f t="shared" ca="1" si="361"/>
        <v>0</v>
      </c>
      <c r="BC232" s="10">
        <f t="shared" ca="1" si="361"/>
        <v>0</v>
      </c>
      <c r="BD232" s="10">
        <f t="shared" ca="1" si="361"/>
        <v>0</v>
      </c>
      <c r="BE232" s="10">
        <f t="shared" ca="1" si="361"/>
        <v>0</v>
      </c>
      <c r="BF232" s="10">
        <f t="shared" ca="1" si="361"/>
        <v>0</v>
      </c>
      <c r="BG232" s="10">
        <f t="shared" ca="1" si="361"/>
        <v>0</v>
      </c>
      <c r="BH232" s="10">
        <f t="shared" ca="1" si="361"/>
        <v>0</v>
      </c>
      <c r="BI232" s="10">
        <f t="shared" ca="1" si="361"/>
        <v>0</v>
      </c>
      <c r="BJ232" s="10">
        <f t="shared" ca="1" si="361"/>
        <v>0</v>
      </c>
      <c r="BK232" s="10">
        <f t="shared" ca="1" si="361"/>
        <v>0</v>
      </c>
      <c r="BL232" s="10">
        <f t="shared" ca="1" si="361"/>
        <v>0</v>
      </c>
      <c r="BM232" s="10">
        <f t="shared" ca="1" si="361"/>
        <v>0</v>
      </c>
      <c r="BN232" s="10">
        <f t="shared" ca="1" si="361"/>
        <v>0</v>
      </c>
      <c r="BO232" s="10">
        <f t="shared" ca="1" si="361"/>
        <v>0</v>
      </c>
      <c r="BP232" s="10">
        <f t="shared" ca="1" si="361"/>
        <v>0</v>
      </c>
      <c r="BQ232" s="10">
        <f t="shared" ca="1" si="361"/>
        <v>0</v>
      </c>
      <c r="BR232" s="10">
        <f t="shared" ca="1" si="361"/>
        <v>0</v>
      </c>
      <c r="BS232" s="10">
        <f t="shared" ca="1" si="361"/>
        <v>0</v>
      </c>
      <c r="BT232" s="10">
        <f t="shared" ca="1" si="361"/>
        <v>0</v>
      </c>
      <c r="BU232" s="10">
        <f t="shared" ca="1" si="361"/>
        <v>0</v>
      </c>
      <c r="BV232" s="10">
        <f t="shared" ca="1" si="361"/>
        <v>0</v>
      </c>
      <c r="BW232" s="10">
        <f t="shared" ca="1" si="361"/>
        <v>0</v>
      </c>
      <c r="BX232" s="10">
        <f t="shared" ref="BX232:CO232" ca="1" si="362" xml:space="preserve"> BX224 * CAPEX_Accumulated_From_Date</f>
        <v>0</v>
      </c>
      <c r="BY232" s="10">
        <f t="shared" ca="1" si="362"/>
        <v>0</v>
      </c>
      <c r="BZ232" s="10">
        <f t="shared" ca="1" si="362"/>
        <v>0</v>
      </c>
      <c r="CA232" s="10">
        <f t="shared" ca="1" si="362"/>
        <v>0</v>
      </c>
      <c r="CB232" s="10">
        <f t="shared" ca="1" si="362"/>
        <v>0</v>
      </c>
      <c r="CC232" s="10">
        <f t="shared" ca="1" si="362"/>
        <v>0</v>
      </c>
      <c r="CD232" s="10">
        <f t="shared" ca="1" si="362"/>
        <v>0</v>
      </c>
      <c r="CE232" s="10">
        <f t="shared" ca="1" si="362"/>
        <v>0</v>
      </c>
      <c r="CF232" s="10">
        <f t="shared" ca="1" si="362"/>
        <v>0</v>
      </c>
      <c r="CG232" s="10">
        <f t="shared" ca="1" si="362"/>
        <v>0</v>
      </c>
      <c r="CH232" s="10">
        <f t="shared" ca="1" si="362"/>
        <v>0</v>
      </c>
      <c r="CI232" s="10">
        <f t="shared" ca="1" si="362"/>
        <v>0</v>
      </c>
      <c r="CJ232" s="10">
        <f t="shared" ca="1" si="362"/>
        <v>0</v>
      </c>
      <c r="CK232" s="10">
        <f t="shared" ca="1" si="362"/>
        <v>0</v>
      </c>
      <c r="CL232" s="10">
        <f t="shared" ca="1" si="362"/>
        <v>0</v>
      </c>
      <c r="CM232" s="10">
        <f t="shared" ca="1" si="362"/>
        <v>0</v>
      </c>
      <c r="CN232" s="10">
        <f t="shared" ca="1" si="362"/>
        <v>0</v>
      </c>
      <c r="CO232" s="10">
        <f t="shared" ca="1" si="362"/>
        <v>0</v>
      </c>
    </row>
    <row r="233" spans="1:93">
      <c r="A233" s="9"/>
      <c r="B233" s="168"/>
      <c r="C233" s="17" t="s">
        <v>821</v>
      </c>
      <c r="D233" s="10"/>
      <c r="E233" s="62"/>
      <c r="F233" s="11"/>
      <c r="G233" s="11" t="str">
        <f>Monetary_Unit</f>
        <v>тыс. руб.</v>
      </c>
      <c r="H233" s="10"/>
      <c r="I233" s="23">
        <f ca="1">SUM(L233:CO233)</f>
        <v>0</v>
      </c>
      <c r="J233" s="10"/>
      <c r="K233" s="10"/>
      <c r="L233" s="10">
        <f t="shared" ref="L233:AQ233" ca="1" si="363" xml:space="preserve"> L225 * CAPEX_Accumulated_From_Date</f>
        <v>0</v>
      </c>
      <c r="M233" s="10">
        <f t="shared" ca="1" si="363"/>
        <v>0</v>
      </c>
      <c r="N233" s="10">
        <f t="shared" ca="1" si="363"/>
        <v>0</v>
      </c>
      <c r="O233" s="10">
        <f t="shared" ca="1" si="363"/>
        <v>0</v>
      </c>
      <c r="P233" s="10">
        <f t="shared" ca="1" si="363"/>
        <v>0</v>
      </c>
      <c r="Q233" s="10">
        <f t="shared" ca="1" si="363"/>
        <v>0</v>
      </c>
      <c r="R233" s="10">
        <f t="shared" ca="1" si="363"/>
        <v>0</v>
      </c>
      <c r="S233" s="10">
        <f t="shared" ca="1" si="363"/>
        <v>0</v>
      </c>
      <c r="T233" s="10">
        <f t="shared" ca="1" si="363"/>
        <v>0</v>
      </c>
      <c r="U233" s="10">
        <f t="shared" ca="1" si="363"/>
        <v>0</v>
      </c>
      <c r="V233" s="10">
        <f t="shared" ca="1" si="363"/>
        <v>0</v>
      </c>
      <c r="W233" s="10">
        <f t="shared" ca="1" si="363"/>
        <v>0</v>
      </c>
      <c r="X233" s="10">
        <f t="shared" ca="1" si="363"/>
        <v>0</v>
      </c>
      <c r="Y233" s="10">
        <f t="shared" ca="1" si="363"/>
        <v>0</v>
      </c>
      <c r="Z233" s="10">
        <f t="shared" ca="1" si="363"/>
        <v>0</v>
      </c>
      <c r="AA233" s="10">
        <f t="shared" ca="1" si="363"/>
        <v>0</v>
      </c>
      <c r="AB233" s="10">
        <f t="shared" ca="1" si="363"/>
        <v>0</v>
      </c>
      <c r="AC233" s="10">
        <f t="shared" ca="1" si="363"/>
        <v>0</v>
      </c>
      <c r="AD233" s="10">
        <f t="shared" ca="1" si="363"/>
        <v>0</v>
      </c>
      <c r="AE233" s="10">
        <f t="shared" ca="1" si="363"/>
        <v>0</v>
      </c>
      <c r="AF233" s="10">
        <f t="shared" ca="1" si="363"/>
        <v>0</v>
      </c>
      <c r="AG233" s="10">
        <f t="shared" ca="1" si="363"/>
        <v>0</v>
      </c>
      <c r="AH233" s="10">
        <f t="shared" ca="1" si="363"/>
        <v>0</v>
      </c>
      <c r="AI233" s="10">
        <f t="shared" ca="1" si="363"/>
        <v>0</v>
      </c>
      <c r="AJ233" s="10">
        <f t="shared" ca="1" si="363"/>
        <v>0</v>
      </c>
      <c r="AK233" s="10">
        <f t="shared" ca="1" si="363"/>
        <v>0</v>
      </c>
      <c r="AL233" s="10">
        <f t="shared" ca="1" si="363"/>
        <v>0</v>
      </c>
      <c r="AM233" s="10">
        <f t="shared" ca="1" si="363"/>
        <v>0</v>
      </c>
      <c r="AN233" s="10">
        <f t="shared" ca="1" si="363"/>
        <v>0</v>
      </c>
      <c r="AO233" s="10">
        <f t="shared" ca="1" si="363"/>
        <v>0</v>
      </c>
      <c r="AP233" s="10">
        <f t="shared" ca="1" si="363"/>
        <v>0</v>
      </c>
      <c r="AQ233" s="10">
        <f t="shared" ca="1" si="363"/>
        <v>0</v>
      </c>
      <c r="AR233" s="10">
        <f t="shared" ref="AR233:BW233" ca="1" si="364" xml:space="preserve"> AR225 * CAPEX_Accumulated_From_Date</f>
        <v>0</v>
      </c>
      <c r="AS233" s="10">
        <f t="shared" ca="1" si="364"/>
        <v>0</v>
      </c>
      <c r="AT233" s="10">
        <f t="shared" ca="1" si="364"/>
        <v>0</v>
      </c>
      <c r="AU233" s="10">
        <f t="shared" ca="1" si="364"/>
        <v>0</v>
      </c>
      <c r="AV233" s="10">
        <f t="shared" ca="1" si="364"/>
        <v>0</v>
      </c>
      <c r="AW233" s="10">
        <f t="shared" ca="1" si="364"/>
        <v>0</v>
      </c>
      <c r="AX233" s="10">
        <f t="shared" ca="1" si="364"/>
        <v>0</v>
      </c>
      <c r="AY233" s="10">
        <f t="shared" ca="1" si="364"/>
        <v>0</v>
      </c>
      <c r="AZ233" s="10">
        <f t="shared" ca="1" si="364"/>
        <v>0</v>
      </c>
      <c r="BA233" s="10">
        <f t="shared" ca="1" si="364"/>
        <v>0</v>
      </c>
      <c r="BB233" s="10">
        <f t="shared" ca="1" si="364"/>
        <v>0</v>
      </c>
      <c r="BC233" s="10">
        <f t="shared" ca="1" si="364"/>
        <v>0</v>
      </c>
      <c r="BD233" s="10">
        <f t="shared" ca="1" si="364"/>
        <v>0</v>
      </c>
      <c r="BE233" s="10">
        <f t="shared" ca="1" si="364"/>
        <v>0</v>
      </c>
      <c r="BF233" s="10">
        <f t="shared" ca="1" si="364"/>
        <v>0</v>
      </c>
      <c r="BG233" s="10">
        <f t="shared" ca="1" si="364"/>
        <v>0</v>
      </c>
      <c r="BH233" s="10">
        <f t="shared" ca="1" si="364"/>
        <v>0</v>
      </c>
      <c r="BI233" s="10">
        <f t="shared" ca="1" si="364"/>
        <v>0</v>
      </c>
      <c r="BJ233" s="10">
        <f t="shared" ca="1" si="364"/>
        <v>0</v>
      </c>
      <c r="BK233" s="10">
        <f t="shared" ca="1" si="364"/>
        <v>0</v>
      </c>
      <c r="BL233" s="10">
        <f t="shared" ca="1" si="364"/>
        <v>0</v>
      </c>
      <c r="BM233" s="10">
        <f t="shared" ca="1" si="364"/>
        <v>0</v>
      </c>
      <c r="BN233" s="10">
        <f t="shared" ca="1" si="364"/>
        <v>0</v>
      </c>
      <c r="BO233" s="10">
        <f t="shared" ca="1" si="364"/>
        <v>0</v>
      </c>
      <c r="BP233" s="10">
        <f t="shared" ca="1" si="364"/>
        <v>0</v>
      </c>
      <c r="BQ233" s="10">
        <f t="shared" ca="1" si="364"/>
        <v>0</v>
      </c>
      <c r="BR233" s="10">
        <f t="shared" ca="1" si="364"/>
        <v>0</v>
      </c>
      <c r="BS233" s="10">
        <f t="shared" ca="1" si="364"/>
        <v>0</v>
      </c>
      <c r="BT233" s="10">
        <f t="shared" ca="1" si="364"/>
        <v>0</v>
      </c>
      <c r="BU233" s="10">
        <f t="shared" ca="1" si="364"/>
        <v>0</v>
      </c>
      <c r="BV233" s="10">
        <f t="shared" ca="1" si="364"/>
        <v>0</v>
      </c>
      <c r="BW233" s="10">
        <f t="shared" ca="1" si="364"/>
        <v>0</v>
      </c>
      <c r="BX233" s="10">
        <f t="shared" ref="BX233:CO233" ca="1" si="365" xml:space="preserve"> BX225 * CAPEX_Accumulated_From_Date</f>
        <v>0</v>
      </c>
      <c r="BY233" s="10">
        <f t="shared" ca="1" si="365"/>
        <v>0</v>
      </c>
      <c r="BZ233" s="10">
        <f t="shared" ca="1" si="365"/>
        <v>0</v>
      </c>
      <c r="CA233" s="10">
        <f t="shared" ca="1" si="365"/>
        <v>0</v>
      </c>
      <c r="CB233" s="10">
        <f t="shared" ca="1" si="365"/>
        <v>0</v>
      </c>
      <c r="CC233" s="10">
        <f t="shared" ca="1" si="365"/>
        <v>0</v>
      </c>
      <c r="CD233" s="10">
        <f t="shared" ca="1" si="365"/>
        <v>0</v>
      </c>
      <c r="CE233" s="10">
        <f t="shared" ca="1" si="365"/>
        <v>0</v>
      </c>
      <c r="CF233" s="10">
        <f t="shared" ca="1" si="365"/>
        <v>0</v>
      </c>
      <c r="CG233" s="10">
        <f t="shared" ca="1" si="365"/>
        <v>0</v>
      </c>
      <c r="CH233" s="10">
        <f t="shared" ca="1" si="365"/>
        <v>0</v>
      </c>
      <c r="CI233" s="10">
        <f t="shared" ca="1" si="365"/>
        <v>0</v>
      </c>
      <c r="CJ233" s="10">
        <f t="shared" ca="1" si="365"/>
        <v>0</v>
      </c>
      <c r="CK233" s="10">
        <f t="shared" ca="1" si="365"/>
        <v>0</v>
      </c>
      <c r="CL233" s="10">
        <f t="shared" ca="1" si="365"/>
        <v>0</v>
      </c>
      <c r="CM233" s="10">
        <f t="shared" ca="1" si="365"/>
        <v>0</v>
      </c>
      <c r="CN233" s="10">
        <f t="shared" ca="1" si="365"/>
        <v>0</v>
      </c>
      <c r="CO233" s="10">
        <f t="shared" ca="1" si="365"/>
        <v>0</v>
      </c>
    </row>
    <row r="234" spans="1:93" ht="15.75" thickBot="1">
      <c r="A234" s="9"/>
      <c r="B234" s="168"/>
      <c r="C234" s="17" t="s">
        <v>797</v>
      </c>
      <c r="D234" s="10"/>
      <c r="E234" s="62"/>
      <c r="F234" s="11"/>
      <c r="G234" s="11" t="str">
        <f>Monetary_Unit</f>
        <v>тыс. руб.</v>
      </c>
      <c r="H234" s="10"/>
      <c r="I234" s="23">
        <f ca="1">SUM(L234:CO234)</f>
        <v>0</v>
      </c>
      <c r="J234" s="10"/>
      <c r="K234" s="10"/>
      <c r="L234" s="10">
        <f t="shared" ref="L234:AQ234" ca="1" si="366" xml:space="preserve"> L226 * CAPEX_Accumulated_From_Date</f>
        <v>0</v>
      </c>
      <c r="M234" s="10">
        <f t="shared" ca="1" si="366"/>
        <v>0</v>
      </c>
      <c r="N234" s="10">
        <f t="shared" ca="1" si="366"/>
        <v>0</v>
      </c>
      <c r="O234" s="10">
        <f t="shared" ca="1" si="366"/>
        <v>0</v>
      </c>
      <c r="P234" s="10">
        <f t="shared" ca="1" si="366"/>
        <v>0</v>
      </c>
      <c r="Q234" s="10">
        <f t="shared" ca="1" si="366"/>
        <v>0</v>
      </c>
      <c r="R234" s="10">
        <f t="shared" ca="1" si="366"/>
        <v>0</v>
      </c>
      <c r="S234" s="10">
        <f t="shared" ca="1" si="366"/>
        <v>0</v>
      </c>
      <c r="T234" s="10">
        <f t="shared" ca="1" si="366"/>
        <v>0</v>
      </c>
      <c r="U234" s="10">
        <f t="shared" ca="1" si="366"/>
        <v>0</v>
      </c>
      <c r="V234" s="10">
        <f t="shared" ca="1" si="366"/>
        <v>0</v>
      </c>
      <c r="W234" s="10">
        <f t="shared" ca="1" si="366"/>
        <v>0</v>
      </c>
      <c r="X234" s="10">
        <f t="shared" ca="1" si="366"/>
        <v>0</v>
      </c>
      <c r="Y234" s="10">
        <f t="shared" ca="1" si="366"/>
        <v>0</v>
      </c>
      <c r="Z234" s="10">
        <f t="shared" ca="1" si="366"/>
        <v>0</v>
      </c>
      <c r="AA234" s="10">
        <f t="shared" ca="1" si="366"/>
        <v>0</v>
      </c>
      <c r="AB234" s="10">
        <f t="shared" ca="1" si="366"/>
        <v>0</v>
      </c>
      <c r="AC234" s="10">
        <f t="shared" ca="1" si="366"/>
        <v>0</v>
      </c>
      <c r="AD234" s="10">
        <f t="shared" ca="1" si="366"/>
        <v>0</v>
      </c>
      <c r="AE234" s="10">
        <f t="shared" ca="1" si="366"/>
        <v>0</v>
      </c>
      <c r="AF234" s="10">
        <f t="shared" ca="1" si="366"/>
        <v>0</v>
      </c>
      <c r="AG234" s="10">
        <f t="shared" ca="1" si="366"/>
        <v>0</v>
      </c>
      <c r="AH234" s="10">
        <f t="shared" ca="1" si="366"/>
        <v>0</v>
      </c>
      <c r="AI234" s="10">
        <f t="shared" ca="1" si="366"/>
        <v>0</v>
      </c>
      <c r="AJ234" s="10">
        <f t="shared" ca="1" si="366"/>
        <v>0</v>
      </c>
      <c r="AK234" s="10">
        <f t="shared" ca="1" si="366"/>
        <v>0</v>
      </c>
      <c r="AL234" s="10">
        <f t="shared" ca="1" si="366"/>
        <v>0</v>
      </c>
      <c r="AM234" s="10">
        <f t="shared" ca="1" si="366"/>
        <v>0</v>
      </c>
      <c r="AN234" s="10">
        <f t="shared" ca="1" si="366"/>
        <v>0</v>
      </c>
      <c r="AO234" s="10">
        <f t="shared" ca="1" si="366"/>
        <v>0</v>
      </c>
      <c r="AP234" s="10">
        <f t="shared" ca="1" si="366"/>
        <v>0</v>
      </c>
      <c r="AQ234" s="10">
        <f t="shared" ca="1" si="366"/>
        <v>0</v>
      </c>
      <c r="AR234" s="10">
        <f t="shared" ref="AR234:BW234" ca="1" si="367" xml:space="preserve"> AR226 * CAPEX_Accumulated_From_Date</f>
        <v>0</v>
      </c>
      <c r="AS234" s="10">
        <f t="shared" ca="1" si="367"/>
        <v>0</v>
      </c>
      <c r="AT234" s="10">
        <f t="shared" ca="1" si="367"/>
        <v>0</v>
      </c>
      <c r="AU234" s="10">
        <f t="shared" ca="1" si="367"/>
        <v>0</v>
      </c>
      <c r="AV234" s="10">
        <f t="shared" ca="1" si="367"/>
        <v>0</v>
      </c>
      <c r="AW234" s="10">
        <f t="shared" ca="1" si="367"/>
        <v>0</v>
      </c>
      <c r="AX234" s="10">
        <f t="shared" ca="1" si="367"/>
        <v>0</v>
      </c>
      <c r="AY234" s="10">
        <f t="shared" ca="1" si="367"/>
        <v>0</v>
      </c>
      <c r="AZ234" s="10">
        <f t="shared" ca="1" si="367"/>
        <v>0</v>
      </c>
      <c r="BA234" s="10">
        <f t="shared" ca="1" si="367"/>
        <v>0</v>
      </c>
      <c r="BB234" s="10">
        <f t="shared" ca="1" si="367"/>
        <v>0</v>
      </c>
      <c r="BC234" s="10">
        <f t="shared" ca="1" si="367"/>
        <v>0</v>
      </c>
      <c r="BD234" s="10">
        <f t="shared" ca="1" si="367"/>
        <v>0</v>
      </c>
      <c r="BE234" s="10">
        <f t="shared" ca="1" si="367"/>
        <v>0</v>
      </c>
      <c r="BF234" s="10">
        <f t="shared" ca="1" si="367"/>
        <v>0</v>
      </c>
      <c r="BG234" s="10">
        <f t="shared" ca="1" si="367"/>
        <v>0</v>
      </c>
      <c r="BH234" s="10">
        <f t="shared" ca="1" si="367"/>
        <v>0</v>
      </c>
      <c r="BI234" s="10">
        <f t="shared" ca="1" si="367"/>
        <v>0</v>
      </c>
      <c r="BJ234" s="10">
        <f t="shared" ca="1" si="367"/>
        <v>0</v>
      </c>
      <c r="BK234" s="10">
        <f t="shared" ca="1" si="367"/>
        <v>0</v>
      </c>
      <c r="BL234" s="10">
        <f t="shared" ca="1" si="367"/>
        <v>0</v>
      </c>
      <c r="BM234" s="10">
        <f t="shared" ca="1" si="367"/>
        <v>0</v>
      </c>
      <c r="BN234" s="10">
        <f t="shared" ca="1" si="367"/>
        <v>0</v>
      </c>
      <c r="BO234" s="10">
        <f t="shared" ca="1" si="367"/>
        <v>0</v>
      </c>
      <c r="BP234" s="10">
        <f t="shared" ca="1" si="367"/>
        <v>0</v>
      </c>
      <c r="BQ234" s="10">
        <f t="shared" ca="1" si="367"/>
        <v>0</v>
      </c>
      <c r="BR234" s="10">
        <f t="shared" ca="1" si="367"/>
        <v>0</v>
      </c>
      <c r="BS234" s="10">
        <f t="shared" ca="1" si="367"/>
        <v>0</v>
      </c>
      <c r="BT234" s="10">
        <f t="shared" ca="1" si="367"/>
        <v>0</v>
      </c>
      <c r="BU234" s="10">
        <f t="shared" ca="1" si="367"/>
        <v>0</v>
      </c>
      <c r="BV234" s="10">
        <f t="shared" ca="1" si="367"/>
        <v>0</v>
      </c>
      <c r="BW234" s="10">
        <f t="shared" ca="1" si="367"/>
        <v>0</v>
      </c>
      <c r="BX234" s="10">
        <f t="shared" ref="BX234:CO234" ca="1" si="368" xml:space="preserve"> BX226 * CAPEX_Accumulated_From_Date</f>
        <v>0</v>
      </c>
      <c r="BY234" s="10">
        <f t="shared" ca="1" si="368"/>
        <v>0</v>
      </c>
      <c r="BZ234" s="10">
        <f t="shared" ca="1" si="368"/>
        <v>0</v>
      </c>
      <c r="CA234" s="10">
        <f t="shared" ca="1" si="368"/>
        <v>0</v>
      </c>
      <c r="CB234" s="10">
        <f t="shared" ca="1" si="368"/>
        <v>0</v>
      </c>
      <c r="CC234" s="10">
        <f t="shared" ca="1" si="368"/>
        <v>0</v>
      </c>
      <c r="CD234" s="10">
        <f t="shared" ca="1" si="368"/>
        <v>0</v>
      </c>
      <c r="CE234" s="10">
        <f t="shared" ca="1" si="368"/>
        <v>0</v>
      </c>
      <c r="CF234" s="10">
        <f t="shared" ca="1" si="368"/>
        <v>0</v>
      </c>
      <c r="CG234" s="10">
        <f t="shared" ca="1" si="368"/>
        <v>0</v>
      </c>
      <c r="CH234" s="10">
        <f t="shared" ca="1" si="368"/>
        <v>0</v>
      </c>
      <c r="CI234" s="10">
        <f t="shared" ca="1" si="368"/>
        <v>0</v>
      </c>
      <c r="CJ234" s="10">
        <f t="shared" ca="1" si="368"/>
        <v>0</v>
      </c>
      <c r="CK234" s="10">
        <f t="shared" ca="1" si="368"/>
        <v>0</v>
      </c>
      <c r="CL234" s="10">
        <f t="shared" ca="1" si="368"/>
        <v>0</v>
      </c>
      <c r="CM234" s="10">
        <f t="shared" ca="1" si="368"/>
        <v>0</v>
      </c>
      <c r="CN234" s="10">
        <f t="shared" ca="1" si="368"/>
        <v>0</v>
      </c>
      <c r="CO234" s="10">
        <f t="shared" ca="1" si="368"/>
        <v>0</v>
      </c>
    </row>
    <row r="235" spans="1:93" ht="15.75" thickTop="1">
      <c r="A235" s="77"/>
      <c r="B235" s="101"/>
      <c r="C235" s="49" t="s">
        <v>831</v>
      </c>
      <c r="D235" s="49"/>
      <c r="E235" s="136"/>
      <c r="F235" s="49"/>
      <c r="G235" s="159" t="str">
        <f xml:space="preserve"> Monetary_Unit</f>
        <v>тыс. руб.</v>
      </c>
      <c r="H235" s="49"/>
      <c r="I235" s="23">
        <f ca="1">SUM(L235:CO235)</f>
        <v>0</v>
      </c>
      <c r="J235" s="49"/>
      <c r="K235" s="49"/>
      <c r="L235" s="49">
        <f t="shared" ref="L235:R235" ca="1" si="369" xml:space="preserve"> SUM(L231:L234)</f>
        <v>0</v>
      </c>
      <c r="M235" s="49">
        <f t="shared" ca="1" si="369"/>
        <v>0</v>
      </c>
      <c r="N235" s="49">
        <f t="shared" ca="1" si="369"/>
        <v>0</v>
      </c>
      <c r="O235" s="49">
        <f t="shared" ca="1" si="369"/>
        <v>0</v>
      </c>
      <c r="P235" s="49">
        <f t="shared" ca="1" si="369"/>
        <v>0</v>
      </c>
      <c r="Q235" s="49">
        <f t="shared" ca="1" si="369"/>
        <v>0</v>
      </c>
      <c r="R235" s="49">
        <f t="shared" ca="1" si="369"/>
        <v>0</v>
      </c>
      <c r="S235" s="49">
        <f ca="1" xml:space="preserve"> SUM(S231:S234)</f>
        <v>0</v>
      </c>
      <c r="T235" s="49">
        <f t="shared" ref="T235:CE235" ca="1" si="370" xml:space="preserve"> SUM(T231:T234)</f>
        <v>0</v>
      </c>
      <c r="U235" s="49">
        <f t="shared" ca="1" si="370"/>
        <v>0</v>
      </c>
      <c r="V235" s="49">
        <f t="shared" ca="1" si="370"/>
        <v>0</v>
      </c>
      <c r="W235" s="49">
        <f t="shared" ca="1" si="370"/>
        <v>0</v>
      </c>
      <c r="X235" s="49">
        <f t="shared" ca="1" si="370"/>
        <v>0</v>
      </c>
      <c r="Y235" s="49">
        <f t="shared" ca="1" si="370"/>
        <v>0</v>
      </c>
      <c r="Z235" s="49">
        <f t="shared" ca="1" si="370"/>
        <v>0</v>
      </c>
      <c r="AA235" s="49">
        <f t="shared" ca="1" si="370"/>
        <v>0</v>
      </c>
      <c r="AB235" s="49">
        <f t="shared" ca="1" si="370"/>
        <v>0</v>
      </c>
      <c r="AC235" s="49">
        <f t="shared" ca="1" si="370"/>
        <v>0</v>
      </c>
      <c r="AD235" s="49">
        <f t="shared" ca="1" si="370"/>
        <v>0</v>
      </c>
      <c r="AE235" s="49">
        <f t="shared" ca="1" si="370"/>
        <v>0</v>
      </c>
      <c r="AF235" s="49">
        <f t="shared" ca="1" si="370"/>
        <v>0</v>
      </c>
      <c r="AG235" s="49">
        <f t="shared" ca="1" si="370"/>
        <v>0</v>
      </c>
      <c r="AH235" s="49">
        <f t="shared" ca="1" si="370"/>
        <v>0</v>
      </c>
      <c r="AI235" s="49">
        <f t="shared" ca="1" si="370"/>
        <v>0</v>
      </c>
      <c r="AJ235" s="49">
        <f t="shared" ca="1" si="370"/>
        <v>0</v>
      </c>
      <c r="AK235" s="49">
        <f t="shared" ca="1" si="370"/>
        <v>0</v>
      </c>
      <c r="AL235" s="49">
        <f t="shared" ca="1" si="370"/>
        <v>0</v>
      </c>
      <c r="AM235" s="49">
        <f t="shared" ca="1" si="370"/>
        <v>0</v>
      </c>
      <c r="AN235" s="49">
        <f t="shared" ca="1" si="370"/>
        <v>0</v>
      </c>
      <c r="AO235" s="49">
        <f t="shared" ca="1" si="370"/>
        <v>0</v>
      </c>
      <c r="AP235" s="49">
        <f t="shared" ca="1" si="370"/>
        <v>0</v>
      </c>
      <c r="AQ235" s="49">
        <f t="shared" ca="1" si="370"/>
        <v>0</v>
      </c>
      <c r="AR235" s="49">
        <f t="shared" ca="1" si="370"/>
        <v>0</v>
      </c>
      <c r="AS235" s="49">
        <f t="shared" ca="1" si="370"/>
        <v>0</v>
      </c>
      <c r="AT235" s="49">
        <f t="shared" ca="1" si="370"/>
        <v>0</v>
      </c>
      <c r="AU235" s="49">
        <f t="shared" ca="1" si="370"/>
        <v>0</v>
      </c>
      <c r="AV235" s="49">
        <f t="shared" ca="1" si="370"/>
        <v>0</v>
      </c>
      <c r="AW235" s="49">
        <f t="shared" ca="1" si="370"/>
        <v>0</v>
      </c>
      <c r="AX235" s="49">
        <f t="shared" ca="1" si="370"/>
        <v>0</v>
      </c>
      <c r="AY235" s="49">
        <f t="shared" ca="1" si="370"/>
        <v>0</v>
      </c>
      <c r="AZ235" s="49">
        <f t="shared" ca="1" si="370"/>
        <v>0</v>
      </c>
      <c r="BA235" s="49">
        <f t="shared" ca="1" si="370"/>
        <v>0</v>
      </c>
      <c r="BB235" s="49">
        <f t="shared" ca="1" si="370"/>
        <v>0</v>
      </c>
      <c r="BC235" s="49">
        <f t="shared" ca="1" si="370"/>
        <v>0</v>
      </c>
      <c r="BD235" s="49">
        <f t="shared" ca="1" si="370"/>
        <v>0</v>
      </c>
      <c r="BE235" s="49">
        <f t="shared" ca="1" si="370"/>
        <v>0</v>
      </c>
      <c r="BF235" s="49">
        <f t="shared" ca="1" si="370"/>
        <v>0</v>
      </c>
      <c r="BG235" s="49">
        <f t="shared" ca="1" si="370"/>
        <v>0</v>
      </c>
      <c r="BH235" s="49">
        <f t="shared" ca="1" si="370"/>
        <v>0</v>
      </c>
      <c r="BI235" s="49">
        <f t="shared" ca="1" si="370"/>
        <v>0</v>
      </c>
      <c r="BJ235" s="49">
        <f t="shared" ca="1" si="370"/>
        <v>0</v>
      </c>
      <c r="BK235" s="49">
        <f t="shared" ca="1" si="370"/>
        <v>0</v>
      </c>
      <c r="BL235" s="49">
        <f t="shared" ca="1" si="370"/>
        <v>0</v>
      </c>
      <c r="BM235" s="49">
        <f t="shared" ca="1" si="370"/>
        <v>0</v>
      </c>
      <c r="BN235" s="49">
        <f t="shared" ca="1" si="370"/>
        <v>0</v>
      </c>
      <c r="BO235" s="49">
        <f t="shared" ca="1" si="370"/>
        <v>0</v>
      </c>
      <c r="BP235" s="49">
        <f t="shared" ca="1" si="370"/>
        <v>0</v>
      </c>
      <c r="BQ235" s="49">
        <f t="shared" ca="1" si="370"/>
        <v>0</v>
      </c>
      <c r="BR235" s="49">
        <f t="shared" ca="1" si="370"/>
        <v>0</v>
      </c>
      <c r="BS235" s="49">
        <f t="shared" ca="1" si="370"/>
        <v>0</v>
      </c>
      <c r="BT235" s="49">
        <f t="shared" ca="1" si="370"/>
        <v>0</v>
      </c>
      <c r="BU235" s="49">
        <f t="shared" ca="1" si="370"/>
        <v>0</v>
      </c>
      <c r="BV235" s="49">
        <f t="shared" ca="1" si="370"/>
        <v>0</v>
      </c>
      <c r="BW235" s="49">
        <f t="shared" ca="1" si="370"/>
        <v>0</v>
      </c>
      <c r="BX235" s="49">
        <f t="shared" ca="1" si="370"/>
        <v>0</v>
      </c>
      <c r="BY235" s="49">
        <f t="shared" ca="1" si="370"/>
        <v>0</v>
      </c>
      <c r="BZ235" s="49">
        <f t="shared" ca="1" si="370"/>
        <v>0</v>
      </c>
      <c r="CA235" s="49">
        <f t="shared" ca="1" si="370"/>
        <v>0</v>
      </c>
      <c r="CB235" s="49">
        <f t="shared" ca="1" si="370"/>
        <v>0</v>
      </c>
      <c r="CC235" s="49">
        <f t="shared" ca="1" si="370"/>
        <v>0</v>
      </c>
      <c r="CD235" s="49">
        <f t="shared" ca="1" si="370"/>
        <v>0</v>
      </c>
      <c r="CE235" s="49">
        <f t="shared" ca="1" si="370"/>
        <v>0</v>
      </c>
      <c r="CF235" s="49">
        <f t="shared" ref="CF235:CO235" ca="1" si="371" xml:space="preserve"> SUM(CF231:CF234)</f>
        <v>0</v>
      </c>
      <c r="CG235" s="49">
        <f t="shared" ca="1" si="371"/>
        <v>0</v>
      </c>
      <c r="CH235" s="49">
        <f t="shared" ca="1" si="371"/>
        <v>0</v>
      </c>
      <c r="CI235" s="49">
        <f t="shared" ca="1" si="371"/>
        <v>0</v>
      </c>
      <c r="CJ235" s="49">
        <f t="shared" ca="1" si="371"/>
        <v>0</v>
      </c>
      <c r="CK235" s="49">
        <f t="shared" ca="1" si="371"/>
        <v>0</v>
      </c>
      <c r="CL235" s="49">
        <f t="shared" ca="1" si="371"/>
        <v>0</v>
      </c>
      <c r="CM235" s="49">
        <f t="shared" ca="1" si="371"/>
        <v>0</v>
      </c>
      <c r="CN235" s="49">
        <f t="shared" ca="1" si="371"/>
        <v>0</v>
      </c>
      <c r="CO235" s="49">
        <f t="shared" ca="1" si="371"/>
        <v>0</v>
      </c>
    </row>
    <row r="236" spans="1:93">
      <c r="A236" s="77"/>
      <c r="B236" s="168"/>
      <c r="C236" s="169"/>
      <c r="D236" s="10"/>
      <c r="E236" s="62"/>
      <c r="F236" s="11"/>
      <c r="G236" s="11"/>
      <c r="H236" s="10"/>
      <c r="I236" s="10" t="str">
        <f ca="1">IF(IFERROR(I235=Предпосылки!H326*I96*I113,I235=0),"")</f>
        <v/>
      </c>
      <c r="J236" s="10"/>
      <c r="K236" s="10"/>
      <c r="L236" s="170"/>
      <c r="M236" s="170"/>
      <c r="N236" s="170"/>
      <c r="O236" s="170"/>
      <c r="P236" s="170"/>
      <c r="Q236" s="170"/>
      <c r="R236" s="170"/>
      <c r="S236" s="170"/>
      <c r="T236" s="170"/>
      <c r="U236" s="170"/>
      <c r="V236" s="170"/>
      <c r="W236" s="170"/>
      <c r="X236" s="170"/>
      <c r="Y236" s="170"/>
      <c r="Z236" s="170"/>
      <c r="AA236" s="170"/>
      <c r="AB236" s="170"/>
      <c r="AC236" s="170"/>
      <c r="AD236" s="170"/>
      <c r="AE236" s="170"/>
      <c r="AF236" s="170"/>
      <c r="AG236" s="170"/>
      <c r="AH236" s="170"/>
      <c r="AI236" s="170"/>
      <c r="AJ236" s="170"/>
      <c r="AK236" s="170"/>
      <c r="AL236" s="170"/>
      <c r="AM236" s="170"/>
      <c r="AN236" s="170"/>
      <c r="AO236" s="170"/>
      <c r="AP236" s="170"/>
      <c r="AQ236" s="170"/>
      <c r="AR236" s="170"/>
      <c r="AS236" s="170"/>
      <c r="AT236" s="170"/>
      <c r="AU236" s="170"/>
      <c r="AV236" s="170"/>
      <c r="AW236" s="170"/>
      <c r="AX236" s="170"/>
      <c r="AY236" s="170"/>
      <c r="AZ236" s="170"/>
      <c r="BA236" s="170"/>
      <c r="BB236" s="170"/>
      <c r="BC236" s="170"/>
      <c r="BD236" s="170"/>
      <c r="BE236" s="170"/>
      <c r="BF236" s="170"/>
      <c r="BG236" s="170"/>
      <c r="BH236" s="170"/>
      <c r="BI236" s="170"/>
      <c r="BJ236" s="170"/>
      <c r="BK236" s="170"/>
      <c r="BL236" s="170"/>
      <c r="BM236" s="170"/>
      <c r="BN236" s="170"/>
      <c r="BO236" s="170"/>
      <c r="BP236" s="170"/>
      <c r="BQ236" s="170"/>
      <c r="BR236" s="170"/>
      <c r="BS236" s="170"/>
      <c r="BT236" s="170"/>
      <c r="BU236" s="170"/>
      <c r="BV236" s="170"/>
      <c r="BW236" s="170"/>
      <c r="BX236" s="170"/>
      <c r="BY236" s="170"/>
      <c r="BZ236" s="170"/>
      <c r="CA236" s="170"/>
      <c r="CB236" s="170"/>
      <c r="CC236" s="170"/>
      <c r="CD236" s="170"/>
      <c r="CE236" s="170"/>
      <c r="CF236" s="170"/>
      <c r="CG236" s="170"/>
      <c r="CH236" s="170"/>
      <c r="CI236" s="170"/>
      <c r="CJ236" s="170"/>
      <c r="CK236" s="170"/>
      <c r="CL236" s="170"/>
      <c r="CM236" s="170"/>
      <c r="CN236" s="170"/>
      <c r="CO236" s="170"/>
    </row>
    <row r="237" spans="1:93" ht="15" customHeight="1">
      <c r="A237" s="10"/>
      <c r="B237" s="3"/>
      <c r="C237" s="382" t="str">
        <f>C97</f>
        <v>Сегмент 3: Крытый парк развлечений</v>
      </c>
      <c r="D237" s="271"/>
      <c r="E237" s="271"/>
      <c r="F237" s="271"/>
      <c r="G237" s="272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  <c r="CA237" s="271"/>
      <c r="CB237" s="271"/>
      <c r="CC237" s="271"/>
      <c r="CD237" s="271"/>
      <c r="CE237" s="271"/>
      <c r="CF237" s="271"/>
      <c r="CG237" s="271"/>
      <c r="CH237" s="271"/>
      <c r="CI237" s="271"/>
      <c r="CJ237" s="271"/>
      <c r="CK237" s="271"/>
      <c r="CL237" s="271"/>
      <c r="CM237" s="271"/>
      <c r="CN237" s="271"/>
      <c r="CO237" s="271"/>
    </row>
    <row r="238" spans="1:93">
      <c r="A238" s="77"/>
      <c r="B238" s="168"/>
      <c r="C238" s="169"/>
      <c r="D238" s="10"/>
      <c r="E238" s="62"/>
      <c r="F238" s="11"/>
      <c r="G238" s="11"/>
      <c r="H238" s="10"/>
      <c r="I238" s="10"/>
      <c r="J238" s="10"/>
      <c r="K238" s="10"/>
      <c r="L238" s="170"/>
      <c r="M238" s="170"/>
      <c r="N238" s="170"/>
      <c r="O238" s="170"/>
      <c r="P238" s="170"/>
      <c r="Q238" s="170"/>
      <c r="R238" s="170"/>
      <c r="S238" s="170"/>
      <c r="T238" s="170"/>
      <c r="U238" s="170"/>
      <c r="V238" s="170"/>
      <c r="W238" s="170"/>
      <c r="X238" s="170"/>
      <c r="Y238" s="170"/>
      <c r="Z238" s="170"/>
      <c r="AA238" s="170"/>
      <c r="AB238" s="170"/>
      <c r="AC238" s="170"/>
      <c r="AD238" s="170"/>
      <c r="AE238" s="170"/>
      <c r="AF238" s="170"/>
      <c r="AG238" s="170"/>
      <c r="AH238" s="170"/>
      <c r="AI238" s="170"/>
      <c r="AJ238" s="170"/>
      <c r="AK238" s="170"/>
      <c r="AL238" s="170"/>
      <c r="AM238" s="170"/>
      <c r="AN238" s="170"/>
      <c r="AO238" s="170"/>
      <c r="AP238" s="170"/>
      <c r="AQ238" s="170"/>
      <c r="AR238" s="170"/>
      <c r="AS238" s="170"/>
      <c r="AT238" s="170"/>
      <c r="AU238" s="170"/>
      <c r="AV238" s="170"/>
      <c r="AW238" s="170"/>
      <c r="AX238" s="170"/>
      <c r="AY238" s="170"/>
      <c r="AZ238" s="170"/>
      <c r="BA238" s="170"/>
      <c r="BB238" s="170"/>
      <c r="BC238" s="170"/>
      <c r="BD238" s="170"/>
      <c r="BE238" s="170"/>
      <c r="BF238" s="170"/>
      <c r="BG238" s="170"/>
      <c r="BH238" s="170"/>
      <c r="BI238" s="170"/>
      <c r="BJ238" s="170"/>
      <c r="BK238" s="170"/>
      <c r="BL238" s="170"/>
      <c r="BM238" s="170"/>
      <c r="BN238" s="170"/>
      <c r="BO238" s="170"/>
      <c r="BP238" s="170"/>
      <c r="BQ238" s="170"/>
      <c r="BR238" s="170"/>
      <c r="BS238" s="170"/>
      <c r="BT238" s="170"/>
      <c r="BU238" s="170"/>
      <c r="BV238" s="170"/>
      <c r="BW238" s="170"/>
      <c r="BX238" s="170"/>
      <c r="BY238" s="170"/>
      <c r="BZ238" s="170"/>
      <c r="CA238" s="170"/>
      <c r="CB238" s="170"/>
      <c r="CC238" s="170"/>
      <c r="CD238" s="170"/>
      <c r="CE238" s="170"/>
      <c r="CF238" s="170"/>
      <c r="CG238" s="170"/>
      <c r="CH238" s="170"/>
      <c r="CI238" s="170"/>
      <c r="CJ238" s="170"/>
      <c r="CK238" s="170"/>
      <c r="CL238" s="170"/>
      <c r="CM238" s="170"/>
      <c r="CN238" s="170"/>
      <c r="CO238" s="170"/>
    </row>
    <row r="239" spans="1:93" ht="16.5" thickBot="1">
      <c r="A239" s="77"/>
      <c r="B239" s="168"/>
      <c r="C239" s="12" t="s">
        <v>649</v>
      </c>
      <c r="D239" s="12"/>
      <c r="E239" s="12"/>
      <c r="F239" s="12"/>
      <c r="G239" s="360"/>
      <c r="H239" s="12"/>
      <c r="I239" s="12"/>
      <c r="J239" s="10"/>
      <c r="K239" s="1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170"/>
      <c r="AK239" s="170"/>
      <c r="AL239" s="170"/>
      <c r="AM239" s="170"/>
      <c r="AN239" s="170"/>
      <c r="AO239" s="170"/>
      <c r="AP239" s="170"/>
      <c r="AQ239" s="170"/>
      <c r="AR239" s="170"/>
      <c r="AS239" s="170"/>
      <c r="AT239" s="170"/>
      <c r="AU239" s="170"/>
      <c r="AV239" s="170"/>
      <c r="AW239" s="170"/>
      <c r="AX239" s="170"/>
      <c r="AY239" s="170"/>
      <c r="AZ239" s="170"/>
      <c r="BA239" s="170"/>
      <c r="BB239" s="170"/>
      <c r="BC239" s="170"/>
      <c r="BD239" s="170"/>
      <c r="BE239" s="170"/>
      <c r="BF239" s="170"/>
      <c r="BG239" s="170"/>
      <c r="BH239" s="170"/>
      <c r="BI239" s="170"/>
      <c r="BJ239" s="170"/>
      <c r="BK239" s="170"/>
      <c r="BL239" s="170"/>
      <c r="BM239" s="170"/>
      <c r="BN239" s="170"/>
      <c r="BO239" s="170"/>
      <c r="BP239" s="170"/>
      <c r="BQ239" s="170"/>
      <c r="BR239" s="170"/>
      <c r="BS239" s="170"/>
      <c r="BT239" s="170"/>
      <c r="BU239" s="170"/>
      <c r="BV239" s="170"/>
      <c r="BW239" s="170"/>
      <c r="BX239" s="170"/>
      <c r="BY239" s="170"/>
      <c r="BZ239" s="170"/>
      <c r="CA239" s="170"/>
      <c r="CB239" s="170"/>
      <c r="CC239" s="170"/>
      <c r="CD239" s="170"/>
      <c r="CE239" s="170"/>
      <c r="CF239" s="170"/>
      <c r="CG239" s="170"/>
      <c r="CH239" s="170"/>
      <c r="CI239" s="170"/>
      <c r="CJ239" s="170"/>
      <c r="CK239" s="170"/>
      <c r="CL239" s="170"/>
      <c r="CM239" s="170"/>
      <c r="CN239" s="170"/>
      <c r="CO239" s="170"/>
    </row>
    <row r="240" spans="1:93">
      <c r="A240" s="77"/>
      <c r="B240" s="168"/>
      <c r="C240" s="169"/>
      <c r="D240" s="10"/>
      <c r="E240" s="62"/>
      <c r="F240" s="11"/>
      <c r="G240" s="11"/>
      <c r="H240" s="10"/>
      <c r="I240" s="10"/>
      <c r="J240" s="10"/>
      <c r="K240" s="1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/>
      <c r="V240" s="170"/>
      <c r="W240" s="170"/>
      <c r="X240" s="170"/>
      <c r="Y240" s="170"/>
      <c r="Z240" s="170"/>
      <c r="AA240" s="170"/>
      <c r="AB240" s="170"/>
      <c r="AC240" s="170"/>
      <c r="AD240" s="170"/>
      <c r="AE240" s="170"/>
      <c r="AF240" s="170"/>
      <c r="AG240" s="170"/>
      <c r="AH240" s="170"/>
      <c r="AI240" s="170"/>
      <c r="AJ240" s="170"/>
      <c r="AK240" s="170"/>
      <c r="AL240" s="170"/>
      <c r="AM240" s="170"/>
      <c r="AN240" s="170"/>
      <c r="AO240" s="170"/>
      <c r="AP240" s="170"/>
      <c r="AQ240" s="170"/>
      <c r="AR240" s="170"/>
      <c r="AS240" s="170"/>
      <c r="AT240" s="170"/>
      <c r="AU240" s="170"/>
      <c r="AV240" s="170"/>
      <c r="AW240" s="170"/>
      <c r="AX240" s="170"/>
      <c r="AY240" s="170"/>
      <c r="AZ240" s="170"/>
      <c r="BA240" s="170"/>
      <c r="BB240" s="170"/>
      <c r="BC240" s="170"/>
      <c r="BD240" s="170"/>
      <c r="BE240" s="170"/>
      <c r="BF240" s="170"/>
      <c r="BG240" s="170"/>
      <c r="BH240" s="170"/>
      <c r="BI240" s="170"/>
      <c r="BJ240" s="170"/>
      <c r="BK240" s="170"/>
      <c r="BL240" s="170"/>
      <c r="BM240" s="170"/>
      <c r="BN240" s="170"/>
      <c r="BO240" s="170"/>
      <c r="BP240" s="170"/>
      <c r="BQ240" s="170"/>
      <c r="BR240" s="170"/>
      <c r="BS240" s="170"/>
      <c r="BT240" s="170"/>
      <c r="BU240" s="170"/>
      <c r="BV240" s="170"/>
      <c r="BW240" s="170"/>
      <c r="BX240" s="170"/>
      <c r="BY240" s="170"/>
      <c r="BZ240" s="170"/>
      <c r="CA240" s="170"/>
      <c r="CB240" s="170"/>
      <c r="CC240" s="170"/>
      <c r="CD240" s="170"/>
      <c r="CE240" s="170"/>
      <c r="CF240" s="170"/>
      <c r="CG240" s="170"/>
      <c r="CH240" s="170"/>
      <c r="CI240" s="170"/>
      <c r="CJ240" s="170"/>
      <c r="CK240" s="170"/>
      <c r="CL240" s="170"/>
      <c r="CM240" s="170"/>
      <c r="CN240" s="170"/>
      <c r="CO240" s="170"/>
    </row>
    <row r="241" spans="1:93">
      <c r="A241" s="77"/>
      <c r="B241" s="168"/>
      <c r="C241" s="17" t="s">
        <v>630</v>
      </c>
      <c r="D241" s="10"/>
      <c r="E241" s="184">
        <f xml:space="preserve"> Предпосылки!E348 * $I$114 * $I$97</f>
        <v>0</v>
      </c>
      <c r="F241" s="11"/>
      <c r="G241" s="11" t="str">
        <f>Monetary_Unit</f>
        <v>тыс. руб.</v>
      </c>
      <c r="H241" s="10"/>
      <c r="I241" s="10"/>
      <c r="J241" s="10"/>
      <c r="K241" s="10"/>
      <c r="L241" s="171">
        <f xml:space="preserve"> Предпосылки!L355</f>
        <v>0</v>
      </c>
      <c r="M241" s="171">
        <f xml:space="preserve"> Предпосылки!M355</f>
        <v>0</v>
      </c>
      <c r="N241" s="171">
        <f xml:space="preserve"> Предпосылки!N355</f>
        <v>0</v>
      </c>
      <c r="O241" s="171">
        <f xml:space="preserve"> Предпосылки!O355</f>
        <v>0</v>
      </c>
      <c r="P241" s="171">
        <f xml:space="preserve"> Предпосылки!P355</f>
        <v>0</v>
      </c>
      <c r="Q241" s="171">
        <f xml:space="preserve"> Предпосылки!Q355</f>
        <v>0</v>
      </c>
      <c r="R241" s="171">
        <f xml:space="preserve"> Предпосылки!R355</f>
        <v>0</v>
      </c>
      <c r="S241" s="171">
        <f xml:space="preserve"> Предпосылки!S355</f>
        <v>0</v>
      </c>
      <c r="T241" s="171">
        <f xml:space="preserve"> Предпосылки!T355</f>
        <v>0</v>
      </c>
      <c r="U241" s="171">
        <f xml:space="preserve"> Предпосылки!U355</f>
        <v>0</v>
      </c>
      <c r="V241" s="171">
        <f xml:space="preserve"> Предпосылки!V355</f>
        <v>0</v>
      </c>
      <c r="W241" s="171">
        <f xml:space="preserve"> Предпосылки!W355</f>
        <v>0</v>
      </c>
      <c r="X241" s="171">
        <f xml:space="preserve"> Предпосылки!X355</f>
        <v>0</v>
      </c>
      <c r="Y241" s="171">
        <f xml:space="preserve"> Предпосылки!Y355</f>
        <v>0</v>
      </c>
      <c r="Z241" s="171">
        <f xml:space="preserve"> Предпосылки!Z355</f>
        <v>0</v>
      </c>
      <c r="AA241" s="171">
        <f xml:space="preserve"> Предпосылки!AA355</f>
        <v>0</v>
      </c>
      <c r="AB241" s="171">
        <f xml:space="preserve"> Предпосылки!AB355</f>
        <v>0</v>
      </c>
      <c r="AC241" s="171">
        <f xml:space="preserve"> Предпосылки!AC355</f>
        <v>0</v>
      </c>
      <c r="AD241" s="171">
        <f xml:space="preserve"> Предпосылки!AD355</f>
        <v>0</v>
      </c>
      <c r="AE241" s="171">
        <f xml:space="preserve"> Предпосылки!AE355</f>
        <v>0</v>
      </c>
      <c r="AF241" s="171">
        <f xml:space="preserve"> Предпосылки!AF355</f>
        <v>0</v>
      </c>
      <c r="AG241" s="171">
        <f xml:space="preserve"> Предпосылки!AG355</f>
        <v>0</v>
      </c>
      <c r="AH241" s="171">
        <f xml:space="preserve"> Предпосылки!AH355</f>
        <v>0</v>
      </c>
      <c r="AI241" s="171">
        <f xml:space="preserve"> Предпосылки!AI355</f>
        <v>0</v>
      </c>
      <c r="AJ241" s="171">
        <f xml:space="preserve"> Предпосылки!AJ355</f>
        <v>0</v>
      </c>
      <c r="AK241" s="171">
        <f xml:space="preserve"> Предпосылки!AK355</f>
        <v>0</v>
      </c>
      <c r="AL241" s="171">
        <f xml:space="preserve"> Предпосылки!AL355</f>
        <v>0</v>
      </c>
      <c r="AM241" s="171">
        <f xml:space="preserve"> Предпосылки!AM355</f>
        <v>0</v>
      </c>
      <c r="AN241" s="171">
        <f xml:space="preserve"> Предпосылки!AN355</f>
        <v>0</v>
      </c>
      <c r="AO241" s="171">
        <f xml:space="preserve"> Предпосылки!AO355</f>
        <v>0</v>
      </c>
      <c r="AP241" s="171">
        <f xml:space="preserve"> Предпосылки!AP355</f>
        <v>0</v>
      </c>
      <c r="AQ241" s="171">
        <f xml:space="preserve"> Предпосылки!AQ355</f>
        <v>0</v>
      </c>
      <c r="AR241" s="171">
        <f xml:space="preserve"> Предпосылки!AR355</f>
        <v>0</v>
      </c>
      <c r="AS241" s="171">
        <f xml:space="preserve"> Предпосылки!AS355</f>
        <v>0</v>
      </c>
      <c r="AT241" s="171">
        <f xml:space="preserve"> Предпосылки!AT355</f>
        <v>0</v>
      </c>
      <c r="AU241" s="171">
        <f xml:space="preserve"> Предпосылки!AU355</f>
        <v>0</v>
      </c>
      <c r="AV241" s="171">
        <f xml:space="preserve"> Предпосылки!AV355</f>
        <v>0</v>
      </c>
      <c r="AW241" s="171">
        <f xml:space="preserve"> Предпосылки!AW355</f>
        <v>0</v>
      </c>
      <c r="AX241" s="171">
        <f xml:space="preserve"> Предпосылки!AX355</f>
        <v>0</v>
      </c>
      <c r="AY241" s="171">
        <f xml:space="preserve"> Предпосылки!AY355</f>
        <v>0</v>
      </c>
      <c r="AZ241" s="171">
        <f xml:space="preserve"> Предпосылки!AZ355</f>
        <v>0</v>
      </c>
      <c r="BA241" s="171">
        <f xml:space="preserve"> Предпосылки!BA355</f>
        <v>0</v>
      </c>
      <c r="BB241" s="171">
        <f xml:space="preserve"> Предпосылки!BB355</f>
        <v>0</v>
      </c>
      <c r="BC241" s="171">
        <f xml:space="preserve"> Предпосылки!BC355</f>
        <v>0</v>
      </c>
      <c r="BD241" s="171">
        <f xml:space="preserve"> Предпосылки!BD355</f>
        <v>0</v>
      </c>
      <c r="BE241" s="171">
        <f xml:space="preserve"> Предпосылки!BE355</f>
        <v>0</v>
      </c>
      <c r="BF241" s="171">
        <f xml:space="preserve"> Предпосылки!BF355</f>
        <v>0</v>
      </c>
      <c r="BG241" s="171">
        <f xml:space="preserve"> Предпосылки!BG355</f>
        <v>0</v>
      </c>
      <c r="BH241" s="171">
        <f xml:space="preserve"> Предпосылки!BH355</f>
        <v>0</v>
      </c>
      <c r="BI241" s="171">
        <f xml:space="preserve"> Предпосылки!BI355</f>
        <v>0</v>
      </c>
      <c r="BJ241" s="171">
        <f xml:space="preserve"> Предпосылки!BJ355</f>
        <v>0</v>
      </c>
      <c r="BK241" s="171">
        <f xml:space="preserve"> Предпосылки!BK355</f>
        <v>0</v>
      </c>
      <c r="BL241" s="171">
        <f xml:space="preserve"> Предпосылки!BL355</f>
        <v>0</v>
      </c>
      <c r="BM241" s="171">
        <f xml:space="preserve"> Предпосылки!BM355</f>
        <v>0</v>
      </c>
      <c r="BN241" s="171">
        <f xml:space="preserve"> Предпосылки!BN355</f>
        <v>0</v>
      </c>
      <c r="BO241" s="171">
        <f xml:space="preserve"> Предпосылки!BO355</f>
        <v>0</v>
      </c>
      <c r="BP241" s="171">
        <f xml:space="preserve"> Предпосылки!BP355</f>
        <v>0</v>
      </c>
      <c r="BQ241" s="171">
        <f xml:space="preserve"> Предпосылки!BQ355</f>
        <v>0</v>
      </c>
      <c r="BR241" s="171">
        <f xml:space="preserve"> Предпосылки!BR355</f>
        <v>0</v>
      </c>
      <c r="BS241" s="171">
        <f xml:space="preserve"> Предпосылки!BS355</f>
        <v>0</v>
      </c>
      <c r="BT241" s="171">
        <f xml:space="preserve"> Предпосылки!BT355</f>
        <v>0</v>
      </c>
      <c r="BU241" s="171">
        <f xml:space="preserve"> Предпосылки!BU355</f>
        <v>0</v>
      </c>
      <c r="BV241" s="171">
        <f xml:space="preserve"> Предпосылки!BV355</f>
        <v>0</v>
      </c>
      <c r="BW241" s="171">
        <f xml:space="preserve"> Предпосылки!BW355</f>
        <v>0</v>
      </c>
      <c r="BX241" s="171">
        <f xml:space="preserve"> Предпосылки!BX355</f>
        <v>0</v>
      </c>
      <c r="BY241" s="171">
        <f xml:space="preserve"> Предпосылки!BY355</f>
        <v>0</v>
      </c>
      <c r="BZ241" s="171">
        <f xml:space="preserve"> Предпосылки!BZ355</f>
        <v>0</v>
      </c>
      <c r="CA241" s="171">
        <f xml:space="preserve"> Предпосылки!CA355</f>
        <v>0</v>
      </c>
      <c r="CB241" s="171">
        <f xml:space="preserve"> Предпосылки!CB355</f>
        <v>0</v>
      </c>
      <c r="CC241" s="171">
        <f xml:space="preserve"> Предпосылки!CC355</f>
        <v>0</v>
      </c>
      <c r="CD241" s="171">
        <f xml:space="preserve"> Предпосылки!CD355</f>
        <v>0</v>
      </c>
      <c r="CE241" s="171">
        <f xml:space="preserve"> Предпосылки!CE355</f>
        <v>0</v>
      </c>
      <c r="CF241" s="171">
        <f xml:space="preserve"> Предпосылки!CF355</f>
        <v>0</v>
      </c>
      <c r="CG241" s="171">
        <f xml:space="preserve"> Предпосылки!CG355</f>
        <v>0</v>
      </c>
      <c r="CH241" s="171">
        <f xml:space="preserve"> Предпосылки!CH355</f>
        <v>0</v>
      </c>
      <c r="CI241" s="171">
        <f xml:space="preserve"> Предпосылки!CI355</f>
        <v>0</v>
      </c>
      <c r="CJ241" s="171">
        <f xml:space="preserve"> Предпосылки!CJ355</f>
        <v>0</v>
      </c>
      <c r="CK241" s="171">
        <f xml:space="preserve"> Предпосылки!CK355</f>
        <v>0</v>
      </c>
      <c r="CL241" s="171">
        <f xml:space="preserve"> Предпосылки!CL355</f>
        <v>0</v>
      </c>
      <c r="CM241" s="171">
        <f xml:space="preserve"> Предпосылки!CM355</f>
        <v>0</v>
      </c>
      <c r="CN241" s="171">
        <f xml:space="preserve"> Предпосылки!CN355</f>
        <v>0</v>
      </c>
      <c r="CO241" s="171">
        <f xml:space="preserve"> Предпосылки!CO355</f>
        <v>0</v>
      </c>
    </row>
    <row r="242" spans="1:93">
      <c r="A242" s="77"/>
      <c r="B242" s="168"/>
      <c r="C242" s="17" t="s">
        <v>632</v>
      </c>
      <c r="D242" s="10"/>
      <c r="E242" s="184">
        <f xml:space="preserve"> Предпосылки!E349 * $I$114 * $I$97</f>
        <v>0</v>
      </c>
      <c r="F242" s="11"/>
      <c r="G242" s="11" t="str">
        <f>Monetary_Unit</f>
        <v>тыс. руб.</v>
      </c>
      <c r="H242" s="10"/>
      <c r="I242" s="10"/>
      <c r="J242" s="10"/>
      <c r="K242" s="10"/>
      <c r="L242" s="171">
        <f xml:space="preserve"> Предпосылки!L356</f>
        <v>0</v>
      </c>
      <c r="M242" s="171">
        <f xml:space="preserve"> Предпосылки!M356</f>
        <v>0</v>
      </c>
      <c r="N242" s="171">
        <f xml:space="preserve"> Предпосылки!N356</f>
        <v>0</v>
      </c>
      <c r="O242" s="171">
        <f xml:space="preserve"> Предпосылки!O356</f>
        <v>0</v>
      </c>
      <c r="P242" s="171">
        <f xml:space="preserve"> Предпосылки!P356</f>
        <v>0</v>
      </c>
      <c r="Q242" s="171">
        <f xml:space="preserve"> Предпосылки!Q356</f>
        <v>0</v>
      </c>
      <c r="R242" s="171">
        <f xml:space="preserve"> Предпосылки!R356</f>
        <v>0</v>
      </c>
      <c r="S242" s="171">
        <f xml:space="preserve"> Предпосылки!S356</f>
        <v>0</v>
      </c>
      <c r="T242" s="171">
        <f xml:space="preserve"> Предпосылки!T356</f>
        <v>0</v>
      </c>
      <c r="U242" s="171">
        <f xml:space="preserve"> Предпосылки!U356</f>
        <v>0</v>
      </c>
      <c r="V242" s="171">
        <f xml:space="preserve"> Предпосылки!V356</f>
        <v>0</v>
      </c>
      <c r="W242" s="171">
        <f xml:space="preserve"> Предпосылки!W356</f>
        <v>0</v>
      </c>
      <c r="X242" s="171">
        <f xml:space="preserve"> Предпосылки!X356</f>
        <v>0</v>
      </c>
      <c r="Y242" s="171">
        <f xml:space="preserve"> Предпосылки!Y356</f>
        <v>0</v>
      </c>
      <c r="Z242" s="171">
        <f xml:space="preserve"> Предпосылки!Z356</f>
        <v>0</v>
      </c>
      <c r="AA242" s="171">
        <f xml:space="preserve"> Предпосылки!AA356</f>
        <v>0</v>
      </c>
      <c r="AB242" s="171">
        <f xml:space="preserve"> Предпосылки!AB356</f>
        <v>0</v>
      </c>
      <c r="AC242" s="171">
        <f xml:space="preserve"> Предпосылки!AC356</f>
        <v>0</v>
      </c>
      <c r="AD242" s="171">
        <f xml:space="preserve"> Предпосылки!AD356</f>
        <v>0</v>
      </c>
      <c r="AE242" s="171">
        <f xml:space="preserve"> Предпосылки!AE356</f>
        <v>0</v>
      </c>
      <c r="AF242" s="171">
        <f xml:space="preserve"> Предпосылки!AF356</f>
        <v>0</v>
      </c>
      <c r="AG242" s="171">
        <f xml:space="preserve"> Предпосылки!AG356</f>
        <v>0</v>
      </c>
      <c r="AH242" s="171">
        <f xml:space="preserve"> Предпосылки!AH356</f>
        <v>0</v>
      </c>
      <c r="AI242" s="171">
        <f xml:space="preserve"> Предпосылки!AI356</f>
        <v>0</v>
      </c>
      <c r="AJ242" s="171">
        <f xml:space="preserve"> Предпосылки!AJ356</f>
        <v>0</v>
      </c>
      <c r="AK242" s="171">
        <f xml:space="preserve"> Предпосылки!AK356</f>
        <v>0</v>
      </c>
      <c r="AL242" s="171">
        <f xml:space="preserve"> Предпосылки!AL356</f>
        <v>0</v>
      </c>
      <c r="AM242" s="171">
        <f xml:space="preserve"> Предпосылки!AM356</f>
        <v>0</v>
      </c>
      <c r="AN242" s="171">
        <f xml:space="preserve"> Предпосылки!AN356</f>
        <v>0</v>
      </c>
      <c r="AO242" s="171">
        <f xml:space="preserve"> Предпосылки!AO356</f>
        <v>0</v>
      </c>
      <c r="AP242" s="171">
        <f xml:space="preserve"> Предпосылки!AP356</f>
        <v>0</v>
      </c>
      <c r="AQ242" s="171">
        <f xml:space="preserve"> Предпосылки!AQ356</f>
        <v>0</v>
      </c>
      <c r="AR242" s="171">
        <f xml:space="preserve"> Предпосылки!AR356</f>
        <v>0</v>
      </c>
      <c r="AS242" s="171">
        <f xml:space="preserve"> Предпосылки!AS356</f>
        <v>0</v>
      </c>
      <c r="AT242" s="171">
        <f xml:space="preserve"> Предпосылки!AT356</f>
        <v>0</v>
      </c>
      <c r="AU242" s="171">
        <f xml:space="preserve"> Предпосылки!AU356</f>
        <v>0</v>
      </c>
      <c r="AV242" s="171">
        <f xml:space="preserve"> Предпосылки!AV356</f>
        <v>0</v>
      </c>
      <c r="AW242" s="171">
        <f xml:space="preserve"> Предпосылки!AW356</f>
        <v>0</v>
      </c>
      <c r="AX242" s="171">
        <f xml:space="preserve"> Предпосылки!AX356</f>
        <v>0</v>
      </c>
      <c r="AY242" s="171">
        <f xml:space="preserve"> Предпосылки!AY356</f>
        <v>0</v>
      </c>
      <c r="AZ242" s="171">
        <f xml:space="preserve"> Предпосылки!AZ356</f>
        <v>0</v>
      </c>
      <c r="BA242" s="171">
        <f xml:space="preserve"> Предпосылки!BA356</f>
        <v>0</v>
      </c>
      <c r="BB242" s="171">
        <f xml:space="preserve"> Предпосылки!BB356</f>
        <v>0</v>
      </c>
      <c r="BC242" s="171">
        <f xml:space="preserve"> Предпосылки!BC356</f>
        <v>0</v>
      </c>
      <c r="BD242" s="171">
        <f xml:space="preserve"> Предпосылки!BD356</f>
        <v>0</v>
      </c>
      <c r="BE242" s="171">
        <f xml:space="preserve"> Предпосылки!BE356</f>
        <v>0</v>
      </c>
      <c r="BF242" s="171">
        <f xml:space="preserve"> Предпосылки!BF356</f>
        <v>0</v>
      </c>
      <c r="BG242" s="171">
        <f xml:space="preserve"> Предпосылки!BG356</f>
        <v>0</v>
      </c>
      <c r="BH242" s="171">
        <f xml:space="preserve"> Предпосылки!BH356</f>
        <v>0</v>
      </c>
      <c r="BI242" s="171">
        <f xml:space="preserve"> Предпосылки!BI356</f>
        <v>0</v>
      </c>
      <c r="BJ242" s="171">
        <f xml:space="preserve"> Предпосылки!BJ356</f>
        <v>0</v>
      </c>
      <c r="BK242" s="171">
        <f xml:space="preserve"> Предпосылки!BK356</f>
        <v>0</v>
      </c>
      <c r="BL242" s="171">
        <f xml:space="preserve"> Предпосылки!BL356</f>
        <v>0</v>
      </c>
      <c r="BM242" s="171">
        <f xml:space="preserve"> Предпосылки!BM356</f>
        <v>0</v>
      </c>
      <c r="BN242" s="171">
        <f xml:space="preserve"> Предпосылки!BN356</f>
        <v>0</v>
      </c>
      <c r="BO242" s="171">
        <f xml:space="preserve"> Предпосылки!BO356</f>
        <v>0</v>
      </c>
      <c r="BP242" s="171">
        <f xml:space="preserve"> Предпосылки!BP356</f>
        <v>0</v>
      </c>
      <c r="BQ242" s="171">
        <f xml:space="preserve"> Предпосылки!BQ356</f>
        <v>0</v>
      </c>
      <c r="BR242" s="171">
        <f xml:space="preserve"> Предпосылки!BR356</f>
        <v>0</v>
      </c>
      <c r="BS242" s="171">
        <f xml:space="preserve"> Предпосылки!BS356</f>
        <v>0</v>
      </c>
      <c r="BT242" s="171">
        <f xml:space="preserve"> Предпосылки!BT356</f>
        <v>0</v>
      </c>
      <c r="BU242" s="171">
        <f xml:space="preserve"> Предпосылки!BU356</f>
        <v>0</v>
      </c>
      <c r="BV242" s="171">
        <f xml:space="preserve"> Предпосылки!BV356</f>
        <v>0</v>
      </c>
      <c r="BW242" s="171">
        <f xml:space="preserve"> Предпосылки!BW356</f>
        <v>0</v>
      </c>
      <c r="BX242" s="171">
        <f xml:space="preserve"> Предпосылки!BX356</f>
        <v>0</v>
      </c>
      <c r="BY242" s="171">
        <f xml:space="preserve"> Предпосылки!BY356</f>
        <v>0</v>
      </c>
      <c r="BZ242" s="171">
        <f xml:space="preserve"> Предпосылки!BZ356</f>
        <v>0</v>
      </c>
      <c r="CA242" s="171">
        <f xml:space="preserve"> Предпосылки!CA356</f>
        <v>0</v>
      </c>
      <c r="CB242" s="171">
        <f xml:space="preserve"> Предпосылки!CB356</f>
        <v>0</v>
      </c>
      <c r="CC242" s="171">
        <f xml:space="preserve"> Предпосылки!CC356</f>
        <v>0</v>
      </c>
      <c r="CD242" s="171">
        <f xml:space="preserve"> Предпосылки!CD356</f>
        <v>0</v>
      </c>
      <c r="CE242" s="171">
        <f xml:space="preserve"> Предпосылки!CE356</f>
        <v>0</v>
      </c>
      <c r="CF242" s="171">
        <f xml:space="preserve"> Предпосылки!CF356</f>
        <v>0</v>
      </c>
      <c r="CG242" s="171">
        <f xml:space="preserve"> Предпосылки!CG356</f>
        <v>0</v>
      </c>
      <c r="CH242" s="171">
        <f xml:space="preserve"> Предпосылки!CH356</f>
        <v>0</v>
      </c>
      <c r="CI242" s="171">
        <f xml:space="preserve"> Предпосылки!CI356</f>
        <v>0</v>
      </c>
      <c r="CJ242" s="171">
        <f xml:space="preserve"> Предпосылки!CJ356</f>
        <v>0</v>
      </c>
      <c r="CK242" s="171">
        <f xml:space="preserve"> Предпосылки!CK356</f>
        <v>0</v>
      </c>
      <c r="CL242" s="171">
        <f xml:space="preserve"> Предпосылки!CL356</f>
        <v>0</v>
      </c>
      <c r="CM242" s="171">
        <f xml:space="preserve"> Предпосылки!CM356</f>
        <v>0</v>
      </c>
      <c r="CN242" s="171">
        <f xml:space="preserve"> Предпосылки!CN356</f>
        <v>0</v>
      </c>
      <c r="CO242" s="171">
        <f xml:space="preserve"> Предпосылки!CO356</f>
        <v>0</v>
      </c>
    </row>
    <row r="243" spans="1:93">
      <c r="A243" s="77"/>
      <c r="B243" s="168"/>
      <c r="C243" s="17" t="s">
        <v>821</v>
      </c>
      <c r="D243" s="10"/>
      <c r="E243" s="184">
        <f xml:space="preserve"> Предпосылки!E350 * $I$114 * $I$97</f>
        <v>0</v>
      </c>
      <c r="F243" s="11"/>
      <c r="G243" s="11" t="str">
        <f>Monetary_Unit</f>
        <v>тыс. руб.</v>
      </c>
      <c r="H243" s="10"/>
      <c r="I243" s="10"/>
      <c r="J243" s="10"/>
      <c r="K243" s="10"/>
      <c r="L243" s="171">
        <f xml:space="preserve"> Предпосылки!L357</f>
        <v>0</v>
      </c>
      <c r="M243" s="171">
        <f xml:space="preserve"> Предпосылки!M357</f>
        <v>0</v>
      </c>
      <c r="N243" s="171">
        <f xml:space="preserve"> Предпосылки!N357</f>
        <v>0</v>
      </c>
      <c r="O243" s="171">
        <f xml:space="preserve"> Предпосылки!O357</f>
        <v>0</v>
      </c>
      <c r="P243" s="171">
        <f xml:space="preserve"> Предпосылки!P357</f>
        <v>0</v>
      </c>
      <c r="Q243" s="171">
        <f xml:space="preserve"> Предпосылки!Q357</f>
        <v>0</v>
      </c>
      <c r="R243" s="171">
        <f xml:space="preserve"> Предпосылки!R357</f>
        <v>0</v>
      </c>
      <c r="S243" s="171">
        <f xml:space="preserve"> Предпосылки!S357</f>
        <v>0</v>
      </c>
      <c r="T243" s="171">
        <f xml:space="preserve"> Предпосылки!T357</f>
        <v>0</v>
      </c>
      <c r="U243" s="171">
        <f xml:space="preserve"> Предпосылки!U357</f>
        <v>0</v>
      </c>
      <c r="V243" s="171">
        <f xml:space="preserve"> Предпосылки!V357</f>
        <v>0</v>
      </c>
      <c r="W243" s="171">
        <f xml:space="preserve"> Предпосылки!W357</f>
        <v>0</v>
      </c>
      <c r="X243" s="171">
        <f xml:space="preserve"> Предпосылки!X357</f>
        <v>0</v>
      </c>
      <c r="Y243" s="171">
        <f xml:space="preserve"> Предпосылки!Y357</f>
        <v>0</v>
      </c>
      <c r="Z243" s="171">
        <f xml:space="preserve"> Предпосылки!Z357</f>
        <v>0</v>
      </c>
      <c r="AA243" s="171">
        <f xml:space="preserve"> Предпосылки!AA357</f>
        <v>0</v>
      </c>
      <c r="AB243" s="171">
        <f xml:space="preserve"> Предпосылки!AB357</f>
        <v>0</v>
      </c>
      <c r="AC243" s="171">
        <f xml:space="preserve"> Предпосылки!AC357</f>
        <v>0</v>
      </c>
      <c r="AD243" s="171">
        <f xml:space="preserve"> Предпосылки!AD357</f>
        <v>0</v>
      </c>
      <c r="AE243" s="171">
        <f xml:space="preserve"> Предпосылки!AE357</f>
        <v>0</v>
      </c>
      <c r="AF243" s="171">
        <f xml:space="preserve"> Предпосылки!AF357</f>
        <v>0</v>
      </c>
      <c r="AG243" s="171">
        <f xml:space="preserve"> Предпосылки!AG357</f>
        <v>0</v>
      </c>
      <c r="AH243" s="171">
        <f xml:space="preserve"> Предпосылки!AH357</f>
        <v>0</v>
      </c>
      <c r="AI243" s="171">
        <f xml:space="preserve"> Предпосылки!AI357</f>
        <v>0</v>
      </c>
      <c r="AJ243" s="171">
        <f xml:space="preserve"> Предпосылки!AJ357</f>
        <v>0</v>
      </c>
      <c r="AK243" s="171">
        <f xml:space="preserve"> Предпосылки!AK357</f>
        <v>0</v>
      </c>
      <c r="AL243" s="171">
        <f xml:space="preserve"> Предпосылки!AL357</f>
        <v>0</v>
      </c>
      <c r="AM243" s="171">
        <f xml:space="preserve"> Предпосылки!AM357</f>
        <v>0</v>
      </c>
      <c r="AN243" s="171">
        <f xml:space="preserve"> Предпосылки!AN357</f>
        <v>0</v>
      </c>
      <c r="AO243" s="171">
        <f xml:space="preserve"> Предпосылки!AO357</f>
        <v>0</v>
      </c>
      <c r="AP243" s="171">
        <f xml:space="preserve"> Предпосылки!AP357</f>
        <v>0</v>
      </c>
      <c r="AQ243" s="171">
        <f xml:space="preserve"> Предпосылки!AQ357</f>
        <v>0</v>
      </c>
      <c r="AR243" s="171">
        <f xml:space="preserve"> Предпосылки!AR357</f>
        <v>0</v>
      </c>
      <c r="AS243" s="171">
        <f xml:space="preserve"> Предпосылки!AS357</f>
        <v>0</v>
      </c>
      <c r="AT243" s="171">
        <f xml:space="preserve"> Предпосылки!AT357</f>
        <v>0</v>
      </c>
      <c r="AU243" s="171">
        <f xml:space="preserve"> Предпосылки!AU357</f>
        <v>0</v>
      </c>
      <c r="AV243" s="171">
        <f xml:space="preserve"> Предпосылки!AV357</f>
        <v>0</v>
      </c>
      <c r="AW243" s="171">
        <f xml:space="preserve"> Предпосылки!AW357</f>
        <v>0</v>
      </c>
      <c r="AX243" s="171">
        <f xml:space="preserve"> Предпосылки!AX357</f>
        <v>0</v>
      </c>
      <c r="AY243" s="171">
        <f xml:space="preserve"> Предпосылки!AY357</f>
        <v>0</v>
      </c>
      <c r="AZ243" s="171">
        <f xml:space="preserve"> Предпосылки!AZ357</f>
        <v>0</v>
      </c>
      <c r="BA243" s="171">
        <f xml:space="preserve"> Предпосылки!BA357</f>
        <v>0</v>
      </c>
      <c r="BB243" s="171">
        <f xml:space="preserve"> Предпосылки!BB357</f>
        <v>0</v>
      </c>
      <c r="BC243" s="171">
        <f xml:space="preserve"> Предпосылки!BC357</f>
        <v>0</v>
      </c>
      <c r="BD243" s="171">
        <f xml:space="preserve"> Предпосылки!BD357</f>
        <v>0</v>
      </c>
      <c r="BE243" s="171">
        <f xml:space="preserve"> Предпосылки!BE357</f>
        <v>0</v>
      </c>
      <c r="BF243" s="171">
        <f xml:space="preserve"> Предпосылки!BF357</f>
        <v>0</v>
      </c>
      <c r="BG243" s="171">
        <f xml:space="preserve"> Предпосылки!BG357</f>
        <v>0</v>
      </c>
      <c r="BH243" s="171">
        <f xml:space="preserve"> Предпосылки!BH357</f>
        <v>0</v>
      </c>
      <c r="BI243" s="171">
        <f xml:space="preserve"> Предпосылки!BI357</f>
        <v>0</v>
      </c>
      <c r="BJ243" s="171">
        <f xml:space="preserve"> Предпосылки!BJ357</f>
        <v>0</v>
      </c>
      <c r="BK243" s="171">
        <f xml:space="preserve"> Предпосылки!BK357</f>
        <v>0</v>
      </c>
      <c r="BL243" s="171">
        <f xml:space="preserve"> Предпосылки!BL357</f>
        <v>0</v>
      </c>
      <c r="BM243" s="171">
        <f xml:space="preserve"> Предпосылки!BM357</f>
        <v>0</v>
      </c>
      <c r="BN243" s="171">
        <f xml:space="preserve"> Предпосылки!BN357</f>
        <v>0</v>
      </c>
      <c r="BO243" s="171">
        <f xml:space="preserve"> Предпосылки!BO357</f>
        <v>0</v>
      </c>
      <c r="BP243" s="171">
        <f xml:space="preserve"> Предпосылки!BP357</f>
        <v>0</v>
      </c>
      <c r="BQ243" s="171">
        <f xml:space="preserve"> Предпосылки!BQ357</f>
        <v>0</v>
      </c>
      <c r="BR243" s="171">
        <f xml:space="preserve"> Предпосылки!BR357</f>
        <v>0</v>
      </c>
      <c r="BS243" s="171">
        <f xml:space="preserve"> Предпосылки!BS357</f>
        <v>0</v>
      </c>
      <c r="BT243" s="171">
        <f xml:space="preserve"> Предпосылки!BT357</f>
        <v>0</v>
      </c>
      <c r="BU243" s="171">
        <f xml:space="preserve"> Предпосылки!BU357</f>
        <v>0</v>
      </c>
      <c r="BV243" s="171">
        <f xml:space="preserve"> Предпосылки!BV357</f>
        <v>0</v>
      </c>
      <c r="BW243" s="171">
        <f xml:space="preserve"> Предпосылки!BW357</f>
        <v>0</v>
      </c>
      <c r="BX243" s="171">
        <f xml:space="preserve"> Предпосылки!BX357</f>
        <v>0</v>
      </c>
      <c r="BY243" s="171">
        <f xml:space="preserve"> Предпосылки!BY357</f>
        <v>0</v>
      </c>
      <c r="BZ243" s="171">
        <f xml:space="preserve"> Предпосылки!BZ357</f>
        <v>0</v>
      </c>
      <c r="CA243" s="171">
        <f xml:space="preserve"> Предпосылки!CA357</f>
        <v>0</v>
      </c>
      <c r="CB243" s="171">
        <f xml:space="preserve"> Предпосылки!CB357</f>
        <v>0</v>
      </c>
      <c r="CC243" s="171">
        <f xml:space="preserve"> Предпосылки!CC357</f>
        <v>0</v>
      </c>
      <c r="CD243" s="171">
        <f xml:space="preserve"> Предпосылки!CD357</f>
        <v>0</v>
      </c>
      <c r="CE243" s="171">
        <f xml:space="preserve"> Предпосылки!CE357</f>
        <v>0</v>
      </c>
      <c r="CF243" s="171">
        <f xml:space="preserve"> Предпосылки!CF357</f>
        <v>0</v>
      </c>
      <c r="CG243" s="171">
        <f xml:space="preserve"> Предпосылки!CG357</f>
        <v>0</v>
      </c>
      <c r="CH243" s="171">
        <f xml:space="preserve"> Предпосылки!CH357</f>
        <v>0</v>
      </c>
      <c r="CI243" s="171">
        <f xml:space="preserve"> Предпосылки!CI357</f>
        <v>0</v>
      </c>
      <c r="CJ243" s="171">
        <f xml:space="preserve"> Предпосылки!CJ357</f>
        <v>0</v>
      </c>
      <c r="CK243" s="171">
        <f xml:space="preserve"> Предпосылки!CK357</f>
        <v>0</v>
      </c>
      <c r="CL243" s="171">
        <f xml:space="preserve"> Предпосылки!CL357</f>
        <v>0</v>
      </c>
      <c r="CM243" s="171">
        <f xml:space="preserve"> Предпосылки!CM357</f>
        <v>0</v>
      </c>
      <c r="CN243" s="171">
        <f xml:space="preserve"> Предпосылки!CN357</f>
        <v>0</v>
      </c>
      <c r="CO243" s="171">
        <f xml:space="preserve"> Предпосылки!CO357</f>
        <v>0</v>
      </c>
    </row>
    <row r="244" spans="1:93">
      <c r="A244" s="77"/>
      <c r="B244" s="168"/>
      <c r="C244" s="17" t="s">
        <v>797</v>
      </c>
      <c r="D244" s="10"/>
      <c r="E244" s="232">
        <f xml:space="preserve"> Предпосылки!E345</f>
        <v>0</v>
      </c>
      <c r="F244" s="11"/>
      <c r="G244" s="11" t="s">
        <v>625</v>
      </c>
      <c r="H244" s="10"/>
      <c r="I244" s="10"/>
      <c r="J244" s="10"/>
      <c r="K244" s="10"/>
      <c r="L244" s="170"/>
      <c r="M244" s="170"/>
      <c r="N244" s="170"/>
      <c r="O244" s="170"/>
      <c r="P244" s="170"/>
      <c r="Q244" s="170"/>
      <c r="R244" s="170"/>
      <c r="S244" s="170"/>
      <c r="T244" s="170"/>
      <c r="U244" s="170"/>
      <c r="V244" s="170"/>
      <c r="W244" s="170"/>
      <c r="X244" s="170"/>
      <c r="Y244" s="170"/>
      <c r="Z244" s="170"/>
      <c r="AA244" s="170"/>
      <c r="AB244" s="170"/>
      <c r="AC244" s="170"/>
      <c r="AD244" s="170"/>
      <c r="AE244" s="170"/>
      <c r="AF244" s="170"/>
      <c r="AG244" s="170"/>
      <c r="AH244" s="170"/>
      <c r="AI244" s="170"/>
      <c r="AJ244" s="170"/>
      <c r="AK244" s="170"/>
      <c r="AL244" s="170"/>
      <c r="AM244" s="170"/>
      <c r="AN244" s="170"/>
      <c r="AO244" s="170"/>
      <c r="AP244" s="170"/>
      <c r="AQ244" s="170"/>
      <c r="AR244" s="170"/>
      <c r="AS244" s="170"/>
      <c r="AT244" s="170"/>
      <c r="AU244" s="170"/>
      <c r="AV244" s="170"/>
      <c r="AW244" s="170"/>
      <c r="AX244" s="170"/>
      <c r="AY244" s="170"/>
      <c r="AZ244" s="170"/>
      <c r="BA244" s="170"/>
      <c r="BB244" s="170"/>
      <c r="BC244" s="170"/>
      <c r="BD244" s="170"/>
      <c r="BE244" s="170"/>
      <c r="BF244" s="170"/>
      <c r="BG244" s="170"/>
      <c r="BH244" s="170"/>
      <c r="BI244" s="170"/>
      <c r="BJ244" s="170"/>
      <c r="BK244" s="170"/>
      <c r="BL244" s="170"/>
      <c r="BM244" s="170"/>
      <c r="BN244" s="170"/>
      <c r="BO244" s="170"/>
      <c r="BP244" s="170"/>
      <c r="BQ244" s="170"/>
      <c r="BR244" s="170"/>
      <c r="BS244" s="170"/>
      <c r="BT244" s="170"/>
      <c r="BU244" s="170"/>
      <c r="BV244" s="170"/>
      <c r="BW244" s="170"/>
      <c r="BX244" s="170"/>
      <c r="BY244" s="170"/>
      <c r="BZ244" s="170"/>
      <c r="CA244" s="170"/>
      <c r="CB244" s="170"/>
      <c r="CC244" s="170"/>
      <c r="CD244" s="170"/>
      <c r="CE244" s="170"/>
      <c r="CF244" s="170"/>
      <c r="CG244" s="170"/>
      <c r="CH244" s="170"/>
      <c r="CI244" s="170"/>
      <c r="CJ244" s="170"/>
      <c r="CK244" s="170"/>
      <c r="CL244" s="170"/>
      <c r="CM244" s="170"/>
      <c r="CN244" s="170"/>
      <c r="CO244" s="170"/>
    </row>
    <row r="245" spans="1:93">
      <c r="A245" s="77"/>
      <c r="B245" s="168"/>
      <c r="C245" s="169"/>
      <c r="D245" s="10"/>
      <c r="E245" s="62"/>
      <c r="F245" s="11"/>
      <c r="G245" s="11"/>
      <c r="H245" s="10"/>
      <c r="I245" s="10"/>
      <c r="J245" s="10"/>
      <c r="K245" s="10"/>
      <c r="L245" s="170"/>
      <c r="M245" s="170"/>
      <c r="N245" s="170"/>
      <c r="O245" s="170"/>
      <c r="P245" s="170"/>
      <c r="Q245" s="170"/>
      <c r="R245" s="170"/>
      <c r="S245" s="170"/>
      <c r="T245" s="170"/>
      <c r="U245" s="170"/>
      <c r="V245" s="170"/>
      <c r="W245" s="170"/>
      <c r="X245" s="170"/>
      <c r="Y245" s="170"/>
      <c r="Z245" s="170"/>
      <c r="AA245" s="170"/>
      <c r="AB245" s="170"/>
      <c r="AC245" s="170"/>
      <c r="AD245" s="170"/>
      <c r="AE245" s="170"/>
      <c r="AF245" s="170"/>
      <c r="AG245" s="170"/>
      <c r="AH245" s="170"/>
      <c r="AI245" s="170"/>
      <c r="AJ245" s="170"/>
      <c r="AK245" s="170"/>
      <c r="AL245" s="170"/>
      <c r="AM245" s="170"/>
      <c r="AN245" s="170"/>
      <c r="AO245" s="170"/>
      <c r="AP245" s="170"/>
      <c r="AQ245" s="170"/>
      <c r="AR245" s="170"/>
      <c r="AS245" s="170"/>
      <c r="AT245" s="170"/>
      <c r="AU245" s="170"/>
      <c r="AV245" s="170"/>
      <c r="AW245" s="170"/>
      <c r="AX245" s="170"/>
      <c r="AY245" s="170"/>
      <c r="AZ245" s="170"/>
      <c r="BA245" s="170"/>
      <c r="BB245" s="170"/>
      <c r="BC245" s="170"/>
      <c r="BD245" s="170"/>
      <c r="BE245" s="170"/>
      <c r="BF245" s="170"/>
      <c r="BG245" s="170"/>
      <c r="BH245" s="170"/>
      <c r="BI245" s="170"/>
      <c r="BJ245" s="170"/>
      <c r="BK245" s="170"/>
      <c r="BL245" s="170"/>
      <c r="BM245" s="170"/>
      <c r="BN245" s="170"/>
      <c r="BO245" s="170"/>
      <c r="BP245" s="170"/>
      <c r="BQ245" s="170"/>
      <c r="BR245" s="170"/>
      <c r="BS245" s="170"/>
      <c r="BT245" s="170"/>
      <c r="BU245" s="170"/>
      <c r="BV245" s="170"/>
      <c r="BW245" s="170"/>
      <c r="BX245" s="170"/>
      <c r="BY245" s="170"/>
      <c r="BZ245" s="170"/>
      <c r="CA245" s="170"/>
      <c r="CB245" s="170"/>
      <c r="CC245" s="170"/>
      <c r="CD245" s="170"/>
      <c r="CE245" s="170"/>
      <c r="CF245" s="170"/>
      <c r="CG245" s="170"/>
      <c r="CH245" s="170"/>
      <c r="CI245" s="170"/>
      <c r="CJ245" s="170"/>
      <c r="CK245" s="170"/>
      <c r="CL245" s="170"/>
      <c r="CM245" s="170"/>
      <c r="CN245" s="170"/>
      <c r="CO245" s="170"/>
    </row>
    <row r="246" spans="1:93">
      <c r="A246" s="77"/>
      <c r="B246" s="168"/>
      <c r="C246" s="17" t="s">
        <v>630</v>
      </c>
      <c r="D246" s="10"/>
      <c r="E246" s="62"/>
      <c r="F246" s="11"/>
      <c r="G246" s="11" t="str">
        <f>Monetary_Unit</f>
        <v>тыс. руб.</v>
      </c>
      <c r="H246" s="10"/>
      <c r="I246" s="23">
        <f>SUM(L246:CO246)</f>
        <v>0</v>
      </c>
      <c r="J246" s="10"/>
      <c r="K246" s="10"/>
      <c r="L246" s="10">
        <f xml:space="preserve"> $E241 * L241</f>
        <v>0</v>
      </c>
      <c r="M246" s="10">
        <f t="shared" ref="M246:BX246" si="372" xml:space="preserve"> $E241 * M241</f>
        <v>0</v>
      </c>
      <c r="N246" s="10">
        <f t="shared" si="372"/>
        <v>0</v>
      </c>
      <c r="O246" s="10">
        <f t="shared" si="372"/>
        <v>0</v>
      </c>
      <c r="P246" s="10">
        <f t="shared" si="372"/>
        <v>0</v>
      </c>
      <c r="Q246" s="10">
        <f t="shared" si="372"/>
        <v>0</v>
      </c>
      <c r="R246" s="10">
        <f t="shared" si="372"/>
        <v>0</v>
      </c>
      <c r="S246" s="10">
        <f t="shared" si="372"/>
        <v>0</v>
      </c>
      <c r="T246" s="10">
        <f t="shared" si="372"/>
        <v>0</v>
      </c>
      <c r="U246" s="10">
        <f t="shared" si="372"/>
        <v>0</v>
      </c>
      <c r="V246" s="10">
        <f t="shared" si="372"/>
        <v>0</v>
      </c>
      <c r="W246" s="10">
        <f t="shared" si="372"/>
        <v>0</v>
      </c>
      <c r="X246" s="10">
        <f t="shared" si="372"/>
        <v>0</v>
      </c>
      <c r="Y246" s="10">
        <f t="shared" si="372"/>
        <v>0</v>
      </c>
      <c r="Z246" s="10">
        <f t="shared" si="372"/>
        <v>0</v>
      </c>
      <c r="AA246" s="10">
        <f t="shared" si="372"/>
        <v>0</v>
      </c>
      <c r="AB246" s="10">
        <f t="shared" si="372"/>
        <v>0</v>
      </c>
      <c r="AC246" s="10">
        <f t="shared" si="372"/>
        <v>0</v>
      </c>
      <c r="AD246" s="10">
        <f t="shared" si="372"/>
        <v>0</v>
      </c>
      <c r="AE246" s="10">
        <f t="shared" si="372"/>
        <v>0</v>
      </c>
      <c r="AF246" s="10">
        <f t="shared" si="372"/>
        <v>0</v>
      </c>
      <c r="AG246" s="10">
        <f t="shared" si="372"/>
        <v>0</v>
      </c>
      <c r="AH246" s="10">
        <f t="shared" si="372"/>
        <v>0</v>
      </c>
      <c r="AI246" s="10">
        <f t="shared" si="372"/>
        <v>0</v>
      </c>
      <c r="AJ246" s="10">
        <f t="shared" si="372"/>
        <v>0</v>
      </c>
      <c r="AK246" s="10">
        <f t="shared" si="372"/>
        <v>0</v>
      </c>
      <c r="AL246" s="10">
        <f t="shared" si="372"/>
        <v>0</v>
      </c>
      <c r="AM246" s="10">
        <f t="shared" si="372"/>
        <v>0</v>
      </c>
      <c r="AN246" s="10">
        <f t="shared" si="372"/>
        <v>0</v>
      </c>
      <c r="AO246" s="10">
        <f t="shared" si="372"/>
        <v>0</v>
      </c>
      <c r="AP246" s="10">
        <f t="shared" si="372"/>
        <v>0</v>
      </c>
      <c r="AQ246" s="10">
        <f t="shared" si="372"/>
        <v>0</v>
      </c>
      <c r="AR246" s="10">
        <f t="shared" si="372"/>
        <v>0</v>
      </c>
      <c r="AS246" s="10">
        <f t="shared" si="372"/>
        <v>0</v>
      </c>
      <c r="AT246" s="10">
        <f t="shared" si="372"/>
        <v>0</v>
      </c>
      <c r="AU246" s="10">
        <f t="shared" si="372"/>
        <v>0</v>
      </c>
      <c r="AV246" s="10">
        <f t="shared" si="372"/>
        <v>0</v>
      </c>
      <c r="AW246" s="10">
        <f t="shared" si="372"/>
        <v>0</v>
      </c>
      <c r="AX246" s="10">
        <f t="shared" si="372"/>
        <v>0</v>
      </c>
      <c r="AY246" s="10">
        <f t="shared" si="372"/>
        <v>0</v>
      </c>
      <c r="AZ246" s="10">
        <f t="shared" si="372"/>
        <v>0</v>
      </c>
      <c r="BA246" s="10">
        <f t="shared" si="372"/>
        <v>0</v>
      </c>
      <c r="BB246" s="10">
        <f t="shared" si="372"/>
        <v>0</v>
      </c>
      <c r="BC246" s="10">
        <f t="shared" si="372"/>
        <v>0</v>
      </c>
      <c r="BD246" s="10">
        <f t="shared" si="372"/>
        <v>0</v>
      </c>
      <c r="BE246" s="10">
        <f t="shared" si="372"/>
        <v>0</v>
      </c>
      <c r="BF246" s="10">
        <f t="shared" si="372"/>
        <v>0</v>
      </c>
      <c r="BG246" s="10">
        <f t="shared" si="372"/>
        <v>0</v>
      </c>
      <c r="BH246" s="10">
        <f t="shared" si="372"/>
        <v>0</v>
      </c>
      <c r="BI246" s="10">
        <f t="shared" si="372"/>
        <v>0</v>
      </c>
      <c r="BJ246" s="10">
        <f t="shared" si="372"/>
        <v>0</v>
      </c>
      <c r="BK246" s="10">
        <f t="shared" si="372"/>
        <v>0</v>
      </c>
      <c r="BL246" s="10">
        <f t="shared" si="372"/>
        <v>0</v>
      </c>
      <c r="BM246" s="10">
        <f t="shared" si="372"/>
        <v>0</v>
      </c>
      <c r="BN246" s="10">
        <f t="shared" si="372"/>
        <v>0</v>
      </c>
      <c r="BO246" s="10">
        <f t="shared" si="372"/>
        <v>0</v>
      </c>
      <c r="BP246" s="10">
        <f t="shared" si="372"/>
        <v>0</v>
      </c>
      <c r="BQ246" s="10">
        <f t="shared" si="372"/>
        <v>0</v>
      </c>
      <c r="BR246" s="10">
        <f t="shared" si="372"/>
        <v>0</v>
      </c>
      <c r="BS246" s="10">
        <f t="shared" si="372"/>
        <v>0</v>
      </c>
      <c r="BT246" s="10">
        <f t="shared" si="372"/>
        <v>0</v>
      </c>
      <c r="BU246" s="10">
        <f t="shared" si="372"/>
        <v>0</v>
      </c>
      <c r="BV246" s="10">
        <f t="shared" si="372"/>
        <v>0</v>
      </c>
      <c r="BW246" s="10">
        <f t="shared" si="372"/>
        <v>0</v>
      </c>
      <c r="BX246" s="10">
        <f t="shared" si="372"/>
        <v>0</v>
      </c>
      <c r="BY246" s="10">
        <f t="shared" ref="BY246:CO246" si="373" xml:space="preserve"> $E241 * BY241</f>
        <v>0</v>
      </c>
      <c r="BZ246" s="10">
        <f t="shared" si="373"/>
        <v>0</v>
      </c>
      <c r="CA246" s="10">
        <f t="shared" si="373"/>
        <v>0</v>
      </c>
      <c r="CB246" s="10">
        <f t="shared" si="373"/>
        <v>0</v>
      </c>
      <c r="CC246" s="10">
        <f t="shared" si="373"/>
        <v>0</v>
      </c>
      <c r="CD246" s="10">
        <f t="shared" si="373"/>
        <v>0</v>
      </c>
      <c r="CE246" s="10">
        <f t="shared" si="373"/>
        <v>0</v>
      </c>
      <c r="CF246" s="10">
        <f t="shared" si="373"/>
        <v>0</v>
      </c>
      <c r="CG246" s="10">
        <f t="shared" si="373"/>
        <v>0</v>
      </c>
      <c r="CH246" s="10">
        <f t="shared" si="373"/>
        <v>0</v>
      </c>
      <c r="CI246" s="10">
        <f t="shared" si="373"/>
        <v>0</v>
      </c>
      <c r="CJ246" s="10">
        <f t="shared" si="373"/>
        <v>0</v>
      </c>
      <c r="CK246" s="10">
        <f t="shared" si="373"/>
        <v>0</v>
      </c>
      <c r="CL246" s="10">
        <f t="shared" si="373"/>
        <v>0</v>
      </c>
      <c r="CM246" s="10">
        <f t="shared" si="373"/>
        <v>0</v>
      </c>
      <c r="CN246" s="10">
        <f t="shared" si="373"/>
        <v>0</v>
      </c>
      <c r="CO246" s="10">
        <f t="shared" si="373"/>
        <v>0</v>
      </c>
    </row>
    <row r="247" spans="1:93">
      <c r="A247" s="77"/>
      <c r="B247" s="168"/>
      <c r="C247" s="17" t="s">
        <v>632</v>
      </c>
      <c r="D247" s="10"/>
      <c r="E247" s="62"/>
      <c r="F247" s="11"/>
      <c r="G247" s="11" t="str">
        <f>Monetary_Unit</f>
        <v>тыс. руб.</v>
      </c>
      <c r="H247" s="10"/>
      <c r="I247" s="23">
        <f>SUM(L247:CO247)</f>
        <v>0</v>
      </c>
      <c r="J247" s="10"/>
      <c r="K247" s="10"/>
      <c r="L247" s="10">
        <f xml:space="preserve"> $E242 * L242</f>
        <v>0</v>
      </c>
      <c r="M247" s="10">
        <f t="shared" ref="M247:BX247" si="374" xml:space="preserve"> $E242 * M242</f>
        <v>0</v>
      </c>
      <c r="N247" s="10">
        <f t="shared" si="374"/>
        <v>0</v>
      </c>
      <c r="O247" s="10">
        <f t="shared" si="374"/>
        <v>0</v>
      </c>
      <c r="P247" s="10">
        <f t="shared" si="374"/>
        <v>0</v>
      </c>
      <c r="Q247" s="10">
        <f t="shared" si="374"/>
        <v>0</v>
      </c>
      <c r="R247" s="10">
        <f t="shared" si="374"/>
        <v>0</v>
      </c>
      <c r="S247" s="10">
        <f t="shared" si="374"/>
        <v>0</v>
      </c>
      <c r="T247" s="10">
        <f t="shared" si="374"/>
        <v>0</v>
      </c>
      <c r="U247" s="10">
        <f t="shared" si="374"/>
        <v>0</v>
      </c>
      <c r="V247" s="10">
        <f t="shared" si="374"/>
        <v>0</v>
      </c>
      <c r="W247" s="10">
        <f t="shared" si="374"/>
        <v>0</v>
      </c>
      <c r="X247" s="10">
        <f t="shared" si="374"/>
        <v>0</v>
      </c>
      <c r="Y247" s="10">
        <f t="shared" si="374"/>
        <v>0</v>
      </c>
      <c r="Z247" s="10">
        <f t="shared" si="374"/>
        <v>0</v>
      </c>
      <c r="AA247" s="10">
        <f t="shared" si="374"/>
        <v>0</v>
      </c>
      <c r="AB247" s="10">
        <f t="shared" si="374"/>
        <v>0</v>
      </c>
      <c r="AC247" s="10">
        <f t="shared" si="374"/>
        <v>0</v>
      </c>
      <c r="AD247" s="10">
        <f t="shared" si="374"/>
        <v>0</v>
      </c>
      <c r="AE247" s="10">
        <f t="shared" si="374"/>
        <v>0</v>
      </c>
      <c r="AF247" s="10">
        <f t="shared" si="374"/>
        <v>0</v>
      </c>
      <c r="AG247" s="10">
        <f t="shared" si="374"/>
        <v>0</v>
      </c>
      <c r="AH247" s="10">
        <f t="shared" si="374"/>
        <v>0</v>
      </c>
      <c r="AI247" s="10">
        <f t="shared" si="374"/>
        <v>0</v>
      </c>
      <c r="AJ247" s="10">
        <f t="shared" si="374"/>
        <v>0</v>
      </c>
      <c r="AK247" s="10">
        <f t="shared" si="374"/>
        <v>0</v>
      </c>
      <c r="AL247" s="10">
        <f t="shared" si="374"/>
        <v>0</v>
      </c>
      <c r="AM247" s="10">
        <f t="shared" si="374"/>
        <v>0</v>
      </c>
      <c r="AN247" s="10">
        <f t="shared" si="374"/>
        <v>0</v>
      </c>
      <c r="AO247" s="10">
        <f t="shared" si="374"/>
        <v>0</v>
      </c>
      <c r="AP247" s="10">
        <f t="shared" si="374"/>
        <v>0</v>
      </c>
      <c r="AQ247" s="10">
        <f t="shared" si="374"/>
        <v>0</v>
      </c>
      <c r="AR247" s="10">
        <f t="shared" si="374"/>
        <v>0</v>
      </c>
      <c r="AS247" s="10">
        <f t="shared" si="374"/>
        <v>0</v>
      </c>
      <c r="AT247" s="10">
        <f t="shared" si="374"/>
        <v>0</v>
      </c>
      <c r="AU247" s="10">
        <f t="shared" si="374"/>
        <v>0</v>
      </c>
      <c r="AV247" s="10">
        <f t="shared" si="374"/>
        <v>0</v>
      </c>
      <c r="AW247" s="10">
        <f t="shared" si="374"/>
        <v>0</v>
      </c>
      <c r="AX247" s="10">
        <f t="shared" si="374"/>
        <v>0</v>
      </c>
      <c r="AY247" s="10">
        <f t="shared" si="374"/>
        <v>0</v>
      </c>
      <c r="AZ247" s="10">
        <f t="shared" si="374"/>
        <v>0</v>
      </c>
      <c r="BA247" s="10">
        <f t="shared" si="374"/>
        <v>0</v>
      </c>
      <c r="BB247" s="10">
        <f t="shared" si="374"/>
        <v>0</v>
      </c>
      <c r="BC247" s="10">
        <f t="shared" si="374"/>
        <v>0</v>
      </c>
      <c r="BD247" s="10">
        <f t="shared" si="374"/>
        <v>0</v>
      </c>
      <c r="BE247" s="10">
        <f t="shared" si="374"/>
        <v>0</v>
      </c>
      <c r="BF247" s="10">
        <f t="shared" si="374"/>
        <v>0</v>
      </c>
      <c r="BG247" s="10">
        <f t="shared" si="374"/>
        <v>0</v>
      </c>
      <c r="BH247" s="10">
        <f t="shared" si="374"/>
        <v>0</v>
      </c>
      <c r="BI247" s="10">
        <f t="shared" si="374"/>
        <v>0</v>
      </c>
      <c r="BJ247" s="10">
        <f t="shared" si="374"/>
        <v>0</v>
      </c>
      <c r="BK247" s="10">
        <f t="shared" si="374"/>
        <v>0</v>
      </c>
      <c r="BL247" s="10">
        <f t="shared" si="374"/>
        <v>0</v>
      </c>
      <c r="BM247" s="10">
        <f t="shared" si="374"/>
        <v>0</v>
      </c>
      <c r="BN247" s="10">
        <f t="shared" si="374"/>
        <v>0</v>
      </c>
      <c r="BO247" s="10">
        <f t="shared" si="374"/>
        <v>0</v>
      </c>
      <c r="BP247" s="10">
        <f t="shared" si="374"/>
        <v>0</v>
      </c>
      <c r="BQ247" s="10">
        <f t="shared" si="374"/>
        <v>0</v>
      </c>
      <c r="BR247" s="10">
        <f t="shared" si="374"/>
        <v>0</v>
      </c>
      <c r="BS247" s="10">
        <f t="shared" si="374"/>
        <v>0</v>
      </c>
      <c r="BT247" s="10">
        <f t="shared" si="374"/>
        <v>0</v>
      </c>
      <c r="BU247" s="10">
        <f t="shared" si="374"/>
        <v>0</v>
      </c>
      <c r="BV247" s="10">
        <f t="shared" si="374"/>
        <v>0</v>
      </c>
      <c r="BW247" s="10">
        <f t="shared" si="374"/>
        <v>0</v>
      </c>
      <c r="BX247" s="10">
        <f t="shared" si="374"/>
        <v>0</v>
      </c>
      <c r="BY247" s="10">
        <f t="shared" ref="BY247:CO247" si="375" xml:space="preserve"> $E242 * BY242</f>
        <v>0</v>
      </c>
      <c r="BZ247" s="10">
        <f t="shared" si="375"/>
        <v>0</v>
      </c>
      <c r="CA247" s="10">
        <f t="shared" si="375"/>
        <v>0</v>
      </c>
      <c r="CB247" s="10">
        <f t="shared" si="375"/>
        <v>0</v>
      </c>
      <c r="CC247" s="10">
        <f t="shared" si="375"/>
        <v>0</v>
      </c>
      <c r="CD247" s="10">
        <f t="shared" si="375"/>
        <v>0</v>
      </c>
      <c r="CE247" s="10">
        <f t="shared" si="375"/>
        <v>0</v>
      </c>
      <c r="CF247" s="10">
        <f t="shared" si="375"/>
        <v>0</v>
      </c>
      <c r="CG247" s="10">
        <f t="shared" si="375"/>
        <v>0</v>
      </c>
      <c r="CH247" s="10">
        <f t="shared" si="375"/>
        <v>0</v>
      </c>
      <c r="CI247" s="10">
        <f t="shared" si="375"/>
        <v>0</v>
      </c>
      <c r="CJ247" s="10">
        <f t="shared" si="375"/>
        <v>0</v>
      </c>
      <c r="CK247" s="10">
        <f t="shared" si="375"/>
        <v>0</v>
      </c>
      <c r="CL247" s="10">
        <f t="shared" si="375"/>
        <v>0</v>
      </c>
      <c r="CM247" s="10">
        <f t="shared" si="375"/>
        <v>0</v>
      </c>
      <c r="CN247" s="10">
        <f t="shared" si="375"/>
        <v>0</v>
      </c>
      <c r="CO247" s="10">
        <f t="shared" si="375"/>
        <v>0</v>
      </c>
    </row>
    <row r="248" spans="1:93">
      <c r="A248" s="77"/>
      <c r="B248" s="168"/>
      <c r="C248" s="17" t="s">
        <v>821</v>
      </c>
      <c r="D248" s="10"/>
      <c r="E248" s="62"/>
      <c r="F248" s="11"/>
      <c r="G248" s="11" t="str">
        <f>Monetary_Unit</f>
        <v>тыс. руб.</v>
      </c>
      <c r="H248" s="10"/>
      <c r="I248" s="23">
        <f>SUM(L248:CO248)</f>
        <v>0</v>
      </c>
      <c r="J248" s="10"/>
      <c r="K248" s="10"/>
      <c r="L248" s="10">
        <f xml:space="preserve"> $E243 * L243</f>
        <v>0</v>
      </c>
      <c r="M248" s="10">
        <f t="shared" ref="M248:BX248" si="376" xml:space="preserve"> $E243 * M243</f>
        <v>0</v>
      </c>
      <c r="N248" s="10">
        <f t="shared" si="376"/>
        <v>0</v>
      </c>
      <c r="O248" s="10">
        <f t="shared" si="376"/>
        <v>0</v>
      </c>
      <c r="P248" s="10">
        <f t="shared" si="376"/>
        <v>0</v>
      </c>
      <c r="Q248" s="10">
        <f t="shared" si="376"/>
        <v>0</v>
      </c>
      <c r="R248" s="10">
        <f t="shared" si="376"/>
        <v>0</v>
      </c>
      <c r="S248" s="10">
        <f t="shared" si="376"/>
        <v>0</v>
      </c>
      <c r="T248" s="10">
        <f t="shared" si="376"/>
        <v>0</v>
      </c>
      <c r="U248" s="10">
        <f t="shared" si="376"/>
        <v>0</v>
      </c>
      <c r="V248" s="10">
        <f t="shared" si="376"/>
        <v>0</v>
      </c>
      <c r="W248" s="10">
        <f t="shared" si="376"/>
        <v>0</v>
      </c>
      <c r="X248" s="10">
        <f t="shared" si="376"/>
        <v>0</v>
      </c>
      <c r="Y248" s="10">
        <f t="shared" si="376"/>
        <v>0</v>
      </c>
      <c r="Z248" s="10">
        <f t="shared" si="376"/>
        <v>0</v>
      </c>
      <c r="AA248" s="10">
        <f t="shared" si="376"/>
        <v>0</v>
      </c>
      <c r="AB248" s="10">
        <f t="shared" si="376"/>
        <v>0</v>
      </c>
      <c r="AC248" s="10">
        <f t="shared" si="376"/>
        <v>0</v>
      </c>
      <c r="AD248" s="10">
        <f t="shared" si="376"/>
        <v>0</v>
      </c>
      <c r="AE248" s="10">
        <f t="shared" si="376"/>
        <v>0</v>
      </c>
      <c r="AF248" s="10">
        <f t="shared" si="376"/>
        <v>0</v>
      </c>
      <c r="AG248" s="10">
        <f t="shared" si="376"/>
        <v>0</v>
      </c>
      <c r="AH248" s="10">
        <f t="shared" si="376"/>
        <v>0</v>
      </c>
      <c r="AI248" s="10">
        <f t="shared" si="376"/>
        <v>0</v>
      </c>
      <c r="AJ248" s="10">
        <f t="shared" si="376"/>
        <v>0</v>
      </c>
      <c r="AK248" s="10">
        <f t="shared" si="376"/>
        <v>0</v>
      </c>
      <c r="AL248" s="10">
        <f t="shared" si="376"/>
        <v>0</v>
      </c>
      <c r="AM248" s="10">
        <f t="shared" si="376"/>
        <v>0</v>
      </c>
      <c r="AN248" s="10">
        <f t="shared" si="376"/>
        <v>0</v>
      </c>
      <c r="AO248" s="10">
        <f t="shared" si="376"/>
        <v>0</v>
      </c>
      <c r="AP248" s="10">
        <f t="shared" si="376"/>
        <v>0</v>
      </c>
      <c r="AQ248" s="10">
        <f t="shared" si="376"/>
        <v>0</v>
      </c>
      <c r="AR248" s="10">
        <f t="shared" si="376"/>
        <v>0</v>
      </c>
      <c r="AS248" s="10">
        <f t="shared" si="376"/>
        <v>0</v>
      </c>
      <c r="AT248" s="10">
        <f t="shared" si="376"/>
        <v>0</v>
      </c>
      <c r="AU248" s="10">
        <f t="shared" si="376"/>
        <v>0</v>
      </c>
      <c r="AV248" s="10">
        <f t="shared" si="376"/>
        <v>0</v>
      </c>
      <c r="AW248" s="10">
        <f t="shared" si="376"/>
        <v>0</v>
      </c>
      <c r="AX248" s="10">
        <f t="shared" si="376"/>
        <v>0</v>
      </c>
      <c r="AY248" s="10">
        <f t="shared" si="376"/>
        <v>0</v>
      </c>
      <c r="AZ248" s="10">
        <f t="shared" si="376"/>
        <v>0</v>
      </c>
      <c r="BA248" s="10">
        <f t="shared" si="376"/>
        <v>0</v>
      </c>
      <c r="BB248" s="10">
        <f t="shared" si="376"/>
        <v>0</v>
      </c>
      <c r="BC248" s="10">
        <f t="shared" si="376"/>
        <v>0</v>
      </c>
      <c r="BD248" s="10">
        <f t="shared" si="376"/>
        <v>0</v>
      </c>
      <c r="BE248" s="10">
        <f t="shared" si="376"/>
        <v>0</v>
      </c>
      <c r="BF248" s="10">
        <f t="shared" si="376"/>
        <v>0</v>
      </c>
      <c r="BG248" s="10">
        <f t="shared" si="376"/>
        <v>0</v>
      </c>
      <c r="BH248" s="10">
        <f t="shared" si="376"/>
        <v>0</v>
      </c>
      <c r="BI248" s="10">
        <f t="shared" si="376"/>
        <v>0</v>
      </c>
      <c r="BJ248" s="10">
        <f t="shared" si="376"/>
        <v>0</v>
      </c>
      <c r="BK248" s="10">
        <f t="shared" si="376"/>
        <v>0</v>
      </c>
      <c r="BL248" s="10">
        <f t="shared" si="376"/>
        <v>0</v>
      </c>
      <c r="BM248" s="10">
        <f t="shared" si="376"/>
        <v>0</v>
      </c>
      <c r="BN248" s="10">
        <f t="shared" si="376"/>
        <v>0</v>
      </c>
      <c r="BO248" s="10">
        <f t="shared" si="376"/>
        <v>0</v>
      </c>
      <c r="BP248" s="10">
        <f t="shared" si="376"/>
        <v>0</v>
      </c>
      <c r="BQ248" s="10">
        <f t="shared" si="376"/>
        <v>0</v>
      </c>
      <c r="BR248" s="10">
        <f t="shared" si="376"/>
        <v>0</v>
      </c>
      <c r="BS248" s="10">
        <f t="shared" si="376"/>
        <v>0</v>
      </c>
      <c r="BT248" s="10">
        <f t="shared" si="376"/>
        <v>0</v>
      </c>
      <c r="BU248" s="10">
        <f t="shared" si="376"/>
        <v>0</v>
      </c>
      <c r="BV248" s="10">
        <f t="shared" si="376"/>
        <v>0</v>
      </c>
      <c r="BW248" s="10">
        <f t="shared" si="376"/>
        <v>0</v>
      </c>
      <c r="BX248" s="10">
        <f t="shared" si="376"/>
        <v>0</v>
      </c>
      <c r="BY248" s="10">
        <f t="shared" ref="BY248:CO248" si="377" xml:space="preserve"> $E243 * BY243</f>
        <v>0</v>
      </c>
      <c r="BZ248" s="10">
        <f t="shared" si="377"/>
        <v>0</v>
      </c>
      <c r="CA248" s="10">
        <f t="shared" si="377"/>
        <v>0</v>
      </c>
      <c r="CB248" s="10">
        <f t="shared" si="377"/>
        <v>0</v>
      </c>
      <c r="CC248" s="10">
        <f t="shared" si="377"/>
        <v>0</v>
      </c>
      <c r="CD248" s="10">
        <f t="shared" si="377"/>
        <v>0</v>
      </c>
      <c r="CE248" s="10">
        <f t="shared" si="377"/>
        <v>0</v>
      </c>
      <c r="CF248" s="10">
        <f t="shared" si="377"/>
        <v>0</v>
      </c>
      <c r="CG248" s="10">
        <f t="shared" si="377"/>
        <v>0</v>
      </c>
      <c r="CH248" s="10">
        <f t="shared" si="377"/>
        <v>0</v>
      </c>
      <c r="CI248" s="10">
        <f t="shared" si="377"/>
        <v>0</v>
      </c>
      <c r="CJ248" s="10">
        <f t="shared" si="377"/>
        <v>0</v>
      </c>
      <c r="CK248" s="10">
        <f t="shared" si="377"/>
        <v>0</v>
      </c>
      <c r="CL248" s="10">
        <f t="shared" si="377"/>
        <v>0</v>
      </c>
      <c r="CM248" s="10">
        <f t="shared" si="377"/>
        <v>0</v>
      </c>
      <c r="CN248" s="10">
        <f t="shared" si="377"/>
        <v>0</v>
      </c>
      <c r="CO248" s="10">
        <f t="shared" si="377"/>
        <v>0</v>
      </c>
    </row>
    <row r="249" spans="1:93" ht="15.75" thickBot="1">
      <c r="A249" s="77"/>
      <c r="B249" s="168"/>
      <c r="C249" s="17" t="s">
        <v>797</v>
      </c>
      <c r="D249" s="10"/>
      <c r="E249" s="62"/>
      <c r="F249" s="11"/>
      <c r="G249" s="11" t="str">
        <f>Monetary_Unit</f>
        <v>тыс. руб.</v>
      </c>
      <c r="H249" s="10"/>
      <c r="I249" s="23">
        <f>SUM(L249:CO249)</f>
        <v>0</v>
      </c>
      <c r="J249" s="10"/>
      <c r="K249" s="10"/>
      <c r="L249" s="10">
        <f xml:space="preserve"> L248 * $E$244</f>
        <v>0</v>
      </c>
      <c r="M249" s="10">
        <f t="shared" ref="M249:BX249" si="378" xml:space="preserve"> M248 * $E$244</f>
        <v>0</v>
      </c>
      <c r="N249" s="10">
        <f t="shared" si="378"/>
        <v>0</v>
      </c>
      <c r="O249" s="10">
        <f t="shared" si="378"/>
        <v>0</v>
      </c>
      <c r="P249" s="10">
        <f t="shared" si="378"/>
        <v>0</v>
      </c>
      <c r="Q249" s="10">
        <f t="shared" si="378"/>
        <v>0</v>
      </c>
      <c r="R249" s="10">
        <f t="shared" si="378"/>
        <v>0</v>
      </c>
      <c r="S249" s="10">
        <f t="shared" si="378"/>
        <v>0</v>
      </c>
      <c r="T249" s="10">
        <f t="shared" si="378"/>
        <v>0</v>
      </c>
      <c r="U249" s="10">
        <f t="shared" si="378"/>
        <v>0</v>
      </c>
      <c r="V249" s="10">
        <f t="shared" si="378"/>
        <v>0</v>
      </c>
      <c r="W249" s="10">
        <f t="shared" si="378"/>
        <v>0</v>
      </c>
      <c r="X249" s="10">
        <f t="shared" si="378"/>
        <v>0</v>
      </c>
      <c r="Y249" s="10">
        <f t="shared" si="378"/>
        <v>0</v>
      </c>
      <c r="Z249" s="10">
        <f t="shared" si="378"/>
        <v>0</v>
      </c>
      <c r="AA249" s="10">
        <f t="shared" si="378"/>
        <v>0</v>
      </c>
      <c r="AB249" s="10">
        <f t="shared" si="378"/>
        <v>0</v>
      </c>
      <c r="AC249" s="10">
        <f t="shared" si="378"/>
        <v>0</v>
      </c>
      <c r="AD249" s="10">
        <f t="shared" si="378"/>
        <v>0</v>
      </c>
      <c r="AE249" s="10">
        <f t="shared" si="378"/>
        <v>0</v>
      </c>
      <c r="AF249" s="10">
        <f t="shared" si="378"/>
        <v>0</v>
      </c>
      <c r="AG249" s="10">
        <f t="shared" si="378"/>
        <v>0</v>
      </c>
      <c r="AH249" s="10">
        <f t="shared" si="378"/>
        <v>0</v>
      </c>
      <c r="AI249" s="10">
        <f t="shared" si="378"/>
        <v>0</v>
      </c>
      <c r="AJ249" s="10">
        <f t="shared" si="378"/>
        <v>0</v>
      </c>
      <c r="AK249" s="10">
        <f t="shared" si="378"/>
        <v>0</v>
      </c>
      <c r="AL249" s="10">
        <f t="shared" si="378"/>
        <v>0</v>
      </c>
      <c r="AM249" s="10">
        <f t="shared" si="378"/>
        <v>0</v>
      </c>
      <c r="AN249" s="10">
        <f t="shared" si="378"/>
        <v>0</v>
      </c>
      <c r="AO249" s="10">
        <f t="shared" si="378"/>
        <v>0</v>
      </c>
      <c r="AP249" s="10">
        <f t="shared" si="378"/>
        <v>0</v>
      </c>
      <c r="AQ249" s="10">
        <f t="shared" si="378"/>
        <v>0</v>
      </c>
      <c r="AR249" s="10">
        <f t="shared" si="378"/>
        <v>0</v>
      </c>
      <c r="AS249" s="10">
        <f t="shared" si="378"/>
        <v>0</v>
      </c>
      <c r="AT249" s="10">
        <f t="shared" si="378"/>
        <v>0</v>
      </c>
      <c r="AU249" s="10">
        <f t="shared" si="378"/>
        <v>0</v>
      </c>
      <c r="AV249" s="10">
        <f t="shared" si="378"/>
        <v>0</v>
      </c>
      <c r="AW249" s="10">
        <f t="shared" si="378"/>
        <v>0</v>
      </c>
      <c r="AX249" s="10">
        <f t="shared" si="378"/>
        <v>0</v>
      </c>
      <c r="AY249" s="10">
        <f t="shared" si="378"/>
        <v>0</v>
      </c>
      <c r="AZ249" s="10">
        <f t="shared" si="378"/>
        <v>0</v>
      </c>
      <c r="BA249" s="10">
        <f t="shared" si="378"/>
        <v>0</v>
      </c>
      <c r="BB249" s="10">
        <f t="shared" si="378"/>
        <v>0</v>
      </c>
      <c r="BC249" s="10">
        <f t="shared" si="378"/>
        <v>0</v>
      </c>
      <c r="BD249" s="10">
        <f t="shared" si="378"/>
        <v>0</v>
      </c>
      <c r="BE249" s="10">
        <f t="shared" si="378"/>
        <v>0</v>
      </c>
      <c r="BF249" s="10">
        <f t="shared" si="378"/>
        <v>0</v>
      </c>
      <c r="BG249" s="10">
        <f t="shared" si="378"/>
        <v>0</v>
      </c>
      <c r="BH249" s="10">
        <f t="shared" si="378"/>
        <v>0</v>
      </c>
      <c r="BI249" s="10">
        <f t="shared" si="378"/>
        <v>0</v>
      </c>
      <c r="BJ249" s="10">
        <f t="shared" si="378"/>
        <v>0</v>
      </c>
      <c r="BK249" s="10">
        <f t="shared" si="378"/>
        <v>0</v>
      </c>
      <c r="BL249" s="10">
        <f t="shared" si="378"/>
        <v>0</v>
      </c>
      <c r="BM249" s="10">
        <f t="shared" si="378"/>
        <v>0</v>
      </c>
      <c r="BN249" s="10">
        <f t="shared" si="378"/>
        <v>0</v>
      </c>
      <c r="BO249" s="10">
        <f t="shared" si="378"/>
        <v>0</v>
      </c>
      <c r="BP249" s="10">
        <f t="shared" si="378"/>
        <v>0</v>
      </c>
      <c r="BQ249" s="10">
        <f t="shared" si="378"/>
        <v>0</v>
      </c>
      <c r="BR249" s="10">
        <f t="shared" si="378"/>
        <v>0</v>
      </c>
      <c r="BS249" s="10">
        <f t="shared" si="378"/>
        <v>0</v>
      </c>
      <c r="BT249" s="10">
        <f t="shared" si="378"/>
        <v>0</v>
      </c>
      <c r="BU249" s="10">
        <f t="shared" si="378"/>
        <v>0</v>
      </c>
      <c r="BV249" s="10">
        <f t="shared" si="378"/>
        <v>0</v>
      </c>
      <c r="BW249" s="10">
        <f t="shared" si="378"/>
        <v>0</v>
      </c>
      <c r="BX249" s="10">
        <f t="shared" si="378"/>
        <v>0</v>
      </c>
      <c r="BY249" s="10">
        <f t="shared" ref="BY249:CO249" si="379" xml:space="preserve"> BY248 * $E$244</f>
        <v>0</v>
      </c>
      <c r="BZ249" s="10">
        <f t="shared" si="379"/>
        <v>0</v>
      </c>
      <c r="CA249" s="10">
        <f t="shared" si="379"/>
        <v>0</v>
      </c>
      <c r="CB249" s="10">
        <f t="shared" si="379"/>
        <v>0</v>
      </c>
      <c r="CC249" s="10">
        <f t="shared" si="379"/>
        <v>0</v>
      </c>
      <c r="CD249" s="10">
        <f t="shared" si="379"/>
        <v>0</v>
      </c>
      <c r="CE249" s="10">
        <f t="shared" si="379"/>
        <v>0</v>
      </c>
      <c r="CF249" s="10">
        <f t="shared" si="379"/>
        <v>0</v>
      </c>
      <c r="CG249" s="10">
        <f t="shared" si="379"/>
        <v>0</v>
      </c>
      <c r="CH249" s="10">
        <f t="shared" si="379"/>
        <v>0</v>
      </c>
      <c r="CI249" s="10">
        <f t="shared" si="379"/>
        <v>0</v>
      </c>
      <c r="CJ249" s="10">
        <f t="shared" si="379"/>
        <v>0</v>
      </c>
      <c r="CK249" s="10">
        <f t="shared" si="379"/>
        <v>0</v>
      </c>
      <c r="CL249" s="10">
        <f t="shared" si="379"/>
        <v>0</v>
      </c>
      <c r="CM249" s="10">
        <f t="shared" si="379"/>
        <v>0</v>
      </c>
      <c r="CN249" s="10">
        <f t="shared" si="379"/>
        <v>0</v>
      </c>
      <c r="CO249" s="10">
        <f t="shared" si="379"/>
        <v>0</v>
      </c>
    </row>
    <row r="250" spans="1:93" ht="15.75" thickTop="1">
      <c r="A250" s="77"/>
      <c r="B250" s="101"/>
      <c r="C250" s="49" t="s">
        <v>832</v>
      </c>
      <c r="D250" s="49"/>
      <c r="E250" s="136"/>
      <c r="F250" s="49"/>
      <c r="G250" s="159" t="str">
        <f xml:space="preserve"> Monetary_Unit</f>
        <v>тыс. руб.</v>
      </c>
      <c r="H250" s="49"/>
      <c r="I250" s="23">
        <f>SUM(L250:CO250)</f>
        <v>0</v>
      </c>
      <c r="J250" s="49"/>
      <c r="K250" s="49"/>
      <c r="L250" s="49">
        <f t="shared" ref="L250:R250" si="380" xml:space="preserve"> SUM(L246:L249)</f>
        <v>0</v>
      </c>
      <c r="M250" s="49">
        <f t="shared" si="380"/>
        <v>0</v>
      </c>
      <c r="N250" s="49">
        <f t="shared" si="380"/>
        <v>0</v>
      </c>
      <c r="O250" s="49">
        <f t="shared" si="380"/>
        <v>0</v>
      </c>
      <c r="P250" s="49">
        <f t="shared" si="380"/>
        <v>0</v>
      </c>
      <c r="Q250" s="49">
        <f t="shared" si="380"/>
        <v>0</v>
      </c>
      <c r="R250" s="49">
        <f t="shared" si="380"/>
        <v>0</v>
      </c>
      <c r="S250" s="49">
        <f xml:space="preserve"> SUM(S246:S249)</f>
        <v>0</v>
      </c>
      <c r="T250" s="49">
        <f t="shared" ref="T250:CE250" si="381" xml:space="preserve"> SUM(T246:T249)</f>
        <v>0</v>
      </c>
      <c r="U250" s="49">
        <f t="shared" si="381"/>
        <v>0</v>
      </c>
      <c r="V250" s="49">
        <f t="shared" si="381"/>
        <v>0</v>
      </c>
      <c r="W250" s="49">
        <f t="shared" si="381"/>
        <v>0</v>
      </c>
      <c r="X250" s="49">
        <f t="shared" si="381"/>
        <v>0</v>
      </c>
      <c r="Y250" s="49">
        <f t="shared" si="381"/>
        <v>0</v>
      </c>
      <c r="Z250" s="49">
        <f t="shared" si="381"/>
        <v>0</v>
      </c>
      <c r="AA250" s="49">
        <f t="shared" si="381"/>
        <v>0</v>
      </c>
      <c r="AB250" s="49">
        <f t="shared" si="381"/>
        <v>0</v>
      </c>
      <c r="AC250" s="49">
        <f t="shared" si="381"/>
        <v>0</v>
      </c>
      <c r="AD250" s="49">
        <f t="shared" si="381"/>
        <v>0</v>
      </c>
      <c r="AE250" s="49">
        <f t="shared" si="381"/>
        <v>0</v>
      </c>
      <c r="AF250" s="49">
        <f t="shared" si="381"/>
        <v>0</v>
      </c>
      <c r="AG250" s="49">
        <f t="shared" si="381"/>
        <v>0</v>
      </c>
      <c r="AH250" s="49">
        <f t="shared" si="381"/>
        <v>0</v>
      </c>
      <c r="AI250" s="49">
        <f t="shared" si="381"/>
        <v>0</v>
      </c>
      <c r="AJ250" s="49">
        <f t="shared" si="381"/>
        <v>0</v>
      </c>
      <c r="AK250" s="49">
        <f t="shared" si="381"/>
        <v>0</v>
      </c>
      <c r="AL250" s="49">
        <f t="shared" si="381"/>
        <v>0</v>
      </c>
      <c r="AM250" s="49">
        <f t="shared" si="381"/>
        <v>0</v>
      </c>
      <c r="AN250" s="49">
        <f t="shared" si="381"/>
        <v>0</v>
      </c>
      <c r="AO250" s="49">
        <f t="shared" si="381"/>
        <v>0</v>
      </c>
      <c r="AP250" s="49">
        <f t="shared" si="381"/>
        <v>0</v>
      </c>
      <c r="AQ250" s="49">
        <f t="shared" si="381"/>
        <v>0</v>
      </c>
      <c r="AR250" s="49">
        <f t="shared" si="381"/>
        <v>0</v>
      </c>
      <c r="AS250" s="49">
        <f t="shared" si="381"/>
        <v>0</v>
      </c>
      <c r="AT250" s="49">
        <f t="shared" si="381"/>
        <v>0</v>
      </c>
      <c r="AU250" s="49">
        <f t="shared" si="381"/>
        <v>0</v>
      </c>
      <c r="AV250" s="49">
        <f t="shared" si="381"/>
        <v>0</v>
      </c>
      <c r="AW250" s="49">
        <f t="shared" si="381"/>
        <v>0</v>
      </c>
      <c r="AX250" s="49">
        <f t="shared" si="381"/>
        <v>0</v>
      </c>
      <c r="AY250" s="49">
        <f t="shared" si="381"/>
        <v>0</v>
      </c>
      <c r="AZ250" s="49">
        <f t="shared" si="381"/>
        <v>0</v>
      </c>
      <c r="BA250" s="49">
        <f t="shared" si="381"/>
        <v>0</v>
      </c>
      <c r="BB250" s="49">
        <f t="shared" si="381"/>
        <v>0</v>
      </c>
      <c r="BC250" s="49">
        <f t="shared" si="381"/>
        <v>0</v>
      </c>
      <c r="BD250" s="49">
        <f t="shared" si="381"/>
        <v>0</v>
      </c>
      <c r="BE250" s="49">
        <f t="shared" si="381"/>
        <v>0</v>
      </c>
      <c r="BF250" s="49">
        <f t="shared" si="381"/>
        <v>0</v>
      </c>
      <c r="BG250" s="49">
        <f t="shared" si="381"/>
        <v>0</v>
      </c>
      <c r="BH250" s="49">
        <f t="shared" si="381"/>
        <v>0</v>
      </c>
      <c r="BI250" s="49">
        <f t="shared" si="381"/>
        <v>0</v>
      </c>
      <c r="BJ250" s="49">
        <f t="shared" si="381"/>
        <v>0</v>
      </c>
      <c r="BK250" s="49">
        <f t="shared" si="381"/>
        <v>0</v>
      </c>
      <c r="BL250" s="49">
        <f t="shared" si="381"/>
        <v>0</v>
      </c>
      <c r="BM250" s="49">
        <f t="shared" si="381"/>
        <v>0</v>
      </c>
      <c r="BN250" s="49">
        <f t="shared" si="381"/>
        <v>0</v>
      </c>
      <c r="BO250" s="49">
        <f t="shared" si="381"/>
        <v>0</v>
      </c>
      <c r="BP250" s="49">
        <f t="shared" si="381"/>
        <v>0</v>
      </c>
      <c r="BQ250" s="49">
        <f t="shared" si="381"/>
        <v>0</v>
      </c>
      <c r="BR250" s="49">
        <f t="shared" si="381"/>
        <v>0</v>
      </c>
      <c r="BS250" s="49">
        <f t="shared" si="381"/>
        <v>0</v>
      </c>
      <c r="BT250" s="49">
        <f t="shared" si="381"/>
        <v>0</v>
      </c>
      <c r="BU250" s="49">
        <f t="shared" si="381"/>
        <v>0</v>
      </c>
      <c r="BV250" s="49">
        <f t="shared" si="381"/>
        <v>0</v>
      </c>
      <c r="BW250" s="49">
        <f t="shared" si="381"/>
        <v>0</v>
      </c>
      <c r="BX250" s="49">
        <f t="shared" si="381"/>
        <v>0</v>
      </c>
      <c r="BY250" s="49">
        <f t="shared" si="381"/>
        <v>0</v>
      </c>
      <c r="BZ250" s="49">
        <f t="shared" si="381"/>
        <v>0</v>
      </c>
      <c r="CA250" s="49">
        <f t="shared" si="381"/>
        <v>0</v>
      </c>
      <c r="CB250" s="49">
        <f t="shared" si="381"/>
        <v>0</v>
      </c>
      <c r="CC250" s="49">
        <f t="shared" si="381"/>
        <v>0</v>
      </c>
      <c r="CD250" s="49">
        <f t="shared" si="381"/>
        <v>0</v>
      </c>
      <c r="CE250" s="49">
        <f t="shared" si="381"/>
        <v>0</v>
      </c>
      <c r="CF250" s="49">
        <f t="shared" ref="CF250:CO250" si="382" xml:space="preserve"> SUM(CF246:CF249)</f>
        <v>0</v>
      </c>
      <c r="CG250" s="49">
        <f t="shared" si="382"/>
        <v>0</v>
      </c>
      <c r="CH250" s="49">
        <f t="shared" si="382"/>
        <v>0</v>
      </c>
      <c r="CI250" s="49">
        <f t="shared" si="382"/>
        <v>0</v>
      </c>
      <c r="CJ250" s="49">
        <f t="shared" si="382"/>
        <v>0</v>
      </c>
      <c r="CK250" s="49">
        <f t="shared" si="382"/>
        <v>0</v>
      </c>
      <c r="CL250" s="49">
        <f t="shared" si="382"/>
        <v>0</v>
      </c>
      <c r="CM250" s="49">
        <f t="shared" si="382"/>
        <v>0</v>
      </c>
      <c r="CN250" s="49">
        <f t="shared" si="382"/>
        <v>0</v>
      </c>
      <c r="CO250" s="49">
        <f t="shared" si="382"/>
        <v>0</v>
      </c>
    </row>
    <row r="251" spans="1:93">
      <c r="A251" s="77"/>
      <c r="B251" s="168"/>
      <c r="C251" s="169"/>
      <c r="D251" s="10"/>
      <c r="E251" s="62"/>
      <c r="F251" s="11"/>
      <c r="G251" s="11"/>
      <c r="H251" s="10"/>
      <c r="I251" s="10" t="str">
        <f>IF(IFERROR(I250=Предпосылки!E352*I97*I114,I250=0),"")</f>
        <v/>
      </c>
      <c r="J251" s="10"/>
      <c r="K251" s="1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Z251" s="170"/>
      <c r="AA251" s="170"/>
      <c r="AB251" s="170"/>
      <c r="AC251" s="170"/>
      <c r="AD251" s="170"/>
      <c r="AE251" s="170"/>
      <c r="AF251" s="170"/>
      <c r="AG251" s="170"/>
      <c r="AH251" s="170"/>
      <c r="AI251" s="170"/>
      <c r="AJ251" s="170"/>
      <c r="AK251" s="170"/>
      <c r="AL251" s="170"/>
      <c r="AM251" s="170"/>
      <c r="AN251" s="170"/>
      <c r="AO251" s="170"/>
      <c r="AP251" s="170"/>
      <c r="AQ251" s="170"/>
      <c r="AR251" s="170"/>
      <c r="AS251" s="170"/>
      <c r="AT251" s="170"/>
      <c r="AU251" s="170"/>
      <c r="AV251" s="170"/>
      <c r="AW251" s="170"/>
      <c r="AX251" s="170"/>
      <c r="AY251" s="170"/>
      <c r="AZ251" s="170"/>
      <c r="BA251" s="170"/>
      <c r="BB251" s="170"/>
      <c r="BC251" s="170"/>
      <c r="BD251" s="170"/>
      <c r="BE251" s="170"/>
      <c r="BF251" s="170"/>
      <c r="BG251" s="170"/>
      <c r="BH251" s="170"/>
      <c r="BI251" s="170"/>
      <c r="BJ251" s="170"/>
      <c r="BK251" s="170"/>
      <c r="BL251" s="170"/>
      <c r="BM251" s="170"/>
      <c r="BN251" s="170"/>
      <c r="BO251" s="170"/>
      <c r="BP251" s="170"/>
      <c r="BQ251" s="170"/>
      <c r="BR251" s="170"/>
      <c r="BS251" s="170"/>
      <c r="BT251" s="170"/>
      <c r="BU251" s="170"/>
      <c r="BV251" s="170"/>
      <c r="BW251" s="170"/>
      <c r="BX251" s="170"/>
      <c r="BY251" s="170"/>
      <c r="BZ251" s="170"/>
      <c r="CA251" s="170"/>
      <c r="CB251" s="170"/>
      <c r="CC251" s="170"/>
      <c r="CD251" s="170"/>
      <c r="CE251" s="170"/>
      <c r="CF251" s="170"/>
      <c r="CG251" s="170"/>
      <c r="CH251" s="170"/>
      <c r="CI251" s="170"/>
      <c r="CJ251" s="170"/>
      <c r="CK251" s="170"/>
      <c r="CL251" s="170"/>
      <c r="CM251" s="170"/>
      <c r="CN251" s="170"/>
      <c r="CO251" s="170"/>
    </row>
    <row r="252" spans="1:93" ht="16.5" thickBot="1">
      <c r="A252" s="9"/>
      <c r="B252" s="168"/>
      <c r="C252" s="12" t="s">
        <v>650</v>
      </c>
      <c r="D252" s="12"/>
      <c r="E252" s="12"/>
      <c r="F252" s="12"/>
      <c r="G252" s="360"/>
      <c r="H252" s="12"/>
      <c r="I252" s="12"/>
      <c r="J252" s="10"/>
      <c r="K252" s="1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Z252" s="170"/>
      <c r="AA252" s="170"/>
      <c r="AB252" s="170"/>
      <c r="AC252" s="170"/>
      <c r="AD252" s="170"/>
      <c r="AE252" s="170"/>
      <c r="AF252" s="170"/>
      <c r="AG252" s="170"/>
      <c r="AH252" s="170"/>
      <c r="AI252" s="170"/>
      <c r="AJ252" s="170"/>
      <c r="AK252" s="170"/>
      <c r="AL252" s="170"/>
      <c r="AM252" s="170"/>
      <c r="AN252" s="170"/>
      <c r="AO252" s="170"/>
      <c r="AP252" s="170"/>
      <c r="AQ252" s="170"/>
      <c r="AR252" s="170"/>
      <c r="AS252" s="170"/>
      <c r="AT252" s="170"/>
      <c r="AU252" s="170"/>
      <c r="AV252" s="170"/>
      <c r="AW252" s="170"/>
      <c r="AX252" s="170"/>
      <c r="AY252" s="170"/>
      <c r="AZ252" s="170"/>
      <c r="BA252" s="170"/>
      <c r="BB252" s="170"/>
      <c r="BC252" s="170"/>
      <c r="BD252" s="170"/>
      <c r="BE252" s="170"/>
      <c r="BF252" s="170"/>
      <c r="BG252" s="170"/>
      <c r="BH252" s="170"/>
      <c r="BI252" s="170"/>
      <c r="BJ252" s="170"/>
      <c r="BK252" s="170"/>
      <c r="BL252" s="170"/>
      <c r="BM252" s="170"/>
      <c r="BN252" s="170"/>
      <c r="BO252" s="170"/>
      <c r="BP252" s="170"/>
      <c r="BQ252" s="170"/>
      <c r="BR252" s="170"/>
      <c r="BS252" s="170"/>
      <c r="BT252" s="170"/>
      <c r="BU252" s="170"/>
      <c r="BV252" s="170"/>
      <c r="BW252" s="170"/>
      <c r="BX252" s="170"/>
      <c r="BY252" s="170"/>
      <c r="BZ252" s="170"/>
      <c r="CA252" s="170"/>
      <c r="CB252" s="170"/>
      <c r="CC252" s="170"/>
      <c r="CD252" s="170"/>
      <c r="CE252" s="170"/>
      <c r="CF252" s="170"/>
      <c r="CG252" s="170"/>
      <c r="CH252" s="170"/>
      <c r="CI252" s="170"/>
      <c r="CJ252" s="170"/>
      <c r="CK252" s="170"/>
      <c r="CL252" s="170"/>
      <c r="CM252" s="170"/>
      <c r="CN252" s="170"/>
      <c r="CO252" s="170"/>
    </row>
    <row r="253" spans="1:93">
      <c r="A253" s="9"/>
      <c r="B253" s="168"/>
      <c r="C253" s="169"/>
      <c r="D253" s="10"/>
      <c r="E253" s="62"/>
      <c r="F253" s="11"/>
      <c r="G253" s="11"/>
      <c r="H253" s="10"/>
      <c r="I253" s="10"/>
      <c r="J253" s="10"/>
      <c r="K253" s="1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170"/>
      <c r="AK253" s="170"/>
      <c r="AL253" s="170"/>
      <c r="AM253" s="170"/>
      <c r="AN253" s="170"/>
      <c r="AO253" s="170"/>
      <c r="AP253" s="170"/>
      <c r="AQ253" s="170"/>
      <c r="AR253" s="170"/>
      <c r="AS253" s="170"/>
      <c r="AT253" s="170"/>
      <c r="AU253" s="170"/>
      <c r="AV253" s="170"/>
      <c r="AW253" s="170"/>
      <c r="AX253" s="170"/>
      <c r="AY253" s="170"/>
      <c r="AZ253" s="170"/>
      <c r="BA253" s="170"/>
      <c r="BB253" s="170"/>
      <c r="BC253" s="170"/>
      <c r="BD253" s="170"/>
      <c r="BE253" s="170"/>
      <c r="BF253" s="170"/>
      <c r="BG253" s="170"/>
      <c r="BH253" s="170"/>
      <c r="BI253" s="170"/>
      <c r="BJ253" s="170"/>
      <c r="BK253" s="170"/>
      <c r="BL253" s="170"/>
      <c r="BM253" s="170"/>
      <c r="BN253" s="170"/>
      <c r="BO253" s="170"/>
      <c r="BP253" s="170"/>
      <c r="BQ253" s="170"/>
      <c r="BR253" s="170"/>
      <c r="BS253" s="170"/>
      <c r="BT253" s="170"/>
      <c r="BU253" s="170"/>
      <c r="BV253" s="170"/>
      <c r="BW253" s="170"/>
      <c r="BX253" s="170"/>
      <c r="BY253" s="170"/>
      <c r="BZ253" s="170"/>
      <c r="CA253" s="170"/>
      <c r="CB253" s="170"/>
      <c r="CC253" s="170"/>
      <c r="CD253" s="170"/>
      <c r="CE253" s="170"/>
      <c r="CF253" s="170"/>
      <c r="CG253" s="170"/>
      <c r="CH253" s="170"/>
      <c r="CI253" s="170"/>
      <c r="CJ253" s="170"/>
      <c r="CK253" s="170"/>
      <c r="CL253" s="170"/>
      <c r="CM253" s="170"/>
      <c r="CN253" s="170"/>
      <c r="CO253" s="170"/>
    </row>
    <row r="254" spans="1:93">
      <c r="A254" s="9"/>
      <c r="B254" s="168"/>
      <c r="C254" s="17" t="s">
        <v>630</v>
      </c>
      <c r="D254" s="10"/>
      <c r="E254" s="62"/>
      <c r="F254" s="11"/>
      <c r="G254" s="11" t="str">
        <f>Monetary_Unit</f>
        <v>тыс. руб.</v>
      </c>
      <c r="H254" s="10"/>
      <c r="I254" s="23">
        <f ca="1">SUM(L254:CO254)</f>
        <v>0</v>
      </c>
      <c r="J254" s="10"/>
      <c r="K254" s="10"/>
      <c r="L254" s="10">
        <f t="shared" ref="L254:AQ254" ca="1" si="383" xml:space="preserve"> L246 * CAPEX_Accumulated_From_Date</f>
        <v>0</v>
      </c>
      <c r="M254" s="10">
        <f t="shared" ca="1" si="383"/>
        <v>0</v>
      </c>
      <c r="N254" s="10">
        <f t="shared" ca="1" si="383"/>
        <v>0</v>
      </c>
      <c r="O254" s="10">
        <f t="shared" ca="1" si="383"/>
        <v>0</v>
      </c>
      <c r="P254" s="10">
        <f t="shared" ca="1" si="383"/>
        <v>0</v>
      </c>
      <c r="Q254" s="10">
        <f t="shared" ca="1" si="383"/>
        <v>0</v>
      </c>
      <c r="R254" s="10">
        <f t="shared" ca="1" si="383"/>
        <v>0</v>
      </c>
      <c r="S254" s="10">
        <f t="shared" ca="1" si="383"/>
        <v>0</v>
      </c>
      <c r="T254" s="10">
        <f t="shared" ca="1" si="383"/>
        <v>0</v>
      </c>
      <c r="U254" s="10">
        <f t="shared" ca="1" si="383"/>
        <v>0</v>
      </c>
      <c r="V254" s="10">
        <f t="shared" ca="1" si="383"/>
        <v>0</v>
      </c>
      <c r="W254" s="10">
        <f t="shared" ca="1" si="383"/>
        <v>0</v>
      </c>
      <c r="X254" s="10">
        <f t="shared" ca="1" si="383"/>
        <v>0</v>
      </c>
      <c r="Y254" s="10">
        <f t="shared" ca="1" si="383"/>
        <v>0</v>
      </c>
      <c r="Z254" s="10">
        <f t="shared" ca="1" si="383"/>
        <v>0</v>
      </c>
      <c r="AA254" s="10">
        <f t="shared" ca="1" si="383"/>
        <v>0</v>
      </c>
      <c r="AB254" s="10">
        <f t="shared" ca="1" si="383"/>
        <v>0</v>
      </c>
      <c r="AC254" s="10">
        <f t="shared" ca="1" si="383"/>
        <v>0</v>
      </c>
      <c r="AD254" s="10">
        <f t="shared" ca="1" si="383"/>
        <v>0</v>
      </c>
      <c r="AE254" s="10">
        <f t="shared" ca="1" si="383"/>
        <v>0</v>
      </c>
      <c r="AF254" s="10">
        <f t="shared" ca="1" si="383"/>
        <v>0</v>
      </c>
      <c r="AG254" s="10">
        <f t="shared" ca="1" si="383"/>
        <v>0</v>
      </c>
      <c r="AH254" s="10">
        <f t="shared" ca="1" si="383"/>
        <v>0</v>
      </c>
      <c r="AI254" s="10">
        <f t="shared" ca="1" si="383"/>
        <v>0</v>
      </c>
      <c r="AJ254" s="10">
        <f t="shared" ca="1" si="383"/>
        <v>0</v>
      </c>
      <c r="AK254" s="10">
        <f t="shared" ca="1" si="383"/>
        <v>0</v>
      </c>
      <c r="AL254" s="10">
        <f t="shared" ca="1" si="383"/>
        <v>0</v>
      </c>
      <c r="AM254" s="10">
        <f t="shared" ca="1" si="383"/>
        <v>0</v>
      </c>
      <c r="AN254" s="10">
        <f t="shared" ca="1" si="383"/>
        <v>0</v>
      </c>
      <c r="AO254" s="10">
        <f t="shared" ca="1" si="383"/>
        <v>0</v>
      </c>
      <c r="AP254" s="10">
        <f t="shared" ca="1" si="383"/>
        <v>0</v>
      </c>
      <c r="AQ254" s="10">
        <f t="shared" ca="1" si="383"/>
        <v>0</v>
      </c>
      <c r="AR254" s="10">
        <f t="shared" ref="AR254:BW254" ca="1" si="384" xml:space="preserve"> AR246 * CAPEX_Accumulated_From_Date</f>
        <v>0</v>
      </c>
      <c r="AS254" s="10">
        <f t="shared" ca="1" si="384"/>
        <v>0</v>
      </c>
      <c r="AT254" s="10">
        <f t="shared" ca="1" si="384"/>
        <v>0</v>
      </c>
      <c r="AU254" s="10">
        <f t="shared" ca="1" si="384"/>
        <v>0</v>
      </c>
      <c r="AV254" s="10">
        <f t="shared" ca="1" si="384"/>
        <v>0</v>
      </c>
      <c r="AW254" s="10">
        <f t="shared" ca="1" si="384"/>
        <v>0</v>
      </c>
      <c r="AX254" s="10">
        <f t="shared" ca="1" si="384"/>
        <v>0</v>
      </c>
      <c r="AY254" s="10">
        <f t="shared" ca="1" si="384"/>
        <v>0</v>
      </c>
      <c r="AZ254" s="10">
        <f t="shared" ca="1" si="384"/>
        <v>0</v>
      </c>
      <c r="BA254" s="10">
        <f t="shared" ca="1" si="384"/>
        <v>0</v>
      </c>
      <c r="BB254" s="10">
        <f t="shared" ca="1" si="384"/>
        <v>0</v>
      </c>
      <c r="BC254" s="10">
        <f t="shared" ca="1" si="384"/>
        <v>0</v>
      </c>
      <c r="BD254" s="10">
        <f t="shared" ca="1" si="384"/>
        <v>0</v>
      </c>
      <c r="BE254" s="10">
        <f t="shared" ca="1" si="384"/>
        <v>0</v>
      </c>
      <c r="BF254" s="10">
        <f t="shared" ca="1" si="384"/>
        <v>0</v>
      </c>
      <c r="BG254" s="10">
        <f t="shared" ca="1" si="384"/>
        <v>0</v>
      </c>
      <c r="BH254" s="10">
        <f t="shared" ca="1" si="384"/>
        <v>0</v>
      </c>
      <c r="BI254" s="10">
        <f t="shared" ca="1" si="384"/>
        <v>0</v>
      </c>
      <c r="BJ254" s="10">
        <f t="shared" ca="1" si="384"/>
        <v>0</v>
      </c>
      <c r="BK254" s="10">
        <f t="shared" ca="1" si="384"/>
        <v>0</v>
      </c>
      <c r="BL254" s="10">
        <f t="shared" ca="1" si="384"/>
        <v>0</v>
      </c>
      <c r="BM254" s="10">
        <f t="shared" ca="1" si="384"/>
        <v>0</v>
      </c>
      <c r="BN254" s="10">
        <f t="shared" ca="1" si="384"/>
        <v>0</v>
      </c>
      <c r="BO254" s="10">
        <f t="shared" ca="1" si="384"/>
        <v>0</v>
      </c>
      <c r="BP254" s="10">
        <f t="shared" ca="1" si="384"/>
        <v>0</v>
      </c>
      <c r="BQ254" s="10">
        <f t="shared" ca="1" si="384"/>
        <v>0</v>
      </c>
      <c r="BR254" s="10">
        <f t="shared" ca="1" si="384"/>
        <v>0</v>
      </c>
      <c r="BS254" s="10">
        <f t="shared" ca="1" si="384"/>
        <v>0</v>
      </c>
      <c r="BT254" s="10">
        <f t="shared" ca="1" si="384"/>
        <v>0</v>
      </c>
      <c r="BU254" s="10">
        <f t="shared" ca="1" si="384"/>
        <v>0</v>
      </c>
      <c r="BV254" s="10">
        <f t="shared" ca="1" si="384"/>
        <v>0</v>
      </c>
      <c r="BW254" s="10">
        <f t="shared" ca="1" si="384"/>
        <v>0</v>
      </c>
      <c r="BX254" s="10">
        <f t="shared" ref="BX254:CO254" ca="1" si="385" xml:space="preserve"> BX246 * CAPEX_Accumulated_From_Date</f>
        <v>0</v>
      </c>
      <c r="BY254" s="10">
        <f t="shared" ca="1" si="385"/>
        <v>0</v>
      </c>
      <c r="BZ254" s="10">
        <f t="shared" ca="1" si="385"/>
        <v>0</v>
      </c>
      <c r="CA254" s="10">
        <f t="shared" ca="1" si="385"/>
        <v>0</v>
      </c>
      <c r="CB254" s="10">
        <f t="shared" ca="1" si="385"/>
        <v>0</v>
      </c>
      <c r="CC254" s="10">
        <f t="shared" ca="1" si="385"/>
        <v>0</v>
      </c>
      <c r="CD254" s="10">
        <f t="shared" ca="1" si="385"/>
        <v>0</v>
      </c>
      <c r="CE254" s="10">
        <f t="shared" ca="1" si="385"/>
        <v>0</v>
      </c>
      <c r="CF254" s="10">
        <f t="shared" ca="1" si="385"/>
        <v>0</v>
      </c>
      <c r="CG254" s="10">
        <f t="shared" ca="1" si="385"/>
        <v>0</v>
      </c>
      <c r="CH254" s="10">
        <f t="shared" ca="1" si="385"/>
        <v>0</v>
      </c>
      <c r="CI254" s="10">
        <f t="shared" ca="1" si="385"/>
        <v>0</v>
      </c>
      <c r="CJ254" s="10">
        <f t="shared" ca="1" si="385"/>
        <v>0</v>
      </c>
      <c r="CK254" s="10">
        <f t="shared" ca="1" si="385"/>
        <v>0</v>
      </c>
      <c r="CL254" s="10">
        <f t="shared" ca="1" si="385"/>
        <v>0</v>
      </c>
      <c r="CM254" s="10">
        <f t="shared" ca="1" si="385"/>
        <v>0</v>
      </c>
      <c r="CN254" s="10">
        <f t="shared" ca="1" si="385"/>
        <v>0</v>
      </c>
      <c r="CO254" s="10">
        <f t="shared" ca="1" si="385"/>
        <v>0</v>
      </c>
    </row>
    <row r="255" spans="1:93">
      <c r="A255" s="9"/>
      <c r="B255" s="168"/>
      <c r="C255" s="17" t="s">
        <v>632</v>
      </c>
      <c r="D255" s="10"/>
      <c r="E255" s="62"/>
      <c r="F255" s="11"/>
      <c r="G255" s="11" t="str">
        <f>Monetary_Unit</f>
        <v>тыс. руб.</v>
      </c>
      <c r="H255" s="10"/>
      <c r="I255" s="23">
        <f ca="1">SUM(L255:CO255)</f>
        <v>0</v>
      </c>
      <c r="J255" s="10"/>
      <c r="K255" s="10"/>
      <c r="L255" s="10">
        <f t="shared" ref="L255:AQ255" ca="1" si="386" xml:space="preserve"> L247 * CAPEX_Accumulated_From_Date</f>
        <v>0</v>
      </c>
      <c r="M255" s="10">
        <f t="shared" ca="1" si="386"/>
        <v>0</v>
      </c>
      <c r="N255" s="10">
        <f t="shared" ca="1" si="386"/>
        <v>0</v>
      </c>
      <c r="O255" s="10">
        <f t="shared" ca="1" si="386"/>
        <v>0</v>
      </c>
      <c r="P255" s="10">
        <f t="shared" ca="1" si="386"/>
        <v>0</v>
      </c>
      <c r="Q255" s="10">
        <f t="shared" ca="1" si="386"/>
        <v>0</v>
      </c>
      <c r="R255" s="10">
        <f t="shared" ca="1" si="386"/>
        <v>0</v>
      </c>
      <c r="S255" s="10">
        <f t="shared" ca="1" si="386"/>
        <v>0</v>
      </c>
      <c r="T255" s="10">
        <f t="shared" ca="1" si="386"/>
        <v>0</v>
      </c>
      <c r="U255" s="10">
        <f t="shared" ca="1" si="386"/>
        <v>0</v>
      </c>
      <c r="V255" s="10">
        <f t="shared" ca="1" si="386"/>
        <v>0</v>
      </c>
      <c r="W255" s="10">
        <f t="shared" ca="1" si="386"/>
        <v>0</v>
      </c>
      <c r="X255" s="10">
        <f t="shared" ca="1" si="386"/>
        <v>0</v>
      </c>
      <c r="Y255" s="10">
        <f t="shared" ca="1" si="386"/>
        <v>0</v>
      </c>
      <c r="Z255" s="10">
        <f t="shared" ca="1" si="386"/>
        <v>0</v>
      </c>
      <c r="AA255" s="10">
        <f t="shared" ca="1" si="386"/>
        <v>0</v>
      </c>
      <c r="AB255" s="10">
        <f t="shared" ca="1" si="386"/>
        <v>0</v>
      </c>
      <c r="AC255" s="10">
        <f t="shared" ca="1" si="386"/>
        <v>0</v>
      </c>
      <c r="AD255" s="10">
        <f t="shared" ca="1" si="386"/>
        <v>0</v>
      </c>
      <c r="AE255" s="10">
        <f t="shared" ca="1" si="386"/>
        <v>0</v>
      </c>
      <c r="AF255" s="10">
        <f t="shared" ca="1" si="386"/>
        <v>0</v>
      </c>
      <c r="AG255" s="10">
        <f t="shared" ca="1" si="386"/>
        <v>0</v>
      </c>
      <c r="AH255" s="10">
        <f t="shared" ca="1" si="386"/>
        <v>0</v>
      </c>
      <c r="AI255" s="10">
        <f t="shared" ca="1" si="386"/>
        <v>0</v>
      </c>
      <c r="AJ255" s="10">
        <f t="shared" ca="1" si="386"/>
        <v>0</v>
      </c>
      <c r="AK255" s="10">
        <f t="shared" ca="1" si="386"/>
        <v>0</v>
      </c>
      <c r="AL255" s="10">
        <f t="shared" ca="1" si="386"/>
        <v>0</v>
      </c>
      <c r="AM255" s="10">
        <f t="shared" ca="1" si="386"/>
        <v>0</v>
      </c>
      <c r="AN255" s="10">
        <f t="shared" ca="1" si="386"/>
        <v>0</v>
      </c>
      <c r="AO255" s="10">
        <f t="shared" ca="1" si="386"/>
        <v>0</v>
      </c>
      <c r="AP255" s="10">
        <f t="shared" ca="1" si="386"/>
        <v>0</v>
      </c>
      <c r="AQ255" s="10">
        <f t="shared" ca="1" si="386"/>
        <v>0</v>
      </c>
      <c r="AR255" s="10">
        <f t="shared" ref="AR255:BW255" ca="1" si="387" xml:space="preserve"> AR247 * CAPEX_Accumulated_From_Date</f>
        <v>0</v>
      </c>
      <c r="AS255" s="10">
        <f t="shared" ca="1" si="387"/>
        <v>0</v>
      </c>
      <c r="AT255" s="10">
        <f t="shared" ca="1" si="387"/>
        <v>0</v>
      </c>
      <c r="AU255" s="10">
        <f t="shared" ca="1" si="387"/>
        <v>0</v>
      </c>
      <c r="AV255" s="10">
        <f t="shared" ca="1" si="387"/>
        <v>0</v>
      </c>
      <c r="AW255" s="10">
        <f t="shared" ca="1" si="387"/>
        <v>0</v>
      </c>
      <c r="AX255" s="10">
        <f t="shared" ca="1" si="387"/>
        <v>0</v>
      </c>
      <c r="AY255" s="10">
        <f t="shared" ca="1" si="387"/>
        <v>0</v>
      </c>
      <c r="AZ255" s="10">
        <f t="shared" ca="1" si="387"/>
        <v>0</v>
      </c>
      <c r="BA255" s="10">
        <f t="shared" ca="1" si="387"/>
        <v>0</v>
      </c>
      <c r="BB255" s="10">
        <f t="shared" ca="1" si="387"/>
        <v>0</v>
      </c>
      <c r="BC255" s="10">
        <f t="shared" ca="1" si="387"/>
        <v>0</v>
      </c>
      <c r="BD255" s="10">
        <f t="shared" ca="1" si="387"/>
        <v>0</v>
      </c>
      <c r="BE255" s="10">
        <f t="shared" ca="1" si="387"/>
        <v>0</v>
      </c>
      <c r="BF255" s="10">
        <f t="shared" ca="1" si="387"/>
        <v>0</v>
      </c>
      <c r="BG255" s="10">
        <f t="shared" ca="1" si="387"/>
        <v>0</v>
      </c>
      <c r="BH255" s="10">
        <f t="shared" ca="1" si="387"/>
        <v>0</v>
      </c>
      <c r="BI255" s="10">
        <f t="shared" ca="1" si="387"/>
        <v>0</v>
      </c>
      <c r="BJ255" s="10">
        <f t="shared" ca="1" si="387"/>
        <v>0</v>
      </c>
      <c r="BK255" s="10">
        <f t="shared" ca="1" si="387"/>
        <v>0</v>
      </c>
      <c r="BL255" s="10">
        <f t="shared" ca="1" si="387"/>
        <v>0</v>
      </c>
      <c r="BM255" s="10">
        <f t="shared" ca="1" si="387"/>
        <v>0</v>
      </c>
      <c r="BN255" s="10">
        <f t="shared" ca="1" si="387"/>
        <v>0</v>
      </c>
      <c r="BO255" s="10">
        <f t="shared" ca="1" si="387"/>
        <v>0</v>
      </c>
      <c r="BP255" s="10">
        <f t="shared" ca="1" si="387"/>
        <v>0</v>
      </c>
      <c r="BQ255" s="10">
        <f t="shared" ca="1" si="387"/>
        <v>0</v>
      </c>
      <c r="BR255" s="10">
        <f t="shared" ca="1" si="387"/>
        <v>0</v>
      </c>
      <c r="BS255" s="10">
        <f t="shared" ca="1" si="387"/>
        <v>0</v>
      </c>
      <c r="BT255" s="10">
        <f t="shared" ca="1" si="387"/>
        <v>0</v>
      </c>
      <c r="BU255" s="10">
        <f t="shared" ca="1" si="387"/>
        <v>0</v>
      </c>
      <c r="BV255" s="10">
        <f t="shared" ca="1" si="387"/>
        <v>0</v>
      </c>
      <c r="BW255" s="10">
        <f t="shared" ca="1" si="387"/>
        <v>0</v>
      </c>
      <c r="BX255" s="10">
        <f t="shared" ref="BX255:CO255" ca="1" si="388" xml:space="preserve"> BX247 * CAPEX_Accumulated_From_Date</f>
        <v>0</v>
      </c>
      <c r="BY255" s="10">
        <f t="shared" ca="1" si="388"/>
        <v>0</v>
      </c>
      <c r="BZ255" s="10">
        <f t="shared" ca="1" si="388"/>
        <v>0</v>
      </c>
      <c r="CA255" s="10">
        <f t="shared" ca="1" si="388"/>
        <v>0</v>
      </c>
      <c r="CB255" s="10">
        <f t="shared" ca="1" si="388"/>
        <v>0</v>
      </c>
      <c r="CC255" s="10">
        <f t="shared" ca="1" si="388"/>
        <v>0</v>
      </c>
      <c r="CD255" s="10">
        <f t="shared" ca="1" si="388"/>
        <v>0</v>
      </c>
      <c r="CE255" s="10">
        <f t="shared" ca="1" si="388"/>
        <v>0</v>
      </c>
      <c r="CF255" s="10">
        <f t="shared" ca="1" si="388"/>
        <v>0</v>
      </c>
      <c r="CG255" s="10">
        <f t="shared" ca="1" si="388"/>
        <v>0</v>
      </c>
      <c r="CH255" s="10">
        <f t="shared" ca="1" si="388"/>
        <v>0</v>
      </c>
      <c r="CI255" s="10">
        <f t="shared" ca="1" si="388"/>
        <v>0</v>
      </c>
      <c r="CJ255" s="10">
        <f t="shared" ca="1" si="388"/>
        <v>0</v>
      </c>
      <c r="CK255" s="10">
        <f t="shared" ca="1" si="388"/>
        <v>0</v>
      </c>
      <c r="CL255" s="10">
        <f t="shared" ca="1" si="388"/>
        <v>0</v>
      </c>
      <c r="CM255" s="10">
        <f t="shared" ca="1" si="388"/>
        <v>0</v>
      </c>
      <c r="CN255" s="10">
        <f t="shared" ca="1" si="388"/>
        <v>0</v>
      </c>
      <c r="CO255" s="10">
        <f t="shared" ca="1" si="388"/>
        <v>0</v>
      </c>
    </row>
    <row r="256" spans="1:93">
      <c r="A256" s="9"/>
      <c r="B256" s="168"/>
      <c r="C256" s="17" t="s">
        <v>821</v>
      </c>
      <c r="D256" s="10"/>
      <c r="E256" s="62"/>
      <c r="F256" s="11"/>
      <c r="G256" s="11" t="str">
        <f>Monetary_Unit</f>
        <v>тыс. руб.</v>
      </c>
      <c r="H256" s="10"/>
      <c r="I256" s="23">
        <f ca="1">SUM(L256:CO256)</f>
        <v>0</v>
      </c>
      <c r="J256" s="10"/>
      <c r="K256" s="10"/>
      <c r="L256" s="10">
        <f t="shared" ref="L256:AQ256" ca="1" si="389" xml:space="preserve"> L248 * CAPEX_Accumulated_From_Date</f>
        <v>0</v>
      </c>
      <c r="M256" s="10">
        <f t="shared" ca="1" si="389"/>
        <v>0</v>
      </c>
      <c r="N256" s="10">
        <f t="shared" ca="1" si="389"/>
        <v>0</v>
      </c>
      <c r="O256" s="10">
        <f t="shared" ca="1" si="389"/>
        <v>0</v>
      </c>
      <c r="P256" s="10">
        <f t="shared" ca="1" si="389"/>
        <v>0</v>
      </c>
      <c r="Q256" s="10">
        <f t="shared" ca="1" si="389"/>
        <v>0</v>
      </c>
      <c r="R256" s="10">
        <f t="shared" ca="1" si="389"/>
        <v>0</v>
      </c>
      <c r="S256" s="10">
        <f t="shared" ca="1" si="389"/>
        <v>0</v>
      </c>
      <c r="T256" s="10">
        <f t="shared" ca="1" si="389"/>
        <v>0</v>
      </c>
      <c r="U256" s="10">
        <f t="shared" ca="1" si="389"/>
        <v>0</v>
      </c>
      <c r="V256" s="10">
        <f t="shared" ca="1" si="389"/>
        <v>0</v>
      </c>
      <c r="W256" s="10">
        <f t="shared" ca="1" si="389"/>
        <v>0</v>
      </c>
      <c r="X256" s="10">
        <f t="shared" ca="1" si="389"/>
        <v>0</v>
      </c>
      <c r="Y256" s="10">
        <f t="shared" ca="1" si="389"/>
        <v>0</v>
      </c>
      <c r="Z256" s="10">
        <f t="shared" ca="1" si="389"/>
        <v>0</v>
      </c>
      <c r="AA256" s="10">
        <f t="shared" ca="1" si="389"/>
        <v>0</v>
      </c>
      <c r="AB256" s="10">
        <f t="shared" ca="1" si="389"/>
        <v>0</v>
      </c>
      <c r="AC256" s="10">
        <f t="shared" ca="1" si="389"/>
        <v>0</v>
      </c>
      <c r="AD256" s="10">
        <f t="shared" ca="1" si="389"/>
        <v>0</v>
      </c>
      <c r="AE256" s="10">
        <f t="shared" ca="1" si="389"/>
        <v>0</v>
      </c>
      <c r="AF256" s="10">
        <f t="shared" ca="1" si="389"/>
        <v>0</v>
      </c>
      <c r="AG256" s="10">
        <f t="shared" ca="1" si="389"/>
        <v>0</v>
      </c>
      <c r="AH256" s="10">
        <f t="shared" ca="1" si="389"/>
        <v>0</v>
      </c>
      <c r="AI256" s="10">
        <f t="shared" ca="1" si="389"/>
        <v>0</v>
      </c>
      <c r="AJ256" s="10">
        <f t="shared" ca="1" si="389"/>
        <v>0</v>
      </c>
      <c r="AK256" s="10">
        <f t="shared" ca="1" si="389"/>
        <v>0</v>
      </c>
      <c r="AL256" s="10">
        <f t="shared" ca="1" si="389"/>
        <v>0</v>
      </c>
      <c r="AM256" s="10">
        <f t="shared" ca="1" si="389"/>
        <v>0</v>
      </c>
      <c r="AN256" s="10">
        <f t="shared" ca="1" si="389"/>
        <v>0</v>
      </c>
      <c r="AO256" s="10">
        <f t="shared" ca="1" si="389"/>
        <v>0</v>
      </c>
      <c r="AP256" s="10">
        <f t="shared" ca="1" si="389"/>
        <v>0</v>
      </c>
      <c r="AQ256" s="10">
        <f t="shared" ca="1" si="389"/>
        <v>0</v>
      </c>
      <c r="AR256" s="10">
        <f t="shared" ref="AR256:BW256" ca="1" si="390" xml:space="preserve"> AR248 * CAPEX_Accumulated_From_Date</f>
        <v>0</v>
      </c>
      <c r="AS256" s="10">
        <f t="shared" ca="1" si="390"/>
        <v>0</v>
      </c>
      <c r="AT256" s="10">
        <f t="shared" ca="1" si="390"/>
        <v>0</v>
      </c>
      <c r="AU256" s="10">
        <f t="shared" ca="1" si="390"/>
        <v>0</v>
      </c>
      <c r="AV256" s="10">
        <f t="shared" ca="1" si="390"/>
        <v>0</v>
      </c>
      <c r="AW256" s="10">
        <f t="shared" ca="1" si="390"/>
        <v>0</v>
      </c>
      <c r="AX256" s="10">
        <f t="shared" ca="1" si="390"/>
        <v>0</v>
      </c>
      <c r="AY256" s="10">
        <f t="shared" ca="1" si="390"/>
        <v>0</v>
      </c>
      <c r="AZ256" s="10">
        <f t="shared" ca="1" si="390"/>
        <v>0</v>
      </c>
      <c r="BA256" s="10">
        <f t="shared" ca="1" si="390"/>
        <v>0</v>
      </c>
      <c r="BB256" s="10">
        <f t="shared" ca="1" si="390"/>
        <v>0</v>
      </c>
      <c r="BC256" s="10">
        <f t="shared" ca="1" si="390"/>
        <v>0</v>
      </c>
      <c r="BD256" s="10">
        <f t="shared" ca="1" si="390"/>
        <v>0</v>
      </c>
      <c r="BE256" s="10">
        <f t="shared" ca="1" si="390"/>
        <v>0</v>
      </c>
      <c r="BF256" s="10">
        <f t="shared" ca="1" si="390"/>
        <v>0</v>
      </c>
      <c r="BG256" s="10">
        <f t="shared" ca="1" si="390"/>
        <v>0</v>
      </c>
      <c r="BH256" s="10">
        <f t="shared" ca="1" si="390"/>
        <v>0</v>
      </c>
      <c r="BI256" s="10">
        <f t="shared" ca="1" si="390"/>
        <v>0</v>
      </c>
      <c r="BJ256" s="10">
        <f t="shared" ca="1" si="390"/>
        <v>0</v>
      </c>
      <c r="BK256" s="10">
        <f t="shared" ca="1" si="390"/>
        <v>0</v>
      </c>
      <c r="BL256" s="10">
        <f t="shared" ca="1" si="390"/>
        <v>0</v>
      </c>
      <c r="BM256" s="10">
        <f t="shared" ca="1" si="390"/>
        <v>0</v>
      </c>
      <c r="BN256" s="10">
        <f t="shared" ca="1" si="390"/>
        <v>0</v>
      </c>
      <c r="BO256" s="10">
        <f t="shared" ca="1" si="390"/>
        <v>0</v>
      </c>
      <c r="BP256" s="10">
        <f t="shared" ca="1" si="390"/>
        <v>0</v>
      </c>
      <c r="BQ256" s="10">
        <f t="shared" ca="1" si="390"/>
        <v>0</v>
      </c>
      <c r="BR256" s="10">
        <f t="shared" ca="1" si="390"/>
        <v>0</v>
      </c>
      <c r="BS256" s="10">
        <f t="shared" ca="1" si="390"/>
        <v>0</v>
      </c>
      <c r="BT256" s="10">
        <f t="shared" ca="1" si="390"/>
        <v>0</v>
      </c>
      <c r="BU256" s="10">
        <f t="shared" ca="1" si="390"/>
        <v>0</v>
      </c>
      <c r="BV256" s="10">
        <f t="shared" ca="1" si="390"/>
        <v>0</v>
      </c>
      <c r="BW256" s="10">
        <f t="shared" ca="1" si="390"/>
        <v>0</v>
      </c>
      <c r="BX256" s="10">
        <f t="shared" ref="BX256:CO256" ca="1" si="391" xml:space="preserve"> BX248 * CAPEX_Accumulated_From_Date</f>
        <v>0</v>
      </c>
      <c r="BY256" s="10">
        <f t="shared" ca="1" si="391"/>
        <v>0</v>
      </c>
      <c r="BZ256" s="10">
        <f t="shared" ca="1" si="391"/>
        <v>0</v>
      </c>
      <c r="CA256" s="10">
        <f t="shared" ca="1" si="391"/>
        <v>0</v>
      </c>
      <c r="CB256" s="10">
        <f t="shared" ca="1" si="391"/>
        <v>0</v>
      </c>
      <c r="CC256" s="10">
        <f t="shared" ca="1" si="391"/>
        <v>0</v>
      </c>
      <c r="CD256" s="10">
        <f t="shared" ca="1" si="391"/>
        <v>0</v>
      </c>
      <c r="CE256" s="10">
        <f t="shared" ca="1" si="391"/>
        <v>0</v>
      </c>
      <c r="CF256" s="10">
        <f t="shared" ca="1" si="391"/>
        <v>0</v>
      </c>
      <c r="CG256" s="10">
        <f t="shared" ca="1" si="391"/>
        <v>0</v>
      </c>
      <c r="CH256" s="10">
        <f t="shared" ca="1" si="391"/>
        <v>0</v>
      </c>
      <c r="CI256" s="10">
        <f t="shared" ca="1" si="391"/>
        <v>0</v>
      </c>
      <c r="CJ256" s="10">
        <f t="shared" ca="1" si="391"/>
        <v>0</v>
      </c>
      <c r="CK256" s="10">
        <f t="shared" ca="1" si="391"/>
        <v>0</v>
      </c>
      <c r="CL256" s="10">
        <f t="shared" ca="1" si="391"/>
        <v>0</v>
      </c>
      <c r="CM256" s="10">
        <f t="shared" ca="1" si="391"/>
        <v>0</v>
      </c>
      <c r="CN256" s="10">
        <f t="shared" ca="1" si="391"/>
        <v>0</v>
      </c>
      <c r="CO256" s="10">
        <f t="shared" ca="1" si="391"/>
        <v>0</v>
      </c>
    </row>
    <row r="257" spans="1:93" ht="15.75" thickBot="1">
      <c r="A257" s="9"/>
      <c r="B257" s="168"/>
      <c r="C257" s="17" t="s">
        <v>797</v>
      </c>
      <c r="D257" s="10"/>
      <c r="E257" s="62"/>
      <c r="F257" s="11"/>
      <c r="G257" s="11" t="str">
        <f>Monetary_Unit</f>
        <v>тыс. руб.</v>
      </c>
      <c r="H257" s="10"/>
      <c r="I257" s="23">
        <f ca="1">SUM(L257:CO257)</f>
        <v>0</v>
      </c>
      <c r="J257" s="10"/>
      <c r="K257" s="10"/>
      <c r="L257" s="10">
        <f t="shared" ref="L257:AQ257" ca="1" si="392" xml:space="preserve"> L249 * CAPEX_Accumulated_From_Date</f>
        <v>0</v>
      </c>
      <c r="M257" s="10">
        <f t="shared" ca="1" si="392"/>
        <v>0</v>
      </c>
      <c r="N257" s="10">
        <f t="shared" ca="1" si="392"/>
        <v>0</v>
      </c>
      <c r="O257" s="10">
        <f t="shared" ca="1" si="392"/>
        <v>0</v>
      </c>
      <c r="P257" s="10">
        <f t="shared" ca="1" si="392"/>
        <v>0</v>
      </c>
      <c r="Q257" s="10">
        <f t="shared" ca="1" si="392"/>
        <v>0</v>
      </c>
      <c r="R257" s="10">
        <f t="shared" ca="1" si="392"/>
        <v>0</v>
      </c>
      <c r="S257" s="10">
        <f t="shared" ca="1" si="392"/>
        <v>0</v>
      </c>
      <c r="T257" s="10">
        <f t="shared" ca="1" si="392"/>
        <v>0</v>
      </c>
      <c r="U257" s="10">
        <f t="shared" ca="1" si="392"/>
        <v>0</v>
      </c>
      <c r="V257" s="10">
        <f t="shared" ca="1" si="392"/>
        <v>0</v>
      </c>
      <c r="W257" s="10">
        <f t="shared" ca="1" si="392"/>
        <v>0</v>
      </c>
      <c r="X257" s="10">
        <f t="shared" ca="1" si="392"/>
        <v>0</v>
      </c>
      <c r="Y257" s="10">
        <f t="shared" ca="1" si="392"/>
        <v>0</v>
      </c>
      <c r="Z257" s="10">
        <f t="shared" ca="1" si="392"/>
        <v>0</v>
      </c>
      <c r="AA257" s="10">
        <f t="shared" ca="1" si="392"/>
        <v>0</v>
      </c>
      <c r="AB257" s="10">
        <f t="shared" ca="1" si="392"/>
        <v>0</v>
      </c>
      <c r="AC257" s="10">
        <f t="shared" ca="1" si="392"/>
        <v>0</v>
      </c>
      <c r="AD257" s="10">
        <f t="shared" ca="1" si="392"/>
        <v>0</v>
      </c>
      <c r="AE257" s="10">
        <f t="shared" ca="1" si="392"/>
        <v>0</v>
      </c>
      <c r="AF257" s="10">
        <f t="shared" ca="1" si="392"/>
        <v>0</v>
      </c>
      <c r="AG257" s="10">
        <f t="shared" ca="1" si="392"/>
        <v>0</v>
      </c>
      <c r="AH257" s="10">
        <f t="shared" ca="1" si="392"/>
        <v>0</v>
      </c>
      <c r="AI257" s="10">
        <f t="shared" ca="1" si="392"/>
        <v>0</v>
      </c>
      <c r="AJ257" s="10">
        <f t="shared" ca="1" si="392"/>
        <v>0</v>
      </c>
      <c r="AK257" s="10">
        <f t="shared" ca="1" si="392"/>
        <v>0</v>
      </c>
      <c r="AL257" s="10">
        <f t="shared" ca="1" si="392"/>
        <v>0</v>
      </c>
      <c r="AM257" s="10">
        <f t="shared" ca="1" si="392"/>
        <v>0</v>
      </c>
      <c r="AN257" s="10">
        <f t="shared" ca="1" si="392"/>
        <v>0</v>
      </c>
      <c r="AO257" s="10">
        <f t="shared" ca="1" si="392"/>
        <v>0</v>
      </c>
      <c r="AP257" s="10">
        <f t="shared" ca="1" si="392"/>
        <v>0</v>
      </c>
      <c r="AQ257" s="10">
        <f t="shared" ca="1" si="392"/>
        <v>0</v>
      </c>
      <c r="AR257" s="10">
        <f t="shared" ref="AR257:BW257" ca="1" si="393" xml:space="preserve"> AR249 * CAPEX_Accumulated_From_Date</f>
        <v>0</v>
      </c>
      <c r="AS257" s="10">
        <f t="shared" ca="1" si="393"/>
        <v>0</v>
      </c>
      <c r="AT257" s="10">
        <f t="shared" ca="1" si="393"/>
        <v>0</v>
      </c>
      <c r="AU257" s="10">
        <f t="shared" ca="1" si="393"/>
        <v>0</v>
      </c>
      <c r="AV257" s="10">
        <f t="shared" ca="1" si="393"/>
        <v>0</v>
      </c>
      <c r="AW257" s="10">
        <f t="shared" ca="1" si="393"/>
        <v>0</v>
      </c>
      <c r="AX257" s="10">
        <f t="shared" ca="1" si="393"/>
        <v>0</v>
      </c>
      <c r="AY257" s="10">
        <f t="shared" ca="1" si="393"/>
        <v>0</v>
      </c>
      <c r="AZ257" s="10">
        <f t="shared" ca="1" si="393"/>
        <v>0</v>
      </c>
      <c r="BA257" s="10">
        <f t="shared" ca="1" si="393"/>
        <v>0</v>
      </c>
      <c r="BB257" s="10">
        <f t="shared" ca="1" si="393"/>
        <v>0</v>
      </c>
      <c r="BC257" s="10">
        <f t="shared" ca="1" si="393"/>
        <v>0</v>
      </c>
      <c r="BD257" s="10">
        <f t="shared" ca="1" si="393"/>
        <v>0</v>
      </c>
      <c r="BE257" s="10">
        <f t="shared" ca="1" si="393"/>
        <v>0</v>
      </c>
      <c r="BF257" s="10">
        <f t="shared" ca="1" si="393"/>
        <v>0</v>
      </c>
      <c r="BG257" s="10">
        <f t="shared" ca="1" si="393"/>
        <v>0</v>
      </c>
      <c r="BH257" s="10">
        <f t="shared" ca="1" si="393"/>
        <v>0</v>
      </c>
      <c r="BI257" s="10">
        <f t="shared" ca="1" si="393"/>
        <v>0</v>
      </c>
      <c r="BJ257" s="10">
        <f t="shared" ca="1" si="393"/>
        <v>0</v>
      </c>
      <c r="BK257" s="10">
        <f t="shared" ca="1" si="393"/>
        <v>0</v>
      </c>
      <c r="BL257" s="10">
        <f t="shared" ca="1" si="393"/>
        <v>0</v>
      </c>
      <c r="BM257" s="10">
        <f t="shared" ca="1" si="393"/>
        <v>0</v>
      </c>
      <c r="BN257" s="10">
        <f t="shared" ca="1" si="393"/>
        <v>0</v>
      </c>
      <c r="BO257" s="10">
        <f t="shared" ca="1" si="393"/>
        <v>0</v>
      </c>
      <c r="BP257" s="10">
        <f t="shared" ca="1" si="393"/>
        <v>0</v>
      </c>
      <c r="BQ257" s="10">
        <f t="shared" ca="1" si="393"/>
        <v>0</v>
      </c>
      <c r="BR257" s="10">
        <f t="shared" ca="1" si="393"/>
        <v>0</v>
      </c>
      <c r="BS257" s="10">
        <f t="shared" ca="1" si="393"/>
        <v>0</v>
      </c>
      <c r="BT257" s="10">
        <f t="shared" ca="1" si="393"/>
        <v>0</v>
      </c>
      <c r="BU257" s="10">
        <f t="shared" ca="1" si="393"/>
        <v>0</v>
      </c>
      <c r="BV257" s="10">
        <f t="shared" ca="1" si="393"/>
        <v>0</v>
      </c>
      <c r="BW257" s="10">
        <f t="shared" ca="1" si="393"/>
        <v>0</v>
      </c>
      <c r="BX257" s="10">
        <f t="shared" ref="BX257:CO257" ca="1" si="394" xml:space="preserve"> BX249 * CAPEX_Accumulated_From_Date</f>
        <v>0</v>
      </c>
      <c r="BY257" s="10">
        <f t="shared" ca="1" si="394"/>
        <v>0</v>
      </c>
      <c r="BZ257" s="10">
        <f t="shared" ca="1" si="394"/>
        <v>0</v>
      </c>
      <c r="CA257" s="10">
        <f t="shared" ca="1" si="394"/>
        <v>0</v>
      </c>
      <c r="CB257" s="10">
        <f t="shared" ca="1" si="394"/>
        <v>0</v>
      </c>
      <c r="CC257" s="10">
        <f t="shared" ca="1" si="394"/>
        <v>0</v>
      </c>
      <c r="CD257" s="10">
        <f t="shared" ca="1" si="394"/>
        <v>0</v>
      </c>
      <c r="CE257" s="10">
        <f t="shared" ca="1" si="394"/>
        <v>0</v>
      </c>
      <c r="CF257" s="10">
        <f t="shared" ca="1" si="394"/>
        <v>0</v>
      </c>
      <c r="CG257" s="10">
        <f t="shared" ca="1" si="394"/>
        <v>0</v>
      </c>
      <c r="CH257" s="10">
        <f t="shared" ca="1" si="394"/>
        <v>0</v>
      </c>
      <c r="CI257" s="10">
        <f t="shared" ca="1" si="394"/>
        <v>0</v>
      </c>
      <c r="CJ257" s="10">
        <f t="shared" ca="1" si="394"/>
        <v>0</v>
      </c>
      <c r="CK257" s="10">
        <f t="shared" ca="1" si="394"/>
        <v>0</v>
      </c>
      <c r="CL257" s="10">
        <f t="shared" ca="1" si="394"/>
        <v>0</v>
      </c>
      <c r="CM257" s="10">
        <f t="shared" ca="1" si="394"/>
        <v>0</v>
      </c>
      <c r="CN257" s="10">
        <f t="shared" ca="1" si="394"/>
        <v>0</v>
      </c>
      <c r="CO257" s="10">
        <f t="shared" ca="1" si="394"/>
        <v>0</v>
      </c>
    </row>
    <row r="258" spans="1:93" ht="15.75" thickTop="1">
      <c r="A258" s="77"/>
      <c r="B258" s="101"/>
      <c r="C258" s="49" t="s">
        <v>831</v>
      </c>
      <c r="D258" s="49"/>
      <c r="E258" s="136"/>
      <c r="F258" s="49"/>
      <c r="G258" s="159" t="str">
        <f xml:space="preserve"> Monetary_Unit</f>
        <v>тыс. руб.</v>
      </c>
      <c r="H258" s="49"/>
      <c r="I258" s="23">
        <f ca="1">SUM(L258:CO258)</f>
        <v>0</v>
      </c>
      <c r="J258" s="49"/>
      <c r="K258" s="49"/>
      <c r="L258" s="49">
        <f t="shared" ref="L258:R258" ca="1" si="395" xml:space="preserve"> SUM(L254:L257)</f>
        <v>0</v>
      </c>
      <c r="M258" s="49">
        <f t="shared" ca="1" si="395"/>
        <v>0</v>
      </c>
      <c r="N258" s="49">
        <f t="shared" ca="1" si="395"/>
        <v>0</v>
      </c>
      <c r="O258" s="49">
        <f t="shared" ca="1" si="395"/>
        <v>0</v>
      </c>
      <c r="P258" s="49">
        <f t="shared" ca="1" si="395"/>
        <v>0</v>
      </c>
      <c r="Q258" s="49">
        <f t="shared" ca="1" si="395"/>
        <v>0</v>
      </c>
      <c r="R258" s="49">
        <f t="shared" ca="1" si="395"/>
        <v>0</v>
      </c>
      <c r="S258" s="49">
        <f ca="1" xml:space="preserve"> SUM(S254:S257)</f>
        <v>0</v>
      </c>
      <c r="T258" s="49">
        <f t="shared" ref="T258:CE258" ca="1" si="396" xml:space="preserve"> SUM(T254:T257)</f>
        <v>0</v>
      </c>
      <c r="U258" s="49">
        <f t="shared" ca="1" si="396"/>
        <v>0</v>
      </c>
      <c r="V258" s="49">
        <f t="shared" ca="1" si="396"/>
        <v>0</v>
      </c>
      <c r="W258" s="49">
        <f t="shared" ca="1" si="396"/>
        <v>0</v>
      </c>
      <c r="X258" s="49">
        <f t="shared" ca="1" si="396"/>
        <v>0</v>
      </c>
      <c r="Y258" s="49">
        <f t="shared" ca="1" si="396"/>
        <v>0</v>
      </c>
      <c r="Z258" s="49">
        <f t="shared" ca="1" si="396"/>
        <v>0</v>
      </c>
      <c r="AA258" s="49">
        <f t="shared" ca="1" si="396"/>
        <v>0</v>
      </c>
      <c r="AB258" s="49">
        <f t="shared" ca="1" si="396"/>
        <v>0</v>
      </c>
      <c r="AC258" s="49">
        <f t="shared" ca="1" si="396"/>
        <v>0</v>
      </c>
      <c r="AD258" s="49">
        <f t="shared" ca="1" si="396"/>
        <v>0</v>
      </c>
      <c r="AE258" s="49">
        <f t="shared" ca="1" si="396"/>
        <v>0</v>
      </c>
      <c r="AF258" s="49">
        <f t="shared" ca="1" si="396"/>
        <v>0</v>
      </c>
      <c r="AG258" s="49">
        <f t="shared" ca="1" si="396"/>
        <v>0</v>
      </c>
      <c r="AH258" s="49">
        <f t="shared" ca="1" si="396"/>
        <v>0</v>
      </c>
      <c r="AI258" s="49">
        <f t="shared" ca="1" si="396"/>
        <v>0</v>
      </c>
      <c r="AJ258" s="49">
        <f t="shared" ca="1" si="396"/>
        <v>0</v>
      </c>
      <c r="AK258" s="49">
        <f t="shared" ca="1" si="396"/>
        <v>0</v>
      </c>
      <c r="AL258" s="49">
        <f t="shared" ca="1" si="396"/>
        <v>0</v>
      </c>
      <c r="AM258" s="49">
        <f t="shared" ca="1" si="396"/>
        <v>0</v>
      </c>
      <c r="AN258" s="49">
        <f t="shared" ca="1" si="396"/>
        <v>0</v>
      </c>
      <c r="AO258" s="49">
        <f t="shared" ca="1" si="396"/>
        <v>0</v>
      </c>
      <c r="AP258" s="49">
        <f t="shared" ca="1" si="396"/>
        <v>0</v>
      </c>
      <c r="AQ258" s="49">
        <f t="shared" ca="1" si="396"/>
        <v>0</v>
      </c>
      <c r="AR258" s="49">
        <f t="shared" ca="1" si="396"/>
        <v>0</v>
      </c>
      <c r="AS258" s="49">
        <f t="shared" ca="1" si="396"/>
        <v>0</v>
      </c>
      <c r="AT258" s="49">
        <f t="shared" ca="1" si="396"/>
        <v>0</v>
      </c>
      <c r="AU258" s="49">
        <f t="shared" ca="1" si="396"/>
        <v>0</v>
      </c>
      <c r="AV258" s="49">
        <f t="shared" ca="1" si="396"/>
        <v>0</v>
      </c>
      <c r="AW258" s="49">
        <f t="shared" ca="1" si="396"/>
        <v>0</v>
      </c>
      <c r="AX258" s="49">
        <f t="shared" ca="1" si="396"/>
        <v>0</v>
      </c>
      <c r="AY258" s="49">
        <f t="shared" ca="1" si="396"/>
        <v>0</v>
      </c>
      <c r="AZ258" s="49">
        <f t="shared" ca="1" si="396"/>
        <v>0</v>
      </c>
      <c r="BA258" s="49">
        <f t="shared" ca="1" si="396"/>
        <v>0</v>
      </c>
      <c r="BB258" s="49">
        <f t="shared" ca="1" si="396"/>
        <v>0</v>
      </c>
      <c r="BC258" s="49">
        <f t="shared" ca="1" si="396"/>
        <v>0</v>
      </c>
      <c r="BD258" s="49">
        <f t="shared" ca="1" si="396"/>
        <v>0</v>
      </c>
      <c r="BE258" s="49">
        <f t="shared" ca="1" si="396"/>
        <v>0</v>
      </c>
      <c r="BF258" s="49">
        <f t="shared" ca="1" si="396"/>
        <v>0</v>
      </c>
      <c r="BG258" s="49">
        <f t="shared" ca="1" si="396"/>
        <v>0</v>
      </c>
      <c r="BH258" s="49">
        <f t="shared" ca="1" si="396"/>
        <v>0</v>
      </c>
      <c r="BI258" s="49">
        <f t="shared" ca="1" si="396"/>
        <v>0</v>
      </c>
      <c r="BJ258" s="49">
        <f t="shared" ca="1" si="396"/>
        <v>0</v>
      </c>
      <c r="BK258" s="49">
        <f t="shared" ca="1" si="396"/>
        <v>0</v>
      </c>
      <c r="BL258" s="49">
        <f t="shared" ca="1" si="396"/>
        <v>0</v>
      </c>
      <c r="BM258" s="49">
        <f t="shared" ca="1" si="396"/>
        <v>0</v>
      </c>
      <c r="BN258" s="49">
        <f t="shared" ca="1" si="396"/>
        <v>0</v>
      </c>
      <c r="BO258" s="49">
        <f t="shared" ca="1" si="396"/>
        <v>0</v>
      </c>
      <c r="BP258" s="49">
        <f t="shared" ca="1" si="396"/>
        <v>0</v>
      </c>
      <c r="BQ258" s="49">
        <f t="shared" ca="1" si="396"/>
        <v>0</v>
      </c>
      <c r="BR258" s="49">
        <f t="shared" ca="1" si="396"/>
        <v>0</v>
      </c>
      <c r="BS258" s="49">
        <f t="shared" ca="1" si="396"/>
        <v>0</v>
      </c>
      <c r="BT258" s="49">
        <f t="shared" ca="1" si="396"/>
        <v>0</v>
      </c>
      <c r="BU258" s="49">
        <f t="shared" ca="1" si="396"/>
        <v>0</v>
      </c>
      <c r="BV258" s="49">
        <f t="shared" ca="1" si="396"/>
        <v>0</v>
      </c>
      <c r="BW258" s="49">
        <f t="shared" ca="1" si="396"/>
        <v>0</v>
      </c>
      <c r="BX258" s="49">
        <f t="shared" ca="1" si="396"/>
        <v>0</v>
      </c>
      <c r="BY258" s="49">
        <f t="shared" ca="1" si="396"/>
        <v>0</v>
      </c>
      <c r="BZ258" s="49">
        <f t="shared" ca="1" si="396"/>
        <v>0</v>
      </c>
      <c r="CA258" s="49">
        <f t="shared" ca="1" si="396"/>
        <v>0</v>
      </c>
      <c r="CB258" s="49">
        <f t="shared" ca="1" si="396"/>
        <v>0</v>
      </c>
      <c r="CC258" s="49">
        <f t="shared" ca="1" si="396"/>
        <v>0</v>
      </c>
      <c r="CD258" s="49">
        <f t="shared" ca="1" si="396"/>
        <v>0</v>
      </c>
      <c r="CE258" s="49">
        <f t="shared" ca="1" si="396"/>
        <v>0</v>
      </c>
      <c r="CF258" s="49">
        <f t="shared" ref="CF258:CO258" ca="1" si="397" xml:space="preserve"> SUM(CF254:CF257)</f>
        <v>0</v>
      </c>
      <c r="CG258" s="49">
        <f t="shared" ca="1" si="397"/>
        <v>0</v>
      </c>
      <c r="CH258" s="49">
        <f t="shared" ca="1" si="397"/>
        <v>0</v>
      </c>
      <c r="CI258" s="49">
        <f t="shared" ca="1" si="397"/>
        <v>0</v>
      </c>
      <c r="CJ258" s="49">
        <f t="shared" ca="1" si="397"/>
        <v>0</v>
      </c>
      <c r="CK258" s="49">
        <f t="shared" ca="1" si="397"/>
        <v>0</v>
      </c>
      <c r="CL258" s="49">
        <f t="shared" ca="1" si="397"/>
        <v>0</v>
      </c>
      <c r="CM258" s="49">
        <f t="shared" ca="1" si="397"/>
        <v>0</v>
      </c>
      <c r="CN258" s="49">
        <f t="shared" ca="1" si="397"/>
        <v>0</v>
      </c>
      <c r="CO258" s="49">
        <f t="shared" ca="1" si="397"/>
        <v>0</v>
      </c>
    </row>
    <row r="259" spans="1:93">
      <c r="A259" s="9"/>
      <c r="B259" s="168"/>
      <c r="C259" s="169"/>
      <c r="D259" s="10"/>
      <c r="E259" s="62"/>
      <c r="F259" s="11"/>
      <c r="G259" s="11"/>
      <c r="H259" s="10"/>
      <c r="I259" s="10" t="str">
        <f ca="1">IF(IFERROR(I258=Предпосылки!H352*I97*I114,I258=0),"")</f>
        <v/>
      </c>
      <c r="J259" s="10"/>
      <c r="K259" s="10"/>
      <c r="L259" s="170"/>
      <c r="M259" s="170"/>
      <c r="N259" s="170"/>
      <c r="O259" s="170"/>
      <c r="P259" s="170"/>
      <c r="Q259" s="170"/>
      <c r="R259" s="170"/>
      <c r="S259" s="170"/>
      <c r="T259" s="170"/>
      <c r="U259" s="170"/>
      <c r="V259" s="170"/>
      <c r="W259" s="170"/>
      <c r="X259" s="170"/>
      <c r="Y259" s="170"/>
      <c r="Z259" s="170"/>
      <c r="AA259" s="170"/>
      <c r="AB259" s="170"/>
      <c r="AC259" s="170"/>
      <c r="AD259" s="170"/>
      <c r="AE259" s="170"/>
      <c r="AF259" s="170"/>
      <c r="AG259" s="170"/>
      <c r="AH259" s="170"/>
      <c r="AI259" s="170"/>
      <c r="AJ259" s="170"/>
      <c r="AK259" s="170"/>
      <c r="AL259" s="170"/>
      <c r="AM259" s="170"/>
      <c r="AN259" s="170"/>
      <c r="AO259" s="170"/>
      <c r="AP259" s="170"/>
      <c r="AQ259" s="170"/>
      <c r="AR259" s="170"/>
      <c r="AS259" s="170"/>
      <c r="AT259" s="170"/>
      <c r="AU259" s="170"/>
      <c r="AV259" s="170"/>
      <c r="AW259" s="170"/>
      <c r="AX259" s="170"/>
      <c r="AY259" s="170"/>
      <c r="AZ259" s="170"/>
      <c r="BA259" s="170"/>
      <c r="BB259" s="170"/>
      <c r="BC259" s="170"/>
      <c r="BD259" s="170"/>
      <c r="BE259" s="170"/>
      <c r="BF259" s="170"/>
      <c r="BG259" s="170"/>
      <c r="BH259" s="170"/>
      <c r="BI259" s="170"/>
      <c r="BJ259" s="170"/>
      <c r="BK259" s="170"/>
      <c r="BL259" s="170"/>
      <c r="BM259" s="170"/>
      <c r="BN259" s="170"/>
      <c r="BO259" s="170"/>
      <c r="BP259" s="170"/>
      <c r="BQ259" s="170"/>
      <c r="BR259" s="170"/>
      <c r="BS259" s="170"/>
      <c r="BT259" s="170"/>
      <c r="BU259" s="170"/>
      <c r="BV259" s="170"/>
      <c r="BW259" s="170"/>
      <c r="BX259" s="170"/>
      <c r="BY259" s="170"/>
      <c r="BZ259" s="170"/>
      <c r="CA259" s="170"/>
      <c r="CB259" s="170"/>
      <c r="CC259" s="170"/>
      <c r="CD259" s="170"/>
      <c r="CE259" s="170"/>
      <c r="CF259" s="170"/>
      <c r="CG259" s="170"/>
      <c r="CH259" s="170"/>
      <c r="CI259" s="170"/>
      <c r="CJ259" s="170"/>
      <c r="CK259" s="170"/>
      <c r="CL259" s="170"/>
      <c r="CM259" s="170"/>
      <c r="CN259" s="170"/>
      <c r="CO259" s="170"/>
    </row>
    <row r="260" spans="1:93">
      <c r="A260" s="77"/>
      <c r="B260" s="10"/>
      <c r="C260" s="24" t="s">
        <v>576</v>
      </c>
      <c r="D260" s="24"/>
      <c r="E260" s="24"/>
      <c r="F260" s="24"/>
      <c r="G260" s="135" t="str">
        <f>Monetary_Unit</f>
        <v>тыс. руб.</v>
      </c>
      <c r="H260" s="24"/>
      <c r="I260" s="23">
        <f ca="1">SUM(L260:CO260)</f>
        <v>3087285.4622873445</v>
      </c>
      <c r="J260" s="24"/>
      <c r="K260" s="24"/>
      <c r="L260" s="24">
        <f t="shared" ref="L260:R260" ca="1" si="398" xml:space="preserve"> SUM(L163,L170,L177,L212,L235,L258)</f>
        <v>16859.627844133964</v>
      </c>
      <c r="M260" s="24">
        <f t="shared" ca="1" si="398"/>
        <v>17098.948363166921</v>
      </c>
      <c r="N260" s="24">
        <f t="shared" ca="1" si="398"/>
        <v>17341.666010022611</v>
      </c>
      <c r="O260" s="24">
        <f t="shared" ca="1" si="398"/>
        <v>17587.829006547992</v>
      </c>
      <c r="P260" s="24">
        <f t="shared" ca="1" si="398"/>
        <v>147908.74218730364</v>
      </c>
      <c r="Q260" s="24">
        <f t="shared" ca="1" si="398"/>
        <v>149366.14715622176</v>
      </c>
      <c r="R260" s="24">
        <f t="shared" ca="1" si="398"/>
        <v>150837.91252880514</v>
      </c>
      <c r="S260" s="24">
        <f ca="1" xml:space="preserve"> SUM(S163,S170,S177,S212,S235,S258)</f>
        <v>152324.1798039492</v>
      </c>
      <c r="T260" s="24">
        <f t="shared" ref="T260:CE260" ca="1" si="399" xml:space="preserve"> SUM(T163,T170,T177,T212,T235,T258)</f>
        <v>153825.09187479576</v>
      </c>
      <c r="U260" s="24">
        <f t="shared" ca="1" si="399"/>
        <v>155340.79304247064</v>
      </c>
      <c r="V260" s="24">
        <f t="shared" ca="1" si="399"/>
        <v>156871.42902995727</v>
      </c>
      <c r="W260" s="24">
        <f t="shared" ca="1" si="399"/>
        <v>158417.14699610716</v>
      </c>
      <c r="X260" s="24">
        <f t="shared" ca="1" si="399"/>
        <v>306312.90818037902</v>
      </c>
      <c r="Y260" s="24">
        <f t="shared" ca="1" si="399"/>
        <v>309331.13379587734</v>
      </c>
      <c r="Z260" s="24">
        <f t="shared" ca="1" si="399"/>
        <v>312379.09921542153</v>
      </c>
      <c r="AA260" s="24">
        <f t="shared" ca="1" si="399"/>
        <v>315457.09747739154</v>
      </c>
      <c r="AB260" s="24">
        <f t="shared" ca="1" si="399"/>
        <v>550025.70977479313</v>
      </c>
      <c r="AC260" s="24">
        <f t="shared" ca="1" si="399"/>
        <v>0</v>
      </c>
      <c r="AD260" s="24">
        <f t="shared" ca="1" si="399"/>
        <v>0</v>
      </c>
      <c r="AE260" s="24">
        <f t="shared" ca="1" si="399"/>
        <v>0</v>
      </c>
      <c r="AF260" s="24">
        <f t="shared" ca="1" si="399"/>
        <v>0</v>
      </c>
      <c r="AG260" s="24">
        <f t="shared" ca="1" si="399"/>
        <v>0</v>
      </c>
      <c r="AH260" s="24">
        <f t="shared" ca="1" si="399"/>
        <v>0</v>
      </c>
      <c r="AI260" s="24">
        <f t="shared" ca="1" si="399"/>
        <v>0</v>
      </c>
      <c r="AJ260" s="24">
        <f t="shared" ca="1" si="399"/>
        <v>0</v>
      </c>
      <c r="AK260" s="24">
        <f t="shared" ca="1" si="399"/>
        <v>0</v>
      </c>
      <c r="AL260" s="24">
        <f t="shared" ca="1" si="399"/>
        <v>0</v>
      </c>
      <c r="AM260" s="24">
        <f t="shared" ca="1" si="399"/>
        <v>0</v>
      </c>
      <c r="AN260" s="24">
        <f t="shared" ca="1" si="399"/>
        <v>0</v>
      </c>
      <c r="AO260" s="24">
        <f t="shared" ca="1" si="399"/>
        <v>0</v>
      </c>
      <c r="AP260" s="24">
        <f t="shared" ca="1" si="399"/>
        <v>0</v>
      </c>
      <c r="AQ260" s="24">
        <f t="shared" ca="1" si="399"/>
        <v>0</v>
      </c>
      <c r="AR260" s="24">
        <f t="shared" ca="1" si="399"/>
        <v>0</v>
      </c>
      <c r="AS260" s="24">
        <f t="shared" ca="1" si="399"/>
        <v>0</v>
      </c>
      <c r="AT260" s="24">
        <f t="shared" ca="1" si="399"/>
        <v>0</v>
      </c>
      <c r="AU260" s="24">
        <f t="shared" ca="1" si="399"/>
        <v>0</v>
      </c>
      <c r="AV260" s="24">
        <f t="shared" ca="1" si="399"/>
        <v>0</v>
      </c>
      <c r="AW260" s="24">
        <f t="shared" ca="1" si="399"/>
        <v>0</v>
      </c>
      <c r="AX260" s="24">
        <f t="shared" ca="1" si="399"/>
        <v>0</v>
      </c>
      <c r="AY260" s="24">
        <f t="shared" ca="1" si="399"/>
        <v>0</v>
      </c>
      <c r="AZ260" s="24">
        <f t="shared" ca="1" si="399"/>
        <v>0</v>
      </c>
      <c r="BA260" s="24">
        <f t="shared" ca="1" si="399"/>
        <v>0</v>
      </c>
      <c r="BB260" s="24">
        <f t="shared" ca="1" si="399"/>
        <v>0</v>
      </c>
      <c r="BC260" s="24">
        <f t="shared" ca="1" si="399"/>
        <v>0</v>
      </c>
      <c r="BD260" s="24">
        <f t="shared" ca="1" si="399"/>
        <v>0</v>
      </c>
      <c r="BE260" s="24">
        <f t="shared" ca="1" si="399"/>
        <v>0</v>
      </c>
      <c r="BF260" s="24">
        <f t="shared" ca="1" si="399"/>
        <v>0</v>
      </c>
      <c r="BG260" s="24">
        <f t="shared" ca="1" si="399"/>
        <v>0</v>
      </c>
      <c r="BH260" s="24">
        <f t="shared" ca="1" si="399"/>
        <v>0</v>
      </c>
      <c r="BI260" s="24">
        <f t="shared" ca="1" si="399"/>
        <v>0</v>
      </c>
      <c r="BJ260" s="24">
        <f t="shared" ca="1" si="399"/>
        <v>0</v>
      </c>
      <c r="BK260" s="24">
        <f t="shared" ca="1" si="399"/>
        <v>0</v>
      </c>
      <c r="BL260" s="24">
        <f t="shared" ca="1" si="399"/>
        <v>0</v>
      </c>
      <c r="BM260" s="24">
        <f t="shared" ca="1" si="399"/>
        <v>0</v>
      </c>
      <c r="BN260" s="24">
        <f t="shared" ca="1" si="399"/>
        <v>0</v>
      </c>
      <c r="BO260" s="24">
        <f t="shared" ca="1" si="399"/>
        <v>0</v>
      </c>
      <c r="BP260" s="24">
        <f t="shared" ca="1" si="399"/>
        <v>0</v>
      </c>
      <c r="BQ260" s="24">
        <f t="shared" ca="1" si="399"/>
        <v>0</v>
      </c>
      <c r="BR260" s="24">
        <f t="shared" ca="1" si="399"/>
        <v>0</v>
      </c>
      <c r="BS260" s="24">
        <f t="shared" ca="1" si="399"/>
        <v>0</v>
      </c>
      <c r="BT260" s="24">
        <f t="shared" ca="1" si="399"/>
        <v>0</v>
      </c>
      <c r="BU260" s="24">
        <f t="shared" ca="1" si="399"/>
        <v>0</v>
      </c>
      <c r="BV260" s="24">
        <f t="shared" ca="1" si="399"/>
        <v>0</v>
      </c>
      <c r="BW260" s="24">
        <f t="shared" ca="1" si="399"/>
        <v>0</v>
      </c>
      <c r="BX260" s="24">
        <f t="shared" ca="1" si="399"/>
        <v>0</v>
      </c>
      <c r="BY260" s="24">
        <f t="shared" ca="1" si="399"/>
        <v>0</v>
      </c>
      <c r="BZ260" s="24">
        <f t="shared" ca="1" si="399"/>
        <v>0</v>
      </c>
      <c r="CA260" s="24">
        <f t="shared" ca="1" si="399"/>
        <v>0</v>
      </c>
      <c r="CB260" s="24">
        <f t="shared" ca="1" si="399"/>
        <v>0</v>
      </c>
      <c r="CC260" s="24">
        <f t="shared" ca="1" si="399"/>
        <v>0</v>
      </c>
      <c r="CD260" s="24">
        <f t="shared" ca="1" si="399"/>
        <v>0</v>
      </c>
      <c r="CE260" s="24">
        <f t="shared" ca="1" si="399"/>
        <v>0</v>
      </c>
      <c r="CF260" s="24">
        <f t="shared" ref="CF260:CO260" ca="1" si="400" xml:space="preserve"> SUM(CF163,CF170,CF177,CF212,CF235,CF258)</f>
        <v>0</v>
      </c>
      <c r="CG260" s="24">
        <f t="shared" ca="1" si="400"/>
        <v>0</v>
      </c>
      <c r="CH260" s="24">
        <f t="shared" ca="1" si="400"/>
        <v>0</v>
      </c>
      <c r="CI260" s="24">
        <f t="shared" ca="1" si="400"/>
        <v>0</v>
      </c>
      <c r="CJ260" s="24">
        <f t="shared" ca="1" si="400"/>
        <v>0</v>
      </c>
      <c r="CK260" s="24">
        <f t="shared" ca="1" si="400"/>
        <v>0</v>
      </c>
      <c r="CL260" s="24">
        <f t="shared" ca="1" si="400"/>
        <v>0</v>
      </c>
      <c r="CM260" s="24">
        <f t="shared" ca="1" si="400"/>
        <v>0</v>
      </c>
      <c r="CN260" s="24">
        <f t="shared" ca="1" si="400"/>
        <v>0</v>
      </c>
      <c r="CO260" s="24">
        <f t="shared" ca="1" si="400"/>
        <v>0</v>
      </c>
    </row>
    <row r="261" spans="1:93">
      <c r="A261" s="77"/>
      <c r="B261" s="10"/>
      <c r="C261" s="21"/>
      <c r="D261" s="10"/>
      <c r="E261" s="10"/>
      <c r="F261" s="10"/>
      <c r="G261" s="11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</row>
    <row r="262" spans="1:93" ht="16.5" thickBot="1">
      <c r="A262" s="77"/>
      <c r="B262" s="101"/>
      <c r="C262" s="12" t="s">
        <v>575</v>
      </c>
      <c r="D262" s="12"/>
      <c r="E262" s="12"/>
      <c r="F262" s="12"/>
      <c r="G262" s="360"/>
      <c r="H262" s="12"/>
      <c r="I262" s="12"/>
      <c r="J262" s="69"/>
      <c r="K262" s="69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  <c r="AK262" s="103"/>
      <c r="AL262" s="103"/>
      <c r="AM262" s="103"/>
      <c r="AN262" s="103"/>
      <c r="AO262" s="103"/>
      <c r="AP262" s="103"/>
      <c r="AQ262" s="103"/>
      <c r="AR262" s="103"/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103"/>
      <c r="BD262" s="103"/>
      <c r="BE262" s="103"/>
      <c r="BF262" s="103"/>
      <c r="BG262" s="103"/>
      <c r="BH262" s="103"/>
      <c r="BI262" s="103"/>
      <c r="BJ262" s="103"/>
      <c r="BK262" s="103"/>
      <c r="BL262" s="103"/>
      <c r="BM262" s="103"/>
      <c r="BN262" s="103"/>
      <c r="BO262" s="103"/>
      <c r="BP262" s="103"/>
      <c r="BQ262" s="103"/>
      <c r="BR262" s="103"/>
      <c r="BS262" s="103"/>
      <c r="BT262" s="103"/>
      <c r="BU262" s="103"/>
      <c r="BV262" s="103"/>
      <c r="BW262" s="103"/>
      <c r="BX262" s="103"/>
      <c r="BY262" s="103"/>
      <c r="BZ262" s="103"/>
      <c r="CA262" s="103"/>
      <c r="CB262" s="103"/>
      <c r="CC262" s="103"/>
      <c r="CD262" s="103"/>
      <c r="CE262" s="103"/>
      <c r="CF262" s="103"/>
      <c r="CG262" s="103"/>
      <c r="CH262" s="103"/>
      <c r="CI262" s="103"/>
      <c r="CJ262" s="103"/>
      <c r="CK262" s="103"/>
      <c r="CL262" s="103"/>
      <c r="CM262" s="103"/>
      <c r="CN262" s="103"/>
      <c r="CO262" s="103"/>
    </row>
    <row r="263" spans="1:93">
      <c r="A263" s="77"/>
      <c r="B263" s="101"/>
      <c r="C263" s="102"/>
      <c r="D263" s="69"/>
      <c r="E263" s="62"/>
      <c r="F263" s="70"/>
      <c r="G263" s="11"/>
      <c r="H263" s="69"/>
      <c r="I263" s="69"/>
      <c r="J263" s="69"/>
      <c r="K263" s="69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  <c r="AK263" s="103"/>
      <c r="AL263" s="103"/>
      <c r="AM263" s="103"/>
      <c r="AN263" s="103"/>
      <c r="AO263" s="103"/>
      <c r="AP263" s="103"/>
      <c r="AQ263" s="103"/>
      <c r="AR263" s="103"/>
      <c r="AS263" s="103"/>
      <c r="AT263" s="103"/>
      <c r="AU263" s="103"/>
      <c r="AV263" s="103"/>
      <c r="AW263" s="103"/>
      <c r="AX263" s="103"/>
      <c r="AY263" s="103"/>
      <c r="AZ263" s="103"/>
      <c r="BA263" s="103"/>
      <c r="BB263" s="103"/>
      <c r="BC263" s="103"/>
      <c r="BD263" s="103"/>
      <c r="BE263" s="103"/>
      <c r="BF263" s="103"/>
      <c r="BG263" s="103"/>
      <c r="BH263" s="103"/>
      <c r="BI263" s="103"/>
      <c r="BJ263" s="103"/>
      <c r="BK263" s="103"/>
      <c r="BL263" s="103"/>
      <c r="BM263" s="103"/>
      <c r="BN263" s="103"/>
      <c r="BO263" s="103"/>
      <c r="BP263" s="103"/>
      <c r="BQ263" s="103"/>
      <c r="BR263" s="103"/>
      <c r="BS263" s="103"/>
      <c r="BT263" s="103"/>
      <c r="BU263" s="103"/>
      <c r="BV263" s="103"/>
      <c r="BW263" s="103"/>
      <c r="BX263" s="103"/>
      <c r="BY263" s="103"/>
      <c r="BZ263" s="103"/>
      <c r="CA263" s="103"/>
      <c r="CB263" s="103"/>
      <c r="CC263" s="103"/>
      <c r="CD263" s="103"/>
      <c r="CE263" s="103"/>
      <c r="CF263" s="103"/>
      <c r="CG263" s="103"/>
      <c r="CH263" s="103"/>
      <c r="CI263" s="103"/>
      <c r="CJ263" s="103"/>
      <c r="CK263" s="103"/>
      <c r="CL263" s="103"/>
      <c r="CM263" s="103"/>
      <c r="CN263" s="103"/>
      <c r="CO263" s="103"/>
    </row>
    <row r="264" spans="1:93">
      <c r="A264" s="77"/>
      <c r="B264" s="101"/>
      <c r="C264" s="16" t="s">
        <v>577</v>
      </c>
      <c r="D264" s="69"/>
      <c r="E264" s="62"/>
      <c r="F264" s="70"/>
      <c r="G264" s="11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</row>
    <row r="265" spans="1:93">
      <c r="A265" s="77"/>
      <c r="B265" s="101"/>
      <c r="C265" s="17" t="str">
        <f xml:space="preserve"> "Здания и сооружения - " &amp; C32</f>
        <v>Здания и сооружения - Транспортная инфраструктура</v>
      </c>
      <c r="D265" s="69"/>
      <c r="E265" s="62"/>
      <c r="F265" s="70"/>
      <c r="G265" s="11" t="str">
        <f t="shared" ref="G265:G276" si="401">Monetary_Unit</f>
        <v>тыс. руб.</v>
      </c>
      <c r="H265" s="10"/>
      <c r="I265" s="23">
        <f t="shared" ref="I265:I276" ca="1" si="402">SUM(L265:CO265)</f>
        <v>27774.797642991573</v>
      </c>
      <c r="J265" s="10"/>
      <c r="K265" s="10"/>
      <c r="L265" s="10">
        <f t="shared" ref="L265:R265" ca="1" si="403">SUM(L159:L162)</f>
        <v>232.91999784273011</v>
      </c>
      <c r="M265" s="10">
        <f t="shared" ca="1" si="403"/>
        <v>236.22627098779674</v>
      </c>
      <c r="N265" s="10">
        <f t="shared" ca="1" si="403"/>
        <v>239.57947630790645</v>
      </c>
      <c r="O265" s="10">
        <f t="shared" ca="1" si="403"/>
        <v>242.98027999999991</v>
      </c>
      <c r="P265" s="10">
        <f t="shared" ca="1" si="403"/>
        <v>1944.1207491283758</v>
      </c>
      <c r="Q265" s="10">
        <f t="shared" ca="1" si="403"/>
        <v>1963.2769612498234</v>
      </c>
      <c r="R265" s="10">
        <f t="shared" ca="1" si="403"/>
        <v>1982.6219273172421</v>
      </c>
      <c r="S265" s="10">
        <f ca="1">SUM(S159:S162)</f>
        <v>2002.1575071999982</v>
      </c>
      <c r="T265" s="10">
        <f t="shared" ref="T265:CE265" ca="1" si="404">SUM(T159:T162)</f>
        <v>2021.8855790935104</v>
      </c>
      <c r="U265" s="10">
        <f t="shared" ca="1" si="404"/>
        <v>2041.8080396998159</v>
      </c>
      <c r="V265" s="10">
        <f t="shared" ca="1" si="404"/>
        <v>2061.9268044099308</v>
      </c>
      <c r="W265" s="10">
        <f t="shared" ca="1" si="404"/>
        <v>2082.2438074879983</v>
      </c>
      <c r="X265" s="10">
        <f t="shared" ca="1" si="404"/>
        <v>2102.7610022572499</v>
      </c>
      <c r="Y265" s="10">
        <f t="shared" ca="1" si="404"/>
        <v>2123.4803612878081</v>
      </c>
      <c r="Z265" s="10">
        <f t="shared" ca="1" si="404"/>
        <v>2144.4038765863284</v>
      </c>
      <c r="AA265" s="10">
        <f t="shared" ca="1" si="404"/>
        <v>2165.5335597875178</v>
      </c>
      <c r="AB265" s="10">
        <f t="shared" ca="1" si="404"/>
        <v>2186.871442347538</v>
      </c>
      <c r="AC265" s="10">
        <f t="shared" ca="1" si="404"/>
        <v>0</v>
      </c>
      <c r="AD265" s="10">
        <f t="shared" ca="1" si="404"/>
        <v>0</v>
      </c>
      <c r="AE265" s="10">
        <f t="shared" ca="1" si="404"/>
        <v>0</v>
      </c>
      <c r="AF265" s="10">
        <f t="shared" ca="1" si="404"/>
        <v>0</v>
      </c>
      <c r="AG265" s="10">
        <f t="shared" ca="1" si="404"/>
        <v>0</v>
      </c>
      <c r="AH265" s="10">
        <f t="shared" ca="1" si="404"/>
        <v>0</v>
      </c>
      <c r="AI265" s="10">
        <f t="shared" ca="1" si="404"/>
        <v>0</v>
      </c>
      <c r="AJ265" s="10">
        <f t="shared" ca="1" si="404"/>
        <v>0</v>
      </c>
      <c r="AK265" s="10">
        <f t="shared" ca="1" si="404"/>
        <v>0</v>
      </c>
      <c r="AL265" s="10">
        <f t="shared" ca="1" si="404"/>
        <v>0</v>
      </c>
      <c r="AM265" s="10">
        <f t="shared" ca="1" si="404"/>
        <v>0</v>
      </c>
      <c r="AN265" s="10">
        <f t="shared" ca="1" si="404"/>
        <v>0</v>
      </c>
      <c r="AO265" s="10">
        <f t="shared" ca="1" si="404"/>
        <v>0</v>
      </c>
      <c r="AP265" s="10">
        <f t="shared" ca="1" si="404"/>
        <v>0</v>
      </c>
      <c r="AQ265" s="10">
        <f t="shared" ca="1" si="404"/>
        <v>0</v>
      </c>
      <c r="AR265" s="10">
        <f t="shared" ca="1" si="404"/>
        <v>0</v>
      </c>
      <c r="AS265" s="10">
        <f t="shared" ca="1" si="404"/>
        <v>0</v>
      </c>
      <c r="AT265" s="10">
        <f t="shared" ca="1" si="404"/>
        <v>0</v>
      </c>
      <c r="AU265" s="10">
        <f t="shared" ca="1" si="404"/>
        <v>0</v>
      </c>
      <c r="AV265" s="10">
        <f t="shared" ca="1" si="404"/>
        <v>0</v>
      </c>
      <c r="AW265" s="10">
        <f t="shared" ca="1" si="404"/>
        <v>0</v>
      </c>
      <c r="AX265" s="10">
        <f t="shared" ca="1" si="404"/>
        <v>0</v>
      </c>
      <c r="AY265" s="10">
        <f t="shared" ca="1" si="404"/>
        <v>0</v>
      </c>
      <c r="AZ265" s="10">
        <f t="shared" ca="1" si="404"/>
        <v>0</v>
      </c>
      <c r="BA265" s="10">
        <f t="shared" ca="1" si="404"/>
        <v>0</v>
      </c>
      <c r="BB265" s="10">
        <f t="shared" ca="1" si="404"/>
        <v>0</v>
      </c>
      <c r="BC265" s="10">
        <f t="shared" ca="1" si="404"/>
        <v>0</v>
      </c>
      <c r="BD265" s="10">
        <f t="shared" ca="1" si="404"/>
        <v>0</v>
      </c>
      <c r="BE265" s="10">
        <f t="shared" ca="1" si="404"/>
        <v>0</v>
      </c>
      <c r="BF265" s="10">
        <f t="shared" ca="1" si="404"/>
        <v>0</v>
      </c>
      <c r="BG265" s="10">
        <f t="shared" ca="1" si="404"/>
        <v>0</v>
      </c>
      <c r="BH265" s="10">
        <f t="shared" ca="1" si="404"/>
        <v>0</v>
      </c>
      <c r="BI265" s="10">
        <f t="shared" ca="1" si="404"/>
        <v>0</v>
      </c>
      <c r="BJ265" s="10">
        <f t="shared" ca="1" si="404"/>
        <v>0</v>
      </c>
      <c r="BK265" s="10">
        <f t="shared" ca="1" si="404"/>
        <v>0</v>
      </c>
      <c r="BL265" s="10">
        <f t="shared" ca="1" si="404"/>
        <v>0</v>
      </c>
      <c r="BM265" s="10">
        <f t="shared" ca="1" si="404"/>
        <v>0</v>
      </c>
      <c r="BN265" s="10">
        <f t="shared" ca="1" si="404"/>
        <v>0</v>
      </c>
      <c r="BO265" s="10">
        <f t="shared" ca="1" si="404"/>
        <v>0</v>
      </c>
      <c r="BP265" s="10">
        <f t="shared" ca="1" si="404"/>
        <v>0</v>
      </c>
      <c r="BQ265" s="10">
        <f t="shared" ca="1" si="404"/>
        <v>0</v>
      </c>
      <c r="BR265" s="10">
        <f t="shared" ca="1" si="404"/>
        <v>0</v>
      </c>
      <c r="BS265" s="10">
        <f t="shared" ca="1" si="404"/>
        <v>0</v>
      </c>
      <c r="BT265" s="10">
        <f t="shared" ca="1" si="404"/>
        <v>0</v>
      </c>
      <c r="BU265" s="10">
        <f t="shared" ca="1" si="404"/>
        <v>0</v>
      </c>
      <c r="BV265" s="10">
        <f t="shared" ca="1" si="404"/>
        <v>0</v>
      </c>
      <c r="BW265" s="10">
        <f t="shared" ca="1" si="404"/>
        <v>0</v>
      </c>
      <c r="BX265" s="10">
        <f t="shared" ca="1" si="404"/>
        <v>0</v>
      </c>
      <c r="BY265" s="10">
        <f t="shared" ca="1" si="404"/>
        <v>0</v>
      </c>
      <c r="BZ265" s="10">
        <f t="shared" ca="1" si="404"/>
        <v>0</v>
      </c>
      <c r="CA265" s="10">
        <f t="shared" ca="1" si="404"/>
        <v>0</v>
      </c>
      <c r="CB265" s="10">
        <f t="shared" ca="1" si="404"/>
        <v>0</v>
      </c>
      <c r="CC265" s="10">
        <f t="shared" ca="1" si="404"/>
        <v>0</v>
      </c>
      <c r="CD265" s="10">
        <f t="shared" ca="1" si="404"/>
        <v>0</v>
      </c>
      <c r="CE265" s="10">
        <f t="shared" ca="1" si="404"/>
        <v>0</v>
      </c>
      <c r="CF265" s="10">
        <f t="shared" ref="CF265:CO265" ca="1" si="405">SUM(CF159:CF162)</f>
        <v>0</v>
      </c>
      <c r="CG265" s="10">
        <f t="shared" ca="1" si="405"/>
        <v>0</v>
      </c>
      <c r="CH265" s="10">
        <f t="shared" ca="1" si="405"/>
        <v>0</v>
      </c>
      <c r="CI265" s="10">
        <f t="shared" ca="1" si="405"/>
        <v>0</v>
      </c>
      <c r="CJ265" s="10">
        <f t="shared" ca="1" si="405"/>
        <v>0</v>
      </c>
      <c r="CK265" s="10">
        <f t="shared" ca="1" si="405"/>
        <v>0</v>
      </c>
      <c r="CL265" s="10">
        <f t="shared" ca="1" si="405"/>
        <v>0</v>
      </c>
      <c r="CM265" s="10">
        <f t="shared" ca="1" si="405"/>
        <v>0</v>
      </c>
      <c r="CN265" s="10">
        <f t="shared" ca="1" si="405"/>
        <v>0</v>
      </c>
      <c r="CO265" s="10">
        <f t="shared" ca="1" si="405"/>
        <v>0</v>
      </c>
    </row>
    <row r="266" spans="1:93">
      <c r="A266" s="77"/>
      <c r="B266" s="101"/>
      <c r="C266" s="17" t="str">
        <f xml:space="preserve"> "Здания и сооружения - " &amp; C33</f>
        <v>Здания и сооружения - Коммунальная инфраструктура</v>
      </c>
      <c r="D266" s="69"/>
      <c r="E266" s="62"/>
      <c r="F266" s="70"/>
      <c r="G266" s="11" t="str">
        <f t="shared" si="401"/>
        <v>тыс. руб.</v>
      </c>
      <c r="H266" s="10"/>
      <c r="I266" s="23">
        <f t="shared" ca="1" si="402"/>
        <v>0</v>
      </c>
      <c r="J266" s="10"/>
      <c r="K266" s="10"/>
      <c r="L266" s="10">
        <f t="shared" ref="L266:R266" ca="1" si="406">SUM(L166:L169)</f>
        <v>0</v>
      </c>
      <c r="M266" s="10">
        <f t="shared" ca="1" si="406"/>
        <v>0</v>
      </c>
      <c r="N266" s="10">
        <f t="shared" ca="1" si="406"/>
        <v>0</v>
      </c>
      <c r="O266" s="10">
        <f t="shared" ca="1" si="406"/>
        <v>0</v>
      </c>
      <c r="P266" s="10">
        <f t="shared" ca="1" si="406"/>
        <v>0</v>
      </c>
      <c r="Q266" s="10">
        <f t="shared" ca="1" si="406"/>
        <v>0</v>
      </c>
      <c r="R266" s="10">
        <f t="shared" ca="1" si="406"/>
        <v>0</v>
      </c>
      <c r="S266" s="10">
        <f ca="1">SUM(S166:S169)</f>
        <v>0</v>
      </c>
      <c r="T266" s="10">
        <f t="shared" ref="T266:CE266" ca="1" si="407">SUM(T166:T169)</f>
        <v>0</v>
      </c>
      <c r="U266" s="10">
        <f t="shared" ca="1" si="407"/>
        <v>0</v>
      </c>
      <c r="V266" s="10">
        <f t="shared" ca="1" si="407"/>
        <v>0</v>
      </c>
      <c r="W266" s="10">
        <f t="shared" ca="1" si="407"/>
        <v>0</v>
      </c>
      <c r="X266" s="10">
        <f t="shared" ca="1" si="407"/>
        <v>0</v>
      </c>
      <c r="Y266" s="10">
        <f t="shared" ca="1" si="407"/>
        <v>0</v>
      </c>
      <c r="Z266" s="10">
        <f t="shared" ca="1" si="407"/>
        <v>0</v>
      </c>
      <c r="AA266" s="10">
        <f t="shared" ca="1" si="407"/>
        <v>0</v>
      </c>
      <c r="AB266" s="10">
        <f t="shared" ca="1" si="407"/>
        <v>0</v>
      </c>
      <c r="AC266" s="10">
        <f t="shared" ca="1" si="407"/>
        <v>0</v>
      </c>
      <c r="AD266" s="10">
        <f t="shared" ca="1" si="407"/>
        <v>0</v>
      </c>
      <c r="AE266" s="10">
        <f t="shared" ca="1" si="407"/>
        <v>0</v>
      </c>
      <c r="AF266" s="10">
        <f t="shared" ca="1" si="407"/>
        <v>0</v>
      </c>
      <c r="AG266" s="10">
        <f t="shared" ca="1" si="407"/>
        <v>0</v>
      </c>
      <c r="AH266" s="10">
        <f t="shared" ca="1" si="407"/>
        <v>0</v>
      </c>
      <c r="AI266" s="10">
        <f t="shared" ca="1" si="407"/>
        <v>0</v>
      </c>
      <c r="AJ266" s="10">
        <f t="shared" ca="1" si="407"/>
        <v>0</v>
      </c>
      <c r="AK266" s="10">
        <f t="shared" ca="1" si="407"/>
        <v>0</v>
      </c>
      <c r="AL266" s="10">
        <f t="shared" ca="1" si="407"/>
        <v>0</v>
      </c>
      <c r="AM266" s="10">
        <f t="shared" ca="1" si="407"/>
        <v>0</v>
      </c>
      <c r="AN266" s="10">
        <f t="shared" ca="1" si="407"/>
        <v>0</v>
      </c>
      <c r="AO266" s="10">
        <f t="shared" ca="1" si="407"/>
        <v>0</v>
      </c>
      <c r="AP266" s="10">
        <f t="shared" ca="1" si="407"/>
        <v>0</v>
      </c>
      <c r="AQ266" s="10">
        <f t="shared" ca="1" si="407"/>
        <v>0</v>
      </c>
      <c r="AR266" s="10">
        <f t="shared" ca="1" si="407"/>
        <v>0</v>
      </c>
      <c r="AS266" s="10">
        <f t="shared" ca="1" si="407"/>
        <v>0</v>
      </c>
      <c r="AT266" s="10">
        <f t="shared" ca="1" si="407"/>
        <v>0</v>
      </c>
      <c r="AU266" s="10">
        <f t="shared" ca="1" si="407"/>
        <v>0</v>
      </c>
      <c r="AV266" s="10">
        <f t="shared" ca="1" si="407"/>
        <v>0</v>
      </c>
      <c r="AW266" s="10">
        <f t="shared" ca="1" si="407"/>
        <v>0</v>
      </c>
      <c r="AX266" s="10">
        <f t="shared" ca="1" si="407"/>
        <v>0</v>
      </c>
      <c r="AY266" s="10">
        <f t="shared" ca="1" si="407"/>
        <v>0</v>
      </c>
      <c r="AZ266" s="10">
        <f t="shared" ca="1" si="407"/>
        <v>0</v>
      </c>
      <c r="BA266" s="10">
        <f t="shared" ca="1" si="407"/>
        <v>0</v>
      </c>
      <c r="BB266" s="10">
        <f t="shared" ca="1" si="407"/>
        <v>0</v>
      </c>
      <c r="BC266" s="10">
        <f t="shared" ca="1" si="407"/>
        <v>0</v>
      </c>
      <c r="BD266" s="10">
        <f t="shared" ca="1" si="407"/>
        <v>0</v>
      </c>
      <c r="BE266" s="10">
        <f t="shared" ca="1" si="407"/>
        <v>0</v>
      </c>
      <c r="BF266" s="10">
        <f t="shared" ca="1" si="407"/>
        <v>0</v>
      </c>
      <c r="BG266" s="10">
        <f t="shared" ca="1" si="407"/>
        <v>0</v>
      </c>
      <c r="BH266" s="10">
        <f t="shared" ca="1" si="407"/>
        <v>0</v>
      </c>
      <c r="BI266" s="10">
        <f t="shared" ca="1" si="407"/>
        <v>0</v>
      </c>
      <c r="BJ266" s="10">
        <f t="shared" ca="1" si="407"/>
        <v>0</v>
      </c>
      <c r="BK266" s="10">
        <f t="shared" ca="1" si="407"/>
        <v>0</v>
      </c>
      <c r="BL266" s="10">
        <f t="shared" ca="1" si="407"/>
        <v>0</v>
      </c>
      <c r="BM266" s="10">
        <f t="shared" ca="1" si="407"/>
        <v>0</v>
      </c>
      <c r="BN266" s="10">
        <f t="shared" ca="1" si="407"/>
        <v>0</v>
      </c>
      <c r="BO266" s="10">
        <f t="shared" ca="1" si="407"/>
        <v>0</v>
      </c>
      <c r="BP266" s="10">
        <f t="shared" ca="1" si="407"/>
        <v>0</v>
      </c>
      <c r="BQ266" s="10">
        <f t="shared" ca="1" si="407"/>
        <v>0</v>
      </c>
      <c r="BR266" s="10">
        <f t="shared" ca="1" si="407"/>
        <v>0</v>
      </c>
      <c r="BS266" s="10">
        <f t="shared" ca="1" si="407"/>
        <v>0</v>
      </c>
      <c r="BT266" s="10">
        <f t="shared" ca="1" si="407"/>
        <v>0</v>
      </c>
      <c r="BU266" s="10">
        <f t="shared" ca="1" si="407"/>
        <v>0</v>
      </c>
      <c r="BV266" s="10">
        <f t="shared" ca="1" si="407"/>
        <v>0</v>
      </c>
      <c r="BW266" s="10">
        <f t="shared" ca="1" si="407"/>
        <v>0</v>
      </c>
      <c r="BX266" s="10">
        <f t="shared" ca="1" si="407"/>
        <v>0</v>
      </c>
      <c r="BY266" s="10">
        <f t="shared" ca="1" si="407"/>
        <v>0</v>
      </c>
      <c r="BZ266" s="10">
        <f t="shared" ca="1" si="407"/>
        <v>0</v>
      </c>
      <c r="CA266" s="10">
        <f t="shared" ca="1" si="407"/>
        <v>0</v>
      </c>
      <c r="CB266" s="10">
        <f t="shared" ca="1" si="407"/>
        <v>0</v>
      </c>
      <c r="CC266" s="10">
        <f t="shared" ca="1" si="407"/>
        <v>0</v>
      </c>
      <c r="CD266" s="10">
        <f t="shared" ca="1" si="407"/>
        <v>0</v>
      </c>
      <c r="CE266" s="10">
        <f t="shared" ca="1" si="407"/>
        <v>0</v>
      </c>
      <c r="CF266" s="10">
        <f t="shared" ref="CF266:CO266" ca="1" si="408">SUM(CF166:CF169)</f>
        <v>0</v>
      </c>
      <c r="CG266" s="10">
        <f t="shared" ca="1" si="408"/>
        <v>0</v>
      </c>
      <c r="CH266" s="10">
        <f t="shared" ca="1" si="408"/>
        <v>0</v>
      </c>
      <c r="CI266" s="10">
        <f t="shared" ca="1" si="408"/>
        <v>0</v>
      </c>
      <c r="CJ266" s="10">
        <f t="shared" ca="1" si="408"/>
        <v>0</v>
      </c>
      <c r="CK266" s="10">
        <f t="shared" ca="1" si="408"/>
        <v>0</v>
      </c>
      <c r="CL266" s="10">
        <f t="shared" ca="1" si="408"/>
        <v>0</v>
      </c>
      <c r="CM266" s="10">
        <f t="shared" ca="1" si="408"/>
        <v>0</v>
      </c>
      <c r="CN266" s="10">
        <f t="shared" ca="1" si="408"/>
        <v>0</v>
      </c>
      <c r="CO266" s="10">
        <f t="shared" ca="1" si="408"/>
        <v>0</v>
      </c>
    </row>
    <row r="267" spans="1:93">
      <c r="A267" s="77"/>
      <c r="B267" s="101"/>
      <c r="C267" s="17" t="str">
        <f xml:space="preserve"> "Здания и сооружения - " &amp; C34</f>
        <v>Здания и сооружения - Прочая обеспечивающая инфраструктура</v>
      </c>
      <c r="D267" s="69"/>
      <c r="E267" s="62"/>
      <c r="F267" s="70"/>
      <c r="G267" s="11" t="str">
        <f t="shared" si="401"/>
        <v>тыс. руб.</v>
      </c>
      <c r="H267" s="10"/>
      <c r="I267" s="23">
        <f t="shared" ca="1" si="402"/>
        <v>0</v>
      </c>
      <c r="J267" s="10"/>
      <c r="K267" s="10"/>
      <c r="L267" s="10">
        <f t="shared" ref="L267:R267" ca="1" si="409">SUM(L173:L176)</f>
        <v>0</v>
      </c>
      <c r="M267" s="10">
        <f t="shared" ca="1" si="409"/>
        <v>0</v>
      </c>
      <c r="N267" s="10">
        <f t="shared" ca="1" si="409"/>
        <v>0</v>
      </c>
      <c r="O267" s="10">
        <f t="shared" ca="1" si="409"/>
        <v>0</v>
      </c>
      <c r="P267" s="10">
        <f t="shared" ca="1" si="409"/>
        <v>0</v>
      </c>
      <c r="Q267" s="10">
        <f t="shared" ca="1" si="409"/>
        <v>0</v>
      </c>
      <c r="R267" s="10">
        <f t="shared" ca="1" si="409"/>
        <v>0</v>
      </c>
      <c r="S267" s="10">
        <f ca="1">SUM(S173:S176)</f>
        <v>0</v>
      </c>
      <c r="T267" s="10">
        <f t="shared" ref="T267:CE267" ca="1" si="410">SUM(T173:T176)</f>
        <v>0</v>
      </c>
      <c r="U267" s="10">
        <f t="shared" ca="1" si="410"/>
        <v>0</v>
      </c>
      <c r="V267" s="10">
        <f t="shared" ca="1" si="410"/>
        <v>0</v>
      </c>
      <c r="W267" s="10">
        <f t="shared" ca="1" si="410"/>
        <v>0</v>
      </c>
      <c r="X267" s="10">
        <f t="shared" ca="1" si="410"/>
        <v>0</v>
      </c>
      <c r="Y267" s="10">
        <f t="shared" ca="1" si="410"/>
        <v>0</v>
      </c>
      <c r="Z267" s="10">
        <f t="shared" ca="1" si="410"/>
        <v>0</v>
      </c>
      <c r="AA267" s="10">
        <f t="shared" ca="1" si="410"/>
        <v>0</v>
      </c>
      <c r="AB267" s="10">
        <f t="shared" ca="1" si="410"/>
        <v>0</v>
      </c>
      <c r="AC267" s="10">
        <f t="shared" ca="1" si="410"/>
        <v>0</v>
      </c>
      <c r="AD267" s="10">
        <f t="shared" ca="1" si="410"/>
        <v>0</v>
      </c>
      <c r="AE267" s="10">
        <f t="shared" ca="1" si="410"/>
        <v>0</v>
      </c>
      <c r="AF267" s="10">
        <f t="shared" ca="1" si="410"/>
        <v>0</v>
      </c>
      <c r="AG267" s="10">
        <f t="shared" ca="1" si="410"/>
        <v>0</v>
      </c>
      <c r="AH267" s="10">
        <f t="shared" ca="1" si="410"/>
        <v>0</v>
      </c>
      <c r="AI267" s="10">
        <f t="shared" ca="1" si="410"/>
        <v>0</v>
      </c>
      <c r="AJ267" s="10">
        <f t="shared" ca="1" si="410"/>
        <v>0</v>
      </c>
      <c r="AK267" s="10">
        <f t="shared" ca="1" si="410"/>
        <v>0</v>
      </c>
      <c r="AL267" s="10">
        <f t="shared" ca="1" si="410"/>
        <v>0</v>
      </c>
      <c r="AM267" s="10">
        <f t="shared" ca="1" si="410"/>
        <v>0</v>
      </c>
      <c r="AN267" s="10">
        <f t="shared" ca="1" si="410"/>
        <v>0</v>
      </c>
      <c r="AO267" s="10">
        <f t="shared" ca="1" si="410"/>
        <v>0</v>
      </c>
      <c r="AP267" s="10">
        <f t="shared" ca="1" si="410"/>
        <v>0</v>
      </c>
      <c r="AQ267" s="10">
        <f t="shared" ca="1" si="410"/>
        <v>0</v>
      </c>
      <c r="AR267" s="10">
        <f t="shared" ca="1" si="410"/>
        <v>0</v>
      </c>
      <c r="AS267" s="10">
        <f t="shared" ca="1" si="410"/>
        <v>0</v>
      </c>
      <c r="AT267" s="10">
        <f t="shared" ca="1" si="410"/>
        <v>0</v>
      </c>
      <c r="AU267" s="10">
        <f t="shared" ca="1" si="410"/>
        <v>0</v>
      </c>
      <c r="AV267" s="10">
        <f t="shared" ca="1" si="410"/>
        <v>0</v>
      </c>
      <c r="AW267" s="10">
        <f t="shared" ca="1" si="410"/>
        <v>0</v>
      </c>
      <c r="AX267" s="10">
        <f t="shared" ca="1" si="410"/>
        <v>0</v>
      </c>
      <c r="AY267" s="10">
        <f t="shared" ca="1" si="410"/>
        <v>0</v>
      </c>
      <c r="AZ267" s="10">
        <f t="shared" ca="1" si="410"/>
        <v>0</v>
      </c>
      <c r="BA267" s="10">
        <f t="shared" ca="1" si="410"/>
        <v>0</v>
      </c>
      <c r="BB267" s="10">
        <f t="shared" ca="1" si="410"/>
        <v>0</v>
      </c>
      <c r="BC267" s="10">
        <f t="shared" ca="1" si="410"/>
        <v>0</v>
      </c>
      <c r="BD267" s="10">
        <f t="shared" ca="1" si="410"/>
        <v>0</v>
      </c>
      <c r="BE267" s="10">
        <f t="shared" ca="1" si="410"/>
        <v>0</v>
      </c>
      <c r="BF267" s="10">
        <f t="shared" ca="1" si="410"/>
        <v>0</v>
      </c>
      <c r="BG267" s="10">
        <f t="shared" ca="1" si="410"/>
        <v>0</v>
      </c>
      <c r="BH267" s="10">
        <f t="shared" ca="1" si="410"/>
        <v>0</v>
      </c>
      <c r="BI267" s="10">
        <f t="shared" ca="1" si="410"/>
        <v>0</v>
      </c>
      <c r="BJ267" s="10">
        <f t="shared" ca="1" si="410"/>
        <v>0</v>
      </c>
      <c r="BK267" s="10">
        <f t="shared" ca="1" si="410"/>
        <v>0</v>
      </c>
      <c r="BL267" s="10">
        <f t="shared" ca="1" si="410"/>
        <v>0</v>
      </c>
      <c r="BM267" s="10">
        <f t="shared" ca="1" si="410"/>
        <v>0</v>
      </c>
      <c r="BN267" s="10">
        <f t="shared" ca="1" si="410"/>
        <v>0</v>
      </c>
      <c r="BO267" s="10">
        <f t="shared" ca="1" si="410"/>
        <v>0</v>
      </c>
      <c r="BP267" s="10">
        <f t="shared" ca="1" si="410"/>
        <v>0</v>
      </c>
      <c r="BQ267" s="10">
        <f t="shared" ca="1" si="410"/>
        <v>0</v>
      </c>
      <c r="BR267" s="10">
        <f t="shared" ca="1" si="410"/>
        <v>0</v>
      </c>
      <c r="BS267" s="10">
        <f t="shared" ca="1" si="410"/>
        <v>0</v>
      </c>
      <c r="BT267" s="10">
        <f t="shared" ca="1" si="410"/>
        <v>0</v>
      </c>
      <c r="BU267" s="10">
        <f t="shared" ca="1" si="410"/>
        <v>0</v>
      </c>
      <c r="BV267" s="10">
        <f t="shared" ca="1" si="410"/>
        <v>0</v>
      </c>
      <c r="BW267" s="10">
        <f t="shared" ca="1" si="410"/>
        <v>0</v>
      </c>
      <c r="BX267" s="10">
        <f t="shared" ca="1" si="410"/>
        <v>0</v>
      </c>
      <c r="BY267" s="10">
        <f t="shared" ca="1" si="410"/>
        <v>0</v>
      </c>
      <c r="BZ267" s="10">
        <f t="shared" ca="1" si="410"/>
        <v>0</v>
      </c>
      <c r="CA267" s="10">
        <f t="shared" ca="1" si="410"/>
        <v>0</v>
      </c>
      <c r="CB267" s="10">
        <f t="shared" ca="1" si="410"/>
        <v>0</v>
      </c>
      <c r="CC267" s="10">
        <f t="shared" ca="1" si="410"/>
        <v>0</v>
      </c>
      <c r="CD267" s="10">
        <f t="shared" ca="1" si="410"/>
        <v>0</v>
      </c>
      <c r="CE267" s="10">
        <f t="shared" ca="1" si="410"/>
        <v>0</v>
      </c>
      <c r="CF267" s="10">
        <f t="shared" ref="CF267:CO267" ca="1" si="411">SUM(CF173:CF176)</f>
        <v>0</v>
      </c>
      <c r="CG267" s="10">
        <f t="shared" ca="1" si="411"/>
        <v>0</v>
      </c>
      <c r="CH267" s="10">
        <f t="shared" ca="1" si="411"/>
        <v>0</v>
      </c>
      <c r="CI267" s="10">
        <f t="shared" ca="1" si="411"/>
        <v>0</v>
      </c>
      <c r="CJ267" s="10">
        <f t="shared" ca="1" si="411"/>
        <v>0</v>
      </c>
      <c r="CK267" s="10">
        <f t="shared" ca="1" si="411"/>
        <v>0</v>
      </c>
      <c r="CL267" s="10">
        <f t="shared" ca="1" si="411"/>
        <v>0</v>
      </c>
      <c r="CM267" s="10">
        <f t="shared" ca="1" si="411"/>
        <v>0</v>
      </c>
      <c r="CN267" s="10">
        <f t="shared" ca="1" si="411"/>
        <v>0</v>
      </c>
      <c r="CO267" s="10">
        <f t="shared" ca="1" si="411"/>
        <v>0</v>
      </c>
    </row>
    <row r="268" spans="1:93">
      <c r="A268" s="77"/>
      <c r="B268" s="101"/>
      <c r="C268" s="17" t="str">
        <f xml:space="preserve"> "Здания и сооружения - " &amp; C35</f>
        <v>Здания и сооружения - Объект размещения (отель)</v>
      </c>
      <c r="D268" s="69"/>
      <c r="E268" s="62"/>
      <c r="F268" s="70"/>
      <c r="G268" s="11" t="str">
        <f t="shared" si="401"/>
        <v>тыс. руб.</v>
      </c>
      <c r="H268" s="69"/>
      <c r="I268" s="23">
        <f t="shared" ca="1" si="402"/>
        <v>2465463.0653563468</v>
      </c>
      <c r="J268" s="10"/>
      <c r="K268" s="10"/>
      <c r="L268" s="10">
        <f t="shared" ref="L268:R268" ca="1" si="412">SUM(L204:L206,L208:L211)</f>
        <v>16626.707846291232</v>
      </c>
      <c r="M268" s="10">
        <f t="shared" ca="1" si="412"/>
        <v>16862.722092179123</v>
      </c>
      <c r="N268" s="10">
        <f t="shared" ca="1" si="412"/>
        <v>17102.086533714704</v>
      </c>
      <c r="O268" s="10">
        <f t="shared" ca="1" si="412"/>
        <v>17344.848726547993</v>
      </c>
      <c r="P268" s="10">
        <f t="shared" ca="1" si="412"/>
        <v>145964.62143817527</v>
      </c>
      <c r="Q268" s="10">
        <f t="shared" ca="1" si="412"/>
        <v>147402.87019497194</v>
      </c>
      <c r="R268" s="10">
        <f t="shared" ca="1" si="412"/>
        <v>148855.29060148791</v>
      </c>
      <c r="S268" s="10">
        <f ca="1">SUM(S204:S206,S208:S211)</f>
        <v>150322.0222967492</v>
      </c>
      <c r="T268" s="10">
        <f t="shared" ref="T268:CE268" ca="1" si="413">SUM(T204:T206,T208:T211)</f>
        <v>151803.20629570226</v>
      </c>
      <c r="U268" s="10">
        <f t="shared" ca="1" si="413"/>
        <v>153298.98500277082</v>
      </c>
      <c r="V268" s="10">
        <f t="shared" ca="1" si="413"/>
        <v>154809.50222554733</v>
      </c>
      <c r="W268" s="10">
        <f t="shared" ca="1" si="413"/>
        <v>156334.90318861915</v>
      </c>
      <c r="X268" s="10">
        <f t="shared" ca="1" si="413"/>
        <v>157875.33454753025</v>
      </c>
      <c r="Y268" s="10">
        <f t="shared" ca="1" si="413"/>
        <v>159430.94440288158</v>
      </c>
      <c r="Z268" s="10">
        <f t="shared" ca="1" si="413"/>
        <v>161001.88231456917</v>
      </c>
      <c r="AA268" s="10">
        <f t="shared" ca="1" si="413"/>
        <v>162588.29931616373</v>
      </c>
      <c r="AB268" s="10">
        <f t="shared" ca="1" si="413"/>
        <v>547838.83833244559</v>
      </c>
      <c r="AC268" s="10">
        <f t="shared" ca="1" si="413"/>
        <v>0</v>
      </c>
      <c r="AD268" s="10">
        <f t="shared" ca="1" si="413"/>
        <v>0</v>
      </c>
      <c r="AE268" s="10">
        <f t="shared" ca="1" si="413"/>
        <v>0</v>
      </c>
      <c r="AF268" s="10">
        <f t="shared" ca="1" si="413"/>
        <v>0</v>
      </c>
      <c r="AG268" s="10">
        <f t="shared" ca="1" si="413"/>
        <v>0</v>
      </c>
      <c r="AH268" s="10">
        <f t="shared" ca="1" si="413"/>
        <v>0</v>
      </c>
      <c r="AI268" s="10">
        <f t="shared" ca="1" si="413"/>
        <v>0</v>
      </c>
      <c r="AJ268" s="10">
        <f t="shared" ca="1" si="413"/>
        <v>0</v>
      </c>
      <c r="AK268" s="10">
        <f t="shared" ca="1" si="413"/>
        <v>0</v>
      </c>
      <c r="AL268" s="10">
        <f t="shared" ca="1" si="413"/>
        <v>0</v>
      </c>
      <c r="AM268" s="10">
        <f t="shared" ca="1" si="413"/>
        <v>0</v>
      </c>
      <c r="AN268" s="10">
        <f t="shared" ca="1" si="413"/>
        <v>0</v>
      </c>
      <c r="AO268" s="10">
        <f t="shared" ca="1" si="413"/>
        <v>0</v>
      </c>
      <c r="AP268" s="10">
        <f t="shared" ca="1" si="413"/>
        <v>0</v>
      </c>
      <c r="AQ268" s="10">
        <f t="shared" ca="1" si="413"/>
        <v>0</v>
      </c>
      <c r="AR268" s="10">
        <f t="shared" ca="1" si="413"/>
        <v>0</v>
      </c>
      <c r="AS268" s="10">
        <f t="shared" ca="1" si="413"/>
        <v>0</v>
      </c>
      <c r="AT268" s="10">
        <f t="shared" ca="1" si="413"/>
        <v>0</v>
      </c>
      <c r="AU268" s="10">
        <f t="shared" ca="1" si="413"/>
        <v>0</v>
      </c>
      <c r="AV268" s="10">
        <f t="shared" ca="1" si="413"/>
        <v>0</v>
      </c>
      <c r="AW268" s="10">
        <f t="shared" ca="1" si="413"/>
        <v>0</v>
      </c>
      <c r="AX268" s="10">
        <f t="shared" ca="1" si="413"/>
        <v>0</v>
      </c>
      <c r="AY268" s="10">
        <f t="shared" ca="1" si="413"/>
        <v>0</v>
      </c>
      <c r="AZ268" s="10">
        <f t="shared" ca="1" si="413"/>
        <v>0</v>
      </c>
      <c r="BA268" s="10">
        <f t="shared" ca="1" si="413"/>
        <v>0</v>
      </c>
      <c r="BB268" s="10">
        <f t="shared" ca="1" si="413"/>
        <v>0</v>
      </c>
      <c r="BC268" s="10">
        <f t="shared" ca="1" si="413"/>
        <v>0</v>
      </c>
      <c r="BD268" s="10">
        <f t="shared" ca="1" si="413"/>
        <v>0</v>
      </c>
      <c r="BE268" s="10">
        <f t="shared" ca="1" si="413"/>
        <v>0</v>
      </c>
      <c r="BF268" s="10">
        <f t="shared" ca="1" si="413"/>
        <v>0</v>
      </c>
      <c r="BG268" s="10">
        <f t="shared" ca="1" si="413"/>
        <v>0</v>
      </c>
      <c r="BH268" s="10">
        <f t="shared" ca="1" si="413"/>
        <v>0</v>
      </c>
      <c r="BI268" s="10">
        <f t="shared" ca="1" si="413"/>
        <v>0</v>
      </c>
      <c r="BJ268" s="10">
        <f t="shared" ca="1" si="413"/>
        <v>0</v>
      </c>
      <c r="BK268" s="10">
        <f t="shared" ca="1" si="413"/>
        <v>0</v>
      </c>
      <c r="BL268" s="10">
        <f t="shared" ca="1" si="413"/>
        <v>0</v>
      </c>
      <c r="BM268" s="10">
        <f t="shared" ca="1" si="413"/>
        <v>0</v>
      </c>
      <c r="BN268" s="10">
        <f t="shared" ca="1" si="413"/>
        <v>0</v>
      </c>
      <c r="BO268" s="10">
        <f t="shared" ca="1" si="413"/>
        <v>0</v>
      </c>
      <c r="BP268" s="10">
        <f t="shared" ca="1" si="413"/>
        <v>0</v>
      </c>
      <c r="BQ268" s="10">
        <f t="shared" ca="1" si="413"/>
        <v>0</v>
      </c>
      <c r="BR268" s="10">
        <f t="shared" ca="1" si="413"/>
        <v>0</v>
      </c>
      <c r="BS268" s="10">
        <f t="shared" ca="1" si="413"/>
        <v>0</v>
      </c>
      <c r="BT268" s="10">
        <f t="shared" ca="1" si="413"/>
        <v>0</v>
      </c>
      <c r="BU268" s="10">
        <f t="shared" ca="1" si="413"/>
        <v>0</v>
      </c>
      <c r="BV268" s="10">
        <f t="shared" ca="1" si="413"/>
        <v>0</v>
      </c>
      <c r="BW268" s="10">
        <f t="shared" ca="1" si="413"/>
        <v>0</v>
      </c>
      <c r="BX268" s="10">
        <f t="shared" ca="1" si="413"/>
        <v>0</v>
      </c>
      <c r="BY268" s="10">
        <f t="shared" ca="1" si="413"/>
        <v>0</v>
      </c>
      <c r="BZ268" s="10">
        <f t="shared" ca="1" si="413"/>
        <v>0</v>
      </c>
      <c r="CA268" s="10">
        <f t="shared" ca="1" si="413"/>
        <v>0</v>
      </c>
      <c r="CB268" s="10">
        <f t="shared" ca="1" si="413"/>
        <v>0</v>
      </c>
      <c r="CC268" s="10">
        <f t="shared" ca="1" si="413"/>
        <v>0</v>
      </c>
      <c r="CD268" s="10">
        <f t="shared" ca="1" si="413"/>
        <v>0</v>
      </c>
      <c r="CE268" s="10">
        <f t="shared" ca="1" si="413"/>
        <v>0</v>
      </c>
      <c r="CF268" s="10">
        <f t="shared" ref="CF268:CO268" ca="1" si="414">SUM(CF204:CF206,CF208:CF211)</f>
        <v>0</v>
      </c>
      <c r="CG268" s="10">
        <f t="shared" ca="1" si="414"/>
        <v>0</v>
      </c>
      <c r="CH268" s="10">
        <f t="shared" ca="1" si="414"/>
        <v>0</v>
      </c>
      <c r="CI268" s="10">
        <f t="shared" ca="1" si="414"/>
        <v>0</v>
      </c>
      <c r="CJ268" s="10">
        <f t="shared" ca="1" si="414"/>
        <v>0</v>
      </c>
      <c r="CK268" s="10">
        <f t="shared" ca="1" si="414"/>
        <v>0</v>
      </c>
      <c r="CL268" s="10">
        <f t="shared" ca="1" si="414"/>
        <v>0</v>
      </c>
      <c r="CM268" s="10">
        <f t="shared" ca="1" si="414"/>
        <v>0</v>
      </c>
      <c r="CN268" s="10">
        <f t="shared" ca="1" si="414"/>
        <v>0</v>
      </c>
      <c r="CO268" s="10">
        <f t="shared" ca="1" si="414"/>
        <v>0</v>
      </c>
    </row>
    <row r="269" spans="1:93">
      <c r="A269" s="77"/>
      <c r="B269" s="101"/>
      <c r="C269" s="17" t="str">
        <f xml:space="preserve"> "Мебель и оборудование - " &amp; C35</f>
        <v>Мебель и оборудование - Объект размещения (отель)</v>
      </c>
      <c r="D269" s="69"/>
      <c r="E269" s="62"/>
      <c r="F269" s="70"/>
      <c r="G269" s="11" t="str">
        <f t="shared" si="401"/>
        <v>тыс. руб.</v>
      </c>
      <c r="H269" s="69"/>
      <c r="I269" s="23">
        <f t="shared" ca="1" si="402"/>
        <v>594047.59928800585</v>
      </c>
      <c r="J269" s="10"/>
      <c r="K269" s="10"/>
      <c r="L269" s="10">
        <f t="shared" ref="L269:R269" ca="1" si="415" xml:space="preserve"> L207</f>
        <v>0</v>
      </c>
      <c r="M269" s="10">
        <f t="shared" ca="1" si="415"/>
        <v>0</v>
      </c>
      <c r="N269" s="10">
        <f t="shared" ca="1" si="415"/>
        <v>0</v>
      </c>
      <c r="O269" s="10">
        <f t="shared" ca="1" si="415"/>
        <v>0</v>
      </c>
      <c r="P269" s="10">
        <f t="shared" ca="1" si="415"/>
        <v>0</v>
      </c>
      <c r="Q269" s="10">
        <f t="shared" ca="1" si="415"/>
        <v>0</v>
      </c>
      <c r="R269" s="10">
        <f t="shared" ca="1" si="415"/>
        <v>0</v>
      </c>
      <c r="S269" s="10">
        <f ca="1" xml:space="preserve"> S207</f>
        <v>0</v>
      </c>
      <c r="T269" s="10">
        <f t="shared" ref="T269:CE269" ca="1" si="416" xml:space="preserve"> T207</f>
        <v>0</v>
      </c>
      <c r="U269" s="10">
        <f t="shared" ca="1" si="416"/>
        <v>0</v>
      </c>
      <c r="V269" s="10">
        <f t="shared" ca="1" si="416"/>
        <v>0</v>
      </c>
      <c r="W269" s="10">
        <f t="shared" ca="1" si="416"/>
        <v>0</v>
      </c>
      <c r="X269" s="10">
        <f t="shared" ca="1" si="416"/>
        <v>146334.81263059154</v>
      </c>
      <c r="Y269" s="10">
        <f t="shared" ca="1" si="416"/>
        <v>147776.70903170793</v>
      </c>
      <c r="Z269" s="10">
        <f t="shared" ca="1" si="416"/>
        <v>149232.81302426601</v>
      </c>
      <c r="AA269" s="10">
        <f t="shared" ca="1" si="416"/>
        <v>150703.26460144034</v>
      </c>
      <c r="AB269" s="10">
        <f t="shared" ca="1" si="416"/>
        <v>0</v>
      </c>
      <c r="AC269" s="10">
        <f t="shared" ca="1" si="416"/>
        <v>0</v>
      </c>
      <c r="AD269" s="10">
        <f t="shared" ca="1" si="416"/>
        <v>0</v>
      </c>
      <c r="AE269" s="10">
        <f t="shared" ca="1" si="416"/>
        <v>0</v>
      </c>
      <c r="AF269" s="10">
        <f t="shared" ca="1" si="416"/>
        <v>0</v>
      </c>
      <c r="AG269" s="10">
        <f t="shared" ca="1" si="416"/>
        <v>0</v>
      </c>
      <c r="AH269" s="10">
        <f t="shared" ca="1" si="416"/>
        <v>0</v>
      </c>
      <c r="AI269" s="10">
        <f t="shared" ca="1" si="416"/>
        <v>0</v>
      </c>
      <c r="AJ269" s="10">
        <f t="shared" ca="1" si="416"/>
        <v>0</v>
      </c>
      <c r="AK269" s="10">
        <f t="shared" ca="1" si="416"/>
        <v>0</v>
      </c>
      <c r="AL269" s="10">
        <f t="shared" ca="1" si="416"/>
        <v>0</v>
      </c>
      <c r="AM269" s="10">
        <f t="shared" ca="1" si="416"/>
        <v>0</v>
      </c>
      <c r="AN269" s="10">
        <f t="shared" ca="1" si="416"/>
        <v>0</v>
      </c>
      <c r="AO269" s="10">
        <f t="shared" ca="1" si="416"/>
        <v>0</v>
      </c>
      <c r="AP269" s="10">
        <f t="shared" ca="1" si="416"/>
        <v>0</v>
      </c>
      <c r="AQ269" s="10">
        <f t="shared" ca="1" si="416"/>
        <v>0</v>
      </c>
      <c r="AR269" s="10">
        <f t="shared" ca="1" si="416"/>
        <v>0</v>
      </c>
      <c r="AS269" s="10">
        <f t="shared" ca="1" si="416"/>
        <v>0</v>
      </c>
      <c r="AT269" s="10">
        <f t="shared" ca="1" si="416"/>
        <v>0</v>
      </c>
      <c r="AU269" s="10">
        <f t="shared" ca="1" si="416"/>
        <v>0</v>
      </c>
      <c r="AV269" s="10">
        <f t="shared" ca="1" si="416"/>
        <v>0</v>
      </c>
      <c r="AW269" s="10">
        <f t="shared" ca="1" si="416"/>
        <v>0</v>
      </c>
      <c r="AX269" s="10">
        <f t="shared" ca="1" si="416"/>
        <v>0</v>
      </c>
      <c r="AY269" s="10">
        <f t="shared" ca="1" si="416"/>
        <v>0</v>
      </c>
      <c r="AZ269" s="10">
        <f t="shared" ca="1" si="416"/>
        <v>0</v>
      </c>
      <c r="BA269" s="10">
        <f t="shared" ca="1" si="416"/>
        <v>0</v>
      </c>
      <c r="BB269" s="10">
        <f t="shared" ca="1" si="416"/>
        <v>0</v>
      </c>
      <c r="BC269" s="10">
        <f t="shared" ca="1" si="416"/>
        <v>0</v>
      </c>
      <c r="BD269" s="10">
        <f t="shared" ca="1" si="416"/>
        <v>0</v>
      </c>
      <c r="BE269" s="10">
        <f t="shared" ca="1" si="416"/>
        <v>0</v>
      </c>
      <c r="BF269" s="10">
        <f t="shared" ca="1" si="416"/>
        <v>0</v>
      </c>
      <c r="BG269" s="10">
        <f t="shared" ca="1" si="416"/>
        <v>0</v>
      </c>
      <c r="BH269" s="10">
        <f t="shared" ca="1" si="416"/>
        <v>0</v>
      </c>
      <c r="BI269" s="10">
        <f t="shared" ca="1" si="416"/>
        <v>0</v>
      </c>
      <c r="BJ269" s="10">
        <f t="shared" ca="1" si="416"/>
        <v>0</v>
      </c>
      <c r="BK269" s="10">
        <f t="shared" ca="1" si="416"/>
        <v>0</v>
      </c>
      <c r="BL269" s="10">
        <f t="shared" ca="1" si="416"/>
        <v>0</v>
      </c>
      <c r="BM269" s="10">
        <f t="shared" ca="1" si="416"/>
        <v>0</v>
      </c>
      <c r="BN269" s="10">
        <f t="shared" ca="1" si="416"/>
        <v>0</v>
      </c>
      <c r="BO269" s="10">
        <f t="shared" ca="1" si="416"/>
        <v>0</v>
      </c>
      <c r="BP269" s="10">
        <f t="shared" ca="1" si="416"/>
        <v>0</v>
      </c>
      <c r="BQ269" s="10">
        <f t="shared" ca="1" si="416"/>
        <v>0</v>
      </c>
      <c r="BR269" s="10">
        <f t="shared" ca="1" si="416"/>
        <v>0</v>
      </c>
      <c r="BS269" s="10">
        <f t="shared" ca="1" si="416"/>
        <v>0</v>
      </c>
      <c r="BT269" s="10">
        <f t="shared" ca="1" si="416"/>
        <v>0</v>
      </c>
      <c r="BU269" s="10">
        <f t="shared" ca="1" si="416"/>
        <v>0</v>
      </c>
      <c r="BV269" s="10">
        <f t="shared" ca="1" si="416"/>
        <v>0</v>
      </c>
      <c r="BW269" s="10">
        <f t="shared" ca="1" si="416"/>
        <v>0</v>
      </c>
      <c r="BX269" s="10">
        <f t="shared" ca="1" si="416"/>
        <v>0</v>
      </c>
      <c r="BY269" s="10">
        <f t="shared" ca="1" si="416"/>
        <v>0</v>
      </c>
      <c r="BZ269" s="10">
        <f t="shared" ca="1" si="416"/>
        <v>0</v>
      </c>
      <c r="CA269" s="10">
        <f t="shared" ca="1" si="416"/>
        <v>0</v>
      </c>
      <c r="CB269" s="10">
        <f t="shared" ca="1" si="416"/>
        <v>0</v>
      </c>
      <c r="CC269" s="10">
        <f t="shared" ca="1" si="416"/>
        <v>0</v>
      </c>
      <c r="CD269" s="10">
        <f t="shared" ca="1" si="416"/>
        <v>0</v>
      </c>
      <c r="CE269" s="10">
        <f t="shared" ca="1" si="416"/>
        <v>0</v>
      </c>
      <c r="CF269" s="10">
        <f t="shared" ref="CF269:CO269" ca="1" si="417" xml:space="preserve"> CF207</f>
        <v>0</v>
      </c>
      <c r="CG269" s="10">
        <f t="shared" ca="1" si="417"/>
        <v>0</v>
      </c>
      <c r="CH269" s="10">
        <f t="shared" ca="1" si="417"/>
        <v>0</v>
      </c>
      <c r="CI269" s="10">
        <f t="shared" ca="1" si="417"/>
        <v>0</v>
      </c>
      <c r="CJ269" s="10">
        <f t="shared" ca="1" si="417"/>
        <v>0</v>
      </c>
      <c r="CK269" s="10">
        <f t="shared" ca="1" si="417"/>
        <v>0</v>
      </c>
      <c r="CL269" s="10">
        <f t="shared" ca="1" si="417"/>
        <v>0</v>
      </c>
      <c r="CM269" s="10">
        <f t="shared" ca="1" si="417"/>
        <v>0</v>
      </c>
      <c r="CN269" s="10">
        <f t="shared" ca="1" si="417"/>
        <v>0</v>
      </c>
      <c r="CO269" s="10">
        <f t="shared" ca="1" si="417"/>
        <v>0</v>
      </c>
    </row>
    <row r="270" spans="1:93">
      <c r="A270" s="77"/>
      <c r="B270" s="101"/>
      <c r="C270" s="17" t="str">
        <f xml:space="preserve"> "Здания и сооружения - " &amp; C36</f>
        <v>Здания и сооружения - Развлекательный комплекс</v>
      </c>
      <c r="D270" s="69"/>
      <c r="E270" s="62"/>
      <c r="F270" s="70"/>
      <c r="G270" s="11" t="str">
        <f t="shared" si="401"/>
        <v>тыс. руб.</v>
      </c>
      <c r="H270" s="69"/>
      <c r="I270" s="23">
        <f t="shared" ca="1" si="402"/>
        <v>0</v>
      </c>
      <c r="J270" s="10"/>
      <c r="K270" s="10"/>
      <c r="L270" s="10">
        <f t="shared" ref="L270:R270" ca="1" si="418">SUM(L231:L234)</f>
        <v>0</v>
      </c>
      <c r="M270" s="10">
        <f t="shared" ca="1" si="418"/>
        <v>0</v>
      </c>
      <c r="N270" s="10">
        <f t="shared" ca="1" si="418"/>
        <v>0</v>
      </c>
      <c r="O270" s="10">
        <f t="shared" ca="1" si="418"/>
        <v>0</v>
      </c>
      <c r="P270" s="10">
        <f t="shared" ca="1" si="418"/>
        <v>0</v>
      </c>
      <c r="Q270" s="10">
        <f t="shared" ca="1" si="418"/>
        <v>0</v>
      </c>
      <c r="R270" s="10">
        <f t="shared" ca="1" si="418"/>
        <v>0</v>
      </c>
      <c r="S270" s="10">
        <f ca="1">SUM(S231:S234)</f>
        <v>0</v>
      </c>
      <c r="T270" s="10">
        <f t="shared" ref="T270:CE270" ca="1" si="419">SUM(T231:T234)</f>
        <v>0</v>
      </c>
      <c r="U270" s="10">
        <f t="shared" ca="1" si="419"/>
        <v>0</v>
      </c>
      <c r="V270" s="10">
        <f t="shared" ca="1" si="419"/>
        <v>0</v>
      </c>
      <c r="W270" s="10">
        <f t="shared" ca="1" si="419"/>
        <v>0</v>
      </c>
      <c r="X270" s="10">
        <f t="shared" ca="1" si="419"/>
        <v>0</v>
      </c>
      <c r="Y270" s="10">
        <f t="shared" ca="1" si="419"/>
        <v>0</v>
      </c>
      <c r="Z270" s="10">
        <f t="shared" ca="1" si="419"/>
        <v>0</v>
      </c>
      <c r="AA270" s="10">
        <f t="shared" ca="1" si="419"/>
        <v>0</v>
      </c>
      <c r="AB270" s="10">
        <f t="shared" ca="1" si="419"/>
        <v>0</v>
      </c>
      <c r="AC270" s="10">
        <f t="shared" ca="1" si="419"/>
        <v>0</v>
      </c>
      <c r="AD270" s="10">
        <f t="shared" ca="1" si="419"/>
        <v>0</v>
      </c>
      <c r="AE270" s="10">
        <f t="shared" ca="1" si="419"/>
        <v>0</v>
      </c>
      <c r="AF270" s="10">
        <f t="shared" ca="1" si="419"/>
        <v>0</v>
      </c>
      <c r="AG270" s="10">
        <f t="shared" ca="1" si="419"/>
        <v>0</v>
      </c>
      <c r="AH270" s="10">
        <f t="shared" ca="1" si="419"/>
        <v>0</v>
      </c>
      <c r="AI270" s="10">
        <f t="shared" ca="1" si="419"/>
        <v>0</v>
      </c>
      <c r="AJ270" s="10">
        <f t="shared" ca="1" si="419"/>
        <v>0</v>
      </c>
      <c r="AK270" s="10">
        <f t="shared" ca="1" si="419"/>
        <v>0</v>
      </c>
      <c r="AL270" s="10">
        <f t="shared" ca="1" si="419"/>
        <v>0</v>
      </c>
      <c r="AM270" s="10">
        <f t="shared" ca="1" si="419"/>
        <v>0</v>
      </c>
      <c r="AN270" s="10">
        <f t="shared" ca="1" si="419"/>
        <v>0</v>
      </c>
      <c r="AO270" s="10">
        <f t="shared" ca="1" si="419"/>
        <v>0</v>
      </c>
      <c r="AP270" s="10">
        <f t="shared" ca="1" si="419"/>
        <v>0</v>
      </c>
      <c r="AQ270" s="10">
        <f t="shared" ca="1" si="419"/>
        <v>0</v>
      </c>
      <c r="AR270" s="10">
        <f t="shared" ca="1" si="419"/>
        <v>0</v>
      </c>
      <c r="AS270" s="10">
        <f t="shared" ca="1" si="419"/>
        <v>0</v>
      </c>
      <c r="AT270" s="10">
        <f t="shared" ca="1" si="419"/>
        <v>0</v>
      </c>
      <c r="AU270" s="10">
        <f t="shared" ca="1" si="419"/>
        <v>0</v>
      </c>
      <c r="AV270" s="10">
        <f t="shared" ca="1" si="419"/>
        <v>0</v>
      </c>
      <c r="AW270" s="10">
        <f t="shared" ca="1" si="419"/>
        <v>0</v>
      </c>
      <c r="AX270" s="10">
        <f t="shared" ca="1" si="419"/>
        <v>0</v>
      </c>
      <c r="AY270" s="10">
        <f t="shared" ca="1" si="419"/>
        <v>0</v>
      </c>
      <c r="AZ270" s="10">
        <f t="shared" ca="1" si="419"/>
        <v>0</v>
      </c>
      <c r="BA270" s="10">
        <f t="shared" ca="1" si="419"/>
        <v>0</v>
      </c>
      <c r="BB270" s="10">
        <f t="shared" ca="1" si="419"/>
        <v>0</v>
      </c>
      <c r="BC270" s="10">
        <f t="shared" ca="1" si="419"/>
        <v>0</v>
      </c>
      <c r="BD270" s="10">
        <f t="shared" ca="1" si="419"/>
        <v>0</v>
      </c>
      <c r="BE270" s="10">
        <f t="shared" ca="1" si="419"/>
        <v>0</v>
      </c>
      <c r="BF270" s="10">
        <f t="shared" ca="1" si="419"/>
        <v>0</v>
      </c>
      <c r="BG270" s="10">
        <f t="shared" ca="1" si="419"/>
        <v>0</v>
      </c>
      <c r="BH270" s="10">
        <f t="shared" ca="1" si="419"/>
        <v>0</v>
      </c>
      <c r="BI270" s="10">
        <f t="shared" ca="1" si="419"/>
        <v>0</v>
      </c>
      <c r="BJ270" s="10">
        <f t="shared" ca="1" si="419"/>
        <v>0</v>
      </c>
      <c r="BK270" s="10">
        <f t="shared" ca="1" si="419"/>
        <v>0</v>
      </c>
      <c r="BL270" s="10">
        <f t="shared" ca="1" si="419"/>
        <v>0</v>
      </c>
      <c r="BM270" s="10">
        <f t="shared" ca="1" si="419"/>
        <v>0</v>
      </c>
      <c r="BN270" s="10">
        <f t="shared" ca="1" si="419"/>
        <v>0</v>
      </c>
      <c r="BO270" s="10">
        <f t="shared" ca="1" si="419"/>
        <v>0</v>
      </c>
      <c r="BP270" s="10">
        <f t="shared" ca="1" si="419"/>
        <v>0</v>
      </c>
      <c r="BQ270" s="10">
        <f t="shared" ca="1" si="419"/>
        <v>0</v>
      </c>
      <c r="BR270" s="10">
        <f t="shared" ca="1" si="419"/>
        <v>0</v>
      </c>
      <c r="BS270" s="10">
        <f t="shared" ca="1" si="419"/>
        <v>0</v>
      </c>
      <c r="BT270" s="10">
        <f t="shared" ca="1" si="419"/>
        <v>0</v>
      </c>
      <c r="BU270" s="10">
        <f t="shared" ca="1" si="419"/>
        <v>0</v>
      </c>
      <c r="BV270" s="10">
        <f t="shared" ca="1" si="419"/>
        <v>0</v>
      </c>
      <c r="BW270" s="10">
        <f t="shared" ca="1" si="419"/>
        <v>0</v>
      </c>
      <c r="BX270" s="10">
        <f t="shared" ca="1" si="419"/>
        <v>0</v>
      </c>
      <c r="BY270" s="10">
        <f t="shared" ca="1" si="419"/>
        <v>0</v>
      </c>
      <c r="BZ270" s="10">
        <f t="shared" ca="1" si="419"/>
        <v>0</v>
      </c>
      <c r="CA270" s="10">
        <f t="shared" ca="1" si="419"/>
        <v>0</v>
      </c>
      <c r="CB270" s="10">
        <f t="shared" ca="1" si="419"/>
        <v>0</v>
      </c>
      <c r="CC270" s="10">
        <f t="shared" ca="1" si="419"/>
        <v>0</v>
      </c>
      <c r="CD270" s="10">
        <f t="shared" ca="1" si="419"/>
        <v>0</v>
      </c>
      <c r="CE270" s="10">
        <f t="shared" ca="1" si="419"/>
        <v>0</v>
      </c>
      <c r="CF270" s="10">
        <f t="shared" ref="CF270:CO270" ca="1" si="420">SUM(CF231:CF234)</f>
        <v>0</v>
      </c>
      <c r="CG270" s="10">
        <f t="shared" ca="1" si="420"/>
        <v>0</v>
      </c>
      <c r="CH270" s="10">
        <f t="shared" ca="1" si="420"/>
        <v>0</v>
      </c>
      <c r="CI270" s="10">
        <f t="shared" ca="1" si="420"/>
        <v>0</v>
      </c>
      <c r="CJ270" s="10">
        <f t="shared" ca="1" si="420"/>
        <v>0</v>
      </c>
      <c r="CK270" s="10">
        <f t="shared" ca="1" si="420"/>
        <v>0</v>
      </c>
      <c r="CL270" s="10">
        <f t="shared" ca="1" si="420"/>
        <v>0</v>
      </c>
      <c r="CM270" s="10">
        <f t="shared" ca="1" si="420"/>
        <v>0</v>
      </c>
      <c r="CN270" s="10">
        <f t="shared" ca="1" si="420"/>
        <v>0</v>
      </c>
      <c r="CO270" s="10">
        <f t="shared" ca="1" si="420"/>
        <v>0</v>
      </c>
    </row>
    <row r="271" spans="1:93">
      <c r="A271" s="77"/>
      <c r="B271" s="101"/>
      <c r="C271" s="17" t="str">
        <f xml:space="preserve"> "Здания и сооружения - " &amp; C37</f>
        <v>Здания и сооружения - Крытый парк развлечений</v>
      </c>
      <c r="D271" s="69"/>
      <c r="E271" s="62"/>
      <c r="F271" s="70"/>
      <c r="G271" s="11" t="str">
        <f t="shared" si="401"/>
        <v>тыс. руб.</v>
      </c>
      <c r="H271" s="69"/>
      <c r="I271" s="23">
        <f t="shared" ca="1" si="402"/>
        <v>0</v>
      </c>
      <c r="J271" s="10"/>
      <c r="K271" s="10"/>
      <c r="L271" s="10">
        <f t="shared" ref="L271:R271" ca="1" si="421">SUM(L254:L257)</f>
        <v>0</v>
      </c>
      <c r="M271" s="10">
        <f t="shared" ca="1" si="421"/>
        <v>0</v>
      </c>
      <c r="N271" s="10">
        <f t="shared" ca="1" si="421"/>
        <v>0</v>
      </c>
      <c r="O271" s="10">
        <f t="shared" ca="1" si="421"/>
        <v>0</v>
      </c>
      <c r="P271" s="10">
        <f t="shared" ca="1" si="421"/>
        <v>0</v>
      </c>
      <c r="Q271" s="10">
        <f t="shared" ca="1" si="421"/>
        <v>0</v>
      </c>
      <c r="R271" s="10">
        <f t="shared" ca="1" si="421"/>
        <v>0</v>
      </c>
      <c r="S271" s="10">
        <f ca="1">SUM(S254:S257)</f>
        <v>0</v>
      </c>
      <c r="T271" s="10">
        <f t="shared" ref="T271:CE271" ca="1" si="422">SUM(T254:T257)</f>
        <v>0</v>
      </c>
      <c r="U271" s="10">
        <f t="shared" ca="1" si="422"/>
        <v>0</v>
      </c>
      <c r="V271" s="10">
        <f t="shared" ca="1" si="422"/>
        <v>0</v>
      </c>
      <c r="W271" s="10">
        <f t="shared" ca="1" si="422"/>
        <v>0</v>
      </c>
      <c r="X271" s="10">
        <f t="shared" ca="1" si="422"/>
        <v>0</v>
      </c>
      <c r="Y271" s="10">
        <f t="shared" ca="1" si="422"/>
        <v>0</v>
      </c>
      <c r="Z271" s="10">
        <f t="shared" ca="1" si="422"/>
        <v>0</v>
      </c>
      <c r="AA271" s="10">
        <f t="shared" ca="1" si="422"/>
        <v>0</v>
      </c>
      <c r="AB271" s="10">
        <f t="shared" ca="1" si="422"/>
        <v>0</v>
      </c>
      <c r="AC271" s="10">
        <f t="shared" ca="1" si="422"/>
        <v>0</v>
      </c>
      <c r="AD271" s="10">
        <f t="shared" ca="1" si="422"/>
        <v>0</v>
      </c>
      <c r="AE271" s="10">
        <f t="shared" ca="1" si="422"/>
        <v>0</v>
      </c>
      <c r="AF271" s="10">
        <f t="shared" ca="1" si="422"/>
        <v>0</v>
      </c>
      <c r="AG271" s="10">
        <f t="shared" ca="1" si="422"/>
        <v>0</v>
      </c>
      <c r="AH271" s="10">
        <f t="shared" ca="1" si="422"/>
        <v>0</v>
      </c>
      <c r="AI271" s="10">
        <f t="shared" ca="1" si="422"/>
        <v>0</v>
      </c>
      <c r="AJ271" s="10">
        <f t="shared" ca="1" si="422"/>
        <v>0</v>
      </c>
      <c r="AK271" s="10">
        <f t="shared" ca="1" si="422"/>
        <v>0</v>
      </c>
      <c r="AL271" s="10">
        <f t="shared" ca="1" si="422"/>
        <v>0</v>
      </c>
      <c r="AM271" s="10">
        <f t="shared" ca="1" si="422"/>
        <v>0</v>
      </c>
      <c r="AN271" s="10">
        <f t="shared" ca="1" si="422"/>
        <v>0</v>
      </c>
      <c r="AO271" s="10">
        <f t="shared" ca="1" si="422"/>
        <v>0</v>
      </c>
      <c r="AP271" s="10">
        <f t="shared" ca="1" si="422"/>
        <v>0</v>
      </c>
      <c r="AQ271" s="10">
        <f t="shared" ca="1" si="422"/>
        <v>0</v>
      </c>
      <c r="AR271" s="10">
        <f t="shared" ca="1" si="422"/>
        <v>0</v>
      </c>
      <c r="AS271" s="10">
        <f t="shared" ca="1" si="422"/>
        <v>0</v>
      </c>
      <c r="AT271" s="10">
        <f t="shared" ca="1" si="422"/>
        <v>0</v>
      </c>
      <c r="AU271" s="10">
        <f t="shared" ca="1" si="422"/>
        <v>0</v>
      </c>
      <c r="AV271" s="10">
        <f t="shared" ca="1" si="422"/>
        <v>0</v>
      </c>
      <c r="AW271" s="10">
        <f t="shared" ca="1" si="422"/>
        <v>0</v>
      </c>
      <c r="AX271" s="10">
        <f t="shared" ca="1" si="422"/>
        <v>0</v>
      </c>
      <c r="AY271" s="10">
        <f t="shared" ca="1" si="422"/>
        <v>0</v>
      </c>
      <c r="AZ271" s="10">
        <f t="shared" ca="1" si="422"/>
        <v>0</v>
      </c>
      <c r="BA271" s="10">
        <f t="shared" ca="1" si="422"/>
        <v>0</v>
      </c>
      <c r="BB271" s="10">
        <f t="shared" ca="1" si="422"/>
        <v>0</v>
      </c>
      <c r="BC271" s="10">
        <f t="shared" ca="1" si="422"/>
        <v>0</v>
      </c>
      <c r="BD271" s="10">
        <f t="shared" ca="1" si="422"/>
        <v>0</v>
      </c>
      <c r="BE271" s="10">
        <f t="shared" ca="1" si="422"/>
        <v>0</v>
      </c>
      <c r="BF271" s="10">
        <f t="shared" ca="1" si="422"/>
        <v>0</v>
      </c>
      <c r="BG271" s="10">
        <f t="shared" ca="1" si="422"/>
        <v>0</v>
      </c>
      <c r="BH271" s="10">
        <f t="shared" ca="1" si="422"/>
        <v>0</v>
      </c>
      <c r="BI271" s="10">
        <f t="shared" ca="1" si="422"/>
        <v>0</v>
      </c>
      <c r="BJ271" s="10">
        <f t="shared" ca="1" si="422"/>
        <v>0</v>
      </c>
      <c r="BK271" s="10">
        <f t="shared" ca="1" si="422"/>
        <v>0</v>
      </c>
      <c r="BL271" s="10">
        <f t="shared" ca="1" si="422"/>
        <v>0</v>
      </c>
      <c r="BM271" s="10">
        <f t="shared" ca="1" si="422"/>
        <v>0</v>
      </c>
      <c r="BN271" s="10">
        <f t="shared" ca="1" si="422"/>
        <v>0</v>
      </c>
      <c r="BO271" s="10">
        <f t="shared" ca="1" si="422"/>
        <v>0</v>
      </c>
      <c r="BP271" s="10">
        <f t="shared" ca="1" si="422"/>
        <v>0</v>
      </c>
      <c r="BQ271" s="10">
        <f t="shared" ca="1" si="422"/>
        <v>0</v>
      </c>
      <c r="BR271" s="10">
        <f t="shared" ca="1" si="422"/>
        <v>0</v>
      </c>
      <c r="BS271" s="10">
        <f t="shared" ca="1" si="422"/>
        <v>0</v>
      </c>
      <c r="BT271" s="10">
        <f t="shared" ca="1" si="422"/>
        <v>0</v>
      </c>
      <c r="BU271" s="10">
        <f t="shared" ca="1" si="422"/>
        <v>0</v>
      </c>
      <c r="BV271" s="10">
        <f t="shared" ca="1" si="422"/>
        <v>0</v>
      </c>
      <c r="BW271" s="10">
        <f t="shared" ca="1" si="422"/>
        <v>0</v>
      </c>
      <c r="BX271" s="10">
        <f t="shared" ca="1" si="422"/>
        <v>0</v>
      </c>
      <c r="BY271" s="10">
        <f t="shared" ca="1" si="422"/>
        <v>0</v>
      </c>
      <c r="BZ271" s="10">
        <f t="shared" ca="1" si="422"/>
        <v>0</v>
      </c>
      <c r="CA271" s="10">
        <f t="shared" ca="1" si="422"/>
        <v>0</v>
      </c>
      <c r="CB271" s="10">
        <f t="shared" ca="1" si="422"/>
        <v>0</v>
      </c>
      <c r="CC271" s="10">
        <f t="shared" ca="1" si="422"/>
        <v>0</v>
      </c>
      <c r="CD271" s="10">
        <f t="shared" ca="1" si="422"/>
        <v>0</v>
      </c>
      <c r="CE271" s="10">
        <f t="shared" ca="1" si="422"/>
        <v>0</v>
      </c>
      <c r="CF271" s="10">
        <f t="shared" ref="CF271:CO271" ca="1" si="423">SUM(CF254:CF257)</f>
        <v>0</v>
      </c>
      <c r="CG271" s="10">
        <f t="shared" ca="1" si="423"/>
        <v>0</v>
      </c>
      <c r="CH271" s="10">
        <f t="shared" ca="1" si="423"/>
        <v>0</v>
      </c>
      <c r="CI271" s="10">
        <f t="shared" ca="1" si="423"/>
        <v>0</v>
      </c>
      <c r="CJ271" s="10">
        <f t="shared" ca="1" si="423"/>
        <v>0</v>
      </c>
      <c r="CK271" s="10">
        <f t="shared" ca="1" si="423"/>
        <v>0</v>
      </c>
      <c r="CL271" s="10">
        <f t="shared" ca="1" si="423"/>
        <v>0</v>
      </c>
      <c r="CM271" s="10">
        <f t="shared" ca="1" si="423"/>
        <v>0</v>
      </c>
      <c r="CN271" s="10">
        <f t="shared" ca="1" si="423"/>
        <v>0</v>
      </c>
      <c r="CO271" s="10">
        <f t="shared" ca="1" si="423"/>
        <v>0</v>
      </c>
    </row>
    <row r="272" spans="1:93">
      <c r="A272" s="77"/>
      <c r="B272" s="101"/>
      <c r="C272" s="17" t="s">
        <v>315</v>
      </c>
      <c r="D272" s="69"/>
      <c r="E272" s="62"/>
      <c r="F272" s="70"/>
      <c r="G272" s="11" t="str">
        <f t="shared" si="401"/>
        <v>тыс. руб.</v>
      </c>
      <c r="H272" s="69"/>
      <c r="I272" s="23">
        <f t="shared" si="402"/>
        <v>0</v>
      </c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  <c r="CG272" s="10"/>
      <c r="CH272" s="10"/>
      <c r="CI272" s="10"/>
      <c r="CJ272" s="10"/>
      <c r="CK272" s="10"/>
      <c r="CL272" s="10"/>
      <c r="CM272" s="10"/>
      <c r="CN272" s="10"/>
      <c r="CO272" s="10"/>
    </row>
    <row r="273" spans="1:93">
      <c r="A273" s="77"/>
      <c r="B273" s="101"/>
      <c r="C273" s="17" t="s">
        <v>1094</v>
      </c>
      <c r="D273" s="10"/>
      <c r="E273" s="184">
        <f xml:space="preserve"> Предпосылки!E152</f>
        <v>0</v>
      </c>
      <c r="F273" s="10"/>
      <c r="G273" s="11" t="str">
        <f>Monetary_Unit</f>
        <v>тыс. руб.</v>
      </c>
      <c r="H273" s="10"/>
      <c r="I273" s="23">
        <f>SUM(L273:CM273)</f>
        <v>0</v>
      </c>
      <c r="J273" s="10"/>
      <c r="K273" s="10"/>
      <c r="L273" s="10">
        <f>$E273 * L$314</f>
        <v>0</v>
      </c>
      <c r="M273" s="10">
        <f t="shared" ref="M273:BX274" si="424">$E273 * M$314</f>
        <v>0</v>
      </c>
      <c r="N273" s="10">
        <f>$E273 * N$314</f>
        <v>0</v>
      </c>
      <c r="O273" s="10">
        <f t="shared" si="424"/>
        <v>0</v>
      </c>
      <c r="P273" s="10">
        <f t="shared" si="424"/>
        <v>0</v>
      </c>
      <c r="Q273" s="10">
        <f t="shared" si="424"/>
        <v>0</v>
      </c>
      <c r="R273" s="10">
        <f t="shared" si="424"/>
        <v>0</v>
      </c>
      <c r="S273" s="10">
        <f t="shared" si="424"/>
        <v>0</v>
      </c>
      <c r="T273" s="10">
        <f t="shared" si="424"/>
        <v>0</v>
      </c>
      <c r="U273" s="10">
        <f t="shared" si="424"/>
        <v>0</v>
      </c>
      <c r="V273" s="10">
        <f t="shared" si="424"/>
        <v>0</v>
      </c>
      <c r="W273" s="10">
        <f t="shared" si="424"/>
        <v>0</v>
      </c>
      <c r="X273" s="10">
        <f t="shared" si="424"/>
        <v>0</v>
      </c>
      <c r="Y273" s="10">
        <f t="shared" si="424"/>
        <v>0</v>
      </c>
      <c r="Z273" s="10">
        <f t="shared" si="424"/>
        <v>0</v>
      </c>
      <c r="AA273" s="10">
        <f t="shared" si="424"/>
        <v>0</v>
      </c>
      <c r="AB273" s="10">
        <f t="shared" si="424"/>
        <v>0</v>
      </c>
      <c r="AC273" s="10">
        <f t="shared" si="424"/>
        <v>0</v>
      </c>
      <c r="AD273" s="10">
        <f t="shared" si="424"/>
        <v>0</v>
      </c>
      <c r="AE273" s="10">
        <f t="shared" si="424"/>
        <v>0</v>
      </c>
      <c r="AF273" s="10">
        <f t="shared" si="424"/>
        <v>0</v>
      </c>
      <c r="AG273" s="10">
        <f t="shared" si="424"/>
        <v>0</v>
      </c>
      <c r="AH273" s="10">
        <f t="shared" si="424"/>
        <v>0</v>
      </c>
      <c r="AI273" s="10">
        <f t="shared" si="424"/>
        <v>0</v>
      </c>
      <c r="AJ273" s="10">
        <f t="shared" si="424"/>
        <v>0</v>
      </c>
      <c r="AK273" s="10">
        <f t="shared" si="424"/>
        <v>0</v>
      </c>
      <c r="AL273" s="10">
        <f t="shared" si="424"/>
        <v>0</v>
      </c>
      <c r="AM273" s="10">
        <f t="shared" si="424"/>
        <v>0</v>
      </c>
      <c r="AN273" s="10">
        <f t="shared" si="424"/>
        <v>0</v>
      </c>
      <c r="AO273" s="10">
        <f t="shared" si="424"/>
        <v>0</v>
      </c>
      <c r="AP273" s="10">
        <f t="shared" si="424"/>
        <v>0</v>
      </c>
      <c r="AQ273" s="10">
        <f t="shared" si="424"/>
        <v>0</v>
      </c>
      <c r="AR273" s="10">
        <f t="shared" si="424"/>
        <v>0</v>
      </c>
      <c r="AS273" s="10">
        <f t="shared" si="424"/>
        <v>0</v>
      </c>
      <c r="AT273" s="10">
        <f t="shared" si="424"/>
        <v>0</v>
      </c>
      <c r="AU273" s="10">
        <f t="shared" si="424"/>
        <v>0</v>
      </c>
      <c r="AV273" s="10">
        <f t="shared" si="424"/>
        <v>0</v>
      </c>
      <c r="AW273" s="10">
        <f t="shared" si="424"/>
        <v>0</v>
      </c>
      <c r="AX273" s="10">
        <f t="shared" si="424"/>
        <v>0</v>
      </c>
      <c r="AY273" s="10">
        <f t="shared" si="424"/>
        <v>0</v>
      </c>
      <c r="AZ273" s="10">
        <f t="shared" si="424"/>
        <v>0</v>
      </c>
      <c r="BA273" s="10">
        <f t="shared" si="424"/>
        <v>0</v>
      </c>
      <c r="BB273" s="10">
        <f t="shared" si="424"/>
        <v>0</v>
      </c>
      <c r="BC273" s="10">
        <f t="shared" si="424"/>
        <v>0</v>
      </c>
      <c r="BD273" s="10">
        <f t="shared" si="424"/>
        <v>0</v>
      </c>
      <c r="BE273" s="10">
        <f t="shared" si="424"/>
        <v>0</v>
      </c>
      <c r="BF273" s="10">
        <f t="shared" si="424"/>
        <v>0</v>
      </c>
      <c r="BG273" s="10">
        <f t="shared" si="424"/>
        <v>0</v>
      </c>
      <c r="BH273" s="10">
        <f t="shared" si="424"/>
        <v>0</v>
      </c>
      <c r="BI273" s="10">
        <f t="shared" si="424"/>
        <v>0</v>
      </c>
      <c r="BJ273" s="10">
        <f t="shared" si="424"/>
        <v>0</v>
      </c>
      <c r="BK273" s="10">
        <f t="shared" si="424"/>
        <v>0</v>
      </c>
      <c r="BL273" s="10">
        <f t="shared" si="424"/>
        <v>0</v>
      </c>
      <c r="BM273" s="10">
        <f t="shared" si="424"/>
        <v>0</v>
      </c>
      <c r="BN273" s="10">
        <f t="shared" si="424"/>
        <v>0</v>
      </c>
      <c r="BO273" s="10">
        <f t="shared" si="424"/>
        <v>0</v>
      </c>
      <c r="BP273" s="10">
        <f t="shared" si="424"/>
        <v>0</v>
      </c>
      <c r="BQ273" s="10">
        <f t="shared" si="424"/>
        <v>0</v>
      </c>
      <c r="BR273" s="10">
        <f t="shared" si="424"/>
        <v>0</v>
      </c>
      <c r="BS273" s="10">
        <f t="shared" si="424"/>
        <v>0</v>
      </c>
      <c r="BT273" s="10">
        <f t="shared" si="424"/>
        <v>0</v>
      </c>
      <c r="BU273" s="10">
        <f t="shared" si="424"/>
        <v>0</v>
      </c>
      <c r="BV273" s="10">
        <f t="shared" si="424"/>
        <v>0</v>
      </c>
      <c r="BW273" s="10">
        <f t="shared" si="424"/>
        <v>0</v>
      </c>
      <c r="BX273" s="10">
        <f t="shared" si="424"/>
        <v>0</v>
      </c>
      <c r="BY273" s="10">
        <f t="shared" ref="BY273:CO275" si="425">$E273 * BY$314</f>
        <v>0</v>
      </c>
      <c r="BZ273" s="10">
        <f t="shared" si="425"/>
        <v>0</v>
      </c>
      <c r="CA273" s="10">
        <f t="shared" si="425"/>
        <v>0</v>
      </c>
      <c r="CB273" s="10">
        <f t="shared" si="425"/>
        <v>0</v>
      </c>
      <c r="CC273" s="10">
        <f t="shared" si="425"/>
        <v>0</v>
      </c>
      <c r="CD273" s="10">
        <f t="shared" si="425"/>
        <v>0</v>
      </c>
      <c r="CE273" s="10">
        <f t="shared" si="425"/>
        <v>0</v>
      </c>
      <c r="CF273" s="10">
        <f t="shared" si="425"/>
        <v>0</v>
      </c>
      <c r="CG273" s="10">
        <f t="shared" si="425"/>
        <v>0</v>
      </c>
      <c r="CH273" s="10">
        <f t="shared" si="425"/>
        <v>0</v>
      </c>
      <c r="CI273" s="10">
        <f t="shared" si="425"/>
        <v>0</v>
      </c>
      <c r="CJ273" s="10">
        <f t="shared" si="425"/>
        <v>0</v>
      </c>
      <c r="CK273" s="10">
        <f t="shared" si="425"/>
        <v>0</v>
      </c>
      <c r="CL273" s="10">
        <f t="shared" si="425"/>
        <v>0</v>
      </c>
      <c r="CM273" s="10">
        <f t="shared" si="425"/>
        <v>0</v>
      </c>
      <c r="CN273" s="10">
        <f t="shared" si="425"/>
        <v>0</v>
      </c>
      <c r="CO273" s="10">
        <f t="shared" si="425"/>
        <v>0</v>
      </c>
    </row>
    <row r="274" spans="1:93">
      <c r="A274" s="77"/>
      <c r="B274" s="101"/>
      <c r="C274" s="17" t="s">
        <v>1093</v>
      </c>
      <c r="D274" s="10"/>
      <c r="E274" s="184">
        <f xml:space="preserve"> Предпосылки!E153</f>
        <v>0</v>
      </c>
      <c r="F274" s="10"/>
      <c r="G274" s="11" t="str">
        <f>Monetary_Unit</f>
        <v>тыс. руб.</v>
      </c>
      <c r="H274" s="10"/>
      <c r="I274" s="23">
        <f>SUM(L274:CM274)</f>
        <v>0</v>
      </c>
      <c r="J274" s="10"/>
      <c r="K274" s="10"/>
      <c r="L274" s="10">
        <f t="shared" ref="L274:AA275" si="426">$E274 * L$314</f>
        <v>0</v>
      </c>
      <c r="M274" s="10">
        <f t="shared" si="426"/>
        <v>0</v>
      </c>
      <c r="N274" s="10">
        <f t="shared" si="426"/>
        <v>0</v>
      </c>
      <c r="O274" s="10">
        <f t="shared" si="426"/>
        <v>0</v>
      </c>
      <c r="P274" s="10">
        <f t="shared" si="426"/>
        <v>0</v>
      </c>
      <c r="Q274" s="10">
        <f t="shared" si="426"/>
        <v>0</v>
      </c>
      <c r="R274" s="10">
        <f t="shared" si="426"/>
        <v>0</v>
      </c>
      <c r="S274" s="10">
        <f t="shared" si="426"/>
        <v>0</v>
      </c>
      <c r="T274" s="10">
        <f t="shared" si="426"/>
        <v>0</v>
      </c>
      <c r="U274" s="10">
        <f t="shared" si="426"/>
        <v>0</v>
      </c>
      <c r="V274" s="10">
        <f t="shared" si="426"/>
        <v>0</v>
      </c>
      <c r="W274" s="10">
        <f t="shared" si="426"/>
        <v>0</v>
      </c>
      <c r="X274" s="10">
        <f t="shared" si="426"/>
        <v>0</v>
      </c>
      <c r="Y274" s="10">
        <f t="shared" si="426"/>
        <v>0</v>
      </c>
      <c r="Z274" s="10">
        <f t="shared" si="426"/>
        <v>0</v>
      </c>
      <c r="AA274" s="10">
        <f t="shared" si="426"/>
        <v>0</v>
      </c>
      <c r="AB274" s="10">
        <f t="shared" si="424"/>
        <v>0</v>
      </c>
      <c r="AC274" s="10">
        <f t="shared" si="424"/>
        <v>0</v>
      </c>
      <c r="AD274" s="10">
        <f t="shared" si="424"/>
        <v>0</v>
      </c>
      <c r="AE274" s="10">
        <f t="shared" si="424"/>
        <v>0</v>
      </c>
      <c r="AF274" s="10">
        <f t="shared" si="424"/>
        <v>0</v>
      </c>
      <c r="AG274" s="10">
        <f t="shared" si="424"/>
        <v>0</v>
      </c>
      <c r="AH274" s="10">
        <f t="shared" si="424"/>
        <v>0</v>
      </c>
      <c r="AI274" s="10">
        <f t="shared" si="424"/>
        <v>0</v>
      </c>
      <c r="AJ274" s="10">
        <f t="shared" si="424"/>
        <v>0</v>
      </c>
      <c r="AK274" s="10">
        <f t="shared" si="424"/>
        <v>0</v>
      </c>
      <c r="AL274" s="10">
        <f t="shared" si="424"/>
        <v>0</v>
      </c>
      <c r="AM274" s="10">
        <f t="shared" si="424"/>
        <v>0</v>
      </c>
      <c r="AN274" s="10">
        <f t="shared" si="424"/>
        <v>0</v>
      </c>
      <c r="AO274" s="10">
        <f t="shared" si="424"/>
        <v>0</v>
      </c>
      <c r="AP274" s="10">
        <f t="shared" si="424"/>
        <v>0</v>
      </c>
      <c r="AQ274" s="10">
        <f t="shared" si="424"/>
        <v>0</v>
      </c>
      <c r="AR274" s="10">
        <f t="shared" si="424"/>
        <v>0</v>
      </c>
      <c r="AS274" s="10">
        <f t="shared" si="424"/>
        <v>0</v>
      </c>
      <c r="AT274" s="10">
        <f t="shared" si="424"/>
        <v>0</v>
      </c>
      <c r="AU274" s="10">
        <f t="shared" si="424"/>
        <v>0</v>
      </c>
      <c r="AV274" s="10">
        <f t="shared" si="424"/>
        <v>0</v>
      </c>
      <c r="AW274" s="10">
        <f t="shared" si="424"/>
        <v>0</v>
      </c>
      <c r="AX274" s="10">
        <f t="shared" si="424"/>
        <v>0</v>
      </c>
      <c r="AY274" s="10">
        <f t="shared" si="424"/>
        <v>0</v>
      </c>
      <c r="AZ274" s="10">
        <f t="shared" si="424"/>
        <v>0</v>
      </c>
      <c r="BA274" s="10">
        <f t="shared" si="424"/>
        <v>0</v>
      </c>
      <c r="BB274" s="10">
        <f t="shared" si="424"/>
        <v>0</v>
      </c>
      <c r="BC274" s="10">
        <f t="shared" si="424"/>
        <v>0</v>
      </c>
      <c r="BD274" s="10">
        <f t="shared" si="424"/>
        <v>0</v>
      </c>
      <c r="BE274" s="10">
        <f t="shared" si="424"/>
        <v>0</v>
      </c>
      <c r="BF274" s="10">
        <f t="shared" si="424"/>
        <v>0</v>
      </c>
      <c r="BG274" s="10">
        <f t="shared" si="424"/>
        <v>0</v>
      </c>
      <c r="BH274" s="10">
        <f t="shared" si="424"/>
        <v>0</v>
      </c>
      <c r="BI274" s="10">
        <f t="shared" si="424"/>
        <v>0</v>
      </c>
      <c r="BJ274" s="10">
        <f t="shared" si="424"/>
        <v>0</v>
      </c>
      <c r="BK274" s="10">
        <f t="shared" si="424"/>
        <v>0</v>
      </c>
      <c r="BL274" s="10">
        <f t="shared" si="424"/>
        <v>0</v>
      </c>
      <c r="BM274" s="10">
        <f t="shared" si="424"/>
        <v>0</v>
      </c>
      <c r="BN274" s="10">
        <f t="shared" si="424"/>
        <v>0</v>
      </c>
      <c r="BO274" s="10">
        <f t="shared" si="424"/>
        <v>0</v>
      </c>
      <c r="BP274" s="10">
        <f t="shared" si="424"/>
        <v>0</v>
      </c>
      <c r="BQ274" s="10">
        <f t="shared" si="424"/>
        <v>0</v>
      </c>
      <c r="BR274" s="10">
        <f t="shared" si="424"/>
        <v>0</v>
      </c>
      <c r="BS274" s="10">
        <f t="shared" si="424"/>
        <v>0</v>
      </c>
      <c r="BT274" s="10">
        <f t="shared" si="424"/>
        <v>0</v>
      </c>
      <c r="BU274" s="10">
        <f t="shared" si="424"/>
        <v>0</v>
      </c>
      <c r="BV274" s="10">
        <f t="shared" si="424"/>
        <v>0</v>
      </c>
      <c r="BW274" s="10">
        <f t="shared" si="424"/>
        <v>0</v>
      </c>
      <c r="BX274" s="10">
        <f t="shared" si="424"/>
        <v>0</v>
      </c>
      <c r="BY274" s="10">
        <f t="shared" si="425"/>
        <v>0</v>
      </c>
      <c r="BZ274" s="10">
        <f t="shared" si="425"/>
        <v>0</v>
      </c>
      <c r="CA274" s="10">
        <f t="shared" si="425"/>
        <v>0</v>
      </c>
      <c r="CB274" s="10">
        <f t="shared" si="425"/>
        <v>0</v>
      </c>
      <c r="CC274" s="10">
        <f t="shared" si="425"/>
        <v>0</v>
      </c>
      <c r="CD274" s="10">
        <f t="shared" si="425"/>
        <v>0</v>
      </c>
      <c r="CE274" s="10">
        <f t="shared" si="425"/>
        <v>0</v>
      </c>
      <c r="CF274" s="10">
        <f t="shared" si="425"/>
        <v>0</v>
      </c>
      <c r="CG274" s="10">
        <f t="shared" si="425"/>
        <v>0</v>
      </c>
      <c r="CH274" s="10">
        <f t="shared" si="425"/>
        <v>0</v>
      </c>
      <c r="CI274" s="10">
        <f t="shared" si="425"/>
        <v>0</v>
      </c>
      <c r="CJ274" s="10">
        <f t="shared" si="425"/>
        <v>0</v>
      </c>
      <c r="CK274" s="10">
        <f t="shared" si="425"/>
        <v>0</v>
      </c>
      <c r="CL274" s="10">
        <f t="shared" si="425"/>
        <v>0</v>
      </c>
      <c r="CM274" s="10">
        <f t="shared" si="425"/>
        <v>0</v>
      </c>
      <c r="CN274" s="10">
        <f t="shared" si="425"/>
        <v>0</v>
      </c>
      <c r="CO274" s="10">
        <f t="shared" si="425"/>
        <v>0</v>
      </c>
    </row>
    <row r="275" spans="1:93" ht="15.75" thickBot="1">
      <c r="A275" s="77"/>
      <c r="B275" s="101"/>
      <c r="C275" s="17" t="s">
        <v>1082</v>
      </c>
      <c r="D275" s="10"/>
      <c r="E275" s="184">
        <f xml:space="preserve"> Предпосылки!E154</f>
        <v>0</v>
      </c>
      <c r="F275" s="10"/>
      <c r="G275" s="11" t="str">
        <f>Monetary_Unit</f>
        <v>тыс. руб.</v>
      </c>
      <c r="H275" s="10"/>
      <c r="I275" s="23">
        <f>SUM(L275:CM275)</f>
        <v>0</v>
      </c>
      <c r="J275" s="10"/>
      <c r="K275" s="10"/>
      <c r="L275" s="10">
        <f t="shared" si="426"/>
        <v>0</v>
      </c>
      <c r="M275" s="10">
        <f t="shared" ref="M275:BX275" si="427">$E275 * M$314</f>
        <v>0</v>
      </c>
      <c r="N275" s="10">
        <f t="shared" si="427"/>
        <v>0</v>
      </c>
      <c r="O275" s="10">
        <f t="shared" si="427"/>
        <v>0</v>
      </c>
      <c r="P275" s="10">
        <f t="shared" si="427"/>
        <v>0</v>
      </c>
      <c r="Q275" s="10">
        <f t="shared" si="427"/>
        <v>0</v>
      </c>
      <c r="R275" s="10">
        <f t="shared" si="427"/>
        <v>0</v>
      </c>
      <c r="S275" s="10">
        <f t="shared" si="427"/>
        <v>0</v>
      </c>
      <c r="T275" s="10">
        <f t="shared" si="427"/>
        <v>0</v>
      </c>
      <c r="U275" s="10">
        <f t="shared" si="427"/>
        <v>0</v>
      </c>
      <c r="V275" s="10">
        <f t="shared" si="427"/>
        <v>0</v>
      </c>
      <c r="W275" s="10">
        <f t="shared" si="427"/>
        <v>0</v>
      </c>
      <c r="X275" s="10">
        <f t="shared" si="427"/>
        <v>0</v>
      </c>
      <c r="Y275" s="10">
        <f t="shared" si="427"/>
        <v>0</v>
      </c>
      <c r="Z275" s="10">
        <f t="shared" si="427"/>
        <v>0</v>
      </c>
      <c r="AA275" s="10">
        <f t="shared" si="427"/>
        <v>0</v>
      </c>
      <c r="AB275" s="10">
        <f t="shared" si="427"/>
        <v>0</v>
      </c>
      <c r="AC275" s="10">
        <f t="shared" si="427"/>
        <v>0</v>
      </c>
      <c r="AD275" s="10">
        <f t="shared" si="427"/>
        <v>0</v>
      </c>
      <c r="AE275" s="10">
        <f t="shared" si="427"/>
        <v>0</v>
      </c>
      <c r="AF275" s="10">
        <f t="shared" si="427"/>
        <v>0</v>
      </c>
      <c r="AG275" s="10">
        <f t="shared" si="427"/>
        <v>0</v>
      </c>
      <c r="AH275" s="10">
        <f t="shared" si="427"/>
        <v>0</v>
      </c>
      <c r="AI275" s="10">
        <f t="shared" si="427"/>
        <v>0</v>
      </c>
      <c r="AJ275" s="10">
        <f t="shared" si="427"/>
        <v>0</v>
      </c>
      <c r="AK275" s="10">
        <f t="shared" si="427"/>
        <v>0</v>
      </c>
      <c r="AL275" s="10">
        <f t="shared" si="427"/>
        <v>0</v>
      </c>
      <c r="AM275" s="10">
        <f t="shared" si="427"/>
        <v>0</v>
      </c>
      <c r="AN275" s="10">
        <f t="shared" si="427"/>
        <v>0</v>
      </c>
      <c r="AO275" s="10">
        <f t="shared" si="427"/>
        <v>0</v>
      </c>
      <c r="AP275" s="10">
        <f t="shared" si="427"/>
        <v>0</v>
      </c>
      <c r="AQ275" s="10">
        <f t="shared" si="427"/>
        <v>0</v>
      </c>
      <c r="AR275" s="10">
        <f t="shared" si="427"/>
        <v>0</v>
      </c>
      <c r="AS275" s="10">
        <f t="shared" si="427"/>
        <v>0</v>
      </c>
      <c r="AT275" s="10">
        <f t="shared" si="427"/>
        <v>0</v>
      </c>
      <c r="AU275" s="10">
        <f t="shared" si="427"/>
        <v>0</v>
      </c>
      <c r="AV275" s="10">
        <f t="shared" si="427"/>
        <v>0</v>
      </c>
      <c r="AW275" s="10">
        <f t="shared" si="427"/>
        <v>0</v>
      </c>
      <c r="AX275" s="10">
        <f t="shared" si="427"/>
        <v>0</v>
      </c>
      <c r="AY275" s="10">
        <f t="shared" si="427"/>
        <v>0</v>
      </c>
      <c r="AZ275" s="10">
        <f t="shared" si="427"/>
        <v>0</v>
      </c>
      <c r="BA275" s="10">
        <f t="shared" si="427"/>
        <v>0</v>
      </c>
      <c r="BB275" s="10">
        <f t="shared" si="427"/>
        <v>0</v>
      </c>
      <c r="BC275" s="10">
        <f t="shared" si="427"/>
        <v>0</v>
      </c>
      <c r="BD275" s="10">
        <f t="shared" si="427"/>
        <v>0</v>
      </c>
      <c r="BE275" s="10">
        <f t="shared" si="427"/>
        <v>0</v>
      </c>
      <c r="BF275" s="10">
        <f t="shared" si="427"/>
        <v>0</v>
      </c>
      <c r="BG275" s="10">
        <f t="shared" si="427"/>
        <v>0</v>
      </c>
      <c r="BH275" s="10">
        <f t="shared" si="427"/>
        <v>0</v>
      </c>
      <c r="BI275" s="10">
        <f t="shared" si="427"/>
        <v>0</v>
      </c>
      <c r="BJ275" s="10">
        <f t="shared" si="427"/>
        <v>0</v>
      </c>
      <c r="BK275" s="10">
        <f t="shared" si="427"/>
        <v>0</v>
      </c>
      <c r="BL275" s="10">
        <f t="shared" si="427"/>
        <v>0</v>
      </c>
      <c r="BM275" s="10">
        <f t="shared" si="427"/>
        <v>0</v>
      </c>
      <c r="BN275" s="10">
        <f t="shared" si="427"/>
        <v>0</v>
      </c>
      <c r="BO275" s="10">
        <f t="shared" si="427"/>
        <v>0</v>
      </c>
      <c r="BP275" s="10">
        <f t="shared" si="427"/>
        <v>0</v>
      </c>
      <c r="BQ275" s="10">
        <f t="shared" si="427"/>
        <v>0</v>
      </c>
      <c r="BR275" s="10">
        <f t="shared" si="427"/>
        <v>0</v>
      </c>
      <c r="BS275" s="10">
        <f t="shared" si="427"/>
        <v>0</v>
      </c>
      <c r="BT275" s="10">
        <f t="shared" si="427"/>
        <v>0</v>
      </c>
      <c r="BU275" s="10">
        <f t="shared" si="427"/>
        <v>0</v>
      </c>
      <c r="BV275" s="10">
        <f t="shared" si="427"/>
        <v>0</v>
      </c>
      <c r="BW275" s="10">
        <f t="shared" si="427"/>
        <v>0</v>
      </c>
      <c r="BX275" s="10">
        <f t="shared" si="427"/>
        <v>0</v>
      </c>
      <c r="BY275" s="10">
        <f t="shared" si="425"/>
        <v>0</v>
      </c>
      <c r="BZ275" s="10">
        <f t="shared" si="425"/>
        <v>0</v>
      </c>
      <c r="CA275" s="10">
        <f t="shared" si="425"/>
        <v>0</v>
      </c>
      <c r="CB275" s="10">
        <f t="shared" si="425"/>
        <v>0</v>
      </c>
      <c r="CC275" s="10">
        <f t="shared" si="425"/>
        <v>0</v>
      </c>
      <c r="CD275" s="10">
        <f t="shared" si="425"/>
        <v>0</v>
      </c>
      <c r="CE275" s="10">
        <f t="shared" si="425"/>
        <v>0</v>
      </c>
      <c r="CF275" s="10">
        <f t="shared" si="425"/>
        <v>0</v>
      </c>
      <c r="CG275" s="10">
        <f t="shared" si="425"/>
        <v>0</v>
      </c>
      <c r="CH275" s="10">
        <f t="shared" si="425"/>
        <v>0</v>
      </c>
      <c r="CI275" s="10">
        <f t="shared" si="425"/>
        <v>0</v>
      </c>
      <c r="CJ275" s="10">
        <f t="shared" si="425"/>
        <v>0</v>
      </c>
      <c r="CK275" s="10">
        <f t="shared" si="425"/>
        <v>0</v>
      </c>
      <c r="CL275" s="10">
        <f t="shared" si="425"/>
        <v>0</v>
      </c>
      <c r="CM275" s="10">
        <f t="shared" si="425"/>
        <v>0</v>
      </c>
      <c r="CN275" s="10">
        <f t="shared" si="425"/>
        <v>0</v>
      </c>
      <c r="CO275" s="10">
        <f t="shared" si="425"/>
        <v>0</v>
      </c>
    </row>
    <row r="276" spans="1:93" ht="15.75" thickTop="1">
      <c r="A276" s="172"/>
      <c r="B276" s="175"/>
      <c r="C276" s="49" t="s">
        <v>579</v>
      </c>
      <c r="D276" s="49"/>
      <c r="E276" s="49"/>
      <c r="F276" s="49"/>
      <c r="G276" s="159" t="str">
        <f t="shared" si="401"/>
        <v>тыс. руб.</v>
      </c>
      <c r="H276" s="49"/>
      <c r="I276" s="176">
        <f t="shared" ca="1" si="402"/>
        <v>3087285.462287345</v>
      </c>
      <c r="J276" s="49"/>
      <c r="K276" s="49"/>
      <c r="L276" s="49">
        <f t="shared" ref="L276:AQ276" ca="1" si="428" xml:space="preserve"> SUM(L265:L275)</f>
        <v>16859.627844133964</v>
      </c>
      <c r="M276" s="49">
        <f t="shared" ca="1" si="428"/>
        <v>17098.948363166921</v>
      </c>
      <c r="N276" s="49">
        <f t="shared" ca="1" si="428"/>
        <v>17341.666010022611</v>
      </c>
      <c r="O276" s="49">
        <f t="shared" ca="1" si="428"/>
        <v>17587.829006547992</v>
      </c>
      <c r="P276" s="49">
        <f t="shared" ca="1" si="428"/>
        <v>147908.74218730364</v>
      </c>
      <c r="Q276" s="49">
        <f t="shared" ca="1" si="428"/>
        <v>149366.14715622176</v>
      </c>
      <c r="R276" s="49">
        <f t="shared" ca="1" si="428"/>
        <v>150837.91252880514</v>
      </c>
      <c r="S276" s="49">
        <f t="shared" ca="1" si="428"/>
        <v>152324.1798039492</v>
      </c>
      <c r="T276" s="49">
        <f t="shared" ca="1" si="428"/>
        <v>153825.09187479576</v>
      </c>
      <c r="U276" s="49">
        <f t="shared" ca="1" si="428"/>
        <v>155340.79304247064</v>
      </c>
      <c r="V276" s="49">
        <f t="shared" ca="1" si="428"/>
        <v>156871.42902995727</v>
      </c>
      <c r="W276" s="49">
        <f t="shared" ca="1" si="428"/>
        <v>158417.14699610716</v>
      </c>
      <c r="X276" s="49">
        <f t="shared" ca="1" si="428"/>
        <v>306312.90818037908</v>
      </c>
      <c r="Y276" s="49">
        <f t="shared" ca="1" si="428"/>
        <v>309331.13379587734</v>
      </c>
      <c r="Z276" s="49">
        <f t="shared" ca="1" si="428"/>
        <v>312379.09921542148</v>
      </c>
      <c r="AA276" s="49">
        <f t="shared" ca="1" si="428"/>
        <v>315457.0974773916</v>
      </c>
      <c r="AB276" s="49">
        <f t="shared" ca="1" si="428"/>
        <v>550025.70977479313</v>
      </c>
      <c r="AC276" s="49">
        <f t="shared" ca="1" si="428"/>
        <v>0</v>
      </c>
      <c r="AD276" s="49">
        <f t="shared" ca="1" si="428"/>
        <v>0</v>
      </c>
      <c r="AE276" s="49">
        <f t="shared" ca="1" si="428"/>
        <v>0</v>
      </c>
      <c r="AF276" s="49">
        <f t="shared" ca="1" si="428"/>
        <v>0</v>
      </c>
      <c r="AG276" s="49">
        <f t="shared" ca="1" si="428"/>
        <v>0</v>
      </c>
      <c r="AH276" s="49">
        <f t="shared" ca="1" si="428"/>
        <v>0</v>
      </c>
      <c r="AI276" s="49">
        <f t="shared" ca="1" si="428"/>
        <v>0</v>
      </c>
      <c r="AJ276" s="49">
        <f t="shared" ca="1" si="428"/>
        <v>0</v>
      </c>
      <c r="AK276" s="49">
        <f t="shared" ca="1" si="428"/>
        <v>0</v>
      </c>
      <c r="AL276" s="49">
        <f t="shared" ca="1" si="428"/>
        <v>0</v>
      </c>
      <c r="AM276" s="49">
        <f t="shared" ca="1" si="428"/>
        <v>0</v>
      </c>
      <c r="AN276" s="49">
        <f t="shared" ca="1" si="428"/>
        <v>0</v>
      </c>
      <c r="AO276" s="49">
        <f t="shared" ca="1" si="428"/>
        <v>0</v>
      </c>
      <c r="AP276" s="49">
        <f t="shared" ca="1" si="428"/>
        <v>0</v>
      </c>
      <c r="AQ276" s="49">
        <f t="shared" ca="1" si="428"/>
        <v>0</v>
      </c>
      <c r="AR276" s="49">
        <f t="shared" ref="AR276:BW276" ca="1" si="429" xml:space="preserve"> SUM(AR265:AR275)</f>
        <v>0</v>
      </c>
      <c r="AS276" s="49">
        <f t="shared" ca="1" si="429"/>
        <v>0</v>
      </c>
      <c r="AT276" s="49">
        <f t="shared" ca="1" si="429"/>
        <v>0</v>
      </c>
      <c r="AU276" s="49">
        <f t="shared" ca="1" si="429"/>
        <v>0</v>
      </c>
      <c r="AV276" s="49">
        <f t="shared" ca="1" si="429"/>
        <v>0</v>
      </c>
      <c r="AW276" s="49">
        <f t="shared" ca="1" si="429"/>
        <v>0</v>
      </c>
      <c r="AX276" s="49">
        <f t="shared" ca="1" si="429"/>
        <v>0</v>
      </c>
      <c r="AY276" s="49">
        <f t="shared" ca="1" si="429"/>
        <v>0</v>
      </c>
      <c r="AZ276" s="49">
        <f t="shared" ca="1" si="429"/>
        <v>0</v>
      </c>
      <c r="BA276" s="49">
        <f t="shared" ca="1" si="429"/>
        <v>0</v>
      </c>
      <c r="BB276" s="49">
        <f t="shared" ca="1" si="429"/>
        <v>0</v>
      </c>
      <c r="BC276" s="49">
        <f t="shared" ca="1" si="429"/>
        <v>0</v>
      </c>
      <c r="BD276" s="49">
        <f t="shared" ca="1" si="429"/>
        <v>0</v>
      </c>
      <c r="BE276" s="49">
        <f t="shared" ca="1" si="429"/>
        <v>0</v>
      </c>
      <c r="BF276" s="49">
        <f t="shared" ca="1" si="429"/>
        <v>0</v>
      </c>
      <c r="BG276" s="49">
        <f t="shared" ca="1" si="429"/>
        <v>0</v>
      </c>
      <c r="BH276" s="49">
        <f t="shared" ca="1" si="429"/>
        <v>0</v>
      </c>
      <c r="BI276" s="49">
        <f t="shared" ca="1" si="429"/>
        <v>0</v>
      </c>
      <c r="BJ276" s="49">
        <f t="shared" ca="1" si="429"/>
        <v>0</v>
      </c>
      <c r="BK276" s="49">
        <f t="shared" ca="1" si="429"/>
        <v>0</v>
      </c>
      <c r="BL276" s="49">
        <f t="shared" ca="1" si="429"/>
        <v>0</v>
      </c>
      <c r="BM276" s="49">
        <f t="shared" ca="1" si="429"/>
        <v>0</v>
      </c>
      <c r="BN276" s="49">
        <f t="shared" ca="1" si="429"/>
        <v>0</v>
      </c>
      <c r="BO276" s="49">
        <f t="shared" ca="1" si="429"/>
        <v>0</v>
      </c>
      <c r="BP276" s="49">
        <f t="shared" ca="1" si="429"/>
        <v>0</v>
      </c>
      <c r="BQ276" s="49">
        <f t="shared" ca="1" si="429"/>
        <v>0</v>
      </c>
      <c r="BR276" s="49">
        <f t="shared" ca="1" si="429"/>
        <v>0</v>
      </c>
      <c r="BS276" s="49">
        <f t="shared" ca="1" si="429"/>
        <v>0</v>
      </c>
      <c r="BT276" s="49">
        <f t="shared" ca="1" si="429"/>
        <v>0</v>
      </c>
      <c r="BU276" s="49">
        <f t="shared" ca="1" si="429"/>
        <v>0</v>
      </c>
      <c r="BV276" s="49">
        <f t="shared" ca="1" si="429"/>
        <v>0</v>
      </c>
      <c r="BW276" s="49">
        <f t="shared" ca="1" si="429"/>
        <v>0</v>
      </c>
      <c r="BX276" s="49">
        <f t="shared" ref="BX276:CO276" ca="1" si="430" xml:space="preserve"> SUM(BX265:BX275)</f>
        <v>0</v>
      </c>
      <c r="BY276" s="49">
        <f t="shared" ca="1" si="430"/>
        <v>0</v>
      </c>
      <c r="BZ276" s="49">
        <f t="shared" ca="1" si="430"/>
        <v>0</v>
      </c>
      <c r="CA276" s="49">
        <f t="shared" ca="1" si="430"/>
        <v>0</v>
      </c>
      <c r="CB276" s="49">
        <f t="shared" ca="1" si="430"/>
        <v>0</v>
      </c>
      <c r="CC276" s="49">
        <f t="shared" ca="1" si="430"/>
        <v>0</v>
      </c>
      <c r="CD276" s="49">
        <f t="shared" ca="1" si="430"/>
        <v>0</v>
      </c>
      <c r="CE276" s="49">
        <f t="shared" ca="1" si="430"/>
        <v>0</v>
      </c>
      <c r="CF276" s="49">
        <f t="shared" ca="1" si="430"/>
        <v>0</v>
      </c>
      <c r="CG276" s="49">
        <f t="shared" ca="1" si="430"/>
        <v>0</v>
      </c>
      <c r="CH276" s="49">
        <f t="shared" ca="1" si="430"/>
        <v>0</v>
      </c>
      <c r="CI276" s="49">
        <f t="shared" ca="1" si="430"/>
        <v>0</v>
      </c>
      <c r="CJ276" s="49">
        <f t="shared" ca="1" si="430"/>
        <v>0</v>
      </c>
      <c r="CK276" s="49">
        <f t="shared" ca="1" si="430"/>
        <v>0</v>
      </c>
      <c r="CL276" s="49">
        <f t="shared" ca="1" si="430"/>
        <v>0</v>
      </c>
      <c r="CM276" s="49">
        <f t="shared" ca="1" si="430"/>
        <v>0</v>
      </c>
      <c r="CN276" s="49">
        <f t="shared" ca="1" si="430"/>
        <v>0</v>
      </c>
      <c r="CO276" s="49">
        <f t="shared" ca="1" si="430"/>
        <v>0</v>
      </c>
    </row>
    <row r="277" spans="1:93">
      <c r="A277" s="77"/>
      <c r="B277" s="101"/>
      <c r="C277" s="102"/>
      <c r="D277" s="69"/>
      <c r="E277" s="62"/>
      <c r="F277" s="70"/>
      <c r="G277" s="11"/>
      <c r="H277" s="69"/>
      <c r="I277" s="69"/>
      <c r="J277" s="69"/>
      <c r="K277" s="69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  <c r="AK277" s="103"/>
      <c r="AL277" s="103"/>
      <c r="AM277" s="103"/>
      <c r="AN277" s="103"/>
      <c r="AO277" s="103"/>
      <c r="AP277" s="103"/>
      <c r="AQ277" s="103"/>
      <c r="AR277" s="103"/>
      <c r="AS277" s="103"/>
      <c r="AT277" s="103"/>
      <c r="AU277" s="103"/>
      <c r="AV277" s="103"/>
      <c r="AW277" s="103"/>
      <c r="AX277" s="103"/>
      <c r="AY277" s="103"/>
      <c r="AZ277" s="103"/>
      <c r="BA277" s="103"/>
      <c r="BB277" s="103"/>
      <c r="BC277" s="103"/>
      <c r="BD277" s="103"/>
      <c r="BE277" s="103"/>
      <c r="BF277" s="103"/>
      <c r="BG277" s="103"/>
      <c r="BH277" s="103"/>
      <c r="BI277" s="103"/>
      <c r="BJ277" s="103"/>
      <c r="BK277" s="103"/>
      <c r="BL277" s="103"/>
      <c r="BM277" s="103"/>
      <c r="BN277" s="103"/>
      <c r="BO277" s="103"/>
      <c r="BP277" s="103"/>
      <c r="BQ277" s="103"/>
      <c r="BR277" s="103"/>
      <c r="BS277" s="103"/>
      <c r="BT277" s="103"/>
      <c r="BU277" s="103"/>
      <c r="BV277" s="103"/>
      <c r="BW277" s="103"/>
      <c r="BX277" s="103"/>
      <c r="BY277" s="103"/>
      <c r="BZ277" s="103"/>
      <c r="CA277" s="103"/>
      <c r="CB277" s="103"/>
      <c r="CC277" s="103"/>
      <c r="CD277" s="103"/>
      <c r="CE277" s="103"/>
      <c r="CF277" s="103"/>
      <c r="CG277" s="103"/>
      <c r="CH277" s="103"/>
      <c r="CI277" s="103"/>
      <c r="CJ277" s="103"/>
      <c r="CK277" s="103"/>
      <c r="CL277" s="103"/>
      <c r="CM277" s="103"/>
      <c r="CN277" s="103"/>
      <c r="CO277" s="103"/>
    </row>
    <row r="278" spans="1:93">
      <c r="A278" s="77"/>
      <c r="B278" s="10"/>
      <c r="C278" s="16" t="s">
        <v>50</v>
      </c>
      <c r="D278" s="10"/>
      <c r="E278" s="62"/>
      <c r="F278" s="11"/>
      <c r="G278" s="11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  <c r="CG278" s="10"/>
      <c r="CH278" s="10"/>
      <c r="CI278" s="10"/>
      <c r="CJ278" s="10"/>
      <c r="CK278" s="10"/>
      <c r="CL278" s="10"/>
      <c r="CM278" s="10"/>
      <c r="CN278" s="10"/>
      <c r="CO278" s="10"/>
    </row>
    <row r="279" spans="1:93">
      <c r="A279" s="77"/>
      <c r="B279" s="10"/>
      <c r="C279" s="17" t="str">
        <f>C265</f>
        <v>Здания и сооружения - Транспортная инфраструктура</v>
      </c>
      <c r="D279" s="10"/>
      <c r="E279" s="62"/>
      <c r="F279" s="11"/>
      <c r="G279" s="134" t="str">
        <f t="shared" ref="G279:G289" si="431">Monetary_Unit</f>
        <v>тыс. руб.</v>
      </c>
      <c r="H279" s="10"/>
      <c r="I279" s="10"/>
      <c r="J279" s="10"/>
      <c r="K279" s="10"/>
      <c r="L279" s="10">
        <f ca="1">SUM($K265:L265)</f>
        <v>232.91999784273011</v>
      </c>
      <c r="M279" s="10">
        <f ca="1">SUM($K265:M265)</f>
        <v>469.14626883052688</v>
      </c>
      <c r="N279" s="10">
        <f ca="1">SUM($K265:N265)</f>
        <v>708.72574513843335</v>
      </c>
      <c r="O279" s="10">
        <f ca="1">SUM($K265:O265)</f>
        <v>951.70602513843323</v>
      </c>
      <c r="P279" s="10">
        <f ca="1">SUM($K265:P265)</f>
        <v>2895.826774266809</v>
      </c>
      <c r="Q279" s="10">
        <f ca="1">SUM($K265:Q265)</f>
        <v>4859.1037355166327</v>
      </c>
      <c r="R279" s="10">
        <f ca="1">SUM($K265:R265)</f>
        <v>6841.7256628338746</v>
      </c>
      <c r="S279" s="10">
        <f ca="1">SUM($K265:S265)</f>
        <v>8843.8831700338724</v>
      </c>
      <c r="T279" s="10">
        <f ca="1">SUM($K265:T265)</f>
        <v>10865.768749127383</v>
      </c>
      <c r="U279" s="10">
        <f ca="1">SUM($K265:U265)</f>
        <v>12907.576788827198</v>
      </c>
      <c r="V279" s="10">
        <f ca="1">SUM($K265:V265)</f>
        <v>14969.503593237128</v>
      </c>
      <c r="W279" s="10">
        <f ca="1">SUM($K265:W265)</f>
        <v>17051.747400725126</v>
      </c>
      <c r="X279" s="10">
        <f ca="1">SUM($K265:X265)</f>
        <v>19154.508402982377</v>
      </c>
      <c r="Y279" s="10">
        <f ca="1">SUM($K265:Y265)</f>
        <v>21277.988764270187</v>
      </c>
      <c r="Z279" s="10">
        <f ca="1">SUM($K265:Z265)</f>
        <v>23422.392640856517</v>
      </c>
      <c r="AA279" s="10">
        <f ca="1">SUM($K265:AA265)</f>
        <v>25587.926200644033</v>
      </c>
      <c r="AB279" s="10">
        <f ca="1">SUM($K265:AB265)</f>
        <v>27774.797642991573</v>
      </c>
      <c r="AC279" s="10">
        <f ca="1">SUM($K265:AC265)</f>
        <v>27774.797642991573</v>
      </c>
      <c r="AD279" s="10">
        <f ca="1">SUM($K265:AD265)</f>
        <v>27774.797642991573</v>
      </c>
      <c r="AE279" s="10">
        <f ca="1">SUM($K265:AE265)</f>
        <v>27774.797642991573</v>
      </c>
      <c r="AF279" s="10">
        <f ca="1">SUM($K265:AF265)</f>
        <v>27774.797642991573</v>
      </c>
      <c r="AG279" s="10">
        <f ca="1">SUM($K265:AG265)</f>
        <v>27774.797642991573</v>
      </c>
      <c r="AH279" s="10">
        <f ca="1">SUM($K265:AH265)</f>
        <v>27774.797642991573</v>
      </c>
      <c r="AI279" s="10">
        <f ca="1">SUM($K265:AI265)</f>
        <v>27774.797642991573</v>
      </c>
      <c r="AJ279" s="10">
        <f ca="1">SUM($K265:AJ265)</f>
        <v>27774.797642991573</v>
      </c>
      <c r="AK279" s="10">
        <f ca="1">SUM($K265:AK265)</f>
        <v>27774.797642991573</v>
      </c>
      <c r="AL279" s="10">
        <f ca="1">SUM($K265:AL265)</f>
        <v>27774.797642991573</v>
      </c>
      <c r="AM279" s="10">
        <f ca="1">SUM($K265:AM265)</f>
        <v>27774.797642991573</v>
      </c>
      <c r="AN279" s="10">
        <f ca="1">SUM($K265:AN265)</f>
        <v>27774.797642991573</v>
      </c>
      <c r="AO279" s="10">
        <f ca="1">SUM($K265:AO265)</f>
        <v>27774.797642991573</v>
      </c>
      <c r="AP279" s="10">
        <f ca="1">SUM($K265:AP265)</f>
        <v>27774.797642991573</v>
      </c>
      <c r="AQ279" s="10">
        <f ca="1">SUM($K265:AQ265)</f>
        <v>27774.797642991573</v>
      </c>
      <c r="AR279" s="10">
        <f ca="1">SUM($K265:AR265)</f>
        <v>27774.797642991573</v>
      </c>
      <c r="AS279" s="10">
        <f ca="1">SUM($K265:AS265)</f>
        <v>27774.797642991573</v>
      </c>
      <c r="AT279" s="10">
        <f ca="1">SUM($K265:AT265)</f>
        <v>27774.797642991573</v>
      </c>
      <c r="AU279" s="10">
        <f ca="1">SUM($K265:AU265)</f>
        <v>27774.797642991573</v>
      </c>
      <c r="AV279" s="10">
        <f ca="1">SUM($K265:AV265)</f>
        <v>27774.797642991573</v>
      </c>
      <c r="AW279" s="10">
        <f ca="1">SUM($K265:AW265)</f>
        <v>27774.797642991573</v>
      </c>
      <c r="AX279" s="10">
        <f ca="1">SUM($K265:AX265)</f>
        <v>27774.797642991573</v>
      </c>
      <c r="AY279" s="10">
        <f ca="1">SUM($K265:AY265)</f>
        <v>27774.797642991573</v>
      </c>
      <c r="AZ279" s="10">
        <f ca="1">SUM($K265:AZ265)</f>
        <v>27774.797642991573</v>
      </c>
      <c r="BA279" s="10">
        <f ca="1">SUM($K265:BA265)</f>
        <v>27774.797642991573</v>
      </c>
      <c r="BB279" s="10">
        <f ca="1">SUM($K265:BB265)</f>
        <v>27774.797642991573</v>
      </c>
      <c r="BC279" s="10">
        <f ca="1">SUM($K265:BC265)</f>
        <v>27774.797642991573</v>
      </c>
      <c r="BD279" s="10">
        <f ca="1">SUM($K265:BD265)</f>
        <v>27774.797642991573</v>
      </c>
      <c r="BE279" s="10">
        <f ca="1">SUM($K265:BE265)</f>
        <v>27774.797642991573</v>
      </c>
      <c r="BF279" s="10">
        <f ca="1">SUM($K265:BF265)</f>
        <v>27774.797642991573</v>
      </c>
      <c r="BG279" s="10">
        <f ca="1">SUM($K265:BG265)</f>
        <v>27774.797642991573</v>
      </c>
      <c r="BH279" s="10">
        <f ca="1">SUM($K265:BH265)</f>
        <v>27774.797642991573</v>
      </c>
      <c r="BI279" s="10">
        <f ca="1">SUM($K265:BI265)</f>
        <v>27774.797642991573</v>
      </c>
      <c r="BJ279" s="10">
        <f ca="1">SUM($K265:BJ265)</f>
        <v>27774.797642991573</v>
      </c>
      <c r="BK279" s="10">
        <f ca="1">SUM($K265:BK265)</f>
        <v>27774.797642991573</v>
      </c>
      <c r="BL279" s="10">
        <f ca="1">SUM($K265:BL265)</f>
        <v>27774.797642991573</v>
      </c>
      <c r="BM279" s="10">
        <f ca="1">SUM($K265:BM265)</f>
        <v>27774.797642991573</v>
      </c>
      <c r="BN279" s="10">
        <f ca="1">SUM($K265:BN265)</f>
        <v>27774.797642991573</v>
      </c>
      <c r="BO279" s="10">
        <f ca="1">SUM($K265:BO265)</f>
        <v>27774.797642991573</v>
      </c>
      <c r="BP279" s="10">
        <f ca="1">SUM($K265:BP265)</f>
        <v>27774.797642991573</v>
      </c>
      <c r="BQ279" s="10">
        <f ca="1">SUM($K265:BQ265)</f>
        <v>27774.797642991573</v>
      </c>
      <c r="BR279" s="10">
        <f ca="1">SUM($K265:BR265)</f>
        <v>27774.797642991573</v>
      </c>
      <c r="BS279" s="10">
        <f ca="1">SUM($K265:BS265)</f>
        <v>27774.797642991573</v>
      </c>
      <c r="BT279" s="10">
        <f ca="1">SUM($K265:BT265)</f>
        <v>27774.797642991573</v>
      </c>
      <c r="BU279" s="10">
        <f ca="1">SUM($K265:BU265)</f>
        <v>27774.797642991573</v>
      </c>
      <c r="BV279" s="10">
        <f ca="1">SUM($K265:BV265)</f>
        <v>27774.797642991573</v>
      </c>
      <c r="BW279" s="10">
        <f ca="1">SUM($K265:BW265)</f>
        <v>27774.797642991573</v>
      </c>
      <c r="BX279" s="10">
        <f ca="1">SUM($K265:BX265)</f>
        <v>27774.797642991573</v>
      </c>
      <c r="BY279" s="10">
        <f ca="1">SUM($K265:BY265)</f>
        <v>27774.797642991573</v>
      </c>
      <c r="BZ279" s="10">
        <f ca="1">SUM($K265:BZ265)</f>
        <v>27774.797642991573</v>
      </c>
      <c r="CA279" s="10">
        <f ca="1">SUM($K265:CA265)</f>
        <v>27774.797642991573</v>
      </c>
      <c r="CB279" s="10">
        <f ca="1">SUM($K265:CB265)</f>
        <v>27774.797642991573</v>
      </c>
      <c r="CC279" s="10">
        <f ca="1">SUM($K265:CC265)</f>
        <v>27774.797642991573</v>
      </c>
      <c r="CD279" s="10">
        <f ca="1">SUM($K265:CD265)</f>
        <v>27774.797642991573</v>
      </c>
      <c r="CE279" s="10">
        <f ca="1">SUM($K265:CE265)</f>
        <v>27774.797642991573</v>
      </c>
      <c r="CF279" s="10">
        <f ca="1">SUM($K265:CF265)</f>
        <v>27774.797642991573</v>
      </c>
      <c r="CG279" s="10">
        <f ca="1">SUM($K265:CG265)</f>
        <v>27774.797642991573</v>
      </c>
      <c r="CH279" s="10">
        <f ca="1">SUM($K265:CH265)</f>
        <v>27774.797642991573</v>
      </c>
      <c r="CI279" s="10">
        <f ca="1">SUM($K265:CI265)</f>
        <v>27774.797642991573</v>
      </c>
      <c r="CJ279" s="10">
        <f ca="1">SUM($K265:CJ265)</f>
        <v>27774.797642991573</v>
      </c>
      <c r="CK279" s="10">
        <f ca="1">SUM($K265:CK265)</f>
        <v>27774.797642991573</v>
      </c>
      <c r="CL279" s="10">
        <f ca="1">SUM($K265:CL265)</f>
        <v>27774.797642991573</v>
      </c>
      <c r="CM279" s="10">
        <f ca="1">SUM($K265:CM265)</f>
        <v>27774.797642991573</v>
      </c>
      <c r="CN279" s="10">
        <f ca="1">SUM($K265:CN265)</f>
        <v>27774.797642991573</v>
      </c>
      <c r="CO279" s="10">
        <f ca="1">SUM($K265:CO265)</f>
        <v>27774.797642991573</v>
      </c>
    </row>
    <row r="280" spans="1:93">
      <c r="A280" s="77"/>
      <c r="B280" s="10"/>
      <c r="C280" s="17" t="str">
        <f t="shared" ref="C280:C285" si="432">C266</f>
        <v>Здания и сооружения - Коммунальная инфраструктура</v>
      </c>
      <c r="D280" s="10"/>
      <c r="E280" s="62"/>
      <c r="F280" s="11"/>
      <c r="G280" s="134" t="str">
        <f t="shared" si="431"/>
        <v>тыс. руб.</v>
      </c>
      <c r="H280" s="10"/>
      <c r="I280" s="10"/>
      <c r="J280" s="10"/>
      <c r="K280" s="10"/>
      <c r="L280" s="10">
        <f ca="1">SUM($K266:L266)</f>
        <v>0</v>
      </c>
      <c r="M280" s="10">
        <f ca="1">SUM($K266:M266)</f>
        <v>0</v>
      </c>
      <c r="N280" s="10">
        <f ca="1">SUM($K266:N266)</f>
        <v>0</v>
      </c>
      <c r="O280" s="10">
        <f ca="1">SUM($K266:O266)</f>
        <v>0</v>
      </c>
      <c r="P280" s="10">
        <f ca="1">SUM($K266:P266)</f>
        <v>0</v>
      </c>
      <c r="Q280" s="10">
        <f ca="1">SUM($K266:Q266)</f>
        <v>0</v>
      </c>
      <c r="R280" s="10">
        <f ca="1">SUM($K266:R266)</f>
        <v>0</v>
      </c>
      <c r="S280" s="10">
        <f ca="1">SUM($K266:S266)</f>
        <v>0</v>
      </c>
      <c r="T280" s="10">
        <f ca="1">SUM($K266:T266)</f>
        <v>0</v>
      </c>
      <c r="U280" s="10">
        <f ca="1">SUM($K266:U266)</f>
        <v>0</v>
      </c>
      <c r="V280" s="10">
        <f ca="1">SUM($K266:V266)</f>
        <v>0</v>
      </c>
      <c r="W280" s="10">
        <f ca="1">SUM($K266:W266)</f>
        <v>0</v>
      </c>
      <c r="X280" s="10">
        <f ca="1">SUM($K266:X266)</f>
        <v>0</v>
      </c>
      <c r="Y280" s="10">
        <f ca="1">SUM($K266:Y266)</f>
        <v>0</v>
      </c>
      <c r="Z280" s="10">
        <f ca="1">SUM($K266:Z266)</f>
        <v>0</v>
      </c>
      <c r="AA280" s="10">
        <f ca="1">SUM($K266:AA266)</f>
        <v>0</v>
      </c>
      <c r="AB280" s="10">
        <f ca="1">SUM($K266:AB266)</f>
        <v>0</v>
      </c>
      <c r="AC280" s="10">
        <f ca="1">SUM($K266:AC266)</f>
        <v>0</v>
      </c>
      <c r="AD280" s="10">
        <f ca="1">SUM($K266:AD266)</f>
        <v>0</v>
      </c>
      <c r="AE280" s="10">
        <f ca="1">SUM($K266:AE266)</f>
        <v>0</v>
      </c>
      <c r="AF280" s="10">
        <f ca="1">SUM($K266:AF266)</f>
        <v>0</v>
      </c>
      <c r="AG280" s="10">
        <f ca="1">SUM($K266:AG266)</f>
        <v>0</v>
      </c>
      <c r="AH280" s="10">
        <f ca="1">SUM($K266:AH266)</f>
        <v>0</v>
      </c>
      <c r="AI280" s="10">
        <f ca="1">SUM($K266:AI266)</f>
        <v>0</v>
      </c>
      <c r="AJ280" s="10">
        <f ca="1">SUM($K266:AJ266)</f>
        <v>0</v>
      </c>
      <c r="AK280" s="10">
        <f ca="1">SUM($K266:AK266)</f>
        <v>0</v>
      </c>
      <c r="AL280" s="10">
        <f ca="1">SUM($K266:AL266)</f>
        <v>0</v>
      </c>
      <c r="AM280" s="10">
        <f ca="1">SUM($K266:AM266)</f>
        <v>0</v>
      </c>
      <c r="AN280" s="10">
        <f ca="1">SUM($K266:AN266)</f>
        <v>0</v>
      </c>
      <c r="AO280" s="10">
        <f ca="1">SUM($K266:AO266)</f>
        <v>0</v>
      </c>
      <c r="AP280" s="10">
        <f ca="1">SUM($K266:AP266)</f>
        <v>0</v>
      </c>
      <c r="AQ280" s="10">
        <f ca="1">SUM($K266:AQ266)</f>
        <v>0</v>
      </c>
      <c r="AR280" s="10">
        <f ca="1">SUM($K266:AR266)</f>
        <v>0</v>
      </c>
      <c r="AS280" s="10">
        <f ca="1">SUM($K266:AS266)</f>
        <v>0</v>
      </c>
      <c r="AT280" s="10">
        <f ca="1">SUM($K266:AT266)</f>
        <v>0</v>
      </c>
      <c r="AU280" s="10">
        <f ca="1">SUM($K266:AU266)</f>
        <v>0</v>
      </c>
      <c r="AV280" s="10">
        <f ca="1">SUM($K266:AV266)</f>
        <v>0</v>
      </c>
      <c r="AW280" s="10">
        <f ca="1">SUM($K266:AW266)</f>
        <v>0</v>
      </c>
      <c r="AX280" s="10">
        <f ca="1">SUM($K266:AX266)</f>
        <v>0</v>
      </c>
      <c r="AY280" s="10">
        <f ca="1">SUM($K266:AY266)</f>
        <v>0</v>
      </c>
      <c r="AZ280" s="10">
        <f ca="1">SUM($K266:AZ266)</f>
        <v>0</v>
      </c>
      <c r="BA280" s="10">
        <f ca="1">SUM($K266:BA266)</f>
        <v>0</v>
      </c>
      <c r="BB280" s="10">
        <f ca="1">SUM($K266:BB266)</f>
        <v>0</v>
      </c>
      <c r="BC280" s="10">
        <f ca="1">SUM($K266:BC266)</f>
        <v>0</v>
      </c>
      <c r="BD280" s="10">
        <f ca="1">SUM($K266:BD266)</f>
        <v>0</v>
      </c>
      <c r="BE280" s="10">
        <f ca="1">SUM($K266:BE266)</f>
        <v>0</v>
      </c>
      <c r="BF280" s="10">
        <f ca="1">SUM($K266:BF266)</f>
        <v>0</v>
      </c>
      <c r="BG280" s="10">
        <f ca="1">SUM($K266:BG266)</f>
        <v>0</v>
      </c>
      <c r="BH280" s="10">
        <f ca="1">SUM($K266:BH266)</f>
        <v>0</v>
      </c>
      <c r="BI280" s="10">
        <f ca="1">SUM($K266:BI266)</f>
        <v>0</v>
      </c>
      <c r="BJ280" s="10">
        <f ca="1">SUM($K266:BJ266)</f>
        <v>0</v>
      </c>
      <c r="BK280" s="10">
        <f ca="1">SUM($K266:BK266)</f>
        <v>0</v>
      </c>
      <c r="BL280" s="10">
        <f ca="1">SUM($K266:BL266)</f>
        <v>0</v>
      </c>
      <c r="BM280" s="10">
        <f ca="1">SUM($K266:BM266)</f>
        <v>0</v>
      </c>
      <c r="BN280" s="10">
        <f ca="1">SUM($K266:BN266)</f>
        <v>0</v>
      </c>
      <c r="BO280" s="10">
        <f ca="1">SUM($K266:BO266)</f>
        <v>0</v>
      </c>
      <c r="BP280" s="10">
        <f ca="1">SUM($K266:BP266)</f>
        <v>0</v>
      </c>
      <c r="BQ280" s="10">
        <f ca="1">SUM($K266:BQ266)</f>
        <v>0</v>
      </c>
      <c r="BR280" s="10">
        <f ca="1">SUM($K266:BR266)</f>
        <v>0</v>
      </c>
      <c r="BS280" s="10">
        <f ca="1">SUM($K266:BS266)</f>
        <v>0</v>
      </c>
      <c r="BT280" s="10">
        <f ca="1">SUM($K266:BT266)</f>
        <v>0</v>
      </c>
      <c r="BU280" s="10">
        <f ca="1">SUM($K266:BU266)</f>
        <v>0</v>
      </c>
      <c r="BV280" s="10">
        <f ca="1">SUM($K266:BV266)</f>
        <v>0</v>
      </c>
      <c r="BW280" s="10">
        <f ca="1">SUM($K266:BW266)</f>
        <v>0</v>
      </c>
      <c r="BX280" s="10">
        <f ca="1">SUM($K266:BX266)</f>
        <v>0</v>
      </c>
      <c r="BY280" s="10">
        <f ca="1">SUM($K266:BY266)</f>
        <v>0</v>
      </c>
      <c r="BZ280" s="10">
        <f ca="1">SUM($K266:BZ266)</f>
        <v>0</v>
      </c>
      <c r="CA280" s="10">
        <f ca="1">SUM($K266:CA266)</f>
        <v>0</v>
      </c>
      <c r="CB280" s="10">
        <f ca="1">SUM($K266:CB266)</f>
        <v>0</v>
      </c>
      <c r="CC280" s="10">
        <f ca="1">SUM($K266:CC266)</f>
        <v>0</v>
      </c>
      <c r="CD280" s="10">
        <f ca="1">SUM($K266:CD266)</f>
        <v>0</v>
      </c>
      <c r="CE280" s="10">
        <f ca="1">SUM($K266:CE266)</f>
        <v>0</v>
      </c>
      <c r="CF280" s="10">
        <f ca="1">SUM($K266:CF266)</f>
        <v>0</v>
      </c>
      <c r="CG280" s="10">
        <f ca="1">SUM($K266:CG266)</f>
        <v>0</v>
      </c>
      <c r="CH280" s="10">
        <f ca="1">SUM($K266:CH266)</f>
        <v>0</v>
      </c>
      <c r="CI280" s="10">
        <f ca="1">SUM($K266:CI266)</f>
        <v>0</v>
      </c>
      <c r="CJ280" s="10">
        <f ca="1">SUM($K266:CJ266)</f>
        <v>0</v>
      </c>
      <c r="CK280" s="10">
        <f ca="1">SUM($K266:CK266)</f>
        <v>0</v>
      </c>
      <c r="CL280" s="10">
        <f ca="1">SUM($K266:CL266)</f>
        <v>0</v>
      </c>
      <c r="CM280" s="10">
        <f ca="1">SUM($K266:CM266)</f>
        <v>0</v>
      </c>
      <c r="CN280" s="10">
        <f ca="1">SUM($K266:CN266)</f>
        <v>0</v>
      </c>
      <c r="CO280" s="10">
        <f ca="1">SUM($K266:CO266)</f>
        <v>0</v>
      </c>
    </row>
    <row r="281" spans="1:93">
      <c r="A281" s="77"/>
      <c r="B281" s="10"/>
      <c r="C281" s="17" t="str">
        <f t="shared" si="432"/>
        <v>Здания и сооружения - Прочая обеспечивающая инфраструктура</v>
      </c>
      <c r="D281" s="10"/>
      <c r="E281" s="62"/>
      <c r="F281" s="11"/>
      <c r="G281" s="134" t="str">
        <f t="shared" si="431"/>
        <v>тыс. руб.</v>
      </c>
      <c r="H281" s="10"/>
      <c r="I281" s="10"/>
      <c r="J281" s="10"/>
      <c r="K281" s="10"/>
      <c r="L281" s="10">
        <f ca="1">SUM($K267:L267)</f>
        <v>0</v>
      </c>
      <c r="M281" s="10">
        <f ca="1">SUM($K267:M267)</f>
        <v>0</v>
      </c>
      <c r="N281" s="10">
        <f ca="1">SUM($K267:N267)</f>
        <v>0</v>
      </c>
      <c r="O281" s="10">
        <f ca="1">SUM($K267:O267)</f>
        <v>0</v>
      </c>
      <c r="P281" s="10">
        <f ca="1">SUM($K267:P267)</f>
        <v>0</v>
      </c>
      <c r="Q281" s="10">
        <f ca="1">SUM($K267:Q267)</f>
        <v>0</v>
      </c>
      <c r="R281" s="10">
        <f ca="1">SUM($K267:R267)</f>
        <v>0</v>
      </c>
      <c r="S281" s="10">
        <f ca="1">SUM($K267:S267)</f>
        <v>0</v>
      </c>
      <c r="T281" s="10">
        <f ca="1">SUM($K267:T267)</f>
        <v>0</v>
      </c>
      <c r="U281" s="10">
        <f ca="1">SUM($K267:U267)</f>
        <v>0</v>
      </c>
      <c r="V281" s="10">
        <f ca="1">SUM($K267:V267)</f>
        <v>0</v>
      </c>
      <c r="W281" s="10">
        <f ca="1">SUM($K267:W267)</f>
        <v>0</v>
      </c>
      <c r="X281" s="10">
        <f ca="1">SUM($K267:X267)</f>
        <v>0</v>
      </c>
      <c r="Y281" s="10">
        <f ca="1">SUM($K267:Y267)</f>
        <v>0</v>
      </c>
      <c r="Z281" s="10">
        <f ca="1">SUM($K267:Z267)</f>
        <v>0</v>
      </c>
      <c r="AA281" s="10">
        <f ca="1">SUM($K267:AA267)</f>
        <v>0</v>
      </c>
      <c r="AB281" s="10">
        <f ca="1">SUM($K267:AB267)</f>
        <v>0</v>
      </c>
      <c r="AC281" s="10">
        <f ca="1">SUM($K267:AC267)</f>
        <v>0</v>
      </c>
      <c r="AD281" s="10">
        <f ca="1">SUM($K267:AD267)</f>
        <v>0</v>
      </c>
      <c r="AE281" s="10">
        <f ca="1">SUM($K267:AE267)</f>
        <v>0</v>
      </c>
      <c r="AF281" s="10">
        <f ca="1">SUM($K267:AF267)</f>
        <v>0</v>
      </c>
      <c r="AG281" s="10">
        <f ca="1">SUM($K267:AG267)</f>
        <v>0</v>
      </c>
      <c r="AH281" s="10">
        <f ca="1">SUM($K267:AH267)</f>
        <v>0</v>
      </c>
      <c r="AI281" s="10">
        <f ca="1">SUM($K267:AI267)</f>
        <v>0</v>
      </c>
      <c r="AJ281" s="10">
        <f ca="1">SUM($K267:AJ267)</f>
        <v>0</v>
      </c>
      <c r="AK281" s="10">
        <f ca="1">SUM($K267:AK267)</f>
        <v>0</v>
      </c>
      <c r="AL281" s="10">
        <f ca="1">SUM($K267:AL267)</f>
        <v>0</v>
      </c>
      <c r="AM281" s="10">
        <f ca="1">SUM($K267:AM267)</f>
        <v>0</v>
      </c>
      <c r="AN281" s="10">
        <f ca="1">SUM($K267:AN267)</f>
        <v>0</v>
      </c>
      <c r="AO281" s="10">
        <f ca="1">SUM($K267:AO267)</f>
        <v>0</v>
      </c>
      <c r="AP281" s="10">
        <f ca="1">SUM($K267:AP267)</f>
        <v>0</v>
      </c>
      <c r="AQ281" s="10">
        <f ca="1">SUM($K267:AQ267)</f>
        <v>0</v>
      </c>
      <c r="AR281" s="10">
        <f ca="1">SUM($K267:AR267)</f>
        <v>0</v>
      </c>
      <c r="AS281" s="10">
        <f ca="1">SUM($K267:AS267)</f>
        <v>0</v>
      </c>
      <c r="AT281" s="10">
        <f ca="1">SUM($K267:AT267)</f>
        <v>0</v>
      </c>
      <c r="AU281" s="10">
        <f ca="1">SUM($K267:AU267)</f>
        <v>0</v>
      </c>
      <c r="AV281" s="10">
        <f ca="1">SUM($K267:AV267)</f>
        <v>0</v>
      </c>
      <c r="AW281" s="10">
        <f ca="1">SUM($K267:AW267)</f>
        <v>0</v>
      </c>
      <c r="AX281" s="10">
        <f ca="1">SUM($K267:AX267)</f>
        <v>0</v>
      </c>
      <c r="AY281" s="10">
        <f ca="1">SUM($K267:AY267)</f>
        <v>0</v>
      </c>
      <c r="AZ281" s="10">
        <f ca="1">SUM($K267:AZ267)</f>
        <v>0</v>
      </c>
      <c r="BA281" s="10">
        <f ca="1">SUM($K267:BA267)</f>
        <v>0</v>
      </c>
      <c r="BB281" s="10">
        <f ca="1">SUM($K267:BB267)</f>
        <v>0</v>
      </c>
      <c r="BC281" s="10">
        <f ca="1">SUM($K267:BC267)</f>
        <v>0</v>
      </c>
      <c r="BD281" s="10">
        <f ca="1">SUM($K267:BD267)</f>
        <v>0</v>
      </c>
      <c r="BE281" s="10">
        <f ca="1">SUM($K267:BE267)</f>
        <v>0</v>
      </c>
      <c r="BF281" s="10">
        <f ca="1">SUM($K267:BF267)</f>
        <v>0</v>
      </c>
      <c r="BG281" s="10">
        <f ca="1">SUM($K267:BG267)</f>
        <v>0</v>
      </c>
      <c r="BH281" s="10">
        <f ca="1">SUM($K267:BH267)</f>
        <v>0</v>
      </c>
      <c r="BI281" s="10">
        <f ca="1">SUM($K267:BI267)</f>
        <v>0</v>
      </c>
      <c r="BJ281" s="10">
        <f ca="1">SUM($K267:BJ267)</f>
        <v>0</v>
      </c>
      <c r="BK281" s="10">
        <f ca="1">SUM($K267:BK267)</f>
        <v>0</v>
      </c>
      <c r="BL281" s="10">
        <f ca="1">SUM($K267:BL267)</f>
        <v>0</v>
      </c>
      <c r="BM281" s="10">
        <f ca="1">SUM($K267:BM267)</f>
        <v>0</v>
      </c>
      <c r="BN281" s="10">
        <f ca="1">SUM($K267:BN267)</f>
        <v>0</v>
      </c>
      <c r="BO281" s="10">
        <f ca="1">SUM($K267:BO267)</f>
        <v>0</v>
      </c>
      <c r="BP281" s="10">
        <f ca="1">SUM($K267:BP267)</f>
        <v>0</v>
      </c>
      <c r="BQ281" s="10">
        <f ca="1">SUM($K267:BQ267)</f>
        <v>0</v>
      </c>
      <c r="BR281" s="10">
        <f ca="1">SUM($K267:BR267)</f>
        <v>0</v>
      </c>
      <c r="BS281" s="10">
        <f ca="1">SUM($K267:BS267)</f>
        <v>0</v>
      </c>
      <c r="BT281" s="10">
        <f ca="1">SUM($K267:BT267)</f>
        <v>0</v>
      </c>
      <c r="BU281" s="10">
        <f ca="1">SUM($K267:BU267)</f>
        <v>0</v>
      </c>
      <c r="BV281" s="10">
        <f ca="1">SUM($K267:BV267)</f>
        <v>0</v>
      </c>
      <c r="BW281" s="10">
        <f ca="1">SUM($K267:BW267)</f>
        <v>0</v>
      </c>
      <c r="BX281" s="10">
        <f ca="1">SUM($K267:BX267)</f>
        <v>0</v>
      </c>
      <c r="BY281" s="10">
        <f ca="1">SUM($K267:BY267)</f>
        <v>0</v>
      </c>
      <c r="BZ281" s="10">
        <f ca="1">SUM($K267:BZ267)</f>
        <v>0</v>
      </c>
      <c r="CA281" s="10">
        <f ca="1">SUM($K267:CA267)</f>
        <v>0</v>
      </c>
      <c r="CB281" s="10">
        <f ca="1">SUM($K267:CB267)</f>
        <v>0</v>
      </c>
      <c r="CC281" s="10">
        <f ca="1">SUM($K267:CC267)</f>
        <v>0</v>
      </c>
      <c r="CD281" s="10">
        <f ca="1">SUM($K267:CD267)</f>
        <v>0</v>
      </c>
      <c r="CE281" s="10">
        <f ca="1">SUM($K267:CE267)</f>
        <v>0</v>
      </c>
      <c r="CF281" s="10">
        <f ca="1">SUM($K267:CF267)</f>
        <v>0</v>
      </c>
      <c r="CG281" s="10">
        <f ca="1">SUM($K267:CG267)</f>
        <v>0</v>
      </c>
      <c r="CH281" s="10">
        <f ca="1">SUM($K267:CH267)</f>
        <v>0</v>
      </c>
      <c r="CI281" s="10">
        <f ca="1">SUM($K267:CI267)</f>
        <v>0</v>
      </c>
      <c r="CJ281" s="10">
        <f ca="1">SUM($K267:CJ267)</f>
        <v>0</v>
      </c>
      <c r="CK281" s="10">
        <f ca="1">SUM($K267:CK267)</f>
        <v>0</v>
      </c>
      <c r="CL281" s="10">
        <f ca="1">SUM($K267:CL267)</f>
        <v>0</v>
      </c>
      <c r="CM281" s="10">
        <f ca="1">SUM($K267:CM267)</f>
        <v>0</v>
      </c>
      <c r="CN281" s="10">
        <f ca="1">SUM($K267:CN267)</f>
        <v>0</v>
      </c>
      <c r="CO281" s="10">
        <f ca="1">SUM($K267:CO267)</f>
        <v>0</v>
      </c>
    </row>
    <row r="282" spans="1:93">
      <c r="A282" s="77"/>
      <c r="B282" s="10"/>
      <c r="C282" s="17" t="str">
        <f t="shared" si="432"/>
        <v>Здания и сооружения - Объект размещения (отель)</v>
      </c>
      <c r="D282" s="10"/>
      <c r="E282" s="62"/>
      <c r="F282" s="11"/>
      <c r="G282" s="134" t="str">
        <f t="shared" si="431"/>
        <v>тыс. руб.</v>
      </c>
      <c r="H282" s="10"/>
      <c r="I282" s="10"/>
      <c r="J282" s="10"/>
      <c r="K282" s="10"/>
      <c r="L282" s="10">
        <f ca="1">SUM($K268:L268)</f>
        <v>16626.707846291232</v>
      </c>
      <c r="M282" s="10">
        <f ca="1">SUM($K268:M268)</f>
        <v>33489.429938470355</v>
      </c>
      <c r="N282" s="10">
        <f ca="1">SUM($K268:N268)</f>
        <v>50591.51647218506</v>
      </c>
      <c r="O282" s="10">
        <f ca="1">SUM($K268:O268)</f>
        <v>67936.365198733052</v>
      </c>
      <c r="P282" s="10">
        <f ca="1">SUM($K268:P268)</f>
        <v>213900.98663690832</v>
      </c>
      <c r="Q282" s="10">
        <f ca="1">SUM($K268:Q268)</f>
        <v>361303.85683188029</v>
      </c>
      <c r="R282" s="10">
        <f ca="1">SUM($K268:R268)</f>
        <v>510159.1474333682</v>
      </c>
      <c r="S282" s="10">
        <f ca="1">SUM($K268:S268)</f>
        <v>660481.16973011743</v>
      </c>
      <c r="T282" s="10">
        <f ca="1">SUM($K268:T268)</f>
        <v>812284.37602581969</v>
      </c>
      <c r="U282" s="10">
        <f ca="1">SUM($K268:U268)</f>
        <v>965583.36102859047</v>
      </c>
      <c r="V282" s="10">
        <f ca="1">SUM($K268:V268)</f>
        <v>1120392.8632541378</v>
      </c>
      <c r="W282" s="10">
        <f ca="1">SUM($K268:W268)</f>
        <v>1276727.7664427569</v>
      </c>
      <c r="X282" s="10">
        <f ca="1">SUM($K268:X268)</f>
        <v>1434603.100990287</v>
      </c>
      <c r="Y282" s="10">
        <f ca="1">SUM($K268:Y268)</f>
        <v>1594034.0453931687</v>
      </c>
      <c r="Z282" s="10">
        <f ca="1">SUM($K268:Z268)</f>
        <v>1755035.9277077378</v>
      </c>
      <c r="AA282" s="10">
        <f ca="1">SUM($K268:AA268)</f>
        <v>1917624.2270239014</v>
      </c>
      <c r="AB282" s="10">
        <f ca="1">SUM($K268:AB268)</f>
        <v>2465463.0653563468</v>
      </c>
      <c r="AC282" s="10">
        <f ca="1">SUM($K268:AC268)</f>
        <v>2465463.0653563468</v>
      </c>
      <c r="AD282" s="10">
        <f ca="1">SUM($K268:AD268)</f>
        <v>2465463.0653563468</v>
      </c>
      <c r="AE282" s="10">
        <f ca="1">SUM($K268:AE268)</f>
        <v>2465463.0653563468</v>
      </c>
      <c r="AF282" s="10">
        <f ca="1">SUM($K268:AF268)</f>
        <v>2465463.0653563468</v>
      </c>
      <c r="AG282" s="10">
        <f ca="1">SUM($K268:AG268)</f>
        <v>2465463.0653563468</v>
      </c>
      <c r="AH282" s="10">
        <f ca="1">SUM($K268:AH268)</f>
        <v>2465463.0653563468</v>
      </c>
      <c r="AI282" s="10">
        <f ca="1">SUM($K268:AI268)</f>
        <v>2465463.0653563468</v>
      </c>
      <c r="AJ282" s="10">
        <f ca="1">SUM($K268:AJ268)</f>
        <v>2465463.0653563468</v>
      </c>
      <c r="AK282" s="10">
        <f ca="1">SUM($K268:AK268)</f>
        <v>2465463.0653563468</v>
      </c>
      <c r="AL282" s="10">
        <f ca="1">SUM($K268:AL268)</f>
        <v>2465463.0653563468</v>
      </c>
      <c r="AM282" s="10">
        <f ca="1">SUM($K268:AM268)</f>
        <v>2465463.0653563468</v>
      </c>
      <c r="AN282" s="10">
        <f ca="1">SUM($K268:AN268)</f>
        <v>2465463.0653563468</v>
      </c>
      <c r="AO282" s="10">
        <f ca="1">SUM($K268:AO268)</f>
        <v>2465463.0653563468</v>
      </c>
      <c r="AP282" s="10">
        <f ca="1">SUM($K268:AP268)</f>
        <v>2465463.0653563468</v>
      </c>
      <c r="AQ282" s="10">
        <f ca="1">SUM($K268:AQ268)</f>
        <v>2465463.0653563468</v>
      </c>
      <c r="AR282" s="10">
        <f ca="1">SUM($K268:AR268)</f>
        <v>2465463.0653563468</v>
      </c>
      <c r="AS282" s="10">
        <f ca="1">SUM($K268:AS268)</f>
        <v>2465463.0653563468</v>
      </c>
      <c r="AT282" s="10">
        <f ca="1">SUM($K268:AT268)</f>
        <v>2465463.0653563468</v>
      </c>
      <c r="AU282" s="10">
        <f ca="1">SUM($K268:AU268)</f>
        <v>2465463.0653563468</v>
      </c>
      <c r="AV282" s="10">
        <f ca="1">SUM($K268:AV268)</f>
        <v>2465463.0653563468</v>
      </c>
      <c r="AW282" s="10">
        <f ca="1">SUM($K268:AW268)</f>
        <v>2465463.0653563468</v>
      </c>
      <c r="AX282" s="10">
        <f ca="1">SUM($K268:AX268)</f>
        <v>2465463.0653563468</v>
      </c>
      <c r="AY282" s="10">
        <f ca="1">SUM($K268:AY268)</f>
        <v>2465463.0653563468</v>
      </c>
      <c r="AZ282" s="10">
        <f ca="1">SUM($K268:AZ268)</f>
        <v>2465463.0653563468</v>
      </c>
      <c r="BA282" s="10">
        <f ca="1">SUM($K268:BA268)</f>
        <v>2465463.0653563468</v>
      </c>
      <c r="BB282" s="10">
        <f ca="1">SUM($K268:BB268)</f>
        <v>2465463.0653563468</v>
      </c>
      <c r="BC282" s="10">
        <f ca="1">SUM($K268:BC268)</f>
        <v>2465463.0653563468</v>
      </c>
      <c r="BD282" s="10">
        <f ca="1">SUM($K268:BD268)</f>
        <v>2465463.0653563468</v>
      </c>
      <c r="BE282" s="10">
        <f ca="1">SUM($K268:BE268)</f>
        <v>2465463.0653563468</v>
      </c>
      <c r="BF282" s="10">
        <f ca="1">SUM($K268:BF268)</f>
        <v>2465463.0653563468</v>
      </c>
      <c r="BG282" s="10">
        <f ca="1">SUM($K268:BG268)</f>
        <v>2465463.0653563468</v>
      </c>
      <c r="BH282" s="10">
        <f ca="1">SUM($K268:BH268)</f>
        <v>2465463.0653563468</v>
      </c>
      <c r="BI282" s="10">
        <f ca="1">SUM($K268:BI268)</f>
        <v>2465463.0653563468</v>
      </c>
      <c r="BJ282" s="10">
        <f ca="1">SUM($K268:BJ268)</f>
        <v>2465463.0653563468</v>
      </c>
      <c r="BK282" s="10">
        <f ca="1">SUM($K268:BK268)</f>
        <v>2465463.0653563468</v>
      </c>
      <c r="BL282" s="10">
        <f ca="1">SUM($K268:BL268)</f>
        <v>2465463.0653563468</v>
      </c>
      <c r="BM282" s="10">
        <f ca="1">SUM($K268:BM268)</f>
        <v>2465463.0653563468</v>
      </c>
      <c r="BN282" s="10">
        <f ca="1">SUM($K268:BN268)</f>
        <v>2465463.0653563468</v>
      </c>
      <c r="BO282" s="10">
        <f ca="1">SUM($K268:BO268)</f>
        <v>2465463.0653563468</v>
      </c>
      <c r="BP282" s="10">
        <f ca="1">SUM($K268:BP268)</f>
        <v>2465463.0653563468</v>
      </c>
      <c r="BQ282" s="10">
        <f ca="1">SUM($K268:BQ268)</f>
        <v>2465463.0653563468</v>
      </c>
      <c r="BR282" s="10">
        <f ca="1">SUM($K268:BR268)</f>
        <v>2465463.0653563468</v>
      </c>
      <c r="BS282" s="10">
        <f ca="1">SUM($K268:BS268)</f>
        <v>2465463.0653563468</v>
      </c>
      <c r="BT282" s="10">
        <f ca="1">SUM($K268:BT268)</f>
        <v>2465463.0653563468</v>
      </c>
      <c r="BU282" s="10">
        <f ca="1">SUM($K268:BU268)</f>
        <v>2465463.0653563468</v>
      </c>
      <c r="BV282" s="10">
        <f ca="1">SUM($K268:BV268)</f>
        <v>2465463.0653563468</v>
      </c>
      <c r="BW282" s="10">
        <f ca="1">SUM($K268:BW268)</f>
        <v>2465463.0653563468</v>
      </c>
      <c r="BX282" s="10">
        <f ca="1">SUM($K268:BX268)</f>
        <v>2465463.0653563468</v>
      </c>
      <c r="BY282" s="10">
        <f ca="1">SUM($K268:BY268)</f>
        <v>2465463.0653563468</v>
      </c>
      <c r="BZ282" s="10">
        <f ca="1">SUM($K268:BZ268)</f>
        <v>2465463.0653563468</v>
      </c>
      <c r="CA282" s="10">
        <f ca="1">SUM($K268:CA268)</f>
        <v>2465463.0653563468</v>
      </c>
      <c r="CB282" s="10">
        <f ca="1">SUM($K268:CB268)</f>
        <v>2465463.0653563468</v>
      </c>
      <c r="CC282" s="10">
        <f ca="1">SUM($K268:CC268)</f>
        <v>2465463.0653563468</v>
      </c>
      <c r="CD282" s="10">
        <f ca="1">SUM($K268:CD268)</f>
        <v>2465463.0653563468</v>
      </c>
      <c r="CE282" s="10">
        <f ca="1">SUM($K268:CE268)</f>
        <v>2465463.0653563468</v>
      </c>
      <c r="CF282" s="10">
        <f ca="1">SUM($K268:CF268)</f>
        <v>2465463.0653563468</v>
      </c>
      <c r="CG282" s="10">
        <f ca="1">SUM($K268:CG268)</f>
        <v>2465463.0653563468</v>
      </c>
      <c r="CH282" s="10">
        <f ca="1">SUM($K268:CH268)</f>
        <v>2465463.0653563468</v>
      </c>
      <c r="CI282" s="10">
        <f ca="1">SUM($K268:CI268)</f>
        <v>2465463.0653563468</v>
      </c>
      <c r="CJ282" s="10">
        <f ca="1">SUM($K268:CJ268)</f>
        <v>2465463.0653563468</v>
      </c>
      <c r="CK282" s="10">
        <f ca="1">SUM($K268:CK268)</f>
        <v>2465463.0653563468</v>
      </c>
      <c r="CL282" s="10">
        <f ca="1">SUM($K268:CL268)</f>
        <v>2465463.0653563468</v>
      </c>
      <c r="CM282" s="10">
        <f ca="1">SUM($K268:CM268)</f>
        <v>2465463.0653563468</v>
      </c>
      <c r="CN282" s="10">
        <f ca="1">SUM($K268:CN268)</f>
        <v>2465463.0653563468</v>
      </c>
      <c r="CO282" s="10">
        <f ca="1">SUM($K268:CO268)</f>
        <v>2465463.0653563468</v>
      </c>
    </row>
    <row r="283" spans="1:93">
      <c r="A283" s="77"/>
      <c r="B283" s="10"/>
      <c r="C283" s="17" t="str">
        <f t="shared" si="432"/>
        <v>Мебель и оборудование - Объект размещения (отель)</v>
      </c>
      <c r="D283" s="10"/>
      <c r="E283" s="62"/>
      <c r="F283" s="11"/>
      <c r="G283" s="134" t="str">
        <f t="shared" si="431"/>
        <v>тыс. руб.</v>
      </c>
      <c r="H283" s="10"/>
      <c r="I283" s="10"/>
      <c r="J283" s="10"/>
      <c r="K283" s="10"/>
      <c r="L283" s="10">
        <f ca="1">SUM($K269:L269)</f>
        <v>0</v>
      </c>
      <c r="M283" s="10">
        <f ca="1">SUM($K269:M269)</f>
        <v>0</v>
      </c>
      <c r="N283" s="10">
        <f ca="1">SUM($K269:N269)</f>
        <v>0</v>
      </c>
      <c r="O283" s="10">
        <f ca="1">SUM($K269:O269)</f>
        <v>0</v>
      </c>
      <c r="P283" s="10">
        <f ca="1">SUM($K269:P269)</f>
        <v>0</v>
      </c>
      <c r="Q283" s="10">
        <f ca="1">SUM($K269:Q269)</f>
        <v>0</v>
      </c>
      <c r="R283" s="10">
        <f ca="1">SUM($K269:R269)</f>
        <v>0</v>
      </c>
      <c r="S283" s="10">
        <f ca="1">SUM($K269:S269)</f>
        <v>0</v>
      </c>
      <c r="T283" s="10">
        <f ca="1">SUM($K269:T269)</f>
        <v>0</v>
      </c>
      <c r="U283" s="10">
        <f ca="1">SUM($K269:U269)</f>
        <v>0</v>
      </c>
      <c r="V283" s="10">
        <f ca="1">SUM($K269:V269)</f>
        <v>0</v>
      </c>
      <c r="W283" s="10">
        <f ca="1">SUM($K269:W269)</f>
        <v>0</v>
      </c>
      <c r="X283" s="10">
        <f ca="1">SUM($K269:X269)</f>
        <v>146334.81263059154</v>
      </c>
      <c r="Y283" s="10">
        <f ca="1">SUM($K269:Y269)</f>
        <v>294111.52166229946</v>
      </c>
      <c r="Z283" s="10">
        <f ca="1">SUM($K269:Z269)</f>
        <v>443344.33468656545</v>
      </c>
      <c r="AA283" s="10">
        <f ca="1">SUM($K269:AA269)</f>
        <v>594047.59928800585</v>
      </c>
      <c r="AB283" s="10">
        <f ca="1">SUM($K269:AB269)</f>
        <v>594047.59928800585</v>
      </c>
      <c r="AC283" s="10">
        <f ca="1">SUM($K269:AC269)</f>
        <v>594047.59928800585</v>
      </c>
      <c r="AD283" s="10">
        <f ca="1">SUM($K269:AD269)</f>
        <v>594047.59928800585</v>
      </c>
      <c r="AE283" s="10">
        <f ca="1">SUM($K269:AE269)</f>
        <v>594047.59928800585</v>
      </c>
      <c r="AF283" s="10">
        <f ca="1">SUM($K269:AF269)</f>
        <v>594047.59928800585</v>
      </c>
      <c r="AG283" s="10">
        <f ca="1">SUM($K269:AG269)</f>
        <v>594047.59928800585</v>
      </c>
      <c r="AH283" s="10">
        <f ca="1">SUM($K269:AH269)</f>
        <v>594047.59928800585</v>
      </c>
      <c r="AI283" s="10">
        <f ca="1">SUM($K269:AI269)</f>
        <v>594047.59928800585</v>
      </c>
      <c r="AJ283" s="10">
        <f ca="1">SUM($K269:AJ269)</f>
        <v>594047.59928800585</v>
      </c>
      <c r="AK283" s="10">
        <f ca="1">SUM($K269:AK269)</f>
        <v>594047.59928800585</v>
      </c>
      <c r="AL283" s="10">
        <f ca="1">SUM($K269:AL269)</f>
        <v>594047.59928800585</v>
      </c>
      <c r="AM283" s="10">
        <f ca="1">SUM($K269:AM269)</f>
        <v>594047.59928800585</v>
      </c>
      <c r="AN283" s="10">
        <f ca="1">SUM($K269:AN269)</f>
        <v>594047.59928800585</v>
      </c>
      <c r="AO283" s="10">
        <f ca="1">SUM($K269:AO269)</f>
        <v>594047.59928800585</v>
      </c>
      <c r="AP283" s="10">
        <f ca="1">SUM($K269:AP269)</f>
        <v>594047.59928800585</v>
      </c>
      <c r="AQ283" s="10">
        <f ca="1">SUM($K269:AQ269)</f>
        <v>594047.59928800585</v>
      </c>
      <c r="AR283" s="10">
        <f ca="1">SUM($K269:AR269)</f>
        <v>594047.59928800585</v>
      </c>
      <c r="AS283" s="10">
        <f ca="1">SUM($K269:AS269)</f>
        <v>594047.59928800585</v>
      </c>
      <c r="AT283" s="10">
        <f ca="1">SUM($K269:AT269)</f>
        <v>594047.59928800585</v>
      </c>
      <c r="AU283" s="10">
        <f ca="1">SUM($K269:AU269)</f>
        <v>594047.59928800585</v>
      </c>
      <c r="AV283" s="10">
        <f ca="1">SUM($K269:AV269)</f>
        <v>594047.59928800585</v>
      </c>
      <c r="AW283" s="10">
        <f ca="1">SUM($K269:AW269)</f>
        <v>594047.59928800585</v>
      </c>
      <c r="AX283" s="10">
        <f ca="1">SUM($K269:AX269)</f>
        <v>594047.59928800585</v>
      </c>
      <c r="AY283" s="10">
        <f ca="1">SUM($K269:AY269)</f>
        <v>594047.59928800585</v>
      </c>
      <c r="AZ283" s="10">
        <f ca="1">SUM($K269:AZ269)</f>
        <v>594047.59928800585</v>
      </c>
      <c r="BA283" s="10">
        <f ca="1">SUM($K269:BA269)</f>
        <v>594047.59928800585</v>
      </c>
      <c r="BB283" s="10">
        <f ca="1">SUM($K269:BB269)</f>
        <v>594047.59928800585</v>
      </c>
      <c r="BC283" s="10">
        <f ca="1">SUM($K269:BC269)</f>
        <v>594047.59928800585</v>
      </c>
      <c r="BD283" s="10">
        <f ca="1">SUM($K269:BD269)</f>
        <v>594047.59928800585</v>
      </c>
      <c r="BE283" s="10">
        <f ca="1">SUM($K269:BE269)</f>
        <v>594047.59928800585</v>
      </c>
      <c r="BF283" s="10">
        <f ca="1">SUM($K269:BF269)</f>
        <v>594047.59928800585</v>
      </c>
      <c r="BG283" s="10">
        <f ca="1">SUM($K269:BG269)</f>
        <v>594047.59928800585</v>
      </c>
      <c r="BH283" s="10">
        <f ca="1">SUM($K269:BH269)</f>
        <v>594047.59928800585</v>
      </c>
      <c r="BI283" s="10">
        <f ca="1">SUM($K269:BI269)</f>
        <v>594047.59928800585</v>
      </c>
      <c r="BJ283" s="10">
        <f ca="1">SUM($K269:BJ269)</f>
        <v>594047.59928800585</v>
      </c>
      <c r="BK283" s="10">
        <f ca="1">SUM($K269:BK269)</f>
        <v>594047.59928800585</v>
      </c>
      <c r="BL283" s="10">
        <f ca="1">SUM($K269:BL269)</f>
        <v>594047.59928800585</v>
      </c>
      <c r="BM283" s="10">
        <f ca="1">SUM($K269:BM269)</f>
        <v>594047.59928800585</v>
      </c>
      <c r="BN283" s="10">
        <f ca="1">SUM($K269:BN269)</f>
        <v>594047.59928800585</v>
      </c>
      <c r="BO283" s="10">
        <f ca="1">SUM($K269:BO269)</f>
        <v>594047.59928800585</v>
      </c>
      <c r="BP283" s="10">
        <f ca="1">SUM($K269:BP269)</f>
        <v>594047.59928800585</v>
      </c>
      <c r="BQ283" s="10">
        <f ca="1">SUM($K269:BQ269)</f>
        <v>594047.59928800585</v>
      </c>
      <c r="BR283" s="10">
        <f ca="1">SUM($K269:BR269)</f>
        <v>594047.59928800585</v>
      </c>
      <c r="BS283" s="10">
        <f ca="1">SUM($K269:BS269)</f>
        <v>594047.59928800585</v>
      </c>
      <c r="BT283" s="10">
        <f ca="1">SUM($K269:BT269)</f>
        <v>594047.59928800585</v>
      </c>
      <c r="BU283" s="10">
        <f ca="1">SUM($K269:BU269)</f>
        <v>594047.59928800585</v>
      </c>
      <c r="BV283" s="10">
        <f ca="1">SUM($K269:BV269)</f>
        <v>594047.59928800585</v>
      </c>
      <c r="BW283" s="10">
        <f ca="1">SUM($K269:BW269)</f>
        <v>594047.59928800585</v>
      </c>
      <c r="BX283" s="10">
        <f ca="1">SUM($K269:BX269)</f>
        <v>594047.59928800585</v>
      </c>
      <c r="BY283" s="10">
        <f ca="1">SUM($K269:BY269)</f>
        <v>594047.59928800585</v>
      </c>
      <c r="BZ283" s="10">
        <f ca="1">SUM($K269:BZ269)</f>
        <v>594047.59928800585</v>
      </c>
      <c r="CA283" s="10">
        <f ca="1">SUM($K269:CA269)</f>
        <v>594047.59928800585</v>
      </c>
      <c r="CB283" s="10">
        <f ca="1">SUM($K269:CB269)</f>
        <v>594047.59928800585</v>
      </c>
      <c r="CC283" s="10">
        <f ca="1">SUM($K269:CC269)</f>
        <v>594047.59928800585</v>
      </c>
      <c r="CD283" s="10">
        <f ca="1">SUM($K269:CD269)</f>
        <v>594047.59928800585</v>
      </c>
      <c r="CE283" s="10">
        <f ca="1">SUM($K269:CE269)</f>
        <v>594047.59928800585</v>
      </c>
      <c r="CF283" s="10">
        <f ca="1">SUM($K269:CF269)</f>
        <v>594047.59928800585</v>
      </c>
      <c r="CG283" s="10">
        <f ca="1">SUM($K269:CG269)</f>
        <v>594047.59928800585</v>
      </c>
      <c r="CH283" s="10">
        <f ca="1">SUM($K269:CH269)</f>
        <v>594047.59928800585</v>
      </c>
      <c r="CI283" s="10">
        <f ca="1">SUM($K269:CI269)</f>
        <v>594047.59928800585</v>
      </c>
      <c r="CJ283" s="10">
        <f ca="1">SUM($K269:CJ269)</f>
        <v>594047.59928800585</v>
      </c>
      <c r="CK283" s="10">
        <f ca="1">SUM($K269:CK269)</f>
        <v>594047.59928800585</v>
      </c>
      <c r="CL283" s="10">
        <f ca="1">SUM($K269:CL269)</f>
        <v>594047.59928800585</v>
      </c>
      <c r="CM283" s="10">
        <f ca="1">SUM($K269:CM269)</f>
        <v>594047.59928800585</v>
      </c>
      <c r="CN283" s="10">
        <f ca="1">SUM($K269:CN269)</f>
        <v>594047.59928800585</v>
      </c>
      <c r="CO283" s="10">
        <f ca="1">SUM($K269:CO269)</f>
        <v>594047.59928800585</v>
      </c>
    </row>
    <row r="284" spans="1:93">
      <c r="A284" s="77"/>
      <c r="B284" s="10"/>
      <c r="C284" s="17" t="str">
        <f t="shared" si="432"/>
        <v>Здания и сооружения - Развлекательный комплекс</v>
      </c>
      <c r="D284" s="10"/>
      <c r="E284" s="62"/>
      <c r="F284" s="11"/>
      <c r="G284" s="134" t="str">
        <f t="shared" si="431"/>
        <v>тыс. руб.</v>
      </c>
      <c r="H284" s="10"/>
      <c r="I284" s="10"/>
      <c r="J284" s="10"/>
      <c r="K284" s="10"/>
      <c r="L284" s="10">
        <f ca="1">SUM($K270:L270)</f>
        <v>0</v>
      </c>
      <c r="M284" s="10">
        <f ca="1">SUM($K270:M270)</f>
        <v>0</v>
      </c>
      <c r="N284" s="10">
        <f ca="1">SUM($K270:N270)</f>
        <v>0</v>
      </c>
      <c r="O284" s="10">
        <f ca="1">SUM($K270:O270)</f>
        <v>0</v>
      </c>
      <c r="P284" s="10">
        <f ca="1">SUM($K270:P270)</f>
        <v>0</v>
      </c>
      <c r="Q284" s="10">
        <f ca="1">SUM($K270:Q270)</f>
        <v>0</v>
      </c>
      <c r="R284" s="10">
        <f ca="1">SUM($K270:R270)</f>
        <v>0</v>
      </c>
      <c r="S284" s="10">
        <f ca="1">SUM($K270:S270)</f>
        <v>0</v>
      </c>
      <c r="T284" s="10">
        <f ca="1">SUM($K270:T270)</f>
        <v>0</v>
      </c>
      <c r="U284" s="10">
        <f ca="1">SUM($K270:U270)</f>
        <v>0</v>
      </c>
      <c r="V284" s="10">
        <f ca="1">SUM($K270:V270)</f>
        <v>0</v>
      </c>
      <c r="W284" s="10">
        <f ca="1">SUM($K270:W270)</f>
        <v>0</v>
      </c>
      <c r="X284" s="10">
        <f ca="1">SUM($K270:X270)</f>
        <v>0</v>
      </c>
      <c r="Y284" s="10">
        <f ca="1">SUM($K270:Y270)</f>
        <v>0</v>
      </c>
      <c r="Z284" s="10">
        <f ca="1">SUM($K270:Z270)</f>
        <v>0</v>
      </c>
      <c r="AA284" s="10">
        <f ca="1">SUM($K270:AA270)</f>
        <v>0</v>
      </c>
      <c r="AB284" s="10">
        <f ca="1">SUM($K270:AB270)</f>
        <v>0</v>
      </c>
      <c r="AC284" s="10">
        <f ca="1">SUM($K270:AC270)</f>
        <v>0</v>
      </c>
      <c r="AD284" s="10">
        <f ca="1">SUM($K270:AD270)</f>
        <v>0</v>
      </c>
      <c r="AE284" s="10">
        <f ca="1">SUM($K270:AE270)</f>
        <v>0</v>
      </c>
      <c r="AF284" s="10">
        <f ca="1">SUM($K270:AF270)</f>
        <v>0</v>
      </c>
      <c r="AG284" s="10">
        <f ca="1">SUM($K270:AG270)</f>
        <v>0</v>
      </c>
      <c r="AH284" s="10">
        <f ca="1">SUM($K270:AH270)</f>
        <v>0</v>
      </c>
      <c r="AI284" s="10">
        <f ca="1">SUM($K270:AI270)</f>
        <v>0</v>
      </c>
      <c r="AJ284" s="10">
        <f ca="1">SUM($K270:AJ270)</f>
        <v>0</v>
      </c>
      <c r="AK284" s="10">
        <f ca="1">SUM($K270:AK270)</f>
        <v>0</v>
      </c>
      <c r="AL284" s="10">
        <f ca="1">SUM($K270:AL270)</f>
        <v>0</v>
      </c>
      <c r="AM284" s="10">
        <f ca="1">SUM($K270:AM270)</f>
        <v>0</v>
      </c>
      <c r="AN284" s="10">
        <f ca="1">SUM($K270:AN270)</f>
        <v>0</v>
      </c>
      <c r="AO284" s="10">
        <f ca="1">SUM($K270:AO270)</f>
        <v>0</v>
      </c>
      <c r="AP284" s="10">
        <f ca="1">SUM($K270:AP270)</f>
        <v>0</v>
      </c>
      <c r="AQ284" s="10">
        <f ca="1">SUM($K270:AQ270)</f>
        <v>0</v>
      </c>
      <c r="AR284" s="10">
        <f ca="1">SUM($K270:AR270)</f>
        <v>0</v>
      </c>
      <c r="AS284" s="10">
        <f ca="1">SUM($K270:AS270)</f>
        <v>0</v>
      </c>
      <c r="AT284" s="10">
        <f ca="1">SUM($K270:AT270)</f>
        <v>0</v>
      </c>
      <c r="AU284" s="10">
        <f ca="1">SUM($K270:AU270)</f>
        <v>0</v>
      </c>
      <c r="AV284" s="10">
        <f ca="1">SUM($K270:AV270)</f>
        <v>0</v>
      </c>
      <c r="AW284" s="10">
        <f ca="1">SUM($K270:AW270)</f>
        <v>0</v>
      </c>
      <c r="AX284" s="10">
        <f ca="1">SUM($K270:AX270)</f>
        <v>0</v>
      </c>
      <c r="AY284" s="10">
        <f ca="1">SUM($K270:AY270)</f>
        <v>0</v>
      </c>
      <c r="AZ284" s="10">
        <f ca="1">SUM($K270:AZ270)</f>
        <v>0</v>
      </c>
      <c r="BA284" s="10">
        <f ca="1">SUM($K270:BA270)</f>
        <v>0</v>
      </c>
      <c r="BB284" s="10">
        <f ca="1">SUM($K270:BB270)</f>
        <v>0</v>
      </c>
      <c r="BC284" s="10">
        <f ca="1">SUM($K270:BC270)</f>
        <v>0</v>
      </c>
      <c r="BD284" s="10">
        <f ca="1">SUM($K270:BD270)</f>
        <v>0</v>
      </c>
      <c r="BE284" s="10">
        <f ca="1">SUM($K270:BE270)</f>
        <v>0</v>
      </c>
      <c r="BF284" s="10">
        <f ca="1">SUM($K270:BF270)</f>
        <v>0</v>
      </c>
      <c r="BG284" s="10">
        <f ca="1">SUM($K270:BG270)</f>
        <v>0</v>
      </c>
      <c r="BH284" s="10">
        <f ca="1">SUM($K270:BH270)</f>
        <v>0</v>
      </c>
      <c r="BI284" s="10">
        <f ca="1">SUM($K270:BI270)</f>
        <v>0</v>
      </c>
      <c r="BJ284" s="10">
        <f ca="1">SUM($K270:BJ270)</f>
        <v>0</v>
      </c>
      <c r="BK284" s="10">
        <f ca="1">SUM($K270:BK270)</f>
        <v>0</v>
      </c>
      <c r="BL284" s="10">
        <f ca="1">SUM($K270:BL270)</f>
        <v>0</v>
      </c>
      <c r="BM284" s="10">
        <f ca="1">SUM($K270:BM270)</f>
        <v>0</v>
      </c>
      <c r="BN284" s="10">
        <f ca="1">SUM($K270:BN270)</f>
        <v>0</v>
      </c>
      <c r="BO284" s="10">
        <f ca="1">SUM($K270:BO270)</f>
        <v>0</v>
      </c>
      <c r="BP284" s="10">
        <f ca="1">SUM($K270:BP270)</f>
        <v>0</v>
      </c>
      <c r="BQ284" s="10">
        <f ca="1">SUM($K270:BQ270)</f>
        <v>0</v>
      </c>
      <c r="BR284" s="10">
        <f ca="1">SUM($K270:BR270)</f>
        <v>0</v>
      </c>
      <c r="BS284" s="10">
        <f ca="1">SUM($K270:BS270)</f>
        <v>0</v>
      </c>
      <c r="BT284" s="10">
        <f ca="1">SUM($K270:BT270)</f>
        <v>0</v>
      </c>
      <c r="BU284" s="10">
        <f ca="1">SUM($K270:BU270)</f>
        <v>0</v>
      </c>
      <c r="BV284" s="10">
        <f ca="1">SUM($K270:BV270)</f>
        <v>0</v>
      </c>
      <c r="BW284" s="10">
        <f ca="1">SUM($K270:BW270)</f>
        <v>0</v>
      </c>
      <c r="BX284" s="10">
        <f ca="1">SUM($K270:BX270)</f>
        <v>0</v>
      </c>
      <c r="BY284" s="10">
        <f ca="1">SUM($K270:BY270)</f>
        <v>0</v>
      </c>
      <c r="BZ284" s="10">
        <f ca="1">SUM($K270:BZ270)</f>
        <v>0</v>
      </c>
      <c r="CA284" s="10">
        <f ca="1">SUM($K270:CA270)</f>
        <v>0</v>
      </c>
      <c r="CB284" s="10">
        <f ca="1">SUM($K270:CB270)</f>
        <v>0</v>
      </c>
      <c r="CC284" s="10">
        <f ca="1">SUM($K270:CC270)</f>
        <v>0</v>
      </c>
      <c r="CD284" s="10">
        <f ca="1">SUM($K270:CD270)</f>
        <v>0</v>
      </c>
      <c r="CE284" s="10">
        <f ca="1">SUM($K270:CE270)</f>
        <v>0</v>
      </c>
      <c r="CF284" s="10">
        <f ca="1">SUM($K270:CF270)</f>
        <v>0</v>
      </c>
      <c r="CG284" s="10">
        <f ca="1">SUM($K270:CG270)</f>
        <v>0</v>
      </c>
      <c r="CH284" s="10">
        <f ca="1">SUM($K270:CH270)</f>
        <v>0</v>
      </c>
      <c r="CI284" s="10">
        <f ca="1">SUM($K270:CI270)</f>
        <v>0</v>
      </c>
      <c r="CJ284" s="10">
        <f ca="1">SUM($K270:CJ270)</f>
        <v>0</v>
      </c>
      <c r="CK284" s="10">
        <f ca="1">SUM($K270:CK270)</f>
        <v>0</v>
      </c>
      <c r="CL284" s="10">
        <f ca="1">SUM($K270:CL270)</f>
        <v>0</v>
      </c>
      <c r="CM284" s="10">
        <f ca="1">SUM($K270:CM270)</f>
        <v>0</v>
      </c>
      <c r="CN284" s="10">
        <f ca="1">SUM($K270:CN270)</f>
        <v>0</v>
      </c>
      <c r="CO284" s="10">
        <f ca="1">SUM($K270:CO270)</f>
        <v>0</v>
      </c>
    </row>
    <row r="285" spans="1:93">
      <c r="A285" s="77"/>
      <c r="B285" s="10"/>
      <c r="C285" s="17" t="str">
        <f t="shared" si="432"/>
        <v>Здания и сооружения - Крытый парк развлечений</v>
      </c>
      <c r="D285" s="10"/>
      <c r="E285" s="62"/>
      <c r="F285" s="11"/>
      <c r="G285" s="134" t="str">
        <f t="shared" si="431"/>
        <v>тыс. руб.</v>
      </c>
      <c r="H285" s="10"/>
      <c r="I285" s="10"/>
      <c r="J285" s="10"/>
      <c r="K285" s="10"/>
      <c r="L285" s="10">
        <f ca="1">SUM($K271:L271)</f>
        <v>0</v>
      </c>
      <c r="M285" s="10">
        <f ca="1">SUM($K271:M271)</f>
        <v>0</v>
      </c>
      <c r="N285" s="10">
        <f ca="1">SUM($K271:N271)</f>
        <v>0</v>
      </c>
      <c r="O285" s="10">
        <f ca="1">SUM($K271:O271)</f>
        <v>0</v>
      </c>
      <c r="P285" s="10">
        <f ca="1">SUM($K271:P271)</f>
        <v>0</v>
      </c>
      <c r="Q285" s="10">
        <f ca="1">SUM($K271:Q271)</f>
        <v>0</v>
      </c>
      <c r="R285" s="10">
        <f ca="1">SUM($K271:R271)</f>
        <v>0</v>
      </c>
      <c r="S285" s="10">
        <f ca="1">SUM($K271:S271)</f>
        <v>0</v>
      </c>
      <c r="T285" s="10">
        <f ca="1">SUM($K271:T271)</f>
        <v>0</v>
      </c>
      <c r="U285" s="10">
        <f ca="1">SUM($K271:U271)</f>
        <v>0</v>
      </c>
      <c r="V285" s="10">
        <f ca="1">SUM($K271:V271)</f>
        <v>0</v>
      </c>
      <c r="W285" s="10">
        <f ca="1">SUM($K271:W271)</f>
        <v>0</v>
      </c>
      <c r="X285" s="10">
        <f ca="1">SUM($K271:X271)</f>
        <v>0</v>
      </c>
      <c r="Y285" s="10">
        <f ca="1">SUM($K271:Y271)</f>
        <v>0</v>
      </c>
      <c r="Z285" s="10">
        <f ca="1">SUM($K271:Z271)</f>
        <v>0</v>
      </c>
      <c r="AA285" s="10">
        <f ca="1">SUM($K271:AA271)</f>
        <v>0</v>
      </c>
      <c r="AB285" s="10">
        <f ca="1">SUM($K271:AB271)</f>
        <v>0</v>
      </c>
      <c r="AC285" s="10">
        <f ca="1">SUM($K271:AC271)</f>
        <v>0</v>
      </c>
      <c r="AD285" s="10">
        <f ca="1">SUM($K271:AD271)</f>
        <v>0</v>
      </c>
      <c r="AE285" s="10">
        <f ca="1">SUM($K271:AE271)</f>
        <v>0</v>
      </c>
      <c r="AF285" s="10">
        <f ca="1">SUM($K271:AF271)</f>
        <v>0</v>
      </c>
      <c r="AG285" s="10">
        <f ca="1">SUM($K271:AG271)</f>
        <v>0</v>
      </c>
      <c r="AH285" s="10">
        <f ca="1">SUM($K271:AH271)</f>
        <v>0</v>
      </c>
      <c r="AI285" s="10">
        <f ca="1">SUM($K271:AI271)</f>
        <v>0</v>
      </c>
      <c r="AJ285" s="10">
        <f ca="1">SUM($K271:AJ271)</f>
        <v>0</v>
      </c>
      <c r="AK285" s="10">
        <f ca="1">SUM($K271:AK271)</f>
        <v>0</v>
      </c>
      <c r="AL285" s="10">
        <f ca="1">SUM($K271:AL271)</f>
        <v>0</v>
      </c>
      <c r="AM285" s="10">
        <f ca="1">SUM($K271:AM271)</f>
        <v>0</v>
      </c>
      <c r="AN285" s="10">
        <f ca="1">SUM($K271:AN271)</f>
        <v>0</v>
      </c>
      <c r="AO285" s="10">
        <f ca="1">SUM($K271:AO271)</f>
        <v>0</v>
      </c>
      <c r="AP285" s="10">
        <f ca="1">SUM($K271:AP271)</f>
        <v>0</v>
      </c>
      <c r="AQ285" s="10">
        <f ca="1">SUM($K271:AQ271)</f>
        <v>0</v>
      </c>
      <c r="AR285" s="10">
        <f ca="1">SUM($K271:AR271)</f>
        <v>0</v>
      </c>
      <c r="AS285" s="10">
        <f ca="1">SUM($K271:AS271)</f>
        <v>0</v>
      </c>
      <c r="AT285" s="10">
        <f ca="1">SUM($K271:AT271)</f>
        <v>0</v>
      </c>
      <c r="AU285" s="10">
        <f ca="1">SUM($K271:AU271)</f>
        <v>0</v>
      </c>
      <c r="AV285" s="10">
        <f ca="1">SUM($K271:AV271)</f>
        <v>0</v>
      </c>
      <c r="AW285" s="10">
        <f ca="1">SUM($K271:AW271)</f>
        <v>0</v>
      </c>
      <c r="AX285" s="10">
        <f ca="1">SUM($K271:AX271)</f>
        <v>0</v>
      </c>
      <c r="AY285" s="10">
        <f ca="1">SUM($K271:AY271)</f>
        <v>0</v>
      </c>
      <c r="AZ285" s="10">
        <f ca="1">SUM($K271:AZ271)</f>
        <v>0</v>
      </c>
      <c r="BA285" s="10">
        <f ca="1">SUM($K271:BA271)</f>
        <v>0</v>
      </c>
      <c r="BB285" s="10">
        <f ca="1">SUM($K271:BB271)</f>
        <v>0</v>
      </c>
      <c r="BC285" s="10">
        <f ca="1">SUM($K271:BC271)</f>
        <v>0</v>
      </c>
      <c r="BD285" s="10">
        <f ca="1">SUM($K271:BD271)</f>
        <v>0</v>
      </c>
      <c r="BE285" s="10">
        <f ca="1">SUM($K271:BE271)</f>
        <v>0</v>
      </c>
      <c r="BF285" s="10">
        <f ca="1">SUM($K271:BF271)</f>
        <v>0</v>
      </c>
      <c r="BG285" s="10">
        <f ca="1">SUM($K271:BG271)</f>
        <v>0</v>
      </c>
      <c r="BH285" s="10">
        <f ca="1">SUM($K271:BH271)</f>
        <v>0</v>
      </c>
      <c r="BI285" s="10">
        <f ca="1">SUM($K271:BI271)</f>
        <v>0</v>
      </c>
      <c r="BJ285" s="10">
        <f ca="1">SUM($K271:BJ271)</f>
        <v>0</v>
      </c>
      <c r="BK285" s="10">
        <f ca="1">SUM($K271:BK271)</f>
        <v>0</v>
      </c>
      <c r="BL285" s="10">
        <f ca="1">SUM($K271:BL271)</f>
        <v>0</v>
      </c>
      <c r="BM285" s="10">
        <f ca="1">SUM($K271:BM271)</f>
        <v>0</v>
      </c>
      <c r="BN285" s="10">
        <f ca="1">SUM($K271:BN271)</f>
        <v>0</v>
      </c>
      <c r="BO285" s="10">
        <f ca="1">SUM($K271:BO271)</f>
        <v>0</v>
      </c>
      <c r="BP285" s="10">
        <f ca="1">SUM($K271:BP271)</f>
        <v>0</v>
      </c>
      <c r="BQ285" s="10">
        <f ca="1">SUM($K271:BQ271)</f>
        <v>0</v>
      </c>
      <c r="BR285" s="10">
        <f ca="1">SUM($K271:BR271)</f>
        <v>0</v>
      </c>
      <c r="BS285" s="10">
        <f ca="1">SUM($K271:BS271)</f>
        <v>0</v>
      </c>
      <c r="BT285" s="10">
        <f ca="1">SUM($K271:BT271)</f>
        <v>0</v>
      </c>
      <c r="BU285" s="10">
        <f ca="1">SUM($K271:BU271)</f>
        <v>0</v>
      </c>
      <c r="BV285" s="10">
        <f ca="1">SUM($K271:BV271)</f>
        <v>0</v>
      </c>
      <c r="BW285" s="10">
        <f ca="1">SUM($K271:BW271)</f>
        <v>0</v>
      </c>
      <c r="BX285" s="10">
        <f ca="1">SUM($K271:BX271)</f>
        <v>0</v>
      </c>
      <c r="BY285" s="10">
        <f ca="1">SUM($K271:BY271)</f>
        <v>0</v>
      </c>
      <c r="BZ285" s="10">
        <f ca="1">SUM($K271:BZ271)</f>
        <v>0</v>
      </c>
      <c r="CA285" s="10">
        <f ca="1">SUM($K271:CA271)</f>
        <v>0</v>
      </c>
      <c r="CB285" s="10">
        <f ca="1">SUM($K271:CB271)</f>
        <v>0</v>
      </c>
      <c r="CC285" s="10">
        <f ca="1">SUM($K271:CC271)</f>
        <v>0</v>
      </c>
      <c r="CD285" s="10">
        <f ca="1">SUM($K271:CD271)</f>
        <v>0</v>
      </c>
      <c r="CE285" s="10">
        <f ca="1">SUM($K271:CE271)</f>
        <v>0</v>
      </c>
      <c r="CF285" s="10">
        <f ca="1">SUM($K271:CF271)</f>
        <v>0</v>
      </c>
      <c r="CG285" s="10">
        <f ca="1">SUM($K271:CG271)</f>
        <v>0</v>
      </c>
      <c r="CH285" s="10">
        <f ca="1">SUM($K271:CH271)</f>
        <v>0</v>
      </c>
      <c r="CI285" s="10">
        <f ca="1">SUM($K271:CI271)</f>
        <v>0</v>
      </c>
      <c r="CJ285" s="10">
        <f ca="1">SUM($K271:CJ271)</f>
        <v>0</v>
      </c>
      <c r="CK285" s="10">
        <f ca="1">SUM($K271:CK271)</f>
        <v>0</v>
      </c>
      <c r="CL285" s="10">
        <f ca="1">SUM($K271:CL271)</f>
        <v>0</v>
      </c>
      <c r="CM285" s="10">
        <f ca="1">SUM($K271:CM271)</f>
        <v>0</v>
      </c>
      <c r="CN285" s="10">
        <f ca="1">SUM($K271:CN271)</f>
        <v>0</v>
      </c>
      <c r="CO285" s="10">
        <f ca="1">SUM($K271:CO271)</f>
        <v>0</v>
      </c>
    </row>
    <row r="286" spans="1:93">
      <c r="A286" s="77"/>
      <c r="B286" s="10"/>
      <c r="C286" s="17" t="s">
        <v>315</v>
      </c>
      <c r="D286" s="10"/>
      <c r="E286" s="62"/>
      <c r="F286" s="11"/>
      <c r="G286" s="134" t="str">
        <f t="shared" si="431"/>
        <v>тыс. руб.</v>
      </c>
      <c r="H286" s="10"/>
      <c r="I286" s="10"/>
      <c r="J286" s="10"/>
      <c r="K286" s="10"/>
      <c r="L286" s="10">
        <f>SUM($K272:L272)</f>
        <v>0</v>
      </c>
      <c r="M286" s="10">
        <f>SUM($K272:M272)</f>
        <v>0</v>
      </c>
      <c r="N286" s="10">
        <f>SUM($K272:N272)</f>
        <v>0</v>
      </c>
      <c r="O286" s="10">
        <f>SUM($K272:O272)</f>
        <v>0</v>
      </c>
      <c r="P286" s="10">
        <f>SUM($K272:P272)</f>
        <v>0</v>
      </c>
      <c r="Q286" s="10">
        <f>SUM($K272:Q272)</f>
        <v>0</v>
      </c>
      <c r="R286" s="10">
        <f>SUM($K272:R272)</f>
        <v>0</v>
      </c>
      <c r="S286" s="10">
        <f>SUM($K272:S272)</f>
        <v>0</v>
      </c>
      <c r="T286" s="10">
        <f>SUM($K272:T272)</f>
        <v>0</v>
      </c>
      <c r="U286" s="10">
        <f>SUM($K272:U272)</f>
        <v>0</v>
      </c>
      <c r="V286" s="10">
        <f>SUM($K272:V272)</f>
        <v>0</v>
      </c>
      <c r="W286" s="10">
        <f>SUM($K272:W272)</f>
        <v>0</v>
      </c>
      <c r="X286" s="10">
        <f>SUM($K272:X272)</f>
        <v>0</v>
      </c>
      <c r="Y286" s="10">
        <f>SUM($K272:Y272)</f>
        <v>0</v>
      </c>
      <c r="Z286" s="10">
        <f>SUM($K272:Z272)</f>
        <v>0</v>
      </c>
      <c r="AA286" s="10">
        <f>SUM($K272:AA272)</f>
        <v>0</v>
      </c>
      <c r="AB286" s="10">
        <f>SUM($K272:AB272)</f>
        <v>0</v>
      </c>
      <c r="AC286" s="10">
        <f>SUM($K272:AC272)</f>
        <v>0</v>
      </c>
      <c r="AD286" s="10">
        <f>SUM($K272:AD272)</f>
        <v>0</v>
      </c>
      <c r="AE286" s="10">
        <f>SUM($K272:AE272)</f>
        <v>0</v>
      </c>
      <c r="AF286" s="10">
        <f>SUM($K272:AF272)</f>
        <v>0</v>
      </c>
      <c r="AG286" s="10">
        <f>SUM($K272:AG272)</f>
        <v>0</v>
      </c>
      <c r="AH286" s="10">
        <f>SUM($K272:AH272)</f>
        <v>0</v>
      </c>
      <c r="AI286" s="10">
        <f>SUM($K272:AI272)</f>
        <v>0</v>
      </c>
      <c r="AJ286" s="10">
        <f>SUM($K272:AJ272)</f>
        <v>0</v>
      </c>
      <c r="AK286" s="10">
        <f>SUM($K272:AK272)</f>
        <v>0</v>
      </c>
      <c r="AL286" s="10">
        <f>SUM($K272:AL272)</f>
        <v>0</v>
      </c>
      <c r="AM286" s="10">
        <f>SUM($K272:AM272)</f>
        <v>0</v>
      </c>
      <c r="AN286" s="10">
        <f>SUM($K272:AN272)</f>
        <v>0</v>
      </c>
      <c r="AO286" s="10">
        <f>SUM($K272:AO272)</f>
        <v>0</v>
      </c>
      <c r="AP286" s="10">
        <f>SUM($K272:AP272)</f>
        <v>0</v>
      </c>
      <c r="AQ286" s="10">
        <f>SUM($K272:AQ272)</f>
        <v>0</v>
      </c>
      <c r="AR286" s="10">
        <f>SUM($K272:AR272)</f>
        <v>0</v>
      </c>
      <c r="AS286" s="10">
        <f>SUM($K272:AS272)</f>
        <v>0</v>
      </c>
      <c r="AT286" s="10">
        <f>SUM($K272:AT272)</f>
        <v>0</v>
      </c>
      <c r="AU286" s="10">
        <f>SUM($K272:AU272)</f>
        <v>0</v>
      </c>
      <c r="AV286" s="10">
        <f>SUM($K272:AV272)</f>
        <v>0</v>
      </c>
      <c r="AW286" s="10">
        <f>SUM($K272:AW272)</f>
        <v>0</v>
      </c>
      <c r="AX286" s="10">
        <f>SUM($K272:AX272)</f>
        <v>0</v>
      </c>
      <c r="AY286" s="10">
        <f>SUM($K272:AY272)</f>
        <v>0</v>
      </c>
      <c r="AZ286" s="10">
        <f>SUM($K272:AZ272)</f>
        <v>0</v>
      </c>
      <c r="BA286" s="10">
        <f>SUM($K272:BA272)</f>
        <v>0</v>
      </c>
      <c r="BB286" s="10">
        <f>SUM($K272:BB272)</f>
        <v>0</v>
      </c>
      <c r="BC286" s="10">
        <f>SUM($K272:BC272)</f>
        <v>0</v>
      </c>
      <c r="BD286" s="10">
        <f>SUM($K272:BD272)</f>
        <v>0</v>
      </c>
      <c r="BE286" s="10">
        <f>SUM($K272:BE272)</f>
        <v>0</v>
      </c>
      <c r="BF286" s="10">
        <f>SUM($K272:BF272)</f>
        <v>0</v>
      </c>
      <c r="BG286" s="10">
        <f>SUM($K272:BG272)</f>
        <v>0</v>
      </c>
      <c r="BH286" s="10">
        <f>SUM($K272:BH272)</f>
        <v>0</v>
      </c>
      <c r="BI286" s="10">
        <f>SUM($K272:BI272)</f>
        <v>0</v>
      </c>
      <c r="BJ286" s="10">
        <f>SUM($K272:BJ272)</f>
        <v>0</v>
      </c>
      <c r="BK286" s="10">
        <f>SUM($K272:BK272)</f>
        <v>0</v>
      </c>
      <c r="BL286" s="10">
        <f>SUM($K272:BL272)</f>
        <v>0</v>
      </c>
      <c r="BM286" s="10">
        <f>SUM($K272:BM272)</f>
        <v>0</v>
      </c>
      <c r="BN286" s="10">
        <f>SUM($K272:BN272)</f>
        <v>0</v>
      </c>
      <c r="BO286" s="10">
        <f>SUM($K272:BO272)</f>
        <v>0</v>
      </c>
      <c r="BP286" s="10">
        <f>SUM($K272:BP272)</f>
        <v>0</v>
      </c>
      <c r="BQ286" s="10">
        <f>SUM($K272:BQ272)</f>
        <v>0</v>
      </c>
      <c r="BR286" s="10">
        <f>SUM($K272:BR272)</f>
        <v>0</v>
      </c>
      <c r="BS286" s="10">
        <f>SUM($K272:BS272)</f>
        <v>0</v>
      </c>
      <c r="BT286" s="10">
        <f>SUM($K272:BT272)</f>
        <v>0</v>
      </c>
      <c r="BU286" s="10">
        <f>SUM($K272:BU272)</f>
        <v>0</v>
      </c>
      <c r="BV286" s="10">
        <f>SUM($K272:BV272)</f>
        <v>0</v>
      </c>
      <c r="BW286" s="10">
        <f>SUM($K272:BW272)</f>
        <v>0</v>
      </c>
      <c r="BX286" s="10">
        <f>SUM($K272:BX272)</f>
        <v>0</v>
      </c>
      <c r="BY286" s="10">
        <f>SUM($K272:BY272)</f>
        <v>0</v>
      </c>
      <c r="BZ286" s="10">
        <f>SUM($K272:BZ272)</f>
        <v>0</v>
      </c>
      <c r="CA286" s="10">
        <f>SUM($K272:CA272)</f>
        <v>0</v>
      </c>
      <c r="CB286" s="10">
        <f>SUM($K272:CB272)</f>
        <v>0</v>
      </c>
      <c r="CC286" s="10">
        <f>SUM($K272:CC272)</f>
        <v>0</v>
      </c>
      <c r="CD286" s="10">
        <f>SUM($K272:CD272)</f>
        <v>0</v>
      </c>
      <c r="CE286" s="10">
        <f>SUM($K272:CE272)</f>
        <v>0</v>
      </c>
      <c r="CF286" s="10">
        <f>SUM($K272:CF272)</f>
        <v>0</v>
      </c>
      <c r="CG286" s="10">
        <f>SUM($K272:CG272)</f>
        <v>0</v>
      </c>
      <c r="CH286" s="10">
        <f>SUM($K272:CH272)</f>
        <v>0</v>
      </c>
      <c r="CI286" s="10">
        <f>SUM($K272:CI272)</f>
        <v>0</v>
      </c>
      <c r="CJ286" s="10">
        <f>SUM($K272:CJ272)</f>
        <v>0</v>
      </c>
      <c r="CK286" s="10">
        <f>SUM($K272:CK272)</f>
        <v>0</v>
      </c>
      <c r="CL286" s="10">
        <f>SUM($K272:CL272)</f>
        <v>0</v>
      </c>
      <c r="CM286" s="10">
        <f>SUM($K272:CM272)</f>
        <v>0</v>
      </c>
      <c r="CN286" s="10">
        <f>SUM($K272:CN272)</f>
        <v>0</v>
      </c>
      <c r="CO286" s="10">
        <f>SUM($K272:CO272)</f>
        <v>0</v>
      </c>
    </row>
    <row r="287" spans="1:93">
      <c r="A287" s="10"/>
      <c r="B287" s="10"/>
      <c r="C287" s="17" t="s">
        <v>1083</v>
      </c>
      <c r="D287" s="10"/>
      <c r="E287" s="62"/>
      <c r="F287" s="11"/>
      <c r="G287" s="134" t="str">
        <f t="shared" si="431"/>
        <v>тыс. руб.</v>
      </c>
      <c r="H287" s="10"/>
      <c r="I287" s="10"/>
      <c r="J287" s="10"/>
      <c r="K287" s="10"/>
      <c r="L287" s="10">
        <f>SUM($K273:L274)</f>
        <v>0</v>
      </c>
      <c r="M287" s="10">
        <f>SUM($K273:M274)</f>
        <v>0</v>
      </c>
      <c r="N287" s="10">
        <f>SUM($K273:N274)</f>
        <v>0</v>
      </c>
      <c r="O287" s="10">
        <f>SUM($K273:O274)</f>
        <v>0</v>
      </c>
      <c r="P287" s="10">
        <f>SUM($K273:P274)</f>
        <v>0</v>
      </c>
      <c r="Q287" s="10">
        <f>SUM($K273:Q274)</f>
        <v>0</v>
      </c>
      <c r="R287" s="10">
        <f>SUM($K273:R274)</f>
        <v>0</v>
      </c>
      <c r="S287" s="10">
        <f>SUM($K273:S274)</f>
        <v>0</v>
      </c>
      <c r="T287" s="10">
        <f>SUM($K273:T274)</f>
        <v>0</v>
      </c>
      <c r="U287" s="10">
        <f>SUM($K273:U274)</f>
        <v>0</v>
      </c>
      <c r="V287" s="10">
        <f>SUM($K273:V274)</f>
        <v>0</v>
      </c>
      <c r="W287" s="10">
        <f>SUM($K273:W274)</f>
        <v>0</v>
      </c>
      <c r="X287" s="10">
        <f>SUM($K273:X274)</f>
        <v>0</v>
      </c>
      <c r="Y287" s="10">
        <f>SUM($K273:Y274)</f>
        <v>0</v>
      </c>
      <c r="Z287" s="10">
        <f>SUM($K273:Z274)</f>
        <v>0</v>
      </c>
      <c r="AA287" s="10">
        <f>SUM($K273:AA274)</f>
        <v>0</v>
      </c>
      <c r="AB287" s="10">
        <f>SUM($K273:AB274)</f>
        <v>0</v>
      </c>
      <c r="AC287" s="10">
        <f>SUM($K273:AC274)</f>
        <v>0</v>
      </c>
      <c r="AD287" s="10">
        <f>SUM($K273:AD274)</f>
        <v>0</v>
      </c>
      <c r="AE287" s="10">
        <f>SUM($K273:AE274)</f>
        <v>0</v>
      </c>
      <c r="AF287" s="10">
        <f>SUM($K273:AF274)</f>
        <v>0</v>
      </c>
      <c r="AG287" s="10">
        <f>SUM($K273:AG274)</f>
        <v>0</v>
      </c>
      <c r="AH287" s="10">
        <f>SUM($K273:AH274)</f>
        <v>0</v>
      </c>
      <c r="AI287" s="10">
        <f>SUM($K273:AI274)</f>
        <v>0</v>
      </c>
      <c r="AJ287" s="10">
        <f>SUM($K273:AJ274)</f>
        <v>0</v>
      </c>
      <c r="AK287" s="10">
        <f>SUM($K273:AK274)</f>
        <v>0</v>
      </c>
      <c r="AL287" s="10">
        <f>SUM($K273:AL274)</f>
        <v>0</v>
      </c>
      <c r="AM287" s="10">
        <f>SUM($K273:AM274)</f>
        <v>0</v>
      </c>
      <c r="AN287" s="10">
        <f>SUM($K273:AN274)</f>
        <v>0</v>
      </c>
      <c r="AO287" s="10">
        <f>SUM($K273:AO274)</f>
        <v>0</v>
      </c>
      <c r="AP287" s="10">
        <f>SUM($K273:AP274)</f>
        <v>0</v>
      </c>
      <c r="AQ287" s="10">
        <f>SUM($K273:AQ274)</f>
        <v>0</v>
      </c>
      <c r="AR287" s="10">
        <f>SUM($K273:AR274)</f>
        <v>0</v>
      </c>
      <c r="AS287" s="10">
        <f>SUM($K273:AS274)</f>
        <v>0</v>
      </c>
      <c r="AT287" s="10">
        <f>SUM($K273:AT274)</f>
        <v>0</v>
      </c>
      <c r="AU287" s="10">
        <f>SUM($K273:AU274)</f>
        <v>0</v>
      </c>
      <c r="AV287" s="10">
        <f>SUM($K273:AV274)</f>
        <v>0</v>
      </c>
      <c r="AW287" s="10">
        <f>SUM($K273:AW274)</f>
        <v>0</v>
      </c>
      <c r="AX287" s="10">
        <f>SUM($K273:AX274)</f>
        <v>0</v>
      </c>
      <c r="AY287" s="10">
        <f>SUM($K273:AY274)</f>
        <v>0</v>
      </c>
      <c r="AZ287" s="10">
        <f>SUM($K273:AZ274)</f>
        <v>0</v>
      </c>
      <c r="BA287" s="10">
        <f>SUM($K273:BA274)</f>
        <v>0</v>
      </c>
      <c r="BB287" s="10">
        <f>SUM($K273:BB274)</f>
        <v>0</v>
      </c>
      <c r="BC287" s="10">
        <f>SUM($K273:BC274)</f>
        <v>0</v>
      </c>
      <c r="BD287" s="10">
        <f>SUM($K273:BD274)</f>
        <v>0</v>
      </c>
      <c r="BE287" s="10">
        <f>SUM($K273:BE274)</f>
        <v>0</v>
      </c>
      <c r="BF287" s="10">
        <f>SUM($K273:BF274)</f>
        <v>0</v>
      </c>
      <c r="BG287" s="10">
        <f>SUM($K273:BG274)</f>
        <v>0</v>
      </c>
      <c r="BH287" s="10">
        <f>SUM($K273:BH274)</f>
        <v>0</v>
      </c>
      <c r="BI287" s="10">
        <f>SUM($K273:BI274)</f>
        <v>0</v>
      </c>
      <c r="BJ287" s="10">
        <f>SUM($K273:BJ274)</f>
        <v>0</v>
      </c>
      <c r="BK287" s="10">
        <f>SUM($K273:BK274)</f>
        <v>0</v>
      </c>
      <c r="BL287" s="10">
        <f>SUM($K273:BL274)</f>
        <v>0</v>
      </c>
      <c r="BM287" s="10">
        <f>SUM($K273:BM274)</f>
        <v>0</v>
      </c>
      <c r="BN287" s="10">
        <f>SUM($K273:BN274)</f>
        <v>0</v>
      </c>
      <c r="BO287" s="10">
        <f>SUM($K273:BO274)</f>
        <v>0</v>
      </c>
      <c r="BP287" s="10">
        <f>SUM($K273:BP274)</f>
        <v>0</v>
      </c>
      <c r="BQ287" s="10">
        <f>SUM($K273:BQ274)</f>
        <v>0</v>
      </c>
      <c r="BR287" s="10">
        <f>SUM($K273:BR274)</f>
        <v>0</v>
      </c>
      <c r="BS287" s="10">
        <f>SUM($K273:BS274)</f>
        <v>0</v>
      </c>
      <c r="BT287" s="10">
        <f>SUM($K273:BT274)</f>
        <v>0</v>
      </c>
      <c r="BU287" s="10">
        <f>SUM($K273:BU274)</f>
        <v>0</v>
      </c>
      <c r="BV287" s="10">
        <f>SUM($K273:BV274)</f>
        <v>0</v>
      </c>
      <c r="BW287" s="10">
        <f>SUM($K273:BW274)</f>
        <v>0</v>
      </c>
      <c r="BX287" s="10">
        <f>SUM($K273:BX274)</f>
        <v>0</v>
      </c>
      <c r="BY287" s="10">
        <f>SUM($K273:BY274)</f>
        <v>0</v>
      </c>
      <c r="BZ287" s="10">
        <f>SUM($K273:BZ274)</f>
        <v>0</v>
      </c>
      <c r="CA287" s="10">
        <f>SUM($K273:CA274)</f>
        <v>0</v>
      </c>
      <c r="CB287" s="10">
        <f>SUM($K273:CB274)</f>
        <v>0</v>
      </c>
      <c r="CC287" s="10">
        <f>SUM($K273:CC274)</f>
        <v>0</v>
      </c>
      <c r="CD287" s="10">
        <f>SUM($K273:CD274)</f>
        <v>0</v>
      </c>
      <c r="CE287" s="10">
        <f>SUM($K273:CE274)</f>
        <v>0</v>
      </c>
      <c r="CF287" s="10">
        <f>SUM($K273:CF274)</f>
        <v>0</v>
      </c>
      <c r="CG287" s="10">
        <f>SUM($K273:CG274)</f>
        <v>0</v>
      </c>
      <c r="CH287" s="10">
        <f>SUM($K273:CH274)</f>
        <v>0</v>
      </c>
      <c r="CI287" s="10">
        <f>SUM($K273:CI274)</f>
        <v>0</v>
      </c>
      <c r="CJ287" s="10">
        <f>SUM($K273:CJ274)</f>
        <v>0</v>
      </c>
      <c r="CK287" s="10">
        <f>SUM($K273:CK274)</f>
        <v>0</v>
      </c>
      <c r="CL287" s="10">
        <f>SUM($K273:CL274)</f>
        <v>0</v>
      </c>
      <c r="CM287" s="10">
        <f>SUM($K273:CM274)</f>
        <v>0</v>
      </c>
      <c r="CN287" s="10">
        <f>SUM($K273:CN274)</f>
        <v>0</v>
      </c>
      <c r="CO287" s="10">
        <f>SUM($K273:CO274)</f>
        <v>0</v>
      </c>
    </row>
    <row r="288" spans="1:93" ht="15.75" thickBot="1">
      <c r="A288" s="77"/>
      <c r="B288" s="10"/>
      <c r="C288" s="17" t="s">
        <v>1084</v>
      </c>
      <c r="D288" s="10"/>
      <c r="E288" s="62"/>
      <c r="F288" s="11"/>
      <c r="G288" s="134" t="str">
        <f t="shared" si="431"/>
        <v>тыс. руб.</v>
      </c>
      <c r="H288" s="10"/>
      <c r="I288" s="10"/>
      <c r="J288" s="10"/>
      <c r="K288" s="10"/>
      <c r="L288" s="10">
        <f>SUM($K275:L275)</f>
        <v>0</v>
      </c>
      <c r="M288" s="10">
        <f>SUM($K275:M275)</f>
        <v>0</v>
      </c>
      <c r="N288" s="10">
        <f>SUM($K275:N275)</f>
        <v>0</v>
      </c>
      <c r="O288" s="10">
        <f>SUM($K275:O275)</f>
        <v>0</v>
      </c>
      <c r="P288" s="10">
        <f>SUM($K275:P275)</f>
        <v>0</v>
      </c>
      <c r="Q288" s="10">
        <f>SUM($K275:Q275)</f>
        <v>0</v>
      </c>
      <c r="R288" s="10">
        <f>SUM($K275:R275)</f>
        <v>0</v>
      </c>
      <c r="S288" s="10">
        <f>SUM($K275:S275)</f>
        <v>0</v>
      </c>
      <c r="T288" s="10">
        <f>SUM($K275:T275)</f>
        <v>0</v>
      </c>
      <c r="U288" s="10">
        <f>SUM($K275:U275)</f>
        <v>0</v>
      </c>
      <c r="V288" s="10">
        <f>SUM($K275:V275)</f>
        <v>0</v>
      </c>
      <c r="W288" s="10">
        <f>SUM($K275:W275)</f>
        <v>0</v>
      </c>
      <c r="X288" s="10">
        <f>SUM($K275:X275)</f>
        <v>0</v>
      </c>
      <c r="Y288" s="10">
        <f>SUM($K275:Y275)</f>
        <v>0</v>
      </c>
      <c r="Z288" s="10">
        <f>SUM($K275:Z275)</f>
        <v>0</v>
      </c>
      <c r="AA288" s="10">
        <f>SUM($K275:AA275)</f>
        <v>0</v>
      </c>
      <c r="AB288" s="10">
        <f>SUM($K275:AB275)</f>
        <v>0</v>
      </c>
      <c r="AC288" s="10">
        <f>SUM($K275:AC275)</f>
        <v>0</v>
      </c>
      <c r="AD288" s="10">
        <f>SUM($K275:AD275)</f>
        <v>0</v>
      </c>
      <c r="AE288" s="10">
        <f>SUM($K275:AE275)</f>
        <v>0</v>
      </c>
      <c r="AF288" s="10">
        <f>SUM($K275:AF275)</f>
        <v>0</v>
      </c>
      <c r="AG288" s="10">
        <f>SUM($K275:AG275)</f>
        <v>0</v>
      </c>
      <c r="AH288" s="10">
        <f>SUM($K275:AH275)</f>
        <v>0</v>
      </c>
      <c r="AI288" s="10">
        <f>SUM($K275:AI275)</f>
        <v>0</v>
      </c>
      <c r="AJ288" s="10">
        <f>SUM($K275:AJ275)</f>
        <v>0</v>
      </c>
      <c r="AK288" s="10">
        <f>SUM($K275:AK275)</f>
        <v>0</v>
      </c>
      <c r="AL288" s="10">
        <f>SUM($K275:AL275)</f>
        <v>0</v>
      </c>
      <c r="AM288" s="10">
        <f>SUM($K275:AM275)</f>
        <v>0</v>
      </c>
      <c r="AN288" s="10">
        <f>SUM($K275:AN275)</f>
        <v>0</v>
      </c>
      <c r="AO288" s="10">
        <f>SUM($K275:AO275)</f>
        <v>0</v>
      </c>
      <c r="AP288" s="10">
        <f>SUM($K275:AP275)</f>
        <v>0</v>
      </c>
      <c r="AQ288" s="10">
        <f>SUM($K275:AQ275)</f>
        <v>0</v>
      </c>
      <c r="AR288" s="10">
        <f>SUM($K275:AR275)</f>
        <v>0</v>
      </c>
      <c r="AS288" s="10">
        <f>SUM($K275:AS275)</f>
        <v>0</v>
      </c>
      <c r="AT288" s="10">
        <f>SUM($K275:AT275)</f>
        <v>0</v>
      </c>
      <c r="AU288" s="10">
        <f>SUM($K275:AU275)</f>
        <v>0</v>
      </c>
      <c r="AV288" s="10">
        <f>SUM($K275:AV275)</f>
        <v>0</v>
      </c>
      <c r="AW288" s="10">
        <f>SUM($K275:AW275)</f>
        <v>0</v>
      </c>
      <c r="AX288" s="10">
        <f>SUM($K275:AX275)</f>
        <v>0</v>
      </c>
      <c r="AY288" s="10">
        <f>SUM($K275:AY275)</f>
        <v>0</v>
      </c>
      <c r="AZ288" s="10">
        <f>SUM($K275:AZ275)</f>
        <v>0</v>
      </c>
      <c r="BA288" s="10">
        <f>SUM($K275:BA275)</f>
        <v>0</v>
      </c>
      <c r="BB288" s="10">
        <f>SUM($K275:BB275)</f>
        <v>0</v>
      </c>
      <c r="BC288" s="10">
        <f>SUM($K275:BC275)</f>
        <v>0</v>
      </c>
      <c r="BD288" s="10">
        <f>SUM($K275:BD275)</f>
        <v>0</v>
      </c>
      <c r="BE288" s="10">
        <f>SUM($K275:BE275)</f>
        <v>0</v>
      </c>
      <c r="BF288" s="10">
        <f>SUM($K275:BF275)</f>
        <v>0</v>
      </c>
      <c r="BG288" s="10">
        <f>SUM($K275:BG275)</f>
        <v>0</v>
      </c>
      <c r="BH288" s="10">
        <f>SUM($K275:BH275)</f>
        <v>0</v>
      </c>
      <c r="BI288" s="10">
        <f>SUM($K275:BI275)</f>
        <v>0</v>
      </c>
      <c r="BJ288" s="10">
        <f>SUM($K275:BJ275)</f>
        <v>0</v>
      </c>
      <c r="BK288" s="10">
        <f>SUM($K275:BK275)</f>
        <v>0</v>
      </c>
      <c r="BL288" s="10">
        <f>SUM($K275:BL275)</f>
        <v>0</v>
      </c>
      <c r="BM288" s="10">
        <f>SUM($K275:BM275)</f>
        <v>0</v>
      </c>
      <c r="BN288" s="10">
        <f>SUM($K275:BN275)</f>
        <v>0</v>
      </c>
      <c r="BO288" s="10">
        <f>SUM($K275:BO275)</f>
        <v>0</v>
      </c>
      <c r="BP288" s="10">
        <f>SUM($K275:BP275)</f>
        <v>0</v>
      </c>
      <c r="BQ288" s="10">
        <f>SUM($K275:BQ275)</f>
        <v>0</v>
      </c>
      <c r="BR288" s="10">
        <f>SUM($K275:BR275)</f>
        <v>0</v>
      </c>
      <c r="BS288" s="10">
        <f>SUM($K275:BS275)</f>
        <v>0</v>
      </c>
      <c r="BT288" s="10">
        <f>SUM($K275:BT275)</f>
        <v>0</v>
      </c>
      <c r="BU288" s="10">
        <f>SUM($K275:BU275)</f>
        <v>0</v>
      </c>
      <c r="BV288" s="10">
        <f>SUM($K275:BV275)</f>
        <v>0</v>
      </c>
      <c r="BW288" s="10">
        <f>SUM($K275:BW275)</f>
        <v>0</v>
      </c>
      <c r="BX288" s="10">
        <f>SUM($K275:BX275)</f>
        <v>0</v>
      </c>
      <c r="BY288" s="10">
        <f>SUM($K275:BY275)</f>
        <v>0</v>
      </c>
      <c r="BZ288" s="10">
        <f>SUM($K275:BZ275)</f>
        <v>0</v>
      </c>
      <c r="CA288" s="10">
        <f>SUM($K275:CA275)</f>
        <v>0</v>
      </c>
      <c r="CB288" s="10">
        <f>SUM($K275:CB275)</f>
        <v>0</v>
      </c>
      <c r="CC288" s="10">
        <f>SUM($K275:CC275)</f>
        <v>0</v>
      </c>
      <c r="CD288" s="10">
        <f>SUM($K275:CD275)</f>
        <v>0</v>
      </c>
      <c r="CE288" s="10">
        <f>SUM($K275:CE275)</f>
        <v>0</v>
      </c>
      <c r="CF288" s="10">
        <f>SUM($K275:CF275)</f>
        <v>0</v>
      </c>
      <c r="CG288" s="10">
        <f>SUM($K275:CG275)</f>
        <v>0</v>
      </c>
      <c r="CH288" s="10">
        <f>SUM($K275:CH275)</f>
        <v>0</v>
      </c>
      <c r="CI288" s="10">
        <f>SUM($K275:CI275)</f>
        <v>0</v>
      </c>
      <c r="CJ288" s="10">
        <f>SUM($K275:CJ275)</f>
        <v>0</v>
      </c>
      <c r="CK288" s="10">
        <f>SUM($K275:CK275)</f>
        <v>0</v>
      </c>
      <c r="CL288" s="10">
        <f>SUM($K275:CL275)</f>
        <v>0</v>
      </c>
      <c r="CM288" s="10">
        <f>SUM($K275:CM275)</f>
        <v>0</v>
      </c>
      <c r="CN288" s="10">
        <f>SUM($K275:CN275)</f>
        <v>0</v>
      </c>
      <c r="CO288" s="10">
        <f>SUM($K275:CO275)</f>
        <v>0</v>
      </c>
    </row>
    <row r="289" spans="1:93" ht="15.75" thickTop="1">
      <c r="A289" s="172"/>
      <c r="B289" s="35"/>
      <c r="C289" s="173" t="s">
        <v>51</v>
      </c>
      <c r="D289" s="49"/>
      <c r="E289" s="49"/>
      <c r="F289" s="49"/>
      <c r="G289" s="159" t="str">
        <f t="shared" si="431"/>
        <v>тыс. руб.</v>
      </c>
      <c r="H289" s="49"/>
      <c r="I289" s="49"/>
      <c r="J289" s="49"/>
      <c r="K289" s="49"/>
      <c r="L289" s="174">
        <f t="shared" ref="L289:AQ289" ca="1" si="433">SUM(L279:L288)</f>
        <v>16859.627844133964</v>
      </c>
      <c r="M289" s="174">
        <f t="shared" ca="1" si="433"/>
        <v>33958.576207300881</v>
      </c>
      <c r="N289" s="174">
        <f t="shared" ca="1" si="433"/>
        <v>51300.242217323495</v>
      </c>
      <c r="O289" s="174">
        <f t="shared" ca="1" si="433"/>
        <v>68888.071223871491</v>
      </c>
      <c r="P289" s="174">
        <f t="shared" ca="1" si="433"/>
        <v>216796.81341117513</v>
      </c>
      <c r="Q289" s="174">
        <f t="shared" ca="1" si="433"/>
        <v>366162.96056739689</v>
      </c>
      <c r="R289" s="174">
        <f t="shared" ca="1" si="433"/>
        <v>517000.87309620209</v>
      </c>
      <c r="S289" s="174">
        <f t="shared" ca="1" si="433"/>
        <v>669325.05290015135</v>
      </c>
      <c r="T289" s="174">
        <f t="shared" ca="1" si="433"/>
        <v>823150.14477494708</v>
      </c>
      <c r="U289" s="174">
        <f t="shared" ca="1" si="433"/>
        <v>978490.93781741767</v>
      </c>
      <c r="V289" s="174">
        <f t="shared" ca="1" si="433"/>
        <v>1135362.3668473749</v>
      </c>
      <c r="W289" s="174">
        <f t="shared" ca="1" si="433"/>
        <v>1293779.5138434819</v>
      </c>
      <c r="X289" s="174">
        <f t="shared" ca="1" si="433"/>
        <v>1600092.4220238607</v>
      </c>
      <c r="Y289" s="174">
        <f t="shared" ca="1" si="433"/>
        <v>1909423.5558197384</v>
      </c>
      <c r="Z289" s="174">
        <f t="shared" ca="1" si="433"/>
        <v>2221802.6550351596</v>
      </c>
      <c r="AA289" s="174">
        <f t="shared" ca="1" si="433"/>
        <v>2537259.7525125514</v>
      </c>
      <c r="AB289" s="174">
        <f t="shared" ca="1" si="433"/>
        <v>3087285.462287344</v>
      </c>
      <c r="AC289" s="174">
        <f t="shared" ca="1" si="433"/>
        <v>3087285.462287344</v>
      </c>
      <c r="AD289" s="174">
        <f t="shared" ca="1" si="433"/>
        <v>3087285.462287344</v>
      </c>
      <c r="AE289" s="174">
        <f t="shared" ca="1" si="433"/>
        <v>3087285.462287344</v>
      </c>
      <c r="AF289" s="174">
        <f t="shared" ca="1" si="433"/>
        <v>3087285.462287344</v>
      </c>
      <c r="AG289" s="174">
        <f t="shared" ca="1" si="433"/>
        <v>3087285.462287344</v>
      </c>
      <c r="AH289" s="174">
        <f t="shared" ca="1" si="433"/>
        <v>3087285.462287344</v>
      </c>
      <c r="AI289" s="174">
        <f t="shared" ca="1" si="433"/>
        <v>3087285.462287344</v>
      </c>
      <c r="AJ289" s="174">
        <f t="shared" ca="1" si="433"/>
        <v>3087285.462287344</v>
      </c>
      <c r="AK289" s="174">
        <f t="shared" ca="1" si="433"/>
        <v>3087285.462287344</v>
      </c>
      <c r="AL289" s="174">
        <f t="shared" ca="1" si="433"/>
        <v>3087285.462287344</v>
      </c>
      <c r="AM289" s="174">
        <f t="shared" ca="1" si="433"/>
        <v>3087285.462287344</v>
      </c>
      <c r="AN289" s="174">
        <f t="shared" ca="1" si="433"/>
        <v>3087285.462287344</v>
      </c>
      <c r="AO289" s="174">
        <f t="shared" ca="1" si="433"/>
        <v>3087285.462287344</v>
      </c>
      <c r="AP289" s="174">
        <f t="shared" ca="1" si="433"/>
        <v>3087285.462287344</v>
      </c>
      <c r="AQ289" s="174">
        <f t="shared" ca="1" si="433"/>
        <v>3087285.462287344</v>
      </c>
      <c r="AR289" s="174">
        <f t="shared" ref="AR289:BW289" ca="1" si="434">SUM(AR279:AR288)</f>
        <v>3087285.462287344</v>
      </c>
      <c r="AS289" s="174">
        <f t="shared" ca="1" si="434"/>
        <v>3087285.462287344</v>
      </c>
      <c r="AT289" s="174">
        <f t="shared" ca="1" si="434"/>
        <v>3087285.462287344</v>
      </c>
      <c r="AU289" s="174">
        <f t="shared" ca="1" si="434"/>
        <v>3087285.462287344</v>
      </c>
      <c r="AV289" s="174">
        <f t="shared" ca="1" si="434"/>
        <v>3087285.462287344</v>
      </c>
      <c r="AW289" s="174">
        <f t="shared" ca="1" si="434"/>
        <v>3087285.462287344</v>
      </c>
      <c r="AX289" s="174">
        <f t="shared" ca="1" si="434"/>
        <v>3087285.462287344</v>
      </c>
      <c r="AY289" s="174">
        <f t="shared" ca="1" si="434"/>
        <v>3087285.462287344</v>
      </c>
      <c r="AZ289" s="174">
        <f t="shared" ca="1" si="434"/>
        <v>3087285.462287344</v>
      </c>
      <c r="BA289" s="174">
        <f t="shared" ca="1" si="434"/>
        <v>3087285.462287344</v>
      </c>
      <c r="BB289" s="174">
        <f t="shared" ca="1" si="434"/>
        <v>3087285.462287344</v>
      </c>
      <c r="BC289" s="174">
        <f t="shared" ca="1" si="434"/>
        <v>3087285.462287344</v>
      </c>
      <c r="BD289" s="174">
        <f t="shared" ca="1" si="434"/>
        <v>3087285.462287344</v>
      </c>
      <c r="BE289" s="174">
        <f t="shared" ca="1" si="434"/>
        <v>3087285.462287344</v>
      </c>
      <c r="BF289" s="174">
        <f t="shared" ca="1" si="434"/>
        <v>3087285.462287344</v>
      </c>
      <c r="BG289" s="174">
        <f t="shared" ca="1" si="434"/>
        <v>3087285.462287344</v>
      </c>
      <c r="BH289" s="174">
        <f t="shared" ca="1" si="434"/>
        <v>3087285.462287344</v>
      </c>
      <c r="BI289" s="174">
        <f t="shared" ca="1" si="434"/>
        <v>3087285.462287344</v>
      </c>
      <c r="BJ289" s="174">
        <f t="shared" ca="1" si="434"/>
        <v>3087285.462287344</v>
      </c>
      <c r="BK289" s="174">
        <f t="shared" ca="1" si="434"/>
        <v>3087285.462287344</v>
      </c>
      <c r="BL289" s="174">
        <f t="shared" ca="1" si="434"/>
        <v>3087285.462287344</v>
      </c>
      <c r="BM289" s="174">
        <f t="shared" ca="1" si="434"/>
        <v>3087285.462287344</v>
      </c>
      <c r="BN289" s="174">
        <f t="shared" ca="1" si="434"/>
        <v>3087285.462287344</v>
      </c>
      <c r="BO289" s="174">
        <f t="shared" ca="1" si="434"/>
        <v>3087285.462287344</v>
      </c>
      <c r="BP289" s="174">
        <f t="shared" ca="1" si="434"/>
        <v>3087285.462287344</v>
      </c>
      <c r="BQ289" s="174">
        <f t="shared" ca="1" si="434"/>
        <v>3087285.462287344</v>
      </c>
      <c r="BR289" s="174">
        <f t="shared" ca="1" si="434"/>
        <v>3087285.462287344</v>
      </c>
      <c r="BS289" s="174">
        <f t="shared" ca="1" si="434"/>
        <v>3087285.462287344</v>
      </c>
      <c r="BT289" s="174">
        <f t="shared" ca="1" si="434"/>
        <v>3087285.462287344</v>
      </c>
      <c r="BU289" s="174">
        <f t="shared" ca="1" si="434"/>
        <v>3087285.462287344</v>
      </c>
      <c r="BV289" s="174">
        <f t="shared" ca="1" si="434"/>
        <v>3087285.462287344</v>
      </c>
      <c r="BW289" s="174">
        <f t="shared" ca="1" si="434"/>
        <v>3087285.462287344</v>
      </c>
      <c r="BX289" s="174">
        <f t="shared" ref="BX289:CO289" ca="1" si="435">SUM(BX279:BX288)</f>
        <v>3087285.462287344</v>
      </c>
      <c r="BY289" s="174">
        <f t="shared" ca="1" si="435"/>
        <v>3087285.462287344</v>
      </c>
      <c r="BZ289" s="174">
        <f t="shared" ca="1" si="435"/>
        <v>3087285.462287344</v>
      </c>
      <c r="CA289" s="174">
        <f t="shared" ca="1" si="435"/>
        <v>3087285.462287344</v>
      </c>
      <c r="CB289" s="174">
        <f t="shared" ca="1" si="435"/>
        <v>3087285.462287344</v>
      </c>
      <c r="CC289" s="174">
        <f t="shared" ca="1" si="435"/>
        <v>3087285.462287344</v>
      </c>
      <c r="CD289" s="174">
        <f t="shared" ca="1" si="435"/>
        <v>3087285.462287344</v>
      </c>
      <c r="CE289" s="174">
        <f t="shared" ca="1" si="435"/>
        <v>3087285.462287344</v>
      </c>
      <c r="CF289" s="174">
        <f t="shared" ca="1" si="435"/>
        <v>3087285.462287344</v>
      </c>
      <c r="CG289" s="174">
        <f t="shared" ca="1" si="435"/>
        <v>3087285.462287344</v>
      </c>
      <c r="CH289" s="174">
        <f t="shared" ca="1" si="435"/>
        <v>3087285.462287344</v>
      </c>
      <c r="CI289" s="174">
        <f t="shared" ca="1" si="435"/>
        <v>3087285.462287344</v>
      </c>
      <c r="CJ289" s="174">
        <f t="shared" ca="1" si="435"/>
        <v>3087285.462287344</v>
      </c>
      <c r="CK289" s="174">
        <f t="shared" ca="1" si="435"/>
        <v>3087285.462287344</v>
      </c>
      <c r="CL289" s="174">
        <f t="shared" ca="1" si="435"/>
        <v>3087285.462287344</v>
      </c>
      <c r="CM289" s="174">
        <f t="shared" ca="1" si="435"/>
        <v>3087285.462287344</v>
      </c>
      <c r="CN289" s="174">
        <f t="shared" ca="1" si="435"/>
        <v>3087285.462287344</v>
      </c>
      <c r="CO289" s="174">
        <f t="shared" ca="1" si="435"/>
        <v>3087285.462287344</v>
      </c>
    </row>
    <row r="290" spans="1:93">
      <c r="A290" s="77"/>
      <c r="B290" s="10"/>
      <c r="C290" s="48"/>
      <c r="D290" s="10"/>
      <c r="E290" s="10"/>
      <c r="F290" s="10"/>
      <c r="G290" s="11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  <c r="CG290" s="10"/>
      <c r="CH290" s="10"/>
      <c r="CI290" s="10"/>
      <c r="CJ290" s="10"/>
      <c r="CK290" s="10"/>
      <c r="CL290" s="10"/>
      <c r="CM290" s="10"/>
      <c r="CN290" s="10"/>
      <c r="CO290" s="10"/>
    </row>
    <row r="291" spans="1:93" ht="16.5" thickBot="1">
      <c r="A291" s="77"/>
      <c r="B291" s="10"/>
      <c r="C291" s="12" t="s">
        <v>52</v>
      </c>
      <c r="D291" s="12"/>
      <c r="E291" s="12"/>
      <c r="F291" s="12"/>
      <c r="G291" s="360"/>
      <c r="H291" s="12"/>
      <c r="I291" s="12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  <c r="CG291" s="10"/>
      <c r="CH291" s="10"/>
      <c r="CI291" s="10"/>
      <c r="CJ291" s="10"/>
      <c r="CK291" s="10"/>
      <c r="CL291" s="10"/>
      <c r="CM291" s="10"/>
      <c r="CN291" s="10"/>
      <c r="CO291" s="10"/>
    </row>
    <row r="292" spans="1:93">
      <c r="A292" s="77"/>
      <c r="B292" s="10"/>
      <c r="C292" s="17"/>
      <c r="D292" s="10"/>
      <c r="E292" s="62"/>
      <c r="F292" s="11"/>
      <c r="G292" s="11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  <c r="CG292" s="10"/>
      <c r="CH292" s="10"/>
      <c r="CI292" s="10"/>
      <c r="CJ292" s="10"/>
      <c r="CK292" s="10"/>
      <c r="CL292" s="10"/>
      <c r="CM292" s="10"/>
      <c r="CN292" s="10"/>
      <c r="CO292" s="10"/>
    </row>
    <row r="293" spans="1:93">
      <c r="A293" s="77"/>
      <c r="B293" s="10"/>
      <c r="C293" s="50" t="s">
        <v>53</v>
      </c>
      <c r="D293" s="10"/>
      <c r="E293" s="62"/>
      <c r="F293" s="11"/>
      <c r="G293" s="11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  <c r="CG293" s="10"/>
      <c r="CH293" s="10"/>
      <c r="CI293" s="10"/>
      <c r="CJ293" s="10"/>
      <c r="CK293" s="10"/>
      <c r="CL293" s="10"/>
      <c r="CM293" s="10"/>
      <c r="CN293" s="10"/>
      <c r="CO293" s="10"/>
    </row>
    <row r="294" spans="1:93">
      <c r="A294" s="77"/>
      <c r="B294" s="10"/>
      <c r="C294" s="21" t="s">
        <v>54</v>
      </c>
      <c r="D294" s="10"/>
      <c r="E294" s="62"/>
      <c r="F294" s="11"/>
      <c r="G294" s="134" t="str">
        <f t="shared" ref="G294:G299" si="436">Monetary_Unit</f>
        <v>тыс. руб.</v>
      </c>
      <c r="H294" s="10"/>
      <c r="I294" s="23">
        <f t="shared" ref="I294:I299" ca="1" si="437">SUM(L294:CO294)</f>
        <v>123533.77374294518</v>
      </c>
      <c r="J294" s="10"/>
      <c r="K294" s="10"/>
      <c r="L294" s="52">
        <f t="shared" ref="L294:AQ294" si="438">-Debt_Interest_Capitalised * Flag_Construction</f>
        <v>0</v>
      </c>
      <c r="M294" s="52">
        <f t="shared" ca="1" si="438"/>
        <v>0</v>
      </c>
      <c r="N294" s="52">
        <f t="shared" ca="1" si="438"/>
        <v>0</v>
      </c>
      <c r="O294" s="52">
        <f t="shared" ca="1" si="438"/>
        <v>0</v>
      </c>
      <c r="P294" s="52">
        <f t="shared" ca="1" si="438"/>
        <v>0</v>
      </c>
      <c r="Q294" s="52">
        <f t="shared" ca="1" si="438"/>
        <v>0</v>
      </c>
      <c r="R294" s="52">
        <f t="shared" ca="1" si="438"/>
        <v>0</v>
      </c>
      <c r="S294" s="52">
        <f t="shared" ca="1" si="438"/>
        <v>0</v>
      </c>
      <c r="T294" s="52">
        <f t="shared" ca="1" si="438"/>
        <v>375.82926333388428</v>
      </c>
      <c r="U294" s="52">
        <f t="shared" ca="1" si="438"/>
        <v>2049.679343298747</v>
      </c>
      <c r="V294" s="52">
        <f t="shared" ca="1" si="438"/>
        <v>4692.73305525248</v>
      </c>
      <c r="W294" s="52">
        <f t="shared" ca="1" si="438"/>
        <v>7339.0839635085113</v>
      </c>
      <c r="X294" s="52">
        <f t="shared" ca="1" si="438"/>
        <v>11087.213428915877</v>
      </c>
      <c r="Y294" s="52">
        <f t="shared" ca="1" si="438"/>
        <v>16184.443320720929</v>
      </c>
      <c r="Z294" s="52">
        <f t="shared" ca="1" si="438"/>
        <v>21566.314755658917</v>
      </c>
      <c r="AA294" s="52">
        <f t="shared" ca="1" si="438"/>
        <v>26821.612493877776</v>
      </c>
      <c r="AB294" s="52">
        <f t="shared" ca="1" si="438"/>
        <v>33416.864118378056</v>
      </c>
      <c r="AC294" s="52">
        <f t="shared" ca="1" si="438"/>
        <v>0</v>
      </c>
      <c r="AD294" s="52">
        <f t="shared" ca="1" si="438"/>
        <v>0</v>
      </c>
      <c r="AE294" s="52">
        <f t="shared" ca="1" si="438"/>
        <v>0</v>
      </c>
      <c r="AF294" s="52">
        <f t="shared" ca="1" si="438"/>
        <v>0</v>
      </c>
      <c r="AG294" s="52">
        <f t="shared" ca="1" si="438"/>
        <v>0</v>
      </c>
      <c r="AH294" s="52">
        <f t="shared" ca="1" si="438"/>
        <v>0</v>
      </c>
      <c r="AI294" s="52">
        <f t="shared" ca="1" si="438"/>
        <v>0</v>
      </c>
      <c r="AJ294" s="52">
        <f t="shared" ca="1" si="438"/>
        <v>0</v>
      </c>
      <c r="AK294" s="52">
        <f t="shared" ca="1" si="438"/>
        <v>0</v>
      </c>
      <c r="AL294" s="52">
        <f t="shared" ca="1" si="438"/>
        <v>0</v>
      </c>
      <c r="AM294" s="52">
        <f t="shared" ca="1" si="438"/>
        <v>0</v>
      </c>
      <c r="AN294" s="52">
        <f t="shared" ca="1" si="438"/>
        <v>0</v>
      </c>
      <c r="AO294" s="52">
        <f t="shared" ca="1" si="438"/>
        <v>0</v>
      </c>
      <c r="AP294" s="52">
        <f t="shared" ca="1" si="438"/>
        <v>0</v>
      </c>
      <c r="AQ294" s="52">
        <f t="shared" ca="1" si="438"/>
        <v>0</v>
      </c>
      <c r="AR294" s="52">
        <f t="shared" ref="AR294:BW294" ca="1" si="439">-Debt_Interest_Capitalised * Flag_Construction</f>
        <v>0</v>
      </c>
      <c r="AS294" s="52">
        <f t="shared" ca="1" si="439"/>
        <v>0</v>
      </c>
      <c r="AT294" s="52">
        <f t="shared" ca="1" si="439"/>
        <v>0</v>
      </c>
      <c r="AU294" s="52">
        <f t="shared" ca="1" si="439"/>
        <v>0</v>
      </c>
      <c r="AV294" s="52">
        <f t="shared" ca="1" si="439"/>
        <v>0</v>
      </c>
      <c r="AW294" s="52">
        <f t="shared" ca="1" si="439"/>
        <v>0</v>
      </c>
      <c r="AX294" s="52">
        <f t="shared" ca="1" si="439"/>
        <v>0</v>
      </c>
      <c r="AY294" s="52">
        <f t="shared" ca="1" si="439"/>
        <v>0</v>
      </c>
      <c r="AZ294" s="52">
        <f t="shared" ca="1" si="439"/>
        <v>0</v>
      </c>
      <c r="BA294" s="52">
        <f t="shared" ca="1" si="439"/>
        <v>0</v>
      </c>
      <c r="BB294" s="52">
        <f t="shared" ca="1" si="439"/>
        <v>0</v>
      </c>
      <c r="BC294" s="52">
        <f t="shared" ca="1" si="439"/>
        <v>0</v>
      </c>
      <c r="BD294" s="52">
        <f t="shared" ca="1" si="439"/>
        <v>0</v>
      </c>
      <c r="BE294" s="52">
        <f t="shared" ca="1" si="439"/>
        <v>0</v>
      </c>
      <c r="BF294" s="52">
        <f t="shared" ca="1" si="439"/>
        <v>0</v>
      </c>
      <c r="BG294" s="52">
        <f t="shared" ca="1" si="439"/>
        <v>0</v>
      </c>
      <c r="BH294" s="52">
        <f t="shared" ca="1" si="439"/>
        <v>0</v>
      </c>
      <c r="BI294" s="52">
        <f t="shared" ca="1" si="439"/>
        <v>0</v>
      </c>
      <c r="BJ294" s="52">
        <f t="shared" ca="1" si="439"/>
        <v>0</v>
      </c>
      <c r="BK294" s="52">
        <f t="shared" ca="1" si="439"/>
        <v>0</v>
      </c>
      <c r="BL294" s="52">
        <f t="shared" ca="1" si="439"/>
        <v>0</v>
      </c>
      <c r="BM294" s="52">
        <f t="shared" ca="1" si="439"/>
        <v>0</v>
      </c>
      <c r="BN294" s="52">
        <f t="shared" ca="1" si="439"/>
        <v>0</v>
      </c>
      <c r="BO294" s="52">
        <f t="shared" ca="1" si="439"/>
        <v>0</v>
      </c>
      <c r="BP294" s="52">
        <f t="shared" ca="1" si="439"/>
        <v>0</v>
      </c>
      <c r="BQ294" s="52">
        <f t="shared" ca="1" si="439"/>
        <v>0</v>
      </c>
      <c r="BR294" s="52">
        <f t="shared" ca="1" si="439"/>
        <v>0</v>
      </c>
      <c r="BS294" s="52">
        <f t="shared" ca="1" si="439"/>
        <v>0</v>
      </c>
      <c r="BT294" s="52">
        <f t="shared" ca="1" si="439"/>
        <v>0</v>
      </c>
      <c r="BU294" s="52">
        <f t="shared" ca="1" si="439"/>
        <v>0</v>
      </c>
      <c r="BV294" s="52">
        <f t="shared" ca="1" si="439"/>
        <v>0</v>
      </c>
      <c r="BW294" s="52">
        <f t="shared" ca="1" si="439"/>
        <v>0</v>
      </c>
      <c r="BX294" s="52">
        <f t="shared" ref="BX294:CO294" ca="1" si="440">-Debt_Interest_Capitalised * Flag_Construction</f>
        <v>0</v>
      </c>
      <c r="BY294" s="52">
        <f t="shared" ca="1" si="440"/>
        <v>0</v>
      </c>
      <c r="BZ294" s="52">
        <f t="shared" ca="1" si="440"/>
        <v>0</v>
      </c>
      <c r="CA294" s="52">
        <f t="shared" ca="1" si="440"/>
        <v>0</v>
      </c>
      <c r="CB294" s="52">
        <f t="shared" ca="1" si="440"/>
        <v>0</v>
      </c>
      <c r="CC294" s="52">
        <f t="shared" ca="1" si="440"/>
        <v>0</v>
      </c>
      <c r="CD294" s="52">
        <f t="shared" ca="1" si="440"/>
        <v>0</v>
      </c>
      <c r="CE294" s="52">
        <f t="shared" ca="1" si="440"/>
        <v>0</v>
      </c>
      <c r="CF294" s="52">
        <f t="shared" ca="1" si="440"/>
        <v>0</v>
      </c>
      <c r="CG294" s="52">
        <f t="shared" ca="1" si="440"/>
        <v>0</v>
      </c>
      <c r="CH294" s="52">
        <f t="shared" ca="1" si="440"/>
        <v>0</v>
      </c>
      <c r="CI294" s="52">
        <f t="shared" ca="1" si="440"/>
        <v>0</v>
      </c>
      <c r="CJ294" s="52">
        <f t="shared" ca="1" si="440"/>
        <v>0</v>
      </c>
      <c r="CK294" s="52">
        <f t="shared" ca="1" si="440"/>
        <v>0</v>
      </c>
      <c r="CL294" s="52">
        <f t="shared" ca="1" si="440"/>
        <v>0</v>
      </c>
      <c r="CM294" s="52">
        <f t="shared" ca="1" si="440"/>
        <v>0</v>
      </c>
      <c r="CN294" s="52">
        <f t="shared" ca="1" si="440"/>
        <v>0</v>
      </c>
      <c r="CO294" s="52">
        <f t="shared" ca="1" si="440"/>
        <v>0</v>
      </c>
    </row>
    <row r="295" spans="1:93">
      <c r="A295" s="77"/>
      <c r="B295" s="10"/>
      <c r="C295" s="21" t="s">
        <v>357</v>
      </c>
      <c r="D295" s="10"/>
      <c r="E295" s="62"/>
      <c r="F295" s="11"/>
      <c r="G295" s="134" t="str">
        <f t="shared" si="436"/>
        <v>тыс. руб.</v>
      </c>
      <c r="H295" s="10"/>
      <c r="I295" s="23">
        <f t="shared" si="437"/>
        <v>223863.26274773953</v>
      </c>
      <c r="J295" s="10"/>
      <c r="K295" s="10"/>
      <c r="L295" s="52">
        <f t="shared" ref="L295:AQ295" si="441">Subord_Interest_Accrued * Flag_Construction</f>
        <v>261.90161609928646</v>
      </c>
      <c r="M295" s="52">
        <f t="shared" si="441"/>
        <v>811.90603756310509</v>
      </c>
      <c r="N295" s="52">
        <f t="shared" si="441"/>
        <v>1410.7015765969325</v>
      </c>
      <c r="O295" s="52">
        <f t="shared" si="441"/>
        <v>2040.0333781747295</v>
      </c>
      <c r="P295" s="52">
        <f t="shared" si="441"/>
        <v>3559.7592196845253</v>
      </c>
      <c r="Q295" s="52">
        <f t="shared" si="441"/>
        <v>7298.8376091939972</v>
      </c>
      <c r="R295" s="52">
        <f t="shared" si="441"/>
        <v>11305.455621851217</v>
      </c>
      <c r="S295" s="52">
        <f t="shared" si="441"/>
        <v>15429.236735536404</v>
      </c>
      <c r="T295" s="52">
        <f t="shared" si="441"/>
        <v>15852.349624497112</v>
      </c>
      <c r="U295" s="52">
        <f t="shared" si="441"/>
        <v>17690.589770455717</v>
      </c>
      <c r="V295" s="52">
        <f t="shared" si="441"/>
        <v>18577.87834661355</v>
      </c>
      <c r="W295" s="52">
        <f t="shared" si="441"/>
        <v>19343.73309965977</v>
      </c>
      <c r="X295" s="52">
        <f t="shared" si="441"/>
        <v>19913.43726592615</v>
      </c>
      <c r="Y295" s="52">
        <f t="shared" si="441"/>
        <v>20835.331695848607</v>
      </c>
      <c r="Z295" s="52">
        <f t="shared" si="441"/>
        <v>22111.924433720254</v>
      </c>
      <c r="AA295" s="52">
        <f t="shared" si="441"/>
        <v>23288.47073223886</v>
      </c>
      <c r="AB295" s="52">
        <f t="shared" si="441"/>
        <v>24131.715984079288</v>
      </c>
      <c r="AC295" s="52">
        <f t="shared" si="441"/>
        <v>0</v>
      </c>
      <c r="AD295" s="52">
        <f t="shared" si="441"/>
        <v>0</v>
      </c>
      <c r="AE295" s="52">
        <f t="shared" si="441"/>
        <v>0</v>
      </c>
      <c r="AF295" s="52">
        <f t="shared" si="441"/>
        <v>0</v>
      </c>
      <c r="AG295" s="52">
        <f t="shared" si="441"/>
        <v>0</v>
      </c>
      <c r="AH295" s="52">
        <f t="shared" si="441"/>
        <v>0</v>
      </c>
      <c r="AI295" s="52">
        <f t="shared" si="441"/>
        <v>0</v>
      </c>
      <c r="AJ295" s="52">
        <f t="shared" si="441"/>
        <v>0</v>
      </c>
      <c r="AK295" s="52">
        <f t="shared" si="441"/>
        <v>0</v>
      </c>
      <c r="AL295" s="52">
        <f t="shared" si="441"/>
        <v>0</v>
      </c>
      <c r="AM295" s="52">
        <f t="shared" si="441"/>
        <v>0</v>
      </c>
      <c r="AN295" s="52">
        <f t="shared" si="441"/>
        <v>0</v>
      </c>
      <c r="AO295" s="52">
        <f t="shared" si="441"/>
        <v>0</v>
      </c>
      <c r="AP295" s="52">
        <f t="shared" si="441"/>
        <v>0</v>
      </c>
      <c r="AQ295" s="52">
        <f t="shared" si="441"/>
        <v>0</v>
      </c>
      <c r="AR295" s="52">
        <f t="shared" ref="AR295:BW295" si="442">Subord_Interest_Accrued * Flag_Construction</f>
        <v>0</v>
      </c>
      <c r="AS295" s="52">
        <f t="shared" si="442"/>
        <v>0</v>
      </c>
      <c r="AT295" s="52">
        <f t="shared" si="442"/>
        <v>0</v>
      </c>
      <c r="AU295" s="52">
        <f t="shared" si="442"/>
        <v>0</v>
      </c>
      <c r="AV295" s="52">
        <f t="shared" si="442"/>
        <v>0</v>
      </c>
      <c r="AW295" s="52">
        <f t="shared" si="442"/>
        <v>0</v>
      </c>
      <c r="AX295" s="52">
        <f t="shared" si="442"/>
        <v>0</v>
      </c>
      <c r="AY295" s="52">
        <f t="shared" si="442"/>
        <v>0</v>
      </c>
      <c r="AZ295" s="52">
        <f t="shared" si="442"/>
        <v>0</v>
      </c>
      <c r="BA295" s="52">
        <f t="shared" si="442"/>
        <v>0</v>
      </c>
      <c r="BB295" s="52">
        <f t="shared" si="442"/>
        <v>0</v>
      </c>
      <c r="BC295" s="52">
        <f t="shared" si="442"/>
        <v>0</v>
      </c>
      <c r="BD295" s="52">
        <f t="shared" si="442"/>
        <v>0</v>
      </c>
      <c r="BE295" s="52">
        <f t="shared" si="442"/>
        <v>0</v>
      </c>
      <c r="BF295" s="52">
        <f t="shared" si="442"/>
        <v>0</v>
      </c>
      <c r="BG295" s="52">
        <f t="shared" si="442"/>
        <v>0</v>
      </c>
      <c r="BH295" s="52">
        <f t="shared" si="442"/>
        <v>0</v>
      </c>
      <c r="BI295" s="52">
        <f t="shared" si="442"/>
        <v>0</v>
      </c>
      <c r="BJ295" s="52">
        <f t="shared" si="442"/>
        <v>0</v>
      </c>
      <c r="BK295" s="52">
        <f t="shared" si="442"/>
        <v>0</v>
      </c>
      <c r="BL295" s="52">
        <f t="shared" si="442"/>
        <v>0</v>
      </c>
      <c r="BM295" s="52">
        <f t="shared" si="442"/>
        <v>0</v>
      </c>
      <c r="BN295" s="52">
        <f t="shared" si="442"/>
        <v>0</v>
      </c>
      <c r="BO295" s="52">
        <f t="shared" si="442"/>
        <v>0</v>
      </c>
      <c r="BP295" s="52">
        <f t="shared" si="442"/>
        <v>0</v>
      </c>
      <c r="BQ295" s="52">
        <f t="shared" si="442"/>
        <v>0</v>
      </c>
      <c r="BR295" s="52">
        <f t="shared" si="442"/>
        <v>0</v>
      </c>
      <c r="BS295" s="52">
        <f t="shared" si="442"/>
        <v>0</v>
      </c>
      <c r="BT295" s="52">
        <f t="shared" si="442"/>
        <v>0</v>
      </c>
      <c r="BU295" s="52">
        <f t="shared" si="442"/>
        <v>0</v>
      </c>
      <c r="BV295" s="52">
        <f t="shared" si="442"/>
        <v>0</v>
      </c>
      <c r="BW295" s="52">
        <f t="shared" si="442"/>
        <v>0</v>
      </c>
      <c r="BX295" s="52">
        <f t="shared" ref="BX295:CO295" si="443">Subord_Interest_Accrued * Flag_Construction</f>
        <v>0</v>
      </c>
      <c r="BY295" s="52">
        <f t="shared" si="443"/>
        <v>0</v>
      </c>
      <c r="BZ295" s="52">
        <f t="shared" si="443"/>
        <v>0</v>
      </c>
      <c r="CA295" s="52">
        <f t="shared" si="443"/>
        <v>0</v>
      </c>
      <c r="CB295" s="52">
        <f t="shared" si="443"/>
        <v>0</v>
      </c>
      <c r="CC295" s="52">
        <f t="shared" si="443"/>
        <v>0</v>
      </c>
      <c r="CD295" s="52">
        <f t="shared" si="443"/>
        <v>0</v>
      </c>
      <c r="CE295" s="52">
        <f t="shared" si="443"/>
        <v>0</v>
      </c>
      <c r="CF295" s="52">
        <f t="shared" si="443"/>
        <v>0</v>
      </c>
      <c r="CG295" s="52">
        <f t="shared" si="443"/>
        <v>0</v>
      </c>
      <c r="CH295" s="52">
        <f t="shared" si="443"/>
        <v>0</v>
      </c>
      <c r="CI295" s="52">
        <f t="shared" si="443"/>
        <v>0</v>
      </c>
      <c r="CJ295" s="52">
        <f t="shared" si="443"/>
        <v>0</v>
      </c>
      <c r="CK295" s="52">
        <f t="shared" si="443"/>
        <v>0</v>
      </c>
      <c r="CL295" s="52">
        <f t="shared" si="443"/>
        <v>0</v>
      </c>
      <c r="CM295" s="52">
        <f t="shared" si="443"/>
        <v>0</v>
      </c>
      <c r="CN295" s="52">
        <f t="shared" si="443"/>
        <v>0</v>
      </c>
      <c r="CO295" s="52">
        <f t="shared" si="443"/>
        <v>0</v>
      </c>
    </row>
    <row r="296" spans="1:93">
      <c r="A296" s="77"/>
      <c r="B296" s="10"/>
      <c r="C296" s="21" t="s">
        <v>55</v>
      </c>
      <c r="D296" s="10"/>
      <c r="E296" s="62"/>
      <c r="F296" s="11"/>
      <c r="G296" s="134" t="str">
        <f t="shared" si="436"/>
        <v>тыс. руб.</v>
      </c>
      <c r="H296" s="10"/>
      <c r="I296" s="23">
        <f t="shared" ca="1" si="437"/>
        <v>0</v>
      </c>
      <c r="J296" s="10"/>
      <c r="K296" s="10"/>
      <c r="L296" s="10">
        <f t="shared" ref="L296:AQ296" ca="1" si="444" xml:space="preserve"> - COGS_Capitalised</f>
        <v>0</v>
      </c>
      <c r="M296" s="10">
        <f t="shared" ca="1" si="444"/>
        <v>0</v>
      </c>
      <c r="N296" s="10">
        <f t="shared" ca="1" si="444"/>
        <v>0</v>
      </c>
      <c r="O296" s="10">
        <f t="shared" ca="1" si="444"/>
        <v>0</v>
      </c>
      <c r="P296" s="10">
        <f t="shared" ca="1" si="444"/>
        <v>0</v>
      </c>
      <c r="Q296" s="10">
        <f t="shared" ca="1" si="444"/>
        <v>0</v>
      </c>
      <c r="R296" s="10">
        <f t="shared" ca="1" si="444"/>
        <v>0</v>
      </c>
      <c r="S296" s="10">
        <f t="shared" ca="1" si="444"/>
        <v>0</v>
      </c>
      <c r="T296" s="10">
        <f t="shared" ca="1" si="444"/>
        <v>0</v>
      </c>
      <c r="U296" s="10">
        <f t="shared" ca="1" si="444"/>
        <v>0</v>
      </c>
      <c r="V296" s="10">
        <f t="shared" ca="1" si="444"/>
        <v>0</v>
      </c>
      <c r="W296" s="10">
        <f t="shared" ca="1" si="444"/>
        <v>0</v>
      </c>
      <c r="X296" s="10">
        <f t="shared" ca="1" si="444"/>
        <v>0</v>
      </c>
      <c r="Y296" s="10">
        <f t="shared" ca="1" si="444"/>
        <v>0</v>
      </c>
      <c r="Z296" s="10">
        <f t="shared" ca="1" si="444"/>
        <v>0</v>
      </c>
      <c r="AA296" s="10">
        <f t="shared" ca="1" si="444"/>
        <v>0</v>
      </c>
      <c r="AB296" s="10">
        <f t="shared" ca="1" si="444"/>
        <v>0</v>
      </c>
      <c r="AC296" s="10">
        <f t="shared" ca="1" si="444"/>
        <v>0</v>
      </c>
      <c r="AD296" s="10">
        <f t="shared" ca="1" si="444"/>
        <v>0</v>
      </c>
      <c r="AE296" s="10">
        <f t="shared" ca="1" si="444"/>
        <v>0</v>
      </c>
      <c r="AF296" s="10">
        <f t="shared" ca="1" si="444"/>
        <v>0</v>
      </c>
      <c r="AG296" s="10">
        <f t="shared" ca="1" si="444"/>
        <v>0</v>
      </c>
      <c r="AH296" s="10">
        <f t="shared" ca="1" si="444"/>
        <v>0</v>
      </c>
      <c r="AI296" s="10">
        <f t="shared" ca="1" si="444"/>
        <v>0</v>
      </c>
      <c r="AJ296" s="10">
        <f t="shared" ca="1" si="444"/>
        <v>0</v>
      </c>
      <c r="AK296" s="10">
        <f t="shared" ca="1" si="444"/>
        <v>0</v>
      </c>
      <c r="AL296" s="10">
        <f t="shared" ca="1" si="444"/>
        <v>0</v>
      </c>
      <c r="AM296" s="10">
        <f t="shared" ca="1" si="444"/>
        <v>0</v>
      </c>
      <c r="AN296" s="10">
        <f t="shared" ca="1" si="444"/>
        <v>0</v>
      </c>
      <c r="AO296" s="10">
        <f t="shared" ca="1" si="444"/>
        <v>0</v>
      </c>
      <c r="AP296" s="10">
        <f t="shared" ca="1" si="444"/>
        <v>0</v>
      </c>
      <c r="AQ296" s="10">
        <f t="shared" ca="1" si="444"/>
        <v>0</v>
      </c>
      <c r="AR296" s="10">
        <f t="shared" ref="AR296:BW296" ca="1" si="445" xml:space="preserve"> - COGS_Capitalised</f>
        <v>0</v>
      </c>
      <c r="AS296" s="10">
        <f t="shared" ca="1" si="445"/>
        <v>0</v>
      </c>
      <c r="AT296" s="10">
        <f t="shared" ca="1" si="445"/>
        <v>0</v>
      </c>
      <c r="AU296" s="10">
        <f t="shared" ca="1" si="445"/>
        <v>0</v>
      </c>
      <c r="AV296" s="10">
        <f t="shared" ca="1" si="445"/>
        <v>0</v>
      </c>
      <c r="AW296" s="10">
        <f t="shared" ca="1" si="445"/>
        <v>0</v>
      </c>
      <c r="AX296" s="10">
        <f t="shared" ca="1" si="445"/>
        <v>0</v>
      </c>
      <c r="AY296" s="10">
        <f t="shared" ca="1" si="445"/>
        <v>0</v>
      </c>
      <c r="AZ296" s="10">
        <f t="shared" ca="1" si="445"/>
        <v>0</v>
      </c>
      <c r="BA296" s="10">
        <f t="shared" ca="1" si="445"/>
        <v>0</v>
      </c>
      <c r="BB296" s="10">
        <f t="shared" ca="1" si="445"/>
        <v>0</v>
      </c>
      <c r="BC296" s="10">
        <f t="shared" ca="1" si="445"/>
        <v>0</v>
      </c>
      <c r="BD296" s="10">
        <f t="shared" ca="1" si="445"/>
        <v>0</v>
      </c>
      <c r="BE296" s="10">
        <f t="shared" ca="1" si="445"/>
        <v>0</v>
      </c>
      <c r="BF296" s="10">
        <f t="shared" ca="1" si="445"/>
        <v>0</v>
      </c>
      <c r="BG296" s="10">
        <f t="shared" ca="1" si="445"/>
        <v>0</v>
      </c>
      <c r="BH296" s="10">
        <f t="shared" ca="1" si="445"/>
        <v>0</v>
      </c>
      <c r="BI296" s="10">
        <f t="shared" ca="1" si="445"/>
        <v>0</v>
      </c>
      <c r="BJ296" s="10">
        <f t="shared" ca="1" si="445"/>
        <v>0</v>
      </c>
      <c r="BK296" s="10">
        <f t="shared" ca="1" si="445"/>
        <v>0</v>
      </c>
      <c r="BL296" s="10">
        <f t="shared" ca="1" si="445"/>
        <v>0</v>
      </c>
      <c r="BM296" s="10">
        <f t="shared" ca="1" si="445"/>
        <v>0</v>
      </c>
      <c r="BN296" s="10">
        <f t="shared" ca="1" si="445"/>
        <v>0</v>
      </c>
      <c r="BO296" s="10">
        <f t="shared" ca="1" si="445"/>
        <v>0</v>
      </c>
      <c r="BP296" s="10">
        <f t="shared" ca="1" si="445"/>
        <v>0</v>
      </c>
      <c r="BQ296" s="10">
        <f t="shared" ca="1" si="445"/>
        <v>0</v>
      </c>
      <c r="BR296" s="10">
        <f t="shared" ca="1" si="445"/>
        <v>0</v>
      </c>
      <c r="BS296" s="10">
        <f t="shared" ca="1" si="445"/>
        <v>0</v>
      </c>
      <c r="BT296" s="10">
        <f t="shared" ca="1" si="445"/>
        <v>0</v>
      </c>
      <c r="BU296" s="10">
        <f t="shared" ca="1" si="445"/>
        <v>0</v>
      </c>
      <c r="BV296" s="10">
        <f t="shared" ca="1" si="445"/>
        <v>0</v>
      </c>
      <c r="BW296" s="10">
        <f t="shared" ca="1" si="445"/>
        <v>0</v>
      </c>
      <c r="BX296" s="10">
        <f t="shared" ref="BX296:CO296" ca="1" si="446" xml:space="preserve"> - COGS_Capitalised</f>
        <v>0</v>
      </c>
      <c r="BY296" s="10">
        <f t="shared" ca="1" si="446"/>
        <v>0</v>
      </c>
      <c r="BZ296" s="10">
        <f t="shared" ca="1" si="446"/>
        <v>0</v>
      </c>
      <c r="CA296" s="10">
        <f t="shared" ca="1" si="446"/>
        <v>0</v>
      </c>
      <c r="CB296" s="10">
        <f t="shared" ca="1" si="446"/>
        <v>0</v>
      </c>
      <c r="CC296" s="10">
        <f t="shared" ca="1" si="446"/>
        <v>0</v>
      </c>
      <c r="CD296" s="10">
        <f t="shared" ca="1" si="446"/>
        <v>0</v>
      </c>
      <c r="CE296" s="10">
        <f t="shared" ca="1" si="446"/>
        <v>0</v>
      </c>
      <c r="CF296" s="10">
        <f t="shared" ca="1" si="446"/>
        <v>0</v>
      </c>
      <c r="CG296" s="10">
        <f t="shared" ca="1" si="446"/>
        <v>0</v>
      </c>
      <c r="CH296" s="10">
        <f t="shared" ca="1" si="446"/>
        <v>0</v>
      </c>
      <c r="CI296" s="10">
        <f t="shared" ca="1" si="446"/>
        <v>0</v>
      </c>
      <c r="CJ296" s="10">
        <f t="shared" ca="1" si="446"/>
        <v>0</v>
      </c>
      <c r="CK296" s="10">
        <f t="shared" ca="1" si="446"/>
        <v>0</v>
      </c>
      <c r="CL296" s="10">
        <f t="shared" ca="1" si="446"/>
        <v>0</v>
      </c>
      <c r="CM296" s="10">
        <f t="shared" ca="1" si="446"/>
        <v>0</v>
      </c>
      <c r="CN296" s="10">
        <f t="shared" ca="1" si="446"/>
        <v>0</v>
      </c>
      <c r="CO296" s="10">
        <f t="shared" ca="1" si="446"/>
        <v>0</v>
      </c>
    </row>
    <row r="297" spans="1:93">
      <c r="A297" s="77"/>
      <c r="B297" s="10"/>
      <c r="C297" s="21" t="s">
        <v>56</v>
      </c>
      <c r="D297" s="10"/>
      <c r="E297" s="62"/>
      <c r="F297" s="11"/>
      <c r="G297" s="134" t="str">
        <f t="shared" si="436"/>
        <v>тыс. руб.</v>
      </c>
      <c r="H297" s="10"/>
      <c r="I297" s="23">
        <f t="shared" ca="1" si="437"/>
        <v>10990.619012601321</v>
      </c>
      <c r="J297" s="10"/>
      <c r="K297" s="10"/>
      <c r="L297" s="52">
        <f t="shared" ref="L297:AQ297" si="447">-Bank_Fees * Flag_Construction</f>
        <v>0</v>
      </c>
      <c r="M297" s="52">
        <f t="shared" ca="1" si="447"/>
        <v>0</v>
      </c>
      <c r="N297" s="52">
        <f t="shared" ca="1" si="447"/>
        <v>0</v>
      </c>
      <c r="O297" s="52">
        <f t="shared" ca="1" si="447"/>
        <v>0</v>
      </c>
      <c r="P297" s="52">
        <f t="shared" ca="1" si="447"/>
        <v>0</v>
      </c>
      <c r="Q297" s="52">
        <f t="shared" ca="1" si="447"/>
        <v>0</v>
      </c>
      <c r="R297" s="52">
        <f t="shared" ca="1" si="447"/>
        <v>0</v>
      </c>
      <c r="S297" s="52">
        <f t="shared" ca="1" si="447"/>
        <v>0</v>
      </c>
      <c r="T297" s="52">
        <f t="shared" ca="1" si="447"/>
        <v>0</v>
      </c>
      <c r="U297" s="52">
        <f t="shared" ca="1" si="447"/>
        <v>2032.1389863481136</v>
      </c>
      <c r="V297" s="52">
        <f t="shared" ca="1" si="447"/>
        <v>1913.5143739847667</v>
      </c>
      <c r="W297" s="52">
        <f t="shared" ca="1" si="447"/>
        <v>1771.1696690677206</v>
      </c>
      <c r="X297" s="52">
        <f t="shared" ca="1" si="447"/>
        <v>1605.3348325415557</v>
      </c>
      <c r="Y297" s="52">
        <f t="shared" ca="1" si="447"/>
        <v>1331.1596721046919</v>
      </c>
      <c r="Z297" s="52">
        <f t="shared" ca="1" si="447"/>
        <v>1065.8684792952763</v>
      </c>
      <c r="AA297" s="52">
        <f t="shared" ca="1" si="447"/>
        <v>783.19099934951782</v>
      </c>
      <c r="AB297" s="52">
        <f t="shared" ca="1" si="447"/>
        <v>488.24199990967918</v>
      </c>
      <c r="AC297" s="52">
        <f t="shared" ca="1" si="447"/>
        <v>0</v>
      </c>
      <c r="AD297" s="52">
        <f t="shared" ca="1" si="447"/>
        <v>0</v>
      </c>
      <c r="AE297" s="52">
        <f t="shared" ca="1" si="447"/>
        <v>0</v>
      </c>
      <c r="AF297" s="52">
        <f t="shared" ca="1" si="447"/>
        <v>0</v>
      </c>
      <c r="AG297" s="52">
        <f t="shared" ca="1" si="447"/>
        <v>0</v>
      </c>
      <c r="AH297" s="52">
        <f t="shared" ca="1" si="447"/>
        <v>0</v>
      </c>
      <c r="AI297" s="52">
        <f t="shared" ca="1" si="447"/>
        <v>0</v>
      </c>
      <c r="AJ297" s="52">
        <f t="shared" ca="1" si="447"/>
        <v>0</v>
      </c>
      <c r="AK297" s="52">
        <f t="shared" ca="1" si="447"/>
        <v>0</v>
      </c>
      <c r="AL297" s="52">
        <f t="shared" ca="1" si="447"/>
        <v>0</v>
      </c>
      <c r="AM297" s="52">
        <f t="shared" ca="1" si="447"/>
        <v>0</v>
      </c>
      <c r="AN297" s="52">
        <f t="shared" ca="1" si="447"/>
        <v>0</v>
      </c>
      <c r="AO297" s="52">
        <f t="shared" ca="1" si="447"/>
        <v>0</v>
      </c>
      <c r="AP297" s="52">
        <f t="shared" ca="1" si="447"/>
        <v>0</v>
      </c>
      <c r="AQ297" s="52">
        <f t="shared" ca="1" si="447"/>
        <v>0</v>
      </c>
      <c r="AR297" s="52">
        <f t="shared" ref="AR297:BW297" ca="1" si="448">-Bank_Fees * Flag_Construction</f>
        <v>0</v>
      </c>
      <c r="AS297" s="52">
        <f t="shared" ca="1" si="448"/>
        <v>0</v>
      </c>
      <c r="AT297" s="52">
        <f t="shared" ca="1" si="448"/>
        <v>0</v>
      </c>
      <c r="AU297" s="52">
        <f t="shared" ca="1" si="448"/>
        <v>0</v>
      </c>
      <c r="AV297" s="52">
        <f t="shared" ca="1" si="448"/>
        <v>0</v>
      </c>
      <c r="AW297" s="52">
        <f t="shared" ca="1" si="448"/>
        <v>0</v>
      </c>
      <c r="AX297" s="52">
        <f t="shared" ca="1" si="448"/>
        <v>0</v>
      </c>
      <c r="AY297" s="52">
        <f t="shared" ca="1" si="448"/>
        <v>0</v>
      </c>
      <c r="AZ297" s="52">
        <f t="shared" ca="1" si="448"/>
        <v>0</v>
      </c>
      <c r="BA297" s="52">
        <f t="shared" ca="1" si="448"/>
        <v>0</v>
      </c>
      <c r="BB297" s="52">
        <f t="shared" ca="1" si="448"/>
        <v>0</v>
      </c>
      <c r="BC297" s="52">
        <f t="shared" ca="1" si="448"/>
        <v>0</v>
      </c>
      <c r="BD297" s="52">
        <f t="shared" ca="1" si="448"/>
        <v>0</v>
      </c>
      <c r="BE297" s="52">
        <f t="shared" ca="1" si="448"/>
        <v>0</v>
      </c>
      <c r="BF297" s="52">
        <f t="shared" ca="1" si="448"/>
        <v>0</v>
      </c>
      <c r="BG297" s="52">
        <f t="shared" ca="1" si="448"/>
        <v>0</v>
      </c>
      <c r="BH297" s="52">
        <f t="shared" ca="1" si="448"/>
        <v>0</v>
      </c>
      <c r="BI297" s="52">
        <f t="shared" ca="1" si="448"/>
        <v>0</v>
      </c>
      <c r="BJ297" s="52">
        <f t="shared" ca="1" si="448"/>
        <v>0</v>
      </c>
      <c r="BK297" s="52">
        <f t="shared" ca="1" si="448"/>
        <v>0</v>
      </c>
      <c r="BL297" s="52">
        <f t="shared" ca="1" si="448"/>
        <v>0</v>
      </c>
      <c r="BM297" s="52">
        <f t="shared" ca="1" si="448"/>
        <v>0</v>
      </c>
      <c r="BN297" s="52">
        <f t="shared" ca="1" si="448"/>
        <v>0</v>
      </c>
      <c r="BO297" s="52">
        <f t="shared" ca="1" si="448"/>
        <v>0</v>
      </c>
      <c r="BP297" s="52">
        <f t="shared" ca="1" si="448"/>
        <v>0</v>
      </c>
      <c r="BQ297" s="52">
        <f t="shared" ca="1" si="448"/>
        <v>0</v>
      </c>
      <c r="BR297" s="52">
        <f t="shared" ca="1" si="448"/>
        <v>0</v>
      </c>
      <c r="BS297" s="52">
        <f t="shared" ca="1" si="448"/>
        <v>0</v>
      </c>
      <c r="BT297" s="52">
        <f t="shared" ca="1" si="448"/>
        <v>0</v>
      </c>
      <c r="BU297" s="52">
        <f t="shared" ca="1" si="448"/>
        <v>0</v>
      </c>
      <c r="BV297" s="52">
        <f t="shared" ca="1" si="448"/>
        <v>0</v>
      </c>
      <c r="BW297" s="52">
        <f t="shared" ca="1" si="448"/>
        <v>0</v>
      </c>
      <c r="BX297" s="52">
        <f t="shared" ref="BX297:CO297" ca="1" si="449">-Bank_Fees * Flag_Construction</f>
        <v>0</v>
      </c>
      <c r="BY297" s="52">
        <f t="shared" ca="1" si="449"/>
        <v>0</v>
      </c>
      <c r="BZ297" s="52">
        <f t="shared" ca="1" si="449"/>
        <v>0</v>
      </c>
      <c r="CA297" s="52">
        <f t="shared" ca="1" si="449"/>
        <v>0</v>
      </c>
      <c r="CB297" s="52">
        <f t="shared" ca="1" si="449"/>
        <v>0</v>
      </c>
      <c r="CC297" s="52">
        <f t="shared" ca="1" si="449"/>
        <v>0</v>
      </c>
      <c r="CD297" s="52">
        <f t="shared" ca="1" si="449"/>
        <v>0</v>
      </c>
      <c r="CE297" s="52">
        <f t="shared" ca="1" si="449"/>
        <v>0</v>
      </c>
      <c r="CF297" s="52">
        <f t="shared" ca="1" si="449"/>
        <v>0</v>
      </c>
      <c r="CG297" s="52">
        <f t="shared" ca="1" si="449"/>
        <v>0</v>
      </c>
      <c r="CH297" s="52">
        <f t="shared" ca="1" si="449"/>
        <v>0</v>
      </c>
      <c r="CI297" s="52">
        <f t="shared" ca="1" si="449"/>
        <v>0</v>
      </c>
      <c r="CJ297" s="52">
        <f t="shared" ca="1" si="449"/>
        <v>0</v>
      </c>
      <c r="CK297" s="52">
        <f t="shared" ca="1" si="449"/>
        <v>0</v>
      </c>
      <c r="CL297" s="52">
        <f t="shared" ca="1" si="449"/>
        <v>0</v>
      </c>
      <c r="CM297" s="52">
        <f t="shared" ca="1" si="449"/>
        <v>0</v>
      </c>
      <c r="CN297" s="52">
        <f t="shared" ca="1" si="449"/>
        <v>0</v>
      </c>
      <c r="CO297" s="52">
        <f t="shared" ca="1" si="449"/>
        <v>0</v>
      </c>
    </row>
    <row r="298" spans="1:93" ht="15.75" thickBot="1">
      <c r="A298" s="77"/>
      <c r="B298" s="10"/>
      <c r="C298" s="21" t="s">
        <v>57</v>
      </c>
      <c r="D298" s="10"/>
      <c r="E298" s="62"/>
      <c r="F298" s="11"/>
      <c r="G298" s="134" t="str">
        <f t="shared" si="436"/>
        <v>тыс. руб.</v>
      </c>
      <c r="H298" s="10"/>
      <c r="I298" s="23">
        <f t="shared" ca="1" si="437"/>
        <v>0</v>
      </c>
      <c r="J298" s="10"/>
      <c r="K298" s="52"/>
      <c r="L298" s="52">
        <f t="shared" ref="L298:AQ298" ca="1" si="450">-SGA_Capitalised * Flag_Construction</f>
        <v>0</v>
      </c>
      <c r="M298" s="52">
        <f t="shared" ca="1" si="450"/>
        <v>0</v>
      </c>
      <c r="N298" s="52">
        <f t="shared" ca="1" si="450"/>
        <v>0</v>
      </c>
      <c r="O298" s="52">
        <f t="shared" ca="1" si="450"/>
        <v>0</v>
      </c>
      <c r="P298" s="52">
        <f t="shared" ca="1" si="450"/>
        <v>0</v>
      </c>
      <c r="Q298" s="52">
        <f t="shared" ca="1" si="450"/>
        <v>0</v>
      </c>
      <c r="R298" s="52">
        <f t="shared" ca="1" si="450"/>
        <v>0</v>
      </c>
      <c r="S298" s="52">
        <f t="shared" ca="1" si="450"/>
        <v>0</v>
      </c>
      <c r="T298" s="52">
        <f t="shared" ca="1" si="450"/>
        <v>0</v>
      </c>
      <c r="U298" s="52">
        <f t="shared" ca="1" si="450"/>
        <v>0</v>
      </c>
      <c r="V298" s="52">
        <f t="shared" ca="1" si="450"/>
        <v>0</v>
      </c>
      <c r="W298" s="52">
        <f t="shared" ca="1" si="450"/>
        <v>0</v>
      </c>
      <c r="X298" s="52">
        <f t="shared" ca="1" si="450"/>
        <v>0</v>
      </c>
      <c r="Y298" s="52">
        <f t="shared" ca="1" si="450"/>
        <v>0</v>
      </c>
      <c r="Z298" s="52">
        <f t="shared" ca="1" si="450"/>
        <v>0</v>
      </c>
      <c r="AA298" s="52">
        <f t="shared" ca="1" si="450"/>
        <v>0</v>
      </c>
      <c r="AB298" s="52">
        <f t="shared" ca="1" si="450"/>
        <v>0</v>
      </c>
      <c r="AC298" s="52">
        <f t="shared" ca="1" si="450"/>
        <v>0</v>
      </c>
      <c r="AD298" s="52">
        <f t="shared" ca="1" si="450"/>
        <v>0</v>
      </c>
      <c r="AE298" s="52">
        <f t="shared" ca="1" si="450"/>
        <v>0</v>
      </c>
      <c r="AF298" s="52">
        <f t="shared" ca="1" si="450"/>
        <v>0</v>
      </c>
      <c r="AG298" s="52">
        <f t="shared" ca="1" si="450"/>
        <v>0</v>
      </c>
      <c r="AH298" s="52">
        <f t="shared" ca="1" si="450"/>
        <v>0</v>
      </c>
      <c r="AI298" s="52">
        <f t="shared" ca="1" si="450"/>
        <v>0</v>
      </c>
      <c r="AJ298" s="52">
        <f t="shared" ca="1" si="450"/>
        <v>0</v>
      </c>
      <c r="AK298" s="52">
        <f t="shared" ca="1" si="450"/>
        <v>0</v>
      </c>
      <c r="AL298" s="52">
        <f t="shared" ca="1" si="450"/>
        <v>0</v>
      </c>
      <c r="AM298" s="52">
        <f t="shared" ca="1" si="450"/>
        <v>0</v>
      </c>
      <c r="AN298" s="52">
        <f t="shared" ca="1" si="450"/>
        <v>0</v>
      </c>
      <c r="AO298" s="52">
        <f t="shared" ca="1" si="450"/>
        <v>0</v>
      </c>
      <c r="AP298" s="52">
        <f t="shared" ca="1" si="450"/>
        <v>0</v>
      </c>
      <c r="AQ298" s="52">
        <f t="shared" ca="1" si="450"/>
        <v>0</v>
      </c>
      <c r="AR298" s="52">
        <f t="shared" ref="AR298:BW298" ca="1" si="451">-SGA_Capitalised * Flag_Construction</f>
        <v>0</v>
      </c>
      <c r="AS298" s="52">
        <f t="shared" ca="1" si="451"/>
        <v>0</v>
      </c>
      <c r="AT298" s="52">
        <f t="shared" ca="1" si="451"/>
        <v>0</v>
      </c>
      <c r="AU298" s="52">
        <f t="shared" ca="1" si="451"/>
        <v>0</v>
      </c>
      <c r="AV298" s="52">
        <f t="shared" ca="1" si="451"/>
        <v>0</v>
      </c>
      <c r="AW298" s="52">
        <f t="shared" ca="1" si="451"/>
        <v>0</v>
      </c>
      <c r="AX298" s="52">
        <f t="shared" ca="1" si="451"/>
        <v>0</v>
      </c>
      <c r="AY298" s="52">
        <f t="shared" ca="1" si="451"/>
        <v>0</v>
      </c>
      <c r="AZ298" s="52">
        <f t="shared" ca="1" si="451"/>
        <v>0</v>
      </c>
      <c r="BA298" s="52">
        <f t="shared" ca="1" si="451"/>
        <v>0</v>
      </c>
      <c r="BB298" s="52">
        <f t="shared" ca="1" si="451"/>
        <v>0</v>
      </c>
      <c r="BC298" s="52">
        <f t="shared" ca="1" si="451"/>
        <v>0</v>
      </c>
      <c r="BD298" s="52">
        <f t="shared" ca="1" si="451"/>
        <v>0</v>
      </c>
      <c r="BE298" s="52">
        <f t="shared" ca="1" si="451"/>
        <v>0</v>
      </c>
      <c r="BF298" s="52">
        <f t="shared" ca="1" si="451"/>
        <v>0</v>
      </c>
      <c r="BG298" s="52">
        <f t="shared" ca="1" si="451"/>
        <v>0</v>
      </c>
      <c r="BH298" s="52">
        <f t="shared" ca="1" si="451"/>
        <v>0</v>
      </c>
      <c r="BI298" s="52">
        <f t="shared" ca="1" si="451"/>
        <v>0</v>
      </c>
      <c r="BJ298" s="52">
        <f t="shared" ca="1" si="451"/>
        <v>0</v>
      </c>
      <c r="BK298" s="52">
        <f t="shared" ca="1" si="451"/>
        <v>0</v>
      </c>
      <c r="BL298" s="52">
        <f t="shared" ca="1" si="451"/>
        <v>0</v>
      </c>
      <c r="BM298" s="52">
        <f t="shared" ca="1" si="451"/>
        <v>0</v>
      </c>
      <c r="BN298" s="52">
        <f t="shared" ca="1" si="451"/>
        <v>0</v>
      </c>
      <c r="BO298" s="52">
        <f t="shared" ca="1" si="451"/>
        <v>0</v>
      </c>
      <c r="BP298" s="52">
        <f t="shared" ca="1" si="451"/>
        <v>0</v>
      </c>
      <c r="BQ298" s="52">
        <f t="shared" ca="1" si="451"/>
        <v>0</v>
      </c>
      <c r="BR298" s="52">
        <f t="shared" ca="1" si="451"/>
        <v>0</v>
      </c>
      <c r="BS298" s="52">
        <f t="shared" ca="1" si="451"/>
        <v>0</v>
      </c>
      <c r="BT298" s="52">
        <f t="shared" ca="1" si="451"/>
        <v>0</v>
      </c>
      <c r="BU298" s="52">
        <f t="shared" ca="1" si="451"/>
        <v>0</v>
      </c>
      <c r="BV298" s="52">
        <f t="shared" ca="1" si="451"/>
        <v>0</v>
      </c>
      <c r="BW298" s="52">
        <f t="shared" ca="1" si="451"/>
        <v>0</v>
      </c>
      <c r="BX298" s="52">
        <f t="shared" ref="BX298:CO298" ca="1" si="452">-SGA_Capitalised * Flag_Construction</f>
        <v>0</v>
      </c>
      <c r="BY298" s="52">
        <f t="shared" ca="1" si="452"/>
        <v>0</v>
      </c>
      <c r="BZ298" s="52">
        <f t="shared" ca="1" si="452"/>
        <v>0</v>
      </c>
      <c r="CA298" s="52">
        <f t="shared" ca="1" si="452"/>
        <v>0</v>
      </c>
      <c r="CB298" s="52">
        <f t="shared" ca="1" si="452"/>
        <v>0</v>
      </c>
      <c r="CC298" s="52">
        <f t="shared" ca="1" si="452"/>
        <v>0</v>
      </c>
      <c r="CD298" s="52">
        <f t="shared" ca="1" si="452"/>
        <v>0</v>
      </c>
      <c r="CE298" s="52">
        <f t="shared" ca="1" si="452"/>
        <v>0</v>
      </c>
      <c r="CF298" s="52">
        <f t="shared" ca="1" si="452"/>
        <v>0</v>
      </c>
      <c r="CG298" s="52">
        <f t="shared" ca="1" si="452"/>
        <v>0</v>
      </c>
      <c r="CH298" s="52">
        <f t="shared" ca="1" si="452"/>
        <v>0</v>
      </c>
      <c r="CI298" s="52">
        <f t="shared" ca="1" si="452"/>
        <v>0</v>
      </c>
      <c r="CJ298" s="52">
        <f t="shared" ca="1" si="452"/>
        <v>0</v>
      </c>
      <c r="CK298" s="52">
        <f t="shared" ca="1" si="452"/>
        <v>0</v>
      </c>
      <c r="CL298" s="52">
        <f t="shared" ca="1" si="452"/>
        <v>0</v>
      </c>
      <c r="CM298" s="52">
        <f t="shared" ca="1" si="452"/>
        <v>0</v>
      </c>
      <c r="CN298" s="52">
        <f t="shared" ca="1" si="452"/>
        <v>0</v>
      </c>
      <c r="CO298" s="52">
        <f t="shared" ca="1" si="452"/>
        <v>0</v>
      </c>
    </row>
    <row r="299" spans="1:93" ht="15.75" thickTop="1">
      <c r="A299" s="172"/>
      <c r="B299" s="35"/>
      <c r="C299" s="173" t="s">
        <v>58</v>
      </c>
      <c r="D299" s="49"/>
      <c r="E299" s="49"/>
      <c r="F299" s="49"/>
      <c r="G299" s="159" t="str">
        <f t="shared" si="436"/>
        <v>тыс. руб.</v>
      </c>
      <c r="H299" s="49"/>
      <c r="I299" s="176">
        <f t="shared" ca="1" si="437"/>
        <v>358387.65550328599</v>
      </c>
      <c r="J299" s="49"/>
      <c r="K299" s="49"/>
      <c r="L299" s="49">
        <f t="shared" ref="L299:R299" ca="1" si="453">SUM(L294:L298)</f>
        <v>261.90161609928646</v>
      </c>
      <c r="M299" s="49">
        <f t="shared" ca="1" si="453"/>
        <v>811.90603756310509</v>
      </c>
      <c r="N299" s="49">
        <f t="shared" ca="1" si="453"/>
        <v>1410.7015765969325</v>
      </c>
      <c r="O299" s="49">
        <f t="shared" ca="1" si="453"/>
        <v>2040.0333781747295</v>
      </c>
      <c r="P299" s="49">
        <f t="shared" ca="1" si="453"/>
        <v>3559.7592196845253</v>
      </c>
      <c r="Q299" s="49">
        <f t="shared" ca="1" si="453"/>
        <v>7298.8376091939972</v>
      </c>
      <c r="R299" s="49">
        <f t="shared" ca="1" si="453"/>
        <v>11305.455621851217</v>
      </c>
      <c r="S299" s="49">
        <f ca="1">SUM(S294:S298)</f>
        <v>15429.236735536404</v>
      </c>
      <c r="T299" s="49">
        <f t="shared" ref="T299:CE299" ca="1" si="454">SUM(T294:T298)</f>
        <v>16228.178887830996</v>
      </c>
      <c r="U299" s="49">
        <f t="shared" ca="1" si="454"/>
        <v>21772.408100102577</v>
      </c>
      <c r="V299" s="49">
        <f t="shared" ca="1" si="454"/>
        <v>25184.125775850796</v>
      </c>
      <c r="W299" s="49">
        <f t="shared" ca="1" si="454"/>
        <v>28453.986732236001</v>
      </c>
      <c r="X299" s="49">
        <f t="shared" ca="1" si="454"/>
        <v>32605.985527383586</v>
      </c>
      <c r="Y299" s="49">
        <f t="shared" ca="1" si="454"/>
        <v>38350.934688674228</v>
      </c>
      <c r="Z299" s="49">
        <f t="shared" ca="1" si="454"/>
        <v>44744.107668674449</v>
      </c>
      <c r="AA299" s="49">
        <f t="shared" ca="1" si="454"/>
        <v>50893.274225466157</v>
      </c>
      <c r="AB299" s="49">
        <f t="shared" ca="1" si="454"/>
        <v>58036.822102367027</v>
      </c>
      <c r="AC299" s="49">
        <f t="shared" ca="1" si="454"/>
        <v>0</v>
      </c>
      <c r="AD299" s="49">
        <f t="shared" ca="1" si="454"/>
        <v>0</v>
      </c>
      <c r="AE299" s="49">
        <f t="shared" ca="1" si="454"/>
        <v>0</v>
      </c>
      <c r="AF299" s="49">
        <f t="shared" ca="1" si="454"/>
        <v>0</v>
      </c>
      <c r="AG299" s="49">
        <f t="shared" ca="1" si="454"/>
        <v>0</v>
      </c>
      <c r="AH299" s="49">
        <f t="shared" ca="1" si="454"/>
        <v>0</v>
      </c>
      <c r="AI299" s="49">
        <f t="shared" ca="1" si="454"/>
        <v>0</v>
      </c>
      <c r="AJ299" s="49">
        <f t="shared" ca="1" si="454"/>
        <v>0</v>
      </c>
      <c r="AK299" s="49">
        <f t="shared" ca="1" si="454"/>
        <v>0</v>
      </c>
      <c r="AL299" s="49">
        <f t="shared" ca="1" si="454"/>
        <v>0</v>
      </c>
      <c r="AM299" s="49">
        <f t="shared" ca="1" si="454"/>
        <v>0</v>
      </c>
      <c r="AN299" s="49">
        <f t="shared" ca="1" si="454"/>
        <v>0</v>
      </c>
      <c r="AO299" s="49">
        <f t="shared" ca="1" si="454"/>
        <v>0</v>
      </c>
      <c r="AP299" s="49">
        <f t="shared" ca="1" si="454"/>
        <v>0</v>
      </c>
      <c r="AQ299" s="49">
        <f t="shared" ca="1" si="454"/>
        <v>0</v>
      </c>
      <c r="AR299" s="49">
        <f t="shared" ca="1" si="454"/>
        <v>0</v>
      </c>
      <c r="AS299" s="49">
        <f t="shared" ca="1" si="454"/>
        <v>0</v>
      </c>
      <c r="AT299" s="49">
        <f t="shared" ca="1" si="454"/>
        <v>0</v>
      </c>
      <c r="AU299" s="49">
        <f t="shared" ca="1" si="454"/>
        <v>0</v>
      </c>
      <c r="AV299" s="49">
        <f t="shared" ca="1" si="454"/>
        <v>0</v>
      </c>
      <c r="AW299" s="49">
        <f t="shared" ca="1" si="454"/>
        <v>0</v>
      </c>
      <c r="AX299" s="49">
        <f t="shared" ca="1" si="454"/>
        <v>0</v>
      </c>
      <c r="AY299" s="49">
        <f t="shared" ca="1" si="454"/>
        <v>0</v>
      </c>
      <c r="AZ299" s="49">
        <f t="shared" ca="1" si="454"/>
        <v>0</v>
      </c>
      <c r="BA299" s="49">
        <f t="shared" ca="1" si="454"/>
        <v>0</v>
      </c>
      <c r="BB299" s="49">
        <f t="shared" ca="1" si="454"/>
        <v>0</v>
      </c>
      <c r="BC299" s="49">
        <f t="shared" ca="1" si="454"/>
        <v>0</v>
      </c>
      <c r="BD299" s="49">
        <f t="shared" ca="1" si="454"/>
        <v>0</v>
      </c>
      <c r="BE299" s="49">
        <f t="shared" ca="1" si="454"/>
        <v>0</v>
      </c>
      <c r="BF299" s="49">
        <f t="shared" ca="1" si="454"/>
        <v>0</v>
      </c>
      <c r="BG299" s="49">
        <f t="shared" ca="1" si="454"/>
        <v>0</v>
      </c>
      <c r="BH299" s="49">
        <f t="shared" ca="1" si="454"/>
        <v>0</v>
      </c>
      <c r="BI299" s="49">
        <f t="shared" ca="1" si="454"/>
        <v>0</v>
      </c>
      <c r="BJ299" s="49">
        <f t="shared" ca="1" si="454"/>
        <v>0</v>
      </c>
      <c r="BK299" s="49">
        <f t="shared" ca="1" si="454"/>
        <v>0</v>
      </c>
      <c r="BL299" s="49">
        <f t="shared" ca="1" si="454"/>
        <v>0</v>
      </c>
      <c r="BM299" s="49">
        <f t="shared" ca="1" si="454"/>
        <v>0</v>
      </c>
      <c r="BN299" s="49">
        <f t="shared" ca="1" si="454"/>
        <v>0</v>
      </c>
      <c r="BO299" s="49">
        <f t="shared" ca="1" si="454"/>
        <v>0</v>
      </c>
      <c r="BP299" s="49">
        <f t="shared" ca="1" si="454"/>
        <v>0</v>
      </c>
      <c r="BQ299" s="49">
        <f t="shared" ca="1" si="454"/>
        <v>0</v>
      </c>
      <c r="BR299" s="49">
        <f t="shared" ca="1" si="454"/>
        <v>0</v>
      </c>
      <c r="BS299" s="49">
        <f t="shared" ca="1" si="454"/>
        <v>0</v>
      </c>
      <c r="BT299" s="49">
        <f t="shared" ca="1" si="454"/>
        <v>0</v>
      </c>
      <c r="BU299" s="49">
        <f t="shared" ca="1" si="454"/>
        <v>0</v>
      </c>
      <c r="BV299" s="49">
        <f t="shared" ca="1" si="454"/>
        <v>0</v>
      </c>
      <c r="BW299" s="49">
        <f t="shared" ca="1" si="454"/>
        <v>0</v>
      </c>
      <c r="BX299" s="49">
        <f t="shared" ca="1" si="454"/>
        <v>0</v>
      </c>
      <c r="BY299" s="49">
        <f t="shared" ca="1" si="454"/>
        <v>0</v>
      </c>
      <c r="BZ299" s="49">
        <f t="shared" ca="1" si="454"/>
        <v>0</v>
      </c>
      <c r="CA299" s="49">
        <f t="shared" ca="1" si="454"/>
        <v>0</v>
      </c>
      <c r="CB299" s="49">
        <f t="shared" ca="1" si="454"/>
        <v>0</v>
      </c>
      <c r="CC299" s="49">
        <f t="shared" ca="1" si="454"/>
        <v>0</v>
      </c>
      <c r="CD299" s="49">
        <f t="shared" ca="1" si="454"/>
        <v>0</v>
      </c>
      <c r="CE299" s="49">
        <f t="shared" ca="1" si="454"/>
        <v>0</v>
      </c>
      <c r="CF299" s="49">
        <f t="shared" ref="CF299:CO299" ca="1" si="455">SUM(CF294:CF298)</f>
        <v>0</v>
      </c>
      <c r="CG299" s="49">
        <f t="shared" ca="1" si="455"/>
        <v>0</v>
      </c>
      <c r="CH299" s="49">
        <f t="shared" ca="1" si="455"/>
        <v>0</v>
      </c>
      <c r="CI299" s="49">
        <f t="shared" ca="1" si="455"/>
        <v>0</v>
      </c>
      <c r="CJ299" s="49">
        <f t="shared" ca="1" si="455"/>
        <v>0</v>
      </c>
      <c r="CK299" s="49">
        <f t="shared" ca="1" si="455"/>
        <v>0</v>
      </c>
      <c r="CL299" s="49">
        <f t="shared" ca="1" si="455"/>
        <v>0</v>
      </c>
      <c r="CM299" s="49">
        <f t="shared" ca="1" si="455"/>
        <v>0</v>
      </c>
      <c r="CN299" s="49">
        <f t="shared" ca="1" si="455"/>
        <v>0</v>
      </c>
      <c r="CO299" s="49">
        <f t="shared" ca="1" si="455"/>
        <v>0</v>
      </c>
    </row>
    <row r="300" spans="1:93">
      <c r="A300" s="77"/>
      <c r="B300" s="10"/>
      <c r="C300" s="48"/>
      <c r="D300" s="10"/>
      <c r="E300" s="10"/>
      <c r="F300" s="10"/>
      <c r="G300" s="11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  <c r="CG300" s="10"/>
      <c r="CH300" s="10"/>
      <c r="CI300" s="10"/>
      <c r="CJ300" s="10"/>
      <c r="CK300" s="10"/>
      <c r="CL300" s="10"/>
      <c r="CM300" s="10"/>
      <c r="CN300" s="10"/>
      <c r="CO300" s="10"/>
    </row>
    <row r="301" spans="1:93">
      <c r="A301" s="77"/>
      <c r="B301" s="10"/>
      <c r="C301" s="50" t="s">
        <v>59</v>
      </c>
      <c r="D301" s="10"/>
      <c r="E301" s="62"/>
      <c r="F301" s="11"/>
      <c r="G301" s="11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  <c r="CG301" s="10"/>
      <c r="CH301" s="10"/>
      <c r="CI301" s="10"/>
      <c r="CJ301" s="10"/>
      <c r="CK301" s="10"/>
      <c r="CL301" s="10"/>
      <c r="CM301" s="10"/>
      <c r="CN301" s="10"/>
      <c r="CO301" s="10"/>
    </row>
    <row r="302" spans="1:93">
      <c r="A302" s="77"/>
      <c r="B302" s="10"/>
      <c r="C302" s="21" t="s">
        <v>54</v>
      </c>
      <c r="D302" s="10"/>
      <c r="E302" s="62"/>
      <c r="F302" s="11"/>
      <c r="G302" s="134" t="str">
        <f t="shared" ref="G302:G307" si="456">Monetary_Unit</f>
        <v>тыс. руб.</v>
      </c>
      <c r="H302" s="10"/>
      <c r="I302" s="10"/>
      <c r="J302" s="10"/>
      <c r="K302" s="10"/>
      <c r="L302" s="52">
        <f>SUM($L294:L294)</f>
        <v>0</v>
      </c>
      <c r="M302" s="52">
        <f ca="1">SUM($L294:M294)</f>
        <v>0</v>
      </c>
      <c r="N302" s="52">
        <f ca="1">SUM($L294:N294)</f>
        <v>0</v>
      </c>
      <c r="O302" s="52">
        <f ca="1">SUM($L294:O294)</f>
        <v>0</v>
      </c>
      <c r="P302" s="52">
        <f ca="1">SUM($L294:P294)</f>
        <v>0</v>
      </c>
      <c r="Q302" s="52">
        <f ca="1">SUM($L294:Q294)</f>
        <v>0</v>
      </c>
      <c r="R302" s="52">
        <f ca="1">SUM($L294:R294)</f>
        <v>0</v>
      </c>
      <c r="S302" s="52">
        <f ca="1">SUM($L294:S294)</f>
        <v>0</v>
      </c>
      <c r="T302" s="52">
        <f ca="1">SUM($L294:T294)</f>
        <v>375.82926333388428</v>
      </c>
      <c r="U302" s="52">
        <f ca="1">SUM($L294:U294)</f>
        <v>2425.5086066326312</v>
      </c>
      <c r="V302" s="52">
        <f ca="1">SUM($L294:V294)</f>
        <v>7118.2416618851112</v>
      </c>
      <c r="W302" s="52">
        <f ca="1">SUM($L294:W294)</f>
        <v>14457.325625393623</v>
      </c>
      <c r="X302" s="52">
        <f ca="1">SUM($L294:X294)</f>
        <v>25544.539054309498</v>
      </c>
      <c r="Y302" s="52">
        <f ca="1">SUM($L294:Y294)</f>
        <v>41728.982375030428</v>
      </c>
      <c r="Z302" s="52">
        <f ca="1">SUM($L294:Z294)</f>
        <v>63295.297130689345</v>
      </c>
      <c r="AA302" s="52">
        <f ca="1">SUM($L294:AA294)</f>
        <v>90116.909624567124</v>
      </c>
      <c r="AB302" s="52">
        <f ca="1">SUM($L294:AB294)</f>
        <v>123533.77374294518</v>
      </c>
      <c r="AC302" s="52">
        <f ca="1">SUM($L294:AC294)</f>
        <v>123533.77374294518</v>
      </c>
      <c r="AD302" s="52">
        <f ca="1">SUM($L294:AD294)</f>
        <v>123533.77374294518</v>
      </c>
      <c r="AE302" s="52">
        <f ca="1">SUM($L294:AE294)</f>
        <v>123533.77374294518</v>
      </c>
      <c r="AF302" s="52">
        <f ca="1">SUM($L294:AF294)</f>
        <v>123533.77374294518</v>
      </c>
      <c r="AG302" s="52">
        <f ca="1">SUM($L294:AG294)</f>
        <v>123533.77374294518</v>
      </c>
      <c r="AH302" s="52">
        <f ca="1">SUM($L294:AH294)</f>
        <v>123533.77374294518</v>
      </c>
      <c r="AI302" s="52">
        <f ca="1">SUM($L294:AI294)</f>
        <v>123533.77374294518</v>
      </c>
      <c r="AJ302" s="52">
        <f ca="1">SUM($L294:AJ294)</f>
        <v>123533.77374294518</v>
      </c>
      <c r="AK302" s="52">
        <f ca="1">SUM($L294:AK294)</f>
        <v>123533.77374294518</v>
      </c>
      <c r="AL302" s="52">
        <f ca="1">SUM($L294:AL294)</f>
        <v>123533.77374294518</v>
      </c>
      <c r="AM302" s="52">
        <f ca="1">SUM($L294:AM294)</f>
        <v>123533.77374294518</v>
      </c>
      <c r="AN302" s="52">
        <f ca="1">SUM($L294:AN294)</f>
        <v>123533.77374294518</v>
      </c>
      <c r="AO302" s="52">
        <f ca="1">SUM($L294:AO294)</f>
        <v>123533.77374294518</v>
      </c>
      <c r="AP302" s="52">
        <f ca="1">SUM($L294:AP294)</f>
        <v>123533.77374294518</v>
      </c>
      <c r="AQ302" s="52">
        <f ca="1">SUM($L294:AQ294)</f>
        <v>123533.77374294518</v>
      </c>
      <c r="AR302" s="52">
        <f ca="1">SUM($L294:AR294)</f>
        <v>123533.77374294518</v>
      </c>
      <c r="AS302" s="52">
        <f ca="1">SUM($L294:AS294)</f>
        <v>123533.77374294518</v>
      </c>
      <c r="AT302" s="52">
        <f ca="1">SUM($L294:AT294)</f>
        <v>123533.77374294518</v>
      </c>
      <c r="AU302" s="52">
        <f ca="1">SUM($L294:AU294)</f>
        <v>123533.77374294518</v>
      </c>
      <c r="AV302" s="52">
        <f ca="1">SUM($L294:AV294)</f>
        <v>123533.77374294518</v>
      </c>
      <c r="AW302" s="52">
        <f ca="1">SUM($L294:AW294)</f>
        <v>123533.77374294518</v>
      </c>
      <c r="AX302" s="52">
        <f ca="1">SUM($L294:AX294)</f>
        <v>123533.77374294518</v>
      </c>
      <c r="AY302" s="52">
        <f ca="1">SUM($L294:AY294)</f>
        <v>123533.77374294518</v>
      </c>
      <c r="AZ302" s="52">
        <f ca="1">SUM($L294:AZ294)</f>
        <v>123533.77374294518</v>
      </c>
      <c r="BA302" s="52">
        <f ca="1">SUM($L294:BA294)</f>
        <v>123533.77374294518</v>
      </c>
      <c r="BB302" s="52">
        <f ca="1">SUM($L294:BB294)</f>
        <v>123533.77374294518</v>
      </c>
      <c r="BC302" s="52">
        <f ca="1">SUM($L294:BC294)</f>
        <v>123533.77374294518</v>
      </c>
      <c r="BD302" s="52">
        <f ca="1">SUM($L294:BD294)</f>
        <v>123533.77374294518</v>
      </c>
      <c r="BE302" s="52">
        <f ca="1">SUM($L294:BE294)</f>
        <v>123533.77374294518</v>
      </c>
      <c r="BF302" s="52">
        <f ca="1">SUM($L294:BF294)</f>
        <v>123533.77374294518</v>
      </c>
      <c r="BG302" s="52">
        <f ca="1">SUM($L294:BG294)</f>
        <v>123533.77374294518</v>
      </c>
      <c r="BH302" s="52">
        <f ca="1">SUM($L294:BH294)</f>
        <v>123533.77374294518</v>
      </c>
      <c r="BI302" s="52">
        <f ca="1">SUM($L294:BI294)</f>
        <v>123533.77374294518</v>
      </c>
      <c r="BJ302" s="52">
        <f ca="1">SUM($L294:BJ294)</f>
        <v>123533.77374294518</v>
      </c>
      <c r="BK302" s="52">
        <f ca="1">SUM($L294:BK294)</f>
        <v>123533.77374294518</v>
      </c>
      <c r="BL302" s="52">
        <f ca="1">SUM($L294:BL294)</f>
        <v>123533.77374294518</v>
      </c>
      <c r="BM302" s="52">
        <f ca="1">SUM($L294:BM294)</f>
        <v>123533.77374294518</v>
      </c>
      <c r="BN302" s="52">
        <f ca="1">SUM($L294:BN294)</f>
        <v>123533.77374294518</v>
      </c>
      <c r="BO302" s="52">
        <f ca="1">SUM($L294:BO294)</f>
        <v>123533.77374294518</v>
      </c>
      <c r="BP302" s="52">
        <f ca="1">SUM($L294:BP294)</f>
        <v>123533.77374294518</v>
      </c>
      <c r="BQ302" s="52">
        <f ca="1">SUM($L294:BQ294)</f>
        <v>123533.77374294518</v>
      </c>
      <c r="BR302" s="52">
        <f ca="1">SUM($L294:BR294)</f>
        <v>123533.77374294518</v>
      </c>
      <c r="BS302" s="52">
        <f ca="1">SUM($L294:BS294)</f>
        <v>123533.77374294518</v>
      </c>
      <c r="BT302" s="52">
        <f ca="1">SUM($L294:BT294)</f>
        <v>123533.77374294518</v>
      </c>
      <c r="BU302" s="52">
        <f ca="1">SUM($L294:BU294)</f>
        <v>123533.77374294518</v>
      </c>
      <c r="BV302" s="52">
        <f ca="1">SUM($L294:BV294)</f>
        <v>123533.77374294518</v>
      </c>
      <c r="BW302" s="52">
        <f ca="1">SUM($L294:BW294)</f>
        <v>123533.77374294518</v>
      </c>
      <c r="BX302" s="52">
        <f ca="1">SUM($L294:BX294)</f>
        <v>123533.77374294518</v>
      </c>
      <c r="BY302" s="52">
        <f ca="1">SUM($L294:BY294)</f>
        <v>123533.77374294518</v>
      </c>
      <c r="BZ302" s="52">
        <f ca="1">SUM($L294:BZ294)</f>
        <v>123533.77374294518</v>
      </c>
      <c r="CA302" s="52">
        <f ca="1">SUM($L294:CA294)</f>
        <v>123533.77374294518</v>
      </c>
      <c r="CB302" s="52">
        <f ca="1">SUM($L294:CB294)</f>
        <v>123533.77374294518</v>
      </c>
      <c r="CC302" s="52">
        <f ca="1">SUM($L294:CC294)</f>
        <v>123533.77374294518</v>
      </c>
      <c r="CD302" s="52">
        <f ca="1">SUM($L294:CD294)</f>
        <v>123533.77374294518</v>
      </c>
      <c r="CE302" s="52">
        <f ca="1">SUM($L294:CE294)</f>
        <v>123533.77374294518</v>
      </c>
      <c r="CF302" s="52">
        <f ca="1">SUM($L294:CF294)</f>
        <v>123533.77374294518</v>
      </c>
      <c r="CG302" s="52">
        <f ca="1">SUM($L294:CG294)</f>
        <v>123533.77374294518</v>
      </c>
      <c r="CH302" s="52">
        <f ca="1">SUM($L294:CH294)</f>
        <v>123533.77374294518</v>
      </c>
      <c r="CI302" s="52">
        <f ca="1">SUM($L294:CI294)</f>
        <v>123533.77374294518</v>
      </c>
      <c r="CJ302" s="52">
        <f ca="1">SUM($L294:CJ294)</f>
        <v>123533.77374294518</v>
      </c>
      <c r="CK302" s="52">
        <f ca="1">SUM($L294:CK294)</f>
        <v>123533.77374294518</v>
      </c>
      <c r="CL302" s="52">
        <f ca="1">SUM($L294:CL294)</f>
        <v>123533.77374294518</v>
      </c>
      <c r="CM302" s="52">
        <f ca="1">SUM($L294:CM294)</f>
        <v>123533.77374294518</v>
      </c>
      <c r="CN302" s="52">
        <f ca="1">SUM($L294:CN294)</f>
        <v>123533.77374294518</v>
      </c>
      <c r="CO302" s="52">
        <f ca="1">SUM($L294:CO294)</f>
        <v>123533.77374294518</v>
      </c>
    </row>
    <row r="303" spans="1:93">
      <c r="A303" s="77"/>
      <c r="B303" s="10"/>
      <c r="C303" s="21" t="s">
        <v>357</v>
      </c>
      <c r="D303" s="10"/>
      <c r="E303" s="62"/>
      <c r="F303" s="11"/>
      <c r="G303" s="134" t="str">
        <f t="shared" si="456"/>
        <v>тыс. руб.</v>
      </c>
      <c r="H303" s="10"/>
      <c r="I303" s="10"/>
      <c r="J303" s="10"/>
      <c r="K303" s="10"/>
      <c r="L303" s="52">
        <f>SUM($L295:L295)</f>
        <v>261.90161609928646</v>
      </c>
      <c r="M303" s="52">
        <f>SUM($L295:M295)</f>
        <v>1073.8076536623917</v>
      </c>
      <c r="N303" s="52">
        <f>SUM($L295:N295)</f>
        <v>2484.5092302593239</v>
      </c>
      <c r="O303" s="52">
        <f>SUM($L295:O295)</f>
        <v>4524.5426084340534</v>
      </c>
      <c r="P303" s="52">
        <f>SUM($L295:P295)</f>
        <v>8084.3018281185787</v>
      </c>
      <c r="Q303" s="52">
        <f>SUM($L295:Q295)</f>
        <v>15383.139437312577</v>
      </c>
      <c r="R303" s="52">
        <f>SUM($L295:R295)</f>
        <v>26688.595059163796</v>
      </c>
      <c r="S303" s="52">
        <f>SUM($L295:S295)</f>
        <v>42117.8317947002</v>
      </c>
      <c r="T303" s="52">
        <f>SUM($L295:T295)</f>
        <v>57970.18141919731</v>
      </c>
      <c r="U303" s="52">
        <f>SUM($L295:U295)</f>
        <v>75660.771189653024</v>
      </c>
      <c r="V303" s="52">
        <f>SUM($L295:V295)</f>
        <v>94238.649536266574</v>
      </c>
      <c r="W303" s="52">
        <f>SUM($L295:W295)</f>
        <v>113582.38263592635</v>
      </c>
      <c r="X303" s="52">
        <f>SUM($L295:X295)</f>
        <v>133495.81990185249</v>
      </c>
      <c r="Y303" s="52">
        <f>SUM($L295:Y295)</f>
        <v>154331.1515977011</v>
      </c>
      <c r="Z303" s="52">
        <f>SUM($L295:Z295)</f>
        <v>176443.07603142137</v>
      </c>
      <c r="AA303" s="52">
        <f>SUM($L295:AA295)</f>
        <v>199731.54676366024</v>
      </c>
      <c r="AB303" s="52">
        <f>SUM($L295:AB295)</f>
        <v>223863.26274773953</v>
      </c>
      <c r="AC303" s="52">
        <f>SUM($L295:AC295)</f>
        <v>223863.26274773953</v>
      </c>
      <c r="AD303" s="52">
        <f>SUM($L295:AD295)</f>
        <v>223863.26274773953</v>
      </c>
      <c r="AE303" s="52">
        <f>SUM($L295:AE295)</f>
        <v>223863.26274773953</v>
      </c>
      <c r="AF303" s="52">
        <f>SUM($L295:AF295)</f>
        <v>223863.26274773953</v>
      </c>
      <c r="AG303" s="52">
        <f>SUM($L295:AG295)</f>
        <v>223863.26274773953</v>
      </c>
      <c r="AH303" s="52">
        <f>SUM($L295:AH295)</f>
        <v>223863.26274773953</v>
      </c>
      <c r="AI303" s="52">
        <f>SUM($L295:AI295)</f>
        <v>223863.26274773953</v>
      </c>
      <c r="AJ303" s="52">
        <f>SUM($L295:AJ295)</f>
        <v>223863.26274773953</v>
      </c>
      <c r="AK303" s="52">
        <f>SUM($L295:AK295)</f>
        <v>223863.26274773953</v>
      </c>
      <c r="AL303" s="52">
        <f>SUM($L295:AL295)</f>
        <v>223863.26274773953</v>
      </c>
      <c r="AM303" s="52">
        <f>SUM($L295:AM295)</f>
        <v>223863.26274773953</v>
      </c>
      <c r="AN303" s="52">
        <f>SUM($L295:AN295)</f>
        <v>223863.26274773953</v>
      </c>
      <c r="AO303" s="52">
        <f>SUM($L295:AO295)</f>
        <v>223863.26274773953</v>
      </c>
      <c r="AP303" s="52">
        <f>SUM($L295:AP295)</f>
        <v>223863.26274773953</v>
      </c>
      <c r="AQ303" s="52">
        <f>SUM($L295:AQ295)</f>
        <v>223863.26274773953</v>
      </c>
      <c r="AR303" s="52">
        <f>SUM($L295:AR295)</f>
        <v>223863.26274773953</v>
      </c>
      <c r="AS303" s="52">
        <f>SUM($L295:AS295)</f>
        <v>223863.26274773953</v>
      </c>
      <c r="AT303" s="52">
        <f>SUM($L295:AT295)</f>
        <v>223863.26274773953</v>
      </c>
      <c r="AU303" s="52">
        <f>SUM($L295:AU295)</f>
        <v>223863.26274773953</v>
      </c>
      <c r="AV303" s="52">
        <f>SUM($L295:AV295)</f>
        <v>223863.26274773953</v>
      </c>
      <c r="AW303" s="52">
        <f>SUM($L295:AW295)</f>
        <v>223863.26274773953</v>
      </c>
      <c r="AX303" s="52">
        <f>SUM($L295:AX295)</f>
        <v>223863.26274773953</v>
      </c>
      <c r="AY303" s="52">
        <f>SUM($L295:AY295)</f>
        <v>223863.26274773953</v>
      </c>
      <c r="AZ303" s="52">
        <f>SUM($L295:AZ295)</f>
        <v>223863.26274773953</v>
      </c>
      <c r="BA303" s="52">
        <f>SUM($L295:BA295)</f>
        <v>223863.26274773953</v>
      </c>
      <c r="BB303" s="52">
        <f>SUM($L295:BB295)</f>
        <v>223863.26274773953</v>
      </c>
      <c r="BC303" s="52">
        <f>SUM($L295:BC295)</f>
        <v>223863.26274773953</v>
      </c>
      <c r="BD303" s="52">
        <f>SUM($L295:BD295)</f>
        <v>223863.26274773953</v>
      </c>
      <c r="BE303" s="52">
        <f>SUM($L295:BE295)</f>
        <v>223863.26274773953</v>
      </c>
      <c r="BF303" s="52">
        <f>SUM($L295:BF295)</f>
        <v>223863.26274773953</v>
      </c>
      <c r="BG303" s="52">
        <f>SUM($L295:BG295)</f>
        <v>223863.26274773953</v>
      </c>
      <c r="BH303" s="52">
        <f>SUM($L295:BH295)</f>
        <v>223863.26274773953</v>
      </c>
      <c r="BI303" s="52">
        <f>SUM($L295:BI295)</f>
        <v>223863.26274773953</v>
      </c>
      <c r="BJ303" s="52">
        <f>SUM($L295:BJ295)</f>
        <v>223863.26274773953</v>
      </c>
      <c r="BK303" s="52">
        <f>SUM($L295:BK295)</f>
        <v>223863.26274773953</v>
      </c>
      <c r="BL303" s="52">
        <f>SUM($L295:BL295)</f>
        <v>223863.26274773953</v>
      </c>
      <c r="BM303" s="52">
        <f>SUM($L295:BM295)</f>
        <v>223863.26274773953</v>
      </c>
      <c r="BN303" s="52">
        <f>SUM($L295:BN295)</f>
        <v>223863.26274773953</v>
      </c>
      <c r="BO303" s="52">
        <f>SUM($L295:BO295)</f>
        <v>223863.26274773953</v>
      </c>
      <c r="BP303" s="52">
        <f>SUM($L295:BP295)</f>
        <v>223863.26274773953</v>
      </c>
      <c r="BQ303" s="52">
        <f>SUM($L295:BQ295)</f>
        <v>223863.26274773953</v>
      </c>
      <c r="BR303" s="52">
        <f>SUM($L295:BR295)</f>
        <v>223863.26274773953</v>
      </c>
      <c r="BS303" s="52">
        <f>SUM($L295:BS295)</f>
        <v>223863.26274773953</v>
      </c>
      <c r="BT303" s="52">
        <f>SUM($L295:BT295)</f>
        <v>223863.26274773953</v>
      </c>
      <c r="BU303" s="52">
        <f>SUM($L295:BU295)</f>
        <v>223863.26274773953</v>
      </c>
      <c r="BV303" s="52">
        <f>SUM($L295:BV295)</f>
        <v>223863.26274773953</v>
      </c>
      <c r="BW303" s="52">
        <f>SUM($L295:BW295)</f>
        <v>223863.26274773953</v>
      </c>
      <c r="BX303" s="52">
        <f>SUM($L295:BX295)</f>
        <v>223863.26274773953</v>
      </c>
      <c r="BY303" s="52">
        <f>SUM($L295:BY295)</f>
        <v>223863.26274773953</v>
      </c>
      <c r="BZ303" s="52">
        <f>SUM($L295:BZ295)</f>
        <v>223863.26274773953</v>
      </c>
      <c r="CA303" s="52">
        <f>SUM($L295:CA295)</f>
        <v>223863.26274773953</v>
      </c>
      <c r="CB303" s="52">
        <f>SUM($L295:CB295)</f>
        <v>223863.26274773953</v>
      </c>
      <c r="CC303" s="52">
        <f>SUM($L295:CC295)</f>
        <v>223863.26274773953</v>
      </c>
      <c r="CD303" s="52">
        <f>SUM($L295:CD295)</f>
        <v>223863.26274773953</v>
      </c>
      <c r="CE303" s="52">
        <f>SUM($L295:CE295)</f>
        <v>223863.26274773953</v>
      </c>
      <c r="CF303" s="52">
        <f>SUM($L295:CF295)</f>
        <v>223863.26274773953</v>
      </c>
      <c r="CG303" s="52">
        <f>SUM($L295:CG295)</f>
        <v>223863.26274773953</v>
      </c>
      <c r="CH303" s="52">
        <f>SUM($L295:CH295)</f>
        <v>223863.26274773953</v>
      </c>
      <c r="CI303" s="52">
        <f>SUM($L295:CI295)</f>
        <v>223863.26274773953</v>
      </c>
      <c r="CJ303" s="52">
        <f>SUM($L295:CJ295)</f>
        <v>223863.26274773953</v>
      </c>
      <c r="CK303" s="52">
        <f>SUM($L295:CK295)</f>
        <v>223863.26274773953</v>
      </c>
      <c r="CL303" s="52">
        <f>SUM($L295:CL295)</f>
        <v>223863.26274773953</v>
      </c>
      <c r="CM303" s="52">
        <f>SUM($L295:CM295)</f>
        <v>223863.26274773953</v>
      </c>
      <c r="CN303" s="52">
        <f>SUM($L295:CN295)</f>
        <v>223863.26274773953</v>
      </c>
      <c r="CO303" s="52">
        <f>SUM($L295:CO295)</f>
        <v>223863.26274773953</v>
      </c>
    </row>
    <row r="304" spans="1:93">
      <c r="A304" s="77"/>
      <c r="B304" s="10"/>
      <c r="C304" s="21" t="s">
        <v>55</v>
      </c>
      <c r="D304" s="10"/>
      <c r="E304" s="62"/>
      <c r="F304" s="11"/>
      <c r="G304" s="134" t="str">
        <f t="shared" si="456"/>
        <v>тыс. руб.</v>
      </c>
      <c r="H304" s="10"/>
      <c r="I304" s="10"/>
      <c r="J304" s="10"/>
      <c r="K304" s="10"/>
      <c r="L304" s="52">
        <f ca="1">SUM($L296:L296)</f>
        <v>0</v>
      </c>
      <c r="M304" s="52">
        <f ca="1">SUM($L296:M296)</f>
        <v>0</v>
      </c>
      <c r="N304" s="52">
        <f ca="1">SUM($L296:N296)</f>
        <v>0</v>
      </c>
      <c r="O304" s="52">
        <f ca="1">SUM($L296:O296)</f>
        <v>0</v>
      </c>
      <c r="P304" s="52">
        <f ca="1">SUM($L296:P296)</f>
        <v>0</v>
      </c>
      <c r="Q304" s="52">
        <f ca="1">SUM($L296:Q296)</f>
        <v>0</v>
      </c>
      <c r="R304" s="52">
        <f ca="1">SUM($L296:R296)</f>
        <v>0</v>
      </c>
      <c r="S304" s="52">
        <f ca="1">SUM($L296:S296)</f>
        <v>0</v>
      </c>
      <c r="T304" s="52">
        <f ca="1">SUM($L296:T296)</f>
        <v>0</v>
      </c>
      <c r="U304" s="52">
        <f ca="1">SUM($L296:U296)</f>
        <v>0</v>
      </c>
      <c r="V304" s="52">
        <f ca="1">SUM($L296:V296)</f>
        <v>0</v>
      </c>
      <c r="W304" s="52">
        <f ca="1">SUM($L296:W296)</f>
        <v>0</v>
      </c>
      <c r="X304" s="52">
        <f ca="1">SUM($L296:X296)</f>
        <v>0</v>
      </c>
      <c r="Y304" s="52">
        <f ca="1">SUM($L296:Y296)</f>
        <v>0</v>
      </c>
      <c r="Z304" s="52">
        <f ca="1">SUM($L296:Z296)</f>
        <v>0</v>
      </c>
      <c r="AA304" s="52">
        <f ca="1">SUM($L296:AA296)</f>
        <v>0</v>
      </c>
      <c r="AB304" s="52">
        <f ca="1">SUM($L296:AB296)</f>
        <v>0</v>
      </c>
      <c r="AC304" s="52">
        <f ca="1">SUM($L296:AC296)</f>
        <v>0</v>
      </c>
      <c r="AD304" s="52">
        <f ca="1">SUM($L296:AD296)</f>
        <v>0</v>
      </c>
      <c r="AE304" s="52">
        <f ca="1">SUM($L296:AE296)</f>
        <v>0</v>
      </c>
      <c r="AF304" s="52">
        <f ca="1">SUM($L296:AF296)</f>
        <v>0</v>
      </c>
      <c r="AG304" s="52">
        <f ca="1">SUM($L296:AG296)</f>
        <v>0</v>
      </c>
      <c r="AH304" s="52">
        <f ca="1">SUM($L296:AH296)</f>
        <v>0</v>
      </c>
      <c r="AI304" s="52">
        <f ca="1">SUM($L296:AI296)</f>
        <v>0</v>
      </c>
      <c r="AJ304" s="52">
        <f ca="1">SUM($L296:AJ296)</f>
        <v>0</v>
      </c>
      <c r="AK304" s="52">
        <f ca="1">SUM($L296:AK296)</f>
        <v>0</v>
      </c>
      <c r="AL304" s="52">
        <f ca="1">SUM($L296:AL296)</f>
        <v>0</v>
      </c>
      <c r="AM304" s="52">
        <f ca="1">SUM($L296:AM296)</f>
        <v>0</v>
      </c>
      <c r="AN304" s="52">
        <f ca="1">SUM($L296:AN296)</f>
        <v>0</v>
      </c>
      <c r="AO304" s="52">
        <f ca="1">SUM($L296:AO296)</f>
        <v>0</v>
      </c>
      <c r="AP304" s="52">
        <f ca="1">SUM($L296:AP296)</f>
        <v>0</v>
      </c>
      <c r="AQ304" s="52">
        <f ca="1">SUM($L296:AQ296)</f>
        <v>0</v>
      </c>
      <c r="AR304" s="52">
        <f ca="1">SUM($L296:AR296)</f>
        <v>0</v>
      </c>
      <c r="AS304" s="52">
        <f ca="1">SUM($L296:AS296)</f>
        <v>0</v>
      </c>
      <c r="AT304" s="52">
        <f ca="1">SUM($L296:AT296)</f>
        <v>0</v>
      </c>
      <c r="AU304" s="52">
        <f ca="1">SUM($L296:AU296)</f>
        <v>0</v>
      </c>
      <c r="AV304" s="52">
        <f ca="1">SUM($L296:AV296)</f>
        <v>0</v>
      </c>
      <c r="AW304" s="52">
        <f ca="1">SUM($L296:AW296)</f>
        <v>0</v>
      </c>
      <c r="AX304" s="52">
        <f ca="1">SUM($L296:AX296)</f>
        <v>0</v>
      </c>
      <c r="AY304" s="52">
        <f ca="1">SUM($L296:AY296)</f>
        <v>0</v>
      </c>
      <c r="AZ304" s="52">
        <f ca="1">SUM($L296:AZ296)</f>
        <v>0</v>
      </c>
      <c r="BA304" s="52">
        <f ca="1">SUM($L296:BA296)</f>
        <v>0</v>
      </c>
      <c r="BB304" s="52">
        <f ca="1">SUM($L296:BB296)</f>
        <v>0</v>
      </c>
      <c r="BC304" s="52">
        <f ca="1">SUM($L296:BC296)</f>
        <v>0</v>
      </c>
      <c r="BD304" s="52">
        <f ca="1">SUM($L296:BD296)</f>
        <v>0</v>
      </c>
      <c r="BE304" s="52">
        <f ca="1">SUM($L296:BE296)</f>
        <v>0</v>
      </c>
      <c r="BF304" s="52">
        <f ca="1">SUM($L296:BF296)</f>
        <v>0</v>
      </c>
      <c r="BG304" s="52">
        <f ca="1">SUM($L296:BG296)</f>
        <v>0</v>
      </c>
      <c r="BH304" s="52">
        <f ca="1">SUM($L296:BH296)</f>
        <v>0</v>
      </c>
      <c r="BI304" s="52">
        <f ca="1">SUM($L296:BI296)</f>
        <v>0</v>
      </c>
      <c r="BJ304" s="52">
        <f ca="1">SUM($L296:BJ296)</f>
        <v>0</v>
      </c>
      <c r="BK304" s="52">
        <f ca="1">SUM($L296:BK296)</f>
        <v>0</v>
      </c>
      <c r="BL304" s="52">
        <f ca="1">SUM($L296:BL296)</f>
        <v>0</v>
      </c>
      <c r="BM304" s="52">
        <f ca="1">SUM($L296:BM296)</f>
        <v>0</v>
      </c>
      <c r="BN304" s="52">
        <f ca="1">SUM($L296:BN296)</f>
        <v>0</v>
      </c>
      <c r="BO304" s="52">
        <f ca="1">SUM($L296:BO296)</f>
        <v>0</v>
      </c>
      <c r="BP304" s="52">
        <f ca="1">SUM($L296:BP296)</f>
        <v>0</v>
      </c>
      <c r="BQ304" s="52">
        <f ca="1">SUM($L296:BQ296)</f>
        <v>0</v>
      </c>
      <c r="BR304" s="52">
        <f ca="1">SUM($L296:BR296)</f>
        <v>0</v>
      </c>
      <c r="BS304" s="52">
        <f ca="1">SUM($L296:BS296)</f>
        <v>0</v>
      </c>
      <c r="BT304" s="52">
        <f ca="1">SUM($L296:BT296)</f>
        <v>0</v>
      </c>
      <c r="BU304" s="52">
        <f ca="1">SUM($L296:BU296)</f>
        <v>0</v>
      </c>
      <c r="BV304" s="52">
        <f ca="1">SUM($L296:BV296)</f>
        <v>0</v>
      </c>
      <c r="BW304" s="52">
        <f ca="1">SUM($L296:BW296)</f>
        <v>0</v>
      </c>
      <c r="BX304" s="52">
        <f ca="1">SUM($L296:BX296)</f>
        <v>0</v>
      </c>
      <c r="BY304" s="52">
        <f ca="1">SUM($L296:BY296)</f>
        <v>0</v>
      </c>
      <c r="BZ304" s="52">
        <f ca="1">SUM($L296:BZ296)</f>
        <v>0</v>
      </c>
      <c r="CA304" s="52">
        <f ca="1">SUM($L296:CA296)</f>
        <v>0</v>
      </c>
      <c r="CB304" s="52">
        <f ca="1">SUM($L296:CB296)</f>
        <v>0</v>
      </c>
      <c r="CC304" s="52">
        <f ca="1">SUM($L296:CC296)</f>
        <v>0</v>
      </c>
      <c r="CD304" s="52">
        <f ca="1">SUM($L296:CD296)</f>
        <v>0</v>
      </c>
      <c r="CE304" s="52">
        <f ca="1">SUM($L296:CE296)</f>
        <v>0</v>
      </c>
      <c r="CF304" s="52">
        <f ca="1">SUM($L296:CF296)</f>
        <v>0</v>
      </c>
      <c r="CG304" s="52">
        <f ca="1">SUM($L296:CG296)</f>
        <v>0</v>
      </c>
      <c r="CH304" s="52">
        <f ca="1">SUM($L296:CH296)</f>
        <v>0</v>
      </c>
      <c r="CI304" s="52">
        <f ca="1">SUM($L296:CI296)</f>
        <v>0</v>
      </c>
      <c r="CJ304" s="52">
        <f ca="1">SUM($L296:CJ296)</f>
        <v>0</v>
      </c>
      <c r="CK304" s="52">
        <f ca="1">SUM($L296:CK296)</f>
        <v>0</v>
      </c>
      <c r="CL304" s="52">
        <f ca="1">SUM($L296:CL296)</f>
        <v>0</v>
      </c>
      <c r="CM304" s="52">
        <f ca="1">SUM($L296:CM296)</f>
        <v>0</v>
      </c>
      <c r="CN304" s="52">
        <f ca="1">SUM($L296:CN296)</f>
        <v>0</v>
      </c>
      <c r="CO304" s="52">
        <f ca="1">SUM($L296:CO296)</f>
        <v>0</v>
      </c>
    </row>
    <row r="305" spans="1:93">
      <c r="A305" s="77"/>
      <c r="B305" s="10"/>
      <c r="C305" s="21" t="s">
        <v>56</v>
      </c>
      <c r="D305" s="10"/>
      <c r="E305" s="62"/>
      <c r="F305" s="11"/>
      <c r="G305" s="134" t="str">
        <f t="shared" si="456"/>
        <v>тыс. руб.</v>
      </c>
      <c r="H305" s="10"/>
      <c r="I305" s="10"/>
      <c r="J305" s="10"/>
      <c r="K305" s="10"/>
      <c r="L305" s="52">
        <f>SUM($L297:L297)</f>
        <v>0</v>
      </c>
      <c r="M305" s="52">
        <f ca="1">SUM($L297:M297)</f>
        <v>0</v>
      </c>
      <c r="N305" s="52">
        <f ca="1">SUM($L297:N297)</f>
        <v>0</v>
      </c>
      <c r="O305" s="52">
        <f ca="1">SUM($L297:O297)</f>
        <v>0</v>
      </c>
      <c r="P305" s="52">
        <f ca="1">SUM($L297:P297)</f>
        <v>0</v>
      </c>
      <c r="Q305" s="52">
        <f ca="1">SUM($L297:Q297)</f>
        <v>0</v>
      </c>
      <c r="R305" s="52">
        <f ca="1">SUM($L297:R297)</f>
        <v>0</v>
      </c>
      <c r="S305" s="52">
        <f ca="1">SUM($L297:S297)</f>
        <v>0</v>
      </c>
      <c r="T305" s="52">
        <f ca="1">SUM($L297:T297)</f>
        <v>0</v>
      </c>
      <c r="U305" s="52">
        <f ca="1">SUM($L297:U297)</f>
        <v>2032.1389863481136</v>
      </c>
      <c r="V305" s="52">
        <f ca="1">SUM($L297:V297)</f>
        <v>3945.6533603328803</v>
      </c>
      <c r="W305" s="52">
        <f ca="1">SUM($L297:W297)</f>
        <v>5716.8230294006007</v>
      </c>
      <c r="X305" s="52">
        <f ca="1">SUM($L297:X297)</f>
        <v>7322.1578619421562</v>
      </c>
      <c r="Y305" s="52">
        <f ca="1">SUM($L297:Y297)</f>
        <v>8653.3175340468479</v>
      </c>
      <c r="Z305" s="52">
        <f ca="1">SUM($L297:Z297)</f>
        <v>9719.1860133421251</v>
      </c>
      <c r="AA305" s="52">
        <f ca="1">SUM($L297:AA297)</f>
        <v>10502.377012691642</v>
      </c>
      <c r="AB305" s="52">
        <f ca="1">SUM($L297:AB297)</f>
        <v>10990.619012601321</v>
      </c>
      <c r="AC305" s="52">
        <f ca="1">SUM($L297:AC297)</f>
        <v>10990.619012601321</v>
      </c>
      <c r="AD305" s="52">
        <f ca="1">SUM($L297:AD297)</f>
        <v>10990.619012601321</v>
      </c>
      <c r="AE305" s="52">
        <f ca="1">SUM($L297:AE297)</f>
        <v>10990.619012601321</v>
      </c>
      <c r="AF305" s="52">
        <f ca="1">SUM($L297:AF297)</f>
        <v>10990.619012601321</v>
      </c>
      <c r="AG305" s="52">
        <f ca="1">SUM($L297:AG297)</f>
        <v>10990.619012601321</v>
      </c>
      <c r="AH305" s="52">
        <f ca="1">SUM($L297:AH297)</f>
        <v>10990.619012601321</v>
      </c>
      <c r="AI305" s="52">
        <f ca="1">SUM($L297:AI297)</f>
        <v>10990.619012601321</v>
      </c>
      <c r="AJ305" s="52">
        <f ca="1">SUM($L297:AJ297)</f>
        <v>10990.619012601321</v>
      </c>
      <c r="AK305" s="52">
        <f ca="1">SUM($L297:AK297)</f>
        <v>10990.619012601321</v>
      </c>
      <c r="AL305" s="52">
        <f ca="1">SUM($L297:AL297)</f>
        <v>10990.619012601321</v>
      </c>
      <c r="AM305" s="52">
        <f ca="1">SUM($L297:AM297)</f>
        <v>10990.619012601321</v>
      </c>
      <c r="AN305" s="52">
        <f ca="1">SUM($L297:AN297)</f>
        <v>10990.619012601321</v>
      </c>
      <c r="AO305" s="52">
        <f ca="1">SUM($L297:AO297)</f>
        <v>10990.619012601321</v>
      </c>
      <c r="AP305" s="52">
        <f ca="1">SUM($L297:AP297)</f>
        <v>10990.619012601321</v>
      </c>
      <c r="AQ305" s="52">
        <f ca="1">SUM($L297:AQ297)</f>
        <v>10990.619012601321</v>
      </c>
      <c r="AR305" s="52">
        <f ca="1">SUM($L297:AR297)</f>
        <v>10990.619012601321</v>
      </c>
      <c r="AS305" s="52">
        <f ca="1">SUM($L297:AS297)</f>
        <v>10990.619012601321</v>
      </c>
      <c r="AT305" s="52">
        <f ca="1">SUM($L297:AT297)</f>
        <v>10990.619012601321</v>
      </c>
      <c r="AU305" s="52">
        <f ca="1">SUM($L297:AU297)</f>
        <v>10990.619012601321</v>
      </c>
      <c r="AV305" s="52">
        <f ca="1">SUM($L297:AV297)</f>
        <v>10990.619012601321</v>
      </c>
      <c r="AW305" s="52">
        <f ca="1">SUM($L297:AW297)</f>
        <v>10990.619012601321</v>
      </c>
      <c r="AX305" s="52">
        <f ca="1">SUM($L297:AX297)</f>
        <v>10990.619012601321</v>
      </c>
      <c r="AY305" s="52">
        <f ca="1">SUM($L297:AY297)</f>
        <v>10990.619012601321</v>
      </c>
      <c r="AZ305" s="52">
        <f ca="1">SUM($L297:AZ297)</f>
        <v>10990.619012601321</v>
      </c>
      <c r="BA305" s="52">
        <f ca="1">SUM($L297:BA297)</f>
        <v>10990.619012601321</v>
      </c>
      <c r="BB305" s="52">
        <f ca="1">SUM($L297:BB297)</f>
        <v>10990.619012601321</v>
      </c>
      <c r="BC305" s="52">
        <f ca="1">SUM($L297:BC297)</f>
        <v>10990.619012601321</v>
      </c>
      <c r="BD305" s="52">
        <f ca="1">SUM($L297:BD297)</f>
        <v>10990.619012601321</v>
      </c>
      <c r="BE305" s="52">
        <f ca="1">SUM($L297:BE297)</f>
        <v>10990.619012601321</v>
      </c>
      <c r="BF305" s="52">
        <f ca="1">SUM($L297:BF297)</f>
        <v>10990.619012601321</v>
      </c>
      <c r="BG305" s="52">
        <f ca="1">SUM($L297:BG297)</f>
        <v>10990.619012601321</v>
      </c>
      <c r="BH305" s="52">
        <f ca="1">SUM($L297:BH297)</f>
        <v>10990.619012601321</v>
      </c>
      <c r="BI305" s="52">
        <f ca="1">SUM($L297:BI297)</f>
        <v>10990.619012601321</v>
      </c>
      <c r="BJ305" s="52">
        <f ca="1">SUM($L297:BJ297)</f>
        <v>10990.619012601321</v>
      </c>
      <c r="BK305" s="52">
        <f ca="1">SUM($L297:BK297)</f>
        <v>10990.619012601321</v>
      </c>
      <c r="BL305" s="52">
        <f ca="1">SUM($L297:BL297)</f>
        <v>10990.619012601321</v>
      </c>
      <c r="BM305" s="52">
        <f ca="1">SUM($L297:BM297)</f>
        <v>10990.619012601321</v>
      </c>
      <c r="BN305" s="52">
        <f ca="1">SUM($L297:BN297)</f>
        <v>10990.619012601321</v>
      </c>
      <c r="BO305" s="52">
        <f ca="1">SUM($L297:BO297)</f>
        <v>10990.619012601321</v>
      </c>
      <c r="BP305" s="52">
        <f ca="1">SUM($L297:BP297)</f>
        <v>10990.619012601321</v>
      </c>
      <c r="BQ305" s="52">
        <f ca="1">SUM($L297:BQ297)</f>
        <v>10990.619012601321</v>
      </c>
      <c r="BR305" s="52">
        <f ca="1">SUM($L297:BR297)</f>
        <v>10990.619012601321</v>
      </c>
      <c r="BS305" s="52">
        <f ca="1">SUM($L297:BS297)</f>
        <v>10990.619012601321</v>
      </c>
      <c r="BT305" s="52">
        <f ca="1">SUM($L297:BT297)</f>
        <v>10990.619012601321</v>
      </c>
      <c r="BU305" s="52">
        <f ca="1">SUM($L297:BU297)</f>
        <v>10990.619012601321</v>
      </c>
      <c r="BV305" s="52">
        <f ca="1">SUM($L297:BV297)</f>
        <v>10990.619012601321</v>
      </c>
      <c r="BW305" s="52">
        <f ca="1">SUM($L297:BW297)</f>
        <v>10990.619012601321</v>
      </c>
      <c r="BX305" s="52">
        <f ca="1">SUM($L297:BX297)</f>
        <v>10990.619012601321</v>
      </c>
      <c r="BY305" s="52">
        <f ca="1">SUM($L297:BY297)</f>
        <v>10990.619012601321</v>
      </c>
      <c r="BZ305" s="52">
        <f ca="1">SUM($L297:BZ297)</f>
        <v>10990.619012601321</v>
      </c>
      <c r="CA305" s="52">
        <f ca="1">SUM($L297:CA297)</f>
        <v>10990.619012601321</v>
      </c>
      <c r="CB305" s="52">
        <f ca="1">SUM($L297:CB297)</f>
        <v>10990.619012601321</v>
      </c>
      <c r="CC305" s="52">
        <f ca="1">SUM($L297:CC297)</f>
        <v>10990.619012601321</v>
      </c>
      <c r="CD305" s="52">
        <f ca="1">SUM($L297:CD297)</f>
        <v>10990.619012601321</v>
      </c>
      <c r="CE305" s="52">
        <f ca="1">SUM($L297:CE297)</f>
        <v>10990.619012601321</v>
      </c>
      <c r="CF305" s="52">
        <f ca="1">SUM($L297:CF297)</f>
        <v>10990.619012601321</v>
      </c>
      <c r="CG305" s="52">
        <f ca="1">SUM($L297:CG297)</f>
        <v>10990.619012601321</v>
      </c>
      <c r="CH305" s="52">
        <f ca="1">SUM($L297:CH297)</f>
        <v>10990.619012601321</v>
      </c>
      <c r="CI305" s="52">
        <f ca="1">SUM($L297:CI297)</f>
        <v>10990.619012601321</v>
      </c>
      <c r="CJ305" s="52">
        <f ca="1">SUM($L297:CJ297)</f>
        <v>10990.619012601321</v>
      </c>
      <c r="CK305" s="52">
        <f ca="1">SUM($L297:CK297)</f>
        <v>10990.619012601321</v>
      </c>
      <c r="CL305" s="52">
        <f ca="1">SUM($L297:CL297)</f>
        <v>10990.619012601321</v>
      </c>
      <c r="CM305" s="52">
        <f ca="1">SUM($L297:CM297)</f>
        <v>10990.619012601321</v>
      </c>
      <c r="CN305" s="52">
        <f ca="1">SUM($L297:CN297)</f>
        <v>10990.619012601321</v>
      </c>
      <c r="CO305" s="52">
        <f ca="1">SUM($L297:CO297)</f>
        <v>10990.619012601321</v>
      </c>
    </row>
    <row r="306" spans="1:93" ht="15.75" thickBot="1">
      <c r="A306" s="77"/>
      <c r="B306" s="10"/>
      <c r="C306" s="21" t="s">
        <v>57</v>
      </c>
      <c r="D306" s="10"/>
      <c r="E306" s="62"/>
      <c r="F306" s="11"/>
      <c r="G306" s="134" t="str">
        <f t="shared" si="456"/>
        <v>тыс. руб.</v>
      </c>
      <c r="H306" s="10"/>
      <c r="I306" s="10"/>
      <c r="J306" s="10"/>
      <c r="K306" s="10"/>
      <c r="L306" s="52">
        <f ca="1">SUM($L298:L298)</f>
        <v>0</v>
      </c>
      <c r="M306" s="52">
        <f ca="1">SUM($L298:M298)</f>
        <v>0</v>
      </c>
      <c r="N306" s="52">
        <f ca="1">SUM($L298:N298)</f>
        <v>0</v>
      </c>
      <c r="O306" s="52">
        <f ca="1">SUM($L298:O298)</f>
        <v>0</v>
      </c>
      <c r="P306" s="52">
        <f ca="1">SUM($L298:P298)</f>
        <v>0</v>
      </c>
      <c r="Q306" s="52">
        <f ca="1">SUM($L298:Q298)</f>
        <v>0</v>
      </c>
      <c r="R306" s="52">
        <f ca="1">SUM($L298:R298)</f>
        <v>0</v>
      </c>
      <c r="S306" s="52">
        <f ca="1">SUM($L298:S298)</f>
        <v>0</v>
      </c>
      <c r="T306" s="52">
        <f ca="1">SUM($L298:T298)</f>
        <v>0</v>
      </c>
      <c r="U306" s="52">
        <f ca="1">SUM($L298:U298)</f>
        <v>0</v>
      </c>
      <c r="V306" s="52">
        <f ca="1">SUM($L298:V298)</f>
        <v>0</v>
      </c>
      <c r="W306" s="52">
        <f ca="1">SUM($L298:W298)</f>
        <v>0</v>
      </c>
      <c r="X306" s="52">
        <f ca="1">SUM($L298:X298)</f>
        <v>0</v>
      </c>
      <c r="Y306" s="52">
        <f ca="1">SUM($L298:Y298)</f>
        <v>0</v>
      </c>
      <c r="Z306" s="52">
        <f ca="1">SUM($L298:Z298)</f>
        <v>0</v>
      </c>
      <c r="AA306" s="52">
        <f ca="1">SUM($L298:AA298)</f>
        <v>0</v>
      </c>
      <c r="AB306" s="52">
        <f ca="1">SUM($L298:AB298)</f>
        <v>0</v>
      </c>
      <c r="AC306" s="52">
        <f ca="1">SUM($L298:AC298)</f>
        <v>0</v>
      </c>
      <c r="AD306" s="52">
        <f ca="1">SUM($L298:AD298)</f>
        <v>0</v>
      </c>
      <c r="AE306" s="52">
        <f ca="1">SUM($L298:AE298)</f>
        <v>0</v>
      </c>
      <c r="AF306" s="52">
        <f ca="1">SUM($L298:AF298)</f>
        <v>0</v>
      </c>
      <c r="AG306" s="52">
        <f ca="1">SUM($L298:AG298)</f>
        <v>0</v>
      </c>
      <c r="AH306" s="52">
        <f ca="1">SUM($L298:AH298)</f>
        <v>0</v>
      </c>
      <c r="AI306" s="52">
        <f ca="1">SUM($L298:AI298)</f>
        <v>0</v>
      </c>
      <c r="AJ306" s="52">
        <f ca="1">SUM($L298:AJ298)</f>
        <v>0</v>
      </c>
      <c r="AK306" s="52">
        <f ca="1">SUM($L298:AK298)</f>
        <v>0</v>
      </c>
      <c r="AL306" s="52">
        <f ca="1">SUM($L298:AL298)</f>
        <v>0</v>
      </c>
      <c r="AM306" s="52">
        <f ca="1">SUM($L298:AM298)</f>
        <v>0</v>
      </c>
      <c r="AN306" s="52">
        <f ca="1">SUM($L298:AN298)</f>
        <v>0</v>
      </c>
      <c r="AO306" s="52">
        <f ca="1">SUM($L298:AO298)</f>
        <v>0</v>
      </c>
      <c r="AP306" s="52">
        <f ca="1">SUM($L298:AP298)</f>
        <v>0</v>
      </c>
      <c r="AQ306" s="52">
        <f ca="1">SUM($L298:AQ298)</f>
        <v>0</v>
      </c>
      <c r="AR306" s="52">
        <f ca="1">SUM($L298:AR298)</f>
        <v>0</v>
      </c>
      <c r="AS306" s="52">
        <f ca="1">SUM($L298:AS298)</f>
        <v>0</v>
      </c>
      <c r="AT306" s="52">
        <f ca="1">SUM($L298:AT298)</f>
        <v>0</v>
      </c>
      <c r="AU306" s="52">
        <f ca="1">SUM($L298:AU298)</f>
        <v>0</v>
      </c>
      <c r="AV306" s="52">
        <f ca="1">SUM($L298:AV298)</f>
        <v>0</v>
      </c>
      <c r="AW306" s="52">
        <f ca="1">SUM($L298:AW298)</f>
        <v>0</v>
      </c>
      <c r="AX306" s="52">
        <f ca="1">SUM($L298:AX298)</f>
        <v>0</v>
      </c>
      <c r="AY306" s="52">
        <f ca="1">SUM($L298:AY298)</f>
        <v>0</v>
      </c>
      <c r="AZ306" s="52">
        <f ca="1">SUM($L298:AZ298)</f>
        <v>0</v>
      </c>
      <c r="BA306" s="52">
        <f ca="1">SUM($L298:BA298)</f>
        <v>0</v>
      </c>
      <c r="BB306" s="52">
        <f ca="1">SUM($L298:BB298)</f>
        <v>0</v>
      </c>
      <c r="BC306" s="52">
        <f ca="1">SUM($L298:BC298)</f>
        <v>0</v>
      </c>
      <c r="BD306" s="52">
        <f ca="1">SUM($L298:BD298)</f>
        <v>0</v>
      </c>
      <c r="BE306" s="52">
        <f ca="1">SUM($L298:BE298)</f>
        <v>0</v>
      </c>
      <c r="BF306" s="52">
        <f ca="1">SUM($L298:BF298)</f>
        <v>0</v>
      </c>
      <c r="BG306" s="52">
        <f ca="1">SUM($L298:BG298)</f>
        <v>0</v>
      </c>
      <c r="BH306" s="52">
        <f ca="1">SUM($L298:BH298)</f>
        <v>0</v>
      </c>
      <c r="BI306" s="52">
        <f ca="1">SUM($L298:BI298)</f>
        <v>0</v>
      </c>
      <c r="BJ306" s="52">
        <f ca="1">SUM($L298:BJ298)</f>
        <v>0</v>
      </c>
      <c r="BK306" s="52">
        <f ca="1">SUM($L298:BK298)</f>
        <v>0</v>
      </c>
      <c r="BL306" s="52">
        <f ca="1">SUM($L298:BL298)</f>
        <v>0</v>
      </c>
      <c r="BM306" s="52">
        <f ca="1">SUM($L298:BM298)</f>
        <v>0</v>
      </c>
      <c r="BN306" s="52">
        <f ca="1">SUM($L298:BN298)</f>
        <v>0</v>
      </c>
      <c r="BO306" s="52">
        <f ca="1">SUM($L298:BO298)</f>
        <v>0</v>
      </c>
      <c r="BP306" s="52">
        <f ca="1">SUM($L298:BP298)</f>
        <v>0</v>
      </c>
      <c r="BQ306" s="52">
        <f ca="1">SUM($L298:BQ298)</f>
        <v>0</v>
      </c>
      <c r="BR306" s="52">
        <f ca="1">SUM($L298:BR298)</f>
        <v>0</v>
      </c>
      <c r="BS306" s="52">
        <f ca="1">SUM($L298:BS298)</f>
        <v>0</v>
      </c>
      <c r="BT306" s="52">
        <f ca="1">SUM($L298:BT298)</f>
        <v>0</v>
      </c>
      <c r="BU306" s="52">
        <f ca="1">SUM($L298:BU298)</f>
        <v>0</v>
      </c>
      <c r="BV306" s="52">
        <f ca="1">SUM($L298:BV298)</f>
        <v>0</v>
      </c>
      <c r="BW306" s="52">
        <f ca="1">SUM($L298:BW298)</f>
        <v>0</v>
      </c>
      <c r="BX306" s="52">
        <f ca="1">SUM($L298:BX298)</f>
        <v>0</v>
      </c>
      <c r="BY306" s="52">
        <f ca="1">SUM($L298:BY298)</f>
        <v>0</v>
      </c>
      <c r="BZ306" s="52">
        <f ca="1">SUM($L298:BZ298)</f>
        <v>0</v>
      </c>
      <c r="CA306" s="52">
        <f ca="1">SUM($L298:CA298)</f>
        <v>0</v>
      </c>
      <c r="CB306" s="52">
        <f ca="1">SUM($L298:CB298)</f>
        <v>0</v>
      </c>
      <c r="CC306" s="52">
        <f ca="1">SUM($L298:CC298)</f>
        <v>0</v>
      </c>
      <c r="CD306" s="52">
        <f ca="1">SUM($L298:CD298)</f>
        <v>0</v>
      </c>
      <c r="CE306" s="52">
        <f ca="1">SUM($L298:CE298)</f>
        <v>0</v>
      </c>
      <c r="CF306" s="52">
        <f ca="1">SUM($L298:CF298)</f>
        <v>0</v>
      </c>
      <c r="CG306" s="52">
        <f ca="1">SUM($L298:CG298)</f>
        <v>0</v>
      </c>
      <c r="CH306" s="52">
        <f ca="1">SUM($L298:CH298)</f>
        <v>0</v>
      </c>
      <c r="CI306" s="52">
        <f ca="1">SUM($L298:CI298)</f>
        <v>0</v>
      </c>
      <c r="CJ306" s="52">
        <f ca="1">SUM($L298:CJ298)</f>
        <v>0</v>
      </c>
      <c r="CK306" s="52">
        <f ca="1">SUM($L298:CK298)</f>
        <v>0</v>
      </c>
      <c r="CL306" s="52">
        <f ca="1">SUM($L298:CL298)</f>
        <v>0</v>
      </c>
      <c r="CM306" s="52">
        <f ca="1">SUM($L298:CM298)</f>
        <v>0</v>
      </c>
      <c r="CN306" s="52">
        <f ca="1">SUM($L298:CN298)</f>
        <v>0</v>
      </c>
      <c r="CO306" s="52">
        <f ca="1">SUM($L298:CO298)</f>
        <v>0</v>
      </c>
    </row>
    <row r="307" spans="1:93" ht="15.75" thickTop="1">
      <c r="A307" s="172"/>
      <c r="B307" s="35"/>
      <c r="C307" s="173" t="s">
        <v>60</v>
      </c>
      <c r="D307" s="49"/>
      <c r="E307" s="49"/>
      <c r="F307" s="49"/>
      <c r="G307" s="159" t="str">
        <f t="shared" si="456"/>
        <v>тыс. руб.</v>
      </c>
      <c r="H307" s="49"/>
      <c r="I307" s="49"/>
      <c r="J307" s="49"/>
      <c r="K307" s="49"/>
      <c r="L307" s="49">
        <f t="shared" ref="L307:Q307" ca="1" si="457">SUM(L302:L306)</f>
        <v>261.90161609928646</v>
      </c>
      <c r="M307" s="49">
        <f t="shared" ca="1" si="457"/>
        <v>1073.8076536623917</v>
      </c>
      <c r="N307" s="49">
        <f t="shared" ca="1" si="457"/>
        <v>2484.5092302593239</v>
      </c>
      <c r="O307" s="49">
        <f t="shared" ca="1" si="457"/>
        <v>4524.5426084340534</v>
      </c>
      <c r="P307" s="49">
        <f t="shared" ca="1" si="457"/>
        <v>8084.3018281185787</v>
      </c>
      <c r="Q307" s="49">
        <f t="shared" ca="1" si="457"/>
        <v>15383.139437312577</v>
      </c>
      <c r="R307" s="49">
        <f ca="1">SUM(R302:R306)</f>
        <v>26688.595059163796</v>
      </c>
      <c r="S307" s="49">
        <f t="shared" ref="S307:CD307" ca="1" si="458">SUM(S302:S306)</f>
        <v>42117.8317947002</v>
      </c>
      <c r="T307" s="49">
        <f t="shared" ca="1" si="458"/>
        <v>58346.010682531196</v>
      </c>
      <c r="U307" s="49">
        <f t="shared" ca="1" si="458"/>
        <v>80118.418782633773</v>
      </c>
      <c r="V307" s="49">
        <f t="shared" ca="1" si="458"/>
        <v>105302.54455848457</v>
      </c>
      <c r="W307" s="49">
        <f t="shared" ca="1" si="458"/>
        <v>133756.53129072057</v>
      </c>
      <c r="X307" s="49">
        <f t="shared" ca="1" si="458"/>
        <v>166362.51681810417</v>
      </c>
      <c r="Y307" s="49">
        <f t="shared" ca="1" si="458"/>
        <v>204713.45150677839</v>
      </c>
      <c r="Z307" s="49">
        <f t="shared" ca="1" si="458"/>
        <v>249457.55917545283</v>
      </c>
      <c r="AA307" s="49">
        <f t="shared" ca="1" si="458"/>
        <v>300350.83340091899</v>
      </c>
      <c r="AB307" s="49">
        <f t="shared" ca="1" si="458"/>
        <v>358387.65550328605</v>
      </c>
      <c r="AC307" s="49">
        <f t="shared" ca="1" si="458"/>
        <v>358387.65550328605</v>
      </c>
      <c r="AD307" s="49">
        <f t="shared" ca="1" si="458"/>
        <v>358387.65550328605</v>
      </c>
      <c r="AE307" s="49">
        <f t="shared" ca="1" si="458"/>
        <v>358387.65550328605</v>
      </c>
      <c r="AF307" s="49">
        <f t="shared" ca="1" si="458"/>
        <v>358387.65550328605</v>
      </c>
      <c r="AG307" s="49">
        <f t="shared" ca="1" si="458"/>
        <v>358387.65550328605</v>
      </c>
      <c r="AH307" s="49">
        <f t="shared" ca="1" si="458"/>
        <v>358387.65550328605</v>
      </c>
      <c r="AI307" s="49">
        <f t="shared" ca="1" si="458"/>
        <v>358387.65550328605</v>
      </c>
      <c r="AJ307" s="49">
        <f t="shared" ca="1" si="458"/>
        <v>358387.65550328605</v>
      </c>
      <c r="AK307" s="49">
        <f t="shared" ca="1" si="458"/>
        <v>358387.65550328605</v>
      </c>
      <c r="AL307" s="49">
        <f t="shared" ca="1" si="458"/>
        <v>358387.65550328605</v>
      </c>
      <c r="AM307" s="49">
        <f t="shared" ca="1" si="458"/>
        <v>358387.65550328605</v>
      </c>
      <c r="AN307" s="49">
        <f t="shared" ca="1" si="458"/>
        <v>358387.65550328605</v>
      </c>
      <c r="AO307" s="49">
        <f t="shared" ca="1" si="458"/>
        <v>358387.65550328605</v>
      </c>
      <c r="AP307" s="49">
        <f t="shared" ca="1" si="458"/>
        <v>358387.65550328605</v>
      </c>
      <c r="AQ307" s="49">
        <f t="shared" ca="1" si="458"/>
        <v>358387.65550328605</v>
      </c>
      <c r="AR307" s="49">
        <f t="shared" ca="1" si="458"/>
        <v>358387.65550328605</v>
      </c>
      <c r="AS307" s="49">
        <f t="shared" ca="1" si="458"/>
        <v>358387.65550328605</v>
      </c>
      <c r="AT307" s="49">
        <f t="shared" ca="1" si="458"/>
        <v>358387.65550328605</v>
      </c>
      <c r="AU307" s="49">
        <f t="shared" ca="1" si="458"/>
        <v>358387.65550328605</v>
      </c>
      <c r="AV307" s="49">
        <f t="shared" ca="1" si="458"/>
        <v>358387.65550328605</v>
      </c>
      <c r="AW307" s="49">
        <f t="shared" ca="1" si="458"/>
        <v>358387.65550328605</v>
      </c>
      <c r="AX307" s="49">
        <f t="shared" ca="1" si="458"/>
        <v>358387.65550328605</v>
      </c>
      <c r="AY307" s="49">
        <f t="shared" ca="1" si="458"/>
        <v>358387.65550328605</v>
      </c>
      <c r="AZ307" s="49">
        <f t="shared" ca="1" si="458"/>
        <v>358387.65550328605</v>
      </c>
      <c r="BA307" s="49">
        <f t="shared" ca="1" si="458"/>
        <v>358387.65550328605</v>
      </c>
      <c r="BB307" s="49">
        <f t="shared" ca="1" si="458"/>
        <v>358387.65550328605</v>
      </c>
      <c r="BC307" s="49">
        <f t="shared" ca="1" si="458"/>
        <v>358387.65550328605</v>
      </c>
      <c r="BD307" s="49">
        <f t="shared" ca="1" si="458"/>
        <v>358387.65550328605</v>
      </c>
      <c r="BE307" s="49">
        <f t="shared" ca="1" si="458"/>
        <v>358387.65550328605</v>
      </c>
      <c r="BF307" s="49">
        <f t="shared" ca="1" si="458"/>
        <v>358387.65550328605</v>
      </c>
      <c r="BG307" s="49">
        <f t="shared" ca="1" si="458"/>
        <v>358387.65550328605</v>
      </c>
      <c r="BH307" s="49">
        <f t="shared" ca="1" si="458"/>
        <v>358387.65550328605</v>
      </c>
      <c r="BI307" s="49">
        <f t="shared" ca="1" si="458"/>
        <v>358387.65550328605</v>
      </c>
      <c r="BJ307" s="49">
        <f t="shared" ca="1" si="458"/>
        <v>358387.65550328605</v>
      </c>
      <c r="BK307" s="49">
        <f t="shared" ca="1" si="458"/>
        <v>358387.65550328605</v>
      </c>
      <c r="BL307" s="49">
        <f t="shared" ca="1" si="458"/>
        <v>358387.65550328605</v>
      </c>
      <c r="BM307" s="49">
        <f t="shared" ca="1" si="458"/>
        <v>358387.65550328605</v>
      </c>
      <c r="BN307" s="49">
        <f t="shared" ca="1" si="458"/>
        <v>358387.65550328605</v>
      </c>
      <c r="BO307" s="49">
        <f t="shared" ca="1" si="458"/>
        <v>358387.65550328605</v>
      </c>
      <c r="BP307" s="49">
        <f t="shared" ca="1" si="458"/>
        <v>358387.65550328605</v>
      </c>
      <c r="BQ307" s="49">
        <f t="shared" ca="1" si="458"/>
        <v>358387.65550328605</v>
      </c>
      <c r="BR307" s="49">
        <f t="shared" ca="1" si="458"/>
        <v>358387.65550328605</v>
      </c>
      <c r="BS307" s="49">
        <f t="shared" ca="1" si="458"/>
        <v>358387.65550328605</v>
      </c>
      <c r="BT307" s="49">
        <f t="shared" ca="1" si="458"/>
        <v>358387.65550328605</v>
      </c>
      <c r="BU307" s="49">
        <f t="shared" ca="1" si="458"/>
        <v>358387.65550328605</v>
      </c>
      <c r="BV307" s="49">
        <f t="shared" ca="1" si="458"/>
        <v>358387.65550328605</v>
      </c>
      <c r="BW307" s="49">
        <f t="shared" ca="1" si="458"/>
        <v>358387.65550328605</v>
      </c>
      <c r="BX307" s="49">
        <f t="shared" ca="1" si="458"/>
        <v>358387.65550328605</v>
      </c>
      <c r="BY307" s="49">
        <f t="shared" ca="1" si="458"/>
        <v>358387.65550328605</v>
      </c>
      <c r="BZ307" s="49">
        <f t="shared" ca="1" si="458"/>
        <v>358387.65550328605</v>
      </c>
      <c r="CA307" s="49">
        <f t="shared" ca="1" si="458"/>
        <v>358387.65550328605</v>
      </c>
      <c r="CB307" s="49">
        <f t="shared" ca="1" si="458"/>
        <v>358387.65550328605</v>
      </c>
      <c r="CC307" s="49">
        <f t="shared" ca="1" si="458"/>
        <v>358387.65550328605</v>
      </c>
      <c r="CD307" s="49">
        <f t="shared" ca="1" si="458"/>
        <v>358387.65550328605</v>
      </c>
      <c r="CE307" s="49">
        <f t="shared" ref="CE307:CO307" ca="1" si="459">SUM(CE302:CE306)</f>
        <v>358387.65550328605</v>
      </c>
      <c r="CF307" s="49">
        <f t="shared" ca="1" si="459"/>
        <v>358387.65550328605</v>
      </c>
      <c r="CG307" s="49">
        <f t="shared" ca="1" si="459"/>
        <v>358387.65550328605</v>
      </c>
      <c r="CH307" s="49">
        <f t="shared" ca="1" si="459"/>
        <v>358387.65550328605</v>
      </c>
      <c r="CI307" s="49">
        <f t="shared" ca="1" si="459"/>
        <v>358387.65550328605</v>
      </c>
      <c r="CJ307" s="49">
        <f t="shared" ca="1" si="459"/>
        <v>358387.65550328605</v>
      </c>
      <c r="CK307" s="49">
        <f t="shared" ca="1" si="459"/>
        <v>358387.65550328605</v>
      </c>
      <c r="CL307" s="49">
        <f t="shared" ca="1" si="459"/>
        <v>358387.65550328605</v>
      </c>
      <c r="CM307" s="49">
        <f t="shared" ca="1" si="459"/>
        <v>358387.65550328605</v>
      </c>
      <c r="CN307" s="49">
        <f t="shared" ca="1" si="459"/>
        <v>358387.65550328605</v>
      </c>
      <c r="CO307" s="49">
        <f t="shared" ca="1" si="459"/>
        <v>358387.65550328605</v>
      </c>
    </row>
    <row r="308" spans="1:93">
      <c r="A308" s="77"/>
      <c r="B308" s="10"/>
      <c r="C308" s="17"/>
      <c r="D308" s="10"/>
      <c r="E308" s="62"/>
      <c r="F308" s="11"/>
      <c r="G308" s="11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  <c r="CG308" s="10"/>
      <c r="CH308" s="10"/>
      <c r="CI308" s="10"/>
      <c r="CJ308" s="10"/>
      <c r="CK308" s="10"/>
      <c r="CL308" s="10"/>
      <c r="CM308" s="10"/>
      <c r="CN308" s="10"/>
      <c r="CO308" s="10"/>
    </row>
    <row r="309" spans="1:93">
      <c r="A309" s="77"/>
      <c r="B309" s="10"/>
      <c r="C309" s="87" t="s">
        <v>61</v>
      </c>
      <c r="D309" s="10"/>
      <c r="E309" s="62"/>
      <c r="F309" s="11"/>
      <c r="G309" s="11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</row>
    <row r="310" spans="1:93">
      <c r="A310" s="77"/>
      <c r="B310" s="10"/>
      <c r="C310" s="21" t="str">
        <f xml:space="preserve"> "Флаг - ввод в эксплуатацию - Сегмент 0 - " &amp; C32</f>
        <v>Флаг - ввод в эксплуатацию - Сегмент 0 - Транспортная инфраструктура</v>
      </c>
      <c r="D310" s="10"/>
      <c r="E310" s="62"/>
      <c r="F310" s="11"/>
      <c r="G310" s="134" t="str">
        <f t="shared" ref="G310:G316" ca="1" si="460">MIN(L310:CO310) &amp; ".." &amp; MAX(L310:CO310)</f>
        <v>0..1</v>
      </c>
      <c r="H310" s="10"/>
      <c r="I310" s="23">
        <f t="shared" ref="I310:I316" ca="1" si="461">SUM(L310:CO310)</f>
        <v>1</v>
      </c>
      <c r="J310" s="10"/>
      <c r="K310" s="10"/>
      <c r="L310" s="52">
        <f ca="1" xml:space="preserve"> (SUM(M265:$CO265) = 0) * (L265 &lt;&gt; 0)</f>
        <v>0</v>
      </c>
      <c r="M310" s="52">
        <f ca="1" xml:space="preserve"> (SUM(N265:$CO265) = 0) * (M265 &lt;&gt; 0)</f>
        <v>0</v>
      </c>
      <c r="N310" s="52">
        <f ca="1" xml:space="preserve"> (SUM(O265:$CO265) = 0) * (N265 &lt;&gt; 0)</f>
        <v>0</v>
      </c>
      <c r="O310" s="52">
        <f ca="1" xml:space="preserve"> (SUM(P265:$CO265) = 0) * (O265 &lt;&gt; 0)</f>
        <v>0</v>
      </c>
      <c r="P310" s="52">
        <f ca="1" xml:space="preserve"> (SUM(Q265:$CO265) = 0) * (P265 &lt;&gt; 0)</f>
        <v>0</v>
      </c>
      <c r="Q310" s="52">
        <f ca="1" xml:space="preserve"> (SUM(R265:$CO265) = 0) * (Q265 &lt;&gt; 0)</f>
        <v>0</v>
      </c>
      <c r="R310" s="52">
        <f ca="1" xml:space="preserve"> (SUM(S265:$CO265) = 0) * (R265 &lt;&gt; 0)</f>
        <v>0</v>
      </c>
      <c r="S310" s="52">
        <f ca="1" xml:space="preserve"> (SUM(T265:$CO265) = 0) * (S265 &lt;&gt; 0)</f>
        <v>0</v>
      </c>
      <c r="T310" s="52">
        <f ca="1" xml:space="preserve"> (SUM(U265:$CO265) = 0) * (T265 &lt;&gt; 0)</f>
        <v>0</v>
      </c>
      <c r="U310" s="52">
        <f ca="1" xml:space="preserve"> (SUM(V265:$CO265) = 0) * (U265 &lt;&gt; 0)</f>
        <v>0</v>
      </c>
      <c r="V310" s="52">
        <f ca="1" xml:space="preserve"> (SUM(W265:$CO265) = 0) * (V265 &lt;&gt; 0)</f>
        <v>0</v>
      </c>
      <c r="W310" s="52">
        <f ca="1" xml:space="preserve"> (SUM(X265:$CO265) = 0) * (W265 &lt;&gt; 0)</f>
        <v>0</v>
      </c>
      <c r="X310" s="52">
        <f ca="1" xml:space="preserve"> (SUM(Y265:$CO265) = 0) * (X265 &lt;&gt; 0)</f>
        <v>0</v>
      </c>
      <c r="Y310" s="52">
        <f ca="1" xml:space="preserve"> (SUM(Z265:$CO265) = 0) * (Y265 &lt;&gt; 0)</f>
        <v>0</v>
      </c>
      <c r="Z310" s="52">
        <f ca="1" xml:space="preserve"> (SUM(AA265:$CO265) = 0) * (Z265 &lt;&gt; 0)</f>
        <v>0</v>
      </c>
      <c r="AA310" s="52">
        <f ca="1" xml:space="preserve"> (SUM(AB265:$CO265) = 0) * (AA265 &lt;&gt; 0)</f>
        <v>0</v>
      </c>
      <c r="AB310" s="52">
        <f ca="1" xml:space="preserve"> (SUM(AC265:$CO265) = 0) * (AB265 &lt;&gt; 0)</f>
        <v>1</v>
      </c>
      <c r="AC310" s="52">
        <f ca="1" xml:space="preserve"> (SUM(AD265:$CO265) = 0) * (AC265 &lt;&gt; 0)</f>
        <v>0</v>
      </c>
      <c r="AD310" s="52">
        <f ca="1" xml:space="preserve"> (SUM(AE265:$CO265) = 0) * (AD265 &lt;&gt; 0)</f>
        <v>0</v>
      </c>
      <c r="AE310" s="52">
        <f ca="1" xml:space="preserve"> (SUM(AF265:$CO265) = 0) * (AE265 &lt;&gt; 0)</f>
        <v>0</v>
      </c>
      <c r="AF310" s="52">
        <f ca="1" xml:space="preserve"> (SUM(AG265:$CO265) = 0) * (AF265 &lt;&gt; 0)</f>
        <v>0</v>
      </c>
      <c r="AG310" s="52">
        <f ca="1" xml:space="preserve"> (SUM(AH265:$CO265) = 0) * (AG265 &lt;&gt; 0)</f>
        <v>0</v>
      </c>
      <c r="AH310" s="52">
        <f ca="1" xml:space="preserve"> (SUM(AI265:$CO265) = 0) * (AH265 &lt;&gt; 0)</f>
        <v>0</v>
      </c>
      <c r="AI310" s="52">
        <f ca="1" xml:space="preserve"> (SUM(AJ265:$CO265) = 0) * (AI265 &lt;&gt; 0)</f>
        <v>0</v>
      </c>
      <c r="AJ310" s="52">
        <f ca="1" xml:space="preserve"> (SUM(AK265:$CO265) = 0) * (AJ265 &lt;&gt; 0)</f>
        <v>0</v>
      </c>
      <c r="AK310" s="52">
        <f ca="1" xml:space="preserve"> (SUM(AL265:$CO265) = 0) * (AK265 &lt;&gt; 0)</f>
        <v>0</v>
      </c>
      <c r="AL310" s="52">
        <f ca="1" xml:space="preserve"> (SUM(AM265:$CO265) = 0) * (AL265 &lt;&gt; 0)</f>
        <v>0</v>
      </c>
      <c r="AM310" s="52">
        <f ca="1" xml:space="preserve"> (SUM(AN265:$CO265) = 0) * (AM265 &lt;&gt; 0)</f>
        <v>0</v>
      </c>
      <c r="AN310" s="52">
        <f ca="1" xml:space="preserve"> (SUM(AO265:$CO265) = 0) * (AN265 &lt;&gt; 0)</f>
        <v>0</v>
      </c>
      <c r="AO310" s="52">
        <f ca="1" xml:space="preserve"> (SUM(AP265:$CO265) = 0) * (AO265 &lt;&gt; 0)</f>
        <v>0</v>
      </c>
      <c r="AP310" s="52">
        <f ca="1" xml:space="preserve"> (SUM(AQ265:$CO265) = 0) * (AP265 &lt;&gt; 0)</f>
        <v>0</v>
      </c>
      <c r="AQ310" s="52">
        <f ca="1" xml:space="preserve"> (SUM(AR265:$CO265) = 0) * (AQ265 &lt;&gt; 0)</f>
        <v>0</v>
      </c>
      <c r="AR310" s="52">
        <f ca="1" xml:space="preserve"> (SUM(AS265:$CO265) = 0) * (AR265 &lt;&gt; 0)</f>
        <v>0</v>
      </c>
      <c r="AS310" s="52">
        <f ca="1" xml:space="preserve"> (SUM(AT265:$CO265) = 0) * (AS265 &lt;&gt; 0)</f>
        <v>0</v>
      </c>
      <c r="AT310" s="52">
        <f ca="1" xml:space="preserve"> (SUM(AU265:$CO265) = 0) * (AT265 &lt;&gt; 0)</f>
        <v>0</v>
      </c>
      <c r="AU310" s="52">
        <f ca="1" xml:space="preserve"> (SUM(AV265:$CO265) = 0) * (AU265 &lt;&gt; 0)</f>
        <v>0</v>
      </c>
      <c r="AV310" s="52">
        <f ca="1" xml:space="preserve"> (SUM(AW265:$CO265) = 0) * (AV265 &lt;&gt; 0)</f>
        <v>0</v>
      </c>
      <c r="AW310" s="52">
        <f ca="1" xml:space="preserve"> (SUM(AX265:$CO265) = 0) * (AW265 &lt;&gt; 0)</f>
        <v>0</v>
      </c>
      <c r="AX310" s="52">
        <f ca="1" xml:space="preserve"> (SUM(AY265:$CO265) = 0) * (AX265 &lt;&gt; 0)</f>
        <v>0</v>
      </c>
      <c r="AY310" s="52">
        <f ca="1" xml:space="preserve"> (SUM(AZ265:$CO265) = 0) * (AY265 &lt;&gt; 0)</f>
        <v>0</v>
      </c>
      <c r="AZ310" s="52">
        <f ca="1" xml:space="preserve"> (SUM(BA265:$CO265) = 0) * (AZ265 &lt;&gt; 0)</f>
        <v>0</v>
      </c>
      <c r="BA310" s="52">
        <f ca="1" xml:space="preserve"> (SUM(BB265:$CO265) = 0) * (BA265 &lt;&gt; 0)</f>
        <v>0</v>
      </c>
      <c r="BB310" s="52">
        <f ca="1" xml:space="preserve"> (SUM(BC265:$CO265) = 0) * (BB265 &lt;&gt; 0)</f>
        <v>0</v>
      </c>
      <c r="BC310" s="52">
        <f ca="1" xml:space="preserve"> (SUM(BD265:$CO265) = 0) * (BC265 &lt;&gt; 0)</f>
        <v>0</v>
      </c>
      <c r="BD310" s="52">
        <f ca="1" xml:space="preserve"> (SUM(BE265:$CO265) = 0) * (BD265 &lt;&gt; 0)</f>
        <v>0</v>
      </c>
      <c r="BE310" s="52">
        <f ca="1" xml:space="preserve"> (SUM(BF265:$CO265) = 0) * (BE265 &lt;&gt; 0)</f>
        <v>0</v>
      </c>
      <c r="BF310" s="52">
        <f ca="1" xml:space="preserve"> (SUM(BG265:$CO265) = 0) * (BF265 &lt;&gt; 0)</f>
        <v>0</v>
      </c>
      <c r="BG310" s="52">
        <f ca="1" xml:space="preserve"> (SUM(BH265:$CO265) = 0) * (BG265 &lt;&gt; 0)</f>
        <v>0</v>
      </c>
      <c r="BH310" s="52">
        <f ca="1" xml:space="preserve"> (SUM(BI265:$CO265) = 0) * (BH265 &lt;&gt; 0)</f>
        <v>0</v>
      </c>
      <c r="BI310" s="52">
        <f ca="1" xml:space="preserve"> (SUM(BJ265:$CO265) = 0) * (BI265 &lt;&gt; 0)</f>
        <v>0</v>
      </c>
      <c r="BJ310" s="52">
        <f ca="1" xml:space="preserve"> (SUM(BK265:$CO265) = 0) * (BJ265 &lt;&gt; 0)</f>
        <v>0</v>
      </c>
      <c r="BK310" s="52">
        <f ca="1" xml:space="preserve"> (SUM(BL265:$CO265) = 0) * (BK265 &lt;&gt; 0)</f>
        <v>0</v>
      </c>
      <c r="BL310" s="52">
        <f ca="1" xml:space="preserve"> (SUM(BM265:$CO265) = 0) * (BL265 &lt;&gt; 0)</f>
        <v>0</v>
      </c>
      <c r="BM310" s="52">
        <f ca="1" xml:space="preserve"> (SUM(BN265:$CO265) = 0) * (BM265 &lt;&gt; 0)</f>
        <v>0</v>
      </c>
      <c r="BN310" s="52">
        <f ca="1" xml:space="preserve"> (SUM(BO265:$CO265) = 0) * (BN265 &lt;&gt; 0)</f>
        <v>0</v>
      </c>
      <c r="BO310" s="52">
        <f ca="1" xml:space="preserve"> (SUM(BP265:$CO265) = 0) * (BO265 &lt;&gt; 0)</f>
        <v>0</v>
      </c>
      <c r="BP310" s="52">
        <f ca="1" xml:space="preserve"> (SUM(BQ265:$CO265) = 0) * (BP265 &lt;&gt; 0)</f>
        <v>0</v>
      </c>
      <c r="BQ310" s="52">
        <f ca="1" xml:space="preserve"> (SUM(BR265:$CO265) = 0) * (BQ265 &lt;&gt; 0)</f>
        <v>0</v>
      </c>
      <c r="BR310" s="52">
        <f ca="1" xml:space="preserve"> (SUM(BS265:$CO265) = 0) * (BR265 &lt;&gt; 0)</f>
        <v>0</v>
      </c>
      <c r="BS310" s="52">
        <f ca="1" xml:space="preserve"> (SUM(BT265:$CO265) = 0) * (BS265 &lt;&gt; 0)</f>
        <v>0</v>
      </c>
      <c r="BT310" s="52">
        <f ca="1" xml:space="preserve"> (SUM(BU265:$CO265) = 0) * (BT265 &lt;&gt; 0)</f>
        <v>0</v>
      </c>
      <c r="BU310" s="52">
        <f ca="1" xml:space="preserve"> (SUM(BV265:$CO265) = 0) * (BU265 &lt;&gt; 0)</f>
        <v>0</v>
      </c>
      <c r="BV310" s="52">
        <f ca="1" xml:space="preserve"> (SUM(BW265:$CO265) = 0) * (BV265 &lt;&gt; 0)</f>
        <v>0</v>
      </c>
      <c r="BW310" s="52">
        <f ca="1" xml:space="preserve"> (SUM(BX265:$CO265) = 0) * (BW265 &lt;&gt; 0)</f>
        <v>0</v>
      </c>
      <c r="BX310" s="52">
        <f ca="1" xml:space="preserve"> (SUM(BY265:$CO265) = 0) * (BX265 &lt;&gt; 0)</f>
        <v>0</v>
      </c>
      <c r="BY310" s="52">
        <f ca="1" xml:space="preserve"> (SUM(BZ265:$CO265) = 0) * (BY265 &lt;&gt; 0)</f>
        <v>0</v>
      </c>
      <c r="BZ310" s="52">
        <f ca="1" xml:space="preserve"> (SUM(CA265:$CO265) = 0) * (BZ265 &lt;&gt; 0)</f>
        <v>0</v>
      </c>
      <c r="CA310" s="52">
        <f ca="1" xml:space="preserve"> (SUM(CB265:$CO265) = 0) * (CA265 &lt;&gt; 0)</f>
        <v>0</v>
      </c>
      <c r="CB310" s="52">
        <f ca="1" xml:space="preserve"> (SUM(CC265:$CO265) = 0) * (CB265 &lt;&gt; 0)</f>
        <v>0</v>
      </c>
      <c r="CC310" s="52">
        <f ca="1" xml:space="preserve"> (SUM(CD265:$CO265) = 0) * (CC265 &lt;&gt; 0)</f>
        <v>0</v>
      </c>
      <c r="CD310" s="52">
        <f ca="1" xml:space="preserve"> (SUM(CE265:$CO265) = 0) * (CD265 &lt;&gt; 0)</f>
        <v>0</v>
      </c>
      <c r="CE310" s="52">
        <f ca="1" xml:space="preserve"> (SUM(CF265:$CO265) = 0) * (CE265 &lt;&gt; 0)</f>
        <v>0</v>
      </c>
      <c r="CF310" s="52">
        <f ca="1" xml:space="preserve"> (SUM(CG265:$CO265) = 0) * (CF265 &lt;&gt; 0)</f>
        <v>0</v>
      </c>
      <c r="CG310" s="52">
        <f ca="1" xml:space="preserve"> (SUM(CH265:$CO265) = 0) * (CG265 &lt;&gt; 0)</f>
        <v>0</v>
      </c>
      <c r="CH310" s="52">
        <f ca="1" xml:space="preserve"> (SUM(CI265:$CO265) = 0) * (CH265 &lt;&gt; 0)</f>
        <v>0</v>
      </c>
      <c r="CI310" s="52">
        <f ca="1" xml:space="preserve"> (SUM(CJ265:$CO265) = 0) * (CI265 &lt;&gt; 0)</f>
        <v>0</v>
      </c>
      <c r="CJ310" s="52">
        <f ca="1" xml:space="preserve"> (SUM(CK265:$CO265) = 0) * (CJ265 &lt;&gt; 0)</f>
        <v>0</v>
      </c>
      <c r="CK310" s="52">
        <f ca="1" xml:space="preserve"> (SUM(CL265:$CO265) = 0) * (CK265 &lt;&gt; 0)</f>
        <v>0</v>
      </c>
      <c r="CL310" s="52">
        <f ca="1" xml:space="preserve"> (SUM(CM265:$CO265) = 0) * (CL265 &lt;&gt; 0)</f>
        <v>0</v>
      </c>
      <c r="CM310" s="52">
        <f ca="1" xml:space="preserve"> (SUM(CN265:$CO265) = 0) * (CM265 &lt;&gt; 0)</f>
        <v>0</v>
      </c>
      <c r="CN310" s="52">
        <f ca="1" xml:space="preserve"> (SUM(CO265:$CO265) = 0) * (CN265 &lt;&gt; 0)</f>
        <v>0</v>
      </c>
      <c r="CO310" s="52">
        <f ca="1" xml:space="preserve"> (SUM($CO265:CP265) = 0) * (CO265 &lt;&gt; 0)</f>
        <v>0</v>
      </c>
    </row>
    <row r="311" spans="1:93">
      <c r="A311" s="77"/>
      <c r="B311" s="10"/>
      <c r="C311" s="21" t="str">
        <f xml:space="preserve"> "Флаг - ввод в эксплуатацию - Сегмент 0 - " &amp; C33</f>
        <v>Флаг - ввод в эксплуатацию - Сегмент 0 - Коммунальная инфраструктура</v>
      </c>
      <c r="D311" s="10"/>
      <c r="E311" s="62"/>
      <c r="F311" s="11"/>
      <c r="G311" s="134" t="str">
        <f t="shared" ca="1" si="460"/>
        <v>0..0</v>
      </c>
      <c r="H311" s="10"/>
      <c r="I311" s="23">
        <f t="shared" ca="1" si="461"/>
        <v>0</v>
      </c>
      <c r="J311" s="10"/>
      <c r="K311" s="10"/>
      <c r="L311" s="52">
        <f ca="1" xml:space="preserve"> (SUM(M266:$CO266) = 0) * (L266 &lt;&gt; 0)</f>
        <v>0</v>
      </c>
      <c r="M311" s="52">
        <f ca="1" xml:space="preserve"> (SUM(N266:$CO266) = 0) * (M266 &lt;&gt; 0)</f>
        <v>0</v>
      </c>
      <c r="N311" s="52">
        <f ca="1" xml:space="preserve"> (SUM(O266:$CO266) = 0) * (N266 &lt;&gt; 0)</f>
        <v>0</v>
      </c>
      <c r="O311" s="52">
        <f ca="1" xml:space="preserve"> (SUM(P266:$CO266) = 0) * (O266 &lt;&gt; 0)</f>
        <v>0</v>
      </c>
      <c r="P311" s="52">
        <f ca="1" xml:space="preserve"> (SUM(Q266:$CO266) = 0) * (P266 &lt;&gt; 0)</f>
        <v>0</v>
      </c>
      <c r="Q311" s="52">
        <f ca="1" xml:space="preserve"> (SUM(R266:$CO266) = 0) * (Q266 &lt;&gt; 0)</f>
        <v>0</v>
      </c>
      <c r="R311" s="52">
        <f ca="1" xml:space="preserve"> (SUM(S266:$CO266) = 0) * (R266 &lt;&gt; 0)</f>
        <v>0</v>
      </c>
      <c r="S311" s="52">
        <f ca="1" xml:space="preserve"> (SUM(T266:$CO266) = 0) * (S266 &lt;&gt; 0)</f>
        <v>0</v>
      </c>
      <c r="T311" s="52">
        <f ca="1" xml:space="preserve"> (SUM(U266:$CO266) = 0) * (T266 &lt;&gt; 0)</f>
        <v>0</v>
      </c>
      <c r="U311" s="52">
        <f ca="1" xml:space="preserve"> (SUM(V266:$CO266) = 0) * (U266 &lt;&gt; 0)</f>
        <v>0</v>
      </c>
      <c r="V311" s="52">
        <f ca="1" xml:space="preserve"> (SUM(W266:$CO266) = 0) * (V266 &lt;&gt; 0)</f>
        <v>0</v>
      </c>
      <c r="W311" s="52">
        <f ca="1" xml:space="preserve"> (SUM(X266:$CO266) = 0) * (W266 &lt;&gt; 0)</f>
        <v>0</v>
      </c>
      <c r="X311" s="52">
        <f ca="1" xml:space="preserve"> (SUM(Y266:$CO266) = 0) * (X266 &lt;&gt; 0)</f>
        <v>0</v>
      </c>
      <c r="Y311" s="52">
        <f ca="1" xml:space="preserve"> (SUM(Z266:$CO266) = 0) * (Y266 &lt;&gt; 0)</f>
        <v>0</v>
      </c>
      <c r="Z311" s="52">
        <f ca="1" xml:space="preserve"> (SUM(AA266:$CO266) = 0) * (Z266 &lt;&gt; 0)</f>
        <v>0</v>
      </c>
      <c r="AA311" s="52">
        <f ca="1" xml:space="preserve"> (SUM(AB266:$CO266) = 0) * (AA266 &lt;&gt; 0)</f>
        <v>0</v>
      </c>
      <c r="AB311" s="52">
        <f ca="1" xml:space="preserve"> (SUM(AC266:$CO266) = 0) * (AB266 &lt;&gt; 0)</f>
        <v>0</v>
      </c>
      <c r="AC311" s="52">
        <f ca="1" xml:space="preserve"> (SUM(AD266:$CO266) = 0) * (AC266 &lt;&gt; 0)</f>
        <v>0</v>
      </c>
      <c r="AD311" s="52">
        <f ca="1" xml:space="preserve"> (SUM(AE266:$CO266) = 0) * (AD266 &lt;&gt; 0)</f>
        <v>0</v>
      </c>
      <c r="AE311" s="52">
        <f ca="1" xml:space="preserve"> (SUM(AF266:$CO266) = 0) * (AE266 &lt;&gt; 0)</f>
        <v>0</v>
      </c>
      <c r="AF311" s="52">
        <f ca="1" xml:space="preserve"> (SUM(AG266:$CO266) = 0) * (AF266 &lt;&gt; 0)</f>
        <v>0</v>
      </c>
      <c r="AG311" s="52">
        <f ca="1" xml:space="preserve"> (SUM(AH266:$CO266) = 0) * (AG266 &lt;&gt; 0)</f>
        <v>0</v>
      </c>
      <c r="AH311" s="52">
        <f ca="1" xml:space="preserve"> (SUM(AI266:$CO266) = 0) * (AH266 &lt;&gt; 0)</f>
        <v>0</v>
      </c>
      <c r="AI311" s="52">
        <f ca="1" xml:space="preserve"> (SUM(AJ266:$CO266) = 0) * (AI266 &lt;&gt; 0)</f>
        <v>0</v>
      </c>
      <c r="AJ311" s="52">
        <f ca="1" xml:space="preserve"> (SUM(AK266:$CO266) = 0) * (AJ266 &lt;&gt; 0)</f>
        <v>0</v>
      </c>
      <c r="AK311" s="52">
        <f ca="1" xml:space="preserve"> (SUM(AL266:$CO266) = 0) * (AK266 &lt;&gt; 0)</f>
        <v>0</v>
      </c>
      <c r="AL311" s="52">
        <f ca="1" xml:space="preserve"> (SUM(AM266:$CO266) = 0) * (AL266 &lt;&gt; 0)</f>
        <v>0</v>
      </c>
      <c r="AM311" s="52">
        <f ca="1" xml:space="preserve"> (SUM(AN266:$CO266) = 0) * (AM266 &lt;&gt; 0)</f>
        <v>0</v>
      </c>
      <c r="AN311" s="52">
        <f ca="1" xml:space="preserve"> (SUM(AO266:$CO266) = 0) * (AN266 &lt;&gt; 0)</f>
        <v>0</v>
      </c>
      <c r="AO311" s="52">
        <f ca="1" xml:space="preserve"> (SUM(AP266:$CO266) = 0) * (AO266 &lt;&gt; 0)</f>
        <v>0</v>
      </c>
      <c r="AP311" s="52">
        <f ca="1" xml:space="preserve"> (SUM(AQ266:$CO266) = 0) * (AP266 &lt;&gt; 0)</f>
        <v>0</v>
      </c>
      <c r="AQ311" s="52">
        <f ca="1" xml:space="preserve"> (SUM(AR266:$CO266) = 0) * (AQ266 &lt;&gt; 0)</f>
        <v>0</v>
      </c>
      <c r="AR311" s="52">
        <f ca="1" xml:space="preserve"> (SUM(AS266:$CO266) = 0) * (AR266 &lt;&gt; 0)</f>
        <v>0</v>
      </c>
      <c r="AS311" s="52">
        <f ca="1" xml:space="preserve"> (SUM(AT266:$CO266) = 0) * (AS266 &lt;&gt; 0)</f>
        <v>0</v>
      </c>
      <c r="AT311" s="52">
        <f ca="1" xml:space="preserve"> (SUM(AU266:$CO266) = 0) * (AT266 &lt;&gt; 0)</f>
        <v>0</v>
      </c>
      <c r="AU311" s="52">
        <f ca="1" xml:space="preserve"> (SUM(AV266:$CO266) = 0) * (AU266 &lt;&gt; 0)</f>
        <v>0</v>
      </c>
      <c r="AV311" s="52">
        <f ca="1" xml:space="preserve"> (SUM(AW266:$CO266) = 0) * (AV266 &lt;&gt; 0)</f>
        <v>0</v>
      </c>
      <c r="AW311" s="52">
        <f ca="1" xml:space="preserve"> (SUM(AX266:$CO266) = 0) * (AW266 &lt;&gt; 0)</f>
        <v>0</v>
      </c>
      <c r="AX311" s="52">
        <f ca="1" xml:space="preserve"> (SUM(AY266:$CO266) = 0) * (AX266 &lt;&gt; 0)</f>
        <v>0</v>
      </c>
      <c r="AY311" s="52">
        <f ca="1" xml:space="preserve"> (SUM(AZ266:$CO266) = 0) * (AY266 &lt;&gt; 0)</f>
        <v>0</v>
      </c>
      <c r="AZ311" s="52">
        <f ca="1" xml:space="preserve"> (SUM(BA266:$CO266) = 0) * (AZ266 &lt;&gt; 0)</f>
        <v>0</v>
      </c>
      <c r="BA311" s="52">
        <f ca="1" xml:space="preserve"> (SUM(BB266:$CO266) = 0) * (BA266 &lt;&gt; 0)</f>
        <v>0</v>
      </c>
      <c r="BB311" s="52">
        <f ca="1" xml:space="preserve"> (SUM(BC266:$CO266) = 0) * (BB266 &lt;&gt; 0)</f>
        <v>0</v>
      </c>
      <c r="BC311" s="52">
        <f ca="1" xml:space="preserve"> (SUM(BD266:$CO266) = 0) * (BC266 &lt;&gt; 0)</f>
        <v>0</v>
      </c>
      <c r="BD311" s="52">
        <f ca="1" xml:space="preserve"> (SUM(BE266:$CO266) = 0) * (BD266 &lt;&gt; 0)</f>
        <v>0</v>
      </c>
      <c r="BE311" s="52">
        <f ca="1" xml:space="preserve"> (SUM(BF266:$CO266) = 0) * (BE266 &lt;&gt; 0)</f>
        <v>0</v>
      </c>
      <c r="BF311" s="52">
        <f ca="1" xml:space="preserve"> (SUM(BG266:$CO266) = 0) * (BF266 &lt;&gt; 0)</f>
        <v>0</v>
      </c>
      <c r="BG311" s="52">
        <f ca="1" xml:space="preserve"> (SUM(BH266:$CO266) = 0) * (BG266 &lt;&gt; 0)</f>
        <v>0</v>
      </c>
      <c r="BH311" s="52">
        <f ca="1" xml:space="preserve"> (SUM(BI266:$CO266) = 0) * (BH266 &lt;&gt; 0)</f>
        <v>0</v>
      </c>
      <c r="BI311" s="52">
        <f ca="1" xml:space="preserve"> (SUM(BJ266:$CO266) = 0) * (BI266 &lt;&gt; 0)</f>
        <v>0</v>
      </c>
      <c r="BJ311" s="52">
        <f ca="1" xml:space="preserve"> (SUM(BK266:$CO266) = 0) * (BJ266 &lt;&gt; 0)</f>
        <v>0</v>
      </c>
      <c r="BK311" s="52">
        <f ca="1" xml:space="preserve"> (SUM(BL266:$CO266) = 0) * (BK266 &lt;&gt; 0)</f>
        <v>0</v>
      </c>
      <c r="BL311" s="52">
        <f ca="1" xml:space="preserve"> (SUM(BM266:$CO266) = 0) * (BL266 &lt;&gt; 0)</f>
        <v>0</v>
      </c>
      <c r="BM311" s="52">
        <f ca="1" xml:space="preserve"> (SUM(BN266:$CO266) = 0) * (BM266 &lt;&gt; 0)</f>
        <v>0</v>
      </c>
      <c r="BN311" s="52">
        <f ca="1" xml:space="preserve"> (SUM(BO266:$CO266) = 0) * (BN266 &lt;&gt; 0)</f>
        <v>0</v>
      </c>
      <c r="BO311" s="52">
        <f ca="1" xml:space="preserve"> (SUM(BP266:$CO266) = 0) * (BO266 &lt;&gt; 0)</f>
        <v>0</v>
      </c>
      <c r="BP311" s="52">
        <f ca="1" xml:space="preserve"> (SUM(BQ266:$CO266) = 0) * (BP266 &lt;&gt; 0)</f>
        <v>0</v>
      </c>
      <c r="BQ311" s="52">
        <f ca="1" xml:space="preserve"> (SUM(BR266:$CO266) = 0) * (BQ266 &lt;&gt; 0)</f>
        <v>0</v>
      </c>
      <c r="BR311" s="52">
        <f ca="1" xml:space="preserve"> (SUM(BS266:$CO266) = 0) * (BR266 &lt;&gt; 0)</f>
        <v>0</v>
      </c>
      <c r="BS311" s="52">
        <f ca="1" xml:space="preserve"> (SUM(BT266:$CO266) = 0) * (BS266 &lt;&gt; 0)</f>
        <v>0</v>
      </c>
      <c r="BT311" s="52">
        <f ca="1" xml:space="preserve"> (SUM(BU266:$CO266) = 0) * (BT266 &lt;&gt; 0)</f>
        <v>0</v>
      </c>
      <c r="BU311" s="52">
        <f ca="1" xml:space="preserve"> (SUM(BV266:$CO266) = 0) * (BU266 &lt;&gt; 0)</f>
        <v>0</v>
      </c>
      <c r="BV311" s="52">
        <f ca="1" xml:space="preserve"> (SUM(BW266:$CO266) = 0) * (BV266 &lt;&gt; 0)</f>
        <v>0</v>
      </c>
      <c r="BW311" s="52">
        <f ca="1" xml:space="preserve"> (SUM(BX266:$CO266) = 0) * (BW266 &lt;&gt; 0)</f>
        <v>0</v>
      </c>
      <c r="BX311" s="52">
        <f ca="1" xml:space="preserve"> (SUM(BY266:$CO266) = 0) * (BX266 &lt;&gt; 0)</f>
        <v>0</v>
      </c>
      <c r="BY311" s="52">
        <f ca="1" xml:space="preserve"> (SUM(BZ266:$CO266) = 0) * (BY266 &lt;&gt; 0)</f>
        <v>0</v>
      </c>
      <c r="BZ311" s="52">
        <f ca="1" xml:space="preserve"> (SUM(CA266:$CO266) = 0) * (BZ266 &lt;&gt; 0)</f>
        <v>0</v>
      </c>
      <c r="CA311" s="52">
        <f ca="1" xml:space="preserve"> (SUM(CB266:$CO266) = 0) * (CA266 &lt;&gt; 0)</f>
        <v>0</v>
      </c>
      <c r="CB311" s="52">
        <f ca="1" xml:space="preserve"> (SUM(CC266:$CO266) = 0) * (CB266 &lt;&gt; 0)</f>
        <v>0</v>
      </c>
      <c r="CC311" s="52">
        <f ca="1" xml:space="preserve"> (SUM(CD266:$CO266) = 0) * (CC266 &lt;&gt; 0)</f>
        <v>0</v>
      </c>
      <c r="CD311" s="52">
        <f ca="1" xml:space="preserve"> (SUM(CE266:$CO266) = 0) * (CD266 &lt;&gt; 0)</f>
        <v>0</v>
      </c>
      <c r="CE311" s="52">
        <f ca="1" xml:space="preserve"> (SUM(CF266:$CO266) = 0) * (CE266 &lt;&gt; 0)</f>
        <v>0</v>
      </c>
      <c r="CF311" s="52">
        <f ca="1" xml:space="preserve"> (SUM(CG266:$CO266) = 0) * (CF266 &lt;&gt; 0)</f>
        <v>0</v>
      </c>
      <c r="CG311" s="52">
        <f ca="1" xml:space="preserve"> (SUM(CH266:$CO266) = 0) * (CG266 &lt;&gt; 0)</f>
        <v>0</v>
      </c>
      <c r="CH311" s="52">
        <f ca="1" xml:space="preserve"> (SUM(CI266:$CO266) = 0) * (CH266 &lt;&gt; 0)</f>
        <v>0</v>
      </c>
      <c r="CI311" s="52">
        <f ca="1" xml:space="preserve"> (SUM(CJ266:$CO266) = 0) * (CI266 &lt;&gt; 0)</f>
        <v>0</v>
      </c>
      <c r="CJ311" s="52">
        <f ca="1" xml:space="preserve"> (SUM(CK266:$CO266) = 0) * (CJ266 &lt;&gt; 0)</f>
        <v>0</v>
      </c>
      <c r="CK311" s="52">
        <f ca="1" xml:space="preserve"> (SUM(CL266:$CO266) = 0) * (CK266 &lt;&gt; 0)</f>
        <v>0</v>
      </c>
      <c r="CL311" s="52">
        <f ca="1" xml:space="preserve"> (SUM(CM266:$CO266) = 0) * (CL266 &lt;&gt; 0)</f>
        <v>0</v>
      </c>
      <c r="CM311" s="52">
        <f ca="1" xml:space="preserve"> (SUM(CN266:$CO266) = 0) * (CM266 &lt;&gt; 0)</f>
        <v>0</v>
      </c>
      <c r="CN311" s="52">
        <f ca="1" xml:space="preserve"> (SUM(CO266:$CO266) = 0) * (CN266 &lt;&gt; 0)</f>
        <v>0</v>
      </c>
      <c r="CO311" s="52">
        <f ca="1" xml:space="preserve"> (SUM($CO266:CP266) = 0) * (CO266 &lt;&gt; 0)</f>
        <v>0</v>
      </c>
    </row>
    <row r="312" spans="1:93">
      <c r="A312" s="77"/>
      <c r="B312" s="10"/>
      <c r="C312" s="21" t="str">
        <f xml:space="preserve"> "Флаг - ввод в эксплуатацию - Сегмент 0 - " &amp; C34</f>
        <v>Флаг - ввод в эксплуатацию - Сегмент 0 - Прочая обеспечивающая инфраструктура</v>
      </c>
      <c r="D312" s="10"/>
      <c r="E312" s="62"/>
      <c r="F312" s="11"/>
      <c r="G312" s="134" t="str">
        <f t="shared" ca="1" si="460"/>
        <v>0..0</v>
      </c>
      <c r="H312" s="10"/>
      <c r="I312" s="23">
        <f t="shared" ca="1" si="461"/>
        <v>0</v>
      </c>
      <c r="J312" s="10"/>
      <c r="K312" s="10"/>
      <c r="L312" s="52">
        <f ca="1" xml:space="preserve"> (SUM(M267:$CO267) = 0) * (L267 &lt;&gt; 0)</f>
        <v>0</v>
      </c>
      <c r="M312" s="52">
        <f ca="1" xml:space="preserve"> (SUM(N267:$CO267) = 0) * (M267 &lt;&gt; 0)</f>
        <v>0</v>
      </c>
      <c r="N312" s="52">
        <f ca="1" xml:space="preserve"> (SUM(O267:$CO267) = 0) * (N267 &lt;&gt; 0)</f>
        <v>0</v>
      </c>
      <c r="O312" s="52">
        <f ca="1" xml:space="preserve"> (SUM(P267:$CO267) = 0) * (O267 &lt;&gt; 0)</f>
        <v>0</v>
      </c>
      <c r="P312" s="52">
        <f ca="1" xml:space="preserve"> (SUM(Q267:$CO267) = 0) * (P267 &lt;&gt; 0)</f>
        <v>0</v>
      </c>
      <c r="Q312" s="52">
        <f ca="1" xml:space="preserve"> (SUM(R267:$CO267) = 0) * (Q267 &lt;&gt; 0)</f>
        <v>0</v>
      </c>
      <c r="R312" s="52">
        <f ca="1" xml:space="preserve"> (SUM(S267:$CO267) = 0) * (R267 &lt;&gt; 0)</f>
        <v>0</v>
      </c>
      <c r="S312" s="52">
        <f ca="1" xml:space="preserve"> (SUM(T267:$CO267) = 0) * (S267 &lt;&gt; 0)</f>
        <v>0</v>
      </c>
      <c r="T312" s="52">
        <f ca="1" xml:space="preserve"> (SUM(U267:$CO267) = 0) * (T267 &lt;&gt; 0)</f>
        <v>0</v>
      </c>
      <c r="U312" s="52">
        <f ca="1" xml:space="preserve"> (SUM(V267:$CO267) = 0) * (U267 &lt;&gt; 0)</f>
        <v>0</v>
      </c>
      <c r="V312" s="52">
        <f ca="1" xml:space="preserve"> (SUM(W267:$CO267) = 0) * (V267 &lt;&gt; 0)</f>
        <v>0</v>
      </c>
      <c r="W312" s="52">
        <f ca="1" xml:space="preserve"> (SUM(X267:$CO267) = 0) * (W267 &lt;&gt; 0)</f>
        <v>0</v>
      </c>
      <c r="X312" s="52">
        <f ca="1" xml:space="preserve"> (SUM(Y267:$CO267) = 0) * (X267 &lt;&gt; 0)</f>
        <v>0</v>
      </c>
      <c r="Y312" s="52">
        <f ca="1" xml:space="preserve"> (SUM(Z267:$CO267) = 0) * (Y267 &lt;&gt; 0)</f>
        <v>0</v>
      </c>
      <c r="Z312" s="52">
        <f ca="1" xml:space="preserve"> (SUM(AA267:$CO267) = 0) * (Z267 &lt;&gt; 0)</f>
        <v>0</v>
      </c>
      <c r="AA312" s="52">
        <f ca="1" xml:space="preserve"> (SUM(AB267:$CO267) = 0) * (AA267 &lt;&gt; 0)</f>
        <v>0</v>
      </c>
      <c r="AB312" s="52">
        <f ca="1" xml:space="preserve"> (SUM(AC267:$CO267) = 0) * (AB267 &lt;&gt; 0)</f>
        <v>0</v>
      </c>
      <c r="AC312" s="52">
        <f ca="1" xml:space="preserve"> (SUM(AD267:$CO267) = 0) * (AC267 &lt;&gt; 0)</f>
        <v>0</v>
      </c>
      <c r="AD312" s="52">
        <f ca="1" xml:space="preserve"> (SUM(AE267:$CO267) = 0) * (AD267 &lt;&gt; 0)</f>
        <v>0</v>
      </c>
      <c r="AE312" s="52">
        <f ca="1" xml:space="preserve"> (SUM(AF267:$CO267) = 0) * (AE267 &lt;&gt; 0)</f>
        <v>0</v>
      </c>
      <c r="AF312" s="52">
        <f ca="1" xml:space="preserve"> (SUM(AG267:$CO267) = 0) * (AF267 &lt;&gt; 0)</f>
        <v>0</v>
      </c>
      <c r="AG312" s="52">
        <f ca="1" xml:space="preserve"> (SUM(AH267:$CO267) = 0) * (AG267 &lt;&gt; 0)</f>
        <v>0</v>
      </c>
      <c r="AH312" s="52">
        <f ca="1" xml:space="preserve"> (SUM(AI267:$CO267) = 0) * (AH267 &lt;&gt; 0)</f>
        <v>0</v>
      </c>
      <c r="AI312" s="52">
        <f ca="1" xml:space="preserve"> (SUM(AJ267:$CO267) = 0) * (AI267 &lt;&gt; 0)</f>
        <v>0</v>
      </c>
      <c r="AJ312" s="52">
        <f ca="1" xml:space="preserve"> (SUM(AK267:$CO267) = 0) * (AJ267 &lt;&gt; 0)</f>
        <v>0</v>
      </c>
      <c r="AK312" s="52">
        <f ca="1" xml:space="preserve"> (SUM(AL267:$CO267) = 0) * (AK267 &lt;&gt; 0)</f>
        <v>0</v>
      </c>
      <c r="AL312" s="52">
        <f ca="1" xml:space="preserve"> (SUM(AM267:$CO267) = 0) * (AL267 &lt;&gt; 0)</f>
        <v>0</v>
      </c>
      <c r="AM312" s="52">
        <f ca="1" xml:space="preserve"> (SUM(AN267:$CO267) = 0) * (AM267 &lt;&gt; 0)</f>
        <v>0</v>
      </c>
      <c r="AN312" s="52">
        <f ca="1" xml:space="preserve"> (SUM(AO267:$CO267) = 0) * (AN267 &lt;&gt; 0)</f>
        <v>0</v>
      </c>
      <c r="AO312" s="52">
        <f ca="1" xml:space="preserve"> (SUM(AP267:$CO267) = 0) * (AO267 &lt;&gt; 0)</f>
        <v>0</v>
      </c>
      <c r="AP312" s="52">
        <f ca="1" xml:space="preserve"> (SUM(AQ267:$CO267) = 0) * (AP267 &lt;&gt; 0)</f>
        <v>0</v>
      </c>
      <c r="AQ312" s="52">
        <f ca="1" xml:space="preserve"> (SUM(AR267:$CO267) = 0) * (AQ267 &lt;&gt; 0)</f>
        <v>0</v>
      </c>
      <c r="AR312" s="52">
        <f ca="1" xml:space="preserve"> (SUM(AS267:$CO267) = 0) * (AR267 &lt;&gt; 0)</f>
        <v>0</v>
      </c>
      <c r="AS312" s="52">
        <f ca="1" xml:space="preserve"> (SUM(AT267:$CO267) = 0) * (AS267 &lt;&gt; 0)</f>
        <v>0</v>
      </c>
      <c r="AT312" s="52">
        <f ca="1" xml:space="preserve"> (SUM(AU267:$CO267) = 0) * (AT267 &lt;&gt; 0)</f>
        <v>0</v>
      </c>
      <c r="AU312" s="52">
        <f ca="1" xml:space="preserve"> (SUM(AV267:$CO267) = 0) * (AU267 &lt;&gt; 0)</f>
        <v>0</v>
      </c>
      <c r="AV312" s="52">
        <f ca="1" xml:space="preserve"> (SUM(AW267:$CO267) = 0) * (AV267 &lt;&gt; 0)</f>
        <v>0</v>
      </c>
      <c r="AW312" s="52">
        <f ca="1" xml:space="preserve"> (SUM(AX267:$CO267) = 0) * (AW267 &lt;&gt; 0)</f>
        <v>0</v>
      </c>
      <c r="AX312" s="52">
        <f ca="1" xml:space="preserve"> (SUM(AY267:$CO267) = 0) * (AX267 &lt;&gt; 0)</f>
        <v>0</v>
      </c>
      <c r="AY312" s="52">
        <f ca="1" xml:space="preserve"> (SUM(AZ267:$CO267) = 0) * (AY267 &lt;&gt; 0)</f>
        <v>0</v>
      </c>
      <c r="AZ312" s="52">
        <f ca="1" xml:space="preserve"> (SUM(BA267:$CO267) = 0) * (AZ267 &lt;&gt; 0)</f>
        <v>0</v>
      </c>
      <c r="BA312" s="52">
        <f ca="1" xml:space="preserve"> (SUM(BB267:$CO267) = 0) * (BA267 &lt;&gt; 0)</f>
        <v>0</v>
      </c>
      <c r="BB312" s="52">
        <f ca="1" xml:space="preserve"> (SUM(BC267:$CO267) = 0) * (BB267 &lt;&gt; 0)</f>
        <v>0</v>
      </c>
      <c r="BC312" s="52">
        <f ca="1" xml:space="preserve"> (SUM(BD267:$CO267) = 0) * (BC267 &lt;&gt; 0)</f>
        <v>0</v>
      </c>
      <c r="BD312" s="52">
        <f ca="1" xml:space="preserve"> (SUM(BE267:$CO267) = 0) * (BD267 &lt;&gt; 0)</f>
        <v>0</v>
      </c>
      <c r="BE312" s="52">
        <f ca="1" xml:space="preserve"> (SUM(BF267:$CO267) = 0) * (BE267 &lt;&gt; 0)</f>
        <v>0</v>
      </c>
      <c r="BF312" s="52">
        <f ca="1" xml:space="preserve"> (SUM(BG267:$CO267) = 0) * (BF267 &lt;&gt; 0)</f>
        <v>0</v>
      </c>
      <c r="BG312" s="52">
        <f ca="1" xml:space="preserve"> (SUM(BH267:$CO267) = 0) * (BG267 &lt;&gt; 0)</f>
        <v>0</v>
      </c>
      <c r="BH312" s="52">
        <f ca="1" xml:space="preserve"> (SUM(BI267:$CO267) = 0) * (BH267 &lt;&gt; 0)</f>
        <v>0</v>
      </c>
      <c r="BI312" s="52">
        <f ca="1" xml:space="preserve"> (SUM(BJ267:$CO267) = 0) * (BI267 &lt;&gt; 0)</f>
        <v>0</v>
      </c>
      <c r="BJ312" s="52">
        <f ca="1" xml:space="preserve"> (SUM(BK267:$CO267) = 0) * (BJ267 &lt;&gt; 0)</f>
        <v>0</v>
      </c>
      <c r="BK312" s="52">
        <f ca="1" xml:space="preserve"> (SUM(BL267:$CO267) = 0) * (BK267 &lt;&gt; 0)</f>
        <v>0</v>
      </c>
      <c r="BL312" s="52">
        <f ca="1" xml:space="preserve"> (SUM(BM267:$CO267) = 0) * (BL267 &lt;&gt; 0)</f>
        <v>0</v>
      </c>
      <c r="BM312" s="52">
        <f ca="1" xml:space="preserve"> (SUM(BN267:$CO267) = 0) * (BM267 &lt;&gt; 0)</f>
        <v>0</v>
      </c>
      <c r="BN312" s="52">
        <f ca="1" xml:space="preserve"> (SUM(BO267:$CO267) = 0) * (BN267 &lt;&gt; 0)</f>
        <v>0</v>
      </c>
      <c r="BO312" s="52">
        <f ca="1" xml:space="preserve"> (SUM(BP267:$CO267) = 0) * (BO267 &lt;&gt; 0)</f>
        <v>0</v>
      </c>
      <c r="BP312" s="52">
        <f ca="1" xml:space="preserve"> (SUM(BQ267:$CO267) = 0) * (BP267 &lt;&gt; 0)</f>
        <v>0</v>
      </c>
      <c r="BQ312" s="52">
        <f ca="1" xml:space="preserve"> (SUM(BR267:$CO267) = 0) * (BQ267 &lt;&gt; 0)</f>
        <v>0</v>
      </c>
      <c r="BR312" s="52">
        <f ca="1" xml:space="preserve"> (SUM(BS267:$CO267) = 0) * (BR267 &lt;&gt; 0)</f>
        <v>0</v>
      </c>
      <c r="BS312" s="52">
        <f ca="1" xml:space="preserve"> (SUM(BT267:$CO267) = 0) * (BS267 &lt;&gt; 0)</f>
        <v>0</v>
      </c>
      <c r="BT312" s="52">
        <f ca="1" xml:space="preserve"> (SUM(BU267:$CO267) = 0) * (BT267 &lt;&gt; 0)</f>
        <v>0</v>
      </c>
      <c r="BU312" s="52">
        <f ca="1" xml:space="preserve"> (SUM(BV267:$CO267) = 0) * (BU267 &lt;&gt; 0)</f>
        <v>0</v>
      </c>
      <c r="BV312" s="52">
        <f ca="1" xml:space="preserve"> (SUM(BW267:$CO267) = 0) * (BV267 &lt;&gt; 0)</f>
        <v>0</v>
      </c>
      <c r="BW312" s="52">
        <f ca="1" xml:space="preserve"> (SUM(BX267:$CO267) = 0) * (BW267 &lt;&gt; 0)</f>
        <v>0</v>
      </c>
      <c r="BX312" s="52">
        <f ca="1" xml:space="preserve"> (SUM(BY267:$CO267) = 0) * (BX267 &lt;&gt; 0)</f>
        <v>0</v>
      </c>
      <c r="BY312" s="52">
        <f ca="1" xml:space="preserve"> (SUM(BZ267:$CO267) = 0) * (BY267 &lt;&gt; 0)</f>
        <v>0</v>
      </c>
      <c r="BZ312" s="52">
        <f ca="1" xml:space="preserve"> (SUM(CA267:$CO267) = 0) * (BZ267 &lt;&gt; 0)</f>
        <v>0</v>
      </c>
      <c r="CA312" s="52">
        <f ca="1" xml:space="preserve"> (SUM(CB267:$CO267) = 0) * (CA267 &lt;&gt; 0)</f>
        <v>0</v>
      </c>
      <c r="CB312" s="52">
        <f ca="1" xml:space="preserve"> (SUM(CC267:$CO267) = 0) * (CB267 &lt;&gt; 0)</f>
        <v>0</v>
      </c>
      <c r="CC312" s="52">
        <f ca="1" xml:space="preserve"> (SUM(CD267:$CO267) = 0) * (CC267 &lt;&gt; 0)</f>
        <v>0</v>
      </c>
      <c r="CD312" s="52">
        <f ca="1" xml:space="preserve"> (SUM(CE267:$CO267) = 0) * (CD267 &lt;&gt; 0)</f>
        <v>0</v>
      </c>
      <c r="CE312" s="52">
        <f ca="1" xml:space="preserve"> (SUM(CF267:$CO267) = 0) * (CE267 &lt;&gt; 0)</f>
        <v>0</v>
      </c>
      <c r="CF312" s="52">
        <f ca="1" xml:space="preserve"> (SUM(CG267:$CO267) = 0) * (CF267 &lt;&gt; 0)</f>
        <v>0</v>
      </c>
      <c r="CG312" s="52">
        <f ca="1" xml:space="preserve"> (SUM(CH267:$CO267) = 0) * (CG267 &lt;&gt; 0)</f>
        <v>0</v>
      </c>
      <c r="CH312" s="52">
        <f ca="1" xml:space="preserve"> (SUM(CI267:$CO267) = 0) * (CH267 &lt;&gt; 0)</f>
        <v>0</v>
      </c>
      <c r="CI312" s="52">
        <f ca="1" xml:space="preserve"> (SUM(CJ267:$CO267) = 0) * (CI267 &lt;&gt; 0)</f>
        <v>0</v>
      </c>
      <c r="CJ312" s="52">
        <f ca="1" xml:space="preserve"> (SUM(CK267:$CO267) = 0) * (CJ267 &lt;&gt; 0)</f>
        <v>0</v>
      </c>
      <c r="CK312" s="52">
        <f ca="1" xml:space="preserve"> (SUM(CL267:$CO267) = 0) * (CK267 &lt;&gt; 0)</f>
        <v>0</v>
      </c>
      <c r="CL312" s="52">
        <f ca="1" xml:space="preserve"> (SUM(CM267:$CO267) = 0) * (CL267 &lt;&gt; 0)</f>
        <v>0</v>
      </c>
      <c r="CM312" s="52">
        <f ca="1" xml:space="preserve"> (SUM(CN267:$CO267) = 0) * (CM267 &lt;&gt; 0)</f>
        <v>0</v>
      </c>
      <c r="CN312" s="52">
        <f ca="1" xml:space="preserve"> (SUM(CO267:$CO267) = 0) * (CN267 &lt;&gt; 0)</f>
        <v>0</v>
      </c>
      <c r="CO312" s="52">
        <f ca="1" xml:space="preserve"> (SUM($CO267:CP267) = 0) * (CO267 &lt;&gt; 0)</f>
        <v>0</v>
      </c>
    </row>
    <row r="313" spans="1:93">
      <c r="A313" s="77"/>
      <c r="B313" s="10"/>
      <c r="C313" s="21" t="str">
        <f xml:space="preserve"> "Флаг - ввод в эксплуатацию - " &amp; C95</f>
        <v>Флаг - ввод в эксплуатацию - Сегмент 1: Объект размещения (отель)</v>
      </c>
      <c r="D313" s="10"/>
      <c r="E313" s="62"/>
      <c r="F313" s="11"/>
      <c r="G313" s="134" t="str">
        <f t="shared" ca="1" si="460"/>
        <v>0..1</v>
      </c>
      <c r="H313" s="10"/>
      <c r="I313" s="23">
        <f t="shared" ca="1" si="461"/>
        <v>1</v>
      </c>
      <c r="J313" s="10"/>
      <c r="K313" s="10"/>
      <c r="L313" s="52">
        <f ca="1" xml:space="preserve"> (SUM(M268:$CO268) = 0) * (L268 &lt;&gt; 0)</f>
        <v>0</v>
      </c>
      <c r="M313" s="52">
        <f ca="1" xml:space="preserve"> (SUM(N268:$CO268) = 0) * (M268 &lt;&gt; 0)</f>
        <v>0</v>
      </c>
      <c r="N313" s="52">
        <f ca="1" xml:space="preserve"> (SUM(O268:$CO268) = 0) * (N268 &lt;&gt; 0)</f>
        <v>0</v>
      </c>
      <c r="O313" s="52">
        <f ca="1" xml:space="preserve"> (SUM(P268:$CO268) = 0) * (O268 &lt;&gt; 0)</f>
        <v>0</v>
      </c>
      <c r="P313" s="52">
        <f ca="1" xml:space="preserve"> (SUM(Q268:$CO268) = 0) * (P268 &lt;&gt; 0)</f>
        <v>0</v>
      </c>
      <c r="Q313" s="52">
        <f ca="1" xml:space="preserve"> (SUM(R268:$CO268) = 0) * (Q268 &lt;&gt; 0)</f>
        <v>0</v>
      </c>
      <c r="R313" s="52">
        <f ca="1" xml:space="preserve"> (SUM(S268:$CO268) = 0) * (R268 &lt;&gt; 0)</f>
        <v>0</v>
      </c>
      <c r="S313" s="52">
        <f ca="1" xml:space="preserve"> (SUM(T268:$CO268) = 0) * (S268 &lt;&gt; 0)</f>
        <v>0</v>
      </c>
      <c r="T313" s="52">
        <f ca="1" xml:space="preserve"> (SUM(U268:$CO268) = 0) * (T268 &lt;&gt; 0)</f>
        <v>0</v>
      </c>
      <c r="U313" s="52">
        <f ca="1" xml:space="preserve"> (SUM(V268:$CO268) = 0) * (U268 &lt;&gt; 0)</f>
        <v>0</v>
      </c>
      <c r="V313" s="52">
        <f ca="1" xml:space="preserve"> (SUM(W268:$CO268) = 0) * (V268 &lt;&gt; 0)</f>
        <v>0</v>
      </c>
      <c r="W313" s="52">
        <f ca="1" xml:space="preserve"> (SUM(X268:$CO268) = 0) * (W268 &lt;&gt; 0)</f>
        <v>0</v>
      </c>
      <c r="X313" s="52">
        <f ca="1" xml:space="preserve"> (SUM(Y268:$CO268) = 0) * (X268 &lt;&gt; 0)</f>
        <v>0</v>
      </c>
      <c r="Y313" s="52">
        <f ca="1" xml:space="preserve"> (SUM(Z268:$CO268) = 0) * (Y268 &lt;&gt; 0)</f>
        <v>0</v>
      </c>
      <c r="Z313" s="52">
        <f ca="1" xml:space="preserve"> (SUM(AA268:$CO268) = 0) * (Z268 &lt;&gt; 0)</f>
        <v>0</v>
      </c>
      <c r="AA313" s="52">
        <f ca="1" xml:space="preserve"> (SUM(AB268:$CO268) = 0) * (AA268 &lt;&gt; 0)</f>
        <v>0</v>
      </c>
      <c r="AB313" s="52">
        <f ca="1" xml:space="preserve"> (SUM(AC268:$CO268) = 0) * (AB268 &lt;&gt; 0)</f>
        <v>1</v>
      </c>
      <c r="AC313" s="52">
        <f ca="1" xml:space="preserve"> (SUM(AD268:$CO268) = 0) * (AC268 &lt;&gt; 0)</f>
        <v>0</v>
      </c>
      <c r="AD313" s="52">
        <f ca="1" xml:space="preserve"> (SUM(AE268:$CO268) = 0) * (AD268 &lt;&gt; 0)</f>
        <v>0</v>
      </c>
      <c r="AE313" s="52">
        <f ca="1" xml:space="preserve"> (SUM(AF268:$CO268) = 0) * (AE268 &lt;&gt; 0)</f>
        <v>0</v>
      </c>
      <c r="AF313" s="52">
        <f ca="1" xml:space="preserve"> (SUM(AG268:$CO268) = 0) * (AF268 &lt;&gt; 0)</f>
        <v>0</v>
      </c>
      <c r="AG313" s="52">
        <f ca="1" xml:space="preserve"> (SUM(AH268:$CO268) = 0) * (AG268 &lt;&gt; 0)</f>
        <v>0</v>
      </c>
      <c r="AH313" s="52">
        <f ca="1" xml:space="preserve"> (SUM(AI268:$CO268) = 0) * (AH268 &lt;&gt; 0)</f>
        <v>0</v>
      </c>
      <c r="AI313" s="52">
        <f ca="1" xml:space="preserve"> (SUM(AJ268:$CO268) = 0) * (AI268 &lt;&gt; 0)</f>
        <v>0</v>
      </c>
      <c r="AJ313" s="52">
        <f ca="1" xml:space="preserve"> (SUM(AK268:$CO268) = 0) * (AJ268 &lt;&gt; 0)</f>
        <v>0</v>
      </c>
      <c r="AK313" s="52">
        <f ca="1" xml:space="preserve"> (SUM(AL268:$CO268) = 0) * (AK268 &lt;&gt; 0)</f>
        <v>0</v>
      </c>
      <c r="AL313" s="52">
        <f ca="1" xml:space="preserve"> (SUM(AM268:$CO268) = 0) * (AL268 &lt;&gt; 0)</f>
        <v>0</v>
      </c>
      <c r="AM313" s="52">
        <f ca="1" xml:space="preserve"> (SUM(AN268:$CO268) = 0) * (AM268 &lt;&gt; 0)</f>
        <v>0</v>
      </c>
      <c r="AN313" s="52">
        <f ca="1" xml:space="preserve"> (SUM(AO268:$CO268) = 0) * (AN268 &lt;&gt; 0)</f>
        <v>0</v>
      </c>
      <c r="AO313" s="52">
        <f ca="1" xml:space="preserve"> (SUM(AP268:$CO268) = 0) * (AO268 &lt;&gt; 0)</f>
        <v>0</v>
      </c>
      <c r="AP313" s="52">
        <f ca="1" xml:space="preserve"> (SUM(AQ268:$CO268) = 0) * (AP268 &lt;&gt; 0)</f>
        <v>0</v>
      </c>
      <c r="AQ313" s="52">
        <f ca="1" xml:space="preserve"> (SUM(AR268:$CO268) = 0) * (AQ268 &lt;&gt; 0)</f>
        <v>0</v>
      </c>
      <c r="AR313" s="52">
        <f ca="1" xml:space="preserve"> (SUM(AS268:$CO268) = 0) * (AR268 &lt;&gt; 0)</f>
        <v>0</v>
      </c>
      <c r="AS313" s="52">
        <f ca="1" xml:space="preserve"> (SUM(AT268:$CO268) = 0) * (AS268 &lt;&gt; 0)</f>
        <v>0</v>
      </c>
      <c r="AT313" s="52">
        <f ca="1" xml:space="preserve"> (SUM(AU268:$CO268) = 0) * (AT268 &lt;&gt; 0)</f>
        <v>0</v>
      </c>
      <c r="AU313" s="52">
        <f ca="1" xml:space="preserve"> (SUM(AV268:$CO268) = 0) * (AU268 &lt;&gt; 0)</f>
        <v>0</v>
      </c>
      <c r="AV313" s="52">
        <f ca="1" xml:space="preserve"> (SUM(AW268:$CO268) = 0) * (AV268 &lt;&gt; 0)</f>
        <v>0</v>
      </c>
      <c r="AW313" s="52">
        <f ca="1" xml:space="preserve"> (SUM(AX268:$CO268) = 0) * (AW268 &lt;&gt; 0)</f>
        <v>0</v>
      </c>
      <c r="AX313" s="52">
        <f ca="1" xml:space="preserve"> (SUM(AY268:$CO268) = 0) * (AX268 &lt;&gt; 0)</f>
        <v>0</v>
      </c>
      <c r="AY313" s="52">
        <f ca="1" xml:space="preserve"> (SUM(AZ268:$CO268) = 0) * (AY268 &lt;&gt; 0)</f>
        <v>0</v>
      </c>
      <c r="AZ313" s="52">
        <f ca="1" xml:space="preserve"> (SUM(BA268:$CO268) = 0) * (AZ268 &lt;&gt; 0)</f>
        <v>0</v>
      </c>
      <c r="BA313" s="52">
        <f ca="1" xml:space="preserve"> (SUM(BB268:$CO268) = 0) * (BA268 &lt;&gt; 0)</f>
        <v>0</v>
      </c>
      <c r="BB313" s="52">
        <f ca="1" xml:space="preserve"> (SUM(BC268:$CO268) = 0) * (BB268 &lt;&gt; 0)</f>
        <v>0</v>
      </c>
      <c r="BC313" s="52">
        <f ca="1" xml:space="preserve"> (SUM(BD268:$CO268) = 0) * (BC268 &lt;&gt; 0)</f>
        <v>0</v>
      </c>
      <c r="BD313" s="52">
        <f ca="1" xml:space="preserve"> (SUM(BE268:$CO268) = 0) * (BD268 &lt;&gt; 0)</f>
        <v>0</v>
      </c>
      <c r="BE313" s="52">
        <f ca="1" xml:space="preserve"> (SUM(BF268:$CO268) = 0) * (BE268 &lt;&gt; 0)</f>
        <v>0</v>
      </c>
      <c r="BF313" s="52">
        <f ca="1" xml:space="preserve"> (SUM(BG268:$CO268) = 0) * (BF268 &lt;&gt; 0)</f>
        <v>0</v>
      </c>
      <c r="BG313" s="52">
        <f ca="1" xml:space="preserve"> (SUM(BH268:$CO268) = 0) * (BG268 &lt;&gt; 0)</f>
        <v>0</v>
      </c>
      <c r="BH313" s="52">
        <f ca="1" xml:space="preserve"> (SUM(BI268:$CO268) = 0) * (BH268 &lt;&gt; 0)</f>
        <v>0</v>
      </c>
      <c r="BI313" s="52">
        <f ca="1" xml:space="preserve"> (SUM(BJ268:$CO268) = 0) * (BI268 &lt;&gt; 0)</f>
        <v>0</v>
      </c>
      <c r="BJ313" s="52">
        <f ca="1" xml:space="preserve"> (SUM(BK268:$CO268) = 0) * (BJ268 &lt;&gt; 0)</f>
        <v>0</v>
      </c>
      <c r="BK313" s="52">
        <f ca="1" xml:space="preserve"> (SUM(BL268:$CO268) = 0) * (BK268 &lt;&gt; 0)</f>
        <v>0</v>
      </c>
      <c r="BL313" s="52">
        <f ca="1" xml:space="preserve"> (SUM(BM268:$CO268) = 0) * (BL268 &lt;&gt; 0)</f>
        <v>0</v>
      </c>
      <c r="BM313" s="52">
        <f ca="1" xml:space="preserve"> (SUM(BN268:$CO268) = 0) * (BM268 &lt;&gt; 0)</f>
        <v>0</v>
      </c>
      <c r="BN313" s="52">
        <f ca="1" xml:space="preserve"> (SUM(BO268:$CO268) = 0) * (BN268 &lt;&gt; 0)</f>
        <v>0</v>
      </c>
      <c r="BO313" s="52">
        <f ca="1" xml:space="preserve"> (SUM(BP268:$CO268) = 0) * (BO268 &lt;&gt; 0)</f>
        <v>0</v>
      </c>
      <c r="BP313" s="52">
        <f ca="1" xml:space="preserve"> (SUM(BQ268:$CO268) = 0) * (BP268 &lt;&gt; 0)</f>
        <v>0</v>
      </c>
      <c r="BQ313" s="52">
        <f ca="1" xml:space="preserve"> (SUM(BR268:$CO268) = 0) * (BQ268 &lt;&gt; 0)</f>
        <v>0</v>
      </c>
      <c r="BR313" s="52">
        <f ca="1" xml:space="preserve"> (SUM(BS268:$CO268) = 0) * (BR268 &lt;&gt; 0)</f>
        <v>0</v>
      </c>
      <c r="BS313" s="52">
        <f ca="1" xml:space="preserve"> (SUM(BT268:$CO268) = 0) * (BS268 &lt;&gt; 0)</f>
        <v>0</v>
      </c>
      <c r="BT313" s="52">
        <f ca="1" xml:space="preserve"> (SUM(BU268:$CO268) = 0) * (BT268 &lt;&gt; 0)</f>
        <v>0</v>
      </c>
      <c r="BU313" s="52">
        <f ca="1" xml:space="preserve"> (SUM(BV268:$CO268) = 0) * (BU268 &lt;&gt; 0)</f>
        <v>0</v>
      </c>
      <c r="BV313" s="52">
        <f ca="1" xml:space="preserve"> (SUM(BW268:$CO268) = 0) * (BV268 &lt;&gt; 0)</f>
        <v>0</v>
      </c>
      <c r="BW313" s="52">
        <f ca="1" xml:space="preserve"> (SUM(BX268:$CO268) = 0) * (BW268 &lt;&gt; 0)</f>
        <v>0</v>
      </c>
      <c r="BX313" s="52">
        <f ca="1" xml:space="preserve"> (SUM(BY268:$CO268) = 0) * (BX268 &lt;&gt; 0)</f>
        <v>0</v>
      </c>
      <c r="BY313" s="52">
        <f ca="1" xml:space="preserve"> (SUM(BZ268:$CO268) = 0) * (BY268 &lt;&gt; 0)</f>
        <v>0</v>
      </c>
      <c r="BZ313" s="52">
        <f ca="1" xml:space="preserve"> (SUM(CA268:$CO268) = 0) * (BZ268 &lt;&gt; 0)</f>
        <v>0</v>
      </c>
      <c r="CA313" s="52">
        <f ca="1" xml:space="preserve"> (SUM(CB268:$CO268) = 0) * (CA268 &lt;&gt; 0)</f>
        <v>0</v>
      </c>
      <c r="CB313" s="52">
        <f ca="1" xml:space="preserve"> (SUM(CC268:$CO268) = 0) * (CB268 &lt;&gt; 0)</f>
        <v>0</v>
      </c>
      <c r="CC313" s="52">
        <f ca="1" xml:space="preserve"> (SUM(CD268:$CO268) = 0) * (CC268 &lt;&gt; 0)</f>
        <v>0</v>
      </c>
      <c r="CD313" s="52">
        <f ca="1" xml:space="preserve"> (SUM(CE268:$CO268) = 0) * (CD268 &lt;&gt; 0)</f>
        <v>0</v>
      </c>
      <c r="CE313" s="52">
        <f ca="1" xml:space="preserve"> (SUM(CF268:$CO268) = 0) * (CE268 &lt;&gt; 0)</f>
        <v>0</v>
      </c>
      <c r="CF313" s="52">
        <f ca="1" xml:space="preserve"> (SUM(CG268:$CO268) = 0) * (CF268 &lt;&gt; 0)</f>
        <v>0</v>
      </c>
      <c r="CG313" s="52">
        <f ca="1" xml:space="preserve"> (SUM(CH268:$CO268) = 0) * (CG268 &lt;&gt; 0)</f>
        <v>0</v>
      </c>
      <c r="CH313" s="52">
        <f ca="1" xml:space="preserve"> (SUM(CI268:$CO268) = 0) * (CH268 &lt;&gt; 0)</f>
        <v>0</v>
      </c>
      <c r="CI313" s="52">
        <f ca="1" xml:space="preserve"> (SUM(CJ268:$CO268) = 0) * (CI268 &lt;&gt; 0)</f>
        <v>0</v>
      </c>
      <c r="CJ313" s="52">
        <f ca="1" xml:space="preserve"> (SUM(CK268:$CO268) = 0) * (CJ268 &lt;&gt; 0)</f>
        <v>0</v>
      </c>
      <c r="CK313" s="52">
        <f ca="1" xml:space="preserve"> (SUM(CL268:$CO268) = 0) * (CK268 &lt;&gt; 0)</f>
        <v>0</v>
      </c>
      <c r="CL313" s="52">
        <f ca="1" xml:space="preserve"> (SUM(CM268:$CO268) = 0) * (CL268 &lt;&gt; 0)</f>
        <v>0</v>
      </c>
      <c r="CM313" s="52">
        <f ca="1" xml:space="preserve"> (SUM(CN268:$CO268) = 0) * (CM268 &lt;&gt; 0)</f>
        <v>0</v>
      </c>
      <c r="CN313" s="52">
        <f ca="1" xml:space="preserve"> (SUM(CO268:$CO268) = 0) * (CN268 &lt;&gt; 0)</f>
        <v>0</v>
      </c>
      <c r="CO313" s="52">
        <f ca="1" xml:space="preserve"> (SUM($CO268:CP268) = 0) * (CO268 &lt;&gt; 0)</f>
        <v>0</v>
      </c>
    </row>
    <row r="314" spans="1:93">
      <c r="A314" s="77"/>
      <c r="B314" s="10"/>
      <c r="C314" s="21" t="s">
        <v>1104</v>
      </c>
      <c r="D314" s="10"/>
      <c r="E314" s="62"/>
      <c r="F314" s="11"/>
      <c r="G314" s="134" t="str">
        <f t="shared" si="460"/>
        <v>0..0</v>
      </c>
      <c r="H314" s="10"/>
      <c r="I314" s="23">
        <f>SUM(L314:CO314)</f>
        <v>0</v>
      </c>
      <c r="J314" s="10"/>
      <c r="K314" s="10"/>
      <c r="L314" s="52">
        <f xml:space="preserve"> (Beginning_of_period &lt;=Предпосылки!$E$156) * (End_of_period &gt;=Предпосылки!$E$156)</f>
        <v>0</v>
      </c>
      <c r="M314" s="52">
        <f xml:space="preserve"> (Beginning_of_period &lt;=Предпосылки!$E$156) * (End_of_period &gt;=Предпосылки!$E$156)</f>
        <v>0</v>
      </c>
      <c r="N314" s="52">
        <f xml:space="preserve"> (Beginning_of_period &lt;=Предпосылки!$E$156) * (End_of_period &gt;=Предпосылки!$E$156)</f>
        <v>0</v>
      </c>
      <c r="O314" s="52">
        <f xml:space="preserve"> (Beginning_of_period &lt;=Предпосылки!$E$156) * (End_of_period &gt;=Предпосылки!$E$156)</f>
        <v>0</v>
      </c>
      <c r="P314" s="52">
        <f xml:space="preserve"> (Beginning_of_period &lt;=Предпосылки!$E$156) * (End_of_period &gt;=Предпосылки!$E$156)</f>
        <v>0</v>
      </c>
      <c r="Q314" s="52">
        <f xml:space="preserve"> (Beginning_of_period &lt;=Предпосылки!$E$156) * (End_of_period &gt;=Предпосылки!$E$156)</f>
        <v>0</v>
      </c>
      <c r="R314" s="52">
        <f xml:space="preserve"> (Beginning_of_period &lt;=Предпосылки!$E$156) * (End_of_period &gt;=Предпосылки!$E$156)</f>
        <v>0</v>
      </c>
      <c r="S314" s="52">
        <f xml:space="preserve"> (Beginning_of_period &lt;=Предпосылки!$E$156) * (End_of_period &gt;=Предпосылки!$E$156)</f>
        <v>0</v>
      </c>
      <c r="T314" s="52">
        <f xml:space="preserve"> (Beginning_of_period &lt;=Предпосылки!$E$156) * (End_of_period &gt;=Предпосылки!$E$156)</f>
        <v>0</v>
      </c>
      <c r="U314" s="52">
        <f xml:space="preserve"> (Beginning_of_period &lt;=Предпосылки!$E$156) * (End_of_period &gt;=Предпосылки!$E$156)</f>
        <v>0</v>
      </c>
      <c r="V314" s="52">
        <f xml:space="preserve"> (Beginning_of_period &lt;=Предпосылки!$E$156) * (End_of_period &gt;=Предпосылки!$E$156)</f>
        <v>0</v>
      </c>
      <c r="W314" s="52">
        <f xml:space="preserve"> (Beginning_of_period &lt;=Предпосылки!$E$156) * (End_of_period &gt;=Предпосылки!$E$156)</f>
        <v>0</v>
      </c>
      <c r="X314" s="52">
        <f xml:space="preserve"> (Beginning_of_period &lt;=Предпосылки!$E$156) * (End_of_period &gt;=Предпосылки!$E$156)</f>
        <v>0</v>
      </c>
      <c r="Y314" s="52">
        <f xml:space="preserve"> (Beginning_of_period &lt;=Предпосылки!$E$156) * (End_of_period &gt;=Предпосылки!$E$156)</f>
        <v>0</v>
      </c>
      <c r="Z314" s="52">
        <f xml:space="preserve"> (Beginning_of_period &lt;=Предпосылки!$E$156) * (End_of_period &gt;=Предпосылки!$E$156)</f>
        <v>0</v>
      </c>
      <c r="AA314" s="52">
        <f xml:space="preserve"> (Beginning_of_period &lt;=Предпосылки!$E$156) * (End_of_period &gt;=Предпосылки!$E$156)</f>
        <v>0</v>
      </c>
      <c r="AB314" s="52">
        <f xml:space="preserve"> (Beginning_of_period &lt;=Предпосылки!$E$156) * (End_of_period &gt;=Предпосылки!$E$156)</f>
        <v>0</v>
      </c>
      <c r="AC314" s="52">
        <f xml:space="preserve"> (Beginning_of_period &lt;=Предпосылки!$E$156) * (End_of_period &gt;=Предпосылки!$E$156)</f>
        <v>0</v>
      </c>
      <c r="AD314" s="52">
        <f xml:space="preserve"> (Beginning_of_period &lt;=Предпосылки!$E$156) * (End_of_period &gt;=Предпосылки!$E$156)</f>
        <v>0</v>
      </c>
      <c r="AE314" s="52">
        <f xml:space="preserve"> (Beginning_of_period &lt;=Предпосылки!$E$156) * (End_of_period &gt;=Предпосылки!$E$156)</f>
        <v>0</v>
      </c>
      <c r="AF314" s="52">
        <f xml:space="preserve"> (Beginning_of_period &lt;=Предпосылки!$E$156) * (End_of_period &gt;=Предпосылки!$E$156)</f>
        <v>0</v>
      </c>
      <c r="AG314" s="52">
        <f xml:space="preserve"> (Beginning_of_period &lt;=Предпосылки!$E$156) * (End_of_period &gt;=Предпосылки!$E$156)</f>
        <v>0</v>
      </c>
      <c r="AH314" s="52">
        <f xml:space="preserve"> (Beginning_of_period &lt;=Предпосылки!$E$156) * (End_of_period &gt;=Предпосылки!$E$156)</f>
        <v>0</v>
      </c>
      <c r="AI314" s="52">
        <f xml:space="preserve"> (Beginning_of_period &lt;=Предпосылки!$E$156) * (End_of_period &gt;=Предпосылки!$E$156)</f>
        <v>0</v>
      </c>
      <c r="AJ314" s="52">
        <f xml:space="preserve"> (Beginning_of_period &lt;=Предпосылки!$E$156) * (End_of_period &gt;=Предпосылки!$E$156)</f>
        <v>0</v>
      </c>
      <c r="AK314" s="52">
        <f xml:space="preserve"> (Beginning_of_period &lt;=Предпосылки!$E$156) * (End_of_period &gt;=Предпосылки!$E$156)</f>
        <v>0</v>
      </c>
      <c r="AL314" s="52">
        <f xml:space="preserve"> (Beginning_of_period &lt;=Предпосылки!$E$156) * (End_of_period &gt;=Предпосылки!$E$156)</f>
        <v>0</v>
      </c>
      <c r="AM314" s="52">
        <f xml:space="preserve"> (Beginning_of_period &lt;=Предпосылки!$E$156) * (End_of_period &gt;=Предпосылки!$E$156)</f>
        <v>0</v>
      </c>
      <c r="AN314" s="52">
        <f xml:space="preserve"> (Beginning_of_period &lt;=Предпосылки!$E$156) * (End_of_period &gt;=Предпосылки!$E$156)</f>
        <v>0</v>
      </c>
      <c r="AO314" s="52">
        <f xml:space="preserve"> (Beginning_of_period &lt;=Предпосылки!$E$156) * (End_of_period &gt;=Предпосылки!$E$156)</f>
        <v>0</v>
      </c>
      <c r="AP314" s="52">
        <f xml:space="preserve"> (Beginning_of_period &lt;=Предпосылки!$E$156) * (End_of_period &gt;=Предпосылки!$E$156)</f>
        <v>0</v>
      </c>
      <c r="AQ314" s="52">
        <f xml:space="preserve"> (Beginning_of_period &lt;=Предпосылки!$E$156) * (End_of_period &gt;=Предпосылки!$E$156)</f>
        <v>0</v>
      </c>
      <c r="AR314" s="52">
        <f xml:space="preserve"> (Beginning_of_period &lt;=Предпосылки!$E$156) * (End_of_period &gt;=Предпосылки!$E$156)</f>
        <v>0</v>
      </c>
      <c r="AS314" s="52">
        <f xml:space="preserve"> (Beginning_of_period &lt;=Предпосылки!$E$156) * (End_of_period &gt;=Предпосылки!$E$156)</f>
        <v>0</v>
      </c>
      <c r="AT314" s="52">
        <f xml:space="preserve"> (Beginning_of_period &lt;=Предпосылки!$E$156) * (End_of_period &gt;=Предпосылки!$E$156)</f>
        <v>0</v>
      </c>
      <c r="AU314" s="52">
        <f xml:space="preserve"> (Beginning_of_period &lt;=Предпосылки!$E$156) * (End_of_period &gt;=Предпосылки!$E$156)</f>
        <v>0</v>
      </c>
      <c r="AV314" s="52">
        <f xml:space="preserve"> (Beginning_of_period &lt;=Предпосылки!$E$156) * (End_of_period &gt;=Предпосылки!$E$156)</f>
        <v>0</v>
      </c>
      <c r="AW314" s="52">
        <f xml:space="preserve"> (Beginning_of_period &lt;=Предпосылки!$E$156) * (End_of_period &gt;=Предпосылки!$E$156)</f>
        <v>0</v>
      </c>
      <c r="AX314" s="52">
        <f xml:space="preserve"> (Beginning_of_period &lt;=Предпосылки!$E$156) * (End_of_period &gt;=Предпосылки!$E$156)</f>
        <v>0</v>
      </c>
      <c r="AY314" s="52">
        <f xml:space="preserve"> (Beginning_of_period &lt;=Предпосылки!$E$156) * (End_of_period &gt;=Предпосылки!$E$156)</f>
        <v>0</v>
      </c>
      <c r="AZ314" s="52">
        <f xml:space="preserve"> (Beginning_of_period &lt;=Предпосылки!$E$156) * (End_of_period &gt;=Предпосылки!$E$156)</f>
        <v>0</v>
      </c>
      <c r="BA314" s="52">
        <f xml:space="preserve"> (Beginning_of_period &lt;=Предпосылки!$E$156) * (End_of_period &gt;=Предпосылки!$E$156)</f>
        <v>0</v>
      </c>
      <c r="BB314" s="52">
        <f xml:space="preserve"> (Beginning_of_period &lt;=Предпосылки!$E$156) * (End_of_period &gt;=Предпосылки!$E$156)</f>
        <v>0</v>
      </c>
      <c r="BC314" s="52">
        <f xml:space="preserve"> (Beginning_of_period &lt;=Предпосылки!$E$156) * (End_of_period &gt;=Предпосылки!$E$156)</f>
        <v>0</v>
      </c>
      <c r="BD314" s="52">
        <f xml:space="preserve"> (Beginning_of_period &lt;=Предпосылки!$E$156) * (End_of_period &gt;=Предпосылки!$E$156)</f>
        <v>0</v>
      </c>
      <c r="BE314" s="52">
        <f xml:space="preserve"> (Beginning_of_period &lt;=Предпосылки!$E$156) * (End_of_period &gt;=Предпосылки!$E$156)</f>
        <v>0</v>
      </c>
      <c r="BF314" s="52">
        <f xml:space="preserve"> (Beginning_of_period &lt;=Предпосылки!$E$156) * (End_of_period &gt;=Предпосылки!$E$156)</f>
        <v>0</v>
      </c>
      <c r="BG314" s="52">
        <f xml:space="preserve"> (Beginning_of_period &lt;=Предпосылки!$E$156) * (End_of_period &gt;=Предпосылки!$E$156)</f>
        <v>0</v>
      </c>
      <c r="BH314" s="52">
        <f xml:space="preserve"> (Beginning_of_period &lt;=Предпосылки!$E$156) * (End_of_period &gt;=Предпосылки!$E$156)</f>
        <v>0</v>
      </c>
      <c r="BI314" s="52">
        <f xml:space="preserve"> (Beginning_of_period &lt;=Предпосылки!$E$156) * (End_of_period &gt;=Предпосылки!$E$156)</f>
        <v>0</v>
      </c>
      <c r="BJ314" s="52">
        <f xml:space="preserve"> (Beginning_of_period &lt;=Предпосылки!$E$156) * (End_of_period &gt;=Предпосылки!$E$156)</f>
        <v>0</v>
      </c>
      <c r="BK314" s="52">
        <f xml:space="preserve"> (Beginning_of_period &lt;=Предпосылки!$E$156) * (End_of_period &gt;=Предпосылки!$E$156)</f>
        <v>0</v>
      </c>
      <c r="BL314" s="52">
        <f xml:space="preserve"> (Beginning_of_period &lt;=Предпосылки!$E$156) * (End_of_period &gt;=Предпосылки!$E$156)</f>
        <v>0</v>
      </c>
      <c r="BM314" s="52">
        <f xml:space="preserve"> (Beginning_of_period &lt;=Предпосылки!$E$156) * (End_of_period &gt;=Предпосылки!$E$156)</f>
        <v>0</v>
      </c>
      <c r="BN314" s="52">
        <f xml:space="preserve"> (Beginning_of_period &lt;=Предпосылки!$E$156) * (End_of_period &gt;=Предпосылки!$E$156)</f>
        <v>0</v>
      </c>
      <c r="BO314" s="52">
        <f xml:space="preserve"> (Beginning_of_period &lt;=Предпосылки!$E$156) * (End_of_period &gt;=Предпосылки!$E$156)</f>
        <v>0</v>
      </c>
      <c r="BP314" s="52">
        <f xml:space="preserve"> (Beginning_of_period &lt;=Предпосылки!$E$156) * (End_of_period &gt;=Предпосылки!$E$156)</f>
        <v>0</v>
      </c>
      <c r="BQ314" s="52">
        <f xml:space="preserve"> (Beginning_of_period &lt;=Предпосылки!$E$156) * (End_of_period &gt;=Предпосылки!$E$156)</f>
        <v>0</v>
      </c>
      <c r="BR314" s="52">
        <f xml:space="preserve"> (Beginning_of_period &lt;=Предпосылки!$E$156) * (End_of_period &gt;=Предпосылки!$E$156)</f>
        <v>0</v>
      </c>
      <c r="BS314" s="52">
        <f xml:space="preserve"> (Beginning_of_period &lt;=Предпосылки!$E$156) * (End_of_period &gt;=Предпосылки!$E$156)</f>
        <v>0</v>
      </c>
      <c r="BT314" s="52">
        <f xml:space="preserve"> (Beginning_of_period &lt;=Предпосылки!$E$156) * (End_of_period &gt;=Предпосылки!$E$156)</f>
        <v>0</v>
      </c>
      <c r="BU314" s="52">
        <f xml:space="preserve"> (Beginning_of_period &lt;=Предпосылки!$E$156) * (End_of_period &gt;=Предпосылки!$E$156)</f>
        <v>0</v>
      </c>
      <c r="BV314" s="52">
        <f xml:space="preserve"> (Beginning_of_period &lt;=Предпосылки!$E$156) * (End_of_period &gt;=Предпосылки!$E$156)</f>
        <v>0</v>
      </c>
      <c r="BW314" s="52">
        <f xml:space="preserve"> (Beginning_of_period &lt;=Предпосылки!$E$156) * (End_of_period &gt;=Предпосылки!$E$156)</f>
        <v>0</v>
      </c>
      <c r="BX314" s="52">
        <f xml:space="preserve"> (Beginning_of_period &lt;=Предпосылки!$E$156) * (End_of_period &gt;=Предпосылки!$E$156)</f>
        <v>0</v>
      </c>
      <c r="BY314" s="52">
        <f xml:space="preserve"> (Beginning_of_period &lt;=Предпосылки!$E$156) * (End_of_period &gt;=Предпосылки!$E$156)</f>
        <v>0</v>
      </c>
      <c r="BZ314" s="52">
        <f xml:space="preserve"> (Beginning_of_period &lt;=Предпосылки!$E$156) * (End_of_period &gt;=Предпосылки!$E$156)</f>
        <v>0</v>
      </c>
      <c r="CA314" s="52">
        <f xml:space="preserve"> (Beginning_of_period &lt;=Предпосылки!$E$156) * (End_of_period &gt;=Предпосылки!$E$156)</f>
        <v>0</v>
      </c>
      <c r="CB314" s="52">
        <f xml:space="preserve"> (Beginning_of_period &lt;=Предпосылки!$E$156) * (End_of_period &gt;=Предпосылки!$E$156)</f>
        <v>0</v>
      </c>
      <c r="CC314" s="52">
        <f xml:space="preserve"> (Beginning_of_period &lt;=Предпосылки!$E$156) * (End_of_period &gt;=Предпосылки!$E$156)</f>
        <v>0</v>
      </c>
      <c r="CD314" s="52">
        <f xml:space="preserve"> (Beginning_of_period &lt;=Предпосылки!$E$156) * (End_of_period &gt;=Предпосылки!$E$156)</f>
        <v>0</v>
      </c>
      <c r="CE314" s="52">
        <f xml:space="preserve"> (Beginning_of_period &lt;=Предпосылки!$E$156) * (End_of_period &gt;=Предпосылки!$E$156)</f>
        <v>0</v>
      </c>
      <c r="CF314" s="52">
        <f xml:space="preserve"> (Beginning_of_period &lt;=Предпосылки!$E$156) * (End_of_period &gt;=Предпосылки!$E$156)</f>
        <v>0</v>
      </c>
      <c r="CG314" s="52">
        <f xml:space="preserve"> (Beginning_of_period &lt;=Предпосылки!$E$156) * (End_of_period &gt;=Предпосылки!$E$156)</f>
        <v>0</v>
      </c>
      <c r="CH314" s="52">
        <f xml:space="preserve"> (Beginning_of_period &lt;=Предпосылки!$E$156) * (End_of_period &gt;=Предпосылки!$E$156)</f>
        <v>0</v>
      </c>
      <c r="CI314" s="52">
        <f xml:space="preserve"> (Beginning_of_period &lt;=Предпосылки!$E$156) * (End_of_period &gt;=Предпосылки!$E$156)</f>
        <v>0</v>
      </c>
      <c r="CJ314" s="52">
        <f xml:space="preserve"> (Beginning_of_period &lt;=Предпосылки!$E$156) * (End_of_period &gt;=Предпосылки!$E$156)</f>
        <v>0</v>
      </c>
      <c r="CK314" s="52">
        <f xml:space="preserve"> (Beginning_of_period &lt;=Предпосылки!$E$156) * (End_of_period &gt;=Предпосылки!$E$156)</f>
        <v>0</v>
      </c>
      <c r="CL314" s="52">
        <f xml:space="preserve"> (Beginning_of_period &lt;=Предпосылки!$E$156) * (End_of_period &gt;=Предпосылки!$E$156)</f>
        <v>0</v>
      </c>
      <c r="CM314" s="52">
        <f xml:space="preserve"> (Beginning_of_period &lt;=Предпосылки!$E$156) * (End_of_period &gt;=Предпосылки!$E$156)</f>
        <v>0</v>
      </c>
      <c r="CN314" s="52">
        <f xml:space="preserve"> (Beginning_of_period &lt;=Предпосылки!$E$156) * (End_of_period &gt;=Предпосылки!$E$156)</f>
        <v>0</v>
      </c>
      <c r="CO314" s="52">
        <f xml:space="preserve"> (Beginning_of_period &lt;=Предпосылки!$E$156) * (End_of_period &gt;=Предпосылки!$E$156)</f>
        <v>0</v>
      </c>
    </row>
    <row r="315" spans="1:93">
      <c r="A315" s="77"/>
      <c r="B315" s="10"/>
      <c r="C315" s="21" t="str">
        <f xml:space="preserve"> "Флаг - ввод в эксплуатацию - " &amp; C96</f>
        <v>Флаг - ввод в эксплуатацию - Сегмент 2: Развлекательный комплекс</v>
      </c>
      <c r="D315" s="10"/>
      <c r="E315" s="62"/>
      <c r="F315" s="11"/>
      <c r="G315" s="134" t="str">
        <f t="shared" ca="1" si="460"/>
        <v>0..0</v>
      </c>
      <c r="H315" s="10"/>
      <c r="I315" s="23">
        <f t="shared" ca="1" si="461"/>
        <v>0</v>
      </c>
      <c r="J315" s="10"/>
      <c r="K315" s="10"/>
      <c r="L315" s="10">
        <f ca="1" xml:space="preserve"> (SUM(M270:$CO270) = 0) * (L270 &lt;&gt; 0)</f>
        <v>0</v>
      </c>
      <c r="M315" s="10">
        <f ca="1" xml:space="preserve"> (SUM(N270:$CO270) = 0) * (M270 &lt;&gt; 0)</f>
        <v>0</v>
      </c>
      <c r="N315" s="10">
        <f ca="1" xml:space="preserve"> (SUM(O270:$CO270) = 0) * (N270 &lt;&gt; 0)</f>
        <v>0</v>
      </c>
      <c r="O315" s="10">
        <f ca="1" xml:space="preserve"> (SUM(P270:$CO270) = 0) * (O270 &lt;&gt; 0)</f>
        <v>0</v>
      </c>
      <c r="P315" s="10">
        <f ca="1" xml:space="preserve"> (SUM(Q270:$CO270) = 0) * (P270 &lt;&gt; 0)</f>
        <v>0</v>
      </c>
      <c r="Q315" s="10">
        <f ca="1" xml:space="preserve"> (SUM(R270:$CO270) = 0) * (Q270 &lt;&gt; 0)</f>
        <v>0</v>
      </c>
      <c r="R315" s="10">
        <f ca="1" xml:space="preserve"> (SUM(S270:$CO270) = 0) * (R270 &lt;&gt; 0)</f>
        <v>0</v>
      </c>
      <c r="S315" s="10">
        <f ca="1" xml:space="preserve"> (SUM(T270:$CO270) = 0) * (S270 &lt;&gt; 0)</f>
        <v>0</v>
      </c>
      <c r="T315" s="10">
        <f ca="1" xml:space="preserve"> (SUM(U270:$CO270) = 0) * (T270 &lt;&gt; 0)</f>
        <v>0</v>
      </c>
      <c r="U315" s="10">
        <f ca="1" xml:space="preserve"> (SUM(V270:$CO270) = 0) * (U270 &lt;&gt; 0)</f>
        <v>0</v>
      </c>
      <c r="V315" s="10">
        <f ca="1" xml:space="preserve"> (SUM(W270:$CO270) = 0) * (V270 &lt;&gt; 0)</f>
        <v>0</v>
      </c>
      <c r="W315" s="10">
        <f ca="1" xml:space="preserve"> (SUM(X270:$CO270) = 0) * (W270 &lt;&gt; 0)</f>
        <v>0</v>
      </c>
      <c r="X315" s="10">
        <f ca="1" xml:space="preserve"> (SUM(Y270:$CO270) = 0) * (X270 &lt;&gt; 0)</f>
        <v>0</v>
      </c>
      <c r="Y315" s="10">
        <f ca="1" xml:space="preserve"> (SUM(Z270:$CO270) = 0) * (Y270 &lt;&gt; 0)</f>
        <v>0</v>
      </c>
      <c r="Z315" s="10">
        <f ca="1" xml:space="preserve"> (SUM(AA270:$CO270) = 0) * (Z270 &lt;&gt; 0)</f>
        <v>0</v>
      </c>
      <c r="AA315" s="10">
        <f ca="1" xml:space="preserve"> (SUM(AB270:$CO270) = 0) * (AA270 &lt;&gt; 0)</f>
        <v>0</v>
      </c>
      <c r="AB315" s="10">
        <f ca="1" xml:space="preserve"> (SUM(AC270:$CO270) = 0) * (AB270 &lt;&gt; 0)</f>
        <v>0</v>
      </c>
      <c r="AC315" s="10">
        <f ca="1" xml:space="preserve"> (SUM(AD270:$CO270) = 0) * (AC270 &lt;&gt; 0)</f>
        <v>0</v>
      </c>
      <c r="AD315" s="10">
        <f ca="1" xml:space="preserve"> (SUM(AE270:$CO270) = 0) * (AD270 &lt;&gt; 0)</f>
        <v>0</v>
      </c>
      <c r="AE315" s="10">
        <f ca="1" xml:space="preserve"> (SUM(AF270:$CO270) = 0) * (AE270 &lt;&gt; 0)</f>
        <v>0</v>
      </c>
      <c r="AF315" s="10">
        <f ca="1" xml:space="preserve"> (SUM(AG270:$CO270) = 0) * (AF270 &lt;&gt; 0)</f>
        <v>0</v>
      </c>
      <c r="AG315" s="10">
        <f ca="1" xml:space="preserve"> (SUM(AH270:$CO270) = 0) * (AG270 &lt;&gt; 0)</f>
        <v>0</v>
      </c>
      <c r="AH315" s="10">
        <f ca="1" xml:space="preserve"> (SUM(AI270:$CO270) = 0) * (AH270 &lt;&gt; 0)</f>
        <v>0</v>
      </c>
      <c r="AI315" s="10">
        <f ca="1" xml:space="preserve"> (SUM(AJ270:$CO270) = 0) * (AI270 &lt;&gt; 0)</f>
        <v>0</v>
      </c>
      <c r="AJ315" s="10">
        <f ca="1" xml:space="preserve"> (SUM(AK270:$CO270) = 0) * (AJ270 &lt;&gt; 0)</f>
        <v>0</v>
      </c>
      <c r="AK315" s="10">
        <f ca="1" xml:space="preserve"> (SUM(AL270:$CO270) = 0) * (AK270 &lt;&gt; 0)</f>
        <v>0</v>
      </c>
      <c r="AL315" s="10">
        <f ca="1" xml:space="preserve"> (SUM(AM270:$CO270) = 0) * (AL270 &lt;&gt; 0)</f>
        <v>0</v>
      </c>
      <c r="AM315" s="10">
        <f ca="1" xml:space="preserve"> (SUM(AN270:$CO270) = 0) * (AM270 &lt;&gt; 0)</f>
        <v>0</v>
      </c>
      <c r="AN315" s="10">
        <f ca="1" xml:space="preserve"> (SUM(AO270:$CO270) = 0) * (AN270 &lt;&gt; 0)</f>
        <v>0</v>
      </c>
      <c r="AO315" s="10">
        <f ca="1" xml:space="preserve"> (SUM(AP270:$CO270) = 0) * (AO270 &lt;&gt; 0)</f>
        <v>0</v>
      </c>
      <c r="AP315" s="10">
        <f ca="1" xml:space="preserve"> (SUM(AQ270:$CO270) = 0) * (AP270 &lt;&gt; 0)</f>
        <v>0</v>
      </c>
      <c r="AQ315" s="10">
        <f ca="1" xml:space="preserve"> (SUM(AR270:$CO270) = 0) * (AQ270 &lt;&gt; 0)</f>
        <v>0</v>
      </c>
      <c r="AR315" s="10">
        <f ca="1" xml:space="preserve"> (SUM(AS270:$CO270) = 0) * (AR270 &lt;&gt; 0)</f>
        <v>0</v>
      </c>
      <c r="AS315" s="10">
        <f ca="1" xml:space="preserve"> (SUM(AT270:$CO270) = 0) * (AS270 &lt;&gt; 0)</f>
        <v>0</v>
      </c>
      <c r="AT315" s="10">
        <f ca="1" xml:space="preserve"> (SUM(AU270:$CO270) = 0) * (AT270 &lt;&gt; 0)</f>
        <v>0</v>
      </c>
      <c r="AU315" s="10">
        <f ca="1" xml:space="preserve"> (SUM(AV270:$CO270) = 0) * (AU270 &lt;&gt; 0)</f>
        <v>0</v>
      </c>
      <c r="AV315" s="10">
        <f ca="1" xml:space="preserve"> (SUM(AW270:$CO270) = 0) * (AV270 &lt;&gt; 0)</f>
        <v>0</v>
      </c>
      <c r="AW315" s="10">
        <f ca="1" xml:space="preserve"> (SUM(AX270:$CO270) = 0) * (AW270 &lt;&gt; 0)</f>
        <v>0</v>
      </c>
      <c r="AX315" s="10">
        <f ca="1" xml:space="preserve"> (SUM(AY270:$CO270) = 0) * (AX270 &lt;&gt; 0)</f>
        <v>0</v>
      </c>
      <c r="AY315" s="10">
        <f ca="1" xml:space="preserve"> (SUM(AZ270:$CO270) = 0) * (AY270 &lt;&gt; 0)</f>
        <v>0</v>
      </c>
      <c r="AZ315" s="10">
        <f ca="1" xml:space="preserve"> (SUM(BA270:$CO270) = 0) * (AZ270 &lt;&gt; 0)</f>
        <v>0</v>
      </c>
      <c r="BA315" s="10">
        <f ca="1" xml:space="preserve"> (SUM(BB270:$CO270) = 0) * (BA270 &lt;&gt; 0)</f>
        <v>0</v>
      </c>
      <c r="BB315" s="10">
        <f ca="1" xml:space="preserve"> (SUM(BC270:$CO270) = 0) * (BB270 &lt;&gt; 0)</f>
        <v>0</v>
      </c>
      <c r="BC315" s="10">
        <f ca="1" xml:space="preserve"> (SUM(BD270:$CO270) = 0) * (BC270 &lt;&gt; 0)</f>
        <v>0</v>
      </c>
      <c r="BD315" s="10">
        <f ca="1" xml:space="preserve"> (SUM(BE270:$CO270) = 0) * (BD270 &lt;&gt; 0)</f>
        <v>0</v>
      </c>
      <c r="BE315" s="10">
        <f ca="1" xml:space="preserve"> (SUM(BF270:$CO270) = 0) * (BE270 &lt;&gt; 0)</f>
        <v>0</v>
      </c>
      <c r="BF315" s="10">
        <f ca="1" xml:space="preserve"> (SUM(BG270:$CO270) = 0) * (BF270 &lt;&gt; 0)</f>
        <v>0</v>
      </c>
      <c r="BG315" s="10">
        <f ca="1" xml:space="preserve"> (SUM(BH270:$CO270) = 0) * (BG270 &lt;&gt; 0)</f>
        <v>0</v>
      </c>
      <c r="BH315" s="10">
        <f ca="1" xml:space="preserve"> (SUM(BI270:$CO270) = 0) * (BH270 &lt;&gt; 0)</f>
        <v>0</v>
      </c>
      <c r="BI315" s="10">
        <f ca="1" xml:space="preserve"> (SUM(BJ270:$CO270) = 0) * (BI270 &lt;&gt; 0)</f>
        <v>0</v>
      </c>
      <c r="BJ315" s="10">
        <f ca="1" xml:space="preserve"> (SUM(BK270:$CO270) = 0) * (BJ270 &lt;&gt; 0)</f>
        <v>0</v>
      </c>
      <c r="BK315" s="10">
        <f ca="1" xml:space="preserve"> (SUM(BL270:$CO270) = 0) * (BK270 &lt;&gt; 0)</f>
        <v>0</v>
      </c>
      <c r="BL315" s="10">
        <f ca="1" xml:space="preserve"> (SUM(BM270:$CO270) = 0) * (BL270 &lt;&gt; 0)</f>
        <v>0</v>
      </c>
      <c r="BM315" s="10">
        <f ca="1" xml:space="preserve"> (SUM(BN270:$CO270) = 0) * (BM270 &lt;&gt; 0)</f>
        <v>0</v>
      </c>
      <c r="BN315" s="10">
        <f ca="1" xml:space="preserve"> (SUM(BO270:$CO270) = 0) * (BN270 &lt;&gt; 0)</f>
        <v>0</v>
      </c>
      <c r="BO315" s="10">
        <f ca="1" xml:space="preserve"> (SUM(BP270:$CO270) = 0) * (BO270 &lt;&gt; 0)</f>
        <v>0</v>
      </c>
      <c r="BP315" s="10">
        <f ca="1" xml:space="preserve"> (SUM(BQ270:$CO270) = 0) * (BP270 &lt;&gt; 0)</f>
        <v>0</v>
      </c>
      <c r="BQ315" s="10">
        <f ca="1" xml:space="preserve"> (SUM(BR270:$CO270) = 0) * (BQ270 &lt;&gt; 0)</f>
        <v>0</v>
      </c>
      <c r="BR315" s="10">
        <f ca="1" xml:space="preserve"> (SUM(BS270:$CO270) = 0) * (BR270 &lt;&gt; 0)</f>
        <v>0</v>
      </c>
      <c r="BS315" s="10">
        <f ca="1" xml:space="preserve"> (SUM(BT270:$CO270) = 0) * (BS270 &lt;&gt; 0)</f>
        <v>0</v>
      </c>
      <c r="BT315" s="10">
        <f ca="1" xml:space="preserve"> (SUM(BU270:$CO270) = 0) * (BT270 &lt;&gt; 0)</f>
        <v>0</v>
      </c>
      <c r="BU315" s="10">
        <f ca="1" xml:space="preserve"> (SUM(BV270:$CO270) = 0) * (BU270 &lt;&gt; 0)</f>
        <v>0</v>
      </c>
      <c r="BV315" s="10">
        <f ca="1" xml:space="preserve"> (SUM(BW270:$CO270) = 0) * (BV270 &lt;&gt; 0)</f>
        <v>0</v>
      </c>
      <c r="BW315" s="10">
        <f ca="1" xml:space="preserve"> (SUM(BX270:$CO270) = 0) * (BW270 &lt;&gt; 0)</f>
        <v>0</v>
      </c>
      <c r="BX315" s="10">
        <f ca="1" xml:space="preserve"> (SUM(BY270:$CO270) = 0) * (BX270 &lt;&gt; 0)</f>
        <v>0</v>
      </c>
      <c r="BY315" s="10">
        <f ca="1" xml:space="preserve"> (SUM(BZ270:$CO270) = 0) * (BY270 &lt;&gt; 0)</f>
        <v>0</v>
      </c>
      <c r="BZ315" s="10">
        <f ca="1" xml:space="preserve"> (SUM(CA270:$CO270) = 0) * (BZ270 &lt;&gt; 0)</f>
        <v>0</v>
      </c>
      <c r="CA315" s="10">
        <f ca="1" xml:space="preserve"> (SUM(CB270:$CO270) = 0) * (CA270 &lt;&gt; 0)</f>
        <v>0</v>
      </c>
      <c r="CB315" s="10">
        <f ca="1" xml:space="preserve"> (SUM(CC270:$CO270) = 0) * (CB270 &lt;&gt; 0)</f>
        <v>0</v>
      </c>
      <c r="CC315" s="10">
        <f ca="1" xml:space="preserve"> (SUM(CD270:$CO270) = 0) * (CC270 &lt;&gt; 0)</f>
        <v>0</v>
      </c>
      <c r="CD315" s="10">
        <f ca="1" xml:space="preserve"> (SUM(CE270:$CO270) = 0) * (CD270 &lt;&gt; 0)</f>
        <v>0</v>
      </c>
      <c r="CE315" s="10">
        <f ca="1" xml:space="preserve"> (SUM(CF270:$CO270) = 0) * (CE270 &lt;&gt; 0)</f>
        <v>0</v>
      </c>
      <c r="CF315" s="10">
        <f ca="1" xml:space="preserve"> (SUM(CG270:$CO270) = 0) * (CF270 &lt;&gt; 0)</f>
        <v>0</v>
      </c>
      <c r="CG315" s="10">
        <f ca="1" xml:space="preserve"> (SUM(CH270:$CO270) = 0) * (CG270 &lt;&gt; 0)</f>
        <v>0</v>
      </c>
      <c r="CH315" s="10">
        <f ca="1" xml:space="preserve"> (SUM(CI270:$CO270) = 0) * (CH270 &lt;&gt; 0)</f>
        <v>0</v>
      </c>
      <c r="CI315" s="10">
        <f ca="1" xml:space="preserve"> (SUM(CJ270:$CO270) = 0) * (CI270 &lt;&gt; 0)</f>
        <v>0</v>
      </c>
      <c r="CJ315" s="10">
        <f ca="1" xml:space="preserve"> (SUM(CK270:$CO270) = 0) * (CJ270 &lt;&gt; 0)</f>
        <v>0</v>
      </c>
      <c r="CK315" s="10">
        <f ca="1" xml:space="preserve"> (SUM(CL270:$CO270) = 0) * (CK270 &lt;&gt; 0)</f>
        <v>0</v>
      </c>
      <c r="CL315" s="10">
        <f ca="1" xml:space="preserve"> (SUM(CM270:$CO270) = 0) * (CL270 &lt;&gt; 0)</f>
        <v>0</v>
      </c>
      <c r="CM315" s="10">
        <f ca="1" xml:space="preserve"> (SUM(CN270:$CO270) = 0) * (CM270 &lt;&gt; 0)</f>
        <v>0</v>
      </c>
      <c r="CN315" s="10">
        <f ca="1" xml:space="preserve"> (SUM(CO270:$CO270) = 0) * (CN270 &lt;&gt; 0)</f>
        <v>0</v>
      </c>
      <c r="CO315" s="10">
        <f ca="1" xml:space="preserve"> (SUM($CO270:CP270) = 0) * (CO270 &lt;&gt; 0)</f>
        <v>0</v>
      </c>
    </row>
    <row r="316" spans="1:93">
      <c r="A316" s="77"/>
      <c r="B316" s="10"/>
      <c r="C316" s="21" t="str">
        <f xml:space="preserve"> "Флаг - ввод в эксплуатацию - " &amp; C97</f>
        <v>Флаг - ввод в эксплуатацию - Сегмент 3: Крытый парк развлечений</v>
      </c>
      <c r="D316" s="10"/>
      <c r="E316" s="62"/>
      <c r="F316" s="11"/>
      <c r="G316" s="134" t="str">
        <f t="shared" ca="1" si="460"/>
        <v>0..0</v>
      </c>
      <c r="H316" s="10"/>
      <c r="I316" s="23">
        <f t="shared" ca="1" si="461"/>
        <v>0</v>
      </c>
      <c r="J316" s="10"/>
      <c r="K316" s="10"/>
      <c r="L316" s="10">
        <f ca="1" xml:space="preserve"> (SUM(M271:$CO271) = 0) * (L271 &lt;&gt; 0)</f>
        <v>0</v>
      </c>
      <c r="M316" s="10">
        <f ca="1" xml:space="preserve"> (SUM(N271:$CO271) = 0) * (M271 &lt;&gt; 0)</f>
        <v>0</v>
      </c>
      <c r="N316" s="10">
        <f ca="1" xml:space="preserve"> (SUM(O271:$CO271) = 0) * (N271 &lt;&gt; 0)</f>
        <v>0</v>
      </c>
      <c r="O316" s="10">
        <f ca="1" xml:space="preserve"> (SUM(P271:$CO271) = 0) * (O271 &lt;&gt; 0)</f>
        <v>0</v>
      </c>
      <c r="P316" s="10">
        <f ca="1" xml:space="preserve"> (SUM(Q271:$CO271) = 0) * (P271 &lt;&gt; 0)</f>
        <v>0</v>
      </c>
      <c r="Q316" s="10">
        <f ca="1" xml:space="preserve"> (SUM(R271:$CO271) = 0) * (Q271 &lt;&gt; 0)</f>
        <v>0</v>
      </c>
      <c r="R316" s="10">
        <f ca="1" xml:space="preserve"> (SUM(S271:$CO271) = 0) * (R271 &lt;&gt; 0)</f>
        <v>0</v>
      </c>
      <c r="S316" s="10">
        <f ca="1" xml:space="preserve"> (SUM(T271:$CO271) = 0) * (S271 &lt;&gt; 0)</f>
        <v>0</v>
      </c>
      <c r="T316" s="10">
        <f ca="1" xml:space="preserve"> (SUM(U271:$CO271) = 0) * (T271 &lt;&gt; 0)</f>
        <v>0</v>
      </c>
      <c r="U316" s="10">
        <f ca="1" xml:space="preserve"> (SUM(V271:$CO271) = 0) * (U271 &lt;&gt; 0)</f>
        <v>0</v>
      </c>
      <c r="V316" s="10">
        <f ca="1" xml:space="preserve"> (SUM(W271:$CO271) = 0) * (V271 &lt;&gt; 0)</f>
        <v>0</v>
      </c>
      <c r="W316" s="10">
        <f ca="1" xml:space="preserve"> (SUM(X271:$CO271) = 0) * (W271 &lt;&gt; 0)</f>
        <v>0</v>
      </c>
      <c r="X316" s="10">
        <f ca="1" xml:space="preserve"> (SUM(Y271:$CO271) = 0) * (X271 &lt;&gt; 0)</f>
        <v>0</v>
      </c>
      <c r="Y316" s="10">
        <f ca="1" xml:space="preserve"> (SUM(Z271:$CO271) = 0) * (Y271 &lt;&gt; 0)</f>
        <v>0</v>
      </c>
      <c r="Z316" s="10">
        <f ca="1" xml:space="preserve"> (SUM(AA271:$CO271) = 0) * (Z271 &lt;&gt; 0)</f>
        <v>0</v>
      </c>
      <c r="AA316" s="10">
        <f ca="1" xml:space="preserve"> (SUM(AB271:$CO271) = 0) * (AA271 &lt;&gt; 0)</f>
        <v>0</v>
      </c>
      <c r="AB316" s="10">
        <f ca="1" xml:space="preserve"> (SUM(AC271:$CO271) = 0) * (AB271 &lt;&gt; 0)</f>
        <v>0</v>
      </c>
      <c r="AC316" s="10">
        <f ca="1" xml:space="preserve"> (SUM(AD271:$CO271) = 0) * (AC271 &lt;&gt; 0)</f>
        <v>0</v>
      </c>
      <c r="AD316" s="10">
        <f ca="1" xml:space="preserve"> (SUM(AE271:$CO271) = 0) * (AD271 &lt;&gt; 0)</f>
        <v>0</v>
      </c>
      <c r="AE316" s="10">
        <f ca="1" xml:space="preserve"> (SUM(AF271:$CO271) = 0) * (AE271 &lt;&gt; 0)</f>
        <v>0</v>
      </c>
      <c r="AF316" s="10">
        <f ca="1" xml:space="preserve"> (SUM(AG271:$CO271) = 0) * (AF271 &lt;&gt; 0)</f>
        <v>0</v>
      </c>
      <c r="AG316" s="10">
        <f ca="1" xml:space="preserve"> (SUM(AH271:$CO271) = 0) * (AG271 &lt;&gt; 0)</f>
        <v>0</v>
      </c>
      <c r="AH316" s="10">
        <f ca="1" xml:space="preserve"> (SUM(AI271:$CO271) = 0) * (AH271 &lt;&gt; 0)</f>
        <v>0</v>
      </c>
      <c r="AI316" s="10">
        <f ca="1" xml:space="preserve"> (SUM(AJ271:$CO271) = 0) * (AI271 &lt;&gt; 0)</f>
        <v>0</v>
      </c>
      <c r="AJ316" s="10">
        <f ca="1" xml:space="preserve"> (SUM(AK271:$CO271) = 0) * (AJ271 &lt;&gt; 0)</f>
        <v>0</v>
      </c>
      <c r="AK316" s="10">
        <f ca="1" xml:space="preserve"> (SUM(AL271:$CO271) = 0) * (AK271 &lt;&gt; 0)</f>
        <v>0</v>
      </c>
      <c r="AL316" s="10">
        <f ca="1" xml:space="preserve"> (SUM(AM271:$CO271) = 0) * (AL271 &lt;&gt; 0)</f>
        <v>0</v>
      </c>
      <c r="AM316" s="10">
        <f ca="1" xml:space="preserve"> (SUM(AN271:$CO271) = 0) * (AM271 &lt;&gt; 0)</f>
        <v>0</v>
      </c>
      <c r="AN316" s="10">
        <f ca="1" xml:space="preserve"> (SUM(AO271:$CO271) = 0) * (AN271 &lt;&gt; 0)</f>
        <v>0</v>
      </c>
      <c r="AO316" s="10">
        <f ca="1" xml:space="preserve"> (SUM(AP271:$CO271) = 0) * (AO271 &lt;&gt; 0)</f>
        <v>0</v>
      </c>
      <c r="AP316" s="10">
        <f ca="1" xml:space="preserve"> (SUM(AQ271:$CO271) = 0) * (AP271 &lt;&gt; 0)</f>
        <v>0</v>
      </c>
      <c r="AQ316" s="10">
        <f ca="1" xml:space="preserve"> (SUM(AR271:$CO271) = 0) * (AQ271 &lt;&gt; 0)</f>
        <v>0</v>
      </c>
      <c r="AR316" s="10">
        <f ca="1" xml:space="preserve"> (SUM(AS271:$CO271) = 0) * (AR271 &lt;&gt; 0)</f>
        <v>0</v>
      </c>
      <c r="AS316" s="10">
        <f ca="1" xml:space="preserve"> (SUM(AT271:$CO271) = 0) * (AS271 &lt;&gt; 0)</f>
        <v>0</v>
      </c>
      <c r="AT316" s="10">
        <f ca="1" xml:space="preserve"> (SUM(AU271:$CO271) = 0) * (AT271 &lt;&gt; 0)</f>
        <v>0</v>
      </c>
      <c r="AU316" s="10">
        <f ca="1" xml:space="preserve"> (SUM(AV271:$CO271) = 0) * (AU271 &lt;&gt; 0)</f>
        <v>0</v>
      </c>
      <c r="AV316" s="10">
        <f ca="1" xml:space="preserve"> (SUM(AW271:$CO271) = 0) * (AV271 &lt;&gt; 0)</f>
        <v>0</v>
      </c>
      <c r="AW316" s="10">
        <f ca="1" xml:space="preserve"> (SUM(AX271:$CO271) = 0) * (AW271 &lt;&gt; 0)</f>
        <v>0</v>
      </c>
      <c r="AX316" s="10">
        <f ca="1" xml:space="preserve"> (SUM(AY271:$CO271) = 0) * (AX271 &lt;&gt; 0)</f>
        <v>0</v>
      </c>
      <c r="AY316" s="10">
        <f ca="1" xml:space="preserve"> (SUM(AZ271:$CO271) = 0) * (AY271 &lt;&gt; 0)</f>
        <v>0</v>
      </c>
      <c r="AZ316" s="10">
        <f ca="1" xml:space="preserve"> (SUM(BA271:$CO271) = 0) * (AZ271 &lt;&gt; 0)</f>
        <v>0</v>
      </c>
      <c r="BA316" s="10">
        <f ca="1" xml:space="preserve"> (SUM(BB271:$CO271) = 0) * (BA271 &lt;&gt; 0)</f>
        <v>0</v>
      </c>
      <c r="BB316" s="10">
        <f ca="1" xml:space="preserve"> (SUM(BC271:$CO271) = 0) * (BB271 &lt;&gt; 0)</f>
        <v>0</v>
      </c>
      <c r="BC316" s="10">
        <f ca="1" xml:space="preserve"> (SUM(BD271:$CO271) = 0) * (BC271 &lt;&gt; 0)</f>
        <v>0</v>
      </c>
      <c r="BD316" s="10">
        <f ca="1" xml:space="preserve"> (SUM(BE271:$CO271) = 0) * (BD271 &lt;&gt; 0)</f>
        <v>0</v>
      </c>
      <c r="BE316" s="10">
        <f ca="1" xml:space="preserve"> (SUM(BF271:$CO271) = 0) * (BE271 &lt;&gt; 0)</f>
        <v>0</v>
      </c>
      <c r="BF316" s="10">
        <f ca="1" xml:space="preserve"> (SUM(BG271:$CO271) = 0) * (BF271 &lt;&gt; 0)</f>
        <v>0</v>
      </c>
      <c r="BG316" s="10">
        <f ca="1" xml:space="preserve"> (SUM(BH271:$CO271) = 0) * (BG271 &lt;&gt; 0)</f>
        <v>0</v>
      </c>
      <c r="BH316" s="10">
        <f ca="1" xml:space="preserve"> (SUM(BI271:$CO271) = 0) * (BH271 &lt;&gt; 0)</f>
        <v>0</v>
      </c>
      <c r="BI316" s="10">
        <f ca="1" xml:space="preserve"> (SUM(BJ271:$CO271) = 0) * (BI271 &lt;&gt; 0)</f>
        <v>0</v>
      </c>
      <c r="BJ316" s="10">
        <f ca="1" xml:space="preserve"> (SUM(BK271:$CO271) = 0) * (BJ271 &lt;&gt; 0)</f>
        <v>0</v>
      </c>
      <c r="BK316" s="10">
        <f ca="1" xml:space="preserve"> (SUM(BL271:$CO271) = 0) * (BK271 &lt;&gt; 0)</f>
        <v>0</v>
      </c>
      <c r="BL316" s="10">
        <f ca="1" xml:space="preserve"> (SUM(BM271:$CO271) = 0) * (BL271 &lt;&gt; 0)</f>
        <v>0</v>
      </c>
      <c r="BM316" s="10">
        <f ca="1" xml:space="preserve"> (SUM(BN271:$CO271) = 0) * (BM271 &lt;&gt; 0)</f>
        <v>0</v>
      </c>
      <c r="BN316" s="10">
        <f ca="1" xml:space="preserve"> (SUM(BO271:$CO271) = 0) * (BN271 &lt;&gt; 0)</f>
        <v>0</v>
      </c>
      <c r="BO316" s="10">
        <f ca="1" xml:space="preserve"> (SUM(BP271:$CO271) = 0) * (BO271 &lt;&gt; 0)</f>
        <v>0</v>
      </c>
      <c r="BP316" s="10">
        <f ca="1" xml:space="preserve"> (SUM(BQ271:$CO271) = 0) * (BP271 &lt;&gt; 0)</f>
        <v>0</v>
      </c>
      <c r="BQ316" s="10">
        <f ca="1" xml:space="preserve"> (SUM(BR271:$CO271) = 0) * (BQ271 &lt;&gt; 0)</f>
        <v>0</v>
      </c>
      <c r="BR316" s="10">
        <f ca="1" xml:space="preserve"> (SUM(BS271:$CO271) = 0) * (BR271 &lt;&gt; 0)</f>
        <v>0</v>
      </c>
      <c r="BS316" s="10">
        <f ca="1" xml:space="preserve"> (SUM(BT271:$CO271) = 0) * (BS271 &lt;&gt; 0)</f>
        <v>0</v>
      </c>
      <c r="BT316" s="10">
        <f ca="1" xml:space="preserve"> (SUM(BU271:$CO271) = 0) * (BT271 &lt;&gt; 0)</f>
        <v>0</v>
      </c>
      <c r="BU316" s="10">
        <f ca="1" xml:space="preserve"> (SUM(BV271:$CO271) = 0) * (BU271 &lt;&gt; 0)</f>
        <v>0</v>
      </c>
      <c r="BV316" s="10">
        <f ca="1" xml:space="preserve"> (SUM(BW271:$CO271) = 0) * (BV271 &lt;&gt; 0)</f>
        <v>0</v>
      </c>
      <c r="BW316" s="10">
        <f ca="1" xml:space="preserve"> (SUM(BX271:$CO271) = 0) * (BW271 &lt;&gt; 0)</f>
        <v>0</v>
      </c>
      <c r="BX316" s="10">
        <f ca="1" xml:space="preserve"> (SUM(BY271:$CO271) = 0) * (BX271 &lt;&gt; 0)</f>
        <v>0</v>
      </c>
      <c r="BY316" s="10">
        <f ca="1" xml:space="preserve"> (SUM(BZ271:$CO271) = 0) * (BY271 &lt;&gt; 0)</f>
        <v>0</v>
      </c>
      <c r="BZ316" s="10">
        <f ca="1" xml:space="preserve"> (SUM(CA271:$CO271) = 0) * (BZ271 &lt;&gt; 0)</f>
        <v>0</v>
      </c>
      <c r="CA316" s="10">
        <f ca="1" xml:space="preserve"> (SUM(CB271:$CO271) = 0) * (CA271 &lt;&gt; 0)</f>
        <v>0</v>
      </c>
      <c r="CB316" s="10">
        <f ca="1" xml:space="preserve"> (SUM(CC271:$CO271) = 0) * (CB271 &lt;&gt; 0)</f>
        <v>0</v>
      </c>
      <c r="CC316" s="10">
        <f ca="1" xml:space="preserve"> (SUM(CD271:$CO271) = 0) * (CC271 &lt;&gt; 0)</f>
        <v>0</v>
      </c>
      <c r="CD316" s="10">
        <f ca="1" xml:space="preserve"> (SUM(CE271:$CO271) = 0) * (CD271 &lt;&gt; 0)</f>
        <v>0</v>
      </c>
      <c r="CE316" s="10">
        <f ca="1" xml:space="preserve"> (SUM(CF271:$CO271) = 0) * (CE271 &lt;&gt; 0)</f>
        <v>0</v>
      </c>
      <c r="CF316" s="10">
        <f ca="1" xml:space="preserve"> (SUM(CG271:$CO271) = 0) * (CF271 &lt;&gt; 0)</f>
        <v>0</v>
      </c>
      <c r="CG316" s="10">
        <f ca="1" xml:space="preserve"> (SUM(CH271:$CO271) = 0) * (CG271 &lt;&gt; 0)</f>
        <v>0</v>
      </c>
      <c r="CH316" s="10">
        <f ca="1" xml:space="preserve"> (SUM(CI271:$CO271) = 0) * (CH271 &lt;&gt; 0)</f>
        <v>0</v>
      </c>
      <c r="CI316" s="10">
        <f ca="1" xml:space="preserve"> (SUM(CJ271:$CO271) = 0) * (CI271 &lt;&gt; 0)</f>
        <v>0</v>
      </c>
      <c r="CJ316" s="10">
        <f ca="1" xml:space="preserve"> (SUM(CK271:$CO271) = 0) * (CJ271 &lt;&gt; 0)</f>
        <v>0</v>
      </c>
      <c r="CK316" s="10">
        <f ca="1" xml:space="preserve"> (SUM(CL271:$CO271) = 0) * (CK271 &lt;&gt; 0)</f>
        <v>0</v>
      </c>
      <c r="CL316" s="10">
        <f ca="1" xml:space="preserve"> (SUM(CM271:$CO271) = 0) * (CL271 &lt;&gt; 0)</f>
        <v>0</v>
      </c>
      <c r="CM316" s="10">
        <f ca="1" xml:space="preserve"> (SUM(CN271:$CO271) = 0) * (CM271 &lt;&gt; 0)</f>
        <v>0</v>
      </c>
      <c r="CN316" s="10">
        <f ca="1" xml:space="preserve"> (SUM(CO271:$CO271) = 0) * (CN271 &lt;&gt; 0)</f>
        <v>0</v>
      </c>
      <c r="CO316" s="10">
        <f ca="1" xml:space="preserve"> (SUM($CO271:CP271) = 0) * (CO271 &lt;&gt; 0)</f>
        <v>0</v>
      </c>
    </row>
    <row r="317" spans="1:93">
      <c r="A317" s="77"/>
      <c r="B317" s="10"/>
      <c r="C317" s="21"/>
      <c r="D317" s="10"/>
      <c r="E317" s="62"/>
      <c r="F317" s="11"/>
      <c r="G317" s="11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  <c r="CG317" s="10"/>
      <c r="CH317" s="10"/>
      <c r="CI317" s="10"/>
      <c r="CJ317" s="10"/>
      <c r="CK317" s="10"/>
      <c r="CL317" s="10"/>
      <c r="CM317" s="10"/>
      <c r="CN317" s="10"/>
      <c r="CO317" s="10"/>
    </row>
    <row r="318" spans="1:93">
      <c r="A318" s="10"/>
      <c r="B318" s="10"/>
      <c r="C318" s="21" t="s">
        <v>580</v>
      </c>
      <c r="D318" s="10"/>
      <c r="E318" s="62"/>
      <c r="F318" s="11"/>
      <c r="G318" s="134" t="str">
        <f>MIN(L318:CO318) &amp; ".." &amp; MAX(L318:CO318)</f>
        <v>0..1</v>
      </c>
      <c r="H318" s="10"/>
      <c r="I318" s="23">
        <f>SUM(L318:CO318)</f>
        <v>66</v>
      </c>
      <c r="J318" s="10"/>
      <c r="K318" s="10"/>
      <c r="L318" s="52">
        <f t="shared" ref="L318:AQ318" si="462">Flag_Operations+Flag_Last_Construction</f>
        <v>0</v>
      </c>
      <c r="M318" s="52">
        <f t="shared" si="462"/>
        <v>0</v>
      </c>
      <c r="N318" s="52">
        <f t="shared" si="462"/>
        <v>0</v>
      </c>
      <c r="O318" s="52">
        <f t="shared" si="462"/>
        <v>0</v>
      </c>
      <c r="P318" s="52">
        <f t="shared" si="462"/>
        <v>0</v>
      </c>
      <c r="Q318" s="52">
        <f t="shared" si="462"/>
        <v>0</v>
      </c>
      <c r="R318" s="52">
        <f t="shared" si="462"/>
        <v>0</v>
      </c>
      <c r="S318" s="52">
        <f t="shared" si="462"/>
        <v>0</v>
      </c>
      <c r="T318" s="52">
        <f t="shared" si="462"/>
        <v>0</v>
      </c>
      <c r="U318" s="52">
        <f t="shared" si="462"/>
        <v>0</v>
      </c>
      <c r="V318" s="52">
        <f t="shared" si="462"/>
        <v>0</v>
      </c>
      <c r="W318" s="52">
        <f t="shared" si="462"/>
        <v>0</v>
      </c>
      <c r="X318" s="52">
        <f t="shared" si="462"/>
        <v>0</v>
      </c>
      <c r="Y318" s="52">
        <f t="shared" si="462"/>
        <v>0</v>
      </c>
      <c r="Z318" s="52">
        <f t="shared" si="462"/>
        <v>0</v>
      </c>
      <c r="AA318" s="52">
        <f t="shared" si="462"/>
        <v>0</v>
      </c>
      <c r="AB318" s="52">
        <f t="shared" si="462"/>
        <v>1</v>
      </c>
      <c r="AC318" s="52">
        <f t="shared" si="462"/>
        <v>1</v>
      </c>
      <c r="AD318" s="52">
        <f t="shared" si="462"/>
        <v>1</v>
      </c>
      <c r="AE318" s="52">
        <f t="shared" si="462"/>
        <v>1</v>
      </c>
      <c r="AF318" s="52">
        <f t="shared" si="462"/>
        <v>1</v>
      </c>
      <c r="AG318" s="52">
        <f t="shared" si="462"/>
        <v>1</v>
      </c>
      <c r="AH318" s="52">
        <f t="shared" si="462"/>
        <v>1</v>
      </c>
      <c r="AI318" s="52">
        <f t="shared" si="462"/>
        <v>1</v>
      </c>
      <c r="AJ318" s="52">
        <f t="shared" si="462"/>
        <v>1</v>
      </c>
      <c r="AK318" s="52">
        <f t="shared" si="462"/>
        <v>1</v>
      </c>
      <c r="AL318" s="52">
        <f t="shared" si="462"/>
        <v>1</v>
      </c>
      <c r="AM318" s="52">
        <f t="shared" si="462"/>
        <v>1</v>
      </c>
      <c r="AN318" s="52">
        <f t="shared" si="462"/>
        <v>1</v>
      </c>
      <c r="AO318" s="52">
        <f t="shared" si="462"/>
        <v>1</v>
      </c>
      <c r="AP318" s="52">
        <f t="shared" si="462"/>
        <v>1</v>
      </c>
      <c r="AQ318" s="52">
        <f t="shared" si="462"/>
        <v>1</v>
      </c>
      <c r="AR318" s="52">
        <f t="shared" ref="AR318:BW318" si="463">Flag_Operations+Flag_Last_Construction</f>
        <v>1</v>
      </c>
      <c r="AS318" s="52">
        <f t="shared" si="463"/>
        <v>1</v>
      </c>
      <c r="AT318" s="52">
        <f t="shared" si="463"/>
        <v>1</v>
      </c>
      <c r="AU318" s="52">
        <f t="shared" si="463"/>
        <v>1</v>
      </c>
      <c r="AV318" s="52">
        <f t="shared" si="463"/>
        <v>1</v>
      </c>
      <c r="AW318" s="52">
        <f t="shared" si="463"/>
        <v>1</v>
      </c>
      <c r="AX318" s="52">
        <f t="shared" si="463"/>
        <v>1</v>
      </c>
      <c r="AY318" s="52">
        <f t="shared" si="463"/>
        <v>1</v>
      </c>
      <c r="AZ318" s="52">
        <f t="shared" si="463"/>
        <v>1</v>
      </c>
      <c r="BA318" s="52">
        <f t="shared" si="463"/>
        <v>1</v>
      </c>
      <c r="BB318" s="52">
        <f t="shared" si="463"/>
        <v>1</v>
      </c>
      <c r="BC318" s="52">
        <f t="shared" si="463"/>
        <v>1</v>
      </c>
      <c r="BD318" s="52">
        <f t="shared" si="463"/>
        <v>1</v>
      </c>
      <c r="BE318" s="52">
        <f t="shared" si="463"/>
        <v>1</v>
      </c>
      <c r="BF318" s="52">
        <f t="shared" si="463"/>
        <v>1</v>
      </c>
      <c r="BG318" s="52">
        <f t="shared" si="463"/>
        <v>1</v>
      </c>
      <c r="BH318" s="52">
        <f t="shared" si="463"/>
        <v>1</v>
      </c>
      <c r="BI318" s="52">
        <f t="shared" si="463"/>
        <v>1</v>
      </c>
      <c r="BJ318" s="52">
        <f t="shared" si="463"/>
        <v>1</v>
      </c>
      <c r="BK318" s="52">
        <f t="shared" si="463"/>
        <v>1</v>
      </c>
      <c r="BL318" s="52">
        <f t="shared" si="463"/>
        <v>1</v>
      </c>
      <c r="BM318" s="52">
        <f t="shared" si="463"/>
        <v>1</v>
      </c>
      <c r="BN318" s="52">
        <f t="shared" si="463"/>
        <v>1</v>
      </c>
      <c r="BO318" s="52">
        <f t="shared" si="463"/>
        <v>1</v>
      </c>
      <c r="BP318" s="52">
        <f t="shared" si="463"/>
        <v>1</v>
      </c>
      <c r="BQ318" s="52">
        <f t="shared" si="463"/>
        <v>1</v>
      </c>
      <c r="BR318" s="52">
        <f t="shared" si="463"/>
        <v>1</v>
      </c>
      <c r="BS318" s="52">
        <f t="shared" si="463"/>
        <v>1</v>
      </c>
      <c r="BT318" s="52">
        <f t="shared" si="463"/>
        <v>1</v>
      </c>
      <c r="BU318" s="52">
        <f t="shared" si="463"/>
        <v>1</v>
      </c>
      <c r="BV318" s="52">
        <f t="shared" si="463"/>
        <v>1</v>
      </c>
      <c r="BW318" s="52">
        <f t="shared" si="463"/>
        <v>1</v>
      </c>
      <c r="BX318" s="52">
        <f t="shared" ref="BX318:CO318" si="464">Flag_Operations+Flag_Last_Construction</f>
        <v>1</v>
      </c>
      <c r="BY318" s="52">
        <f t="shared" si="464"/>
        <v>1</v>
      </c>
      <c r="BZ318" s="52">
        <f t="shared" si="464"/>
        <v>1</v>
      </c>
      <c r="CA318" s="52">
        <f t="shared" si="464"/>
        <v>1</v>
      </c>
      <c r="CB318" s="52">
        <f t="shared" si="464"/>
        <v>1</v>
      </c>
      <c r="CC318" s="52">
        <f t="shared" si="464"/>
        <v>1</v>
      </c>
      <c r="CD318" s="52">
        <f t="shared" si="464"/>
        <v>1</v>
      </c>
      <c r="CE318" s="52">
        <f t="shared" si="464"/>
        <v>1</v>
      </c>
      <c r="CF318" s="52">
        <f t="shared" si="464"/>
        <v>1</v>
      </c>
      <c r="CG318" s="52">
        <f t="shared" si="464"/>
        <v>1</v>
      </c>
      <c r="CH318" s="52">
        <f t="shared" si="464"/>
        <v>1</v>
      </c>
      <c r="CI318" s="52">
        <f t="shared" si="464"/>
        <v>1</v>
      </c>
      <c r="CJ318" s="52">
        <f t="shared" si="464"/>
        <v>1</v>
      </c>
      <c r="CK318" s="52">
        <f t="shared" si="464"/>
        <v>1</v>
      </c>
      <c r="CL318" s="52">
        <f t="shared" si="464"/>
        <v>1</v>
      </c>
      <c r="CM318" s="52">
        <f t="shared" si="464"/>
        <v>1</v>
      </c>
      <c r="CN318" s="52">
        <f t="shared" si="464"/>
        <v>1</v>
      </c>
      <c r="CO318" s="52">
        <f t="shared" si="464"/>
        <v>1</v>
      </c>
    </row>
    <row r="319" spans="1:93">
      <c r="A319" s="10"/>
      <c r="B319" s="10"/>
      <c r="C319" s="21"/>
      <c r="D319" s="10"/>
      <c r="E319" s="62"/>
      <c r="F319" s="11"/>
      <c r="G319" s="11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</row>
    <row r="320" spans="1:93">
      <c r="A320" s="10"/>
      <c r="B320" s="10"/>
      <c r="C320" s="21" t="str">
        <f xml:space="preserve"> "Ввод в эксплуатацию - " &amp; C265</f>
        <v>Ввод в эксплуатацию - Здания и сооружения - Транспортная инфраструктура</v>
      </c>
      <c r="D320" s="10"/>
      <c r="E320" s="62"/>
      <c r="F320" s="11"/>
      <c r="G320" s="134" t="str">
        <f t="shared" ref="G320:G332" si="465">Monetary_Unit</f>
        <v>тыс. руб.</v>
      </c>
      <c r="H320" s="10"/>
      <c r="I320" s="23">
        <f ca="1">SUM(L320:CO320)</f>
        <v>27774.797642991573</v>
      </c>
      <c r="J320" s="10"/>
      <c r="K320" s="10"/>
      <c r="L320" s="10">
        <f ca="1">(SUM(L279:L279)-SUM($K320:K320))*L310</f>
        <v>0</v>
      </c>
      <c r="M320" s="10">
        <f ca="1">(SUM(M279:M279)-SUM($K320:L320))*M310</f>
        <v>0</v>
      </c>
      <c r="N320" s="10">
        <f ca="1">(SUM(N279:N279)-SUM($K320:M320))*N310</f>
        <v>0</v>
      </c>
      <c r="O320" s="10">
        <f ca="1">(SUM(O279:O279)-SUM($K320:N320))*O310</f>
        <v>0</v>
      </c>
      <c r="P320" s="10">
        <f ca="1">(SUM(P279:P279)-SUM($K320:O320))*P310</f>
        <v>0</v>
      </c>
      <c r="Q320" s="10">
        <f ca="1">(SUM(Q279:Q279)-SUM($K320:P320))*Q310</f>
        <v>0</v>
      </c>
      <c r="R320" s="10">
        <f ca="1">(SUM(R279:R279)-SUM($K320:Q320))*R310</f>
        <v>0</v>
      </c>
      <c r="S320" s="10">
        <f ca="1">(SUM(S279:S279)-SUM($K320:R320))*S310</f>
        <v>0</v>
      </c>
      <c r="T320" s="10">
        <f ca="1">(SUM(T279:T279)-SUM($K320:S320))*T310</f>
        <v>0</v>
      </c>
      <c r="U320" s="10">
        <f ca="1">(SUM(U279:U279)-SUM($K320:T320))*U310</f>
        <v>0</v>
      </c>
      <c r="V320" s="10">
        <f ca="1">(SUM(V279:V279)-SUM($K320:U320))*V310</f>
        <v>0</v>
      </c>
      <c r="W320" s="10">
        <f ca="1">(SUM(W279:W279)-SUM($K320:V320))*W310</f>
        <v>0</v>
      </c>
      <c r="X320" s="10">
        <f ca="1">(SUM(X279:X279)-SUM($K320:W320))*X310</f>
        <v>0</v>
      </c>
      <c r="Y320" s="10">
        <f ca="1">(SUM(Y279:Y279)-SUM($K320:X320))*Y310</f>
        <v>0</v>
      </c>
      <c r="Z320" s="10">
        <f ca="1">(SUM(Z279:Z279)-SUM($K320:Y320))*Z310</f>
        <v>0</v>
      </c>
      <c r="AA320" s="10">
        <f ca="1">(SUM(AA279:AA279)-SUM($K320:Z320))*AA310</f>
        <v>0</v>
      </c>
      <c r="AB320" s="10">
        <f ca="1">(SUM(AB279:AB279)-SUM($K320:AA320))*AB310</f>
        <v>27774.797642991573</v>
      </c>
      <c r="AC320" s="10">
        <f ca="1">(SUM(AC279:AC279)-SUM($K320:AB320))*AC310</f>
        <v>0</v>
      </c>
      <c r="AD320" s="10">
        <f ca="1">(SUM(AD279:AD279)-SUM($K320:AC320))*AD310</f>
        <v>0</v>
      </c>
      <c r="AE320" s="10">
        <f ca="1">(SUM(AE279:AE279)-SUM($K320:AD320))*AE310</f>
        <v>0</v>
      </c>
      <c r="AF320" s="10">
        <f ca="1">(SUM(AF279:AF279)-SUM($K320:AE320))*AF310</f>
        <v>0</v>
      </c>
      <c r="AG320" s="10">
        <f ca="1">(SUM(AG279:AG279)-SUM($K320:AF320))*AG310</f>
        <v>0</v>
      </c>
      <c r="AH320" s="10">
        <f ca="1">(SUM(AH279:AH279)-SUM($K320:AG320))*AH310</f>
        <v>0</v>
      </c>
      <c r="AI320" s="10">
        <f ca="1">(SUM(AI279:AI279)-SUM($K320:AH320))*AI310</f>
        <v>0</v>
      </c>
      <c r="AJ320" s="10">
        <f ca="1">(SUM(AJ279:AJ279)-SUM($K320:AI320))*AJ310</f>
        <v>0</v>
      </c>
      <c r="AK320" s="10">
        <f ca="1">(SUM(AK279:AK279)-SUM($K320:AJ320))*AK310</f>
        <v>0</v>
      </c>
      <c r="AL320" s="10">
        <f ca="1">(SUM(AL279:AL279)-SUM($K320:AK320))*AL310</f>
        <v>0</v>
      </c>
      <c r="AM320" s="10">
        <f ca="1">(SUM(AM279:AM279)-SUM($K320:AL320))*AM310</f>
        <v>0</v>
      </c>
      <c r="AN320" s="10">
        <f ca="1">(SUM(AN279:AN279)-SUM($K320:AM320))*AN310</f>
        <v>0</v>
      </c>
      <c r="AO320" s="10">
        <f ca="1">(SUM(AO279:AO279)-SUM($K320:AN320))*AO310</f>
        <v>0</v>
      </c>
      <c r="AP320" s="10">
        <f ca="1">(SUM(AP279:AP279)-SUM($K320:AO320))*AP310</f>
        <v>0</v>
      </c>
      <c r="AQ320" s="10">
        <f ca="1">(SUM(AQ279:AQ279)-SUM($K320:AP320))*AQ310</f>
        <v>0</v>
      </c>
      <c r="AR320" s="10">
        <f ca="1">(SUM(AR279:AR279)-SUM($K320:AQ320))*AR310</f>
        <v>0</v>
      </c>
      <c r="AS320" s="10">
        <f ca="1">(SUM(AS279:AS279)-SUM($K320:AR320))*AS310</f>
        <v>0</v>
      </c>
      <c r="AT320" s="10">
        <f ca="1">(SUM(AT279:AT279)-SUM($K320:AS320))*AT310</f>
        <v>0</v>
      </c>
      <c r="AU320" s="10">
        <f ca="1">(SUM(AU279:AU279)-SUM($K320:AT320))*AU310</f>
        <v>0</v>
      </c>
      <c r="AV320" s="10">
        <f ca="1">(SUM(AV279:AV279)-SUM($K320:AU320))*AV310</f>
        <v>0</v>
      </c>
      <c r="AW320" s="10">
        <f ca="1">(SUM(AW279:AW279)-SUM($K320:AV320))*AW310</f>
        <v>0</v>
      </c>
      <c r="AX320" s="10">
        <f ca="1">(SUM(AX279:AX279)-SUM($K320:AW320))*AX310</f>
        <v>0</v>
      </c>
      <c r="AY320" s="10">
        <f ca="1">(SUM(AY279:AY279)-SUM($K320:AX320))*AY310</f>
        <v>0</v>
      </c>
      <c r="AZ320" s="10">
        <f ca="1">(SUM(AZ279:AZ279)-SUM($K320:AY320))*AZ310</f>
        <v>0</v>
      </c>
      <c r="BA320" s="10">
        <f ca="1">(SUM(BA279:BA279)-SUM($K320:AZ320))*BA310</f>
        <v>0</v>
      </c>
      <c r="BB320" s="10">
        <f ca="1">(SUM(BB279:BB279)-SUM($K320:BA320))*BB310</f>
        <v>0</v>
      </c>
      <c r="BC320" s="10">
        <f ca="1">(SUM(BC279:BC279)-SUM($K320:BB320))*BC310</f>
        <v>0</v>
      </c>
      <c r="BD320" s="10">
        <f ca="1">(SUM(BD279:BD279)-SUM($K320:BC320))*BD310</f>
        <v>0</v>
      </c>
      <c r="BE320" s="10">
        <f ca="1">(SUM(BE279:BE279)-SUM($K320:BD320))*BE310</f>
        <v>0</v>
      </c>
      <c r="BF320" s="10">
        <f ca="1">(SUM(BF279:BF279)-SUM($K320:BE320))*BF310</f>
        <v>0</v>
      </c>
      <c r="BG320" s="10">
        <f ca="1">(SUM(BG279:BG279)-SUM($K320:BF320))*BG310</f>
        <v>0</v>
      </c>
      <c r="BH320" s="10">
        <f ca="1">(SUM(BH279:BH279)-SUM($K320:BG320))*BH310</f>
        <v>0</v>
      </c>
      <c r="BI320" s="10">
        <f ca="1">(SUM(BI279:BI279)-SUM($K320:BH320))*BI310</f>
        <v>0</v>
      </c>
      <c r="BJ320" s="10">
        <f ca="1">(SUM(BJ279:BJ279)-SUM($K320:BI320))*BJ310</f>
        <v>0</v>
      </c>
      <c r="BK320" s="10">
        <f ca="1">(SUM(BK279:BK279)-SUM($K320:BJ320))*BK310</f>
        <v>0</v>
      </c>
      <c r="BL320" s="10">
        <f ca="1">(SUM(BL279:BL279)-SUM($K320:BK320))*BL310</f>
        <v>0</v>
      </c>
      <c r="BM320" s="10">
        <f ca="1">(SUM(BM279:BM279)-SUM($K320:BL320))*BM310</f>
        <v>0</v>
      </c>
      <c r="BN320" s="10">
        <f ca="1">(SUM(BN279:BN279)-SUM($K320:BM320))*BN310</f>
        <v>0</v>
      </c>
      <c r="BO320" s="10">
        <f ca="1">(SUM(BO279:BO279)-SUM($K320:BN320))*BO310</f>
        <v>0</v>
      </c>
      <c r="BP320" s="10">
        <f ca="1">(SUM(BP279:BP279)-SUM($K320:BO320))*BP310</f>
        <v>0</v>
      </c>
      <c r="BQ320" s="10">
        <f ca="1">(SUM(BQ279:BQ279)-SUM($K320:BP320))*BQ310</f>
        <v>0</v>
      </c>
      <c r="BR320" s="10">
        <f ca="1">(SUM(BR279:BR279)-SUM($K320:BQ320))*BR310</f>
        <v>0</v>
      </c>
      <c r="BS320" s="10">
        <f ca="1">(SUM(BS279:BS279)-SUM($K320:BR320))*BS310</f>
        <v>0</v>
      </c>
      <c r="BT320" s="10">
        <f ca="1">(SUM(BT279:BT279)-SUM($K320:BS320))*BT310</f>
        <v>0</v>
      </c>
      <c r="BU320" s="10">
        <f ca="1">(SUM(BU279:BU279)-SUM($K320:BT320))*BU310</f>
        <v>0</v>
      </c>
      <c r="BV320" s="10">
        <f ca="1">(SUM(BV279:BV279)-SUM($K320:BU320))*BV310</f>
        <v>0</v>
      </c>
      <c r="BW320" s="10">
        <f ca="1">(SUM(BW279:BW279)-SUM($K320:BV320))*BW310</f>
        <v>0</v>
      </c>
      <c r="BX320" s="10">
        <f ca="1">(SUM(BX279:BX279)-SUM($K320:BW320))*BX310</f>
        <v>0</v>
      </c>
      <c r="BY320" s="10">
        <f ca="1">(SUM(BY279:BY279)-SUM($K320:BX320))*BY310</f>
        <v>0</v>
      </c>
      <c r="BZ320" s="10">
        <f ca="1">(SUM(BZ279:BZ279)-SUM($K320:BY320))*BZ310</f>
        <v>0</v>
      </c>
      <c r="CA320" s="10">
        <f ca="1">(SUM(CA279:CA279)-SUM($K320:BZ320))*CA310</f>
        <v>0</v>
      </c>
      <c r="CB320" s="10">
        <f ca="1">(SUM(CB279:CB279)-SUM($K320:CA320))*CB310</f>
        <v>0</v>
      </c>
      <c r="CC320" s="10">
        <f ca="1">(SUM(CC279:CC279)-SUM($K320:CB320))*CC310</f>
        <v>0</v>
      </c>
      <c r="CD320" s="10">
        <f ca="1">(SUM(CD279:CD279)-SUM($K320:CC320))*CD310</f>
        <v>0</v>
      </c>
      <c r="CE320" s="10">
        <f ca="1">(SUM(CE279:CE279)-SUM($K320:CD320))*CE310</f>
        <v>0</v>
      </c>
      <c r="CF320" s="10">
        <f ca="1">(SUM(CF279:CF279)-SUM($K320:CE320))*CF310</f>
        <v>0</v>
      </c>
      <c r="CG320" s="10">
        <f ca="1">(SUM(CG279:CG279)-SUM($K320:CF320))*CG310</f>
        <v>0</v>
      </c>
      <c r="CH320" s="10">
        <f ca="1">(SUM(CH279:CH279)-SUM($K320:CG320))*CH310</f>
        <v>0</v>
      </c>
      <c r="CI320" s="10">
        <f ca="1">(SUM(CI279:CI279)-SUM($K320:CH320))*CI310</f>
        <v>0</v>
      </c>
      <c r="CJ320" s="10">
        <f ca="1">(SUM(CJ279:CJ279)-SUM($K320:CI320))*CJ310</f>
        <v>0</v>
      </c>
      <c r="CK320" s="10">
        <f ca="1">(SUM(CK279:CK279)-SUM($K320:CJ320))*CK310</f>
        <v>0</v>
      </c>
      <c r="CL320" s="10">
        <f ca="1">(SUM(CL279:CL279)-SUM($K320:CK320))*CL310</f>
        <v>0</v>
      </c>
      <c r="CM320" s="10">
        <f ca="1">(SUM(CM279:CM279)-SUM($K320:CL320))*CM310</f>
        <v>0</v>
      </c>
      <c r="CN320" s="10">
        <f ca="1">(SUM(CN279:CN279)-SUM($K320:CM320))*CN310</f>
        <v>0</v>
      </c>
      <c r="CO320" s="10">
        <f ca="1">(SUM(CO279:CO279)-SUM($K320:CN320))*CO310</f>
        <v>0</v>
      </c>
    </row>
    <row r="321" spans="1:93">
      <c r="A321" s="10"/>
      <c r="B321" s="10"/>
      <c r="C321" s="21" t="str">
        <f xml:space="preserve"> "Ввод в эксплуатацию - " &amp; C266</f>
        <v>Ввод в эксплуатацию - Здания и сооружения - Коммунальная инфраструктура</v>
      </c>
      <c r="D321" s="10"/>
      <c r="E321" s="62"/>
      <c r="F321" s="11"/>
      <c r="G321" s="134" t="str">
        <f t="shared" si="465"/>
        <v>тыс. руб.</v>
      </c>
      <c r="H321" s="10"/>
      <c r="I321" s="23">
        <f ca="1">SUM(L321:CO321)</f>
        <v>0</v>
      </c>
      <c r="J321" s="10"/>
      <c r="K321" s="10"/>
      <c r="L321" s="10">
        <f ca="1">(SUM(L280:L280)-SUM($K321:K321))*L311</f>
        <v>0</v>
      </c>
      <c r="M321" s="10">
        <f ca="1">(SUM(M280:M280)-SUM($K321:L321))*M311</f>
        <v>0</v>
      </c>
      <c r="N321" s="10">
        <f ca="1">(SUM(N280:N280)-SUM($K321:M321))*N311</f>
        <v>0</v>
      </c>
      <c r="O321" s="10">
        <f ca="1">(SUM(O280:O280)-SUM($K321:N321))*O311</f>
        <v>0</v>
      </c>
      <c r="P321" s="10">
        <f ca="1">(SUM(P280:P280)-SUM($K321:O321))*P311</f>
        <v>0</v>
      </c>
      <c r="Q321" s="10">
        <f ca="1">(SUM(Q280:Q280)-SUM($K321:P321))*Q311</f>
        <v>0</v>
      </c>
      <c r="R321" s="10">
        <f ca="1">(SUM(R280:R280)-SUM($K321:Q321))*R311</f>
        <v>0</v>
      </c>
      <c r="S321" s="10">
        <f ca="1">(SUM(S280:S280)-SUM($K321:R321))*S311</f>
        <v>0</v>
      </c>
      <c r="T321" s="10">
        <f ca="1">(SUM(T280:T280)-SUM($K321:S321))*T311</f>
        <v>0</v>
      </c>
      <c r="U321" s="10">
        <f ca="1">(SUM(U280:U280)-SUM($K321:T321))*U311</f>
        <v>0</v>
      </c>
      <c r="V321" s="10">
        <f ca="1">(SUM(V280:V280)-SUM($K321:U321))*V311</f>
        <v>0</v>
      </c>
      <c r="W321" s="10">
        <f ca="1">(SUM(W280:W280)-SUM($K321:V321))*W311</f>
        <v>0</v>
      </c>
      <c r="X321" s="10">
        <f ca="1">(SUM(X280:X280)-SUM($K321:W321))*X311</f>
        <v>0</v>
      </c>
      <c r="Y321" s="10">
        <f ca="1">(SUM(Y280:Y280)-SUM($K321:X321))*Y311</f>
        <v>0</v>
      </c>
      <c r="Z321" s="10">
        <f ca="1">(SUM(Z280:Z280)-SUM($K321:Y321))*Z311</f>
        <v>0</v>
      </c>
      <c r="AA321" s="10">
        <f ca="1">(SUM(AA280:AA280)-SUM($K321:Z321))*AA311</f>
        <v>0</v>
      </c>
      <c r="AB321" s="10">
        <f ca="1">(SUM(AB280:AB280)-SUM($K321:AA321))*AB311</f>
        <v>0</v>
      </c>
      <c r="AC321" s="10">
        <f ca="1">(SUM(AC280:AC280)-SUM($K321:AB321))*AC311</f>
        <v>0</v>
      </c>
      <c r="AD321" s="10">
        <f ca="1">(SUM(AD280:AD280)-SUM($K321:AC321))*AD311</f>
        <v>0</v>
      </c>
      <c r="AE321" s="10">
        <f ca="1">(SUM(AE280:AE280)-SUM($K321:AD321))*AE311</f>
        <v>0</v>
      </c>
      <c r="AF321" s="10">
        <f ca="1">(SUM(AF280:AF280)-SUM($K321:AE321))*AF311</f>
        <v>0</v>
      </c>
      <c r="AG321" s="10">
        <f ca="1">(SUM(AG280:AG280)-SUM($K321:AF321))*AG311</f>
        <v>0</v>
      </c>
      <c r="AH321" s="10">
        <f ca="1">(SUM(AH280:AH280)-SUM($K321:AG321))*AH311</f>
        <v>0</v>
      </c>
      <c r="AI321" s="10">
        <f ca="1">(SUM(AI280:AI280)-SUM($K321:AH321))*AI311</f>
        <v>0</v>
      </c>
      <c r="AJ321" s="10">
        <f ca="1">(SUM(AJ280:AJ280)-SUM($K321:AI321))*AJ311</f>
        <v>0</v>
      </c>
      <c r="AK321" s="10">
        <f ca="1">(SUM(AK280:AK280)-SUM($K321:AJ321))*AK311</f>
        <v>0</v>
      </c>
      <c r="AL321" s="10">
        <f ca="1">(SUM(AL280:AL280)-SUM($K321:AK321))*AL311</f>
        <v>0</v>
      </c>
      <c r="AM321" s="10">
        <f ca="1">(SUM(AM280:AM280)-SUM($K321:AL321))*AM311</f>
        <v>0</v>
      </c>
      <c r="AN321" s="10">
        <f ca="1">(SUM(AN280:AN280)-SUM($K321:AM321))*AN311</f>
        <v>0</v>
      </c>
      <c r="AO321" s="10">
        <f ca="1">(SUM(AO280:AO280)-SUM($K321:AN321))*AO311</f>
        <v>0</v>
      </c>
      <c r="AP321" s="10">
        <f ca="1">(SUM(AP280:AP280)-SUM($K321:AO321))*AP311</f>
        <v>0</v>
      </c>
      <c r="AQ321" s="10">
        <f ca="1">(SUM(AQ280:AQ280)-SUM($K321:AP321))*AQ311</f>
        <v>0</v>
      </c>
      <c r="AR321" s="10">
        <f ca="1">(SUM(AR280:AR280)-SUM($K321:AQ321))*AR311</f>
        <v>0</v>
      </c>
      <c r="AS321" s="10">
        <f ca="1">(SUM(AS280:AS280)-SUM($K321:AR321))*AS311</f>
        <v>0</v>
      </c>
      <c r="AT321" s="10">
        <f ca="1">(SUM(AT280:AT280)-SUM($K321:AS321))*AT311</f>
        <v>0</v>
      </c>
      <c r="AU321" s="10">
        <f ca="1">(SUM(AU280:AU280)-SUM($K321:AT321))*AU311</f>
        <v>0</v>
      </c>
      <c r="AV321" s="10">
        <f ca="1">(SUM(AV280:AV280)-SUM($K321:AU321))*AV311</f>
        <v>0</v>
      </c>
      <c r="AW321" s="10">
        <f ca="1">(SUM(AW280:AW280)-SUM($K321:AV321))*AW311</f>
        <v>0</v>
      </c>
      <c r="AX321" s="10">
        <f ca="1">(SUM(AX280:AX280)-SUM($K321:AW321))*AX311</f>
        <v>0</v>
      </c>
      <c r="AY321" s="10">
        <f ca="1">(SUM(AY280:AY280)-SUM($K321:AX321))*AY311</f>
        <v>0</v>
      </c>
      <c r="AZ321" s="10">
        <f ca="1">(SUM(AZ280:AZ280)-SUM($K321:AY321))*AZ311</f>
        <v>0</v>
      </c>
      <c r="BA321" s="10">
        <f ca="1">(SUM(BA280:BA280)-SUM($K321:AZ321))*BA311</f>
        <v>0</v>
      </c>
      <c r="BB321" s="10">
        <f ca="1">(SUM(BB280:BB280)-SUM($K321:BA321))*BB311</f>
        <v>0</v>
      </c>
      <c r="BC321" s="10">
        <f ca="1">(SUM(BC280:BC280)-SUM($K321:BB321))*BC311</f>
        <v>0</v>
      </c>
      <c r="BD321" s="10">
        <f ca="1">(SUM(BD280:BD280)-SUM($K321:BC321))*BD311</f>
        <v>0</v>
      </c>
      <c r="BE321" s="10">
        <f ca="1">(SUM(BE280:BE280)-SUM($K321:BD321))*BE311</f>
        <v>0</v>
      </c>
      <c r="BF321" s="10">
        <f ca="1">(SUM(BF280:BF280)-SUM($K321:BE321))*BF311</f>
        <v>0</v>
      </c>
      <c r="BG321" s="10">
        <f ca="1">(SUM(BG280:BG280)-SUM($K321:BF321))*BG311</f>
        <v>0</v>
      </c>
      <c r="BH321" s="10">
        <f ca="1">(SUM(BH280:BH280)-SUM($K321:BG321))*BH311</f>
        <v>0</v>
      </c>
      <c r="BI321" s="10">
        <f ca="1">(SUM(BI280:BI280)-SUM($K321:BH321))*BI311</f>
        <v>0</v>
      </c>
      <c r="BJ321" s="10">
        <f ca="1">(SUM(BJ280:BJ280)-SUM($K321:BI321))*BJ311</f>
        <v>0</v>
      </c>
      <c r="BK321" s="10">
        <f ca="1">(SUM(BK280:BK280)-SUM($K321:BJ321))*BK311</f>
        <v>0</v>
      </c>
      <c r="BL321" s="10">
        <f ca="1">(SUM(BL280:BL280)-SUM($K321:BK321))*BL311</f>
        <v>0</v>
      </c>
      <c r="BM321" s="10">
        <f ca="1">(SUM(BM280:BM280)-SUM($K321:BL321))*BM311</f>
        <v>0</v>
      </c>
      <c r="BN321" s="10">
        <f ca="1">(SUM(BN280:BN280)-SUM($K321:BM321))*BN311</f>
        <v>0</v>
      </c>
      <c r="BO321" s="10">
        <f ca="1">(SUM(BO280:BO280)-SUM($K321:BN321))*BO311</f>
        <v>0</v>
      </c>
      <c r="BP321" s="10">
        <f ca="1">(SUM(BP280:BP280)-SUM($K321:BO321))*BP311</f>
        <v>0</v>
      </c>
      <c r="BQ321" s="10">
        <f ca="1">(SUM(BQ280:BQ280)-SUM($K321:BP321))*BQ311</f>
        <v>0</v>
      </c>
      <c r="BR321" s="10">
        <f ca="1">(SUM(BR280:BR280)-SUM($K321:BQ321))*BR311</f>
        <v>0</v>
      </c>
      <c r="BS321" s="10">
        <f ca="1">(SUM(BS280:BS280)-SUM($K321:BR321))*BS311</f>
        <v>0</v>
      </c>
      <c r="BT321" s="10">
        <f ca="1">(SUM(BT280:BT280)-SUM($K321:BS321))*BT311</f>
        <v>0</v>
      </c>
      <c r="BU321" s="10">
        <f ca="1">(SUM(BU280:BU280)-SUM($K321:BT321))*BU311</f>
        <v>0</v>
      </c>
      <c r="BV321" s="10">
        <f ca="1">(SUM(BV280:BV280)-SUM($K321:BU321))*BV311</f>
        <v>0</v>
      </c>
      <c r="BW321" s="10">
        <f ca="1">(SUM(BW280:BW280)-SUM($K321:BV321))*BW311</f>
        <v>0</v>
      </c>
      <c r="BX321" s="10">
        <f ca="1">(SUM(BX280:BX280)-SUM($K321:BW321))*BX311</f>
        <v>0</v>
      </c>
      <c r="BY321" s="10">
        <f ca="1">(SUM(BY280:BY280)-SUM($K321:BX321))*BY311</f>
        <v>0</v>
      </c>
      <c r="BZ321" s="10">
        <f ca="1">(SUM(BZ280:BZ280)-SUM($K321:BY321))*BZ311</f>
        <v>0</v>
      </c>
      <c r="CA321" s="10">
        <f ca="1">(SUM(CA280:CA280)-SUM($K321:BZ321))*CA311</f>
        <v>0</v>
      </c>
      <c r="CB321" s="10">
        <f ca="1">(SUM(CB280:CB280)-SUM($K321:CA321))*CB311</f>
        <v>0</v>
      </c>
      <c r="CC321" s="10">
        <f ca="1">(SUM(CC280:CC280)-SUM($K321:CB321))*CC311</f>
        <v>0</v>
      </c>
      <c r="CD321" s="10">
        <f ca="1">(SUM(CD280:CD280)-SUM($K321:CC321))*CD311</f>
        <v>0</v>
      </c>
      <c r="CE321" s="10">
        <f ca="1">(SUM(CE280:CE280)-SUM($K321:CD321))*CE311</f>
        <v>0</v>
      </c>
      <c r="CF321" s="10">
        <f ca="1">(SUM(CF280:CF280)-SUM($K321:CE321))*CF311</f>
        <v>0</v>
      </c>
      <c r="CG321" s="10">
        <f ca="1">(SUM(CG280:CG280)-SUM($K321:CF321))*CG311</f>
        <v>0</v>
      </c>
      <c r="CH321" s="10">
        <f ca="1">(SUM(CH280:CH280)-SUM($K321:CG321))*CH311</f>
        <v>0</v>
      </c>
      <c r="CI321" s="10">
        <f ca="1">(SUM(CI280:CI280)-SUM($K321:CH321))*CI311</f>
        <v>0</v>
      </c>
      <c r="CJ321" s="10">
        <f ca="1">(SUM(CJ280:CJ280)-SUM($K321:CI321))*CJ311</f>
        <v>0</v>
      </c>
      <c r="CK321" s="10">
        <f ca="1">(SUM(CK280:CK280)-SUM($K321:CJ321))*CK311</f>
        <v>0</v>
      </c>
      <c r="CL321" s="10">
        <f ca="1">(SUM(CL280:CL280)-SUM($K321:CK321))*CL311</f>
        <v>0</v>
      </c>
      <c r="CM321" s="10">
        <f ca="1">(SUM(CM280:CM280)-SUM($K321:CL321))*CM311</f>
        <v>0</v>
      </c>
      <c r="CN321" s="10">
        <f ca="1">(SUM(CN280:CN280)-SUM($K321:CM321))*CN311</f>
        <v>0</v>
      </c>
      <c r="CO321" s="10">
        <f ca="1">(SUM(CO280:CO280)-SUM($K321:CN321))*CO311</f>
        <v>0</v>
      </c>
    </row>
    <row r="322" spans="1:93">
      <c r="A322" s="10"/>
      <c r="B322" s="10"/>
      <c r="C322" s="21" t="str">
        <f xml:space="preserve"> "Ввод в эксплуатацию - " &amp; C267</f>
        <v>Ввод в эксплуатацию - Здания и сооружения - Прочая обеспечивающая инфраструктура</v>
      </c>
      <c r="D322" s="10"/>
      <c r="E322" s="62"/>
      <c r="F322" s="11"/>
      <c r="G322" s="134" t="str">
        <f t="shared" si="465"/>
        <v>тыс. руб.</v>
      </c>
      <c r="H322" s="10"/>
      <c r="I322" s="23">
        <f ca="1">SUM(L322:CO322)</f>
        <v>0</v>
      </c>
      <c r="J322" s="10"/>
      <c r="K322" s="10"/>
      <c r="L322" s="10">
        <f ca="1">(SUM(L281:L281)-SUM($K322:K322))*L312</f>
        <v>0</v>
      </c>
      <c r="M322" s="10">
        <f ca="1">(SUM(M281:M281)-SUM($K322:L322))*M312</f>
        <v>0</v>
      </c>
      <c r="N322" s="10">
        <f ca="1">(SUM(N281:N281)-SUM($K322:M322))*N312</f>
        <v>0</v>
      </c>
      <c r="O322" s="10">
        <f ca="1">(SUM(O281:O281)-SUM($K322:N322))*O312</f>
        <v>0</v>
      </c>
      <c r="P322" s="10">
        <f ca="1">(SUM(P281:P281)-SUM($K322:O322))*P312</f>
        <v>0</v>
      </c>
      <c r="Q322" s="10">
        <f ca="1">(SUM(Q281:Q281)-SUM($K322:P322))*Q312</f>
        <v>0</v>
      </c>
      <c r="R322" s="10">
        <f ca="1">(SUM(R281:R281)-SUM($K322:Q322))*R312</f>
        <v>0</v>
      </c>
      <c r="S322" s="10">
        <f ca="1">(SUM(S281:S281)-SUM($K322:R322))*S312</f>
        <v>0</v>
      </c>
      <c r="T322" s="10">
        <f ca="1">(SUM(T281:T281)-SUM($K322:S322))*T312</f>
        <v>0</v>
      </c>
      <c r="U322" s="10">
        <f ca="1">(SUM(U281:U281)-SUM($K322:T322))*U312</f>
        <v>0</v>
      </c>
      <c r="V322" s="10">
        <f ca="1">(SUM(V281:V281)-SUM($K322:U322))*V312</f>
        <v>0</v>
      </c>
      <c r="W322" s="10">
        <f ca="1">(SUM(W281:W281)-SUM($K322:V322))*W312</f>
        <v>0</v>
      </c>
      <c r="X322" s="10">
        <f ca="1">(SUM(X281:X281)-SUM($K322:W322))*X312</f>
        <v>0</v>
      </c>
      <c r="Y322" s="10">
        <f ca="1">(SUM(Y281:Y281)-SUM($K322:X322))*Y312</f>
        <v>0</v>
      </c>
      <c r="Z322" s="10">
        <f ca="1">(SUM(Z281:Z281)-SUM($K322:Y322))*Z312</f>
        <v>0</v>
      </c>
      <c r="AA322" s="10">
        <f ca="1">(SUM(AA281:AA281)-SUM($K322:Z322))*AA312</f>
        <v>0</v>
      </c>
      <c r="AB322" s="10">
        <f ca="1">(SUM(AB281:AB281)-SUM($K322:AA322))*AB312</f>
        <v>0</v>
      </c>
      <c r="AC322" s="10">
        <f ca="1">(SUM(AC281:AC281)-SUM($K322:AB322))*AC312</f>
        <v>0</v>
      </c>
      <c r="AD322" s="10">
        <f ca="1">(SUM(AD281:AD281)-SUM($K322:AC322))*AD312</f>
        <v>0</v>
      </c>
      <c r="AE322" s="10">
        <f ca="1">(SUM(AE281:AE281)-SUM($K322:AD322))*AE312</f>
        <v>0</v>
      </c>
      <c r="AF322" s="10">
        <f ca="1">(SUM(AF281:AF281)-SUM($K322:AE322))*AF312</f>
        <v>0</v>
      </c>
      <c r="AG322" s="10">
        <f ca="1">(SUM(AG281:AG281)-SUM($K322:AF322))*AG312</f>
        <v>0</v>
      </c>
      <c r="AH322" s="10">
        <f ca="1">(SUM(AH281:AH281)-SUM($K322:AG322))*AH312</f>
        <v>0</v>
      </c>
      <c r="AI322" s="10">
        <f ca="1">(SUM(AI281:AI281)-SUM($K322:AH322))*AI312</f>
        <v>0</v>
      </c>
      <c r="AJ322" s="10">
        <f ca="1">(SUM(AJ281:AJ281)-SUM($K322:AI322))*AJ312</f>
        <v>0</v>
      </c>
      <c r="AK322" s="10">
        <f ca="1">(SUM(AK281:AK281)-SUM($K322:AJ322))*AK312</f>
        <v>0</v>
      </c>
      <c r="AL322" s="10">
        <f ca="1">(SUM(AL281:AL281)-SUM($K322:AK322))*AL312</f>
        <v>0</v>
      </c>
      <c r="AM322" s="10">
        <f ca="1">(SUM(AM281:AM281)-SUM($K322:AL322))*AM312</f>
        <v>0</v>
      </c>
      <c r="AN322" s="10">
        <f ca="1">(SUM(AN281:AN281)-SUM($K322:AM322))*AN312</f>
        <v>0</v>
      </c>
      <c r="AO322" s="10">
        <f ca="1">(SUM(AO281:AO281)-SUM($K322:AN322))*AO312</f>
        <v>0</v>
      </c>
      <c r="AP322" s="10">
        <f ca="1">(SUM(AP281:AP281)-SUM($K322:AO322))*AP312</f>
        <v>0</v>
      </c>
      <c r="AQ322" s="10">
        <f ca="1">(SUM(AQ281:AQ281)-SUM($K322:AP322))*AQ312</f>
        <v>0</v>
      </c>
      <c r="AR322" s="10">
        <f ca="1">(SUM(AR281:AR281)-SUM($K322:AQ322))*AR312</f>
        <v>0</v>
      </c>
      <c r="AS322" s="10">
        <f ca="1">(SUM(AS281:AS281)-SUM($K322:AR322))*AS312</f>
        <v>0</v>
      </c>
      <c r="AT322" s="10">
        <f ca="1">(SUM(AT281:AT281)-SUM($K322:AS322))*AT312</f>
        <v>0</v>
      </c>
      <c r="AU322" s="10">
        <f ca="1">(SUM(AU281:AU281)-SUM($K322:AT322))*AU312</f>
        <v>0</v>
      </c>
      <c r="AV322" s="10">
        <f ca="1">(SUM(AV281:AV281)-SUM($K322:AU322))*AV312</f>
        <v>0</v>
      </c>
      <c r="AW322" s="10">
        <f ca="1">(SUM(AW281:AW281)-SUM($K322:AV322))*AW312</f>
        <v>0</v>
      </c>
      <c r="AX322" s="10">
        <f ca="1">(SUM(AX281:AX281)-SUM($K322:AW322))*AX312</f>
        <v>0</v>
      </c>
      <c r="AY322" s="10">
        <f ca="1">(SUM(AY281:AY281)-SUM($K322:AX322))*AY312</f>
        <v>0</v>
      </c>
      <c r="AZ322" s="10">
        <f ca="1">(SUM(AZ281:AZ281)-SUM($K322:AY322))*AZ312</f>
        <v>0</v>
      </c>
      <c r="BA322" s="10">
        <f ca="1">(SUM(BA281:BA281)-SUM($K322:AZ322))*BA312</f>
        <v>0</v>
      </c>
      <c r="BB322" s="10">
        <f ca="1">(SUM(BB281:BB281)-SUM($K322:BA322))*BB312</f>
        <v>0</v>
      </c>
      <c r="BC322" s="10">
        <f ca="1">(SUM(BC281:BC281)-SUM($K322:BB322))*BC312</f>
        <v>0</v>
      </c>
      <c r="BD322" s="10">
        <f ca="1">(SUM(BD281:BD281)-SUM($K322:BC322))*BD312</f>
        <v>0</v>
      </c>
      <c r="BE322" s="10">
        <f ca="1">(SUM(BE281:BE281)-SUM($K322:BD322))*BE312</f>
        <v>0</v>
      </c>
      <c r="BF322" s="10">
        <f ca="1">(SUM(BF281:BF281)-SUM($K322:BE322))*BF312</f>
        <v>0</v>
      </c>
      <c r="BG322" s="10">
        <f ca="1">(SUM(BG281:BG281)-SUM($K322:BF322))*BG312</f>
        <v>0</v>
      </c>
      <c r="BH322" s="10">
        <f ca="1">(SUM(BH281:BH281)-SUM($K322:BG322))*BH312</f>
        <v>0</v>
      </c>
      <c r="BI322" s="10">
        <f ca="1">(SUM(BI281:BI281)-SUM($K322:BH322))*BI312</f>
        <v>0</v>
      </c>
      <c r="BJ322" s="10">
        <f ca="1">(SUM(BJ281:BJ281)-SUM($K322:BI322))*BJ312</f>
        <v>0</v>
      </c>
      <c r="BK322" s="10">
        <f ca="1">(SUM(BK281:BK281)-SUM($K322:BJ322))*BK312</f>
        <v>0</v>
      </c>
      <c r="BL322" s="10">
        <f ca="1">(SUM(BL281:BL281)-SUM($K322:BK322))*BL312</f>
        <v>0</v>
      </c>
      <c r="BM322" s="10">
        <f ca="1">(SUM(BM281:BM281)-SUM($K322:BL322))*BM312</f>
        <v>0</v>
      </c>
      <c r="BN322" s="10">
        <f ca="1">(SUM(BN281:BN281)-SUM($K322:BM322))*BN312</f>
        <v>0</v>
      </c>
      <c r="BO322" s="10">
        <f ca="1">(SUM(BO281:BO281)-SUM($K322:BN322))*BO312</f>
        <v>0</v>
      </c>
      <c r="BP322" s="10">
        <f ca="1">(SUM(BP281:BP281)-SUM($K322:BO322))*BP312</f>
        <v>0</v>
      </c>
      <c r="BQ322" s="10">
        <f ca="1">(SUM(BQ281:BQ281)-SUM($K322:BP322))*BQ312</f>
        <v>0</v>
      </c>
      <c r="BR322" s="10">
        <f ca="1">(SUM(BR281:BR281)-SUM($K322:BQ322))*BR312</f>
        <v>0</v>
      </c>
      <c r="BS322" s="10">
        <f ca="1">(SUM(BS281:BS281)-SUM($K322:BR322))*BS312</f>
        <v>0</v>
      </c>
      <c r="BT322" s="10">
        <f ca="1">(SUM(BT281:BT281)-SUM($K322:BS322))*BT312</f>
        <v>0</v>
      </c>
      <c r="BU322" s="10">
        <f ca="1">(SUM(BU281:BU281)-SUM($K322:BT322))*BU312</f>
        <v>0</v>
      </c>
      <c r="BV322" s="10">
        <f ca="1">(SUM(BV281:BV281)-SUM($K322:BU322))*BV312</f>
        <v>0</v>
      </c>
      <c r="BW322" s="10">
        <f ca="1">(SUM(BW281:BW281)-SUM($K322:BV322))*BW312</f>
        <v>0</v>
      </c>
      <c r="BX322" s="10">
        <f ca="1">(SUM(BX281:BX281)-SUM($K322:BW322))*BX312</f>
        <v>0</v>
      </c>
      <c r="BY322" s="10">
        <f ca="1">(SUM(BY281:BY281)-SUM($K322:BX322))*BY312</f>
        <v>0</v>
      </c>
      <c r="BZ322" s="10">
        <f ca="1">(SUM(BZ281:BZ281)-SUM($K322:BY322))*BZ312</f>
        <v>0</v>
      </c>
      <c r="CA322" s="10">
        <f ca="1">(SUM(CA281:CA281)-SUM($K322:BZ322))*CA312</f>
        <v>0</v>
      </c>
      <c r="CB322" s="10">
        <f ca="1">(SUM(CB281:CB281)-SUM($K322:CA322))*CB312</f>
        <v>0</v>
      </c>
      <c r="CC322" s="10">
        <f ca="1">(SUM(CC281:CC281)-SUM($K322:CB322))*CC312</f>
        <v>0</v>
      </c>
      <c r="CD322" s="10">
        <f ca="1">(SUM(CD281:CD281)-SUM($K322:CC322))*CD312</f>
        <v>0</v>
      </c>
      <c r="CE322" s="10">
        <f ca="1">(SUM(CE281:CE281)-SUM($K322:CD322))*CE312</f>
        <v>0</v>
      </c>
      <c r="CF322" s="10">
        <f ca="1">(SUM(CF281:CF281)-SUM($K322:CE322))*CF312</f>
        <v>0</v>
      </c>
      <c r="CG322" s="10">
        <f ca="1">(SUM(CG281:CG281)-SUM($K322:CF322))*CG312</f>
        <v>0</v>
      </c>
      <c r="CH322" s="10">
        <f ca="1">(SUM(CH281:CH281)-SUM($K322:CG322))*CH312</f>
        <v>0</v>
      </c>
      <c r="CI322" s="10">
        <f ca="1">(SUM(CI281:CI281)-SUM($K322:CH322))*CI312</f>
        <v>0</v>
      </c>
      <c r="CJ322" s="10">
        <f ca="1">(SUM(CJ281:CJ281)-SUM($K322:CI322))*CJ312</f>
        <v>0</v>
      </c>
      <c r="CK322" s="10">
        <f ca="1">(SUM(CK281:CK281)-SUM($K322:CJ322))*CK312</f>
        <v>0</v>
      </c>
      <c r="CL322" s="10">
        <f ca="1">(SUM(CL281:CL281)-SUM($K322:CK322))*CL312</f>
        <v>0</v>
      </c>
      <c r="CM322" s="10">
        <f ca="1">(SUM(CM281:CM281)-SUM($K322:CL322))*CM312</f>
        <v>0</v>
      </c>
      <c r="CN322" s="10">
        <f ca="1">(SUM(CN281:CN281)-SUM($K322:CM322))*CN312</f>
        <v>0</v>
      </c>
      <c r="CO322" s="10">
        <f ca="1">(SUM(CO281:CO281)-SUM($K322:CN322))*CO312</f>
        <v>0</v>
      </c>
    </row>
    <row r="323" spans="1:93">
      <c r="A323" s="10"/>
      <c r="B323" s="10"/>
      <c r="C323" s="21" t="str">
        <f xml:space="preserve"> "Ввод в эксплуатацию - " &amp; C268</f>
        <v>Ввод в эксплуатацию - Здания и сооружения - Объект размещения (отель)</v>
      </c>
      <c r="D323" s="10"/>
      <c r="E323" s="62"/>
      <c r="F323" s="11"/>
      <c r="G323" s="134" t="str">
        <f t="shared" si="465"/>
        <v>тыс. руб.</v>
      </c>
      <c r="H323" s="10"/>
      <c r="I323" s="23">
        <f t="shared" ref="I323:I329" ca="1" si="466">SUM(L323:CO323)</f>
        <v>2465463.0653563468</v>
      </c>
      <c r="J323" s="10"/>
      <c r="K323" s="10"/>
      <c r="L323" s="10">
        <f ca="1" xml:space="preserve"> (L282 - SUM($K323:K323)) * L313</f>
        <v>0</v>
      </c>
      <c r="M323" s="10">
        <f ca="1" xml:space="preserve"> (M282 - SUM($K323:L323)) * M313</f>
        <v>0</v>
      </c>
      <c r="N323" s="10">
        <f ca="1" xml:space="preserve"> (N282 - SUM($K323:M323)) * N313</f>
        <v>0</v>
      </c>
      <c r="O323" s="10">
        <f ca="1" xml:space="preserve"> (O282 - SUM($K323:N323)) * O313</f>
        <v>0</v>
      </c>
      <c r="P323" s="10">
        <f ca="1" xml:space="preserve"> (P282 - SUM($K323:O323)) * P313</f>
        <v>0</v>
      </c>
      <c r="Q323" s="10">
        <f ca="1" xml:space="preserve"> (Q282 - SUM($K323:P323)) * Q313</f>
        <v>0</v>
      </c>
      <c r="R323" s="10">
        <f ca="1" xml:space="preserve"> (R282 - SUM($K323:Q323)) * R313</f>
        <v>0</v>
      </c>
      <c r="S323" s="10">
        <f ca="1" xml:space="preserve"> (S282 - SUM($K323:R323)) * S313</f>
        <v>0</v>
      </c>
      <c r="T323" s="10">
        <f ca="1" xml:space="preserve"> (T282 - SUM($K323:S323)) * T313</f>
        <v>0</v>
      </c>
      <c r="U323" s="10">
        <f ca="1" xml:space="preserve"> (U282 - SUM($K323:T323)) * U313</f>
        <v>0</v>
      </c>
      <c r="V323" s="10">
        <f ca="1" xml:space="preserve"> (V282 - SUM($K323:U323)) * V313</f>
        <v>0</v>
      </c>
      <c r="W323" s="10">
        <f ca="1" xml:space="preserve"> (W282 - SUM($K323:V323)) * W313</f>
        <v>0</v>
      </c>
      <c r="X323" s="10">
        <f ca="1" xml:space="preserve"> (X282 - SUM($K323:W323)) * X313</f>
        <v>0</v>
      </c>
      <c r="Y323" s="10">
        <f ca="1" xml:space="preserve"> (Y282 - SUM($K323:X323)) * Y313</f>
        <v>0</v>
      </c>
      <c r="Z323" s="10">
        <f ca="1" xml:space="preserve"> (Z282 - SUM($K323:Y323)) * Z313</f>
        <v>0</v>
      </c>
      <c r="AA323" s="10">
        <f ca="1" xml:space="preserve"> (AA282 - SUM($K323:Z323)) * AA313</f>
        <v>0</v>
      </c>
      <c r="AB323" s="10">
        <f ca="1" xml:space="preserve"> (AB282 - SUM($K323:AA323)) * AB313</f>
        <v>2465463.0653563468</v>
      </c>
      <c r="AC323" s="10">
        <f ca="1" xml:space="preserve"> (AC282 - SUM($K323:AB323)) * AC313</f>
        <v>0</v>
      </c>
      <c r="AD323" s="10">
        <f ca="1" xml:space="preserve"> (AD282 - SUM($K323:AC323)) * AD313</f>
        <v>0</v>
      </c>
      <c r="AE323" s="10">
        <f ca="1" xml:space="preserve"> (AE282 - SUM($K323:AD323)) * AE313</f>
        <v>0</v>
      </c>
      <c r="AF323" s="10">
        <f ca="1" xml:space="preserve"> (AF282 - SUM($K323:AE323)) * AF313</f>
        <v>0</v>
      </c>
      <c r="AG323" s="10">
        <f ca="1" xml:space="preserve"> (AG282 - SUM($K323:AF323)) * AG313</f>
        <v>0</v>
      </c>
      <c r="AH323" s="10">
        <f ca="1" xml:space="preserve"> (AH282 - SUM($K323:AG323)) * AH313</f>
        <v>0</v>
      </c>
      <c r="AI323" s="10">
        <f ca="1" xml:space="preserve"> (AI282 - SUM($K323:AH323)) * AI313</f>
        <v>0</v>
      </c>
      <c r="AJ323" s="10">
        <f ca="1" xml:space="preserve"> (AJ282 - SUM($K323:AI323)) * AJ313</f>
        <v>0</v>
      </c>
      <c r="AK323" s="10">
        <f ca="1" xml:space="preserve"> (AK282 - SUM($K323:AJ323)) * AK313</f>
        <v>0</v>
      </c>
      <c r="AL323" s="10">
        <f ca="1" xml:space="preserve"> (AL282 - SUM($K323:AK323)) * AL313</f>
        <v>0</v>
      </c>
      <c r="AM323" s="10">
        <f ca="1" xml:space="preserve"> (AM282 - SUM($K323:AL323)) * AM313</f>
        <v>0</v>
      </c>
      <c r="AN323" s="10">
        <f ca="1" xml:space="preserve"> (AN282 - SUM($K323:AM323)) * AN313</f>
        <v>0</v>
      </c>
      <c r="AO323" s="10">
        <f ca="1" xml:space="preserve"> (AO282 - SUM($K323:AN323)) * AO313</f>
        <v>0</v>
      </c>
      <c r="AP323" s="10">
        <f ca="1" xml:space="preserve"> (AP282 - SUM($K323:AO323)) * AP313</f>
        <v>0</v>
      </c>
      <c r="AQ323" s="10">
        <f ca="1" xml:space="preserve"> (AQ282 - SUM($K323:AP323)) * AQ313</f>
        <v>0</v>
      </c>
      <c r="AR323" s="10">
        <f ca="1" xml:space="preserve"> (AR282 - SUM($K323:AQ323)) * AR313</f>
        <v>0</v>
      </c>
      <c r="AS323" s="10">
        <f ca="1" xml:space="preserve"> (AS282 - SUM($K323:AR323)) * AS313</f>
        <v>0</v>
      </c>
      <c r="AT323" s="10">
        <f ca="1" xml:space="preserve"> (AT282 - SUM($K323:AS323)) * AT313</f>
        <v>0</v>
      </c>
      <c r="AU323" s="10">
        <f ca="1" xml:space="preserve"> (AU282 - SUM($K323:AT323)) * AU313</f>
        <v>0</v>
      </c>
      <c r="AV323" s="10">
        <f ca="1" xml:space="preserve"> (AV282 - SUM($K323:AU323)) * AV313</f>
        <v>0</v>
      </c>
      <c r="AW323" s="10">
        <f ca="1" xml:space="preserve"> (AW282 - SUM($K323:AV323)) * AW313</f>
        <v>0</v>
      </c>
      <c r="AX323" s="10">
        <f ca="1" xml:space="preserve"> (AX282 - SUM($K323:AW323)) * AX313</f>
        <v>0</v>
      </c>
      <c r="AY323" s="10">
        <f ca="1" xml:space="preserve"> (AY282 - SUM($K323:AX323)) * AY313</f>
        <v>0</v>
      </c>
      <c r="AZ323" s="10">
        <f ca="1" xml:space="preserve"> (AZ282 - SUM($K323:AY323)) * AZ313</f>
        <v>0</v>
      </c>
      <c r="BA323" s="10">
        <f ca="1" xml:space="preserve"> (BA282 - SUM($K323:AZ323)) * BA313</f>
        <v>0</v>
      </c>
      <c r="BB323" s="10">
        <f ca="1" xml:space="preserve"> (BB282 - SUM($K323:BA323)) * BB313</f>
        <v>0</v>
      </c>
      <c r="BC323" s="10">
        <f ca="1" xml:space="preserve"> (BC282 - SUM($K323:BB323)) * BC313</f>
        <v>0</v>
      </c>
      <c r="BD323" s="10">
        <f ca="1" xml:space="preserve"> (BD282 - SUM($K323:BC323)) * BD313</f>
        <v>0</v>
      </c>
      <c r="BE323" s="10">
        <f ca="1" xml:space="preserve"> (BE282 - SUM($K323:BD323)) * BE313</f>
        <v>0</v>
      </c>
      <c r="BF323" s="10">
        <f ca="1" xml:space="preserve"> (BF282 - SUM($K323:BE323)) * BF313</f>
        <v>0</v>
      </c>
      <c r="BG323" s="10">
        <f ca="1" xml:space="preserve"> (BG282 - SUM($K323:BF323)) * BG313</f>
        <v>0</v>
      </c>
      <c r="BH323" s="10">
        <f ca="1" xml:space="preserve"> (BH282 - SUM($K323:BG323)) * BH313</f>
        <v>0</v>
      </c>
      <c r="BI323" s="10">
        <f ca="1" xml:space="preserve"> (BI282 - SUM($K323:BH323)) * BI313</f>
        <v>0</v>
      </c>
      <c r="BJ323" s="10">
        <f ca="1" xml:space="preserve"> (BJ282 - SUM($K323:BI323)) * BJ313</f>
        <v>0</v>
      </c>
      <c r="BK323" s="10">
        <f ca="1" xml:space="preserve"> (BK282 - SUM($K323:BJ323)) * BK313</f>
        <v>0</v>
      </c>
      <c r="BL323" s="10">
        <f ca="1" xml:space="preserve"> (BL282 - SUM($K323:BK323)) * BL313</f>
        <v>0</v>
      </c>
      <c r="BM323" s="10">
        <f ca="1" xml:space="preserve"> (BM282 - SUM($K323:BL323)) * BM313</f>
        <v>0</v>
      </c>
      <c r="BN323" s="10">
        <f ca="1" xml:space="preserve"> (BN282 - SUM($K323:BM323)) * BN313</f>
        <v>0</v>
      </c>
      <c r="BO323" s="10">
        <f ca="1" xml:space="preserve"> (BO282 - SUM($K323:BN323)) * BO313</f>
        <v>0</v>
      </c>
      <c r="BP323" s="10">
        <f ca="1" xml:space="preserve"> (BP282 - SUM($K323:BO323)) * BP313</f>
        <v>0</v>
      </c>
      <c r="BQ323" s="10">
        <f ca="1" xml:space="preserve"> (BQ282 - SUM($K323:BP323)) * BQ313</f>
        <v>0</v>
      </c>
      <c r="BR323" s="10">
        <f ca="1" xml:space="preserve"> (BR282 - SUM($K323:BQ323)) * BR313</f>
        <v>0</v>
      </c>
      <c r="BS323" s="10">
        <f ca="1" xml:space="preserve"> (BS282 - SUM($K323:BR323)) * BS313</f>
        <v>0</v>
      </c>
      <c r="BT323" s="10">
        <f ca="1" xml:space="preserve"> (BT282 - SUM($K323:BS323)) * BT313</f>
        <v>0</v>
      </c>
      <c r="BU323" s="10">
        <f ca="1" xml:space="preserve"> (BU282 - SUM($K323:BT323)) * BU313</f>
        <v>0</v>
      </c>
      <c r="BV323" s="10">
        <f ca="1" xml:space="preserve"> (BV282 - SUM($K323:BU323)) * BV313</f>
        <v>0</v>
      </c>
      <c r="BW323" s="10">
        <f ca="1" xml:space="preserve"> (BW282 - SUM($K323:BV323)) * BW313</f>
        <v>0</v>
      </c>
      <c r="BX323" s="10">
        <f ca="1" xml:space="preserve"> (BX282 - SUM($K323:BW323)) * BX313</f>
        <v>0</v>
      </c>
      <c r="BY323" s="10">
        <f ca="1" xml:space="preserve"> (BY282 - SUM($K323:BX323)) * BY313</f>
        <v>0</v>
      </c>
      <c r="BZ323" s="10">
        <f ca="1" xml:space="preserve"> (BZ282 - SUM($K323:BY323)) * BZ313</f>
        <v>0</v>
      </c>
      <c r="CA323" s="10">
        <f ca="1" xml:space="preserve"> (CA282 - SUM($K323:BZ323)) * CA313</f>
        <v>0</v>
      </c>
      <c r="CB323" s="10">
        <f ca="1" xml:space="preserve"> (CB282 - SUM($K323:CA323)) * CB313</f>
        <v>0</v>
      </c>
      <c r="CC323" s="10">
        <f ca="1" xml:space="preserve"> (CC282 - SUM($K323:CB323)) * CC313</f>
        <v>0</v>
      </c>
      <c r="CD323" s="10">
        <f ca="1" xml:space="preserve"> (CD282 - SUM($K323:CC323)) * CD313</f>
        <v>0</v>
      </c>
      <c r="CE323" s="10">
        <f ca="1" xml:space="preserve"> (CE282 - SUM($K323:CD323)) * CE313</f>
        <v>0</v>
      </c>
      <c r="CF323" s="10">
        <f ca="1" xml:space="preserve"> (CF282 - SUM($K323:CE323)) * CF313</f>
        <v>0</v>
      </c>
      <c r="CG323" s="10">
        <f ca="1" xml:space="preserve"> (CG282 - SUM($K323:CF323)) * CG313</f>
        <v>0</v>
      </c>
      <c r="CH323" s="10">
        <f ca="1" xml:space="preserve"> (CH282 - SUM($K323:CG323)) * CH313</f>
        <v>0</v>
      </c>
      <c r="CI323" s="10">
        <f ca="1" xml:space="preserve"> (CI282 - SUM($K323:CH323)) * CI313</f>
        <v>0</v>
      </c>
      <c r="CJ323" s="10">
        <f ca="1" xml:space="preserve"> (CJ282 - SUM($K323:CI323)) * CJ313</f>
        <v>0</v>
      </c>
      <c r="CK323" s="10">
        <f ca="1" xml:space="preserve"> (CK282 - SUM($K323:CJ323)) * CK313</f>
        <v>0</v>
      </c>
      <c r="CL323" s="10">
        <f ca="1" xml:space="preserve"> (CL282 - SUM($K323:CK323)) * CL313</f>
        <v>0</v>
      </c>
      <c r="CM323" s="10">
        <f ca="1" xml:space="preserve"> (CM282 - SUM($K323:CL323)) * CM313</f>
        <v>0</v>
      </c>
      <c r="CN323" s="10">
        <f ca="1" xml:space="preserve"> (CN282 - SUM($K323:CM323)) * CN313</f>
        <v>0</v>
      </c>
      <c r="CO323" s="10">
        <f ca="1" xml:space="preserve"> (CO282 - SUM($K323:CN323)) * CO313</f>
        <v>0</v>
      </c>
    </row>
    <row r="324" spans="1:93">
      <c r="A324" s="10"/>
      <c r="B324" s="10"/>
      <c r="C324" s="21" t="s">
        <v>1095</v>
      </c>
      <c r="D324" s="10"/>
      <c r="E324" s="62"/>
      <c r="F324" s="11"/>
      <c r="G324" s="134" t="str">
        <f t="shared" si="465"/>
        <v>тыс. руб.</v>
      </c>
      <c r="H324" s="10"/>
      <c r="I324" s="23">
        <f t="shared" si="466"/>
        <v>0</v>
      </c>
      <c r="J324" s="10"/>
      <c r="K324" s="10"/>
      <c r="L324" s="10">
        <f xml:space="preserve"> (L287 - SUM($K324:K324)) * L314</f>
        <v>0</v>
      </c>
      <c r="M324" s="10">
        <f xml:space="preserve"> (M287 - SUM($K324:L324)) * M314</f>
        <v>0</v>
      </c>
      <c r="N324" s="10">
        <f xml:space="preserve"> (N287 - SUM($K324:M324)) * N314</f>
        <v>0</v>
      </c>
      <c r="O324" s="10">
        <f xml:space="preserve"> (O287 - SUM($K324:N324)) * O314</f>
        <v>0</v>
      </c>
      <c r="P324" s="10">
        <f xml:space="preserve"> (P287 - SUM($K324:O324)) * P314</f>
        <v>0</v>
      </c>
      <c r="Q324" s="10">
        <f xml:space="preserve"> (Q287 - SUM($K324:P324)) * Q314</f>
        <v>0</v>
      </c>
      <c r="R324" s="10">
        <f xml:space="preserve"> (R287 - SUM($K324:Q324)) * R314</f>
        <v>0</v>
      </c>
      <c r="S324" s="10">
        <f xml:space="preserve"> (S287 - SUM($K324:R324)) * S314</f>
        <v>0</v>
      </c>
      <c r="T324" s="10">
        <f xml:space="preserve"> (T287 - SUM($K324:S324)) * T314</f>
        <v>0</v>
      </c>
      <c r="U324" s="10">
        <f xml:space="preserve"> (U287 - SUM($K324:T324)) * U314</f>
        <v>0</v>
      </c>
      <c r="V324" s="10">
        <f xml:space="preserve"> (V287 - SUM($K324:U324)) * V314</f>
        <v>0</v>
      </c>
      <c r="W324" s="10">
        <f xml:space="preserve"> (W287 - SUM($K324:V324)) * W314</f>
        <v>0</v>
      </c>
      <c r="X324" s="10">
        <f xml:space="preserve"> (X287 - SUM($K324:W324)) * X314</f>
        <v>0</v>
      </c>
      <c r="Y324" s="10">
        <f xml:space="preserve"> (Y287 - SUM($K324:X324)) * Y314</f>
        <v>0</v>
      </c>
      <c r="Z324" s="10">
        <f xml:space="preserve"> (Z287 - SUM($K324:Y324)) * Z314</f>
        <v>0</v>
      </c>
      <c r="AA324" s="10">
        <f xml:space="preserve"> (AA287 - SUM($K324:Z324)) * AA314</f>
        <v>0</v>
      </c>
      <c r="AB324" s="10">
        <f xml:space="preserve"> (AB287 - SUM($K324:AA324)) * AB314</f>
        <v>0</v>
      </c>
      <c r="AC324" s="10">
        <f xml:space="preserve"> (AC287 - SUM($K324:AB324)) * AC314</f>
        <v>0</v>
      </c>
      <c r="AD324" s="10">
        <f xml:space="preserve"> (AD287 - SUM($K324:AC324)) * AD314</f>
        <v>0</v>
      </c>
      <c r="AE324" s="10">
        <f xml:space="preserve"> (AE287 - SUM($K324:AD324)) * AE314</f>
        <v>0</v>
      </c>
      <c r="AF324" s="10">
        <f xml:space="preserve"> (AF287 - SUM($K324:AE324)) * AF314</f>
        <v>0</v>
      </c>
      <c r="AG324" s="10">
        <f xml:space="preserve"> (AG287 - SUM($K324:AF324)) * AG314</f>
        <v>0</v>
      </c>
      <c r="AH324" s="10">
        <f xml:space="preserve"> (AH287 - SUM($K324:AG324)) * AH314</f>
        <v>0</v>
      </c>
      <c r="AI324" s="10">
        <f xml:space="preserve"> (AI287 - SUM($K324:AH324)) * AI314</f>
        <v>0</v>
      </c>
      <c r="AJ324" s="10">
        <f xml:space="preserve"> (AJ287 - SUM($K324:AI324)) * AJ314</f>
        <v>0</v>
      </c>
      <c r="AK324" s="10">
        <f xml:space="preserve"> (AK287 - SUM($K324:AJ324)) * AK314</f>
        <v>0</v>
      </c>
      <c r="AL324" s="10">
        <f xml:space="preserve"> (AL287 - SUM($K324:AK324)) * AL314</f>
        <v>0</v>
      </c>
      <c r="AM324" s="10">
        <f xml:space="preserve"> (AM287 - SUM($K324:AL324)) * AM314</f>
        <v>0</v>
      </c>
      <c r="AN324" s="10">
        <f xml:space="preserve"> (AN287 - SUM($K324:AM324)) * AN314</f>
        <v>0</v>
      </c>
      <c r="AO324" s="10">
        <f xml:space="preserve"> (AO287 - SUM($K324:AN324)) * AO314</f>
        <v>0</v>
      </c>
      <c r="AP324" s="10">
        <f xml:space="preserve"> (AP287 - SUM($K324:AO324)) * AP314</f>
        <v>0</v>
      </c>
      <c r="AQ324" s="10">
        <f xml:space="preserve"> (AQ287 - SUM($K324:AP324)) * AQ314</f>
        <v>0</v>
      </c>
      <c r="AR324" s="10">
        <f xml:space="preserve"> (AR287 - SUM($K324:AQ324)) * AR314</f>
        <v>0</v>
      </c>
      <c r="AS324" s="10">
        <f xml:space="preserve"> (AS287 - SUM($K324:AR324)) * AS314</f>
        <v>0</v>
      </c>
      <c r="AT324" s="10">
        <f xml:space="preserve"> (AT287 - SUM($K324:AS324)) * AT314</f>
        <v>0</v>
      </c>
      <c r="AU324" s="10">
        <f xml:space="preserve"> (AU287 - SUM($K324:AT324)) * AU314</f>
        <v>0</v>
      </c>
      <c r="AV324" s="10">
        <f xml:space="preserve"> (AV287 - SUM($K324:AU324)) * AV314</f>
        <v>0</v>
      </c>
      <c r="AW324" s="10">
        <f xml:space="preserve"> (AW287 - SUM($K324:AV324)) * AW314</f>
        <v>0</v>
      </c>
      <c r="AX324" s="10">
        <f xml:space="preserve"> (AX287 - SUM($K324:AW324)) * AX314</f>
        <v>0</v>
      </c>
      <c r="AY324" s="10">
        <f xml:space="preserve"> (AY287 - SUM($K324:AX324)) * AY314</f>
        <v>0</v>
      </c>
      <c r="AZ324" s="10">
        <f xml:space="preserve"> (AZ287 - SUM($K324:AY324)) * AZ314</f>
        <v>0</v>
      </c>
      <c r="BA324" s="10">
        <f xml:space="preserve"> (BA287 - SUM($K324:AZ324)) * BA314</f>
        <v>0</v>
      </c>
      <c r="BB324" s="10">
        <f xml:space="preserve"> (BB287 - SUM($K324:BA324)) * BB314</f>
        <v>0</v>
      </c>
      <c r="BC324" s="10">
        <f xml:space="preserve"> (BC287 - SUM($K324:BB324)) * BC314</f>
        <v>0</v>
      </c>
      <c r="BD324" s="10">
        <f xml:space="preserve"> (BD287 - SUM($K324:BC324)) * BD314</f>
        <v>0</v>
      </c>
      <c r="BE324" s="10">
        <f xml:space="preserve"> (BE287 - SUM($K324:BD324)) * BE314</f>
        <v>0</v>
      </c>
      <c r="BF324" s="10">
        <f xml:space="preserve"> (BF287 - SUM($K324:BE324)) * BF314</f>
        <v>0</v>
      </c>
      <c r="BG324" s="10">
        <f xml:space="preserve"> (BG287 - SUM($K324:BF324)) * BG314</f>
        <v>0</v>
      </c>
      <c r="BH324" s="10">
        <f xml:space="preserve"> (BH287 - SUM($K324:BG324)) * BH314</f>
        <v>0</v>
      </c>
      <c r="BI324" s="10">
        <f xml:space="preserve"> (BI287 - SUM($K324:BH324)) * BI314</f>
        <v>0</v>
      </c>
      <c r="BJ324" s="10">
        <f xml:space="preserve"> (BJ287 - SUM($K324:BI324)) * BJ314</f>
        <v>0</v>
      </c>
      <c r="BK324" s="10">
        <f xml:space="preserve"> (BK287 - SUM($K324:BJ324)) * BK314</f>
        <v>0</v>
      </c>
      <c r="BL324" s="10">
        <f xml:space="preserve"> (BL287 - SUM($K324:BK324)) * BL314</f>
        <v>0</v>
      </c>
      <c r="BM324" s="10">
        <f xml:space="preserve"> (BM287 - SUM($K324:BL324)) * BM314</f>
        <v>0</v>
      </c>
      <c r="BN324" s="10">
        <f xml:space="preserve"> (BN287 - SUM($K324:BM324)) * BN314</f>
        <v>0</v>
      </c>
      <c r="BO324" s="10">
        <f xml:space="preserve"> (BO287 - SUM($K324:BN324)) * BO314</f>
        <v>0</v>
      </c>
      <c r="BP324" s="10">
        <f xml:space="preserve"> (BP287 - SUM($K324:BO324)) * BP314</f>
        <v>0</v>
      </c>
      <c r="BQ324" s="10">
        <f xml:space="preserve"> (BQ287 - SUM($K324:BP324)) * BQ314</f>
        <v>0</v>
      </c>
      <c r="BR324" s="10">
        <f xml:space="preserve"> (BR287 - SUM($K324:BQ324)) * BR314</f>
        <v>0</v>
      </c>
      <c r="BS324" s="10">
        <f xml:space="preserve"> (BS287 - SUM($K324:BR324)) * BS314</f>
        <v>0</v>
      </c>
      <c r="BT324" s="10">
        <f xml:space="preserve"> (BT287 - SUM($K324:BS324)) * BT314</f>
        <v>0</v>
      </c>
      <c r="BU324" s="10">
        <f xml:space="preserve"> (BU287 - SUM($K324:BT324)) * BU314</f>
        <v>0</v>
      </c>
      <c r="BV324" s="10">
        <f xml:space="preserve"> (BV287 - SUM($K324:BU324)) * BV314</f>
        <v>0</v>
      </c>
      <c r="BW324" s="10">
        <f xml:space="preserve"> (BW287 - SUM($K324:BV324)) * BW314</f>
        <v>0</v>
      </c>
      <c r="BX324" s="10">
        <f xml:space="preserve"> (BX287 - SUM($K324:BW324)) * BX314</f>
        <v>0</v>
      </c>
      <c r="BY324" s="10">
        <f xml:space="preserve"> (BY287 - SUM($K324:BX324)) * BY314</f>
        <v>0</v>
      </c>
      <c r="BZ324" s="10">
        <f xml:space="preserve"> (BZ287 - SUM($K324:BY324)) * BZ314</f>
        <v>0</v>
      </c>
      <c r="CA324" s="10">
        <f xml:space="preserve"> (CA287 - SUM($K324:BZ324)) * CA314</f>
        <v>0</v>
      </c>
      <c r="CB324" s="10">
        <f xml:space="preserve"> (CB287 - SUM($K324:CA324)) * CB314</f>
        <v>0</v>
      </c>
      <c r="CC324" s="10">
        <f xml:space="preserve"> (CC287 - SUM($K324:CB324)) * CC314</f>
        <v>0</v>
      </c>
      <c r="CD324" s="10">
        <f xml:space="preserve"> (CD287 - SUM($K324:CC324)) * CD314</f>
        <v>0</v>
      </c>
      <c r="CE324" s="10">
        <f xml:space="preserve"> (CE287 - SUM($K324:CD324)) * CE314</f>
        <v>0</v>
      </c>
      <c r="CF324" s="10">
        <f xml:space="preserve"> (CF287 - SUM($K324:CE324)) * CF314</f>
        <v>0</v>
      </c>
      <c r="CG324" s="10">
        <f xml:space="preserve"> (CG287 - SUM($K324:CF324)) * CG314</f>
        <v>0</v>
      </c>
      <c r="CH324" s="10">
        <f xml:space="preserve"> (CH287 - SUM($K324:CG324)) * CH314</f>
        <v>0</v>
      </c>
      <c r="CI324" s="10">
        <f xml:space="preserve"> (CI287 - SUM($K324:CH324)) * CI314</f>
        <v>0</v>
      </c>
      <c r="CJ324" s="10">
        <f xml:space="preserve"> (CJ287 - SUM($K324:CI324)) * CJ314</f>
        <v>0</v>
      </c>
      <c r="CK324" s="10">
        <f xml:space="preserve"> (CK287 - SUM($K324:CJ324)) * CK314</f>
        <v>0</v>
      </c>
      <c r="CL324" s="10">
        <f xml:space="preserve"> (CL287 - SUM($K324:CK324)) * CL314</f>
        <v>0</v>
      </c>
      <c r="CM324" s="10">
        <f xml:space="preserve"> (CM287 - SUM($K324:CL324)) * CM314</f>
        <v>0</v>
      </c>
      <c r="CN324" s="10">
        <f xml:space="preserve"> (CN287 - SUM($K324:CM324)) * CN314</f>
        <v>0</v>
      </c>
      <c r="CO324" s="10">
        <f xml:space="preserve"> (CO287 - SUM($K324:CN324)) * CO314</f>
        <v>0</v>
      </c>
    </row>
    <row r="325" spans="1:93">
      <c r="A325" s="10"/>
      <c r="B325" s="10"/>
      <c r="C325" s="21" t="str">
        <f xml:space="preserve"> "Ввод в эксплуатацию - " &amp; C269</f>
        <v>Ввод в эксплуатацию - Мебель и оборудование - Объект размещения (отель)</v>
      </c>
      <c r="D325" s="10"/>
      <c r="E325" s="62"/>
      <c r="F325" s="11"/>
      <c r="G325" s="134" t="str">
        <f t="shared" si="465"/>
        <v>тыс. руб.</v>
      </c>
      <c r="H325" s="10"/>
      <c r="I325" s="23">
        <f t="shared" ca="1" si="466"/>
        <v>594047.59928800585</v>
      </c>
      <c r="J325" s="10"/>
      <c r="K325" s="10"/>
      <c r="L325" s="10">
        <f ca="1" xml:space="preserve"> (L283 - SUM($K325:K325)) * L313</f>
        <v>0</v>
      </c>
      <c r="M325" s="10">
        <f ca="1" xml:space="preserve"> (M283 - SUM($K325:L325)) * M313</f>
        <v>0</v>
      </c>
      <c r="N325" s="10">
        <f ca="1" xml:space="preserve"> (N283 - SUM($K325:M325)) * N313</f>
        <v>0</v>
      </c>
      <c r="O325" s="10">
        <f ca="1" xml:space="preserve"> (O283 - SUM($K325:N325)) * O313</f>
        <v>0</v>
      </c>
      <c r="P325" s="10">
        <f ca="1" xml:space="preserve"> (P283 - SUM($K325:O325)) * P313</f>
        <v>0</v>
      </c>
      <c r="Q325" s="10">
        <f ca="1" xml:space="preserve"> (Q283 - SUM($K325:P325)) * Q313</f>
        <v>0</v>
      </c>
      <c r="R325" s="10">
        <f ca="1" xml:space="preserve"> (R283 - SUM($K325:Q325)) * R313</f>
        <v>0</v>
      </c>
      <c r="S325" s="10">
        <f ca="1" xml:space="preserve"> (S283 - SUM($K325:R325)) * S313</f>
        <v>0</v>
      </c>
      <c r="T325" s="10">
        <f ca="1" xml:space="preserve"> (T283 - SUM($K325:S325)) * T313</f>
        <v>0</v>
      </c>
      <c r="U325" s="10">
        <f ca="1" xml:space="preserve"> (U283 - SUM($K325:T325)) * U313</f>
        <v>0</v>
      </c>
      <c r="V325" s="10">
        <f ca="1" xml:space="preserve"> (V283 - SUM($K325:U325)) * V313</f>
        <v>0</v>
      </c>
      <c r="W325" s="10">
        <f ca="1" xml:space="preserve"> (W283 - SUM($K325:V325)) * W313</f>
        <v>0</v>
      </c>
      <c r="X325" s="10">
        <f ca="1" xml:space="preserve"> (X283 - SUM($K325:W325)) * X313</f>
        <v>0</v>
      </c>
      <c r="Y325" s="10">
        <f ca="1" xml:space="preserve"> (Y283 - SUM($K325:X325)) * Y313</f>
        <v>0</v>
      </c>
      <c r="Z325" s="10">
        <f ca="1" xml:space="preserve"> (Z283 - SUM($K325:Y325)) * Z313</f>
        <v>0</v>
      </c>
      <c r="AA325" s="10">
        <f ca="1" xml:space="preserve"> (AA283 - SUM($K325:Z325)) * AA313</f>
        <v>0</v>
      </c>
      <c r="AB325" s="10">
        <f ca="1" xml:space="preserve"> (AB283 - SUM($K325:AA325)) * AB313</f>
        <v>594047.59928800585</v>
      </c>
      <c r="AC325" s="10">
        <f ca="1" xml:space="preserve"> (AC283 - SUM($K325:AB325)) * AC313</f>
        <v>0</v>
      </c>
      <c r="AD325" s="10">
        <f ca="1" xml:space="preserve"> (AD283 - SUM($K325:AC325)) * AD313</f>
        <v>0</v>
      </c>
      <c r="AE325" s="10">
        <f ca="1" xml:space="preserve"> (AE283 - SUM($K325:AD325)) * AE313</f>
        <v>0</v>
      </c>
      <c r="AF325" s="10">
        <f ca="1" xml:space="preserve"> (AF283 - SUM($K325:AE325)) * AF313</f>
        <v>0</v>
      </c>
      <c r="AG325" s="10">
        <f ca="1" xml:space="preserve"> (AG283 - SUM($K325:AF325)) * AG313</f>
        <v>0</v>
      </c>
      <c r="AH325" s="10">
        <f ca="1" xml:space="preserve"> (AH283 - SUM($K325:AG325)) * AH313</f>
        <v>0</v>
      </c>
      <c r="AI325" s="10">
        <f ca="1" xml:space="preserve"> (AI283 - SUM($K325:AH325)) * AI313</f>
        <v>0</v>
      </c>
      <c r="AJ325" s="10">
        <f ca="1" xml:space="preserve"> (AJ283 - SUM($K325:AI325)) * AJ313</f>
        <v>0</v>
      </c>
      <c r="AK325" s="10">
        <f ca="1" xml:space="preserve"> (AK283 - SUM($K325:AJ325)) * AK313</f>
        <v>0</v>
      </c>
      <c r="AL325" s="10">
        <f ca="1" xml:space="preserve"> (AL283 - SUM($K325:AK325)) * AL313</f>
        <v>0</v>
      </c>
      <c r="AM325" s="10">
        <f ca="1" xml:space="preserve"> (AM283 - SUM($K325:AL325)) * AM313</f>
        <v>0</v>
      </c>
      <c r="AN325" s="10">
        <f ca="1" xml:space="preserve"> (AN283 - SUM($K325:AM325)) * AN313</f>
        <v>0</v>
      </c>
      <c r="AO325" s="10">
        <f ca="1" xml:space="preserve"> (AO283 - SUM($K325:AN325)) * AO313</f>
        <v>0</v>
      </c>
      <c r="AP325" s="10">
        <f ca="1" xml:space="preserve"> (AP283 - SUM($K325:AO325)) * AP313</f>
        <v>0</v>
      </c>
      <c r="AQ325" s="10">
        <f ca="1" xml:space="preserve"> (AQ283 - SUM($K325:AP325)) * AQ313</f>
        <v>0</v>
      </c>
      <c r="AR325" s="10">
        <f ca="1" xml:space="preserve"> (AR283 - SUM($K325:AQ325)) * AR313</f>
        <v>0</v>
      </c>
      <c r="AS325" s="10">
        <f ca="1" xml:space="preserve"> (AS283 - SUM($K325:AR325)) * AS313</f>
        <v>0</v>
      </c>
      <c r="AT325" s="10">
        <f ca="1" xml:space="preserve"> (AT283 - SUM($K325:AS325)) * AT313</f>
        <v>0</v>
      </c>
      <c r="AU325" s="10">
        <f ca="1" xml:space="preserve"> (AU283 - SUM($K325:AT325)) * AU313</f>
        <v>0</v>
      </c>
      <c r="AV325" s="10">
        <f ca="1" xml:space="preserve"> (AV283 - SUM($K325:AU325)) * AV313</f>
        <v>0</v>
      </c>
      <c r="AW325" s="10">
        <f ca="1" xml:space="preserve"> (AW283 - SUM($K325:AV325)) * AW313</f>
        <v>0</v>
      </c>
      <c r="AX325" s="10">
        <f ca="1" xml:space="preserve"> (AX283 - SUM($K325:AW325)) * AX313</f>
        <v>0</v>
      </c>
      <c r="AY325" s="10">
        <f ca="1" xml:space="preserve"> (AY283 - SUM($K325:AX325)) * AY313</f>
        <v>0</v>
      </c>
      <c r="AZ325" s="10">
        <f ca="1" xml:space="preserve"> (AZ283 - SUM($K325:AY325)) * AZ313</f>
        <v>0</v>
      </c>
      <c r="BA325" s="10">
        <f ca="1" xml:space="preserve"> (BA283 - SUM($K325:AZ325)) * BA313</f>
        <v>0</v>
      </c>
      <c r="BB325" s="10">
        <f ca="1" xml:space="preserve"> (BB283 - SUM($K325:BA325)) * BB313</f>
        <v>0</v>
      </c>
      <c r="BC325" s="10">
        <f ca="1" xml:space="preserve"> (BC283 - SUM($K325:BB325)) * BC313</f>
        <v>0</v>
      </c>
      <c r="BD325" s="10">
        <f ca="1" xml:space="preserve"> (BD283 - SUM($K325:BC325)) * BD313</f>
        <v>0</v>
      </c>
      <c r="BE325" s="10">
        <f ca="1" xml:space="preserve"> (BE283 - SUM($K325:BD325)) * BE313</f>
        <v>0</v>
      </c>
      <c r="BF325" s="10">
        <f ca="1" xml:space="preserve"> (BF283 - SUM($K325:BE325)) * BF313</f>
        <v>0</v>
      </c>
      <c r="BG325" s="10">
        <f ca="1" xml:space="preserve"> (BG283 - SUM($K325:BF325)) * BG313</f>
        <v>0</v>
      </c>
      <c r="BH325" s="10">
        <f ca="1" xml:space="preserve"> (BH283 - SUM($K325:BG325)) * BH313</f>
        <v>0</v>
      </c>
      <c r="BI325" s="10">
        <f ca="1" xml:space="preserve"> (BI283 - SUM($K325:BH325)) * BI313</f>
        <v>0</v>
      </c>
      <c r="BJ325" s="10">
        <f ca="1" xml:space="preserve"> (BJ283 - SUM($K325:BI325)) * BJ313</f>
        <v>0</v>
      </c>
      <c r="BK325" s="10">
        <f ca="1" xml:space="preserve"> (BK283 - SUM($K325:BJ325)) * BK313</f>
        <v>0</v>
      </c>
      <c r="BL325" s="10">
        <f ca="1" xml:space="preserve"> (BL283 - SUM($K325:BK325)) * BL313</f>
        <v>0</v>
      </c>
      <c r="BM325" s="10">
        <f ca="1" xml:space="preserve"> (BM283 - SUM($K325:BL325)) * BM313</f>
        <v>0</v>
      </c>
      <c r="BN325" s="10">
        <f ca="1" xml:space="preserve"> (BN283 - SUM($K325:BM325)) * BN313</f>
        <v>0</v>
      </c>
      <c r="BO325" s="10">
        <f ca="1" xml:space="preserve"> (BO283 - SUM($K325:BN325)) * BO313</f>
        <v>0</v>
      </c>
      <c r="BP325" s="10">
        <f ca="1" xml:space="preserve"> (BP283 - SUM($K325:BO325)) * BP313</f>
        <v>0</v>
      </c>
      <c r="BQ325" s="10">
        <f ca="1" xml:space="preserve"> (BQ283 - SUM($K325:BP325)) * BQ313</f>
        <v>0</v>
      </c>
      <c r="BR325" s="10">
        <f ca="1" xml:space="preserve"> (BR283 - SUM($K325:BQ325)) * BR313</f>
        <v>0</v>
      </c>
      <c r="BS325" s="10">
        <f ca="1" xml:space="preserve"> (BS283 - SUM($K325:BR325)) * BS313</f>
        <v>0</v>
      </c>
      <c r="BT325" s="10">
        <f ca="1" xml:space="preserve"> (BT283 - SUM($K325:BS325)) * BT313</f>
        <v>0</v>
      </c>
      <c r="BU325" s="10">
        <f ca="1" xml:space="preserve"> (BU283 - SUM($K325:BT325)) * BU313</f>
        <v>0</v>
      </c>
      <c r="BV325" s="10">
        <f ca="1" xml:space="preserve"> (BV283 - SUM($K325:BU325)) * BV313</f>
        <v>0</v>
      </c>
      <c r="BW325" s="10">
        <f ca="1" xml:space="preserve"> (BW283 - SUM($K325:BV325)) * BW313</f>
        <v>0</v>
      </c>
      <c r="BX325" s="10">
        <f ca="1" xml:space="preserve"> (BX283 - SUM($K325:BW325)) * BX313</f>
        <v>0</v>
      </c>
      <c r="BY325" s="10">
        <f ca="1" xml:space="preserve"> (BY283 - SUM($K325:BX325)) * BY313</f>
        <v>0</v>
      </c>
      <c r="BZ325" s="10">
        <f ca="1" xml:space="preserve"> (BZ283 - SUM($K325:BY325)) * BZ313</f>
        <v>0</v>
      </c>
      <c r="CA325" s="10">
        <f ca="1" xml:space="preserve"> (CA283 - SUM($K325:BZ325)) * CA313</f>
        <v>0</v>
      </c>
      <c r="CB325" s="10">
        <f ca="1" xml:space="preserve"> (CB283 - SUM($K325:CA325)) * CB313</f>
        <v>0</v>
      </c>
      <c r="CC325" s="10">
        <f ca="1" xml:space="preserve"> (CC283 - SUM($K325:CB325)) * CC313</f>
        <v>0</v>
      </c>
      <c r="CD325" s="10">
        <f ca="1" xml:space="preserve"> (CD283 - SUM($K325:CC325)) * CD313</f>
        <v>0</v>
      </c>
      <c r="CE325" s="10">
        <f ca="1" xml:space="preserve"> (CE283 - SUM($K325:CD325)) * CE313</f>
        <v>0</v>
      </c>
      <c r="CF325" s="10">
        <f ca="1" xml:space="preserve"> (CF283 - SUM($K325:CE325)) * CF313</f>
        <v>0</v>
      </c>
      <c r="CG325" s="10">
        <f ca="1" xml:space="preserve"> (CG283 - SUM($K325:CF325)) * CG313</f>
        <v>0</v>
      </c>
      <c r="CH325" s="10">
        <f ca="1" xml:space="preserve"> (CH283 - SUM($K325:CG325)) * CH313</f>
        <v>0</v>
      </c>
      <c r="CI325" s="10">
        <f ca="1" xml:space="preserve"> (CI283 - SUM($K325:CH325)) * CI313</f>
        <v>0</v>
      </c>
      <c r="CJ325" s="10">
        <f ca="1" xml:space="preserve"> (CJ283 - SUM($K325:CI325)) * CJ313</f>
        <v>0</v>
      </c>
      <c r="CK325" s="10">
        <f ca="1" xml:space="preserve"> (CK283 - SUM($K325:CJ325)) * CK313</f>
        <v>0</v>
      </c>
      <c r="CL325" s="10">
        <f ca="1" xml:space="preserve"> (CL283 - SUM($K325:CK325)) * CL313</f>
        <v>0</v>
      </c>
      <c r="CM325" s="10">
        <f ca="1" xml:space="preserve"> (CM283 - SUM($K325:CL325)) * CM313</f>
        <v>0</v>
      </c>
      <c r="CN325" s="10">
        <f ca="1" xml:space="preserve"> (CN283 - SUM($K325:CM325)) * CN313</f>
        <v>0</v>
      </c>
      <c r="CO325" s="10">
        <f ca="1" xml:space="preserve"> (CO283 - SUM($K325:CN325)) * CO313</f>
        <v>0</v>
      </c>
    </row>
    <row r="326" spans="1:93">
      <c r="A326" s="10"/>
      <c r="B326" s="10"/>
      <c r="C326" s="21" t="str">
        <f xml:space="preserve"> "Ввод в эксплуатацию - " &amp; C270</f>
        <v>Ввод в эксплуатацию - Здания и сооружения - Развлекательный комплекс</v>
      </c>
      <c r="D326" s="10"/>
      <c r="E326" s="62"/>
      <c r="F326" s="11"/>
      <c r="G326" s="134" t="str">
        <f t="shared" si="465"/>
        <v>тыс. руб.</v>
      </c>
      <c r="H326" s="10"/>
      <c r="I326" s="23">
        <f t="shared" ca="1" si="466"/>
        <v>0</v>
      </c>
      <c r="J326" s="10"/>
      <c r="K326" s="10"/>
      <c r="L326" s="10">
        <f ca="1">(SUM(L284:L284)-SUM($K326:K326))*L315</f>
        <v>0</v>
      </c>
      <c r="M326" s="10">
        <f ca="1">(SUM(M284:M284)-SUM($K326:L326))*M315</f>
        <v>0</v>
      </c>
      <c r="N326" s="10">
        <f ca="1">(SUM(N284:N284)-SUM($K326:M326))*N315</f>
        <v>0</v>
      </c>
      <c r="O326" s="10">
        <f ca="1">(SUM(O284:O284)-SUM($K326:N326))*O315</f>
        <v>0</v>
      </c>
      <c r="P326" s="10">
        <f ca="1">(SUM(P284:P284)-SUM($K326:O326))*P315</f>
        <v>0</v>
      </c>
      <c r="Q326" s="10">
        <f ca="1">(SUM(Q284:Q284)-SUM($K326:P326))*Q315</f>
        <v>0</v>
      </c>
      <c r="R326" s="10">
        <f ca="1">(SUM(R284:R284)-SUM($K326:Q326))*R315</f>
        <v>0</v>
      </c>
      <c r="S326" s="10">
        <f ca="1">(SUM(S284:S284)-SUM($K326:R326))*S315</f>
        <v>0</v>
      </c>
      <c r="T326" s="10">
        <f ca="1">(SUM(T284:T284)-SUM($K326:S326))*T315</f>
        <v>0</v>
      </c>
      <c r="U326" s="10">
        <f ca="1">(SUM(U284:U284)-SUM($K326:T326))*U315</f>
        <v>0</v>
      </c>
      <c r="V326" s="10">
        <f ca="1">(SUM(V284:V284)-SUM($K326:U326))*V315</f>
        <v>0</v>
      </c>
      <c r="W326" s="10">
        <f ca="1">(SUM(W284:W284)-SUM($K326:V326))*W315</f>
        <v>0</v>
      </c>
      <c r="X326" s="10">
        <f ca="1">(SUM(X284:X284)-SUM($K326:W326))*X315</f>
        <v>0</v>
      </c>
      <c r="Y326" s="10">
        <f ca="1">(SUM(Y284:Y284)-SUM($K326:X326))*Y315</f>
        <v>0</v>
      </c>
      <c r="Z326" s="10">
        <f ca="1">(SUM(Z284:Z284)-SUM($K326:Y326))*Z315</f>
        <v>0</v>
      </c>
      <c r="AA326" s="10">
        <f ca="1">(SUM(AA284:AA284)-SUM($K326:Z326))*AA315</f>
        <v>0</v>
      </c>
      <c r="AB326" s="10">
        <f ca="1">(SUM(AB284:AB284)-SUM($K326:AA326))*AB315</f>
        <v>0</v>
      </c>
      <c r="AC326" s="10">
        <f ca="1">(SUM(AC284:AC284)-SUM($K326:AB326))*AC315</f>
        <v>0</v>
      </c>
      <c r="AD326" s="10">
        <f ca="1">(SUM(AD284:AD284)-SUM($K326:AC326))*AD315</f>
        <v>0</v>
      </c>
      <c r="AE326" s="10">
        <f ca="1">(SUM(AE284:AE284)-SUM($K326:AD326))*AE315</f>
        <v>0</v>
      </c>
      <c r="AF326" s="10">
        <f ca="1">(SUM(AF284:AF284)-SUM($K326:AE326))*AF315</f>
        <v>0</v>
      </c>
      <c r="AG326" s="10">
        <f ca="1">(SUM(AG284:AG284)-SUM($K326:AF326))*AG315</f>
        <v>0</v>
      </c>
      <c r="AH326" s="10">
        <f ca="1">(SUM(AH284:AH284)-SUM($K326:AG326))*AH315</f>
        <v>0</v>
      </c>
      <c r="AI326" s="10">
        <f ca="1">(SUM(AI284:AI284)-SUM($K326:AH326))*AI315</f>
        <v>0</v>
      </c>
      <c r="AJ326" s="10">
        <f ca="1">(SUM(AJ284:AJ284)-SUM($K326:AI326))*AJ315</f>
        <v>0</v>
      </c>
      <c r="AK326" s="10">
        <f ca="1">(SUM(AK284:AK284)-SUM($K326:AJ326))*AK315</f>
        <v>0</v>
      </c>
      <c r="AL326" s="10">
        <f ca="1">(SUM(AL284:AL284)-SUM($K326:AK326))*AL315</f>
        <v>0</v>
      </c>
      <c r="AM326" s="10">
        <f ca="1">(SUM(AM284:AM284)-SUM($K326:AL326))*AM315</f>
        <v>0</v>
      </c>
      <c r="AN326" s="10">
        <f ca="1">(SUM(AN284:AN284)-SUM($K326:AM326))*AN315</f>
        <v>0</v>
      </c>
      <c r="AO326" s="10">
        <f ca="1">(SUM(AO284:AO284)-SUM($K326:AN326))*AO315</f>
        <v>0</v>
      </c>
      <c r="AP326" s="10">
        <f ca="1">(SUM(AP284:AP284)-SUM($K326:AO326))*AP315</f>
        <v>0</v>
      </c>
      <c r="AQ326" s="10">
        <f ca="1">(SUM(AQ284:AQ284)-SUM($K326:AP326))*AQ315</f>
        <v>0</v>
      </c>
      <c r="AR326" s="10">
        <f ca="1">(SUM(AR284:AR284)-SUM($K326:AQ326))*AR315</f>
        <v>0</v>
      </c>
      <c r="AS326" s="10">
        <f ca="1">(SUM(AS284:AS284)-SUM($K326:AR326))*AS315</f>
        <v>0</v>
      </c>
      <c r="AT326" s="10">
        <f ca="1">(SUM(AT284:AT284)-SUM($K326:AS326))*AT315</f>
        <v>0</v>
      </c>
      <c r="AU326" s="10">
        <f ca="1">(SUM(AU284:AU284)-SUM($K326:AT326))*AU315</f>
        <v>0</v>
      </c>
      <c r="AV326" s="10">
        <f ca="1">(SUM(AV284:AV284)-SUM($K326:AU326))*AV315</f>
        <v>0</v>
      </c>
      <c r="AW326" s="10">
        <f ca="1">(SUM(AW284:AW284)-SUM($K326:AV326))*AW315</f>
        <v>0</v>
      </c>
      <c r="AX326" s="10">
        <f ca="1">(SUM(AX284:AX284)-SUM($K326:AW326))*AX315</f>
        <v>0</v>
      </c>
      <c r="AY326" s="10">
        <f ca="1">(SUM(AY284:AY284)-SUM($K326:AX326))*AY315</f>
        <v>0</v>
      </c>
      <c r="AZ326" s="10">
        <f ca="1">(SUM(AZ284:AZ284)-SUM($K326:AY326))*AZ315</f>
        <v>0</v>
      </c>
      <c r="BA326" s="10">
        <f ca="1">(SUM(BA284:BA284)-SUM($K326:AZ326))*BA315</f>
        <v>0</v>
      </c>
      <c r="BB326" s="10">
        <f ca="1">(SUM(BB284:BB284)-SUM($K326:BA326))*BB315</f>
        <v>0</v>
      </c>
      <c r="BC326" s="10">
        <f ca="1">(SUM(BC284:BC284)-SUM($K326:BB326))*BC315</f>
        <v>0</v>
      </c>
      <c r="BD326" s="10">
        <f ca="1">(SUM(BD284:BD284)-SUM($K326:BC326))*BD315</f>
        <v>0</v>
      </c>
      <c r="BE326" s="10">
        <f ca="1">(SUM(BE284:BE284)-SUM($K326:BD326))*BE315</f>
        <v>0</v>
      </c>
      <c r="BF326" s="10">
        <f ca="1">(SUM(BF284:BF284)-SUM($K326:BE326))*BF315</f>
        <v>0</v>
      </c>
      <c r="BG326" s="10">
        <f ca="1">(SUM(BG284:BG284)-SUM($K326:BF326))*BG315</f>
        <v>0</v>
      </c>
      <c r="BH326" s="10">
        <f ca="1">(SUM(BH284:BH284)-SUM($K326:BG326))*BH315</f>
        <v>0</v>
      </c>
      <c r="BI326" s="10">
        <f ca="1">(SUM(BI284:BI284)-SUM($K326:BH326))*BI315</f>
        <v>0</v>
      </c>
      <c r="BJ326" s="10">
        <f ca="1">(SUM(BJ284:BJ284)-SUM($K326:BI326))*BJ315</f>
        <v>0</v>
      </c>
      <c r="BK326" s="10">
        <f ca="1">(SUM(BK284:BK284)-SUM($K326:BJ326))*BK315</f>
        <v>0</v>
      </c>
      <c r="BL326" s="10">
        <f ca="1">(SUM(BL284:BL284)-SUM($K326:BK326))*BL315</f>
        <v>0</v>
      </c>
      <c r="BM326" s="10">
        <f ca="1">(SUM(BM284:BM284)-SUM($K326:BL326))*BM315</f>
        <v>0</v>
      </c>
      <c r="BN326" s="10">
        <f ca="1">(SUM(BN284:BN284)-SUM($K326:BM326))*BN315</f>
        <v>0</v>
      </c>
      <c r="BO326" s="10">
        <f ca="1">(SUM(BO284:BO284)-SUM($K326:BN326))*BO315</f>
        <v>0</v>
      </c>
      <c r="BP326" s="10">
        <f ca="1">(SUM(BP284:BP284)-SUM($K326:BO326))*BP315</f>
        <v>0</v>
      </c>
      <c r="BQ326" s="10">
        <f ca="1">(SUM(BQ284:BQ284)-SUM($K326:BP326))*BQ315</f>
        <v>0</v>
      </c>
      <c r="BR326" s="10">
        <f ca="1">(SUM(BR284:BR284)-SUM($K326:BQ326))*BR315</f>
        <v>0</v>
      </c>
      <c r="BS326" s="10">
        <f ca="1">(SUM(BS284:BS284)-SUM($K326:BR326))*BS315</f>
        <v>0</v>
      </c>
      <c r="BT326" s="10">
        <f ca="1">(SUM(BT284:BT284)-SUM($K326:BS326))*BT315</f>
        <v>0</v>
      </c>
      <c r="BU326" s="10">
        <f ca="1">(SUM(BU284:BU284)-SUM($K326:BT326))*BU315</f>
        <v>0</v>
      </c>
      <c r="BV326" s="10">
        <f ca="1">(SUM(BV284:BV284)-SUM($K326:BU326))*BV315</f>
        <v>0</v>
      </c>
      <c r="BW326" s="10">
        <f ca="1">(SUM(BW284:BW284)-SUM($K326:BV326))*BW315</f>
        <v>0</v>
      </c>
      <c r="BX326" s="10">
        <f ca="1">(SUM(BX284:BX284)-SUM($K326:BW326))*BX315</f>
        <v>0</v>
      </c>
      <c r="BY326" s="10">
        <f ca="1">(SUM(BY284:BY284)-SUM($K326:BX326))*BY315</f>
        <v>0</v>
      </c>
      <c r="BZ326" s="10">
        <f ca="1">(SUM(BZ284:BZ284)-SUM($K326:BY326))*BZ315</f>
        <v>0</v>
      </c>
      <c r="CA326" s="10">
        <f ca="1">(SUM(CA284:CA284)-SUM($K326:BZ326))*CA315</f>
        <v>0</v>
      </c>
      <c r="CB326" s="10">
        <f ca="1">(SUM(CB284:CB284)-SUM($K326:CA326))*CB315</f>
        <v>0</v>
      </c>
      <c r="CC326" s="10">
        <f ca="1">(SUM(CC284:CC284)-SUM($K326:CB326))*CC315</f>
        <v>0</v>
      </c>
      <c r="CD326" s="10">
        <f ca="1">(SUM(CD284:CD284)-SUM($K326:CC326))*CD315</f>
        <v>0</v>
      </c>
      <c r="CE326" s="10">
        <f ca="1">(SUM(CE284:CE284)-SUM($K326:CD326))*CE315</f>
        <v>0</v>
      </c>
      <c r="CF326" s="10">
        <f ca="1">(SUM(CF284:CF284)-SUM($K326:CE326))*CF315</f>
        <v>0</v>
      </c>
      <c r="CG326" s="10">
        <f ca="1">(SUM(CG284:CG284)-SUM($K326:CF326))*CG315</f>
        <v>0</v>
      </c>
      <c r="CH326" s="10">
        <f ca="1">(SUM(CH284:CH284)-SUM($K326:CG326))*CH315</f>
        <v>0</v>
      </c>
      <c r="CI326" s="10">
        <f ca="1">(SUM(CI284:CI284)-SUM($K326:CH326))*CI315</f>
        <v>0</v>
      </c>
      <c r="CJ326" s="10">
        <f ca="1">(SUM(CJ284:CJ284)-SUM($K326:CI326))*CJ315</f>
        <v>0</v>
      </c>
      <c r="CK326" s="10">
        <f ca="1">(SUM(CK284:CK284)-SUM($K326:CJ326))*CK315</f>
        <v>0</v>
      </c>
      <c r="CL326" s="10">
        <f ca="1">(SUM(CL284:CL284)-SUM($K326:CK326))*CL315</f>
        <v>0</v>
      </c>
      <c r="CM326" s="10">
        <f ca="1">(SUM(CM284:CM284)-SUM($K326:CL326))*CM315</f>
        <v>0</v>
      </c>
      <c r="CN326" s="10">
        <f ca="1">(SUM(CN284:CN284)-SUM($K326:CM326))*CN315</f>
        <v>0</v>
      </c>
      <c r="CO326" s="10">
        <f ca="1">(SUM(CO284:CO284)-SUM($K326:CN326))*CO315</f>
        <v>0</v>
      </c>
    </row>
    <row r="327" spans="1:93">
      <c r="A327" s="10"/>
      <c r="B327" s="10"/>
      <c r="C327" s="21" t="str">
        <f xml:space="preserve"> "Ввод в эксплуатацию - " &amp; C271</f>
        <v>Ввод в эксплуатацию - Здания и сооружения - Крытый парк развлечений</v>
      </c>
      <c r="D327" s="10"/>
      <c r="E327" s="62"/>
      <c r="F327" s="11"/>
      <c r="G327" s="134" t="str">
        <f t="shared" si="465"/>
        <v>тыс. руб.</v>
      </c>
      <c r="H327" s="10"/>
      <c r="I327" s="23">
        <f t="shared" ca="1" si="466"/>
        <v>0</v>
      </c>
      <c r="J327" s="10"/>
      <c r="K327" s="10"/>
      <c r="L327" s="10">
        <f ca="1">(SUM(L285:L285)-SUM($K327:K327))*L316</f>
        <v>0</v>
      </c>
      <c r="M327" s="10">
        <f ca="1">(SUM(M285:M285)-SUM($K327:L327))*M316</f>
        <v>0</v>
      </c>
      <c r="N327" s="10">
        <f ca="1">(SUM(N285:N285)-SUM($K327:M327))*N316</f>
        <v>0</v>
      </c>
      <c r="O327" s="10">
        <f ca="1">(SUM(O285:O285)-SUM($K327:N327))*O316</f>
        <v>0</v>
      </c>
      <c r="P327" s="10">
        <f ca="1">(SUM(P285:P285)-SUM($K327:O327))*P316</f>
        <v>0</v>
      </c>
      <c r="Q327" s="10">
        <f ca="1">(SUM(Q285:Q285)-SUM($K327:P327))*Q316</f>
        <v>0</v>
      </c>
      <c r="R327" s="10">
        <f ca="1">(SUM(R285:R285)-SUM($K327:Q327))*R316</f>
        <v>0</v>
      </c>
      <c r="S327" s="10">
        <f ca="1">(SUM(S285:S285)-SUM($K327:R327))*S316</f>
        <v>0</v>
      </c>
      <c r="T327" s="10">
        <f ca="1">(SUM(T285:T285)-SUM($K327:S327))*T316</f>
        <v>0</v>
      </c>
      <c r="U327" s="10">
        <f ca="1">(SUM(U285:U285)-SUM($K327:T327))*U316</f>
        <v>0</v>
      </c>
      <c r="V327" s="10">
        <f ca="1">(SUM(V285:V285)-SUM($K327:U327))*V316</f>
        <v>0</v>
      </c>
      <c r="W327" s="10">
        <f ca="1">(SUM(W285:W285)-SUM($K327:V327))*W316</f>
        <v>0</v>
      </c>
      <c r="X327" s="10">
        <f ca="1">(SUM(X285:X285)-SUM($K327:W327))*X316</f>
        <v>0</v>
      </c>
      <c r="Y327" s="10">
        <f ca="1">(SUM(Y285:Y285)-SUM($K327:X327))*Y316</f>
        <v>0</v>
      </c>
      <c r="Z327" s="10">
        <f ca="1">(SUM(Z285:Z285)-SUM($K327:Y327))*Z316</f>
        <v>0</v>
      </c>
      <c r="AA327" s="10">
        <f ca="1">(SUM(AA285:AA285)-SUM($K327:Z327))*AA316</f>
        <v>0</v>
      </c>
      <c r="AB327" s="10">
        <f ca="1">(SUM(AB285:AB285)-SUM($K327:AA327))*AB316</f>
        <v>0</v>
      </c>
      <c r="AC327" s="10">
        <f ca="1">(SUM(AC285:AC285)-SUM($K327:AB327))*AC316</f>
        <v>0</v>
      </c>
      <c r="AD327" s="10">
        <f ca="1">(SUM(AD285:AD285)-SUM($K327:AC327))*AD316</f>
        <v>0</v>
      </c>
      <c r="AE327" s="10">
        <f ca="1">(SUM(AE285:AE285)-SUM($K327:AD327))*AE316</f>
        <v>0</v>
      </c>
      <c r="AF327" s="10">
        <f ca="1">(SUM(AF285:AF285)-SUM($K327:AE327))*AF316</f>
        <v>0</v>
      </c>
      <c r="AG327" s="10">
        <f ca="1">(SUM(AG285:AG285)-SUM($K327:AF327))*AG316</f>
        <v>0</v>
      </c>
      <c r="AH327" s="10">
        <f ca="1">(SUM(AH285:AH285)-SUM($K327:AG327))*AH316</f>
        <v>0</v>
      </c>
      <c r="AI327" s="10">
        <f ca="1">(SUM(AI285:AI285)-SUM($K327:AH327))*AI316</f>
        <v>0</v>
      </c>
      <c r="AJ327" s="10">
        <f ca="1">(SUM(AJ285:AJ285)-SUM($K327:AI327))*AJ316</f>
        <v>0</v>
      </c>
      <c r="AK327" s="10">
        <f ca="1">(SUM(AK285:AK285)-SUM($K327:AJ327))*AK316</f>
        <v>0</v>
      </c>
      <c r="AL327" s="10">
        <f ca="1">(SUM(AL285:AL285)-SUM($K327:AK327))*AL316</f>
        <v>0</v>
      </c>
      <c r="AM327" s="10">
        <f ca="1">(SUM(AM285:AM285)-SUM($K327:AL327))*AM316</f>
        <v>0</v>
      </c>
      <c r="AN327" s="10">
        <f ca="1">(SUM(AN285:AN285)-SUM($K327:AM327))*AN316</f>
        <v>0</v>
      </c>
      <c r="AO327" s="10">
        <f ca="1">(SUM(AO285:AO285)-SUM($K327:AN327))*AO316</f>
        <v>0</v>
      </c>
      <c r="AP327" s="10">
        <f ca="1">(SUM(AP285:AP285)-SUM($K327:AO327))*AP316</f>
        <v>0</v>
      </c>
      <c r="AQ327" s="10">
        <f ca="1">(SUM(AQ285:AQ285)-SUM($K327:AP327))*AQ316</f>
        <v>0</v>
      </c>
      <c r="AR327" s="10">
        <f ca="1">(SUM(AR285:AR285)-SUM($K327:AQ327))*AR316</f>
        <v>0</v>
      </c>
      <c r="AS327" s="10">
        <f ca="1">(SUM(AS285:AS285)-SUM($K327:AR327))*AS316</f>
        <v>0</v>
      </c>
      <c r="AT327" s="10">
        <f ca="1">(SUM(AT285:AT285)-SUM($K327:AS327))*AT316</f>
        <v>0</v>
      </c>
      <c r="AU327" s="10">
        <f ca="1">(SUM(AU285:AU285)-SUM($K327:AT327))*AU316</f>
        <v>0</v>
      </c>
      <c r="AV327" s="10">
        <f ca="1">(SUM(AV285:AV285)-SUM($K327:AU327))*AV316</f>
        <v>0</v>
      </c>
      <c r="AW327" s="10">
        <f ca="1">(SUM(AW285:AW285)-SUM($K327:AV327))*AW316</f>
        <v>0</v>
      </c>
      <c r="AX327" s="10">
        <f ca="1">(SUM(AX285:AX285)-SUM($K327:AW327))*AX316</f>
        <v>0</v>
      </c>
      <c r="AY327" s="10">
        <f ca="1">(SUM(AY285:AY285)-SUM($K327:AX327))*AY316</f>
        <v>0</v>
      </c>
      <c r="AZ327" s="10">
        <f ca="1">(SUM(AZ285:AZ285)-SUM($K327:AY327))*AZ316</f>
        <v>0</v>
      </c>
      <c r="BA327" s="10">
        <f ca="1">(SUM(BA285:BA285)-SUM($K327:AZ327))*BA316</f>
        <v>0</v>
      </c>
      <c r="BB327" s="10">
        <f ca="1">(SUM(BB285:BB285)-SUM($K327:BA327))*BB316</f>
        <v>0</v>
      </c>
      <c r="BC327" s="10">
        <f ca="1">(SUM(BC285:BC285)-SUM($K327:BB327))*BC316</f>
        <v>0</v>
      </c>
      <c r="BD327" s="10">
        <f ca="1">(SUM(BD285:BD285)-SUM($K327:BC327))*BD316</f>
        <v>0</v>
      </c>
      <c r="BE327" s="10">
        <f ca="1">(SUM(BE285:BE285)-SUM($K327:BD327))*BE316</f>
        <v>0</v>
      </c>
      <c r="BF327" s="10">
        <f ca="1">(SUM(BF285:BF285)-SUM($K327:BE327))*BF316</f>
        <v>0</v>
      </c>
      <c r="BG327" s="10">
        <f ca="1">(SUM(BG285:BG285)-SUM($K327:BF327))*BG316</f>
        <v>0</v>
      </c>
      <c r="BH327" s="10">
        <f ca="1">(SUM(BH285:BH285)-SUM($K327:BG327))*BH316</f>
        <v>0</v>
      </c>
      <c r="BI327" s="10">
        <f ca="1">(SUM(BI285:BI285)-SUM($K327:BH327))*BI316</f>
        <v>0</v>
      </c>
      <c r="BJ327" s="10">
        <f ca="1">(SUM(BJ285:BJ285)-SUM($K327:BI327))*BJ316</f>
        <v>0</v>
      </c>
      <c r="BK327" s="10">
        <f ca="1">(SUM(BK285:BK285)-SUM($K327:BJ327))*BK316</f>
        <v>0</v>
      </c>
      <c r="BL327" s="10">
        <f ca="1">(SUM(BL285:BL285)-SUM($K327:BK327))*BL316</f>
        <v>0</v>
      </c>
      <c r="BM327" s="10">
        <f ca="1">(SUM(BM285:BM285)-SUM($K327:BL327))*BM316</f>
        <v>0</v>
      </c>
      <c r="BN327" s="10">
        <f ca="1">(SUM(BN285:BN285)-SUM($K327:BM327))*BN316</f>
        <v>0</v>
      </c>
      <c r="BO327" s="10">
        <f ca="1">(SUM(BO285:BO285)-SUM($K327:BN327))*BO316</f>
        <v>0</v>
      </c>
      <c r="BP327" s="10">
        <f ca="1">(SUM(BP285:BP285)-SUM($K327:BO327))*BP316</f>
        <v>0</v>
      </c>
      <c r="BQ327" s="10">
        <f ca="1">(SUM(BQ285:BQ285)-SUM($K327:BP327))*BQ316</f>
        <v>0</v>
      </c>
      <c r="BR327" s="10">
        <f ca="1">(SUM(BR285:BR285)-SUM($K327:BQ327))*BR316</f>
        <v>0</v>
      </c>
      <c r="BS327" s="10">
        <f ca="1">(SUM(BS285:BS285)-SUM($K327:BR327))*BS316</f>
        <v>0</v>
      </c>
      <c r="BT327" s="10">
        <f ca="1">(SUM(BT285:BT285)-SUM($K327:BS327))*BT316</f>
        <v>0</v>
      </c>
      <c r="BU327" s="10">
        <f ca="1">(SUM(BU285:BU285)-SUM($K327:BT327))*BU316</f>
        <v>0</v>
      </c>
      <c r="BV327" s="10">
        <f ca="1">(SUM(BV285:BV285)-SUM($K327:BU327))*BV316</f>
        <v>0</v>
      </c>
      <c r="BW327" s="10">
        <f ca="1">(SUM(BW285:BW285)-SUM($K327:BV327))*BW316</f>
        <v>0</v>
      </c>
      <c r="BX327" s="10">
        <f ca="1">(SUM(BX285:BX285)-SUM($K327:BW327))*BX316</f>
        <v>0</v>
      </c>
      <c r="BY327" s="10">
        <f ca="1">(SUM(BY285:BY285)-SUM($K327:BX327))*BY316</f>
        <v>0</v>
      </c>
      <c r="BZ327" s="10">
        <f ca="1">(SUM(BZ285:BZ285)-SUM($K327:BY327))*BZ316</f>
        <v>0</v>
      </c>
      <c r="CA327" s="10">
        <f ca="1">(SUM(CA285:CA285)-SUM($K327:BZ327))*CA316</f>
        <v>0</v>
      </c>
      <c r="CB327" s="10">
        <f ca="1">(SUM(CB285:CB285)-SUM($K327:CA327))*CB316</f>
        <v>0</v>
      </c>
      <c r="CC327" s="10">
        <f ca="1">(SUM(CC285:CC285)-SUM($K327:CB327))*CC316</f>
        <v>0</v>
      </c>
      <c r="CD327" s="10">
        <f ca="1">(SUM(CD285:CD285)-SUM($K327:CC327))*CD316</f>
        <v>0</v>
      </c>
      <c r="CE327" s="10">
        <f ca="1">(SUM(CE285:CE285)-SUM($K327:CD327))*CE316</f>
        <v>0</v>
      </c>
      <c r="CF327" s="10">
        <f ca="1">(SUM(CF285:CF285)-SUM($K327:CE327))*CF316</f>
        <v>0</v>
      </c>
      <c r="CG327" s="10">
        <f ca="1">(SUM(CG285:CG285)-SUM($K327:CF327))*CG316</f>
        <v>0</v>
      </c>
      <c r="CH327" s="10">
        <f ca="1">(SUM(CH285:CH285)-SUM($K327:CG327))*CH316</f>
        <v>0</v>
      </c>
      <c r="CI327" s="10">
        <f ca="1">(SUM(CI285:CI285)-SUM($K327:CH327))*CI316</f>
        <v>0</v>
      </c>
      <c r="CJ327" s="10">
        <f ca="1">(SUM(CJ285:CJ285)-SUM($K327:CI327))*CJ316</f>
        <v>0</v>
      </c>
      <c r="CK327" s="10">
        <f ca="1">(SUM(CK285:CK285)-SUM($K327:CJ327))*CK316</f>
        <v>0</v>
      </c>
      <c r="CL327" s="10">
        <f ca="1">(SUM(CL285:CL285)-SUM($K327:CK327))*CL316</f>
        <v>0</v>
      </c>
      <c r="CM327" s="10">
        <f ca="1">(SUM(CM285:CM285)-SUM($K327:CL327))*CM316</f>
        <v>0</v>
      </c>
      <c r="CN327" s="10">
        <f ca="1">(SUM(CN285:CN285)-SUM($K327:CM327))*CN316</f>
        <v>0</v>
      </c>
      <c r="CO327" s="10">
        <f ca="1">(SUM(CO285:CO285)-SUM($K327:CN327))*CO316</f>
        <v>0</v>
      </c>
    </row>
    <row r="328" spans="1:93">
      <c r="A328" s="10"/>
      <c r="B328" s="10"/>
      <c r="C328" s="21" t="s">
        <v>740</v>
      </c>
      <c r="D328" s="10"/>
      <c r="E328" s="62"/>
      <c r="F328" s="11"/>
      <c r="G328" s="134" t="str">
        <f t="shared" si="465"/>
        <v>тыс. руб.</v>
      </c>
      <c r="H328" s="10"/>
      <c r="I328" s="23">
        <f t="shared" si="466"/>
        <v>0</v>
      </c>
      <c r="J328" s="10"/>
      <c r="K328" s="10"/>
      <c r="L328" s="10">
        <f>(SUM(L286:L286)-SUM($K328:K328))*L$318</f>
        <v>0</v>
      </c>
      <c r="M328" s="10">
        <f>(SUM(M286:M286)-SUM($K328:L328))*M$318</f>
        <v>0</v>
      </c>
      <c r="N328" s="10">
        <f>(SUM(N286:N286)-SUM($K328:M328))*N$318</f>
        <v>0</v>
      </c>
      <c r="O328" s="10">
        <f>(SUM(O286:O286)-SUM($K328:N328))*O$318</f>
        <v>0</v>
      </c>
      <c r="P328" s="10">
        <f>(SUM(P286:P286)-SUM($K328:O328))*P$318</f>
        <v>0</v>
      </c>
      <c r="Q328" s="10">
        <f>(SUM(Q286:Q286)-SUM($K328:P328))*Q$318</f>
        <v>0</v>
      </c>
      <c r="R328" s="10">
        <f>(SUM(R286:R286)-SUM($K328:Q328))*R$318</f>
        <v>0</v>
      </c>
      <c r="S328" s="10">
        <f>(SUM(S286:S286)-SUM($K328:R328))*S$318</f>
        <v>0</v>
      </c>
      <c r="T328" s="10">
        <f>(SUM(T286:T286)-SUM($K328:S328))*T$318</f>
        <v>0</v>
      </c>
      <c r="U328" s="10">
        <f>(SUM(U286:U286)-SUM($K328:T328))*U$318</f>
        <v>0</v>
      </c>
      <c r="V328" s="10">
        <f>(SUM(V286:V286)-SUM($K328:U328))*V$318</f>
        <v>0</v>
      </c>
      <c r="W328" s="10">
        <f>(SUM(W286:W286)-SUM($K328:V328))*W$318</f>
        <v>0</v>
      </c>
      <c r="X328" s="10">
        <f>(SUM(X286:X286)-SUM($K328:W328))*X$318</f>
        <v>0</v>
      </c>
      <c r="Y328" s="10">
        <f>(SUM(Y286:Y286)-SUM($K328:X328))*Y$318</f>
        <v>0</v>
      </c>
      <c r="Z328" s="10">
        <f>(SUM(Z286:Z286)-SUM($K328:Y328))*Z$318</f>
        <v>0</v>
      </c>
      <c r="AA328" s="10">
        <f>(SUM(AA286:AA286)-SUM($K328:Z328))*AA$318</f>
        <v>0</v>
      </c>
      <c r="AB328" s="10">
        <f>(SUM(AB286:AB286)-SUM($K328:AA328))*AB$318</f>
        <v>0</v>
      </c>
      <c r="AC328" s="10">
        <f>(SUM(AC286:AC286)-SUM($K328:AB328))*AC$318</f>
        <v>0</v>
      </c>
      <c r="AD328" s="10">
        <f>(SUM(AD286:AD286)-SUM($K328:AC328))*AD$318</f>
        <v>0</v>
      </c>
      <c r="AE328" s="10">
        <f>(SUM(AE286:AE286)-SUM($K328:AD328))*AE$318</f>
        <v>0</v>
      </c>
      <c r="AF328" s="10">
        <f>(SUM(AF286:AF286)-SUM($K328:AE328))*AF$318</f>
        <v>0</v>
      </c>
      <c r="AG328" s="10">
        <f>(SUM(AG286:AG286)-SUM($K328:AF328))*AG$318</f>
        <v>0</v>
      </c>
      <c r="AH328" s="10">
        <f>(SUM(AH286:AH286)-SUM($K328:AG328))*AH$318</f>
        <v>0</v>
      </c>
      <c r="AI328" s="10">
        <f>(SUM(AI286:AI286)-SUM($K328:AH328))*AI$318</f>
        <v>0</v>
      </c>
      <c r="AJ328" s="10">
        <f>(SUM(AJ286:AJ286)-SUM($K328:AI328))*AJ$318</f>
        <v>0</v>
      </c>
      <c r="AK328" s="10">
        <f>(SUM(AK286:AK286)-SUM($K328:AJ328))*AK$318</f>
        <v>0</v>
      </c>
      <c r="AL328" s="10">
        <f>(SUM(AL286:AL286)-SUM($K328:AK328))*AL$318</f>
        <v>0</v>
      </c>
      <c r="AM328" s="10">
        <f>(SUM(AM286:AM286)-SUM($K328:AL328))*AM$318</f>
        <v>0</v>
      </c>
      <c r="AN328" s="10">
        <f>(SUM(AN286:AN286)-SUM($K328:AM328))*AN$318</f>
        <v>0</v>
      </c>
      <c r="AO328" s="10">
        <f>(SUM(AO286:AO286)-SUM($K328:AN328))*AO$318</f>
        <v>0</v>
      </c>
      <c r="AP328" s="10">
        <f>(SUM(AP286:AP286)-SUM($K328:AO328))*AP$318</f>
        <v>0</v>
      </c>
      <c r="AQ328" s="10">
        <f>(SUM(AQ286:AQ286)-SUM($K328:AP328))*AQ$318</f>
        <v>0</v>
      </c>
      <c r="AR328" s="10">
        <f>(SUM(AR286:AR286)-SUM($K328:AQ328))*AR$318</f>
        <v>0</v>
      </c>
      <c r="AS328" s="10">
        <f>(SUM(AS286:AS286)-SUM($K328:AR328))*AS$318</f>
        <v>0</v>
      </c>
      <c r="AT328" s="10">
        <f>(SUM(AT286:AT286)-SUM($K328:AS328))*AT$318</f>
        <v>0</v>
      </c>
      <c r="AU328" s="10">
        <f>(SUM(AU286:AU286)-SUM($K328:AT328))*AU$318</f>
        <v>0</v>
      </c>
      <c r="AV328" s="10">
        <f>(SUM(AV286:AV286)-SUM($K328:AU328))*AV$318</f>
        <v>0</v>
      </c>
      <c r="AW328" s="10">
        <f>(SUM(AW286:AW286)-SUM($K328:AV328))*AW$318</f>
        <v>0</v>
      </c>
      <c r="AX328" s="10">
        <f>(SUM(AX286:AX286)-SUM($K328:AW328))*AX$318</f>
        <v>0</v>
      </c>
      <c r="AY328" s="10">
        <f>(SUM(AY286:AY286)-SUM($K328:AX328))*AY$318</f>
        <v>0</v>
      </c>
      <c r="AZ328" s="10">
        <f>(SUM(AZ286:AZ286)-SUM($K328:AY328))*AZ$318</f>
        <v>0</v>
      </c>
      <c r="BA328" s="10">
        <f>(SUM(BA286:BA286)-SUM($K328:AZ328))*BA$318</f>
        <v>0</v>
      </c>
      <c r="BB328" s="10">
        <f>(SUM(BB286:BB286)-SUM($K328:BA328))*BB$318</f>
        <v>0</v>
      </c>
      <c r="BC328" s="10">
        <f>(SUM(BC286:BC286)-SUM($K328:BB328))*BC$318</f>
        <v>0</v>
      </c>
      <c r="BD328" s="10">
        <f>(SUM(BD286:BD286)-SUM($K328:BC328))*BD$318</f>
        <v>0</v>
      </c>
      <c r="BE328" s="10">
        <f>(SUM(BE286:BE286)-SUM($K328:BD328))*BE$318</f>
        <v>0</v>
      </c>
      <c r="BF328" s="10">
        <f>(SUM(BF286:BF286)-SUM($K328:BE328))*BF$318</f>
        <v>0</v>
      </c>
      <c r="BG328" s="10">
        <f>(SUM(BG286:BG286)-SUM($K328:BF328))*BG$318</f>
        <v>0</v>
      </c>
      <c r="BH328" s="10">
        <f>(SUM(BH286:BH286)-SUM($K328:BG328))*BH$318</f>
        <v>0</v>
      </c>
      <c r="BI328" s="10">
        <f>(SUM(BI286:BI286)-SUM($K328:BH328))*BI$318</f>
        <v>0</v>
      </c>
      <c r="BJ328" s="10">
        <f>(SUM(BJ286:BJ286)-SUM($K328:BI328))*BJ$318</f>
        <v>0</v>
      </c>
      <c r="BK328" s="10">
        <f>(SUM(BK286:BK286)-SUM($K328:BJ328))*BK$318</f>
        <v>0</v>
      </c>
      <c r="BL328" s="10">
        <f>(SUM(BL286:BL286)-SUM($K328:BK328))*BL$318</f>
        <v>0</v>
      </c>
      <c r="BM328" s="10">
        <f>(SUM(BM286:BM286)-SUM($K328:BL328))*BM$318</f>
        <v>0</v>
      </c>
      <c r="BN328" s="10">
        <f>(SUM(BN286:BN286)-SUM($K328:BM328))*BN$318</f>
        <v>0</v>
      </c>
      <c r="BO328" s="10">
        <f>(SUM(BO286:BO286)-SUM($K328:BN328))*BO$318</f>
        <v>0</v>
      </c>
      <c r="BP328" s="10">
        <f>(SUM(BP286:BP286)-SUM($K328:BO328))*BP$318</f>
        <v>0</v>
      </c>
      <c r="BQ328" s="10">
        <f>(SUM(BQ286:BQ286)-SUM($K328:BP328))*BQ$318</f>
        <v>0</v>
      </c>
      <c r="BR328" s="10">
        <f>(SUM(BR286:BR286)-SUM($K328:BQ328))*BR$318</f>
        <v>0</v>
      </c>
      <c r="BS328" s="10">
        <f>(SUM(BS286:BS286)-SUM($K328:BR328))*BS$318</f>
        <v>0</v>
      </c>
      <c r="BT328" s="10">
        <f>(SUM(BT286:BT286)-SUM($K328:BS328))*BT$318</f>
        <v>0</v>
      </c>
      <c r="BU328" s="10">
        <f>(SUM(BU286:BU286)-SUM($K328:BT328))*BU$318</f>
        <v>0</v>
      </c>
      <c r="BV328" s="10">
        <f>(SUM(BV286:BV286)-SUM($K328:BU328))*BV$318</f>
        <v>0</v>
      </c>
      <c r="BW328" s="10">
        <f>(SUM(BW286:BW286)-SUM($K328:BV328))*BW$318</f>
        <v>0</v>
      </c>
      <c r="BX328" s="10">
        <f>(SUM(BX286:BX286)-SUM($K328:BW328))*BX$318</f>
        <v>0</v>
      </c>
      <c r="BY328" s="10">
        <f>(SUM(BY286:BY286)-SUM($K328:BX328))*BY$318</f>
        <v>0</v>
      </c>
      <c r="BZ328" s="10">
        <f>(SUM(BZ286:BZ286)-SUM($K328:BY328))*BZ$318</f>
        <v>0</v>
      </c>
      <c r="CA328" s="10">
        <f>(SUM(CA286:CA286)-SUM($K328:BZ328))*CA$318</f>
        <v>0</v>
      </c>
      <c r="CB328" s="10">
        <f>(SUM(CB286:CB286)-SUM($K328:CA328))*CB$318</f>
        <v>0</v>
      </c>
      <c r="CC328" s="10">
        <f>(SUM(CC286:CC286)-SUM($K328:CB328))*CC$318</f>
        <v>0</v>
      </c>
      <c r="CD328" s="10">
        <f>(SUM(CD286:CD286)-SUM($K328:CC328))*CD$318</f>
        <v>0</v>
      </c>
      <c r="CE328" s="10">
        <f>(SUM(CE286:CE286)-SUM($K328:CD328))*CE$318</f>
        <v>0</v>
      </c>
      <c r="CF328" s="10">
        <f>(SUM(CF286:CF286)-SUM($K328:CE328))*CF$318</f>
        <v>0</v>
      </c>
      <c r="CG328" s="10">
        <f>(SUM(CG286:CG286)-SUM($K328:CF328))*CG$318</f>
        <v>0</v>
      </c>
      <c r="CH328" s="10">
        <f>(SUM(CH286:CH286)-SUM($K328:CG328))*CH$318</f>
        <v>0</v>
      </c>
      <c r="CI328" s="10">
        <f>(SUM(CI286:CI286)-SUM($K328:CH328))*CI$318</f>
        <v>0</v>
      </c>
      <c r="CJ328" s="10">
        <f>(SUM(CJ286:CJ286)-SUM($K328:CI328))*CJ$318</f>
        <v>0</v>
      </c>
      <c r="CK328" s="10">
        <f>(SUM(CK286:CK286)-SUM($K328:CJ328))*CK$318</f>
        <v>0</v>
      </c>
      <c r="CL328" s="10">
        <f>(SUM(CL286:CL286)-SUM($K328:CK328))*CL$318</f>
        <v>0</v>
      </c>
      <c r="CM328" s="10">
        <f>(SUM(CM286:CM286)-SUM($K328:CL328))*CM$318</f>
        <v>0</v>
      </c>
      <c r="CN328" s="10">
        <f>(SUM(CN286:CN286)-SUM($K328:CM328))*CN$318</f>
        <v>0</v>
      </c>
      <c r="CO328" s="10">
        <f>(SUM(CO286:CO286)-SUM($K328:CN328))*CO$318</f>
        <v>0</v>
      </c>
    </row>
    <row r="329" spans="1:93">
      <c r="A329" s="10"/>
      <c r="B329" s="10"/>
      <c r="C329" s="21" t="s">
        <v>1086</v>
      </c>
      <c r="D329" s="10"/>
      <c r="E329" s="62"/>
      <c r="F329" s="11"/>
      <c r="G329" s="134" t="str">
        <f t="shared" si="465"/>
        <v>тыс. руб.</v>
      </c>
      <c r="H329" s="10"/>
      <c r="I329" s="23">
        <f t="shared" si="466"/>
        <v>0</v>
      </c>
      <c r="J329" s="10"/>
      <c r="K329" s="10"/>
      <c r="L329" s="10">
        <f>(SUM(L288)-SUM($K329:K329))*L$314</f>
        <v>0</v>
      </c>
      <c r="M329" s="10">
        <f>(SUM(M288)-SUM($K329:L329))*M$314</f>
        <v>0</v>
      </c>
      <c r="N329" s="10">
        <f>(SUM(N288)-SUM($K329:M329))*N$314</f>
        <v>0</v>
      </c>
      <c r="O329" s="10">
        <f>(SUM(O288)-SUM($K329:N329))*O$314</f>
        <v>0</v>
      </c>
      <c r="P329" s="10">
        <f>(SUM(P288)-SUM($K329:O329))*P$314</f>
        <v>0</v>
      </c>
      <c r="Q329" s="10">
        <f>(SUM(Q288)-SUM($K329:P329))*Q$314</f>
        <v>0</v>
      </c>
      <c r="R329" s="10">
        <f>(SUM(R288)-SUM($K329:Q329))*R$314</f>
        <v>0</v>
      </c>
      <c r="S329" s="10">
        <f>(SUM(S288)-SUM($K329:R329))*S$314</f>
        <v>0</v>
      </c>
      <c r="T329" s="10">
        <f>(SUM(T288)-SUM($K329:S329))*T$314</f>
        <v>0</v>
      </c>
      <c r="U329" s="10">
        <f>(SUM(U288)-SUM($K329:T329))*U$314</f>
        <v>0</v>
      </c>
      <c r="V329" s="10">
        <f>(SUM(V288)-SUM($K329:U329))*V$314</f>
        <v>0</v>
      </c>
      <c r="W329" s="10">
        <f>(SUM(W288)-SUM($K329:V329))*W$314</f>
        <v>0</v>
      </c>
      <c r="X329" s="10">
        <f>(SUM(X288)-SUM($K329:W329))*X$314</f>
        <v>0</v>
      </c>
      <c r="Y329" s="10">
        <f>(SUM(Y288)-SUM($K329:X329))*Y$314</f>
        <v>0</v>
      </c>
      <c r="Z329" s="10">
        <f>(SUM(Z288)-SUM($K329:Y329))*Z$314</f>
        <v>0</v>
      </c>
      <c r="AA329" s="10">
        <f>(SUM(AA288)-SUM($K329:Z329))*AA$314</f>
        <v>0</v>
      </c>
      <c r="AB329" s="10">
        <f>(SUM(AB288)-SUM($K329:AA329))*AB$314</f>
        <v>0</v>
      </c>
      <c r="AC329" s="10">
        <f>(SUM(AC288)-SUM($K329:AB329))*AC$314</f>
        <v>0</v>
      </c>
      <c r="AD329" s="10">
        <f>(SUM(AD288)-SUM($K329:AC329))*AD$314</f>
        <v>0</v>
      </c>
      <c r="AE329" s="10">
        <f>(SUM(AE288)-SUM($K329:AD329))*AE$314</f>
        <v>0</v>
      </c>
      <c r="AF329" s="10">
        <f>(SUM(AF288)-SUM($K329:AE329))*AF$314</f>
        <v>0</v>
      </c>
      <c r="AG329" s="10">
        <f>(SUM(AG288)-SUM($K329:AF329))*AG$314</f>
        <v>0</v>
      </c>
      <c r="AH329" s="10">
        <f>(SUM(AH288)-SUM($K329:AG329))*AH$314</f>
        <v>0</v>
      </c>
      <c r="AI329" s="10">
        <f>(SUM(AI288)-SUM($K329:AH329))*AI$314</f>
        <v>0</v>
      </c>
      <c r="AJ329" s="10">
        <f>(SUM(AJ288)-SUM($K329:AI329))*AJ$314</f>
        <v>0</v>
      </c>
      <c r="AK329" s="10">
        <f>(SUM(AK288)-SUM($K329:AJ329))*AK$314</f>
        <v>0</v>
      </c>
      <c r="AL329" s="10">
        <f>(SUM(AL288)-SUM($K329:AK329))*AL$314</f>
        <v>0</v>
      </c>
      <c r="AM329" s="10">
        <f>(SUM(AM288)-SUM($K329:AL329))*AM$314</f>
        <v>0</v>
      </c>
      <c r="AN329" s="10">
        <f>(SUM(AN288)-SUM($K329:AM329))*AN$314</f>
        <v>0</v>
      </c>
      <c r="AO329" s="10">
        <f>(SUM(AO288)-SUM($K329:AN329))*AO$314</f>
        <v>0</v>
      </c>
      <c r="AP329" s="10">
        <f>(SUM(AP288)-SUM($K329:AO329))*AP$314</f>
        <v>0</v>
      </c>
      <c r="AQ329" s="10">
        <f>(SUM(AQ288)-SUM($K329:AP329))*AQ$314</f>
        <v>0</v>
      </c>
      <c r="AR329" s="10">
        <f>(SUM(AR288)-SUM($K329:AQ329))*AR$314</f>
        <v>0</v>
      </c>
      <c r="AS329" s="10">
        <f>(SUM(AS288)-SUM($K329:AR329))*AS$314</f>
        <v>0</v>
      </c>
      <c r="AT329" s="10">
        <f>(SUM(AT288)-SUM($K329:AS329))*AT$314</f>
        <v>0</v>
      </c>
      <c r="AU329" s="10">
        <f>(SUM(AU288)-SUM($K329:AT329))*AU$314</f>
        <v>0</v>
      </c>
      <c r="AV329" s="10">
        <f>(SUM(AV288)-SUM($K329:AU329))*AV$314</f>
        <v>0</v>
      </c>
      <c r="AW329" s="10">
        <f>(SUM(AW288)-SUM($K329:AV329))*AW$314</f>
        <v>0</v>
      </c>
      <c r="AX329" s="10">
        <f>(SUM(AX288)-SUM($K329:AW329))*AX$314</f>
        <v>0</v>
      </c>
      <c r="AY329" s="10">
        <f>(SUM(AY288)-SUM($K329:AX329))*AY$314</f>
        <v>0</v>
      </c>
      <c r="AZ329" s="10">
        <f>(SUM(AZ288)-SUM($K329:AY329))*AZ$314</f>
        <v>0</v>
      </c>
      <c r="BA329" s="10">
        <f>(SUM(BA288)-SUM($K329:AZ329))*BA$314</f>
        <v>0</v>
      </c>
      <c r="BB329" s="10">
        <f>(SUM(BB288)-SUM($K329:BA329))*BB$314</f>
        <v>0</v>
      </c>
      <c r="BC329" s="10">
        <f>(SUM(BC288)-SUM($K329:BB329))*BC$314</f>
        <v>0</v>
      </c>
      <c r="BD329" s="10">
        <f>(SUM(BD288)-SUM($K329:BC329))*BD$314</f>
        <v>0</v>
      </c>
      <c r="BE329" s="10">
        <f>(SUM(BE288)-SUM($K329:BD329))*BE$314</f>
        <v>0</v>
      </c>
      <c r="BF329" s="10">
        <f>(SUM(BF288)-SUM($K329:BE329))*BF$314</f>
        <v>0</v>
      </c>
      <c r="BG329" s="10">
        <f>(SUM(BG288)-SUM($K329:BF329))*BG$314</f>
        <v>0</v>
      </c>
      <c r="BH329" s="10">
        <f>(SUM(BH288)-SUM($K329:BG329))*BH$314</f>
        <v>0</v>
      </c>
      <c r="BI329" s="10">
        <f>(SUM(BI288)-SUM($K329:BH329))*BI$314</f>
        <v>0</v>
      </c>
      <c r="BJ329" s="10">
        <f>(SUM(BJ288)-SUM($K329:BI329))*BJ$314</f>
        <v>0</v>
      </c>
      <c r="BK329" s="10">
        <f>(SUM(BK288)-SUM($K329:BJ329))*BK$314</f>
        <v>0</v>
      </c>
      <c r="BL329" s="10">
        <f>(SUM(BL288)-SUM($K329:BK329))*BL$314</f>
        <v>0</v>
      </c>
      <c r="BM329" s="10">
        <f>(SUM(BM288)-SUM($K329:BL329))*BM$314</f>
        <v>0</v>
      </c>
      <c r="BN329" s="10">
        <f>(SUM(BN288)-SUM($K329:BM329))*BN$314</f>
        <v>0</v>
      </c>
      <c r="BO329" s="10">
        <f>(SUM(BO288)-SUM($K329:BN329))*BO$314</f>
        <v>0</v>
      </c>
      <c r="BP329" s="10">
        <f>(SUM(BP288)-SUM($K329:BO329))*BP$314</f>
        <v>0</v>
      </c>
      <c r="BQ329" s="10">
        <f>(SUM(BQ288)-SUM($K329:BP329))*BQ$314</f>
        <v>0</v>
      </c>
      <c r="BR329" s="10">
        <f>(SUM(BR288)-SUM($K329:BQ329))*BR$314</f>
        <v>0</v>
      </c>
      <c r="BS329" s="10">
        <f>(SUM(BS288)-SUM($K329:BR329))*BS$314</f>
        <v>0</v>
      </c>
      <c r="BT329" s="10">
        <f>(SUM(BT288)-SUM($K329:BS329))*BT$314</f>
        <v>0</v>
      </c>
      <c r="BU329" s="10">
        <f>(SUM(BU288)-SUM($K329:BT329))*BU$314</f>
        <v>0</v>
      </c>
      <c r="BV329" s="10">
        <f>(SUM(BV288)-SUM($K329:BU329))*BV$314</f>
        <v>0</v>
      </c>
      <c r="BW329" s="10">
        <f>(SUM(BW288)-SUM($K329:BV329))*BW$314</f>
        <v>0</v>
      </c>
      <c r="BX329" s="10">
        <f>(SUM(BX288)-SUM($K329:BW329))*BX$314</f>
        <v>0</v>
      </c>
      <c r="BY329" s="10">
        <f>(SUM(BY288)-SUM($K329:BX329))*BY$314</f>
        <v>0</v>
      </c>
      <c r="BZ329" s="10">
        <f>(SUM(BZ288)-SUM($K329:BY329))*BZ$314</f>
        <v>0</v>
      </c>
      <c r="CA329" s="10">
        <f>(SUM(CA288)-SUM($K329:BZ329))*CA$314</f>
        <v>0</v>
      </c>
      <c r="CB329" s="10">
        <f>(SUM(CB288)-SUM($K329:CA329))*CB$314</f>
        <v>0</v>
      </c>
      <c r="CC329" s="10">
        <f>(SUM(CC288)-SUM($K329:CB329))*CC$314</f>
        <v>0</v>
      </c>
      <c r="CD329" s="10">
        <f>(SUM(CD288)-SUM($K329:CC329))*CD$314</f>
        <v>0</v>
      </c>
      <c r="CE329" s="10">
        <f>(SUM(CE288)-SUM($K329:CD329))*CE$314</f>
        <v>0</v>
      </c>
      <c r="CF329" s="10">
        <f>(SUM(CF288)-SUM($K329:CE329))*CF$314</f>
        <v>0</v>
      </c>
      <c r="CG329" s="10">
        <f>(SUM(CG288)-SUM($K329:CF329))*CG$314</f>
        <v>0</v>
      </c>
      <c r="CH329" s="10">
        <f>(SUM(CH288)-SUM($K329:CG329))*CH$314</f>
        <v>0</v>
      </c>
      <c r="CI329" s="10">
        <f>(SUM(CI288)-SUM($K329:CH329))*CI$314</f>
        <v>0</v>
      </c>
      <c r="CJ329" s="10">
        <f>(SUM(CJ288)-SUM($K329:CI329))*CJ$314</f>
        <v>0</v>
      </c>
      <c r="CK329" s="10">
        <f>(SUM(CK288)-SUM($K329:CJ329))*CK$314</f>
        <v>0</v>
      </c>
      <c r="CL329" s="10">
        <f>(SUM(CL288)-SUM($K329:CK329))*CL$314</f>
        <v>0</v>
      </c>
      <c r="CM329" s="10">
        <f>(SUM(CM288)-SUM($K329:CL329))*CM$314</f>
        <v>0</v>
      </c>
      <c r="CN329" s="10">
        <f>(SUM(CN288)-SUM($K329:CM329))*CN$314</f>
        <v>0</v>
      </c>
      <c r="CO329" s="10">
        <f>(SUM(CO288)-SUM($K329:CN329))*CO$314</f>
        <v>0</v>
      </c>
    </row>
    <row r="330" spans="1:93">
      <c r="A330" s="10"/>
      <c r="B330" s="10"/>
      <c r="C330" s="21" t="s">
        <v>335</v>
      </c>
      <c r="D330" s="10"/>
      <c r="E330" s="62"/>
      <c r="F330" s="11"/>
      <c r="G330" s="134" t="str">
        <f t="shared" si="465"/>
        <v>тыс. руб.</v>
      </c>
      <c r="H330" s="10"/>
      <c r="I330" s="23">
        <f ca="1">SUM(L330:CO330)</f>
        <v>0</v>
      </c>
      <c r="J330" s="10"/>
      <c r="K330" s="10"/>
      <c r="L330" s="10">
        <f ca="1">(SUM(L304,L305*0,L306)-SUM($K330:K330))*L$318</f>
        <v>0</v>
      </c>
      <c r="M330" s="10">
        <f ca="1">(SUM(M304,M305*0,M306)-SUM($K330:L330))*M$318</f>
        <v>0</v>
      </c>
      <c r="N330" s="10">
        <f ca="1">(SUM(N304,N305*0,N306)-SUM($K330:M330))*N$318</f>
        <v>0</v>
      </c>
      <c r="O330" s="10">
        <f ca="1">(SUM(O304,O305*0,O306)-SUM($K330:N330))*O$318</f>
        <v>0</v>
      </c>
      <c r="P330" s="10">
        <f ca="1">(SUM(P304,P305*0,P306)-SUM($K330:O330))*P$318</f>
        <v>0</v>
      </c>
      <c r="Q330" s="10">
        <f ca="1">(SUM(Q304,Q305*0,Q306)-SUM($K330:P330))*Q$318</f>
        <v>0</v>
      </c>
      <c r="R330" s="10">
        <f ca="1">(SUM(R304,R305*0,R306)-SUM($K330:Q330))*R$318</f>
        <v>0</v>
      </c>
      <c r="S330" s="10">
        <f ca="1">(SUM(S304,S305*0,S306)-SUM($K330:R330))*S$318</f>
        <v>0</v>
      </c>
      <c r="T330" s="10">
        <f ca="1">(SUM(T304,T305*0,T306)-SUM($K330:S330))*T$318</f>
        <v>0</v>
      </c>
      <c r="U330" s="10">
        <f ca="1">(SUM(U304,U305*0,U306)-SUM($K330:T330))*U$318</f>
        <v>0</v>
      </c>
      <c r="V330" s="10">
        <f ca="1">(SUM(V304,V305*0,V306)-SUM($K330:U330))*V$318</f>
        <v>0</v>
      </c>
      <c r="W330" s="10">
        <f ca="1">(SUM(W304,W305*0,W306)-SUM($K330:V330))*W$318</f>
        <v>0</v>
      </c>
      <c r="X330" s="10">
        <f ca="1">(SUM(X304,X305*0,X306)-SUM($K330:W330))*X$318</f>
        <v>0</v>
      </c>
      <c r="Y330" s="10">
        <f ca="1">(SUM(Y304,Y305*0,Y306)-SUM($K330:X330))*Y$318</f>
        <v>0</v>
      </c>
      <c r="Z330" s="10">
        <f ca="1">(SUM(Z304,Z305*0,Z306)-SUM($K330:Y330))*Z$318</f>
        <v>0</v>
      </c>
      <c r="AA330" s="10">
        <f ca="1">(SUM(AA304,AA305*0,AA306)-SUM($K330:Z330))*AA$318</f>
        <v>0</v>
      </c>
      <c r="AB330" s="10">
        <f ca="1">(SUM(AB304,AB305*0,AB306)-SUM($K330:AA330))*AB$318</f>
        <v>0</v>
      </c>
      <c r="AC330" s="10">
        <f ca="1">(SUM(AC304,AC305*0,AC306)-SUM($K330:AB330))*AC$318</f>
        <v>0</v>
      </c>
      <c r="AD330" s="10">
        <f ca="1">(SUM(AD304,AD305*0,AD306)-SUM($K330:AC330))*AD$318</f>
        <v>0</v>
      </c>
      <c r="AE330" s="10">
        <f ca="1">(SUM(AE304,AE305*0,AE306)-SUM($K330:AD330))*AE$318</f>
        <v>0</v>
      </c>
      <c r="AF330" s="10">
        <f ca="1">(SUM(AF304,AF305*0,AF306)-SUM($K330:AE330))*AF$318</f>
        <v>0</v>
      </c>
      <c r="AG330" s="10">
        <f ca="1">(SUM(AG304,AG305*0,AG306)-SUM($K330:AF330))*AG$318</f>
        <v>0</v>
      </c>
      <c r="AH330" s="10">
        <f ca="1">(SUM(AH304,AH305*0,AH306)-SUM($K330:AG330))*AH$318</f>
        <v>0</v>
      </c>
      <c r="AI330" s="10">
        <f ca="1">(SUM(AI304,AI305*0,AI306)-SUM($K330:AH330))*AI$318</f>
        <v>0</v>
      </c>
      <c r="AJ330" s="10">
        <f ca="1">(SUM(AJ304,AJ305*0,AJ306)-SUM($K330:AI330))*AJ$318</f>
        <v>0</v>
      </c>
      <c r="AK330" s="10">
        <f ca="1">(SUM(AK304,AK305*0,AK306)-SUM($K330:AJ330))*AK$318</f>
        <v>0</v>
      </c>
      <c r="AL330" s="10">
        <f ca="1">(SUM(AL304,AL305*0,AL306)-SUM($K330:AK330))*AL$318</f>
        <v>0</v>
      </c>
      <c r="AM330" s="10">
        <f ca="1">(SUM(AM304,AM305*0,AM306)-SUM($K330:AL330))*AM$318</f>
        <v>0</v>
      </c>
      <c r="AN330" s="10">
        <f ca="1">(SUM(AN304,AN305*0,AN306)-SUM($K330:AM330))*AN$318</f>
        <v>0</v>
      </c>
      <c r="AO330" s="10">
        <f ca="1">(SUM(AO304,AO305*0,AO306)-SUM($K330:AN330))*AO$318</f>
        <v>0</v>
      </c>
      <c r="AP330" s="10">
        <f ca="1">(SUM(AP304,AP305*0,AP306)-SUM($K330:AO330))*AP$318</f>
        <v>0</v>
      </c>
      <c r="AQ330" s="10">
        <f ca="1">(SUM(AQ304,AQ305*0,AQ306)-SUM($K330:AP330))*AQ$318</f>
        <v>0</v>
      </c>
      <c r="AR330" s="10">
        <f ca="1">(SUM(AR304,AR305*0,AR306)-SUM($K330:AQ330))*AR$318</f>
        <v>0</v>
      </c>
      <c r="AS330" s="10">
        <f ca="1">(SUM(AS304,AS305*0,AS306)-SUM($K330:AR330))*AS$318</f>
        <v>0</v>
      </c>
      <c r="AT330" s="10">
        <f ca="1">(SUM(AT304,AT305*0,AT306)-SUM($K330:AS330))*AT$318</f>
        <v>0</v>
      </c>
      <c r="AU330" s="10">
        <f ca="1">(SUM(AU304,AU305*0,AU306)-SUM($K330:AT330))*AU$318</f>
        <v>0</v>
      </c>
      <c r="AV330" s="10">
        <f ca="1">(SUM(AV304,AV305*0,AV306)-SUM($K330:AU330))*AV$318</f>
        <v>0</v>
      </c>
      <c r="AW330" s="10">
        <f ca="1">(SUM(AW304,AW305*0,AW306)-SUM($K330:AV330))*AW$318</f>
        <v>0</v>
      </c>
      <c r="AX330" s="10">
        <f ca="1">(SUM(AX304,AX305*0,AX306)-SUM($K330:AW330))*AX$318</f>
        <v>0</v>
      </c>
      <c r="AY330" s="10">
        <f ca="1">(SUM(AY304,AY305*0,AY306)-SUM($K330:AX330))*AY$318</f>
        <v>0</v>
      </c>
      <c r="AZ330" s="10">
        <f ca="1">(SUM(AZ304,AZ305*0,AZ306)-SUM($K330:AY330))*AZ$318</f>
        <v>0</v>
      </c>
      <c r="BA330" s="10">
        <f ca="1">(SUM(BA304,BA305*0,BA306)-SUM($K330:AZ330))*BA$318</f>
        <v>0</v>
      </c>
      <c r="BB330" s="10">
        <f ca="1">(SUM(BB304,BB305*0,BB306)-SUM($K330:BA330))*BB$318</f>
        <v>0</v>
      </c>
      <c r="BC330" s="10">
        <f ca="1">(SUM(BC304,BC305*0,BC306)-SUM($K330:BB330))*BC$318</f>
        <v>0</v>
      </c>
      <c r="BD330" s="10">
        <f ca="1">(SUM(BD304,BD305*0,BD306)-SUM($K330:BC330))*BD$318</f>
        <v>0</v>
      </c>
      <c r="BE330" s="10">
        <f ca="1">(SUM(BE304,BE305*0,BE306)-SUM($K330:BD330))*BE$318</f>
        <v>0</v>
      </c>
      <c r="BF330" s="10">
        <f ca="1">(SUM(BF304,BF305*0,BF306)-SUM($K330:BE330))*BF$318</f>
        <v>0</v>
      </c>
      <c r="BG330" s="10">
        <f ca="1">(SUM(BG304,BG305*0,BG306)-SUM($K330:BF330))*BG$318</f>
        <v>0</v>
      </c>
      <c r="BH330" s="10">
        <f ca="1">(SUM(BH304,BH305*0,BH306)-SUM($K330:BG330))*BH$318</f>
        <v>0</v>
      </c>
      <c r="BI330" s="10">
        <f ca="1">(SUM(BI304,BI305*0,BI306)-SUM($K330:BH330))*BI$318</f>
        <v>0</v>
      </c>
      <c r="BJ330" s="10">
        <f ca="1">(SUM(BJ304,BJ305*0,BJ306)-SUM($K330:BI330))*BJ$318</f>
        <v>0</v>
      </c>
      <c r="BK330" s="10">
        <f ca="1">(SUM(BK304,BK305*0,BK306)-SUM($K330:BJ330))*BK$318</f>
        <v>0</v>
      </c>
      <c r="BL330" s="10">
        <f ca="1">(SUM(BL304,BL305*0,BL306)-SUM($K330:BK330))*BL$318</f>
        <v>0</v>
      </c>
      <c r="BM330" s="10">
        <f ca="1">(SUM(BM304,BM305*0,BM306)-SUM($K330:BL330))*BM$318</f>
        <v>0</v>
      </c>
      <c r="BN330" s="10">
        <f ca="1">(SUM(BN304,BN305*0,BN306)-SUM($K330:BM330))*BN$318</f>
        <v>0</v>
      </c>
      <c r="BO330" s="10">
        <f ca="1">(SUM(BO304,BO305*0,BO306)-SUM($K330:BN330))*BO$318</f>
        <v>0</v>
      </c>
      <c r="BP330" s="10">
        <f ca="1">(SUM(BP304,BP305*0,BP306)-SUM($K330:BO330))*BP$318</f>
        <v>0</v>
      </c>
      <c r="BQ330" s="10">
        <f ca="1">(SUM(BQ304,BQ305*0,BQ306)-SUM($K330:BP330))*BQ$318</f>
        <v>0</v>
      </c>
      <c r="BR330" s="10">
        <f ca="1">(SUM(BR304,BR305*0,BR306)-SUM($K330:BQ330))*BR$318</f>
        <v>0</v>
      </c>
      <c r="BS330" s="10">
        <f ca="1">(SUM(BS304,BS305*0,BS306)-SUM($K330:BR330))*BS$318</f>
        <v>0</v>
      </c>
      <c r="BT330" s="10">
        <f ca="1">(SUM(BT304,BT305*0,BT306)-SUM($K330:BS330))*BT$318</f>
        <v>0</v>
      </c>
      <c r="BU330" s="10">
        <f ca="1">(SUM(BU304,BU305*0,BU306)-SUM($K330:BT330))*BU$318</f>
        <v>0</v>
      </c>
      <c r="BV330" s="10">
        <f ca="1">(SUM(BV304,BV305*0,BV306)-SUM($K330:BU330))*BV$318</f>
        <v>0</v>
      </c>
      <c r="BW330" s="10">
        <f ca="1">(SUM(BW304,BW305*0,BW306)-SUM($K330:BV330))*BW$318</f>
        <v>0</v>
      </c>
      <c r="BX330" s="10">
        <f ca="1">(SUM(BX304,BX305*0,BX306)-SUM($K330:BW330))*BX$318</f>
        <v>0</v>
      </c>
      <c r="BY330" s="10">
        <f ca="1">(SUM(BY304,BY305*0,BY306)-SUM($K330:BX330))*BY$318</f>
        <v>0</v>
      </c>
      <c r="BZ330" s="10">
        <f ca="1">(SUM(BZ304,BZ305*0,BZ306)-SUM($K330:BY330))*BZ$318</f>
        <v>0</v>
      </c>
      <c r="CA330" s="10">
        <f ca="1">(SUM(CA304,CA305*0,CA306)-SUM($K330:BZ330))*CA$318</f>
        <v>0</v>
      </c>
      <c r="CB330" s="10">
        <f ca="1">(SUM(CB304,CB305*0,CB306)-SUM($K330:CA330))*CB$318</f>
        <v>0</v>
      </c>
      <c r="CC330" s="10">
        <f ca="1">(SUM(CC304,CC305*0,CC306)-SUM($K330:CB330))*CC$318</f>
        <v>0</v>
      </c>
      <c r="CD330" s="10">
        <f ca="1">(SUM(CD304,CD305*0,CD306)-SUM($K330:CC330))*CD$318</f>
        <v>0</v>
      </c>
      <c r="CE330" s="10">
        <f ca="1">(SUM(CE304,CE305*0,CE306)-SUM($K330:CD330))*CE$318</f>
        <v>0</v>
      </c>
      <c r="CF330" s="10">
        <f ca="1">(SUM(CF304,CF305*0,CF306)-SUM($K330:CE330))*CF$318</f>
        <v>0</v>
      </c>
      <c r="CG330" s="10">
        <f ca="1">(SUM(CG304,CG305*0,CG306)-SUM($K330:CF330))*CG$318</f>
        <v>0</v>
      </c>
      <c r="CH330" s="10">
        <f ca="1">(SUM(CH304,CH305*0,CH306)-SUM($K330:CG330))*CH$318</f>
        <v>0</v>
      </c>
      <c r="CI330" s="10">
        <f ca="1">(SUM(CI304,CI305*0,CI306)-SUM($K330:CH330))*CI$318</f>
        <v>0</v>
      </c>
      <c r="CJ330" s="10">
        <f ca="1">(SUM(CJ304,CJ305*0,CJ306)-SUM($K330:CI330))*CJ$318</f>
        <v>0</v>
      </c>
      <c r="CK330" s="10">
        <f ca="1">(SUM(CK304,CK305*0,CK306)-SUM($K330:CJ330))*CK$318</f>
        <v>0</v>
      </c>
      <c r="CL330" s="10">
        <f ca="1">(SUM(CL304,CL305*0,CL306)-SUM($K330:CK330))*CL$318</f>
        <v>0</v>
      </c>
      <c r="CM330" s="10">
        <f ca="1">(SUM(CM304,CM305*0,CM306)-SUM($K330:CL330))*CM$318</f>
        <v>0</v>
      </c>
      <c r="CN330" s="10">
        <f ca="1">(SUM(CN304,CN305*0,CN306)-SUM($K330:CM330))*CN$318</f>
        <v>0</v>
      </c>
      <c r="CO330" s="10">
        <f ca="1">(SUM(CO304,CO305*0,CO306)-SUM($K330:CN330))*CO$318</f>
        <v>0</v>
      </c>
    </row>
    <row r="331" spans="1:93" ht="15.75" thickBot="1">
      <c r="A331" s="10"/>
      <c r="B331" s="10"/>
      <c r="C331" s="21" t="s">
        <v>1164</v>
      </c>
      <c r="D331" s="10"/>
      <c r="E331" s="62"/>
      <c r="F331" s="11"/>
      <c r="G331" s="134" t="str">
        <f t="shared" si="465"/>
        <v>тыс. руб.</v>
      </c>
      <c r="H331" s="10"/>
      <c r="I331" s="23">
        <f ca="1">SUM(L331:CO331)</f>
        <v>358387.65550328605</v>
      </c>
      <c r="J331" s="10"/>
      <c r="K331" s="10"/>
      <c r="L331" s="10">
        <f>(SUM(L302:L303,L305)-SUM($K331:K331))*L$318</f>
        <v>0</v>
      </c>
      <c r="M331" s="10">
        <f ca="1">(SUM(M302:M303,M305)-SUM($K331:L331))*M$318</f>
        <v>0</v>
      </c>
      <c r="N331" s="10">
        <f ca="1">(SUM(N302:N303,N305)-SUM($K331:M331))*N$318</f>
        <v>0</v>
      </c>
      <c r="O331" s="10">
        <f ca="1">(SUM(O302:O303,O305)-SUM($K331:N331))*O$318</f>
        <v>0</v>
      </c>
      <c r="P331" s="10">
        <f ca="1">(SUM(P302:P303,P305)-SUM($K331:O331))*P$318</f>
        <v>0</v>
      </c>
      <c r="Q331" s="10">
        <f ca="1">(SUM(Q302:Q303,Q305)-SUM($K331:P331))*Q$318</f>
        <v>0</v>
      </c>
      <c r="R331" s="10">
        <f ca="1">(SUM(R302:R303,R305)-SUM($K331:Q331))*R$318</f>
        <v>0</v>
      </c>
      <c r="S331" s="10">
        <f ca="1">(SUM(S302:S303,S305)-SUM($K331:R331))*S$318</f>
        <v>0</v>
      </c>
      <c r="T331" s="10">
        <f ca="1">(SUM(T302:T303,T305)-SUM($K331:S331))*T$318</f>
        <v>0</v>
      </c>
      <c r="U331" s="10">
        <f ca="1">(SUM(U302:U303,U305)-SUM($K331:T331))*U$318</f>
        <v>0</v>
      </c>
      <c r="V331" s="10">
        <f ca="1">(SUM(V302:V303,V305)-SUM($K331:U331))*V$318</f>
        <v>0</v>
      </c>
      <c r="W331" s="10">
        <f ca="1">(SUM(W302:W303,W305)-SUM($K331:V331))*W$318</f>
        <v>0</v>
      </c>
      <c r="X331" s="10">
        <f ca="1">(SUM(X302:X303,X305)-SUM($K331:W331))*X$318</f>
        <v>0</v>
      </c>
      <c r="Y331" s="10">
        <f ca="1">(SUM(Y302:Y303,Y305)-SUM($K331:X331))*Y$318</f>
        <v>0</v>
      </c>
      <c r="Z331" s="10">
        <f ca="1">(SUM(Z302:Z303,Z305)-SUM($K331:Y331))*Z$318</f>
        <v>0</v>
      </c>
      <c r="AA331" s="10">
        <f ca="1">(SUM(AA302:AA303,AA305)-SUM($K331:Z331))*AA$318</f>
        <v>0</v>
      </c>
      <c r="AB331" s="10">
        <f ca="1">(SUM(AB302:AB303,AB305)-SUM($K331:AA331))*AB$318</f>
        <v>358387.65550328605</v>
      </c>
      <c r="AC331" s="10">
        <f ca="1">(SUM(AC302:AC303,AC305)-SUM($K331:AB331))*AC$318</f>
        <v>0</v>
      </c>
      <c r="AD331" s="10">
        <f ca="1">(SUM(AD302:AD303,AD305)-SUM($K331:AC331))*AD$318</f>
        <v>0</v>
      </c>
      <c r="AE331" s="10">
        <f ca="1">(SUM(AE302:AE303,AE305)-SUM($K331:AD331))*AE$318</f>
        <v>0</v>
      </c>
      <c r="AF331" s="10">
        <f ca="1">(SUM(AF302:AF303,AF305)-SUM($K331:AE331))*AF$318</f>
        <v>0</v>
      </c>
      <c r="AG331" s="10">
        <f ca="1">(SUM(AG302:AG303,AG305)-SUM($K331:AF331))*AG$318</f>
        <v>0</v>
      </c>
      <c r="AH331" s="10">
        <f ca="1">(SUM(AH302:AH303,AH305)-SUM($K331:AG331))*AH$318</f>
        <v>0</v>
      </c>
      <c r="AI331" s="10">
        <f ca="1">(SUM(AI302:AI303,AI305)-SUM($K331:AH331))*AI$318</f>
        <v>0</v>
      </c>
      <c r="AJ331" s="10">
        <f ca="1">(SUM(AJ302:AJ303,AJ305)-SUM($K331:AI331))*AJ$318</f>
        <v>0</v>
      </c>
      <c r="AK331" s="10">
        <f ca="1">(SUM(AK302:AK303,AK305)-SUM($K331:AJ331))*AK$318</f>
        <v>0</v>
      </c>
      <c r="AL331" s="10">
        <f ca="1">(SUM(AL302:AL303,AL305)-SUM($K331:AK331))*AL$318</f>
        <v>0</v>
      </c>
      <c r="AM331" s="10">
        <f ca="1">(SUM(AM302:AM303,AM305)-SUM($K331:AL331))*AM$318</f>
        <v>0</v>
      </c>
      <c r="AN331" s="10">
        <f ca="1">(SUM(AN302:AN303,AN305)-SUM($K331:AM331))*AN$318</f>
        <v>0</v>
      </c>
      <c r="AO331" s="10">
        <f ca="1">(SUM(AO302:AO303,AO305)-SUM($K331:AN331))*AO$318</f>
        <v>0</v>
      </c>
      <c r="AP331" s="10">
        <f ca="1">(SUM(AP302:AP303,AP305)-SUM($K331:AO331))*AP$318</f>
        <v>0</v>
      </c>
      <c r="AQ331" s="10">
        <f ca="1">(SUM(AQ302:AQ303,AQ305)-SUM($K331:AP331))*AQ$318</f>
        <v>0</v>
      </c>
      <c r="AR331" s="10">
        <f ca="1">(SUM(AR302:AR303,AR305)-SUM($K331:AQ331))*AR$318</f>
        <v>0</v>
      </c>
      <c r="AS331" s="10">
        <f ca="1">(SUM(AS302:AS303,AS305)-SUM($K331:AR331))*AS$318</f>
        <v>0</v>
      </c>
      <c r="AT331" s="10">
        <f ca="1">(SUM(AT302:AT303,AT305)-SUM($K331:AS331))*AT$318</f>
        <v>0</v>
      </c>
      <c r="AU331" s="10">
        <f ca="1">(SUM(AU302:AU303,AU305)-SUM($K331:AT331))*AU$318</f>
        <v>0</v>
      </c>
      <c r="AV331" s="10">
        <f ca="1">(SUM(AV302:AV303,AV305)-SUM($K331:AU331))*AV$318</f>
        <v>0</v>
      </c>
      <c r="AW331" s="10">
        <f ca="1">(SUM(AW302:AW303,AW305)-SUM($K331:AV331))*AW$318</f>
        <v>0</v>
      </c>
      <c r="AX331" s="10">
        <f ca="1">(SUM(AX302:AX303,AX305)-SUM($K331:AW331))*AX$318</f>
        <v>0</v>
      </c>
      <c r="AY331" s="10">
        <f ca="1">(SUM(AY302:AY303,AY305)-SUM($K331:AX331))*AY$318</f>
        <v>0</v>
      </c>
      <c r="AZ331" s="10">
        <f ca="1">(SUM(AZ302:AZ303,AZ305)-SUM($K331:AY331))*AZ$318</f>
        <v>0</v>
      </c>
      <c r="BA331" s="10">
        <f ca="1">(SUM(BA302:BA303,BA305)-SUM($K331:AZ331))*BA$318</f>
        <v>0</v>
      </c>
      <c r="BB331" s="10">
        <f ca="1">(SUM(BB302:BB303,BB305)-SUM($K331:BA331))*BB$318</f>
        <v>0</v>
      </c>
      <c r="BC331" s="10">
        <f ca="1">(SUM(BC302:BC303,BC305)-SUM($K331:BB331))*BC$318</f>
        <v>0</v>
      </c>
      <c r="BD331" s="10">
        <f ca="1">(SUM(BD302:BD303,BD305)-SUM($K331:BC331))*BD$318</f>
        <v>0</v>
      </c>
      <c r="BE331" s="10">
        <f ca="1">(SUM(BE302:BE303,BE305)-SUM($K331:BD331))*BE$318</f>
        <v>0</v>
      </c>
      <c r="BF331" s="10">
        <f ca="1">(SUM(BF302:BF303,BF305)-SUM($K331:BE331))*BF$318</f>
        <v>0</v>
      </c>
      <c r="BG331" s="10">
        <f ca="1">(SUM(BG302:BG303,BG305)-SUM($K331:BF331))*BG$318</f>
        <v>0</v>
      </c>
      <c r="BH331" s="10">
        <f ca="1">(SUM(BH302:BH303,BH305)-SUM($K331:BG331))*BH$318</f>
        <v>0</v>
      </c>
      <c r="BI331" s="10">
        <f ca="1">(SUM(BI302:BI303,BI305)-SUM($K331:BH331))*BI$318</f>
        <v>0</v>
      </c>
      <c r="BJ331" s="10">
        <f ca="1">(SUM(BJ302:BJ303,BJ305)-SUM($K331:BI331))*BJ$318</f>
        <v>0</v>
      </c>
      <c r="BK331" s="10">
        <f ca="1">(SUM(BK302:BK303,BK305)-SUM($K331:BJ331))*BK$318</f>
        <v>0</v>
      </c>
      <c r="BL331" s="10">
        <f ca="1">(SUM(BL302:BL303,BL305)-SUM($K331:BK331))*BL$318</f>
        <v>0</v>
      </c>
      <c r="BM331" s="10">
        <f ca="1">(SUM(BM302:BM303,BM305)-SUM($K331:BL331))*BM$318</f>
        <v>0</v>
      </c>
      <c r="BN331" s="10">
        <f ca="1">(SUM(BN302:BN303,BN305)-SUM($K331:BM331))*BN$318</f>
        <v>0</v>
      </c>
      <c r="BO331" s="10">
        <f ca="1">(SUM(BO302:BO303,BO305)-SUM($K331:BN331))*BO$318</f>
        <v>0</v>
      </c>
      <c r="BP331" s="10">
        <f ca="1">(SUM(BP302:BP303,BP305)-SUM($K331:BO331))*BP$318</f>
        <v>0</v>
      </c>
      <c r="BQ331" s="10">
        <f ca="1">(SUM(BQ302:BQ303,BQ305)-SUM($K331:BP331))*BQ$318</f>
        <v>0</v>
      </c>
      <c r="BR331" s="10">
        <f ca="1">(SUM(BR302:BR303,BR305)-SUM($K331:BQ331))*BR$318</f>
        <v>0</v>
      </c>
      <c r="BS331" s="10">
        <f ca="1">(SUM(BS302:BS303,BS305)-SUM($K331:BR331))*BS$318</f>
        <v>0</v>
      </c>
      <c r="BT331" s="10">
        <f ca="1">(SUM(BT302:BT303,BT305)-SUM($K331:BS331))*BT$318</f>
        <v>0</v>
      </c>
      <c r="BU331" s="10">
        <f ca="1">(SUM(BU302:BU303,BU305)-SUM($K331:BT331))*BU$318</f>
        <v>0</v>
      </c>
      <c r="BV331" s="10">
        <f ca="1">(SUM(BV302:BV303,BV305)-SUM($K331:BU331))*BV$318</f>
        <v>0</v>
      </c>
      <c r="BW331" s="10">
        <f ca="1">(SUM(BW302:BW303,BW305)-SUM($K331:BV331))*BW$318</f>
        <v>0</v>
      </c>
      <c r="BX331" s="10">
        <f ca="1">(SUM(BX302:BX303,BX305)-SUM($K331:BW331))*BX$318</f>
        <v>0</v>
      </c>
      <c r="BY331" s="10">
        <f ca="1">(SUM(BY302:BY303,BY305)-SUM($K331:BX331))*BY$318</f>
        <v>0</v>
      </c>
      <c r="BZ331" s="10">
        <f ca="1">(SUM(BZ302:BZ303,BZ305)-SUM($K331:BY331))*BZ$318</f>
        <v>0</v>
      </c>
      <c r="CA331" s="10">
        <f ca="1">(SUM(CA302:CA303,CA305)-SUM($K331:BZ331))*CA$318</f>
        <v>0</v>
      </c>
      <c r="CB331" s="10">
        <f ca="1">(SUM(CB302:CB303,CB305)-SUM($K331:CA331))*CB$318</f>
        <v>0</v>
      </c>
      <c r="CC331" s="10">
        <f ca="1">(SUM(CC302:CC303,CC305)-SUM($K331:CB331))*CC$318</f>
        <v>0</v>
      </c>
      <c r="CD331" s="10">
        <f ca="1">(SUM(CD302:CD303,CD305)-SUM($K331:CC331))*CD$318</f>
        <v>0</v>
      </c>
      <c r="CE331" s="10">
        <f ca="1">(SUM(CE302:CE303,CE305)-SUM($K331:CD331))*CE$318</f>
        <v>0</v>
      </c>
      <c r="CF331" s="10">
        <f ca="1">(SUM(CF302:CF303,CF305)-SUM($K331:CE331))*CF$318</f>
        <v>0</v>
      </c>
      <c r="CG331" s="10">
        <f ca="1">(SUM(CG302:CG303,CG305)-SUM($K331:CF331))*CG$318</f>
        <v>0</v>
      </c>
      <c r="CH331" s="10">
        <f ca="1">(SUM(CH302:CH303,CH305)-SUM($K331:CG331))*CH$318</f>
        <v>0</v>
      </c>
      <c r="CI331" s="10">
        <f ca="1">(SUM(CI302:CI303,CI305)-SUM($K331:CH331))*CI$318</f>
        <v>0</v>
      </c>
      <c r="CJ331" s="10">
        <f ca="1">(SUM(CJ302:CJ303,CJ305)-SUM($K331:CI331))*CJ$318</f>
        <v>0</v>
      </c>
      <c r="CK331" s="10">
        <f ca="1">(SUM(CK302:CK303,CK305)-SUM($K331:CJ331))*CK$318</f>
        <v>0</v>
      </c>
      <c r="CL331" s="10">
        <f ca="1">(SUM(CL302:CL303,CL305)-SUM($K331:CK331))*CL$318</f>
        <v>0</v>
      </c>
      <c r="CM331" s="10">
        <f ca="1">(SUM(CM302:CM303,CM305)-SUM($K331:CL331))*CM$318</f>
        <v>0</v>
      </c>
      <c r="CN331" s="10">
        <f ca="1">(SUM(CN302:CN303,CN305)-SUM($K331:CM331))*CN$318</f>
        <v>0</v>
      </c>
      <c r="CO331" s="10">
        <f ca="1">(SUM(CO302:CO303,CO305)-SUM($K331:CN331))*CO$318</f>
        <v>0</v>
      </c>
    </row>
    <row r="332" spans="1:93" ht="15.75" thickTop="1">
      <c r="A332" s="35"/>
      <c r="B332" s="35"/>
      <c r="C332" s="49" t="s">
        <v>349</v>
      </c>
      <c r="D332" s="49"/>
      <c r="E332" s="49"/>
      <c r="F332" s="49"/>
      <c r="G332" s="159" t="str">
        <f t="shared" si="465"/>
        <v>тыс. руб.</v>
      </c>
      <c r="H332" s="49"/>
      <c r="I332" s="49"/>
      <c r="J332" s="49"/>
      <c r="K332" s="49"/>
      <c r="L332" s="49">
        <f ca="1" xml:space="preserve"> (SUM(L289,L307)-SUM($L320:L331))*Flag_Financial_Model</f>
        <v>17121.529460233251</v>
      </c>
      <c r="M332" s="49">
        <f ca="1" xml:space="preserve"> (SUM(M289,M307)-SUM($L320:M331))*Flag_Financial_Model</f>
        <v>35032.383860963273</v>
      </c>
      <c r="N332" s="49">
        <f ca="1" xml:space="preserve"> (SUM(N289,N307)-SUM($L320:N331))*Flag_Financial_Model</f>
        <v>53784.751447582821</v>
      </c>
      <c r="O332" s="49">
        <f ca="1" xml:space="preserve"> (SUM(O289,O307)-SUM($L320:O331))*Flag_Financial_Model</f>
        <v>73412.613832305549</v>
      </c>
      <c r="P332" s="49">
        <f ca="1" xml:space="preserve"> (SUM(P289,P307)-SUM($L320:P331))*Flag_Financial_Model</f>
        <v>224881.11523929369</v>
      </c>
      <c r="Q332" s="49">
        <f ca="1" xml:space="preserve"> (SUM(Q289,Q307)-SUM($L320:Q331))*Flag_Financial_Model</f>
        <v>381546.10000470944</v>
      </c>
      <c r="R332" s="49">
        <f ca="1" xml:space="preserve"> (SUM(R289,R307)-SUM($L320:R331))*Flag_Financial_Model</f>
        <v>543689.4681553659</v>
      </c>
      <c r="S332" s="49">
        <f ca="1" xml:space="preserve"> (SUM(S289,S307)-SUM($L320:S331))*Flag_Financial_Model</f>
        <v>711442.88469485159</v>
      </c>
      <c r="T332" s="49">
        <f ca="1" xml:space="preserve"> (SUM(T289,T307)-SUM($L320:T331))*Flag_Financial_Model</f>
        <v>881496.15545747825</v>
      </c>
      <c r="U332" s="49">
        <f ca="1" xml:space="preserve"> (SUM(U289,U307)-SUM($L320:U331))*Flag_Financial_Model</f>
        <v>1058609.3566000515</v>
      </c>
      <c r="V332" s="49">
        <f ca="1" xml:space="preserve"> (SUM(V289,V307)-SUM($L320:V331))*Flag_Financial_Model</f>
        <v>1240664.9114058595</v>
      </c>
      <c r="W332" s="49">
        <f ca="1" xml:space="preserve"> (SUM(W289,W307)-SUM($L320:W331))*Flag_Financial_Model</f>
        <v>1427536.0451342026</v>
      </c>
      <c r="X332" s="49">
        <f ca="1" xml:space="preserve"> (SUM(X289,X307)-SUM($L320:X331))*Flag_Financial_Model</f>
        <v>1766454.9388419648</v>
      </c>
      <c r="Y332" s="49">
        <f ca="1" xml:space="preserve"> (SUM(Y289,Y307)-SUM($L320:Y331))*Flag_Financial_Model</f>
        <v>2114137.0073265168</v>
      </c>
      <c r="Z332" s="49">
        <f ca="1" xml:space="preserve"> (SUM(Z289,Z307)-SUM($L320:Z331))*Flag_Financial_Model</f>
        <v>2471260.2142106122</v>
      </c>
      <c r="AA332" s="49">
        <f ca="1" xml:space="preserve"> (SUM(AA289,AA307)-SUM($L320:AA331))*Flag_Financial_Model</f>
        <v>2837610.5859134705</v>
      </c>
      <c r="AB332" s="49">
        <f ca="1" xml:space="preserve"> (SUM(AB289,AB307)-SUM($L320:AB331))*Flag_Financial_Model</f>
        <v>0</v>
      </c>
      <c r="AC332" s="49">
        <f ca="1" xml:space="preserve"> (SUM(AC289,AC307)-SUM($L320:AC331))*Flag_Financial_Model</f>
        <v>0</v>
      </c>
      <c r="AD332" s="49">
        <f ca="1" xml:space="preserve"> (SUM(AD289,AD307)-SUM($L320:AD331))*Flag_Financial_Model</f>
        <v>0</v>
      </c>
      <c r="AE332" s="49">
        <f ca="1" xml:space="preserve"> (SUM(AE289,AE307)-SUM($L320:AE331))*Flag_Financial_Model</f>
        <v>0</v>
      </c>
      <c r="AF332" s="49">
        <f ca="1" xml:space="preserve"> (SUM(AF289,AF307)-SUM($L320:AF331))*Flag_Financial_Model</f>
        <v>0</v>
      </c>
      <c r="AG332" s="49">
        <f ca="1" xml:space="preserve"> (SUM(AG289,AG307)-SUM($L320:AG331))*Flag_Financial_Model</f>
        <v>0</v>
      </c>
      <c r="AH332" s="49">
        <f ca="1" xml:space="preserve"> (SUM(AH289,AH307)-SUM($L320:AH331))*Flag_Financial_Model</f>
        <v>0</v>
      </c>
      <c r="AI332" s="49">
        <f ca="1" xml:space="preserve"> (SUM(AI289,AI307)-SUM($L320:AI331))*Flag_Financial_Model</f>
        <v>0</v>
      </c>
      <c r="AJ332" s="49">
        <f ca="1" xml:space="preserve"> (SUM(AJ289,AJ307)-SUM($L320:AJ331))*Flag_Financial_Model</f>
        <v>0</v>
      </c>
      <c r="AK332" s="49">
        <f ca="1" xml:space="preserve"> (SUM(AK289,AK307)-SUM($L320:AK331))*Flag_Financial_Model</f>
        <v>0</v>
      </c>
      <c r="AL332" s="49">
        <f ca="1" xml:space="preserve"> (SUM(AL289,AL307)-SUM($L320:AL331))*Flag_Financial_Model</f>
        <v>0</v>
      </c>
      <c r="AM332" s="49">
        <f ca="1" xml:space="preserve"> (SUM(AM289,AM307)-SUM($L320:AM331))*Flag_Financial_Model</f>
        <v>0</v>
      </c>
      <c r="AN332" s="49">
        <f ca="1" xml:space="preserve"> (SUM(AN289,AN307)-SUM($L320:AN331))*Flag_Financial_Model</f>
        <v>0</v>
      </c>
      <c r="AO332" s="49">
        <f ca="1" xml:space="preserve"> (SUM(AO289,AO307)-SUM($L320:AO331))*Flag_Financial_Model</f>
        <v>0</v>
      </c>
      <c r="AP332" s="49">
        <f ca="1" xml:space="preserve"> (SUM(AP289,AP307)-SUM($L320:AP331))*Flag_Financial_Model</f>
        <v>0</v>
      </c>
      <c r="AQ332" s="49">
        <f ca="1" xml:space="preserve"> (SUM(AQ289,AQ307)-SUM($L320:AQ331))*Flag_Financial_Model</f>
        <v>0</v>
      </c>
      <c r="AR332" s="49">
        <f ca="1" xml:space="preserve"> (SUM(AR289,AR307)-SUM($L320:AR331))*Flag_Financial_Model</f>
        <v>0</v>
      </c>
      <c r="AS332" s="49">
        <f ca="1" xml:space="preserve"> (SUM(AS289,AS307)-SUM($L320:AS331))*Flag_Financial_Model</f>
        <v>0</v>
      </c>
      <c r="AT332" s="49">
        <f ca="1" xml:space="preserve"> (SUM(AT289,AT307)-SUM($L320:AT331))*Flag_Financial_Model</f>
        <v>0</v>
      </c>
      <c r="AU332" s="49">
        <f ca="1" xml:space="preserve"> (SUM(AU289,AU307)-SUM($L320:AU331))*Flag_Financial_Model</f>
        <v>0</v>
      </c>
      <c r="AV332" s="49">
        <f ca="1" xml:space="preserve"> (SUM(AV289,AV307)-SUM($L320:AV331))*Flag_Financial_Model</f>
        <v>0</v>
      </c>
      <c r="AW332" s="49">
        <f ca="1" xml:space="preserve"> (SUM(AW289,AW307)-SUM($L320:AW331))*Flag_Financial_Model</f>
        <v>0</v>
      </c>
      <c r="AX332" s="49">
        <f ca="1" xml:space="preserve"> (SUM(AX289,AX307)-SUM($L320:AX331))*Flag_Financial_Model</f>
        <v>0</v>
      </c>
      <c r="AY332" s="49">
        <f ca="1" xml:space="preserve"> (SUM(AY289,AY307)-SUM($L320:AY331))*Flag_Financial_Model</f>
        <v>0</v>
      </c>
      <c r="AZ332" s="49">
        <f ca="1" xml:space="preserve"> (SUM(AZ289,AZ307)-SUM($L320:AZ331))*Flag_Financial_Model</f>
        <v>0</v>
      </c>
      <c r="BA332" s="49">
        <f ca="1" xml:space="preserve"> (SUM(BA289,BA307)-SUM($L320:BA331))*Flag_Financial_Model</f>
        <v>0</v>
      </c>
      <c r="BB332" s="49">
        <f ca="1" xml:space="preserve"> (SUM(BB289,BB307)-SUM($L320:BB331))*Flag_Financial_Model</f>
        <v>0</v>
      </c>
      <c r="BC332" s="49">
        <f ca="1" xml:space="preserve"> (SUM(BC289,BC307)-SUM($L320:BC331))*Flag_Financial_Model</f>
        <v>0</v>
      </c>
      <c r="BD332" s="49">
        <f ca="1" xml:space="preserve"> (SUM(BD289,BD307)-SUM($L320:BD331))*Flag_Financial_Model</f>
        <v>0</v>
      </c>
      <c r="BE332" s="49">
        <f ca="1" xml:space="preserve"> (SUM(BE289,BE307)-SUM($L320:BE331))*Flag_Financial_Model</f>
        <v>0</v>
      </c>
      <c r="BF332" s="49">
        <f ca="1" xml:space="preserve"> (SUM(BF289,BF307)-SUM($L320:BF331))*Flag_Financial_Model</f>
        <v>0</v>
      </c>
      <c r="BG332" s="49">
        <f ca="1" xml:space="preserve"> (SUM(BG289,BG307)-SUM($L320:BG331))*Flag_Financial_Model</f>
        <v>0</v>
      </c>
      <c r="BH332" s="49">
        <f ca="1" xml:space="preserve"> (SUM(BH289,BH307)-SUM($L320:BH331))*Flag_Financial_Model</f>
        <v>0</v>
      </c>
      <c r="BI332" s="49">
        <f ca="1" xml:space="preserve"> (SUM(BI289,BI307)-SUM($L320:BI331))*Flag_Financial_Model</f>
        <v>0</v>
      </c>
      <c r="BJ332" s="49">
        <f ca="1" xml:space="preserve"> (SUM(BJ289,BJ307)-SUM($L320:BJ331))*Flag_Financial_Model</f>
        <v>0</v>
      </c>
      <c r="BK332" s="49">
        <f ca="1" xml:space="preserve"> (SUM(BK289,BK307)-SUM($L320:BK331))*Flag_Financial_Model</f>
        <v>0</v>
      </c>
      <c r="BL332" s="49">
        <f ca="1" xml:space="preserve"> (SUM(BL289,BL307)-SUM($L320:BL331))*Flag_Financial_Model</f>
        <v>0</v>
      </c>
      <c r="BM332" s="49">
        <f ca="1" xml:space="preserve"> (SUM(BM289,BM307)-SUM($L320:BM331))*Flag_Financial_Model</f>
        <v>0</v>
      </c>
      <c r="BN332" s="49">
        <f ca="1" xml:space="preserve"> (SUM(BN289,BN307)-SUM($L320:BN331))*Flag_Financial_Model</f>
        <v>0</v>
      </c>
      <c r="BO332" s="49">
        <f ca="1" xml:space="preserve"> (SUM(BO289,BO307)-SUM($L320:BO331))*Flag_Financial_Model</f>
        <v>0</v>
      </c>
      <c r="BP332" s="49">
        <f ca="1" xml:space="preserve"> (SUM(BP289,BP307)-SUM($L320:BP331))*Flag_Financial_Model</f>
        <v>0</v>
      </c>
      <c r="BQ332" s="49">
        <f ca="1" xml:space="preserve"> (SUM(BQ289,BQ307)-SUM($L320:BQ331))*Flag_Financial_Model</f>
        <v>0</v>
      </c>
      <c r="BR332" s="49">
        <f ca="1" xml:space="preserve"> (SUM(BR289,BR307)-SUM($L320:BR331))*Flag_Financial_Model</f>
        <v>0</v>
      </c>
      <c r="BS332" s="49">
        <f ca="1" xml:space="preserve"> (SUM(BS289,BS307)-SUM($L320:BS331))*Flag_Financial_Model</f>
        <v>0</v>
      </c>
      <c r="BT332" s="49">
        <f ca="1" xml:space="preserve"> (SUM(BT289,BT307)-SUM($L320:BT331))*Flag_Financial_Model</f>
        <v>0</v>
      </c>
      <c r="BU332" s="49">
        <f ca="1" xml:space="preserve"> (SUM(BU289,BU307)-SUM($L320:BU331))*Flag_Financial_Model</f>
        <v>0</v>
      </c>
      <c r="BV332" s="49">
        <f ca="1" xml:space="preserve"> (SUM(BV289,BV307)-SUM($L320:BV331))*Flag_Financial_Model</f>
        <v>0</v>
      </c>
      <c r="BW332" s="49">
        <f ca="1" xml:space="preserve"> (SUM(BW289,BW307)-SUM($L320:BW331))*Flag_Financial_Model</f>
        <v>0</v>
      </c>
      <c r="BX332" s="49">
        <f ca="1" xml:space="preserve"> (SUM(BX289,BX307)-SUM($L320:BX331))*Flag_Financial_Model</f>
        <v>0</v>
      </c>
      <c r="BY332" s="49">
        <f ca="1" xml:space="preserve"> (SUM(BY289,BY307)-SUM($L320:BY331))*Flag_Financial_Model</f>
        <v>0</v>
      </c>
      <c r="BZ332" s="49">
        <f ca="1" xml:space="preserve"> (SUM(BZ289,BZ307)-SUM($L320:BZ331))*Flag_Financial_Model</f>
        <v>0</v>
      </c>
      <c r="CA332" s="49">
        <f ca="1" xml:space="preserve"> (SUM(CA289,CA307)-SUM($L320:CA331))*Flag_Financial_Model</f>
        <v>0</v>
      </c>
      <c r="CB332" s="49">
        <f ca="1" xml:space="preserve"> (SUM(CB289,CB307)-SUM($L320:CB331))*Flag_Financial_Model</f>
        <v>0</v>
      </c>
      <c r="CC332" s="49">
        <f ca="1" xml:space="preserve"> (SUM(CC289,CC307)-SUM($L320:CC331))*Flag_Financial_Model</f>
        <v>0</v>
      </c>
      <c r="CD332" s="49">
        <f ca="1" xml:space="preserve"> (SUM(CD289,CD307)-SUM($L320:CD331))*Flag_Financial_Model</f>
        <v>0</v>
      </c>
      <c r="CE332" s="49">
        <f ca="1" xml:space="preserve"> (SUM(CE289,CE307)-SUM($L320:CE331))*Flag_Financial_Model</f>
        <v>0</v>
      </c>
      <c r="CF332" s="49">
        <f ca="1" xml:space="preserve"> (SUM(CF289,CF307)-SUM($L320:CF331))*Flag_Financial_Model</f>
        <v>0</v>
      </c>
      <c r="CG332" s="49">
        <f ca="1" xml:space="preserve"> (SUM(CG289,CG307)-SUM($L320:CG331))*Flag_Financial_Model</f>
        <v>0</v>
      </c>
      <c r="CH332" s="49">
        <f ca="1" xml:space="preserve"> (SUM(CH289,CH307)-SUM($L320:CH331))*Flag_Financial_Model</f>
        <v>0</v>
      </c>
      <c r="CI332" s="49">
        <f ca="1" xml:space="preserve"> (SUM(CI289,CI307)-SUM($L320:CI331))*Flag_Financial_Model</f>
        <v>0</v>
      </c>
      <c r="CJ332" s="49">
        <f ca="1" xml:space="preserve"> (SUM(CJ289,CJ307)-SUM($L320:CJ331))*Flag_Financial_Model</f>
        <v>0</v>
      </c>
      <c r="CK332" s="49">
        <f ca="1" xml:space="preserve"> (SUM(CK289,CK307)-SUM($L320:CK331))*Flag_Financial_Model</f>
        <v>0</v>
      </c>
      <c r="CL332" s="49">
        <f ca="1" xml:space="preserve"> (SUM(CL289,CL307)-SUM($L320:CL331))*Flag_Financial_Model</f>
        <v>0</v>
      </c>
      <c r="CM332" s="49">
        <f ca="1" xml:space="preserve"> (SUM(CM289,CM307)-SUM($L320:CM331))*Flag_Financial_Model</f>
        <v>0</v>
      </c>
      <c r="CN332" s="49">
        <f ca="1" xml:space="preserve"> (SUM(CN289,CN307)-SUM($L320:CN331))*Flag_Financial_Model</f>
        <v>0</v>
      </c>
      <c r="CO332" s="49">
        <f ca="1" xml:space="preserve"> (SUM(CO289,CO307)-SUM($L320:CO331))*Flag_Financial_Model</f>
        <v>0</v>
      </c>
    </row>
    <row r="333" spans="1:93">
      <c r="A333" s="10"/>
      <c r="B333" s="10"/>
      <c r="C333" s="10"/>
      <c r="D333" s="10"/>
      <c r="E333" s="62"/>
      <c r="F333" s="11"/>
      <c r="G333" s="11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  <c r="CG333" s="10"/>
      <c r="CH333" s="10"/>
      <c r="CI333" s="10"/>
      <c r="CJ333" s="10"/>
      <c r="CK333" s="10"/>
      <c r="CL333" s="10"/>
      <c r="CM333" s="10"/>
      <c r="CN333" s="10"/>
      <c r="CO333" s="10"/>
    </row>
    <row r="334" spans="1:93">
      <c r="A334" s="77"/>
      <c r="B334" s="10"/>
      <c r="C334" s="17" t="s">
        <v>204</v>
      </c>
      <c r="D334" s="10"/>
      <c r="E334" s="62"/>
      <c r="F334" s="11"/>
      <c r="G334" s="134" t="str">
        <f>Monetary_Unit</f>
        <v>тыс. руб.</v>
      </c>
      <c r="H334" s="10"/>
      <c r="I334" s="23">
        <f ca="1">SUM(L334:CO334)</f>
        <v>3087285.462287345</v>
      </c>
      <c r="J334" s="10"/>
      <c r="K334" s="10"/>
      <c r="L334" s="10">
        <f ca="1">SUM(L265:L272)</f>
        <v>16859.627844133964</v>
      </c>
      <c r="M334" s="10">
        <f t="shared" ref="M334:BX334" ca="1" si="467">SUM(M265:M272)</f>
        <v>17098.948363166921</v>
      </c>
      <c r="N334" s="10">
        <f t="shared" ca="1" si="467"/>
        <v>17341.666010022611</v>
      </c>
      <c r="O334" s="10">
        <f t="shared" ca="1" si="467"/>
        <v>17587.829006547992</v>
      </c>
      <c r="P334" s="10">
        <f t="shared" ca="1" si="467"/>
        <v>147908.74218730364</v>
      </c>
      <c r="Q334" s="10">
        <f t="shared" ca="1" si="467"/>
        <v>149366.14715622176</v>
      </c>
      <c r="R334" s="10">
        <f t="shared" ca="1" si="467"/>
        <v>150837.91252880514</v>
      </c>
      <c r="S334" s="10">
        <f t="shared" ca="1" si="467"/>
        <v>152324.1798039492</v>
      </c>
      <c r="T334" s="10">
        <f t="shared" ca="1" si="467"/>
        <v>153825.09187479576</v>
      </c>
      <c r="U334" s="10">
        <f t="shared" ca="1" si="467"/>
        <v>155340.79304247064</v>
      </c>
      <c r="V334" s="10">
        <f t="shared" ca="1" si="467"/>
        <v>156871.42902995727</v>
      </c>
      <c r="W334" s="10">
        <f t="shared" ca="1" si="467"/>
        <v>158417.14699610716</v>
      </c>
      <c r="X334" s="10">
        <f t="shared" ca="1" si="467"/>
        <v>306312.90818037908</v>
      </c>
      <c r="Y334" s="10">
        <f t="shared" ca="1" si="467"/>
        <v>309331.13379587734</v>
      </c>
      <c r="Z334" s="10">
        <f t="shared" ca="1" si="467"/>
        <v>312379.09921542148</v>
      </c>
      <c r="AA334" s="10">
        <f t="shared" ca="1" si="467"/>
        <v>315457.0974773916</v>
      </c>
      <c r="AB334" s="10">
        <f t="shared" ca="1" si="467"/>
        <v>550025.70977479313</v>
      </c>
      <c r="AC334" s="10">
        <f t="shared" ca="1" si="467"/>
        <v>0</v>
      </c>
      <c r="AD334" s="10">
        <f t="shared" ca="1" si="467"/>
        <v>0</v>
      </c>
      <c r="AE334" s="10">
        <f t="shared" ca="1" si="467"/>
        <v>0</v>
      </c>
      <c r="AF334" s="10">
        <f t="shared" ca="1" si="467"/>
        <v>0</v>
      </c>
      <c r="AG334" s="10">
        <f t="shared" ca="1" si="467"/>
        <v>0</v>
      </c>
      <c r="AH334" s="10">
        <f t="shared" ca="1" si="467"/>
        <v>0</v>
      </c>
      <c r="AI334" s="10">
        <f t="shared" ca="1" si="467"/>
        <v>0</v>
      </c>
      <c r="AJ334" s="10">
        <f t="shared" ca="1" si="467"/>
        <v>0</v>
      </c>
      <c r="AK334" s="10">
        <f t="shared" ca="1" si="467"/>
        <v>0</v>
      </c>
      <c r="AL334" s="10">
        <f t="shared" ca="1" si="467"/>
        <v>0</v>
      </c>
      <c r="AM334" s="10">
        <f t="shared" ca="1" si="467"/>
        <v>0</v>
      </c>
      <c r="AN334" s="10">
        <f t="shared" ca="1" si="467"/>
        <v>0</v>
      </c>
      <c r="AO334" s="10">
        <f t="shared" ca="1" si="467"/>
        <v>0</v>
      </c>
      <c r="AP334" s="10">
        <f t="shared" ca="1" si="467"/>
        <v>0</v>
      </c>
      <c r="AQ334" s="10">
        <f t="shared" ca="1" si="467"/>
        <v>0</v>
      </c>
      <c r="AR334" s="10">
        <f t="shared" ca="1" si="467"/>
        <v>0</v>
      </c>
      <c r="AS334" s="10">
        <f t="shared" ca="1" si="467"/>
        <v>0</v>
      </c>
      <c r="AT334" s="10">
        <f t="shared" ca="1" si="467"/>
        <v>0</v>
      </c>
      <c r="AU334" s="10">
        <f t="shared" ca="1" si="467"/>
        <v>0</v>
      </c>
      <c r="AV334" s="10">
        <f t="shared" ca="1" si="467"/>
        <v>0</v>
      </c>
      <c r="AW334" s="10">
        <f t="shared" ca="1" si="467"/>
        <v>0</v>
      </c>
      <c r="AX334" s="10">
        <f t="shared" ca="1" si="467"/>
        <v>0</v>
      </c>
      <c r="AY334" s="10">
        <f t="shared" ca="1" si="467"/>
        <v>0</v>
      </c>
      <c r="AZ334" s="10">
        <f t="shared" ca="1" si="467"/>
        <v>0</v>
      </c>
      <c r="BA334" s="10">
        <f t="shared" ca="1" si="467"/>
        <v>0</v>
      </c>
      <c r="BB334" s="10">
        <f t="shared" ca="1" si="467"/>
        <v>0</v>
      </c>
      <c r="BC334" s="10">
        <f t="shared" ca="1" si="467"/>
        <v>0</v>
      </c>
      <c r="BD334" s="10">
        <f t="shared" ca="1" si="467"/>
        <v>0</v>
      </c>
      <c r="BE334" s="10">
        <f t="shared" ca="1" si="467"/>
        <v>0</v>
      </c>
      <c r="BF334" s="10">
        <f t="shared" ca="1" si="467"/>
        <v>0</v>
      </c>
      <c r="BG334" s="10">
        <f t="shared" ca="1" si="467"/>
        <v>0</v>
      </c>
      <c r="BH334" s="10">
        <f t="shared" ca="1" si="467"/>
        <v>0</v>
      </c>
      <c r="BI334" s="10">
        <f t="shared" ca="1" si="467"/>
        <v>0</v>
      </c>
      <c r="BJ334" s="10">
        <f t="shared" ca="1" si="467"/>
        <v>0</v>
      </c>
      <c r="BK334" s="10">
        <f t="shared" ca="1" si="467"/>
        <v>0</v>
      </c>
      <c r="BL334" s="10">
        <f t="shared" ca="1" si="467"/>
        <v>0</v>
      </c>
      <c r="BM334" s="10">
        <f t="shared" ca="1" si="467"/>
        <v>0</v>
      </c>
      <c r="BN334" s="10">
        <f t="shared" ca="1" si="467"/>
        <v>0</v>
      </c>
      <c r="BO334" s="10">
        <f t="shared" ca="1" si="467"/>
        <v>0</v>
      </c>
      <c r="BP334" s="10">
        <f t="shared" ca="1" si="467"/>
        <v>0</v>
      </c>
      <c r="BQ334" s="10">
        <f t="shared" ca="1" si="467"/>
        <v>0</v>
      </c>
      <c r="BR334" s="10">
        <f t="shared" ca="1" si="467"/>
        <v>0</v>
      </c>
      <c r="BS334" s="10">
        <f t="shared" ca="1" si="467"/>
        <v>0</v>
      </c>
      <c r="BT334" s="10">
        <f t="shared" ca="1" si="467"/>
        <v>0</v>
      </c>
      <c r="BU334" s="10">
        <f t="shared" ca="1" si="467"/>
        <v>0</v>
      </c>
      <c r="BV334" s="10">
        <f t="shared" ca="1" si="467"/>
        <v>0</v>
      </c>
      <c r="BW334" s="10">
        <f t="shared" ca="1" si="467"/>
        <v>0</v>
      </c>
      <c r="BX334" s="10">
        <f t="shared" ca="1" si="467"/>
        <v>0</v>
      </c>
      <c r="BY334" s="10">
        <f t="shared" ref="BY334:CO334" ca="1" si="468">SUM(BY265:BY272)</f>
        <v>0</v>
      </c>
      <c r="BZ334" s="10">
        <f t="shared" ca="1" si="468"/>
        <v>0</v>
      </c>
      <c r="CA334" s="10">
        <f t="shared" ca="1" si="468"/>
        <v>0</v>
      </c>
      <c r="CB334" s="10">
        <f t="shared" ca="1" si="468"/>
        <v>0</v>
      </c>
      <c r="CC334" s="10">
        <f t="shared" ca="1" si="468"/>
        <v>0</v>
      </c>
      <c r="CD334" s="10">
        <f t="shared" ca="1" si="468"/>
        <v>0</v>
      </c>
      <c r="CE334" s="10">
        <f t="shared" ca="1" si="468"/>
        <v>0</v>
      </c>
      <c r="CF334" s="10">
        <f t="shared" ca="1" si="468"/>
        <v>0</v>
      </c>
      <c r="CG334" s="10">
        <f t="shared" ca="1" si="468"/>
        <v>0</v>
      </c>
      <c r="CH334" s="10">
        <f t="shared" ca="1" si="468"/>
        <v>0</v>
      </c>
      <c r="CI334" s="10">
        <f t="shared" ca="1" si="468"/>
        <v>0</v>
      </c>
      <c r="CJ334" s="10">
        <f t="shared" ca="1" si="468"/>
        <v>0</v>
      </c>
      <c r="CK334" s="10">
        <f t="shared" ca="1" si="468"/>
        <v>0</v>
      </c>
      <c r="CL334" s="10">
        <f t="shared" ca="1" si="468"/>
        <v>0</v>
      </c>
      <c r="CM334" s="10">
        <f t="shared" ca="1" si="468"/>
        <v>0</v>
      </c>
      <c r="CN334" s="10">
        <f t="shared" ca="1" si="468"/>
        <v>0</v>
      </c>
      <c r="CO334" s="10">
        <f t="shared" ca="1" si="468"/>
        <v>0</v>
      </c>
    </row>
    <row r="335" spans="1:93">
      <c r="A335" s="77"/>
      <c r="B335" s="10"/>
      <c r="C335" s="17" t="s">
        <v>1196</v>
      </c>
      <c r="D335" s="10"/>
      <c r="E335" s="62"/>
      <c r="F335" s="11"/>
      <c r="G335" s="134" t="str">
        <f>Monetary_Unit</f>
        <v>тыс. руб.</v>
      </c>
      <c r="H335" s="10"/>
      <c r="I335" s="23">
        <f>SUM(L335:CO335)</f>
        <v>0</v>
      </c>
      <c r="J335" s="10"/>
      <c r="K335" s="10"/>
      <c r="L335" s="10">
        <f>L274</f>
        <v>0</v>
      </c>
      <c r="M335" s="10">
        <f t="shared" ref="M335:BX335" si="469">M274</f>
        <v>0</v>
      </c>
      <c r="N335" s="10">
        <f t="shared" si="469"/>
        <v>0</v>
      </c>
      <c r="O335" s="10">
        <f t="shared" si="469"/>
        <v>0</v>
      </c>
      <c r="P335" s="10">
        <f t="shared" si="469"/>
        <v>0</v>
      </c>
      <c r="Q335" s="10">
        <f t="shared" si="469"/>
        <v>0</v>
      </c>
      <c r="R335" s="10">
        <f t="shared" si="469"/>
        <v>0</v>
      </c>
      <c r="S335" s="10">
        <f t="shared" si="469"/>
        <v>0</v>
      </c>
      <c r="T335" s="10">
        <f t="shared" si="469"/>
        <v>0</v>
      </c>
      <c r="U335" s="10">
        <f t="shared" si="469"/>
        <v>0</v>
      </c>
      <c r="V335" s="10">
        <f t="shared" si="469"/>
        <v>0</v>
      </c>
      <c r="W335" s="10">
        <f t="shared" si="469"/>
        <v>0</v>
      </c>
      <c r="X335" s="10">
        <f t="shared" si="469"/>
        <v>0</v>
      </c>
      <c r="Y335" s="10">
        <f t="shared" si="469"/>
        <v>0</v>
      </c>
      <c r="Z335" s="10">
        <f t="shared" si="469"/>
        <v>0</v>
      </c>
      <c r="AA335" s="10">
        <f t="shared" si="469"/>
        <v>0</v>
      </c>
      <c r="AB335" s="10">
        <f t="shared" si="469"/>
        <v>0</v>
      </c>
      <c r="AC335" s="10">
        <f t="shared" si="469"/>
        <v>0</v>
      </c>
      <c r="AD335" s="10">
        <f t="shared" si="469"/>
        <v>0</v>
      </c>
      <c r="AE335" s="10">
        <f t="shared" si="469"/>
        <v>0</v>
      </c>
      <c r="AF335" s="10">
        <f t="shared" si="469"/>
        <v>0</v>
      </c>
      <c r="AG335" s="10">
        <f t="shared" si="469"/>
        <v>0</v>
      </c>
      <c r="AH335" s="10">
        <f t="shared" si="469"/>
        <v>0</v>
      </c>
      <c r="AI335" s="10">
        <f t="shared" si="469"/>
        <v>0</v>
      </c>
      <c r="AJ335" s="10">
        <f t="shared" si="469"/>
        <v>0</v>
      </c>
      <c r="AK335" s="10">
        <f t="shared" si="469"/>
        <v>0</v>
      </c>
      <c r="AL335" s="10">
        <f t="shared" si="469"/>
        <v>0</v>
      </c>
      <c r="AM335" s="10">
        <f t="shared" si="469"/>
        <v>0</v>
      </c>
      <c r="AN335" s="10">
        <f t="shared" si="469"/>
        <v>0</v>
      </c>
      <c r="AO335" s="10">
        <f t="shared" si="469"/>
        <v>0</v>
      </c>
      <c r="AP335" s="10">
        <f t="shared" si="469"/>
        <v>0</v>
      </c>
      <c r="AQ335" s="10">
        <f t="shared" si="469"/>
        <v>0</v>
      </c>
      <c r="AR335" s="10">
        <f t="shared" si="469"/>
        <v>0</v>
      </c>
      <c r="AS335" s="10">
        <f t="shared" si="469"/>
        <v>0</v>
      </c>
      <c r="AT335" s="10">
        <f t="shared" si="469"/>
        <v>0</v>
      </c>
      <c r="AU335" s="10">
        <f t="shared" si="469"/>
        <v>0</v>
      </c>
      <c r="AV335" s="10">
        <f t="shared" si="469"/>
        <v>0</v>
      </c>
      <c r="AW335" s="10">
        <f t="shared" si="469"/>
        <v>0</v>
      </c>
      <c r="AX335" s="10">
        <f t="shared" si="469"/>
        <v>0</v>
      </c>
      <c r="AY335" s="10">
        <f t="shared" si="469"/>
        <v>0</v>
      </c>
      <c r="AZ335" s="10">
        <f t="shared" si="469"/>
        <v>0</v>
      </c>
      <c r="BA335" s="10">
        <f t="shared" si="469"/>
        <v>0</v>
      </c>
      <c r="BB335" s="10">
        <f t="shared" si="469"/>
        <v>0</v>
      </c>
      <c r="BC335" s="10">
        <f t="shared" si="469"/>
        <v>0</v>
      </c>
      <c r="BD335" s="10">
        <f t="shared" si="469"/>
        <v>0</v>
      </c>
      <c r="BE335" s="10">
        <f t="shared" si="469"/>
        <v>0</v>
      </c>
      <c r="BF335" s="10">
        <f t="shared" si="469"/>
        <v>0</v>
      </c>
      <c r="BG335" s="10">
        <f t="shared" si="469"/>
        <v>0</v>
      </c>
      <c r="BH335" s="10">
        <f t="shared" si="469"/>
        <v>0</v>
      </c>
      <c r="BI335" s="10">
        <f t="shared" si="469"/>
        <v>0</v>
      </c>
      <c r="BJ335" s="10">
        <f t="shared" si="469"/>
        <v>0</v>
      </c>
      <c r="BK335" s="10">
        <f t="shared" si="469"/>
        <v>0</v>
      </c>
      <c r="BL335" s="10">
        <f t="shared" si="469"/>
        <v>0</v>
      </c>
      <c r="BM335" s="10">
        <f t="shared" si="469"/>
        <v>0</v>
      </c>
      <c r="BN335" s="10">
        <f t="shared" si="469"/>
        <v>0</v>
      </c>
      <c r="BO335" s="10">
        <f t="shared" si="469"/>
        <v>0</v>
      </c>
      <c r="BP335" s="10">
        <f t="shared" si="469"/>
        <v>0</v>
      </c>
      <c r="BQ335" s="10">
        <f t="shared" si="469"/>
        <v>0</v>
      </c>
      <c r="BR335" s="10">
        <f t="shared" si="469"/>
        <v>0</v>
      </c>
      <c r="BS335" s="10">
        <f t="shared" si="469"/>
        <v>0</v>
      </c>
      <c r="BT335" s="10">
        <f t="shared" si="469"/>
        <v>0</v>
      </c>
      <c r="BU335" s="10">
        <f t="shared" si="469"/>
        <v>0</v>
      </c>
      <c r="BV335" s="10">
        <f t="shared" si="469"/>
        <v>0</v>
      </c>
      <c r="BW335" s="10">
        <f t="shared" si="469"/>
        <v>0</v>
      </c>
      <c r="BX335" s="10">
        <f t="shared" si="469"/>
        <v>0</v>
      </c>
      <c r="BY335" s="10">
        <f t="shared" ref="BY335:CO335" si="470">BY274</f>
        <v>0</v>
      </c>
      <c r="BZ335" s="10">
        <f t="shared" si="470"/>
        <v>0</v>
      </c>
      <c r="CA335" s="10">
        <f t="shared" si="470"/>
        <v>0</v>
      </c>
      <c r="CB335" s="10">
        <f t="shared" si="470"/>
        <v>0</v>
      </c>
      <c r="CC335" s="10">
        <f t="shared" si="470"/>
        <v>0</v>
      </c>
      <c r="CD335" s="10">
        <f t="shared" si="470"/>
        <v>0</v>
      </c>
      <c r="CE335" s="10">
        <f t="shared" si="470"/>
        <v>0</v>
      </c>
      <c r="CF335" s="10">
        <f t="shared" si="470"/>
        <v>0</v>
      </c>
      <c r="CG335" s="10">
        <f t="shared" si="470"/>
        <v>0</v>
      </c>
      <c r="CH335" s="10">
        <f t="shared" si="470"/>
        <v>0</v>
      </c>
      <c r="CI335" s="10">
        <f t="shared" si="470"/>
        <v>0</v>
      </c>
      <c r="CJ335" s="10">
        <f t="shared" si="470"/>
        <v>0</v>
      </c>
      <c r="CK335" s="10">
        <f t="shared" si="470"/>
        <v>0</v>
      </c>
      <c r="CL335" s="10">
        <f t="shared" si="470"/>
        <v>0</v>
      </c>
      <c r="CM335" s="10">
        <f t="shared" si="470"/>
        <v>0</v>
      </c>
      <c r="CN335" s="10">
        <f t="shared" si="470"/>
        <v>0</v>
      </c>
      <c r="CO335" s="10">
        <f t="shared" si="470"/>
        <v>0</v>
      </c>
    </row>
    <row r="336" spans="1:93">
      <c r="A336" s="10"/>
      <c r="B336" s="10"/>
      <c r="C336" s="10"/>
      <c r="D336" s="10"/>
      <c r="E336" s="62"/>
      <c r="F336" s="11"/>
      <c r="G336" s="11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  <c r="CG336" s="10"/>
      <c r="CH336" s="10"/>
      <c r="CI336" s="10"/>
      <c r="CJ336" s="10"/>
      <c r="CK336" s="10"/>
      <c r="CL336" s="10"/>
      <c r="CM336" s="10"/>
      <c r="CN336" s="10"/>
      <c r="CO336" s="10"/>
    </row>
    <row r="337" spans="1:93" ht="22.5" customHeight="1">
      <c r="A337" s="10" t="s">
        <v>113</v>
      </c>
      <c r="B337" s="5" t="s">
        <v>310</v>
      </c>
      <c r="C337" s="5"/>
      <c r="D337" s="15"/>
      <c r="E337" s="15"/>
      <c r="F337" s="31"/>
      <c r="G337" s="18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  <c r="CJ337" s="31"/>
      <c r="CK337" s="31"/>
      <c r="CL337" s="31"/>
      <c r="CM337" s="31"/>
      <c r="CN337" s="31"/>
      <c r="CO337" s="31"/>
    </row>
    <row r="338" spans="1:93">
      <c r="A338" s="10"/>
      <c r="B338" s="10"/>
      <c r="C338" s="10"/>
      <c r="D338" s="10"/>
      <c r="E338" s="62"/>
      <c r="F338" s="11"/>
      <c r="G338" s="11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  <c r="CG338" s="10"/>
      <c r="CH338" s="10"/>
      <c r="CI338" s="10"/>
      <c r="CJ338" s="10"/>
      <c r="CK338" s="10"/>
      <c r="CL338" s="10"/>
      <c r="CM338" s="10"/>
      <c r="CN338" s="10"/>
      <c r="CO338" s="10"/>
    </row>
    <row r="339" spans="1:93" ht="16.5" thickBot="1">
      <c r="A339" s="10"/>
      <c r="B339" s="10"/>
      <c r="C339" s="12" t="s">
        <v>1065</v>
      </c>
      <c r="D339" s="10"/>
      <c r="E339" s="62"/>
      <c r="F339" s="11"/>
      <c r="G339" s="11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</row>
    <row r="340" spans="1:93">
      <c r="A340" s="10"/>
      <c r="B340" s="10"/>
      <c r="C340" s="10"/>
      <c r="D340" s="10"/>
      <c r="E340" s="62"/>
      <c r="F340" s="11"/>
      <c r="G340" s="11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  <c r="CG340" s="10"/>
      <c r="CH340" s="10"/>
      <c r="CI340" s="10"/>
      <c r="CJ340" s="10"/>
      <c r="CK340" s="10"/>
      <c r="CL340" s="10"/>
      <c r="CM340" s="10"/>
      <c r="CN340" s="10"/>
      <c r="CO340" s="10"/>
    </row>
    <row r="341" spans="1:93">
      <c r="A341" s="10"/>
      <c r="B341" s="10"/>
      <c r="C341" s="17" t="s">
        <v>841</v>
      </c>
      <c r="D341" s="10"/>
      <c r="E341" s="65">
        <f ca="1" xml:space="preserve"> SUM(L320:CO322,L326:CO326)</f>
        <v>27774.797642991573</v>
      </c>
      <c r="F341" s="11"/>
      <c r="G341" s="134" t="str">
        <f>Monetary_Unit</f>
        <v>тыс. руб.</v>
      </c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  <c r="CG341" s="10"/>
      <c r="CH341" s="10"/>
      <c r="CI341" s="10"/>
      <c r="CJ341" s="10"/>
      <c r="CK341" s="10"/>
      <c r="CL341" s="10"/>
      <c r="CM341" s="10"/>
      <c r="CN341" s="10"/>
      <c r="CO341" s="10"/>
    </row>
    <row r="342" spans="1:93">
      <c r="A342" s="10"/>
      <c r="B342" s="10"/>
      <c r="C342" s="17" t="s">
        <v>581</v>
      </c>
      <c r="D342" s="10"/>
      <c r="E342" s="65">
        <f ca="1" xml:space="preserve"> SUM(L323:CO323,L324:CO324,L327:CO327)</f>
        <v>2465463.0653563468</v>
      </c>
      <c r="F342" s="11"/>
      <c r="G342" s="134" t="str">
        <f>Monetary_Unit</f>
        <v>тыс. руб.</v>
      </c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  <c r="CG342" s="10"/>
      <c r="CH342" s="10"/>
      <c r="CI342" s="10"/>
      <c r="CJ342" s="10"/>
      <c r="CK342" s="10"/>
      <c r="CL342" s="10"/>
      <c r="CM342" s="10"/>
      <c r="CN342" s="10"/>
      <c r="CO342" s="10"/>
    </row>
    <row r="343" spans="1:93">
      <c r="A343" s="10"/>
      <c r="B343" s="10"/>
      <c r="C343" s="17" t="s">
        <v>633</v>
      </c>
      <c r="D343" s="10"/>
      <c r="E343" s="65">
        <f ca="1" xml:space="preserve"> SUM(L325:CO325)</f>
        <v>594047.59928800585</v>
      </c>
      <c r="F343" s="11"/>
      <c r="G343" s="134" t="str">
        <f>Monetary_Unit</f>
        <v>тыс. руб.</v>
      </c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  <c r="CG343" s="10"/>
      <c r="CH343" s="10"/>
      <c r="CI343" s="10"/>
      <c r="CJ343" s="10"/>
      <c r="CK343" s="10"/>
      <c r="CL343" s="10"/>
      <c r="CM343" s="10"/>
      <c r="CN343" s="10"/>
      <c r="CO343" s="10"/>
    </row>
    <row r="344" spans="1:93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</row>
    <row r="345" spans="1:93">
      <c r="A345" s="10"/>
      <c r="B345" s="10"/>
      <c r="C345" s="17" t="s">
        <v>841</v>
      </c>
      <c r="D345" s="10"/>
      <c r="E345" s="186">
        <f ca="1" xml:space="preserve"> E341 / SUM(E$341:E$343)</f>
        <v>8.9965110069262777E-3</v>
      </c>
      <c r="F345" s="11"/>
      <c r="G345" s="134" t="s">
        <v>28</v>
      </c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  <c r="CG345" s="10"/>
      <c r="CH345" s="10"/>
      <c r="CI345" s="10"/>
      <c r="CJ345" s="10"/>
      <c r="CK345" s="10"/>
      <c r="CL345" s="10"/>
      <c r="CM345" s="10"/>
      <c r="CN345" s="10"/>
      <c r="CO345" s="10"/>
    </row>
    <row r="346" spans="1:93">
      <c r="A346" s="10"/>
      <c r="B346" s="10"/>
      <c r="C346" s="17" t="s">
        <v>581</v>
      </c>
      <c r="D346" s="10"/>
      <c r="E346" s="186">
        <f ca="1" xml:space="preserve"> E342 / SUM(E$341:E$343)</f>
        <v>0.79858603795248195</v>
      </c>
      <c r="F346" s="11"/>
      <c r="G346" s="134" t="s">
        <v>28</v>
      </c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  <c r="CG346" s="10"/>
      <c r="CH346" s="10"/>
      <c r="CI346" s="10"/>
      <c r="CJ346" s="10"/>
      <c r="CK346" s="10"/>
      <c r="CL346" s="10"/>
      <c r="CM346" s="10"/>
      <c r="CN346" s="10"/>
      <c r="CO346" s="10"/>
    </row>
    <row r="347" spans="1:93">
      <c r="A347" s="10"/>
      <c r="B347" s="10"/>
      <c r="C347" s="17" t="s">
        <v>633</v>
      </c>
      <c r="D347" s="10"/>
      <c r="E347" s="186">
        <f ca="1" xml:space="preserve"> E343 / SUM(E$341:E$343)</f>
        <v>0.1924174510405918</v>
      </c>
      <c r="F347" s="11"/>
      <c r="G347" s="134" t="s">
        <v>28</v>
      </c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  <c r="CG347" s="10"/>
      <c r="CH347" s="10"/>
      <c r="CI347" s="10"/>
      <c r="CJ347" s="10"/>
      <c r="CK347" s="10"/>
      <c r="CL347" s="10"/>
      <c r="CM347" s="10"/>
      <c r="CN347" s="10"/>
      <c r="CO347" s="10"/>
    </row>
    <row r="348" spans="1:93">
      <c r="A348" s="10"/>
      <c r="B348" s="10"/>
      <c r="C348" s="10"/>
      <c r="D348" s="10"/>
      <c r="E348" s="62"/>
      <c r="F348" s="11"/>
      <c r="G348" s="11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  <c r="CG348" s="10"/>
      <c r="CH348" s="10"/>
      <c r="CI348" s="10"/>
      <c r="CJ348" s="10"/>
      <c r="CK348" s="10"/>
      <c r="CL348" s="10"/>
      <c r="CM348" s="10"/>
      <c r="CN348" s="10"/>
      <c r="CO348" s="10"/>
    </row>
    <row r="349" spans="1:93" ht="16.5" thickBot="1">
      <c r="A349" s="10"/>
      <c r="B349" s="10"/>
      <c r="C349" s="12" t="s">
        <v>317</v>
      </c>
      <c r="D349" s="12"/>
      <c r="E349" s="12"/>
      <c r="F349" s="12"/>
      <c r="G349" s="360"/>
      <c r="H349" s="12"/>
      <c r="I349" s="12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</row>
    <row r="350" spans="1:93">
      <c r="A350" s="10"/>
      <c r="B350" s="10"/>
      <c r="C350" s="21"/>
      <c r="D350" s="10"/>
      <c r="E350" s="62"/>
      <c r="F350" s="11"/>
      <c r="G350" s="11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  <c r="CG350" s="10"/>
      <c r="CH350" s="10"/>
      <c r="CI350" s="10"/>
      <c r="CJ350" s="10"/>
      <c r="CK350" s="10"/>
      <c r="CL350" s="10"/>
      <c r="CM350" s="10"/>
      <c r="CN350" s="10"/>
      <c r="CO350" s="10"/>
    </row>
    <row r="351" spans="1:93">
      <c r="A351" s="10"/>
      <c r="B351" s="10"/>
      <c r="C351" s="87" t="s">
        <v>841</v>
      </c>
      <c r="D351" s="10"/>
      <c r="E351" s="62"/>
      <c r="F351" s="11"/>
      <c r="G351" s="11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  <c r="CG351" s="10"/>
      <c r="CH351" s="10"/>
      <c r="CI351" s="10"/>
      <c r="CJ351" s="10"/>
      <c r="CK351" s="10"/>
      <c r="CL351" s="10"/>
      <c r="CM351" s="10"/>
      <c r="CN351" s="10"/>
      <c r="CO351" s="10"/>
    </row>
    <row r="352" spans="1:93">
      <c r="A352" s="10"/>
      <c r="B352" s="10"/>
      <c r="C352" s="17" t="s">
        <v>386</v>
      </c>
      <c r="D352" s="10"/>
      <c r="E352" s="184">
        <f xml:space="preserve"> Предпосылки!E365</f>
        <v>30</v>
      </c>
      <c r="F352" s="11"/>
      <c r="G352" s="11" t="s">
        <v>123</v>
      </c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  <c r="CG352" s="10"/>
      <c r="CH352" s="10"/>
      <c r="CI352" s="10"/>
      <c r="CJ352" s="10"/>
      <c r="CK352" s="10"/>
      <c r="CL352" s="10"/>
      <c r="CM352" s="10"/>
      <c r="CN352" s="10"/>
      <c r="CO352" s="10"/>
    </row>
    <row r="353" spans="1:93">
      <c r="A353" s="10"/>
      <c r="B353" s="10"/>
      <c r="C353" s="17" t="s">
        <v>387</v>
      </c>
      <c r="D353" s="10"/>
      <c r="F353" s="11"/>
      <c r="G353" s="11" t="s">
        <v>28</v>
      </c>
      <c r="H353" s="10"/>
      <c r="I353" s="10"/>
      <c r="J353" s="10"/>
      <c r="K353" s="10"/>
      <c r="L353" s="157">
        <f t="shared" ref="L353:Q353" si="471">IF($E352&lt;&gt;0,1/$E352,0)/Periods_in_Year</f>
        <v>8.3333333333333332E-3</v>
      </c>
      <c r="M353" s="157">
        <f t="shared" si="471"/>
        <v>8.3333333333333332E-3</v>
      </c>
      <c r="N353" s="157">
        <f t="shared" si="471"/>
        <v>8.3333333333333332E-3</v>
      </c>
      <c r="O353" s="157">
        <f t="shared" si="471"/>
        <v>8.3333333333333332E-3</v>
      </c>
      <c r="P353" s="157">
        <f t="shared" si="471"/>
        <v>8.3333333333333332E-3</v>
      </c>
      <c r="Q353" s="157">
        <f t="shared" si="471"/>
        <v>8.3333333333333332E-3</v>
      </c>
      <c r="R353" s="157">
        <f>IF($E352&lt;&gt;0,1/$E352,0)/Periods_in_Year</f>
        <v>8.3333333333333332E-3</v>
      </c>
      <c r="S353" s="157">
        <f t="shared" ref="S353:CD353" si="472">IF($E352&lt;&gt;0,1/$E352,0)/Periods_in_Year</f>
        <v>8.3333333333333332E-3</v>
      </c>
      <c r="T353" s="157">
        <f t="shared" si="472"/>
        <v>8.3333333333333332E-3</v>
      </c>
      <c r="U353" s="157">
        <f t="shared" si="472"/>
        <v>8.3333333333333332E-3</v>
      </c>
      <c r="V353" s="157">
        <f t="shared" si="472"/>
        <v>8.3333333333333332E-3</v>
      </c>
      <c r="W353" s="157">
        <f t="shared" si="472"/>
        <v>8.3333333333333332E-3</v>
      </c>
      <c r="X353" s="157">
        <f t="shared" si="472"/>
        <v>8.3333333333333332E-3</v>
      </c>
      <c r="Y353" s="157">
        <f t="shared" si="472"/>
        <v>8.3333333333333332E-3</v>
      </c>
      <c r="Z353" s="157">
        <f t="shared" si="472"/>
        <v>8.3333333333333332E-3</v>
      </c>
      <c r="AA353" s="157">
        <f t="shared" si="472"/>
        <v>8.3333333333333332E-3</v>
      </c>
      <c r="AB353" s="157">
        <f t="shared" si="472"/>
        <v>8.3333333333333332E-3</v>
      </c>
      <c r="AC353" s="157">
        <f t="shared" si="472"/>
        <v>8.3333333333333332E-3</v>
      </c>
      <c r="AD353" s="157">
        <f t="shared" si="472"/>
        <v>8.3333333333333332E-3</v>
      </c>
      <c r="AE353" s="157">
        <f t="shared" si="472"/>
        <v>8.3333333333333332E-3</v>
      </c>
      <c r="AF353" s="157">
        <f t="shared" si="472"/>
        <v>8.3333333333333332E-3</v>
      </c>
      <c r="AG353" s="157">
        <f t="shared" si="472"/>
        <v>8.3333333333333332E-3</v>
      </c>
      <c r="AH353" s="157">
        <f t="shared" si="472"/>
        <v>8.3333333333333332E-3</v>
      </c>
      <c r="AI353" s="157">
        <f t="shared" si="472"/>
        <v>8.3333333333333332E-3</v>
      </c>
      <c r="AJ353" s="157">
        <f t="shared" si="472"/>
        <v>8.3333333333333332E-3</v>
      </c>
      <c r="AK353" s="157">
        <f t="shared" si="472"/>
        <v>8.3333333333333332E-3</v>
      </c>
      <c r="AL353" s="157">
        <f t="shared" si="472"/>
        <v>8.3333333333333332E-3</v>
      </c>
      <c r="AM353" s="157">
        <f t="shared" si="472"/>
        <v>8.3333333333333332E-3</v>
      </c>
      <c r="AN353" s="157">
        <f t="shared" si="472"/>
        <v>8.3333333333333332E-3</v>
      </c>
      <c r="AO353" s="157">
        <f t="shared" si="472"/>
        <v>8.3333333333333332E-3</v>
      </c>
      <c r="AP353" s="157">
        <f t="shared" si="472"/>
        <v>8.3333333333333332E-3</v>
      </c>
      <c r="AQ353" s="157">
        <f t="shared" si="472"/>
        <v>8.3333333333333332E-3</v>
      </c>
      <c r="AR353" s="157">
        <f t="shared" si="472"/>
        <v>8.3333333333333332E-3</v>
      </c>
      <c r="AS353" s="157">
        <f t="shared" si="472"/>
        <v>8.3333333333333332E-3</v>
      </c>
      <c r="AT353" s="157">
        <f t="shared" si="472"/>
        <v>8.3333333333333332E-3</v>
      </c>
      <c r="AU353" s="157">
        <f t="shared" si="472"/>
        <v>8.3333333333333332E-3</v>
      </c>
      <c r="AV353" s="157">
        <f t="shared" si="472"/>
        <v>8.3333333333333332E-3</v>
      </c>
      <c r="AW353" s="157">
        <f t="shared" si="472"/>
        <v>8.3333333333333332E-3</v>
      </c>
      <c r="AX353" s="157">
        <f t="shared" si="472"/>
        <v>8.3333333333333332E-3</v>
      </c>
      <c r="AY353" s="157">
        <f t="shared" si="472"/>
        <v>8.3333333333333332E-3</v>
      </c>
      <c r="AZ353" s="157">
        <f t="shared" si="472"/>
        <v>8.3333333333333332E-3</v>
      </c>
      <c r="BA353" s="157">
        <f t="shared" si="472"/>
        <v>8.3333333333333332E-3</v>
      </c>
      <c r="BB353" s="157">
        <f t="shared" si="472"/>
        <v>8.3333333333333332E-3</v>
      </c>
      <c r="BC353" s="157">
        <f t="shared" si="472"/>
        <v>8.3333333333333332E-3</v>
      </c>
      <c r="BD353" s="157">
        <f t="shared" si="472"/>
        <v>8.3333333333333332E-3</v>
      </c>
      <c r="BE353" s="157">
        <f t="shared" si="472"/>
        <v>8.3333333333333332E-3</v>
      </c>
      <c r="BF353" s="157">
        <f t="shared" si="472"/>
        <v>8.3333333333333332E-3</v>
      </c>
      <c r="BG353" s="157">
        <f t="shared" si="472"/>
        <v>8.3333333333333332E-3</v>
      </c>
      <c r="BH353" s="157">
        <f t="shared" si="472"/>
        <v>8.3333333333333332E-3</v>
      </c>
      <c r="BI353" s="157">
        <f t="shared" si="472"/>
        <v>8.3333333333333332E-3</v>
      </c>
      <c r="BJ353" s="157">
        <f t="shared" si="472"/>
        <v>8.3333333333333332E-3</v>
      </c>
      <c r="BK353" s="157">
        <f t="shared" si="472"/>
        <v>8.3333333333333332E-3</v>
      </c>
      <c r="BL353" s="157">
        <f t="shared" si="472"/>
        <v>8.3333333333333332E-3</v>
      </c>
      <c r="BM353" s="157">
        <f t="shared" si="472"/>
        <v>8.3333333333333332E-3</v>
      </c>
      <c r="BN353" s="157">
        <f t="shared" si="472"/>
        <v>8.3333333333333332E-3</v>
      </c>
      <c r="BO353" s="157">
        <f t="shared" si="472"/>
        <v>8.3333333333333332E-3</v>
      </c>
      <c r="BP353" s="157">
        <f t="shared" si="472"/>
        <v>8.3333333333333332E-3</v>
      </c>
      <c r="BQ353" s="157">
        <f t="shared" si="472"/>
        <v>8.3333333333333332E-3</v>
      </c>
      <c r="BR353" s="157">
        <f t="shared" si="472"/>
        <v>8.3333333333333332E-3</v>
      </c>
      <c r="BS353" s="157">
        <f t="shared" si="472"/>
        <v>8.3333333333333332E-3</v>
      </c>
      <c r="BT353" s="157">
        <f t="shared" si="472"/>
        <v>8.3333333333333332E-3</v>
      </c>
      <c r="BU353" s="157">
        <f t="shared" si="472"/>
        <v>8.3333333333333332E-3</v>
      </c>
      <c r="BV353" s="157">
        <f t="shared" si="472"/>
        <v>8.3333333333333332E-3</v>
      </c>
      <c r="BW353" s="157">
        <f t="shared" si="472"/>
        <v>8.3333333333333332E-3</v>
      </c>
      <c r="BX353" s="157">
        <f t="shared" si="472"/>
        <v>8.3333333333333332E-3</v>
      </c>
      <c r="BY353" s="157">
        <f t="shared" si="472"/>
        <v>8.3333333333333332E-3</v>
      </c>
      <c r="BZ353" s="157">
        <f t="shared" si="472"/>
        <v>8.3333333333333332E-3</v>
      </c>
      <c r="CA353" s="157">
        <f t="shared" si="472"/>
        <v>8.3333333333333332E-3</v>
      </c>
      <c r="CB353" s="157">
        <f t="shared" si="472"/>
        <v>8.3333333333333332E-3</v>
      </c>
      <c r="CC353" s="157">
        <f t="shared" si="472"/>
        <v>8.3333333333333332E-3</v>
      </c>
      <c r="CD353" s="157">
        <f t="shared" si="472"/>
        <v>8.3333333333333332E-3</v>
      </c>
      <c r="CE353" s="157">
        <f t="shared" ref="CE353:CO353" si="473">IF($E352&lt;&gt;0,1/$E352,0)/Periods_in_Year</f>
        <v>8.3333333333333332E-3</v>
      </c>
      <c r="CF353" s="157">
        <f t="shared" si="473"/>
        <v>8.3333333333333332E-3</v>
      </c>
      <c r="CG353" s="157">
        <f t="shared" si="473"/>
        <v>8.3333333333333332E-3</v>
      </c>
      <c r="CH353" s="157">
        <f t="shared" si="473"/>
        <v>8.3333333333333332E-3</v>
      </c>
      <c r="CI353" s="157">
        <f t="shared" si="473"/>
        <v>8.3333333333333332E-3</v>
      </c>
      <c r="CJ353" s="157">
        <f t="shared" si="473"/>
        <v>8.3333333333333332E-3</v>
      </c>
      <c r="CK353" s="157">
        <f t="shared" si="473"/>
        <v>8.3333333333333332E-3</v>
      </c>
      <c r="CL353" s="157">
        <f t="shared" si="473"/>
        <v>8.3333333333333332E-3</v>
      </c>
      <c r="CM353" s="157">
        <f t="shared" si="473"/>
        <v>8.3333333333333332E-3</v>
      </c>
      <c r="CN353" s="157">
        <f t="shared" si="473"/>
        <v>8.3333333333333332E-3</v>
      </c>
      <c r="CO353" s="157">
        <f t="shared" si="473"/>
        <v>8.3333333333333332E-3</v>
      </c>
    </row>
    <row r="354" spans="1:93">
      <c r="A354" s="10"/>
      <c r="B354" s="10"/>
      <c r="C354" s="17" t="s">
        <v>125</v>
      </c>
      <c r="D354" s="10"/>
      <c r="E354" s="62"/>
      <c r="F354" s="11"/>
      <c r="G354" s="134" t="str">
        <f t="shared" ref="G354:G359" si="474">Monetary_Unit</f>
        <v>тыс. руб.</v>
      </c>
      <c r="H354" s="10"/>
      <c r="I354" s="10"/>
      <c r="J354" s="10"/>
      <c r="K354" s="10"/>
      <c r="L354" s="10">
        <f t="shared" ref="L354:AQ354" si="475">K359</f>
        <v>0</v>
      </c>
      <c r="M354" s="10">
        <f t="shared" ca="1" si="475"/>
        <v>0</v>
      </c>
      <c r="N354" s="10">
        <f t="shared" ca="1" si="475"/>
        <v>0</v>
      </c>
      <c r="O354" s="10">
        <f t="shared" ca="1" si="475"/>
        <v>0</v>
      </c>
      <c r="P354" s="10">
        <f t="shared" ca="1" si="475"/>
        <v>0</v>
      </c>
      <c r="Q354" s="10">
        <f t="shared" ca="1" si="475"/>
        <v>0</v>
      </c>
      <c r="R354" s="10">
        <f t="shared" ca="1" si="475"/>
        <v>0</v>
      </c>
      <c r="S354" s="10">
        <f t="shared" ca="1" si="475"/>
        <v>0</v>
      </c>
      <c r="T354" s="10">
        <f t="shared" ca="1" si="475"/>
        <v>0</v>
      </c>
      <c r="U354" s="10">
        <f t="shared" ca="1" si="475"/>
        <v>0</v>
      </c>
      <c r="V354" s="10">
        <f t="shared" ca="1" si="475"/>
        <v>0</v>
      </c>
      <c r="W354" s="10">
        <f t="shared" ca="1" si="475"/>
        <v>0</v>
      </c>
      <c r="X354" s="10">
        <f t="shared" ca="1" si="475"/>
        <v>0</v>
      </c>
      <c r="Y354" s="10">
        <f t="shared" ca="1" si="475"/>
        <v>0</v>
      </c>
      <c r="Z354" s="10">
        <f t="shared" ca="1" si="475"/>
        <v>0</v>
      </c>
      <c r="AA354" s="10">
        <f t="shared" ca="1" si="475"/>
        <v>0</v>
      </c>
      <c r="AB354" s="10">
        <f t="shared" ca="1" si="475"/>
        <v>0</v>
      </c>
      <c r="AC354" s="10">
        <f t="shared" ca="1" si="475"/>
        <v>27774.797642991573</v>
      </c>
      <c r="AD354" s="10">
        <f t="shared" ca="1" si="475"/>
        <v>27543.340995966642</v>
      </c>
      <c r="AE354" s="10">
        <f t="shared" ca="1" si="475"/>
        <v>27311.884348941712</v>
      </c>
      <c r="AF354" s="10">
        <f t="shared" ca="1" si="475"/>
        <v>27080.427701916782</v>
      </c>
      <c r="AG354" s="10">
        <f t="shared" ca="1" si="475"/>
        <v>26848.971054891852</v>
      </c>
      <c r="AH354" s="10">
        <f t="shared" ca="1" si="475"/>
        <v>26617.514407866925</v>
      </c>
      <c r="AI354" s="10">
        <f t="shared" ca="1" si="475"/>
        <v>26386.057760841995</v>
      </c>
      <c r="AJ354" s="10">
        <f t="shared" ca="1" si="475"/>
        <v>26154.601113817065</v>
      </c>
      <c r="AK354" s="10">
        <f t="shared" ca="1" si="475"/>
        <v>25923.144466792135</v>
      </c>
      <c r="AL354" s="10">
        <f t="shared" ca="1" si="475"/>
        <v>25691.687819767205</v>
      </c>
      <c r="AM354" s="10">
        <f t="shared" ca="1" si="475"/>
        <v>25460.231172742275</v>
      </c>
      <c r="AN354" s="10">
        <f t="shared" ca="1" si="475"/>
        <v>25228.774525717345</v>
      </c>
      <c r="AO354" s="10">
        <f t="shared" ca="1" si="475"/>
        <v>24997.317878692415</v>
      </c>
      <c r="AP354" s="10">
        <f t="shared" ca="1" si="475"/>
        <v>24765.861231667484</v>
      </c>
      <c r="AQ354" s="10">
        <f t="shared" ca="1" si="475"/>
        <v>24534.404584642558</v>
      </c>
      <c r="AR354" s="10">
        <f t="shared" ref="AR354:BW354" ca="1" si="476">AQ359</f>
        <v>24302.947937617628</v>
      </c>
      <c r="AS354" s="10">
        <f t="shared" ca="1" si="476"/>
        <v>24071.491290592698</v>
      </c>
      <c r="AT354" s="10">
        <f t="shared" ca="1" si="476"/>
        <v>23840.034643567767</v>
      </c>
      <c r="AU354" s="10">
        <f t="shared" ca="1" si="476"/>
        <v>23608.577996542837</v>
      </c>
      <c r="AV354" s="10">
        <f t="shared" ca="1" si="476"/>
        <v>23377.121349517907</v>
      </c>
      <c r="AW354" s="10">
        <f t="shared" ca="1" si="476"/>
        <v>23145.664702492977</v>
      </c>
      <c r="AX354" s="10">
        <f t="shared" ca="1" si="476"/>
        <v>22914.208055468047</v>
      </c>
      <c r="AY354" s="10">
        <f t="shared" ca="1" si="476"/>
        <v>22682.751408443117</v>
      </c>
      <c r="AZ354" s="10">
        <f t="shared" ca="1" si="476"/>
        <v>22451.294761418187</v>
      </c>
      <c r="BA354" s="10">
        <f t="shared" ca="1" si="476"/>
        <v>22219.838114393257</v>
      </c>
      <c r="BB354" s="10">
        <f t="shared" ca="1" si="476"/>
        <v>21988.381467368326</v>
      </c>
      <c r="BC354" s="10">
        <f t="shared" ca="1" si="476"/>
        <v>21756.924820343396</v>
      </c>
      <c r="BD354" s="10">
        <f t="shared" ca="1" si="476"/>
        <v>21525.468173318466</v>
      </c>
      <c r="BE354" s="10">
        <f t="shared" ca="1" si="476"/>
        <v>21294.011526293536</v>
      </c>
      <c r="BF354" s="10">
        <f t="shared" ca="1" si="476"/>
        <v>21062.554879268606</v>
      </c>
      <c r="BG354" s="10">
        <f t="shared" ca="1" si="476"/>
        <v>20831.098232243676</v>
      </c>
      <c r="BH354" s="10">
        <f t="shared" ca="1" si="476"/>
        <v>20599.641585218746</v>
      </c>
      <c r="BI354" s="10">
        <f t="shared" ca="1" si="476"/>
        <v>20368.184938193815</v>
      </c>
      <c r="BJ354" s="10">
        <f t="shared" ca="1" si="476"/>
        <v>20136.728291168885</v>
      </c>
      <c r="BK354" s="10">
        <f t="shared" ca="1" si="476"/>
        <v>19905.271644143955</v>
      </c>
      <c r="BL354" s="10">
        <f t="shared" ca="1" si="476"/>
        <v>19673.814997119025</v>
      </c>
      <c r="BM354" s="10">
        <f t="shared" ca="1" si="476"/>
        <v>19442.358350094095</v>
      </c>
      <c r="BN354" s="10">
        <f t="shared" ca="1" si="476"/>
        <v>19210.901703069165</v>
      </c>
      <c r="BO354" s="10">
        <f t="shared" ca="1" si="476"/>
        <v>18979.445056044235</v>
      </c>
      <c r="BP354" s="10">
        <f t="shared" ca="1" si="476"/>
        <v>18747.988409019305</v>
      </c>
      <c r="BQ354" s="10">
        <f t="shared" ca="1" si="476"/>
        <v>18516.531761994374</v>
      </c>
      <c r="BR354" s="10">
        <f t="shared" ca="1" si="476"/>
        <v>18285.075114969444</v>
      </c>
      <c r="BS354" s="10">
        <f t="shared" ca="1" si="476"/>
        <v>18053.618467944514</v>
      </c>
      <c r="BT354" s="10">
        <f t="shared" ca="1" si="476"/>
        <v>17822.161820919584</v>
      </c>
      <c r="BU354" s="10">
        <f t="shared" ca="1" si="476"/>
        <v>17590.705173894654</v>
      </c>
      <c r="BV354" s="10">
        <f t="shared" ca="1" si="476"/>
        <v>17359.248526869724</v>
      </c>
      <c r="BW354" s="10">
        <f t="shared" ca="1" si="476"/>
        <v>17127.791879844794</v>
      </c>
      <c r="BX354" s="10">
        <f t="shared" ref="BX354:CO354" ca="1" si="477">BW359</f>
        <v>16896.335232819863</v>
      </c>
      <c r="BY354" s="10">
        <f t="shared" ca="1" si="477"/>
        <v>16664.878585794933</v>
      </c>
      <c r="BZ354" s="10">
        <f t="shared" ca="1" si="477"/>
        <v>16433.421938770003</v>
      </c>
      <c r="CA354" s="10">
        <f t="shared" ca="1" si="477"/>
        <v>16201.965291745073</v>
      </c>
      <c r="CB354" s="10">
        <f t="shared" ca="1" si="477"/>
        <v>15970.508644720143</v>
      </c>
      <c r="CC354" s="10">
        <f t="shared" ca="1" si="477"/>
        <v>15739.051997695213</v>
      </c>
      <c r="CD354" s="10">
        <f t="shared" ca="1" si="477"/>
        <v>15507.595350670283</v>
      </c>
      <c r="CE354" s="10">
        <f t="shared" ca="1" si="477"/>
        <v>15276.138703645353</v>
      </c>
      <c r="CF354" s="10">
        <f t="shared" ca="1" si="477"/>
        <v>15044.682056620422</v>
      </c>
      <c r="CG354" s="10">
        <f t="shared" ca="1" si="477"/>
        <v>14813.225409595492</v>
      </c>
      <c r="CH354" s="10">
        <f t="shared" ca="1" si="477"/>
        <v>14581.768762570562</v>
      </c>
      <c r="CI354" s="10">
        <f t="shared" ca="1" si="477"/>
        <v>14350.312115545632</v>
      </c>
      <c r="CJ354" s="10">
        <f t="shared" ca="1" si="477"/>
        <v>14118.855468520702</v>
      </c>
      <c r="CK354" s="10">
        <f t="shared" ca="1" si="477"/>
        <v>13887.398821495772</v>
      </c>
      <c r="CL354" s="10">
        <f t="shared" ca="1" si="477"/>
        <v>13655.942174470842</v>
      </c>
      <c r="CM354" s="10">
        <f t="shared" ca="1" si="477"/>
        <v>13424.485527445911</v>
      </c>
      <c r="CN354" s="10">
        <f t="shared" ca="1" si="477"/>
        <v>13193.028880420981</v>
      </c>
      <c r="CO354" s="10">
        <f t="shared" ca="1" si="477"/>
        <v>12961.572233396051</v>
      </c>
    </row>
    <row r="355" spans="1:93">
      <c r="A355" s="10"/>
      <c r="B355" s="10"/>
      <c r="C355" s="17" t="s">
        <v>126</v>
      </c>
      <c r="D355" s="10"/>
      <c r="E355" s="62"/>
      <c r="F355" s="11"/>
      <c r="G355" s="134" t="str">
        <f t="shared" si="474"/>
        <v>тыс. руб.</v>
      </c>
      <c r="H355" s="10"/>
      <c r="I355" s="23">
        <f ca="1">SUM(L355:CO355)</f>
        <v>27774.797642991573</v>
      </c>
      <c r="J355" s="10"/>
      <c r="K355" s="10"/>
      <c r="L355" s="10">
        <f t="shared" ref="L355:AQ355" ca="1" si="478">SUM(L320:L322,L326)</f>
        <v>0</v>
      </c>
      <c r="M355" s="10">
        <f t="shared" ca="1" si="478"/>
        <v>0</v>
      </c>
      <c r="N355" s="10">
        <f t="shared" ca="1" si="478"/>
        <v>0</v>
      </c>
      <c r="O355" s="10">
        <f t="shared" ca="1" si="478"/>
        <v>0</v>
      </c>
      <c r="P355" s="10">
        <f t="shared" ca="1" si="478"/>
        <v>0</v>
      </c>
      <c r="Q355" s="10">
        <f t="shared" ca="1" si="478"/>
        <v>0</v>
      </c>
      <c r="R355" s="10">
        <f t="shared" ca="1" si="478"/>
        <v>0</v>
      </c>
      <c r="S355" s="10">
        <f t="shared" ca="1" si="478"/>
        <v>0</v>
      </c>
      <c r="T355" s="10">
        <f t="shared" ca="1" si="478"/>
        <v>0</v>
      </c>
      <c r="U355" s="10">
        <f t="shared" ca="1" si="478"/>
        <v>0</v>
      </c>
      <c r="V355" s="10">
        <f t="shared" ca="1" si="478"/>
        <v>0</v>
      </c>
      <c r="W355" s="10">
        <f t="shared" ca="1" si="478"/>
        <v>0</v>
      </c>
      <c r="X355" s="10">
        <f t="shared" ca="1" si="478"/>
        <v>0</v>
      </c>
      <c r="Y355" s="10">
        <f t="shared" ca="1" si="478"/>
        <v>0</v>
      </c>
      <c r="Z355" s="10">
        <f t="shared" ca="1" si="478"/>
        <v>0</v>
      </c>
      <c r="AA355" s="10">
        <f t="shared" ca="1" si="478"/>
        <v>0</v>
      </c>
      <c r="AB355" s="10">
        <f t="shared" ca="1" si="478"/>
        <v>27774.797642991573</v>
      </c>
      <c r="AC355" s="10">
        <f t="shared" ca="1" si="478"/>
        <v>0</v>
      </c>
      <c r="AD355" s="10">
        <f t="shared" ca="1" si="478"/>
        <v>0</v>
      </c>
      <c r="AE355" s="10">
        <f t="shared" ca="1" si="478"/>
        <v>0</v>
      </c>
      <c r="AF355" s="10">
        <f t="shared" ca="1" si="478"/>
        <v>0</v>
      </c>
      <c r="AG355" s="10">
        <f t="shared" ca="1" si="478"/>
        <v>0</v>
      </c>
      <c r="AH355" s="10">
        <f t="shared" ca="1" si="478"/>
        <v>0</v>
      </c>
      <c r="AI355" s="10">
        <f t="shared" ca="1" si="478"/>
        <v>0</v>
      </c>
      <c r="AJ355" s="10">
        <f t="shared" ca="1" si="478"/>
        <v>0</v>
      </c>
      <c r="AK355" s="10">
        <f t="shared" ca="1" si="478"/>
        <v>0</v>
      </c>
      <c r="AL355" s="10">
        <f t="shared" ca="1" si="478"/>
        <v>0</v>
      </c>
      <c r="AM355" s="10">
        <f t="shared" ca="1" si="478"/>
        <v>0</v>
      </c>
      <c r="AN355" s="10">
        <f t="shared" ca="1" si="478"/>
        <v>0</v>
      </c>
      <c r="AO355" s="10">
        <f t="shared" ca="1" si="478"/>
        <v>0</v>
      </c>
      <c r="AP355" s="10">
        <f t="shared" ca="1" si="478"/>
        <v>0</v>
      </c>
      <c r="AQ355" s="10">
        <f t="shared" ca="1" si="478"/>
        <v>0</v>
      </c>
      <c r="AR355" s="10">
        <f t="shared" ref="AR355:BW355" ca="1" si="479">SUM(AR320:AR322,AR326)</f>
        <v>0</v>
      </c>
      <c r="AS355" s="10">
        <f t="shared" ca="1" si="479"/>
        <v>0</v>
      </c>
      <c r="AT355" s="10">
        <f t="shared" ca="1" si="479"/>
        <v>0</v>
      </c>
      <c r="AU355" s="10">
        <f t="shared" ca="1" si="479"/>
        <v>0</v>
      </c>
      <c r="AV355" s="10">
        <f t="shared" ca="1" si="479"/>
        <v>0</v>
      </c>
      <c r="AW355" s="10">
        <f t="shared" ca="1" si="479"/>
        <v>0</v>
      </c>
      <c r="AX355" s="10">
        <f t="shared" ca="1" si="479"/>
        <v>0</v>
      </c>
      <c r="AY355" s="10">
        <f t="shared" ca="1" si="479"/>
        <v>0</v>
      </c>
      <c r="AZ355" s="10">
        <f t="shared" ca="1" si="479"/>
        <v>0</v>
      </c>
      <c r="BA355" s="10">
        <f t="shared" ca="1" si="479"/>
        <v>0</v>
      </c>
      <c r="BB355" s="10">
        <f t="shared" ca="1" si="479"/>
        <v>0</v>
      </c>
      <c r="BC355" s="10">
        <f t="shared" ca="1" si="479"/>
        <v>0</v>
      </c>
      <c r="BD355" s="10">
        <f t="shared" ca="1" si="479"/>
        <v>0</v>
      </c>
      <c r="BE355" s="10">
        <f t="shared" ca="1" si="479"/>
        <v>0</v>
      </c>
      <c r="BF355" s="10">
        <f t="shared" ca="1" si="479"/>
        <v>0</v>
      </c>
      <c r="BG355" s="10">
        <f t="shared" ca="1" si="479"/>
        <v>0</v>
      </c>
      <c r="BH355" s="10">
        <f t="shared" ca="1" si="479"/>
        <v>0</v>
      </c>
      <c r="BI355" s="10">
        <f t="shared" ca="1" si="479"/>
        <v>0</v>
      </c>
      <c r="BJ355" s="10">
        <f t="shared" ca="1" si="479"/>
        <v>0</v>
      </c>
      <c r="BK355" s="10">
        <f t="shared" ca="1" si="479"/>
        <v>0</v>
      </c>
      <c r="BL355" s="10">
        <f t="shared" ca="1" si="479"/>
        <v>0</v>
      </c>
      <c r="BM355" s="10">
        <f t="shared" ca="1" si="479"/>
        <v>0</v>
      </c>
      <c r="BN355" s="10">
        <f t="shared" ca="1" si="479"/>
        <v>0</v>
      </c>
      <c r="BO355" s="10">
        <f t="shared" ca="1" si="479"/>
        <v>0</v>
      </c>
      <c r="BP355" s="10">
        <f t="shared" ca="1" si="479"/>
        <v>0</v>
      </c>
      <c r="BQ355" s="10">
        <f t="shared" ca="1" si="479"/>
        <v>0</v>
      </c>
      <c r="BR355" s="10">
        <f t="shared" ca="1" si="479"/>
        <v>0</v>
      </c>
      <c r="BS355" s="10">
        <f t="shared" ca="1" si="479"/>
        <v>0</v>
      </c>
      <c r="BT355" s="10">
        <f t="shared" ca="1" si="479"/>
        <v>0</v>
      </c>
      <c r="BU355" s="10">
        <f t="shared" ca="1" si="479"/>
        <v>0</v>
      </c>
      <c r="BV355" s="10">
        <f t="shared" ca="1" si="479"/>
        <v>0</v>
      </c>
      <c r="BW355" s="10">
        <f t="shared" ca="1" si="479"/>
        <v>0</v>
      </c>
      <c r="BX355" s="10">
        <f t="shared" ref="BX355:CO355" ca="1" si="480">SUM(BX320:BX322,BX326)</f>
        <v>0</v>
      </c>
      <c r="BY355" s="10">
        <f t="shared" ca="1" si="480"/>
        <v>0</v>
      </c>
      <c r="BZ355" s="10">
        <f t="shared" ca="1" si="480"/>
        <v>0</v>
      </c>
      <c r="CA355" s="10">
        <f t="shared" ca="1" si="480"/>
        <v>0</v>
      </c>
      <c r="CB355" s="10">
        <f t="shared" ca="1" si="480"/>
        <v>0</v>
      </c>
      <c r="CC355" s="10">
        <f t="shared" ca="1" si="480"/>
        <v>0</v>
      </c>
      <c r="CD355" s="10">
        <f t="shared" ca="1" si="480"/>
        <v>0</v>
      </c>
      <c r="CE355" s="10">
        <f t="shared" ca="1" si="480"/>
        <v>0</v>
      </c>
      <c r="CF355" s="10">
        <f t="shared" ca="1" si="480"/>
        <v>0</v>
      </c>
      <c r="CG355" s="10">
        <f t="shared" ca="1" si="480"/>
        <v>0</v>
      </c>
      <c r="CH355" s="10">
        <f t="shared" ca="1" si="480"/>
        <v>0</v>
      </c>
      <c r="CI355" s="10">
        <f t="shared" ca="1" si="480"/>
        <v>0</v>
      </c>
      <c r="CJ355" s="10">
        <f t="shared" ca="1" si="480"/>
        <v>0</v>
      </c>
      <c r="CK355" s="10">
        <f t="shared" ca="1" si="480"/>
        <v>0</v>
      </c>
      <c r="CL355" s="10">
        <f t="shared" ca="1" si="480"/>
        <v>0</v>
      </c>
      <c r="CM355" s="10">
        <f t="shared" ca="1" si="480"/>
        <v>0</v>
      </c>
      <c r="CN355" s="10">
        <f t="shared" ca="1" si="480"/>
        <v>0</v>
      </c>
      <c r="CO355" s="10">
        <f t="shared" ca="1" si="480"/>
        <v>0</v>
      </c>
    </row>
    <row r="356" spans="1:93">
      <c r="A356" s="10"/>
      <c r="B356" s="10"/>
      <c r="C356" s="17" t="s">
        <v>388</v>
      </c>
      <c r="D356" s="10"/>
      <c r="E356" s="62"/>
      <c r="F356" s="11"/>
      <c r="G356" s="134" t="str">
        <f t="shared" si="474"/>
        <v>тыс. руб.</v>
      </c>
      <c r="H356" s="10"/>
      <c r="I356" s="10"/>
      <c r="J356" s="10"/>
      <c r="K356" s="10"/>
      <c r="L356" s="10">
        <f t="shared" ref="L356:AQ356" ca="1" si="481">L355+K356</f>
        <v>0</v>
      </c>
      <c r="M356" s="10">
        <f t="shared" ca="1" si="481"/>
        <v>0</v>
      </c>
      <c r="N356" s="10">
        <f t="shared" ca="1" si="481"/>
        <v>0</v>
      </c>
      <c r="O356" s="10">
        <f t="shared" ca="1" si="481"/>
        <v>0</v>
      </c>
      <c r="P356" s="10">
        <f t="shared" ca="1" si="481"/>
        <v>0</v>
      </c>
      <c r="Q356" s="10">
        <f t="shared" ca="1" si="481"/>
        <v>0</v>
      </c>
      <c r="R356" s="10">
        <f t="shared" ca="1" si="481"/>
        <v>0</v>
      </c>
      <c r="S356" s="10">
        <f t="shared" ca="1" si="481"/>
        <v>0</v>
      </c>
      <c r="T356" s="10">
        <f t="shared" ca="1" si="481"/>
        <v>0</v>
      </c>
      <c r="U356" s="10">
        <f t="shared" ca="1" si="481"/>
        <v>0</v>
      </c>
      <c r="V356" s="10">
        <f t="shared" ca="1" si="481"/>
        <v>0</v>
      </c>
      <c r="W356" s="10">
        <f t="shared" ca="1" si="481"/>
        <v>0</v>
      </c>
      <c r="X356" s="10">
        <f t="shared" ca="1" si="481"/>
        <v>0</v>
      </c>
      <c r="Y356" s="10">
        <f t="shared" ca="1" si="481"/>
        <v>0</v>
      </c>
      <c r="Z356" s="10">
        <f t="shared" ca="1" si="481"/>
        <v>0</v>
      </c>
      <c r="AA356" s="10">
        <f t="shared" ca="1" si="481"/>
        <v>0</v>
      </c>
      <c r="AB356" s="10">
        <f t="shared" ca="1" si="481"/>
        <v>27774.797642991573</v>
      </c>
      <c r="AC356" s="10">
        <f t="shared" ca="1" si="481"/>
        <v>27774.797642991573</v>
      </c>
      <c r="AD356" s="10">
        <f t="shared" ca="1" si="481"/>
        <v>27774.797642991573</v>
      </c>
      <c r="AE356" s="10">
        <f t="shared" ca="1" si="481"/>
        <v>27774.797642991573</v>
      </c>
      <c r="AF356" s="10">
        <f t="shared" ca="1" si="481"/>
        <v>27774.797642991573</v>
      </c>
      <c r="AG356" s="10">
        <f t="shared" ca="1" si="481"/>
        <v>27774.797642991573</v>
      </c>
      <c r="AH356" s="10">
        <f t="shared" ca="1" si="481"/>
        <v>27774.797642991573</v>
      </c>
      <c r="AI356" s="10">
        <f t="shared" ca="1" si="481"/>
        <v>27774.797642991573</v>
      </c>
      <c r="AJ356" s="10">
        <f t="shared" ca="1" si="481"/>
        <v>27774.797642991573</v>
      </c>
      <c r="AK356" s="10">
        <f t="shared" ca="1" si="481"/>
        <v>27774.797642991573</v>
      </c>
      <c r="AL356" s="10">
        <f t="shared" ca="1" si="481"/>
        <v>27774.797642991573</v>
      </c>
      <c r="AM356" s="10">
        <f t="shared" ca="1" si="481"/>
        <v>27774.797642991573</v>
      </c>
      <c r="AN356" s="10">
        <f t="shared" ca="1" si="481"/>
        <v>27774.797642991573</v>
      </c>
      <c r="AO356" s="10">
        <f t="shared" ca="1" si="481"/>
        <v>27774.797642991573</v>
      </c>
      <c r="AP356" s="10">
        <f t="shared" ca="1" si="481"/>
        <v>27774.797642991573</v>
      </c>
      <c r="AQ356" s="10">
        <f t="shared" ca="1" si="481"/>
        <v>27774.797642991573</v>
      </c>
      <c r="AR356" s="10">
        <f t="shared" ref="AR356:BW356" ca="1" si="482">AR355+AQ356</f>
        <v>27774.797642991573</v>
      </c>
      <c r="AS356" s="10">
        <f t="shared" ca="1" si="482"/>
        <v>27774.797642991573</v>
      </c>
      <c r="AT356" s="10">
        <f t="shared" ca="1" si="482"/>
        <v>27774.797642991573</v>
      </c>
      <c r="AU356" s="10">
        <f t="shared" ca="1" si="482"/>
        <v>27774.797642991573</v>
      </c>
      <c r="AV356" s="10">
        <f t="shared" ca="1" si="482"/>
        <v>27774.797642991573</v>
      </c>
      <c r="AW356" s="10">
        <f t="shared" ca="1" si="482"/>
        <v>27774.797642991573</v>
      </c>
      <c r="AX356" s="10">
        <f t="shared" ca="1" si="482"/>
        <v>27774.797642991573</v>
      </c>
      <c r="AY356" s="10">
        <f t="shared" ca="1" si="482"/>
        <v>27774.797642991573</v>
      </c>
      <c r="AZ356" s="10">
        <f t="shared" ca="1" si="482"/>
        <v>27774.797642991573</v>
      </c>
      <c r="BA356" s="10">
        <f t="shared" ca="1" si="482"/>
        <v>27774.797642991573</v>
      </c>
      <c r="BB356" s="10">
        <f t="shared" ca="1" si="482"/>
        <v>27774.797642991573</v>
      </c>
      <c r="BC356" s="10">
        <f t="shared" ca="1" si="482"/>
        <v>27774.797642991573</v>
      </c>
      <c r="BD356" s="10">
        <f t="shared" ca="1" si="482"/>
        <v>27774.797642991573</v>
      </c>
      <c r="BE356" s="10">
        <f t="shared" ca="1" si="482"/>
        <v>27774.797642991573</v>
      </c>
      <c r="BF356" s="10">
        <f t="shared" ca="1" si="482"/>
        <v>27774.797642991573</v>
      </c>
      <c r="BG356" s="10">
        <f t="shared" ca="1" si="482"/>
        <v>27774.797642991573</v>
      </c>
      <c r="BH356" s="10">
        <f t="shared" ca="1" si="482"/>
        <v>27774.797642991573</v>
      </c>
      <c r="BI356" s="10">
        <f t="shared" ca="1" si="482"/>
        <v>27774.797642991573</v>
      </c>
      <c r="BJ356" s="10">
        <f t="shared" ca="1" si="482"/>
        <v>27774.797642991573</v>
      </c>
      <c r="BK356" s="10">
        <f t="shared" ca="1" si="482"/>
        <v>27774.797642991573</v>
      </c>
      <c r="BL356" s="10">
        <f t="shared" ca="1" si="482"/>
        <v>27774.797642991573</v>
      </c>
      <c r="BM356" s="10">
        <f t="shared" ca="1" si="482"/>
        <v>27774.797642991573</v>
      </c>
      <c r="BN356" s="10">
        <f t="shared" ca="1" si="482"/>
        <v>27774.797642991573</v>
      </c>
      <c r="BO356" s="10">
        <f t="shared" ca="1" si="482"/>
        <v>27774.797642991573</v>
      </c>
      <c r="BP356" s="10">
        <f t="shared" ca="1" si="482"/>
        <v>27774.797642991573</v>
      </c>
      <c r="BQ356" s="10">
        <f t="shared" ca="1" si="482"/>
        <v>27774.797642991573</v>
      </c>
      <c r="BR356" s="10">
        <f t="shared" ca="1" si="482"/>
        <v>27774.797642991573</v>
      </c>
      <c r="BS356" s="10">
        <f t="shared" ca="1" si="482"/>
        <v>27774.797642991573</v>
      </c>
      <c r="BT356" s="10">
        <f t="shared" ca="1" si="482"/>
        <v>27774.797642991573</v>
      </c>
      <c r="BU356" s="10">
        <f t="shared" ca="1" si="482"/>
        <v>27774.797642991573</v>
      </c>
      <c r="BV356" s="10">
        <f t="shared" ca="1" si="482"/>
        <v>27774.797642991573</v>
      </c>
      <c r="BW356" s="10">
        <f t="shared" ca="1" si="482"/>
        <v>27774.797642991573</v>
      </c>
      <c r="BX356" s="10">
        <f t="shared" ref="BX356:CO356" ca="1" si="483">BX355+BW356</f>
        <v>27774.797642991573</v>
      </c>
      <c r="BY356" s="10">
        <f t="shared" ca="1" si="483"/>
        <v>27774.797642991573</v>
      </c>
      <c r="BZ356" s="10">
        <f t="shared" ca="1" si="483"/>
        <v>27774.797642991573</v>
      </c>
      <c r="CA356" s="10">
        <f t="shared" ca="1" si="483"/>
        <v>27774.797642991573</v>
      </c>
      <c r="CB356" s="10">
        <f t="shared" ca="1" si="483"/>
        <v>27774.797642991573</v>
      </c>
      <c r="CC356" s="10">
        <f t="shared" ca="1" si="483"/>
        <v>27774.797642991573</v>
      </c>
      <c r="CD356" s="10">
        <f t="shared" ca="1" si="483"/>
        <v>27774.797642991573</v>
      </c>
      <c r="CE356" s="10">
        <f t="shared" ca="1" si="483"/>
        <v>27774.797642991573</v>
      </c>
      <c r="CF356" s="10">
        <f t="shared" ca="1" si="483"/>
        <v>27774.797642991573</v>
      </c>
      <c r="CG356" s="10">
        <f t="shared" ca="1" si="483"/>
        <v>27774.797642991573</v>
      </c>
      <c r="CH356" s="10">
        <f t="shared" ca="1" si="483"/>
        <v>27774.797642991573</v>
      </c>
      <c r="CI356" s="10">
        <f t="shared" ca="1" si="483"/>
        <v>27774.797642991573</v>
      </c>
      <c r="CJ356" s="10">
        <f t="shared" ca="1" si="483"/>
        <v>27774.797642991573</v>
      </c>
      <c r="CK356" s="10">
        <f t="shared" ca="1" si="483"/>
        <v>27774.797642991573</v>
      </c>
      <c r="CL356" s="10">
        <f t="shared" ca="1" si="483"/>
        <v>27774.797642991573</v>
      </c>
      <c r="CM356" s="10">
        <f t="shared" ca="1" si="483"/>
        <v>27774.797642991573</v>
      </c>
      <c r="CN356" s="10">
        <f t="shared" ca="1" si="483"/>
        <v>27774.797642991573</v>
      </c>
      <c r="CO356" s="10">
        <f t="shared" ca="1" si="483"/>
        <v>27774.797642991573</v>
      </c>
    </row>
    <row r="357" spans="1:93">
      <c r="A357" s="10"/>
      <c r="B357" s="10"/>
      <c r="C357" s="17" t="s">
        <v>389</v>
      </c>
      <c r="D357" s="10"/>
      <c r="E357" s="62"/>
      <c r="F357" s="11"/>
      <c r="G357" s="134" t="str">
        <f t="shared" si="474"/>
        <v>тыс. руб.</v>
      </c>
      <c r="H357" s="10"/>
      <c r="I357" s="23">
        <f ca="1">SUM(L357:CO357)</f>
        <v>15044.682056620451</v>
      </c>
      <c r="J357" s="10"/>
      <c r="K357" s="10"/>
      <c r="L357" s="10">
        <f t="shared" ref="L357:AQ357" ca="1" si="484">MIN(L356*L353,K359)</f>
        <v>0</v>
      </c>
      <c r="M357" s="10">
        <f t="shared" ca="1" si="484"/>
        <v>0</v>
      </c>
      <c r="N357" s="10">
        <f t="shared" ca="1" si="484"/>
        <v>0</v>
      </c>
      <c r="O357" s="10">
        <f t="shared" ca="1" si="484"/>
        <v>0</v>
      </c>
      <c r="P357" s="10">
        <f t="shared" ca="1" si="484"/>
        <v>0</v>
      </c>
      <c r="Q357" s="10">
        <f t="shared" ca="1" si="484"/>
        <v>0</v>
      </c>
      <c r="R357" s="10">
        <f t="shared" ca="1" si="484"/>
        <v>0</v>
      </c>
      <c r="S357" s="10">
        <f t="shared" ca="1" si="484"/>
        <v>0</v>
      </c>
      <c r="T357" s="10">
        <f t="shared" ca="1" si="484"/>
        <v>0</v>
      </c>
      <c r="U357" s="10">
        <f t="shared" ca="1" si="484"/>
        <v>0</v>
      </c>
      <c r="V357" s="10">
        <f t="shared" ca="1" si="484"/>
        <v>0</v>
      </c>
      <c r="W357" s="10">
        <f t="shared" ca="1" si="484"/>
        <v>0</v>
      </c>
      <c r="X357" s="10">
        <f t="shared" ca="1" si="484"/>
        <v>0</v>
      </c>
      <c r="Y357" s="10">
        <f t="shared" ca="1" si="484"/>
        <v>0</v>
      </c>
      <c r="Z357" s="10">
        <f t="shared" ca="1" si="484"/>
        <v>0</v>
      </c>
      <c r="AA357" s="10">
        <f t="shared" ca="1" si="484"/>
        <v>0</v>
      </c>
      <c r="AB357" s="10">
        <f t="shared" ca="1" si="484"/>
        <v>0</v>
      </c>
      <c r="AC357" s="10">
        <f t="shared" ca="1" si="484"/>
        <v>231.45664702492977</v>
      </c>
      <c r="AD357" s="10">
        <f t="shared" ca="1" si="484"/>
        <v>231.45664702492977</v>
      </c>
      <c r="AE357" s="10">
        <f t="shared" ca="1" si="484"/>
        <v>231.45664702492977</v>
      </c>
      <c r="AF357" s="10">
        <f t="shared" ca="1" si="484"/>
        <v>231.45664702492977</v>
      </c>
      <c r="AG357" s="10">
        <f t="shared" ca="1" si="484"/>
        <v>231.45664702492977</v>
      </c>
      <c r="AH357" s="10">
        <f t="shared" ca="1" si="484"/>
        <v>231.45664702492977</v>
      </c>
      <c r="AI357" s="10">
        <f t="shared" ca="1" si="484"/>
        <v>231.45664702492977</v>
      </c>
      <c r="AJ357" s="10">
        <f t="shared" ca="1" si="484"/>
        <v>231.45664702492977</v>
      </c>
      <c r="AK357" s="10">
        <f t="shared" ca="1" si="484"/>
        <v>231.45664702492977</v>
      </c>
      <c r="AL357" s="10">
        <f t="shared" ca="1" si="484"/>
        <v>231.45664702492977</v>
      </c>
      <c r="AM357" s="10">
        <f t="shared" ca="1" si="484"/>
        <v>231.45664702492977</v>
      </c>
      <c r="AN357" s="10">
        <f t="shared" ca="1" si="484"/>
        <v>231.45664702492977</v>
      </c>
      <c r="AO357" s="10">
        <f t="shared" ca="1" si="484"/>
        <v>231.45664702492977</v>
      </c>
      <c r="AP357" s="10">
        <f t="shared" ca="1" si="484"/>
        <v>231.45664702492977</v>
      </c>
      <c r="AQ357" s="10">
        <f t="shared" ca="1" si="484"/>
        <v>231.45664702492977</v>
      </c>
      <c r="AR357" s="10">
        <f t="shared" ref="AR357:BW357" ca="1" si="485">MIN(AR356*AR353,AQ359)</f>
        <v>231.45664702492977</v>
      </c>
      <c r="AS357" s="10">
        <f t="shared" ca="1" si="485"/>
        <v>231.45664702492977</v>
      </c>
      <c r="AT357" s="10">
        <f t="shared" ca="1" si="485"/>
        <v>231.45664702492977</v>
      </c>
      <c r="AU357" s="10">
        <f t="shared" ca="1" si="485"/>
        <v>231.45664702492977</v>
      </c>
      <c r="AV357" s="10">
        <f t="shared" ca="1" si="485"/>
        <v>231.45664702492977</v>
      </c>
      <c r="AW357" s="10">
        <f t="shared" ca="1" si="485"/>
        <v>231.45664702492977</v>
      </c>
      <c r="AX357" s="10">
        <f t="shared" ca="1" si="485"/>
        <v>231.45664702492977</v>
      </c>
      <c r="AY357" s="10">
        <f t="shared" ca="1" si="485"/>
        <v>231.45664702492977</v>
      </c>
      <c r="AZ357" s="10">
        <f t="shared" ca="1" si="485"/>
        <v>231.45664702492977</v>
      </c>
      <c r="BA357" s="10">
        <f t="shared" ca="1" si="485"/>
        <v>231.45664702492977</v>
      </c>
      <c r="BB357" s="10">
        <f t="shared" ca="1" si="485"/>
        <v>231.45664702492977</v>
      </c>
      <c r="BC357" s="10">
        <f t="shared" ca="1" si="485"/>
        <v>231.45664702492977</v>
      </c>
      <c r="BD357" s="10">
        <f t="shared" ca="1" si="485"/>
        <v>231.45664702492977</v>
      </c>
      <c r="BE357" s="10">
        <f t="shared" ca="1" si="485"/>
        <v>231.45664702492977</v>
      </c>
      <c r="BF357" s="10">
        <f t="shared" ca="1" si="485"/>
        <v>231.45664702492977</v>
      </c>
      <c r="BG357" s="10">
        <f t="shared" ca="1" si="485"/>
        <v>231.45664702492977</v>
      </c>
      <c r="BH357" s="10">
        <f t="shared" ca="1" si="485"/>
        <v>231.45664702492977</v>
      </c>
      <c r="BI357" s="10">
        <f t="shared" ca="1" si="485"/>
        <v>231.45664702492977</v>
      </c>
      <c r="BJ357" s="10">
        <f t="shared" ca="1" si="485"/>
        <v>231.45664702492977</v>
      </c>
      <c r="BK357" s="10">
        <f t="shared" ca="1" si="485"/>
        <v>231.45664702492977</v>
      </c>
      <c r="BL357" s="10">
        <f t="shared" ca="1" si="485"/>
        <v>231.45664702492977</v>
      </c>
      <c r="BM357" s="10">
        <f t="shared" ca="1" si="485"/>
        <v>231.45664702492977</v>
      </c>
      <c r="BN357" s="10">
        <f t="shared" ca="1" si="485"/>
        <v>231.45664702492977</v>
      </c>
      <c r="BO357" s="10">
        <f t="shared" ca="1" si="485"/>
        <v>231.45664702492977</v>
      </c>
      <c r="BP357" s="10">
        <f t="shared" ca="1" si="485"/>
        <v>231.45664702492977</v>
      </c>
      <c r="BQ357" s="10">
        <f t="shared" ca="1" si="485"/>
        <v>231.45664702492977</v>
      </c>
      <c r="BR357" s="10">
        <f t="shared" ca="1" si="485"/>
        <v>231.45664702492977</v>
      </c>
      <c r="BS357" s="10">
        <f t="shared" ca="1" si="485"/>
        <v>231.45664702492977</v>
      </c>
      <c r="BT357" s="10">
        <f t="shared" ca="1" si="485"/>
        <v>231.45664702492977</v>
      </c>
      <c r="BU357" s="10">
        <f t="shared" ca="1" si="485"/>
        <v>231.45664702492977</v>
      </c>
      <c r="BV357" s="10">
        <f t="shared" ca="1" si="485"/>
        <v>231.45664702492977</v>
      </c>
      <c r="BW357" s="10">
        <f t="shared" ca="1" si="485"/>
        <v>231.45664702492977</v>
      </c>
      <c r="BX357" s="10">
        <f t="shared" ref="BX357:CO357" ca="1" si="486">MIN(BX356*BX353,BW359)</f>
        <v>231.45664702492977</v>
      </c>
      <c r="BY357" s="10">
        <f t="shared" ca="1" si="486"/>
        <v>231.45664702492977</v>
      </c>
      <c r="BZ357" s="10">
        <f t="shared" ca="1" si="486"/>
        <v>231.45664702492977</v>
      </c>
      <c r="CA357" s="10">
        <f t="shared" ca="1" si="486"/>
        <v>231.45664702492977</v>
      </c>
      <c r="CB357" s="10">
        <f t="shared" ca="1" si="486"/>
        <v>231.45664702492977</v>
      </c>
      <c r="CC357" s="10">
        <f t="shared" ca="1" si="486"/>
        <v>231.45664702492977</v>
      </c>
      <c r="CD357" s="10">
        <f t="shared" ca="1" si="486"/>
        <v>231.45664702492977</v>
      </c>
      <c r="CE357" s="10">
        <f t="shared" ca="1" si="486"/>
        <v>231.45664702492977</v>
      </c>
      <c r="CF357" s="10">
        <f t="shared" ca="1" si="486"/>
        <v>231.45664702492977</v>
      </c>
      <c r="CG357" s="10">
        <f t="shared" ca="1" si="486"/>
        <v>231.45664702492977</v>
      </c>
      <c r="CH357" s="10">
        <f t="shared" ca="1" si="486"/>
        <v>231.45664702492977</v>
      </c>
      <c r="CI357" s="10">
        <f t="shared" ca="1" si="486"/>
        <v>231.45664702492977</v>
      </c>
      <c r="CJ357" s="10">
        <f t="shared" ca="1" si="486"/>
        <v>231.45664702492977</v>
      </c>
      <c r="CK357" s="10">
        <f t="shared" ca="1" si="486"/>
        <v>231.45664702492977</v>
      </c>
      <c r="CL357" s="10">
        <f t="shared" ca="1" si="486"/>
        <v>231.45664702492977</v>
      </c>
      <c r="CM357" s="10">
        <f t="shared" ca="1" si="486"/>
        <v>231.45664702492977</v>
      </c>
      <c r="CN357" s="10">
        <f t="shared" ca="1" si="486"/>
        <v>231.45664702492977</v>
      </c>
      <c r="CO357" s="10">
        <f t="shared" ca="1" si="486"/>
        <v>231.45664702492977</v>
      </c>
    </row>
    <row r="358" spans="1:93">
      <c r="A358" s="10"/>
      <c r="B358" s="10"/>
      <c r="C358" s="17" t="s">
        <v>127</v>
      </c>
      <c r="D358" s="10"/>
      <c r="E358" s="62"/>
      <c r="F358" s="11"/>
      <c r="G358" s="134" t="str">
        <f t="shared" si="474"/>
        <v>тыс. руб.</v>
      </c>
      <c r="H358" s="10"/>
      <c r="I358" s="10"/>
      <c r="J358" s="10"/>
      <c r="K358" s="10"/>
      <c r="L358" s="10">
        <f t="shared" ref="L358:AQ358" ca="1" si="487">SUM(K358,-L357)</f>
        <v>0</v>
      </c>
      <c r="M358" s="10">
        <f t="shared" ca="1" si="487"/>
        <v>0</v>
      </c>
      <c r="N358" s="10">
        <f t="shared" ca="1" si="487"/>
        <v>0</v>
      </c>
      <c r="O358" s="10">
        <f t="shared" ca="1" si="487"/>
        <v>0</v>
      </c>
      <c r="P358" s="10">
        <f t="shared" ca="1" si="487"/>
        <v>0</v>
      </c>
      <c r="Q358" s="10">
        <f t="shared" ca="1" si="487"/>
        <v>0</v>
      </c>
      <c r="R358" s="10">
        <f t="shared" ca="1" si="487"/>
        <v>0</v>
      </c>
      <c r="S358" s="10">
        <f t="shared" ca="1" si="487"/>
        <v>0</v>
      </c>
      <c r="T358" s="10">
        <f t="shared" ca="1" si="487"/>
        <v>0</v>
      </c>
      <c r="U358" s="10">
        <f t="shared" ca="1" si="487"/>
        <v>0</v>
      </c>
      <c r="V358" s="10">
        <f t="shared" ca="1" si="487"/>
        <v>0</v>
      </c>
      <c r="W358" s="10">
        <f t="shared" ca="1" si="487"/>
        <v>0</v>
      </c>
      <c r="X358" s="10">
        <f t="shared" ca="1" si="487"/>
        <v>0</v>
      </c>
      <c r="Y358" s="10">
        <f t="shared" ca="1" si="487"/>
        <v>0</v>
      </c>
      <c r="Z358" s="10">
        <f t="shared" ca="1" si="487"/>
        <v>0</v>
      </c>
      <c r="AA358" s="10">
        <f t="shared" ca="1" si="487"/>
        <v>0</v>
      </c>
      <c r="AB358" s="10">
        <f t="shared" ca="1" si="487"/>
        <v>0</v>
      </c>
      <c r="AC358" s="10">
        <f t="shared" ca="1" si="487"/>
        <v>-231.45664702492977</v>
      </c>
      <c r="AD358" s="10">
        <f t="shared" ca="1" si="487"/>
        <v>-462.91329404985953</v>
      </c>
      <c r="AE358" s="10">
        <f t="shared" ca="1" si="487"/>
        <v>-694.36994107478927</v>
      </c>
      <c r="AF358" s="10">
        <f t="shared" ca="1" si="487"/>
        <v>-925.82658809971906</v>
      </c>
      <c r="AG358" s="10">
        <f t="shared" ca="1" si="487"/>
        <v>-1157.2832351246489</v>
      </c>
      <c r="AH358" s="10">
        <f t="shared" ca="1" si="487"/>
        <v>-1388.7398821495785</v>
      </c>
      <c r="AI358" s="10">
        <f t="shared" ca="1" si="487"/>
        <v>-1620.1965291745082</v>
      </c>
      <c r="AJ358" s="10">
        <f t="shared" ca="1" si="487"/>
        <v>-1851.6531761994379</v>
      </c>
      <c r="AK358" s="10">
        <f t="shared" ca="1" si="487"/>
        <v>-2083.1098232243676</v>
      </c>
      <c r="AL358" s="10">
        <f t="shared" ca="1" si="487"/>
        <v>-2314.5664702492973</v>
      </c>
      <c r="AM358" s="10">
        <f t="shared" ca="1" si="487"/>
        <v>-2546.0231172742269</v>
      </c>
      <c r="AN358" s="10">
        <f t="shared" ca="1" si="487"/>
        <v>-2777.4797642991566</v>
      </c>
      <c r="AO358" s="10">
        <f t="shared" ca="1" si="487"/>
        <v>-3008.9364113240863</v>
      </c>
      <c r="AP358" s="10">
        <f t="shared" ca="1" si="487"/>
        <v>-3240.393058349016</v>
      </c>
      <c r="AQ358" s="10">
        <f t="shared" ca="1" si="487"/>
        <v>-3471.8497053739457</v>
      </c>
      <c r="AR358" s="10">
        <f t="shared" ref="AR358:BW358" ca="1" si="488">SUM(AQ358,-AR357)</f>
        <v>-3703.3063523988753</v>
      </c>
      <c r="AS358" s="10">
        <f t="shared" ca="1" si="488"/>
        <v>-3934.762999423805</v>
      </c>
      <c r="AT358" s="10">
        <f t="shared" ca="1" si="488"/>
        <v>-4166.2196464487351</v>
      </c>
      <c r="AU358" s="10">
        <f t="shared" ca="1" si="488"/>
        <v>-4397.6762934736653</v>
      </c>
      <c r="AV358" s="10">
        <f t="shared" ca="1" si="488"/>
        <v>-4629.1329404985954</v>
      </c>
      <c r="AW358" s="10">
        <f t="shared" ca="1" si="488"/>
        <v>-4860.5895875235256</v>
      </c>
      <c r="AX358" s="10">
        <f t="shared" ca="1" si="488"/>
        <v>-5092.0462345484557</v>
      </c>
      <c r="AY358" s="10">
        <f t="shared" ca="1" si="488"/>
        <v>-5323.5028815733858</v>
      </c>
      <c r="AZ358" s="10">
        <f t="shared" ca="1" si="488"/>
        <v>-5554.959528598316</v>
      </c>
      <c r="BA358" s="10">
        <f t="shared" ca="1" si="488"/>
        <v>-5786.4161756232461</v>
      </c>
      <c r="BB358" s="10">
        <f t="shared" ca="1" si="488"/>
        <v>-6017.8728226481762</v>
      </c>
      <c r="BC358" s="10">
        <f t="shared" ca="1" si="488"/>
        <v>-6249.3294696731064</v>
      </c>
      <c r="BD358" s="10">
        <f t="shared" ca="1" si="488"/>
        <v>-6480.7861166980365</v>
      </c>
      <c r="BE358" s="10">
        <f t="shared" ca="1" si="488"/>
        <v>-6712.2427637229666</v>
      </c>
      <c r="BF358" s="10">
        <f t="shared" ca="1" si="488"/>
        <v>-6943.6994107478968</v>
      </c>
      <c r="BG358" s="10">
        <f t="shared" ca="1" si="488"/>
        <v>-7175.1560577728269</v>
      </c>
      <c r="BH358" s="10">
        <f t="shared" ca="1" si="488"/>
        <v>-7406.612704797757</v>
      </c>
      <c r="BI358" s="10">
        <f t="shared" ca="1" si="488"/>
        <v>-7638.0693518226872</v>
      </c>
      <c r="BJ358" s="10">
        <f t="shared" ca="1" si="488"/>
        <v>-7869.5259988476173</v>
      </c>
      <c r="BK358" s="10">
        <f t="shared" ca="1" si="488"/>
        <v>-8100.9826458725474</v>
      </c>
      <c r="BL358" s="10">
        <f t="shared" ca="1" si="488"/>
        <v>-8332.4392928974776</v>
      </c>
      <c r="BM358" s="10">
        <f t="shared" ca="1" si="488"/>
        <v>-8563.8959399224077</v>
      </c>
      <c r="BN358" s="10">
        <f t="shared" ca="1" si="488"/>
        <v>-8795.3525869473378</v>
      </c>
      <c r="BO358" s="10">
        <f t="shared" ca="1" si="488"/>
        <v>-9026.809233972268</v>
      </c>
      <c r="BP358" s="10">
        <f t="shared" ca="1" si="488"/>
        <v>-9258.2658809971981</v>
      </c>
      <c r="BQ358" s="10">
        <f t="shared" ca="1" si="488"/>
        <v>-9489.7225280221282</v>
      </c>
      <c r="BR358" s="10">
        <f t="shared" ca="1" si="488"/>
        <v>-9721.1791750470584</v>
      </c>
      <c r="BS358" s="10">
        <f t="shared" ca="1" si="488"/>
        <v>-9952.6358220719885</v>
      </c>
      <c r="BT358" s="10">
        <f t="shared" ca="1" si="488"/>
        <v>-10184.092469096919</v>
      </c>
      <c r="BU358" s="10">
        <f t="shared" ca="1" si="488"/>
        <v>-10415.549116121849</v>
      </c>
      <c r="BV358" s="10">
        <f t="shared" ca="1" si="488"/>
        <v>-10647.005763146779</v>
      </c>
      <c r="BW358" s="10">
        <f t="shared" ca="1" si="488"/>
        <v>-10878.462410171709</v>
      </c>
      <c r="BX358" s="10">
        <f t="shared" ref="BX358:CO358" ca="1" si="489">SUM(BW358,-BX357)</f>
        <v>-11109.919057196639</v>
      </c>
      <c r="BY358" s="10">
        <f t="shared" ca="1" si="489"/>
        <v>-11341.375704221569</v>
      </c>
      <c r="BZ358" s="10">
        <f t="shared" ca="1" si="489"/>
        <v>-11572.832351246499</v>
      </c>
      <c r="CA358" s="10">
        <f t="shared" ca="1" si="489"/>
        <v>-11804.28899827143</v>
      </c>
      <c r="CB358" s="10">
        <f t="shared" ca="1" si="489"/>
        <v>-12035.74564529636</v>
      </c>
      <c r="CC358" s="10">
        <f t="shared" ca="1" si="489"/>
        <v>-12267.20229232129</v>
      </c>
      <c r="CD358" s="10">
        <f t="shared" ca="1" si="489"/>
        <v>-12498.65893934622</v>
      </c>
      <c r="CE358" s="10">
        <f t="shared" ca="1" si="489"/>
        <v>-12730.11558637115</v>
      </c>
      <c r="CF358" s="10">
        <f t="shared" ca="1" si="489"/>
        <v>-12961.57223339608</v>
      </c>
      <c r="CG358" s="10">
        <f t="shared" ca="1" si="489"/>
        <v>-13193.02888042101</v>
      </c>
      <c r="CH358" s="10">
        <f t="shared" ca="1" si="489"/>
        <v>-13424.485527445941</v>
      </c>
      <c r="CI358" s="10">
        <f t="shared" ca="1" si="489"/>
        <v>-13655.942174470871</v>
      </c>
      <c r="CJ358" s="10">
        <f t="shared" ca="1" si="489"/>
        <v>-13887.398821495801</v>
      </c>
      <c r="CK358" s="10">
        <f t="shared" ca="1" si="489"/>
        <v>-14118.855468520731</v>
      </c>
      <c r="CL358" s="10">
        <f t="shared" ca="1" si="489"/>
        <v>-14350.312115545661</v>
      </c>
      <c r="CM358" s="10">
        <f t="shared" ca="1" si="489"/>
        <v>-14581.768762570591</v>
      </c>
      <c r="CN358" s="10">
        <f t="shared" ca="1" si="489"/>
        <v>-14813.225409595521</v>
      </c>
      <c r="CO358" s="10">
        <f t="shared" ca="1" si="489"/>
        <v>-15044.682056620451</v>
      </c>
    </row>
    <row r="359" spans="1:93">
      <c r="A359" s="10"/>
      <c r="B359" s="10"/>
      <c r="C359" s="17" t="s">
        <v>128</v>
      </c>
      <c r="D359" s="10"/>
      <c r="E359" s="62"/>
      <c r="F359" s="11"/>
      <c r="G359" s="134" t="str">
        <f t="shared" si="474"/>
        <v>тыс. руб.</v>
      </c>
      <c r="H359" s="10"/>
      <c r="I359" s="10"/>
      <c r="J359" s="10"/>
      <c r="K359" s="10"/>
      <c r="L359" s="10">
        <f t="shared" ref="L359:Q359" ca="1" si="490">SUM(L356,L358)</f>
        <v>0</v>
      </c>
      <c r="M359" s="10">
        <f t="shared" ca="1" si="490"/>
        <v>0</v>
      </c>
      <c r="N359" s="10">
        <f t="shared" ca="1" si="490"/>
        <v>0</v>
      </c>
      <c r="O359" s="10">
        <f t="shared" ca="1" si="490"/>
        <v>0</v>
      </c>
      <c r="P359" s="10">
        <f t="shared" ca="1" si="490"/>
        <v>0</v>
      </c>
      <c r="Q359" s="10">
        <f t="shared" ca="1" si="490"/>
        <v>0</v>
      </c>
      <c r="R359" s="10">
        <f ca="1">SUM(R356,R358)</f>
        <v>0</v>
      </c>
      <c r="S359" s="10">
        <f t="shared" ref="S359:CD359" ca="1" si="491">SUM(S356,S358)</f>
        <v>0</v>
      </c>
      <c r="T359" s="10">
        <f t="shared" ca="1" si="491"/>
        <v>0</v>
      </c>
      <c r="U359" s="10">
        <f t="shared" ca="1" si="491"/>
        <v>0</v>
      </c>
      <c r="V359" s="10">
        <f t="shared" ca="1" si="491"/>
        <v>0</v>
      </c>
      <c r="W359" s="10">
        <f t="shared" ca="1" si="491"/>
        <v>0</v>
      </c>
      <c r="X359" s="10">
        <f t="shared" ca="1" si="491"/>
        <v>0</v>
      </c>
      <c r="Y359" s="10">
        <f t="shared" ca="1" si="491"/>
        <v>0</v>
      </c>
      <c r="Z359" s="10">
        <f t="shared" ca="1" si="491"/>
        <v>0</v>
      </c>
      <c r="AA359" s="10">
        <f t="shared" ca="1" si="491"/>
        <v>0</v>
      </c>
      <c r="AB359" s="10">
        <f t="shared" ca="1" si="491"/>
        <v>27774.797642991573</v>
      </c>
      <c r="AC359" s="10">
        <f t="shared" ca="1" si="491"/>
        <v>27543.340995966642</v>
      </c>
      <c r="AD359" s="10">
        <f t="shared" ca="1" si="491"/>
        <v>27311.884348941712</v>
      </c>
      <c r="AE359" s="10">
        <f t="shared" ca="1" si="491"/>
        <v>27080.427701916782</v>
      </c>
      <c r="AF359" s="10">
        <f t="shared" ca="1" si="491"/>
        <v>26848.971054891852</v>
      </c>
      <c r="AG359" s="10">
        <f t="shared" ca="1" si="491"/>
        <v>26617.514407866925</v>
      </c>
      <c r="AH359" s="10">
        <f t="shared" ca="1" si="491"/>
        <v>26386.057760841995</v>
      </c>
      <c r="AI359" s="10">
        <f t="shared" ca="1" si="491"/>
        <v>26154.601113817065</v>
      </c>
      <c r="AJ359" s="10">
        <f t="shared" ca="1" si="491"/>
        <v>25923.144466792135</v>
      </c>
      <c r="AK359" s="10">
        <f t="shared" ca="1" si="491"/>
        <v>25691.687819767205</v>
      </c>
      <c r="AL359" s="10">
        <f t="shared" ca="1" si="491"/>
        <v>25460.231172742275</v>
      </c>
      <c r="AM359" s="10">
        <f t="shared" ca="1" si="491"/>
        <v>25228.774525717345</v>
      </c>
      <c r="AN359" s="10">
        <f t="shared" ca="1" si="491"/>
        <v>24997.317878692415</v>
      </c>
      <c r="AO359" s="10">
        <f t="shared" ca="1" si="491"/>
        <v>24765.861231667484</v>
      </c>
      <c r="AP359" s="10">
        <f t="shared" ca="1" si="491"/>
        <v>24534.404584642558</v>
      </c>
      <c r="AQ359" s="10">
        <f t="shared" ca="1" si="491"/>
        <v>24302.947937617628</v>
      </c>
      <c r="AR359" s="10">
        <f t="shared" ca="1" si="491"/>
        <v>24071.491290592698</v>
      </c>
      <c r="AS359" s="10">
        <f t="shared" ca="1" si="491"/>
        <v>23840.034643567767</v>
      </c>
      <c r="AT359" s="10">
        <f t="shared" ca="1" si="491"/>
        <v>23608.577996542837</v>
      </c>
      <c r="AU359" s="10">
        <f t="shared" ca="1" si="491"/>
        <v>23377.121349517907</v>
      </c>
      <c r="AV359" s="10">
        <f t="shared" ca="1" si="491"/>
        <v>23145.664702492977</v>
      </c>
      <c r="AW359" s="10">
        <f t="shared" ca="1" si="491"/>
        <v>22914.208055468047</v>
      </c>
      <c r="AX359" s="10">
        <f t="shared" ca="1" si="491"/>
        <v>22682.751408443117</v>
      </c>
      <c r="AY359" s="10">
        <f t="shared" ca="1" si="491"/>
        <v>22451.294761418187</v>
      </c>
      <c r="AZ359" s="10">
        <f t="shared" ca="1" si="491"/>
        <v>22219.838114393257</v>
      </c>
      <c r="BA359" s="10">
        <f t="shared" ca="1" si="491"/>
        <v>21988.381467368326</v>
      </c>
      <c r="BB359" s="10">
        <f t="shared" ca="1" si="491"/>
        <v>21756.924820343396</v>
      </c>
      <c r="BC359" s="10">
        <f t="shared" ca="1" si="491"/>
        <v>21525.468173318466</v>
      </c>
      <c r="BD359" s="10">
        <f t="shared" ca="1" si="491"/>
        <v>21294.011526293536</v>
      </c>
      <c r="BE359" s="10">
        <f t="shared" ca="1" si="491"/>
        <v>21062.554879268606</v>
      </c>
      <c r="BF359" s="10">
        <f t="shared" ca="1" si="491"/>
        <v>20831.098232243676</v>
      </c>
      <c r="BG359" s="10">
        <f t="shared" ca="1" si="491"/>
        <v>20599.641585218746</v>
      </c>
      <c r="BH359" s="10">
        <f t="shared" ca="1" si="491"/>
        <v>20368.184938193815</v>
      </c>
      <c r="BI359" s="10">
        <f t="shared" ca="1" si="491"/>
        <v>20136.728291168885</v>
      </c>
      <c r="BJ359" s="10">
        <f t="shared" ca="1" si="491"/>
        <v>19905.271644143955</v>
      </c>
      <c r="BK359" s="10">
        <f t="shared" ca="1" si="491"/>
        <v>19673.814997119025</v>
      </c>
      <c r="BL359" s="10">
        <f t="shared" ca="1" si="491"/>
        <v>19442.358350094095</v>
      </c>
      <c r="BM359" s="10">
        <f t="shared" ca="1" si="491"/>
        <v>19210.901703069165</v>
      </c>
      <c r="BN359" s="10">
        <f t="shared" ca="1" si="491"/>
        <v>18979.445056044235</v>
      </c>
      <c r="BO359" s="10">
        <f t="shared" ca="1" si="491"/>
        <v>18747.988409019305</v>
      </c>
      <c r="BP359" s="10">
        <f t="shared" ca="1" si="491"/>
        <v>18516.531761994374</v>
      </c>
      <c r="BQ359" s="10">
        <f t="shared" ca="1" si="491"/>
        <v>18285.075114969444</v>
      </c>
      <c r="BR359" s="10">
        <f t="shared" ca="1" si="491"/>
        <v>18053.618467944514</v>
      </c>
      <c r="BS359" s="10">
        <f t="shared" ca="1" si="491"/>
        <v>17822.161820919584</v>
      </c>
      <c r="BT359" s="10">
        <f t="shared" ca="1" si="491"/>
        <v>17590.705173894654</v>
      </c>
      <c r="BU359" s="10">
        <f t="shared" ca="1" si="491"/>
        <v>17359.248526869724</v>
      </c>
      <c r="BV359" s="10">
        <f t="shared" ca="1" si="491"/>
        <v>17127.791879844794</v>
      </c>
      <c r="BW359" s="10">
        <f t="shared" ca="1" si="491"/>
        <v>16896.335232819863</v>
      </c>
      <c r="BX359" s="10">
        <f t="shared" ca="1" si="491"/>
        <v>16664.878585794933</v>
      </c>
      <c r="BY359" s="10">
        <f t="shared" ca="1" si="491"/>
        <v>16433.421938770003</v>
      </c>
      <c r="BZ359" s="10">
        <f t="shared" ca="1" si="491"/>
        <v>16201.965291745073</v>
      </c>
      <c r="CA359" s="10">
        <f t="shared" ca="1" si="491"/>
        <v>15970.508644720143</v>
      </c>
      <c r="CB359" s="10">
        <f t="shared" ca="1" si="491"/>
        <v>15739.051997695213</v>
      </c>
      <c r="CC359" s="10">
        <f t="shared" ca="1" si="491"/>
        <v>15507.595350670283</v>
      </c>
      <c r="CD359" s="10">
        <f t="shared" ca="1" si="491"/>
        <v>15276.138703645353</v>
      </c>
      <c r="CE359" s="10">
        <f t="shared" ref="CE359:CO359" ca="1" si="492">SUM(CE356,CE358)</f>
        <v>15044.682056620422</v>
      </c>
      <c r="CF359" s="10">
        <f t="shared" ca="1" si="492"/>
        <v>14813.225409595492</v>
      </c>
      <c r="CG359" s="10">
        <f t="shared" ca="1" si="492"/>
        <v>14581.768762570562</v>
      </c>
      <c r="CH359" s="10">
        <f t="shared" ca="1" si="492"/>
        <v>14350.312115545632</v>
      </c>
      <c r="CI359" s="10">
        <f t="shared" ca="1" si="492"/>
        <v>14118.855468520702</v>
      </c>
      <c r="CJ359" s="10">
        <f t="shared" ca="1" si="492"/>
        <v>13887.398821495772</v>
      </c>
      <c r="CK359" s="10">
        <f t="shared" ca="1" si="492"/>
        <v>13655.942174470842</v>
      </c>
      <c r="CL359" s="10">
        <f t="shared" ca="1" si="492"/>
        <v>13424.485527445911</v>
      </c>
      <c r="CM359" s="10">
        <f t="shared" ca="1" si="492"/>
        <v>13193.028880420981</v>
      </c>
      <c r="CN359" s="10">
        <f t="shared" ca="1" si="492"/>
        <v>12961.572233396051</v>
      </c>
      <c r="CO359" s="10">
        <f t="shared" ca="1" si="492"/>
        <v>12730.115586371121</v>
      </c>
    </row>
    <row r="360" spans="1:93">
      <c r="A360" s="10"/>
      <c r="B360" s="10"/>
      <c r="C360" s="17"/>
      <c r="D360" s="10"/>
      <c r="E360" s="62"/>
      <c r="F360" s="11"/>
      <c r="G360" s="11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  <c r="CG360" s="10"/>
      <c r="CH360" s="10"/>
      <c r="CI360" s="10"/>
      <c r="CJ360" s="10"/>
      <c r="CK360" s="10"/>
      <c r="CL360" s="10"/>
      <c r="CM360" s="10"/>
      <c r="CN360" s="10"/>
      <c r="CO360" s="10"/>
    </row>
    <row r="361" spans="1:93">
      <c r="A361" s="10"/>
      <c r="B361" s="10"/>
      <c r="C361" s="87" t="s">
        <v>581</v>
      </c>
      <c r="D361" s="10"/>
      <c r="E361" s="10"/>
      <c r="F361" s="10"/>
      <c r="G361" s="11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  <c r="CG361" s="10"/>
      <c r="CH361" s="10"/>
      <c r="CI361" s="10"/>
      <c r="CJ361" s="10"/>
      <c r="CK361" s="10"/>
      <c r="CL361" s="10"/>
      <c r="CM361" s="10"/>
      <c r="CN361" s="10"/>
      <c r="CO361" s="10"/>
    </row>
    <row r="362" spans="1:93">
      <c r="A362" s="10"/>
      <c r="B362" s="10"/>
      <c r="C362" s="17" t="s">
        <v>386</v>
      </c>
      <c r="D362" s="10"/>
      <c r="E362" s="184">
        <f>Предпосылки!E366</f>
        <v>30</v>
      </c>
      <c r="F362" s="11"/>
      <c r="G362" s="11" t="s">
        <v>123</v>
      </c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  <c r="CG362" s="10"/>
      <c r="CH362" s="10"/>
      <c r="CI362" s="10"/>
      <c r="CJ362" s="10"/>
      <c r="CK362" s="10"/>
      <c r="CL362" s="10"/>
      <c r="CM362" s="10"/>
      <c r="CN362" s="10"/>
      <c r="CO362" s="10"/>
    </row>
    <row r="363" spans="1:93">
      <c r="A363" s="10"/>
      <c r="B363" s="10"/>
      <c r="C363" s="17" t="s">
        <v>387</v>
      </c>
      <c r="D363" s="10"/>
      <c r="F363" s="11"/>
      <c r="G363" s="11" t="s">
        <v>28</v>
      </c>
      <c r="H363" s="10"/>
      <c r="I363" s="10"/>
      <c r="J363" s="10"/>
      <c r="K363" s="10"/>
      <c r="L363" s="157">
        <f t="shared" ref="L363:Q363" si="493">IF($E362&lt;&gt;0,1/$E362,0)/Periods_in_Year</f>
        <v>8.3333333333333332E-3</v>
      </c>
      <c r="M363" s="157">
        <f t="shared" si="493"/>
        <v>8.3333333333333332E-3</v>
      </c>
      <c r="N363" s="157">
        <f t="shared" si="493"/>
        <v>8.3333333333333332E-3</v>
      </c>
      <c r="O363" s="157">
        <f t="shared" si="493"/>
        <v>8.3333333333333332E-3</v>
      </c>
      <c r="P363" s="157">
        <f t="shared" si="493"/>
        <v>8.3333333333333332E-3</v>
      </c>
      <c r="Q363" s="157">
        <f t="shared" si="493"/>
        <v>8.3333333333333332E-3</v>
      </c>
      <c r="R363" s="157">
        <f>IF($E362&lt;&gt;0,1/$E362,0)/Periods_in_Year</f>
        <v>8.3333333333333332E-3</v>
      </c>
      <c r="S363" s="157">
        <f t="shared" ref="S363:CD363" si="494">IF($E362&lt;&gt;0,1/$E362,0)/Periods_in_Year</f>
        <v>8.3333333333333332E-3</v>
      </c>
      <c r="T363" s="157">
        <f t="shared" si="494"/>
        <v>8.3333333333333332E-3</v>
      </c>
      <c r="U363" s="157">
        <f t="shared" si="494"/>
        <v>8.3333333333333332E-3</v>
      </c>
      <c r="V363" s="157">
        <f t="shared" si="494"/>
        <v>8.3333333333333332E-3</v>
      </c>
      <c r="W363" s="157">
        <f t="shared" si="494"/>
        <v>8.3333333333333332E-3</v>
      </c>
      <c r="X363" s="157">
        <f t="shared" si="494"/>
        <v>8.3333333333333332E-3</v>
      </c>
      <c r="Y363" s="157">
        <f t="shared" si="494"/>
        <v>8.3333333333333332E-3</v>
      </c>
      <c r="Z363" s="157">
        <f t="shared" si="494"/>
        <v>8.3333333333333332E-3</v>
      </c>
      <c r="AA363" s="157">
        <f t="shared" si="494"/>
        <v>8.3333333333333332E-3</v>
      </c>
      <c r="AB363" s="157">
        <f t="shared" si="494"/>
        <v>8.3333333333333332E-3</v>
      </c>
      <c r="AC363" s="157">
        <f t="shared" si="494"/>
        <v>8.3333333333333332E-3</v>
      </c>
      <c r="AD363" s="157">
        <f t="shared" si="494"/>
        <v>8.3333333333333332E-3</v>
      </c>
      <c r="AE363" s="157">
        <f t="shared" si="494"/>
        <v>8.3333333333333332E-3</v>
      </c>
      <c r="AF363" s="157">
        <f t="shared" si="494"/>
        <v>8.3333333333333332E-3</v>
      </c>
      <c r="AG363" s="157">
        <f t="shared" si="494"/>
        <v>8.3333333333333332E-3</v>
      </c>
      <c r="AH363" s="157">
        <f t="shared" si="494"/>
        <v>8.3333333333333332E-3</v>
      </c>
      <c r="AI363" s="157">
        <f t="shared" si="494"/>
        <v>8.3333333333333332E-3</v>
      </c>
      <c r="AJ363" s="157">
        <f t="shared" si="494"/>
        <v>8.3333333333333332E-3</v>
      </c>
      <c r="AK363" s="157">
        <f t="shared" si="494"/>
        <v>8.3333333333333332E-3</v>
      </c>
      <c r="AL363" s="157">
        <f t="shared" si="494"/>
        <v>8.3333333333333332E-3</v>
      </c>
      <c r="AM363" s="157">
        <f t="shared" si="494"/>
        <v>8.3333333333333332E-3</v>
      </c>
      <c r="AN363" s="157">
        <f t="shared" si="494"/>
        <v>8.3333333333333332E-3</v>
      </c>
      <c r="AO363" s="157">
        <f t="shared" si="494"/>
        <v>8.3333333333333332E-3</v>
      </c>
      <c r="AP363" s="157">
        <f t="shared" si="494"/>
        <v>8.3333333333333332E-3</v>
      </c>
      <c r="AQ363" s="157">
        <f t="shared" si="494"/>
        <v>8.3333333333333332E-3</v>
      </c>
      <c r="AR363" s="157">
        <f t="shared" si="494"/>
        <v>8.3333333333333332E-3</v>
      </c>
      <c r="AS363" s="157">
        <f t="shared" si="494"/>
        <v>8.3333333333333332E-3</v>
      </c>
      <c r="AT363" s="157">
        <f t="shared" si="494"/>
        <v>8.3333333333333332E-3</v>
      </c>
      <c r="AU363" s="157">
        <f t="shared" si="494"/>
        <v>8.3333333333333332E-3</v>
      </c>
      <c r="AV363" s="157">
        <f t="shared" si="494"/>
        <v>8.3333333333333332E-3</v>
      </c>
      <c r="AW363" s="157">
        <f t="shared" si="494"/>
        <v>8.3333333333333332E-3</v>
      </c>
      <c r="AX363" s="157">
        <f t="shared" si="494"/>
        <v>8.3333333333333332E-3</v>
      </c>
      <c r="AY363" s="157">
        <f t="shared" si="494"/>
        <v>8.3333333333333332E-3</v>
      </c>
      <c r="AZ363" s="157">
        <f t="shared" si="494"/>
        <v>8.3333333333333332E-3</v>
      </c>
      <c r="BA363" s="157">
        <f t="shared" si="494"/>
        <v>8.3333333333333332E-3</v>
      </c>
      <c r="BB363" s="157">
        <f t="shared" si="494"/>
        <v>8.3333333333333332E-3</v>
      </c>
      <c r="BC363" s="157">
        <f t="shared" si="494"/>
        <v>8.3333333333333332E-3</v>
      </c>
      <c r="BD363" s="157">
        <f t="shared" si="494"/>
        <v>8.3333333333333332E-3</v>
      </c>
      <c r="BE363" s="157">
        <f t="shared" si="494"/>
        <v>8.3333333333333332E-3</v>
      </c>
      <c r="BF363" s="157">
        <f t="shared" si="494"/>
        <v>8.3333333333333332E-3</v>
      </c>
      <c r="BG363" s="157">
        <f t="shared" si="494"/>
        <v>8.3333333333333332E-3</v>
      </c>
      <c r="BH363" s="157">
        <f t="shared" si="494"/>
        <v>8.3333333333333332E-3</v>
      </c>
      <c r="BI363" s="157">
        <f t="shared" si="494"/>
        <v>8.3333333333333332E-3</v>
      </c>
      <c r="BJ363" s="157">
        <f t="shared" si="494"/>
        <v>8.3333333333333332E-3</v>
      </c>
      <c r="BK363" s="157">
        <f t="shared" si="494"/>
        <v>8.3333333333333332E-3</v>
      </c>
      <c r="BL363" s="157">
        <f t="shared" si="494"/>
        <v>8.3333333333333332E-3</v>
      </c>
      <c r="BM363" s="157">
        <f t="shared" si="494"/>
        <v>8.3333333333333332E-3</v>
      </c>
      <c r="BN363" s="157">
        <f t="shared" si="494"/>
        <v>8.3333333333333332E-3</v>
      </c>
      <c r="BO363" s="157">
        <f t="shared" si="494"/>
        <v>8.3333333333333332E-3</v>
      </c>
      <c r="BP363" s="157">
        <f t="shared" si="494"/>
        <v>8.3333333333333332E-3</v>
      </c>
      <c r="BQ363" s="157">
        <f t="shared" si="494"/>
        <v>8.3333333333333332E-3</v>
      </c>
      <c r="BR363" s="157">
        <f t="shared" si="494"/>
        <v>8.3333333333333332E-3</v>
      </c>
      <c r="BS363" s="157">
        <f t="shared" si="494"/>
        <v>8.3333333333333332E-3</v>
      </c>
      <c r="BT363" s="157">
        <f t="shared" si="494"/>
        <v>8.3333333333333332E-3</v>
      </c>
      <c r="BU363" s="157">
        <f t="shared" si="494"/>
        <v>8.3333333333333332E-3</v>
      </c>
      <c r="BV363" s="157">
        <f t="shared" si="494"/>
        <v>8.3333333333333332E-3</v>
      </c>
      <c r="BW363" s="157">
        <f t="shared" si="494"/>
        <v>8.3333333333333332E-3</v>
      </c>
      <c r="BX363" s="157">
        <f t="shared" si="494"/>
        <v>8.3333333333333332E-3</v>
      </c>
      <c r="BY363" s="157">
        <f t="shared" si="494"/>
        <v>8.3333333333333332E-3</v>
      </c>
      <c r="BZ363" s="157">
        <f t="shared" si="494"/>
        <v>8.3333333333333332E-3</v>
      </c>
      <c r="CA363" s="157">
        <f t="shared" si="494"/>
        <v>8.3333333333333332E-3</v>
      </c>
      <c r="CB363" s="157">
        <f t="shared" si="494"/>
        <v>8.3333333333333332E-3</v>
      </c>
      <c r="CC363" s="157">
        <f t="shared" si="494"/>
        <v>8.3333333333333332E-3</v>
      </c>
      <c r="CD363" s="157">
        <f t="shared" si="494"/>
        <v>8.3333333333333332E-3</v>
      </c>
      <c r="CE363" s="157">
        <f t="shared" ref="CE363:CO363" si="495">IF($E362&lt;&gt;0,1/$E362,0)/Periods_in_Year</f>
        <v>8.3333333333333332E-3</v>
      </c>
      <c r="CF363" s="157">
        <f t="shared" si="495"/>
        <v>8.3333333333333332E-3</v>
      </c>
      <c r="CG363" s="157">
        <f t="shared" si="495"/>
        <v>8.3333333333333332E-3</v>
      </c>
      <c r="CH363" s="157">
        <f t="shared" si="495"/>
        <v>8.3333333333333332E-3</v>
      </c>
      <c r="CI363" s="157">
        <f t="shared" si="495"/>
        <v>8.3333333333333332E-3</v>
      </c>
      <c r="CJ363" s="157">
        <f t="shared" si="495"/>
        <v>8.3333333333333332E-3</v>
      </c>
      <c r="CK363" s="157">
        <f t="shared" si="495"/>
        <v>8.3333333333333332E-3</v>
      </c>
      <c r="CL363" s="157">
        <f t="shared" si="495"/>
        <v>8.3333333333333332E-3</v>
      </c>
      <c r="CM363" s="157">
        <f t="shared" si="495"/>
        <v>8.3333333333333332E-3</v>
      </c>
      <c r="CN363" s="157">
        <f t="shared" si="495"/>
        <v>8.3333333333333332E-3</v>
      </c>
      <c r="CO363" s="157">
        <f t="shared" si="495"/>
        <v>8.3333333333333332E-3</v>
      </c>
    </row>
    <row r="364" spans="1:93">
      <c r="A364" s="10"/>
      <c r="B364" s="10"/>
      <c r="C364" s="17" t="s">
        <v>125</v>
      </c>
      <c r="D364" s="10"/>
      <c r="E364" s="62"/>
      <c r="F364" s="11"/>
      <c r="G364" s="134" t="str">
        <f t="shared" ref="G364:G369" si="496">Monetary_Unit</f>
        <v>тыс. руб.</v>
      </c>
      <c r="H364" s="10"/>
      <c r="I364" s="10"/>
      <c r="J364" s="10"/>
      <c r="K364" s="10"/>
      <c r="L364" s="10">
        <f t="shared" ref="L364:AQ364" si="497">K369</f>
        <v>0</v>
      </c>
      <c r="M364" s="10">
        <f t="shared" ca="1" si="497"/>
        <v>0</v>
      </c>
      <c r="N364" s="10">
        <f t="shared" ca="1" si="497"/>
        <v>0</v>
      </c>
      <c r="O364" s="10">
        <f t="shared" ca="1" si="497"/>
        <v>0</v>
      </c>
      <c r="P364" s="10">
        <f t="shared" ca="1" si="497"/>
        <v>0</v>
      </c>
      <c r="Q364" s="10">
        <f t="shared" ca="1" si="497"/>
        <v>0</v>
      </c>
      <c r="R364" s="10">
        <f t="shared" ca="1" si="497"/>
        <v>0</v>
      </c>
      <c r="S364" s="10">
        <f t="shared" ca="1" si="497"/>
        <v>0</v>
      </c>
      <c r="T364" s="10">
        <f t="shared" ca="1" si="497"/>
        <v>0</v>
      </c>
      <c r="U364" s="10">
        <f t="shared" ca="1" si="497"/>
        <v>0</v>
      </c>
      <c r="V364" s="10">
        <f t="shared" ca="1" si="497"/>
        <v>0</v>
      </c>
      <c r="W364" s="10">
        <f t="shared" ca="1" si="497"/>
        <v>0</v>
      </c>
      <c r="X364" s="10">
        <f t="shared" ca="1" si="497"/>
        <v>0</v>
      </c>
      <c r="Y364" s="10">
        <f t="shared" ca="1" si="497"/>
        <v>0</v>
      </c>
      <c r="Z364" s="10">
        <f t="shared" ca="1" si="497"/>
        <v>0</v>
      </c>
      <c r="AA364" s="10">
        <f t="shared" ca="1" si="497"/>
        <v>0</v>
      </c>
      <c r="AB364" s="10">
        <f t="shared" ca="1" si="497"/>
        <v>0</v>
      </c>
      <c r="AC364" s="10">
        <f t="shared" ca="1" si="497"/>
        <v>2465463.0653563468</v>
      </c>
      <c r="AD364" s="10">
        <f t="shared" ca="1" si="497"/>
        <v>2444917.5398117104</v>
      </c>
      <c r="AE364" s="10">
        <f t="shared" ca="1" si="497"/>
        <v>2424372.0142670744</v>
      </c>
      <c r="AF364" s="10">
        <f t="shared" ca="1" si="497"/>
        <v>2403826.488722438</v>
      </c>
      <c r="AG364" s="10">
        <f t="shared" ca="1" si="497"/>
        <v>2383280.963177802</v>
      </c>
      <c r="AH364" s="10">
        <f t="shared" ca="1" si="497"/>
        <v>2362735.4376331656</v>
      </c>
      <c r="AI364" s="10">
        <f t="shared" ca="1" si="497"/>
        <v>2342189.9120885292</v>
      </c>
      <c r="AJ364" s="10">
        <f t="shared" ca="1" si="497"/>
        <v>2321644.3865438933</v>
      </c>
      <c r="AK364" s="10">
        <f t="shared" ca="1" si="497"/>
        <v>2301098.8609992568</v>
      </c>
      <c r="AL364" s="10">
        <f t="shared" ca="1" si="497"/>
        <v>2280553.3354546209</v>
      </c>
      <c r="AM364" s="10">
        <f t="shared" ca="1" si="497"/>
        <v>2260007.8099099845</v>
      </c>
      <c r="AN364" s="10">
        <f t="shared" ca="1" si="497"/>
        <v>2239462.2843653485</v>
      </c>
      <c r="AO364" s="10">
        <f t="shared" ca="1" si="497"/>
        <v>2218916.7588207121</v>
      </c>
      <c r="AP364" s="10">
        <f t="shared" ca="1" si="497"/>
        <v>2198371.2332760757</v>
      </c>
      <c r="AQ364" s="10">
        <f t="shared" ca="1" si="497"/>
        <v>2177825.7077314397</v>
      </c>
      <c r="AR364" s="10">
        <f t="shared" ref="AR364:BW364" ca="1" si="498">AQ369</f>
        <v>2157280.1821868033</v>
      </c>
      <c r="AS364" s="10">
        <f t="shared" ca="1" si="498"/>
        <v>2136734.6566421674</v>
      </c>
      <c r="AT364" s="10">
        <f t="shared" ca="1" si="498"/>
        <v>2116189.1310975309</v>
      </c>
      <c r="AU364" s="10">
        <f t="shared" ca="1" si="498"/>
        <v>2095643.6055528948</v>
      </c>
      <c r="AV364" s="10">
        <f t="shared" ca="1" si="498"/>
        <v>2075098.0800082586</v>
      </c>
      <c r="AW364" s="10">
        <f t="shared" ca="1" si="498"/>
        <v>2054552.5544636222</v>
      </c>
      <c r="AX364" s="10">
        <f t="shared" ca="1" si="498"/>
        <v>2034007.028918986</v>
      </c>
      <c r="AY364" s="10">
        <f t="shared" ca="1" si="498"/>
        <v>2013461.5033743498</v>
      </c>
      <c r="AZ364" s="10">
        <f t="shared" ca="1" si="498"/>
        <v>1992915.9778297134</v>
      </c>
      <c r="BA364" s="10">
        <f t="shared" ca="1" si="498"/>
        <v>1972370.4522850772</v>
      </c>
      <c r="BB364" s="10">
        <f t="shared" ca="1" si="498"/>
        <v>1951824.926740441</v>
      </c>
      <c r="BC364" s="10">
        <f t="shared" ca="1" si="498"/>
        <v>1931279.4011958048</v>
      </c>
      <c r="BD364" s="10">
        <f t="shared" ca="1" si="498"/>
        <v>1910733.8756511686</v>
      </c>
      <c r="BE364" s="10">
        <f t="shared" ca="1" si="498"/>
        <v>1890188.3501065325</v>
      </c>
      <c r="BF364" s="10">
        <f t="shared" ca="1" si="498"/>
        <v>1869642.8245618963</v>
      </c>
      <c r="BG364" s="10">
        <f t="shared" ca="1" si="498"/>
        <v>1849097.2990172601</v>
      </c>
      <c r="BH364" s="10">
        <f t="shared" ca="1" si="498"/>
        <v>1828551.7734726239</v>
      </c>
      <c r="BI364" s="10">
        <f t="shared" ca="1" si="498"/>
        <v>1808006.2479279877</v>
      </c>
      <c r="BJ364" s="10">
        <f t="shared" ca="1" si="498"/>
        <v>1787460.7223833515</v>
      </c>
      <c r="BK364" s="10">
        <f t="shared" ca="1" si="498"/>
        <v>1766915.1968387153</v>
      </c>
      <c r="BL364" s="10">
        <f t="shared" ca="1" si="498"/>
        <v>1746369.6712940792</v>
      </c>
      <c r="BM364" s="10">
        <f t="shared" ca="1" si="498"/>
        <v>1725824.145749443</v>
      </c>
      <c r="BN364" s="10">
        <f t="shared" ca="1" si="498"/>
        <v>1705278.6202048068</v>
      </c>
      <c r="BO364" s="10">
        <f t="shared" ca="1" si="498"/>
        <v>1684733.0946601706</v>
      </c>
      <c r="BP364" s="10">
        <f t="shared" ca="1" si="498"/>
        <v>1664187.5691155344</v>
      </c>
      <c r="BQ364" s="10">
        <f t="shared" ca="1" si="498"/>
        <v>1643642.0435708982</v>
      </c>
      <c r="BR364" s="10">
        <f t="shared" ca="1" si="498"/>
        <v>1623096.5180262621</v>
      </c>
      <c r="BS364" s="10">
        <f t="shared" ca="1" si="498"/>
        <v>1602550.9924816259</v>
      </c>
      <c r="BT364" s="10">
        <f t="shared" ca="1" si="498"/>
        <v>1582005.4669369897</v>
      </c>
      <c r="BU364" s="10">
        <f t="shared" ca="1" si="498"/>
        <v>1561459.9413923535</v>
      </c>
      <c r="BV364" s="10">
        <f t="shared" ca="1" si="498"/>
        <v>1540914.4158477173</v>
      </c>
      <c r="BW364" s="10">
        <f t="shared" ca="1" si="498"/>
        <v>1520368.8903030811</v>
      </c>
      <c r="BX364" s="10">
        <f t="shared" ref="BX364:CO364" ca="1" si="499">BW369</f>
        <v>1499823.3647584449</v>
      </c>
      <c r="BY364" s="10">
        <f t="shared" ca="1" si="499"/>
        <v>1479277.8392138088</v>
      </c>
      <c r="BZ364" s="10">
        <f t="shared" ca="1" si="499"/>
        <v>1458732.3136691726</v>
      </c>
      <c r="CA364" s="10">
        <f t="shared" ca="1" si="499"/>
        <v>1438186.7881245364</v>
      </c>
      <c r="CB364" s="10">
        <f t="shared" ca="1" si="499"/>
        <v>1417641.2625799002</v>
      </c>
      <c r="CC364" s="10">
        <f t="shared" ca="1" si="499"/>
        <v>1397095.737035264</v>
      </c>
      <c r="CD364" s="10">
        <f t="shared" ca="1" si="499"/>
        <v>1376550.2114906278</v>
      </c>
      <c r="CE364" s="10">
        <f t="shared" ca="1" si="499"/>
        <v>1356004.6859459917</v>
      </c>
      <c r="CF364" s="10">
        <f t="shared" ca="1" si="499"/>
        <v>1335459.1604013555</v>
      </c>
      <c r="CG364" s="10">
        <f t="shared" ca="1" si="499"/>
        <v>1314913.6348567193</v>
      </c>
      <c r="CH364" s="10">
        <f t="shared" ca="1" si="499"/>
        <v>1294368.1093120831</v>
      </c>
      <c r="CI364" s="10">
        <f t="shared" ca="1" si="499"/>
        <v>1273822.5837674469</v>
      </c>
      <c r="CJ364" s="10">
        <f t="shared" ca="1" si="499"/>
        <v>1253277.0582228107</v>
      </c>
      <c r="CK364" s="10">
        <f t="shared" ca="1" si="499"/>
        <v>1232731.5326781746</v>
      </c>
      <c r="CL364" s="10">
        <f t="shared" ca="1" si="499"/>
        <v>1212186.0071335384</v>
      </c>
      <c r="CM364" s="10">
        <f t="shared" ca="1" si="499"/>
        <v>1191640.4815889022</v>
      </c>
      <c r="CN364" s="10">
        <f t="shared" ca="1" si="499"/>
        <v>1171094.956044266</v>
      </c>
      <c r="CO364" s="10">
        <f t="shared" ca="1" si="499"/>
        <v>1150549.4304996298</v>
      </c>
    </row>
    <row r="365" spans="1:93">
      <c r="A365" s="10"/>
      <c r="B365" s="10"/>
      <c r="C365" s="17" t="s">
        <v>126</v>
      </c>
      <c r="D365" s="10"/>
      <c r="E365" s="62"/>
      <c r="F365" s="11"/>
      <c r="G365" s="134" t="str">
        <f t="shared" si="496"/>
        <v>тыс. руб.</v>
      </c>
      <c r="H365" s="10"/>
      <c r="I365" s="23">
        <f ca="1">SUM(L365:CO365)</f>
        <v>2465463.0653563468</v>
      </c>
      <c r="J365" s="10"/>
      <c r="K365" s="10"/>
      <c r="L365" s="10">
        <f t="shared" ref="L365:AQ365" ca="1" si="500">SUM(L323,L324,L327)</f>
        <v>0</v>
      </c>
      <c r="M365" s="10">
        <f t="shared" ca="1" si="500"/>
        <v>0</v>
      </c>
      <c r="N365" s="10">
        <f t="shared" ca="1" si="500"/>
        <v>0</v>
      </c>
      <c r="O365" s="10">
        <f t="shared" ca="1" si="500"/>
        <v>0</v>
      </c>
      <c r="P365" s="10">
        <f t="shared" ca="1" si="500"/>
        <v>0</v>
      </c>
      <c r="Q365" s="10">
        <f t="shared" ca="1" si="500"/>
        <v>0</v>
      </c>
      <c r="R365" s="10">
        <f t="shared" ca="1" si="500"/>
        <v>0</v>
      </c>
      <c r="S365" s="10">
        <f t="shared" ca="1" si="500"/>
        <v>0</v>
      </c>
      <c r="T365" s="10">
        <f t="shared" ca="1" si="500"/>
        <v>0</v>
      </c>
      <c r="U365" s="10">
        <f t="shared" ca="1" si="500"/>
        <v>0</v>
      </c>
      <c r="V365" s="10">
        <f t="shared" ca="1" si="500"/>
        <v>0</v>
      </c>
      <c r="W365" s="10">
        <f t="shared" ca="1" si="500"/>
        <v>0</v>
      </c>
      <c r="X365" s="10">
        <f t="shared" ca="1" si="500"/>
        <v>0</v>
      </c>
      <c r="Y365" s="10">
        <f t="shared" ca="1" si="500"/>
        <v>0</v>
      </c>
      <c r="Z365" s="10">
        <f t="shared" ca="1" si="500"/>
        <v>0</v>
      </c>
      <c r="AA365" s="10">
        <f t="shared" ca="1" si="500"/>
        <v>0</v>
      </c>
      <c r="AB365" s="10">
        <f t="shared" ca="1" si="500"/>
        <v>2465463.0653563468</v>
      </c>
      <c r="AC365" s="10">
        <f t="shared" ca="1" si="500"/>
        <v>0</v>
      </c>
      <c r="AD365" s="10">
        <f t="shared" ca="1" si="500"/>
        <v>0</v>
      </c>
      <c r="AE365" s="10">
        <f t="shared" ca="1" si="500"/>
        <v>0</v>
      </c>
      <c r="AF365" s="10">
        <f t="shared" ca="1" si="500"/>
        <v>0</v>
      </c>
      <c r="AG365" s="10">
        <f t="shared" ca="1" si="500"/>
        <v>0</v>
      </c>
      <c r="AH365" s="10">
        <f t="shared" ca="1" si="500"/>
        <v>0</v>
      </c>
      <c r="AI365" s="10">
        <f t="shared" ca="1" si="500"/>
        <v>0</v>
      </c>
      <c r="AJ365" s="10">
        <f t="shared" ca="1" si="500"/>
        <v>0</v>
      </c>
      <c r="AK365" s="10">
        <f t="shared" ca="1" si="500"/>
        <v>0</v>
      </c>
      <c r="AL365" s="10">
        <f t="shared" ca="1" si="500"/>
        <v>0</v>
      </c>
      <c r="AM365" s="10">
        <f t="shared" ca="1" si="500"/>
        <v>0</v>
      </c>
      <c r="AN365" s="10">
        <f t="shared" ca="1" si="500"/>
        <v>0</v>
      </c>
      <c r="AO365" s="10">
        <f t="shared" ca="1" si="500"/>
        <v>0</v>
      </c>
      <c r="AP365" s="10">
        <f t="shared" ca="1" si="500"/>
        <v>0</v>
      </c>
      <c r="AQ365" s="10">
        <f t="shared" ca="1" si="500"/>
        <v>0</v>
      </c>
      <c r="AR365" s="10">
        <f t="shared" ref="AR365:BW365" ca="1" si="501">SUM(AR323,AR324,AR327)</f>
        <v>0</v>
      </c>
      <c r="AS365" s="10">
        <f t="shared" ca="1" si="501"/>
        <v>0</v>
      </c>
      <c r="AT365" s="10">
        <f t="shared" ca="1" si="501"/>
        <v>0</v>
      </c>
      <c r="AU365" s="10">
        <f t="shared" ca="1" si="501"/>
        <v>0</v>
      </c>
      <c r="AV365" s="10">
        <f t="shared" ca="1" si="501"/>
        <v>0</v>
      </c>
      <c r="AW365" s="10">
        <f t="shared" ca="1" si="501"/>
        <v>0</v>
      </c>
      <c r="AX365" s="10">
        <f t="shared" ca="1" si="501"/>
        <v>0</v>
      </c>
      <c r="AY365" s="10">
        <f t="shared" ca="1" si="501"/>
        <v>0</v>
      </c>
      <c r="AZ365" s="10">
        <f t="shared" ca="1" si="501"/>
        <v>0</v>
      </c>
      <c r="BA365" s="10">
        <f t="shared" ca="1" si="501"/>
        <v>0</v>
      </c>
      <c r="BB365" s="10">
        <f t="shared" ca="1" si="501"/>
        <v>0</v>
      </c>
      <c r="BC365" s="10">
        <f t="shared" ca="1" si="501"/>
        <v>0</v>
      </c>
      <c r="BD365" s="10">
        <f t="shared" ca="1" si="501"/>
        <v>0</v>
      </c>
      <c r="BE365" s="10">
        <f t="shared" ca="1" si="501"/>
        <v>0</v>
      </c>
      <c r="BF365" s="10">
        <f t="shared" ca="1" si="501"/>
        <v>0</v>
      </c>
      <c r="BG365" s="10">
        <f t="shared" ca="1" si="501"/>
        <v>0</v>
      </c>
      <c r="BH365" s="10">
        <f t="shared" ca="1" si="501"/>
        <v>0</v>
      </c>
      <c r="BI365" s="10">
        <f t="shared" ca="1" si="501"/>
        <v>0</v>
      </c>
      <c r="BJ365" s="10">
        <f t="shared" ca="1" si="501"/>
        <v>0</v>
      </c>
      <c r="BK365" s="10">
        <f t="shared" ca="1" si="501"/>
        <v>0</v>
      </c>
      <c r="BL365" s="10">
        <f t="shared" ca="1" si="501"/>
        <v>0</v>
      </c>
      <c r="BM365" s="10">
        <f t="shared" ca="1" si="501"/>
        <v>0</v>
      </c>
      <c r="BN365" s="10">
        <f t="shared" ca="1" si="501"/>
        <v>0</v>
      </c>
      <c r="BO365" s="10">
        <f t="shared" ca="1" si="501"/>
        <v>0</v>
      </c>
      <c r="BP365" s="10">
        <f t="shared" ca="1" si="501"/>
        <v>0</v>
      </c>
      <c r="BQ365" s="10">
        <f t="shared" ca="1" si="501"/>
        <v>0</v>
      </c>
      <c r="BR365" s="10">
        <f t="shared" ca="1" si="501"/>
        <v>0</v>
      </c>
      <c r="BS365" s="10">
        <f t="shared" ca="1" si="501"/>
        <v>0</v>
      </c>
      <c r="BT365" s="10">
        <f t="shared" ca="1" si="501"/>
        <v>0</v>
      </c>
      <c r="BU365" s="10">
        <f t="shared" ca="1" si="501"/>
        <v>0</v>
      </c>
      <c r="BV365" s="10">
        <f t="shared" ca="1" si="501"/>
        <v>0</v>
      </c>
      <c r="BW365" s="10">
        <f t="shared" ca="1" si="501"/>
        <v>0</v>
      </c>
      <c r="BX365" s="10">
        <f t="shared" ref="BX365:CO365" ca="1" si="502">SUM(BX323,BX324,BX327)</f>
        <v>0</v>
      </c>
      <c r="BY365" s="10">
        <f t="shared" ca="1" si="502"/>
        <v>0</v>
      </c>
      <c r="BZ365" s="10">
        <f t="shared" ca="1" si="502"/>
        <v>0</v>
      </c>
      <c r="CA365" s="10">
        <f t="shared" ca="1" si="502"/>
        <v>0</v>
      </c>
      <c r="CB365" s="10">
        <f t="shared" ca="1" si="502"/>
        <v>0</v>
      </c>
      <c r="CC365" s="10">
        <f t="shared" ca="1" si="502"/>
        <v>0</v>
      </c>
      <c r="CD365" s="10">
        <f t="shared" ca="1" si="502"/>
        <v>0</v>
      </c>
      <c r="CE365" s="10">
        <f t="shared" ca="1" si="502"/>
        <v>0</v>
      </c>
      <c r="CF365" s="10">
        <f t="shared" ca="1" si="502"/>
        <v>0</v>
      </c>
      <c r="CG365" s="10">
        <f t="shared" ca="1" si="502"/>
        <v>0</v>
      </c>
      <c r="CH365" s="10">
        <f t="shared" ca="1" si="502"/>
        <v>0</v>
      </c>
      <c r="CI365" s="10">
        <f t="shared" ca="1" si="502"/>
        <v>0</v>
      </c>
      <c r="CJ365" s="10">
        <f t="shared" ca="1" si="502"/>
        <v>0</v>
      </c>
      <c r="CK365" s="10">
        <f t="shared" ca="1" si="502"/>
        <v>0</v>
      </c>
      <c r="CL365" s="10">
        <f t="shared" ca="1" si="502"/>
        <v>0</v>
      </c>
      <c r="CM365" s="10">
        <f t="shared" ca="1" si="502"/>
        <v>0</v>
      </c>
      <c r="CN365" s="10">
        <f t="shared" ca="1" si="502"/>
        <v>0</v>
      </c>
      <c r="CO365" s="10">
        <f t="shared" ca="1" si="502"/>
        <v>0</v>
      </c>
    </row>
    <row r="366" spans="1:93">
      <c r="A366" s="10"/>
      <c r="B366" s="10"/>
      <c r="C366" s="17" t="s">
        <v>388</v>
      </c>
      <c r="D366" s="10"/>
      <c r="E366" s="62"/>
      <c r="F366" s="11"/>
      <c r="G366" s="134" t="str">
        <f t="shared" si="496"/>
        <v>тыс. руб.</v>
      </c>
      <c r="H366" s="10"/>
      <c r="I366" s="10"/>
      <c r="J366" s="10"/>
      <c r="K366" s="10"/>
      <c r="L366" s="10">
        <f t="shared" ref="L366:AQ366" ca="1" si="503">L365+K366</f>
        <v>0</v>
      </c>
      <c r="M366" s="10">
        <f t="shared" ca="1" si="503"/>
        <v>0</v>
      </c>
      <c r="N366" s="10">
        <f t="shared" ca="1" si="503"/>
        <v>0</v>
      </c>
      <c r="O366" s="10">
        <f t="shared" ca="1" si="503"/>
        <v>0</v>
      </c>
      <c r="P366" s="10">
        <f t="shared" ca="1" si="503"/>
        <v>0</v>
      </c>
      <c r="Q366" s="10">
        <f t="shared" ca="1" si="503"/>
        <v>0</v>
      </c>
      <c r="R366" s="10">
        <f t="shared" ca="1" si="503"/>
        <v>0</v>
      </c>
      <c r="S366" s="10">
        <f t="shared" ca="1" si="503"/>
        <v>0</v>
      </c>
      <c r="T366" s="10">
        <f t="shared" ca="1" si="503"/>
        <v>0</v>
      </c>
      <c r="U366" s="10">
        <f t="shared" ca="1" si="503"/>
        <v>0</v>
      </c>
      <c r="V366" s="10">
        <f t="shared" ca="1" si="503"/>
        <v>0</v>
      </c>
      <c r="W366" s="10">
        <f t="shared" ca="1" si="503"/>
        <v>0</v>
      </c>
      <c r="X366" s="10">
        <f t="shared" ca="1" si="503"/>
        <v>0</v>
      </c>
      <c r="Y366" s="10">
        <f t="shared" ca="1" si="503"/>
        <v>0</v>
      </c>
      <c r="Z366" s="10">
        <f t="shared" ca="1" si="503"/>
        <v>0</v>
      </c>
      <c r="AA366" s="10">
        <f t="shared" ca="1" si="503"/>
        <v>0</v>
      </c>
      <c r="AB366" s="10">
        <f t="shared" ca="1" si="503"/>
        <v>2465463.0653563468</v>
      </c>
      <c r="AC366" s="10">
        <f t="shared" ca="1" si="503"/>
        <v>2465463.0653563468</v>
      </c>
      <c r="AD366" s="10">
        <f t="shared" ca="1" si="503"/>
        <v>2465463.0653563468</v>
      </c>
      <c r="AE366" s="10">
        <f t="shared" ca="1" si="503"/>
        <v>2465463.0653563468</v>
      </c>
      <c r="AF366" s="10">
        <f t="shared" ca="1" si="503"/>
        <v>2465463.0653563468</v>
      </c>
      <c r="AG366" s="10">
        <f t="shared" ca="1" si="503"/>
        <v>2465463.0653563468</v>
      </c>
      <c r="AH366" s="10">
        <f t="shared" ca="1" si="503"/>
        <v>2465463.0653563468</v>
      </c>
      <c r="AI366" s="10">
        <f t="shared" ca="1" si="503"/>
        <v>2465463.0653563468</v>
      </c>
      <c r="AJ366" s="10">
        <f t="shared" ca="1" si="503"/>
        <v>2465463.0653563468</v>
      </c>
      <c r="AK366" s="10">
        <f t="shared" ca="1" si="503"/>
        <v>2465463.0653563468</v>
      </c>
      <c r="AL366" s="10">
        <f t="shared" ca="1" si="503"/>
        <v>2465463.0653563468</v>
      </c>
      <c r="AM366" s="10">
        <f t="shared" ca="1" si="503"/>
        <v>2465463.0653563468</v>
      </c>
      <c r="AN366" s="10">
        <f t="shared" ca="1" si="503"/>
        <v>2465463.0653563468</v>
      </c>
      <c r="AO366" s="10">
        <f t="shared" ca="1" si="503"/>
        <v>2465463.0653563468</v>
      </c>
      <c r="AP366" s="10">
        <f t="shared" ca="1" si="503"/>
        <v>2465463.0653563468</v>
      </c>
      <c r="AQ366" s="10">
        <f t="shared" ca="1" si="503"/>
        <v>2465463.0653563468</v>
      </c>
      <c r="AR366" s="10">
        <f t="shared" ref="AR366:BW366" ca="1" si="504">AR365+AQ366</f>
        <v>2465463.0653563468</v>
      </c>
      <c r="AS366" s="10">
        <f t="shared" ca="1" si="504"/>
        <v>2465463.0653563468</v>
      </c>
      <c r="AT366" s="10">
        <f t="shared" ca="1" si="504"/>
        <v>2465463.0653563468</v>
      </c>
      <c r="AU366" s="10">
        <f t="shared" ca="1" si="504"/>
        <v>2465463.0653563468</v>
      </c>
      <c r="AV366" s="10">
        <f t="shared" ca="1" si="504"/>
        <v>2465463.0653563468</v>
      </c>
      <c r="AW366" s="10">
        <f t="shared" ca="1" si="504"/>
        <v>2465463.0653563468</v>
      </c>
      <c r="AX366" s="10">
        <f t="shared" ca="1" si="504"/>
        <v>2465463.0653563468</v>
      </c>
      <c r="AY366" s="10">
        <f t="shared" ca="1" si="504"/>
        <v>2465463.0653563468</v>
      </c>
      <c r="AZ366" s="10">
        <f t="shared" ca="1" si="504"/>
        <v>2465463.0653563468</v>
      </c>
      <c r="BA366" s="10">
        <f t="shared" ca="1" si="504"/>
        <v>2465463.0653563468</v>
      </c>
      <c r="BB366" s="10">
        <f t="shared" ca="1" si="504"/>
        <v>2465463.0653563468</v>
      </c>
      <c r="BC366" s="10">
        <f t="shared" ca="1" si="504"/>
        <v>2465463.0653563468</v>
      </c>
      <c r="BD366" s="10">
        <f t="shared" ca="1" si="504"/>
        <v>2465463.0653563468</v>
      </c>
      <c r="BE366" s="10">
        <f t="shared" ca="1" si="504"/>
        <v>2465463.0653563468</v>
      </c>
      <c r="BF366" s="10">
        <f t="shared" ca="1" si="504"/>
        <v>2465463.0653563468</v>
      </c>
      <c r="BG366" s="10">
        <f t="shared" ca="1" si="504"/>
        <v>2465463.0653563468</v>
      </c>
      <c r="BH366" s="10">
        <f t="shared" ca="1" si="504"/>
        <v>2465463.0653563468</v>
      </c>
      <c r="BI366" s="10">
        <f t="shared" ca="1" si="504"/>
        <v>2465463.0653563468</v>
      </c>
      <c r="BJ366" s="10">
        <f t="shared" ca="1" si="504"/>
        <v>2465463.0653563468</v>
      </c>
      <c r="BK366" s="10">
        <f t="shared" ca="1" si="504"/>
        <v>2465463.0653563468</v>
      </c>
      <c r="BL366" s="10">
        <f t="shared" ca="1" si="504"/>
        <v>2465463.0653563468</v>
      </c>
      <c r="BM366" s="10">
        <f t="shared" ca="1" si="504"/>
        <v>2465463.0653563468</v>
      </c>
      <c r="BN366" s="10">
        <f t="shared" ca="1" si="504"/>
        <v>2465463.0653563468</v>
      </c>
      <c r="BO366" s="10">
        <f t="shared" ca="1" si="504"/>
        <v>2465463.0653563468</v>
      </c>
      <c r="BP366" s="10">
        <f t="shared" ca="1" si="504"/>
        <v>2465463.0653563468</v>
      </c>
      <c r="BQ366" s="10">
        <f t="shared" ca="1" si="504"/>
        <v>2465463.0653563468</v>
      </c>
      <c r="BR366" s="10">
        <f t="shared" ca="1" si="504"/>
        <v>2465463.0653563468</v>
      </c>
      <c r="BS366" s="10">
        <f t="shared" ca="1" si="504"/>
        <v>2465463.0653563468</v>
      </c>
      <c r="BT366" s="10">
        <f t="shared" ca="1" si="504"/>
        <v>2465463.0653563468</v>
      </c>
      <c r="BU366" s="10">
        <f t="shared" ca="1" si="504"/>
        <v>2465463.0653563468</v>
      </c>
      <c r="BV366" s="10">
        <f t="shared" ca="1" si="504"/>
        <v>2465463.0653563468</v>
      </c>
      <c r="BW366" s="10">
        <f t="shared" ca="1" si="504"/>
        <v>2465463.0653563468</v>
      </c>
      <c r="BX366" s="10">
        <f t="shared" ref="BX366:CO366" ca="1" si="505">BX365+BW366</f>
        <v>2465463.0653563468</v>
      </c>
      <c r="BY366" s="10">
        <f t="shared" ca="1" si="505"/>
        <v>2465463.0653563468</v>
      </c>
      <c r="BZ366" s="10">
        <f t="shared" ca="1" si="505"/>
        <v>2465463.0653563468</v>
      </c>
      <c r="CA366" s="10">
        <f t="shared" ca="1" si="505"/>
        <v>2465463.0653563468</v>
      </c>
      <c r="CB366" s="10">
        <f t="shared" ca="1" si="505"/>
        <v>2465463.0653563468</v>
      </c>
      <c r="CC366" s="10">
        <f t="shared" ca="1" si="505"/>
        <v>2465463.0653563468</v>
      </c>
      <c r="CD366" s="10">
        <f t="shared" ca="1" si="505"/>
        <v>2465463.0653563468</v>
      </c>
      <c r="CE366" s="10">
        <f t="shared" ca="1" si="505"/>
        <v>2465463.0653563468</v>
      </c>
      <c r="CF366" s="10">
        <f t="shared" ca="1" si="505"/>
        <v>2465463.0653563468</v>
      </c>
      <c r="CG366" s="10">
        <f t="shared" ca="1" si="505"/>
        <v>2465463.0653563468</v>
      </c>
      <c r="CH366" s="10">
        <f t="shared" ca="1" si="505"/>
        <v>2465463.0653563468</v>
      </c>
      <c r="CI366" s="10">
        <f t="shared" ca="1" si="505"/>
        <v>2465463.0653563468</v>
      </c>
      <c r="CJ366" s="10">
        <f t="shared" ca="1" si="505"/>
        <v>2465463.0653563468</v>
      </c>
      <c r="CK366" s="10">
        <f t="shared" ca="1" si="505"/>
        <v>2465463.0653563468</v>
      </c>
      <c r="CL366" s="10">
        <f t="shared" ca="1" si="505"/>
        <v>2465463.0653563468</v>
      </c>
      <c r="CM366" s="10">
        <f t="shared" ca="1" si="505"/>
        <v>2465463.0653563468</v>
      </c>
      <c r="CN366" s="10">
        <f t="shared" ca="1" si="505"/>
        <v>2465463.0653563468</v>
      </c>
      <c r="CO366" s="10">
        <f t="shared" ca="1" si="505"/>
        <v>2465463.0653563468</v>
      </c>
    </row>
    <row r="367" spans="1:93">
      <c r="A367" s="10"/>
      <c r="B367" s="10"/>
      <c r="C367" s="17" t="s">
        <v>389</v>
      </c>
      <c r="D367" s="10"/>
      <c r="E367" s="62"/>
      <c r="F367" s="11"/>
      <c r="G367" s="134" t="str">
        <f t="shared" si="496"/>
        <v>тыс. руб.</v>
      </c>
      <c r="H367" s="10"/>
      <c r="I367" s="23">
        <f ca="1">SUM(L367:CO367)</f>
        <v>1335459.1604013531</v>
      </c>
      <c r="J367" s="10"/>
      <c r="K367" s="10"/>
      <c r="L367" s="10">
        <f ca="1">(MIN((L366-L365)*L363,K369))</f>
        <v>0</v>
      </c>
      <c r="M367" s="10">
        <f t="shared" ref="M367:BX367" ca="1" si="506">(MIN((M366-M365)*M363,L369))</f>
        <v>0</v>
      </c>
      <c r="N367" s="10">
        <f t="shared" ca="1" si="506"/>
        <v>0</v>
      </c>
      <c r="O367" s="10">
        <f t="shared" ca="1" si="506"/>
        <v>0</v>
      </c>
      <c r="P367" s="10">
        <f t="shared" ca="1" si="506"/>
        <v>0</v>
      </c>
      <c r="Q367" s="10">
        <f t="shared" ca="1" si="506"/>
        <v>0</v>
      </c>
      <c r="R367" s="10">
        <f t="shared" ca="1" si="506"/>
        <v>0</v>
      </c>
      <c r="S367" s="10">
        <f t="shared" ca="1" si="506"/>
        <v>0</v>
      </c>
      <c r="T367" s="10">
        <f t="shared" ca="1" si="506"/>
        <v>0</v>
      </c>
      <c r="U367" s="10">
        <f t="shared" ca="1" si="506"/>
        <v>0</v>
      </c>
      <c r="V367" s="10">
        <f t="shared" ca="1" si="506"/>
        <v>0</v>
      </c>
      <c r="W367" s="10">
        <f t="shared" ca="1" si="506"/>
        <v>0</v>
      </c>
      <c r="X367" s="10">
        <f t="shared" ca="1" si="506"/>
        <v>0</v>
      </c>
      <c r="Y367" s="10">
        <f t="shared" ca="1" si="506"/>
        <v>0</v>
      </c>
      <c r="Z367" s="10">
        <f t="shared" ca="1" si="506"/>
        <v>0</v>
      </c>
      <c r="AA367" s="10">
        <f t="shared" ca="1" si="506"/>
        <v>0</v>
      </c>
      <c r="AB367" s="10">
        <f t="shared" ca="1" si="506"/>
        <v>0</v>
      </c>
      <c r="AC367" s="10">
        <f t="shared" ca="1" si="506"/>
        <v>20545.525544636224</v>
      </c>
      <c r="AD367" s="10">
        <f t="shared" ca="1" si="506"/>
        <v>20545.525544636224</v>
      </c>
      <c r="AE367" s="10">
        <f t="shared" ca="1" si="506"/>
        <v>20545.525544636224</v>
      </c>
      <c r="AF367" s="10">
        <f t="shared" ca="1" si="506"/>
        <v>20545.525544636224</v>
      </c>
      <c r="AG367" s="10">
        <f t="shared" ca="1" si="506"/>
        <v>20545.525544636224</v>
      </c>
      <c r="AH367" s="10">
        <f t="shared" ca="1" si="506"/>
        <v>20545.525544636224</v>
      </c>
      <c r="AI367" s="10">
        <f t="shared" ca="1" si="506"/>
        <v>20545.525544636224</v>
      </c>
      <c r="AJ367" s="10">
        <f t="shared" ca="1" si="506"/>
        <v>20545.525544636224</v>
      </c>
      <c r="AK367" s="10">
        <f t="shared" ca="1" si="506"/>
        <v>20545.525544636224</v>
      </c>
      <c r="AL367" s="10">
        <f t="shared" ca="1" si="506"/>
        <v>20545.525544636224</v>
      </c>
      <c r="AM367" s="10">
        <f t="shared" ca="1" si="506"/>
        <v>20545.525544636224</v>
      </c>
      <c r="AN367" s="10">
        <f t="shared" ca="1" si="506"/>
        <v>20545.525544636224</v>
      </c>
      <c r="AO367" s="10">
        <f t="shared" ca="1" si="506"/>
        <v>20545.525544636224</v>
      </c>
      <c r="AP367" s="10">
        <f t="shared" ca="1" si="506"/>
        <v>20545.525544636224</v>
      </c>
      <c r="AQ367" s="10">
        <f t="shared" ca="1" si="506"/>
        <v>20545.525544636224</v>
      </c>
      <c r="AR367" s="10">
        <f t="shared" ca="1" si="506"/>
        <v>20545.525544636224</v>
      </c>
      <c r="AS367" s="10">
        <f t="shared" ca="1" si="506"/>
        <v>20545.525544636224</v>
      </c>
      <c r="AT367" s="10">
        <f t="shared" ca="1" si="506"/>
        <v>20545.525544636224</v>
      </c>
      <c r="AU367" s="10">
        <f t="shared" ca="1" si="506"/>
        <v>20545.525544636224</v>
      </c>
      <c r="AV367" s="10">
        <f t="shared" ca="1" si="506"/>
        <v>20545.525544636224</v>
      </c>
      <c r="AW367" s="10">
        <f t="shared" ca="1" si="506"/>
        <v>20545.525544636224</v>
      </c>
      <c r="AX367" s="10">
        <f t="shared" ca="1" si="506"/>
        <v>20545.525544636224</v>
      </c>
      <c r="AY367" s="10">
        <f t="shared" ca="1" si="506"/>
        <v>20545.525544636224</v>
      </c>
      <c r="AZ367" s="10">
        <f t="shared" ca="1" si="506"/>
        <v>20545.525544636224</v>
      </c>
      <c r="BA367" s="10">
        <f t="shared" ca="1" si="506"/>
        <v>20545.525544636224</v>
      </c>
      <c r="BB367" s="10">
        <f t="shared" ca="1" si="506"/>
        <v>20545.525544636224</v>
      </c>
      <c r="BC367" s="10">
        <f t="shared" ca="1" si="506"/>
        <v>20545.525544636224</v>
      </c>
      <c r="BD367" s="10">
        <f t="shared" ca="1" si="506"/>
        <v>20545.525544636224</v>
      </c>
      <c r="BE367" s="10">
        <f t="shared" ca="1" si="506"/>
        <v>20545.525544636224</v>
      </c>
      <c r="BF367" s="10">
        <f t="shared" ca="1" si="506"/>
        <v>20545.525544636224</v>
      </c>
      <c r="BG367" s="10">
        <f t="shared" ca="1" si="506"/>
        <v>20545.525544636224</v>
      </c>
      <c r="BH367" s="10">
        <f t="shared" ca="1" si="506"/>
        <v>20545.525544636224</v>
      </c>
      <c r="BI367" s="10">
        <f t="shared" ca="1" si="506"/>
        <v>20545.525544636224</v>
      </c>
      <c r="BJ367" s="10">
        <f t="shared" ca="1" si="506"/>
        <v>20545.525544636224</v>
      </c>
      <c r="BK367" s="10">
        <f t="shared" ca="1" si="506"/>
        <v>20545.525544636224</v>
      </c>
      <c r="BL367" s="10">
        <f t="shared" ca="1" si="506"/>
        <v>20545.525544636224</v>
      </c>
      <c r="BM367" s="10">
        <f t="shared" ca="1" si="506"/>
        <v>20545.525544636224</v>
      </c>
      <c r="BN367" s="10">
        <f t="shared" ca="1" si="506"/>
        <v>20545.525544636224</v>
      </c>
      <c r="BO367" s="10">
        <f t="shared" ca="1" si="506"/>
        <v>20545.525544636224</v>
      </c>
      <c r="BP367" s="10">
        <f t="shared" ca="1" si="506"/>
        <v>20545.525544636224</v>
      </c>
      <c r="BQ367" s="10">
        <f t="shared" ca="1" si="506"/>
        <v>20545.525544636224</v>
      </c>
      <c r="BR367" s="10">
        <f t="shared" ca="1" si="506"/>
        <v>20545.525544636224</v>
      </c>
      <c r="BS367" s="10">
        <f t="shared" ca="1" si="506"/>
        <v>20545.525544636224</v>
      </c>
      <c r="BT367" s="10">
        <f t="shared" ca="1" si="506"/>
        <v>20545.525544636224</v>
      </c>
      <c r="BU367" s="10">
        <f t="shared" ca="1" si="506"/>
        <v>20545.525544636224</v>
      </c>
      <c r="BV367" s="10">
        <f t="shared" ca="1" si="506"/>
        <v>20545.525544636224</v>
      </c>
      <c r="BW367" s="10">
        <f t="shared" ca="1" si="506"/>
        <v>20545.525544636224</v>
      </c>
      <c r="BX367" s="10">
        <f t="shared" ca="1" si="506"/>
        <v>20545.525544636224</v>
      </c>
      <c r="BY367" s="10">
        <f t="shared" ref="BY367:CO367" ca="1" si="507">(MIN((BY366-BY365)*BY363,BX369))</f>
        <v>20545.525544636224</v>
      </c>
      <c r="BZ367" s="10">
        <f t="shared" ca="1" si="507"/>
        <v>20545.525544636224</v>
      </c>
      <c r="CA367" s="10">
        <f t="shared" ca="1" si="507"/>
        <v>20545.525544636224</v>
      </c>
      <c r="CB367" s="10">
        <f t="shared" ca="1" si="507"/>
        <v>20545.525544636224</v>
      </c>
      <c r="CC367" s="10">
        <f t="shared" ca="1" si="507"/>
        <v>20545.525544636224</v>
      </c>
      <c r="CD367" s="10">
        <f t="shared" ca="1" si="507"/>
        <v>20545.525544636224</v>
      </c>
      <c r="CE367" s="10">
        <f t="shared" ca="1" si="507"/>
        <v>20545.525544636224</v>
      </c>
      <c r="CF367" s="10">
        <f t="shared" ca="1" si="507"/>
        <v>20545.525544636224</v>
      </c>
      <c r="CG367" s="10">
        <f t="shared" ca="1" si="507"/>
        <v>20545.525544636224</v>
      </c>
      <c r="CH367" s="10">
        <f t="shared" ca="1" si="507"/>
        <v>20545.525544636224</v>
      </c>
      <c r="CI367" s="10">
        <f t="shared" ca="1" si="507"/>
        <v>20545.525544636224</v>
      </c>
      <c r="CJ367" s="10">
        <f t="shared" ca="1" si="507"/>
        <v>20545.525544636224</v>
      </c>
      <c r="CK367" s="10">
        <f t="shared" ca="1" si="507"/>
        <v>20545.525544636224</v>
      </c>
      <c r="CL367" s="10">
        <f t="shared" ca="1" si="507"/>
        <v>20545.525544636224</v>
      </c>
      <c r="CM367" s="10">
        <f t="shared" ca="1" si="507"/>
        <v>20545.525544636224</v>
      </c>
      <c r="CN367" s="10">
        <f t="shared" ca="1" si="507"/>
        <v>20545.525544636224</v>
      </c>
      <c r="CO367" s="10">
        <f t="shared" ca="1" si="507"/>
        <v>20545.525544636224</v>
      </c>
    </row>
    <row r="368" spans="1:93">
      <c r="A368" s="10"/>
      <c r="B368" s="10"/>
      <c r="C368" s="17" t="s">
        <v>127</v>
      </c>
      <c r="D368" s="10"/>
      <c r="E368" s="62"/>
      <c r="F368" s="11"/>
      <c r="G368" s="134" t="str">
        <f t="shared" si="496"/>
        <v>тыс. руб.</v>
      </c>
      <c r="H368" s="10"/>
      <c r="I368" s="10"/>
      <c r="J368" s="10"/>
      <c r="K368" s="10"/>
      <c r="L368" s="10">
        <f t="shared" ref="L368:AQ368" ca="1" si="508">SUM(K368,-L367)</f>
        <v>0</v>
      </c>
      <c r="M368" s="10">
        <f t="shared" ca="1" si="508"/>
        <v>0</v>
      </c>
      <c r="N368" s="10">
        <f t="shared" ca="1" si="508"/>
        <v>0</v>
      </c>
      <c r="O368" s="10">
        <f t="shared" ca="1" si="508"/>
        <v>0</v>
      </c>
      <c r="P368" s="10">
        <f t="shared" ca="1" si="508"/>
        <v>0</v>
      </c>
      <c r="Q368" s="10">
        <f t="shared" ca="1" si="508"/>
        <v>0</v>
      </c>
      <c r="R368" s="10">
        <f t="shared" ca="1" si="508"/>
        <v>0</v>
      </c>
      <c r="S368" s="10">
        <f t="shared" ca="1" si="508"/>
        <v>0</v>
      </c>
      <c r="T368" s="10">
        <f t="shared" ca="1" si="508"/>
        <v>0</v>
      </c>
      <c r="U368" s="10">
        <f t="shared" ca="1" si="508"/>
        <v>0</v>
      </c>
      <c r="V368" s="10">
        <f t="shared" ca="1" si="508"/>
        <v>0</v>
      </c>
      <c r="W368" s="10">
        <f t="shared" ca="1" si="508"/>
        <v>0</v>
      </c>
      <c r="X368" s="10">
        <f t="shared" ca="1" si="508"/>
        <v>0</v>
      </c>
      <c r="Y368" s="10">
        <f t="shared" ca="1" si="508"/>
        <v>0</v>
      </c>
      <c r="Z368" s="10">
        <f t="shared" ca="1" si="508"/>
        <v>0</v>
      </c>
      <c r="AA368" s="10">
        <f t="shared" ca="1" si="508"/>
        <v>0</v>
      </c>
      <c r="AB368" s="10">
        <f t="shared" ca="1" si="508"/>
        <v>0</v>
      </c>
      <c r="AC368" s="10">
        <f t="shared" ca="1" si="508"/>
        <v>-20545.525544636224</v>
      </c>
      <c r="AD368" s="10">
        <f t="shared" ca="1" si="508"/>
        <v>-41091.051089272449</v>
      </c>
      <c r="AE368" s="10">
        <f t="shared" ca="1" si="508"/>
        <v>-61636.576633908669</v>
      </c>
      <c r="AF368" s="10">
        <f t="shared" ca="1" si="508"/>
        <v>-82182.102178544897</v>
      </c>
      <c r="AG368" s="10">
        <f t="shared" ca="1" si="508"/>
        <v>-102727.62772318113</v>
      </c>
      <c r="AH368" s="10">
        <f t="shared" ca="1" si="508"/>
        <v>-123273.15326781735</v>
      </c>
      <c r="AI368" s="10">
        <f t="shared" ca="1" si="508"/>
        <v>-143818.67881245358</v>
      </c>
      <c r="AJ368" s="10">
        <f t="shared" ca="1" si="508"/>
        <v>-164364.20435708979</v>
      </c>
      <c r="AK368" s="10">
        <f t="shared" ca="1" si="508"/>
        <v>-184909.72990172601</v>
      </c>
      <c r="AL368" s="10">
        <f t="shared" ca="1" si="508"/>
        <v>-205455.25544636222</v>
      </c>
      <c r="AM368" s="10">
        <f t="shared" ca="1" si="508"/>
        <v>-226000.78099099844</v>
      </c>
      <c r="AN368" s="10">
        <f t="shared" ca="1" si="508"/>
        <v>-246546.30653563465</v>
      </c>
      <c r="AO368" s="10">
        <f t="shared" ca="1" si="508"/>
        <v>-267091.83208027086</v>
      </c>
      <c r="AP368" s="10">
        <f t="shared" ca="1" si="508"/>
        <v>-287637.3576249071</v>
      </c>
      <c r="AQ368" s="10">
        <f t="shared" ca="1" si="508"/>
        <v>-308182.88316954335</v>
      </c>
      <c r="AR368" s="10">
        <f t="shared" ref="AR368:BW368" ca="1" si="509">SUM(AQ368,-AR367)</f>
        <v>-328728.40871417959</v>
      </c>
      <c r="AS368" s="10">
        <f t="shared" ca="1" si="509"/>
        <v>-349273.93425881583</v>
      </c>
      <c r="AT368" s="10">
        <f t="shared" ca="1" si="509"/>
        <v>-369819.45980345207</v>
      </c>
      <c r="AU368" s="10">
        <f t="shared" ca="1" si="509"/>
        <v>-390364.98534808832</v>
      </c>
      <c r="AV368" s="10">
        <f t="shared" ca="1" si="509"/>
        <v>-410910.51089272456</v>
      </c>
      <c r="AW368" s="10">
        <f t="shared" ca="1" si="509"/>
        <v>-431456.0364373608</v>
      </c>
      <c r="AX368" s="10">
        <f t="shared" ca="1" si="509"/>
        <v>-452001.56198199705</v>
      </c>
      <c r="AY368" s="10">
        <f t="shared" ca="1" si="509"/>
        <v>-472547.08752663329</v>
      </c>
      <c r="AZ368" s="10">
        <f t="shared" ca="1" si="509"/>
        <v>-493092.61307126953</v>
      </c>
      <c r="BA368" s="10">
        <f t="shared" ca="1" si="509"/>
        <v>-513638.13861590577</v>
      </c>
      <c r="BB368" s="10">
        <f t="shared" ca="1" si="509"/>
        <v>-534183.66416054196</v>
      </c>
      <c r="BC368" s="10">
        <f t="shared" ca="1" si="509"/>
        <v>-554729.18970517814</v>
      </c>
      <c r="BD368" s="10">
        <f t="shared" ca="1" si="509"/>
        <v>-575274.71524981433</v>
      </c>
      <c r="BE368" s="10">
        <f t="shared" ca="1" si="509"/>
        <v>-595820.24079445051</v>
      </c>
      <c r="BF368" s="10">
        <f t="shared" ca="1" si="509"/>
        <v>-616365.76633908669</v>
      </c>
      <c r="BG368" s="10">
        <f t="shared" ca="1" si="509"/>
        <v>-636911.29188372288</v>
      </c>
      <c r="BH368" s="10">
        <f t="shared" ca="1" si="509"/>
        <v>-657456.81742835906</v>
      </c>
      <c r="BI368" s="10">
        <f t="shared" ca="1" si="509"/>
        <v>-678002.34297299525</v>
      </c>
      <c r="BJ368" s="10">
        <f t="shared" ca="1" si="509"/>
        <v>-698547.86851763143</v>
      </c>
      <c r="BK368" s="10">
        <f t="shared" ca="1" si="509"/>
        <v>-719093.39406226762</v>
      </c>
      <c r="BL368" s="10">
        <f t="shared" ca="1" si="509"/>
        <v>-739638.9196069038</v>
      </c>
      <c r="BM368" s="10">
        <f t="shared" ca="1" si="509"/>
        <v>-760184.44515153999</v>
      </c>
      <c r="BN368" s="10">
        <f t="shared" ca="1" si="509"/>
        <v>-780729.97069617617</v>
      </c>
      <c r="BO368" s="10">
        <f t="shared" ca="1" si="509"/>
        <v>-801275.49624081235</v>
      </c>
      <c r="BP368" s="10">
        <f t="shared" ca="1" si="509"/>
        <v>-821821.02178544854</v>
      </c>
      <c r="BQ368" s="10">
        <f t="shared" ca="1" si="509"/>
        <v>-842366.54733008472</v>
      </c>
      <c r="BR368" s="10">
        <f t="shared" ca="1" si="509"/>
        <v>-862912.07287472091</v>
      </c>
      <c r="BS368" s="10">
        <f t="shared" ca="1" si="509"/>
        <v>-883457.59841935709</v>
      </c>
      <c r="BT368" s="10">
        <f t="shared" ca="1" si="509"/>
        <v>-904003.12396399328</v>
      </c>
      <c r="BU368" s="10">
        <f t="shared" ca="1" si="509"/>
        <v>-924548.64950862946</v>
      </c>
      <c r="BV368" s="10">
        <f t="shared" ca="1" si="509"/>
        <v>-945094.17505326564</v>
      </c>
      <c r="BW368" s="10">
        <f t="shared" ca="1" si="509"/>
        <v>-965639.70059790183</v>
      </c>
      <c r="BX368" s="10">
        <f t="shared" ref="BX368:CO368" ca="1" si="510">SUM(BW368,-BX367)</f>
        <v>-986185.22614253801</v>
      </c>
      <c r="BY368" s="10">
        <f t="shared" ca="1" si="510"/>
        <v>-1006730.7516871742</v>
      </c>
      <c r="BZ368" s="10">
        <f t="shared" ca="1" si="510"/>
        <v>-1027276.2772318104</v>
      </c>
      <c r="CA368" s="10">
        <f t="shared" ca="1" si="510"/>
        <v>-1047821.8027764466</v>
      </c>
      <c r="CB368" s="10">
        <f t="shared" ca="1" si="510"/>
        <v>-1068367.3283210828</v>
      </c>
      <c r="CC368" s="10">
        <f t="shared" ca="1" si="510"/>
        <v>-1088912.8538657189</v>
      </c>
      <c r="CD368" s="10">
        <f t="shared" ca="1" si="510"/>
        <v>-1109458.3794103551</v>
      </c>
      <c r="CE368" s="10">
        <f t="shared" ca="1" si="510"/>
        <v>-1130003.9049549913</v>
      </c>
      <c r="CF368" s="10">
        <f t="shared" ca="1" si="510"/>
        <v>-1150549.4304996275</v>
      </c>
      <c r="CG368" s="10">
        <f t="shared" ca="1" si="510"/>
        <v>-1171094.9560442637</v>
      </c>
      <c r="CH368" s="10">
        <f t="shared" ca="1" si="510"/>
        <v>-1191640.4815888999</v>
      </c>
      <c r="CI368" s="10">
        <f t="shared" ca="1" si="510"/>
        <v>-1212186.007133536</v>
      </c>
      <c r="CJ368" s="10">
        <f t="shared" ca="1" si="510"/>
        <v>-1232731.5326781722</v>
      </c>
      <c r="CK368" s="10">
        <f t="shared" ca="1" si="510"/>
        <v>-1253277.0582228084</v>
      </c>
      <c r="CL368" s="10">
        <f t="shared" ca="1" si="510"/>
        <v>-1273822.5837674446</v>
      </c>
      <c r="CM368" s="10">
        <f t="shared" ca="1" si="510"/>
        <v>-1294368.1093120808</v>
      </c>
      <c r="CN368" s="10">
        <f t="shared" ca="1" si="510"/>
        <v>-1314913.634856717</v>
      </c>
      <c r="CO368" s="10">
        <f t="shared" ca="1" si="510"/>
        <v>-1335459.1604013531</v>
      </c>
    </row>
    <row r="369" spans="1:93">
      <c r="A369" s="10"/>
      <c r="B369" s="10"/>
      <c r="C369" s="17" t="s">
        <v>128</v>
      </c>
      <c r="D369" s="10"/>
      <c r="E369" s="62"/>
      <c r="F369" s="11"/>
      <c r="G369" s="134" t="str">
        <f t="shared" si="496"/>
        <v>тыс. руб.</v>
      </c>
      <c r="H369" s="10"/>
      <c r="I369" s="10"/>
      <c r="J369" s="10"/>
      <c r="K369" s="10"/>
      <c r="L369" s="10">
        <f t="shared" ref="L369:Q369" ca="1" si="511">SUM(L366,L368)</f>
        <v>0</v>
      </c>
      <c r="M369" s="10">
        <f t="shared" ca="1" si="511"/>
        <v>0</v>
      </c>
      <c r="N369" s="10">
        <f t="shared" ca="1" si="511"/>
        <v>0</v>
      </c>
      <c r="O369" s="10">
        <f t="shared" ca="1" si="511"/>
        <v>0</v>
      </c>
      <c r="P369" s="10">
        <f t="shared" ca="1" si="511"/>
        <v>0</v>
      </c>
      <c r="Q369" s="10">
        <f t="shared" ca="1" si="511"/>
        <v>0</v>
      </c>
      <c r="R369" s="10">
        <f ca="1">SUM(R366,R368)</f>
        <v>0</v>
      </c>
      <c r="S369" s="10">
        <f t="shared" ref="S369:CD369" ca="1" si="512">SUM(S366,S368)</f>
        <v>0</v>
      </c>
      <c r="T369" s="10">
        <f t="shared" ca="1" si="512"/>
        <v>0</v>
      </c>
      <c r="U369" s="10">
        <f t="shared" ca="1" si="512"/>
        <v>0</v>
      </c>
      <c r="V369" s="10">
        <f t="shared" ca="1" si="512"/>
        <v>0</v>
      </c>
      <c r="W369" s="10">
        <f t="shared" ca="1" si="512"/>
        <v>0</v>
      </c>
      <c r="X369" s="10">
        <f t="shared" ca="1" si="512"/>
        <v>0</v>
      </c>
      <c r="Y369" s="10">
        <f t="shared" ca="1" si="512"/>
        <v>0</v>
      </c>
      <c r="Z369" s="10">
        <f t="shared" ca="1" si="512"/>
        <v>0</v>
      </c>
      <c r="AA369" s="10">
        <f t="shared" ca="1" si="512"/>
        <v>0</v>
      </c>
      <c r="AB369" s="10">
        <f t="shared" ca="1" si="512"/>
        <v>2465463.0653563468</v>
      </c>
      <c r="AC369" s="10">
        <f t="shared" ca="1" si="512"/>
        <v>2444917.5398117104</v>
      </c>
      <c r="AD369" s="10">
        <f t="shared" ca="1" si="512"/>
        <v>2424372.0142670744</v>
      </c>
      <c r="AE369" s="10">
        <f t="shared" ca="1" si="512"/>
        <v>2403826.488722438</v>
      </c>
      <c r="AF369" s="10">
        <f t="shared" ca="1" si="512"/>
        <v>2383280.963177802</v>
      </c>
      <c r="AG369" s="10">
        <f t="shared" ca="1" si="512"/>
        <v>2362735.4376331656</v>
      </c>
      <c r="AH369" s="10">
        <f t="shared" ca="1" si="512"/>
        <v>2342189.9120885292</v>
      </c>
      <c r="AI369" s="10">
        <f t="shared" ca="1" si="512"/>
        <v>2321644.3865438933</v>
      </c>
      <c r="AJ369" s="10">
        <f t="shared" ca="1" si="512"/>
        <v>2301098.8609992568</v>
      </c>
      <c r="AK369" s="10">
        <f t="shared" ca="1" si="512"/>
        <v>2280553.3354546209</v>
      </c>
      <c r="AL369" s="10">
        <f t="shared" ca="1" si="512"/>
        <v>2260007.8099099845</v>
      </c>
      <c r="AM369" s="10">
        <f t="shared" ca="1" si="512"/>
        <v>2239462.2843653485</v>
      </c>
      <c r="AN369" s="10">
        <f t="shared" ca="1" si="512"/>
        <v>2218916.7588207121</v>
      </c>
      <c r="AO369" s="10">
        <f t="shared" ca="1" si="512"/>
        <v>2198371.2332760757</v>
      </c>
      <c r="AP369" s="10">
        <f t="shared" ca="1" si="512"/>
        <v>2177825.7077314397</v>
      </c>
      <c r="AQ369" s="10">
        <f t="shared" ca="1" si="512"/>
        <v>2157280.1821868033</v>
      </c>
      <c r="AR369" s="10">
        <f t="shared" ca="1" si="512"/>
        <v>2136734.6566421674</v>
      </c>
      <c r="AS369" s="10">
        <f t="shared" ca="1" si="512"/>
        <v>2116189.1310975309</v>
      </c>
      <c r="AT369" s="10">
        <f t="shared" ca="1" si="512"/>
        <v>2095643.6055528948</v>
      </c>
      <c r="AU369" s="10">
        <f t="shared" ca="1" si="512"/>
        <v>2075098.0800082586</v>
      </c>
      <c r="AV369" s="10">
        <f t="shared" ca="1" si="512"/>
        <v>2054552.5544636222</v>
      </c>
      <c r="AW369" s="10">
        <f t="shared" ca="1" si="512"/>
        <v>2034007.028918986</v>
      </c>
      <c r="AX369" s="10">
        <f t="shared" ca="1" si="512"/>
        <v>2013461.5033743498</v>
      </c>
      <c r="AY369" s="10">
        <f t="shared" ca="1" si="512"/>
        <v>1992915.9778297134</v>
      </c>
      <c r="AZ369" s="10">
        <f t="shared" ca="1" si="512"/>
        <v>1972370.4522850772</v>
      </c>
      <c r="BA369" s="10">
        <f t="shared" ca="1" si="512"/>
        <v>1951824.926740441</v>
      </c>
      <c r="BB369" s="10">
        <f t="shared" ca="1" si="512"/>
        <v>1931279.4011958048</v>
      </c>
      <c r="BC369" s="10">
        <f t="shared" ca="1" si="512"/>
        <v>1910733.8756511686</v>
      </c>
      <c r="BD369" s="10">
        <f t="shared" ca="1" si="512"/>
        <v>1890188.3501065325</v>
      </c>
      <c r="BE369" s="10">
        <f t="shared" ca="1" si="512"/>
        <v>1869642.8245618963</v>
      </c>
      <c r="BF369" s="10">
        <f t="shared" ca="1" si="512"/>
        <v>1849097.2990172601</v>
      </c>
      <c r="BG369" s="10">
        <f t="shared" ca="1" si="512"/>
        <v>1828551.7734726239</v>
      </c>
      <c r="BH369" s="10">
        <f t="shared" ca="1" si="512"/>
        <v>1808006.2479279877</v>
      </c>
      <c r="BI369" s="10">
        <f t="shared" ca="1" si="512"/>
        <v>1787460.7223833515</v>
      </c>
      <c r="BJ369" s="10">
        <f t="shared" ca="1" si="512"/>
        <v>1766915.1968387153</v>
      </c>
      <c r="BK369" s="10">
        <f t="shared" ca="1" si="512"/>
        <v>1746369.6712940792</v>
      </c>
      <c r="BL369" s="10">
        <f t="shared" ca="1" si="512"/>
        <v>1725824.145749443</v>
      </c>
      <c r="BM369" s="10">
        <f t="shared" ca="1" si="512"/>
        <v>1705278.6202048068</v>
      </c>
      <c r="BN369" s="10">
        <f t="shared" ca="1" si="512"/>
        <v>1684733.0946601706</v>
      </c>
      <c r="BO369" s="10">
        <f t="shared" ca="1" si="512"/>
        <v>1664187.5691155344</v>
      </c>
      <c r="BP369" s="10">
        <f t="shared" ca="1" si="512"/>
        <v>1643642.0435708982</v>
      </c>
      <c r="BQ369" s="10">
        <f t="shared" ca="1" si="512"/>
        <v>1623096.5180262621</v>
      </c>
      <c r="BR369" s="10">
        <f t="shared" ca="1" si="512"/>
        <v>1602550.9924816259</v>
      </c>
      <c r="BS369" s="10">
        <f t="shared" ca="1" si="512"/>
        <v>1582005.4669369897</v>
      </c>
      <c r="BT369" s="10">
        <f t="shared" ca="1" si="512"/>
        <v>1561459.9413923535</v>
      </c>
      <c r="BU369" s="10">
        <f t="shared" ca="1" si="512"/>
        <v>1540914.4158477173</v>
      </c>
      <c r="BV369" s="10">
        <f t="shared" ca="1" si="512"/>
        <v>1520368.8903030811</v>
      </c>
      <c r="BW369" s="10">
        <f t="shared" ca="1" si="512"/>
        <v>1499823.3647584449</v>
      </c>
      <c r="BX369" s="10">
        <f t="shared" ca="1" si="512"/>
        <v>1479277.8392138088</v>
      </c>
      <c r="BY369" s="10">
        <f t="shared" ca="1" si="512"/>
        <v>1458732.3136691726</v>
      </c>
      <c r="BZ369" s="10">
        <f t="shared" ca="1" si="512"/>
        <v>1438186.7881245364</v>
      </c>
      <c r="CA369" s="10">
        <f t="shared" ca="1" si="512"/>
        <v>1417641.2625799002</v>
      </c>
      <c r="CB369" s="10">
        <f t="shared" ca="1" si="512"/>
        <v>1397095.737035264</v>
      </c>
      <c r="CC369" s="10">
        <f t="shared" ca="1" si="512"/>
        <v>1376550.2114906278</v>
      </c>
      <c r="CD369" s="10">
        <f t="shared" ca="1" si="512"/>
        <v>1356004.6859459917</v>
      </c>
      <c r="CE369" s="10">
        <f t="shared" ref="CE369:CO369" ca="1" si="513">SUM(CE366,CE368)</f>
        <v>1335459.1604013555</v>
      </c>
      <c r="CF369" s="10">
        <f t="shared" ca="1" si="513"/>
        <v>1314913.6348567193</v>
      </c>
      <c r="CG369" s="10">
        <f t="shared" ca="1" si="513"/>
        <v>1294368.1093120831</v>
      </c>
      <c r="CH369" s="10">
        <f t="shared" ca="1" si="513"/>
        <v>1273822.5837674469</v>
      </c>
      <c r="CI369" s="10">
        <f t="shared" ca="1" si="513"/>
        <v>1253277.0582228107</v>
      </c>
      <c r="CJ369" s="10">
        <f t="shared" ca="1" si="513"/>
        <v>1232731.5326781746</v>
      </c>
      <c r="CK369" s="10">
        <f t="shared" ca="1" si="513"/>
        <v>1212186.0071335384</v>
      </c>
      <c r="CL369" s="10">
        <f t="shared" ca="1" si="513"/>
        <v>1191640.4815889022</v>
      </c>
      <c r="CM369" s="10">
        <f t="shared" ca="1" si="513"/>
        <v>1171094.956044266</v>
      </c>
      <c r="CN369" s="10">
        <f t="shared" ca="1" si="513"/>
        <v>1150549.4304996298</v>
      </c>
      <c r="CO369" s="10">
        <f t="shared" ca="1" si="513"/>
        <v>1130003.9049549936</v>
      </c>
    </row>
    <row r="370" spans="1:93">
      <c r="A370" s="10"/>
      <c r="B370" s="10"/>
      <c r="C370" s="17"/>
      <c r="D370" s="10"/>
      <c r="E370" s="62"/>
      <c r="F370" s="11"/>
      <c r="G370" s="11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  <c r="CG370" s="10"/>
      <c r="CH370" s="10"/>
      <c r="CI370" s="10"/>
      <c r="CJ370" s="10"/>
      <c r="CK370" s="10"/>
      <c r="CL370" s="10"/>
      <c r="CM370" s="10"/>
      <c r="CN370" s="10"/>
      <c r="CO370" s="10"/>
    </row>
    <row r="371" spans="1:93">
      <c r="A371" s="10"/>
      <c r="B371" s="10"/>
      <c r="C371" s="87" t="s">
        <v>633</v>
      </c>
      <c r="D371" s="10"/>
      <c r="E371" s="10"/>
      <c r="F371" s="10"/>
      <c r="G371" s="11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</row>
    <row r="372" spans="1:93">
      <c r="A372" s="10"/>
      <c r="B372" s="10"/>
      <c r="C372" s="17" t="s">
        <v>386</v>
      </c>
      <c r="D372" s="10"/>
      <c r="E372" s="184">
        <f xml:space="preserve"> Предпосылки!E367</f>
        <v>7</v>
      </c>
      <c r="F372" s="11"/>
      <c r="G372" s="11" t="s">
        <v>123</v>
      </c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  <c r="CG372" s="10"/>
      <c r="CH372" s="10"/>
      <c r="CI372" s="10"/>
      <c r="CJ372" s="10"/>
      <c r="CK372" s="10"/>
      <c r="CL372" s="10"/>
      <c r="CM372" s="10"/>
      <c r="CN372" s="10"/>
      <c r="CO372" s="10"/>
    </row>
    <row r="373" spans="1:93">
      <c r="A373" s="10"/>
      <c r="B373" s="10"/>
      <c r="C373" s="17" t="s">
        <v>387</v>
      </c>
      <c r="D373" s="10"/>
      <c r="F373" s="11"/>
      <c r="G373" s="11" t="s">
        <v>28</v>
      </c>
      <c r="H373" s="10"/>
      <c r="I373" s="10"/>
      <c r="J373" s="10"/>
      <c r="K373" s="10"/>
      <c r="L373" s="157">
        <f t="shared" ref="L373:Q373" si="514">IF($E372&lt;&gt;0,1/$E372,0)/Periods_in_Year</f>
        <v>3.5714285714285712E-2</v>
      </c>
      <c r="M373" s="157">
        <f t="shared" si="514"/>
        <v>3.5714285714285712E-2</v>
      </c>
      <c r="N373" s="157">
        <f t="shared" si="514"/>
        <v>3.5714285714285712E-2</v>
      </c>
      <c r="O373" s="157">
        <f t="shared" si="514"/>
        <v>3.5714285714285712E-2</v>
      </c>
      <c r="P373" s="157">
        <f t="shared" si="514"/>
        <v>3.5714285714285712E-2</v>
      </c>
      <c r="Q373" s="157">
        <f t="shared" si="514"/>
        <v>3.5714285714285712E-2</v>
      </c>
      <c r="R373" s="157">
        <f>IF($E372&lt;&gt;0,1/$E372,0)/Periods_in_Year</f>
        <v>3.5714285714285712E-2</v>
      </c>
      <c r="S373" s="157">
        <f t="shared" ref="S373:CD373" si="515">IF($E372&lt;&gt;0,1/$E372,0)/Periods_in_Year</f>
        <v>3.5714285714285712E-2</v>
      </c>
      <c r="T373" s="157">
        <f t="shared" si="515"/>
        <v>3.5714285714285712E-2</v>
      </c>
      <c r="U373" s="157">
        <f t="shared" si="515"/>
        <v>3.5714285714285712E-2</v>
      </c>
      <c r="V373" s="157">
        <f t="shared" si="515"/>
        <v>3.5714285714285712E-2</v>
      </c>
      <c r="W373" s="157">
        <f t="shared" si="515"/>
        <v>3.5714285714285712E-2</v>
      </c>
      <c r="X373" s="157">
        <f t="shared" si="515"/>
        <v>3.5714285714285712E-2</v>
      </c>
      <c r="Y373" s="157">
        <f t="shared" si="515"/>
        <v>3.5714285714285712E-2</v>
      </c>
      <c r="Z373" s="157">
        <f t="shared" si="515"/>
        <v>3.5714285714285712E-2</v>
      </c>
      <c r="AA373" s="157">
        <f t="shared" si="515"/>
        <v>3.5714285714285712E-2</v>
      </c>
      <c r="AB373" s="157">
        <f t="shared" si="515"/>
        <v>3.5714285714285712E-2</v>
      </c>
      <c r="AC373" s="157">
        <f t="shared" si="515"/>
        <v>3.5714285714285712E-2</v>
      </c>
      <c r="AD373" s="157">
        <f t="shared" si="515"/>
        <v>3.5714285714285712E-2</v>
      </c>
      <c r="AE373" s="157">
        <f t="shared" si="515"/>
        <v>3.5714285714285712E-2</v>
      </c>
      <c r="AF373" s="157">
        <f t="shared" si="515"/>
        <v>3.5714285714285712E-2</v>
      </c>
      <c r="AG373" s="157">
        <f t="shared" si="515"/>
        <v>3.5714285714285712E-2</v>
      </c>
      <c r="AH373" s="157">
        <f t="shared" si="515"/>
        <v>3.5714285714285712E-2</v>
      </c>
      <c r="AI373" s="157">
        <f t="shared" si="515"/>
        <v>3.5714285714285712E-2</v>
      </c>
      <c r="AJ373" s="157">
        <f t="shared" si="515"/>
        <v>3.5714285714285712E-2</v>
      </c>
      <c r="AK373" s="157">
        <f t="shared" si="515"/>
        <v>3.5714285714285712E-2</v>
      </c>
      <c r="AL373" s="157">
        <f t="shared" si="515"/>
        <v>3.5714285714285712E-2</v>
      </c>
      <c r="AM373" s="157">
        <f t="shared" si="515"/>
        <v>3.5714285714285712E-2</v>
      </c>
      <c r="AN373" s="157">
        <f t="shared" si="515"/>
        <v>3.5714285714285712E-2</v>
      </c>
      <c r="AO373" s="157">
        <f t="shared" si="515"/>
        <v>3.5714285714285712E-2</v>
      </c>
      <c r="AP373" s="157">
        <f t="shared" si="515"/>
        <v>3.5714285714285712E-2</v>
      </c>
      <c r="AQ373" s="157">
        <f t="shared" si="515"/>
        <v>3.5714285714285712E-2</v>
      </c>
      <c r="AR373" s="157">
        <f t="shared" si="515"/>
        <v>3.5714285714285712E-2</v>
      </c>
      <c r="AS373" s="157">
        <f t="shared" si="515"/>
        <v>3.5714285714285712E-2</v>
      </c>
      <c r="AT373" s="157">
        <f t="shared" si="515"/>
        <v>3.5714285714285712E-2</v>
      </c>
      <c r="AU373" s="157">
        <f t="shared" si="515"/>
        <v>3.5714285714285712E-2</v>
      </c>
      <c r="AV373" s="157">
        <f t="shared" si="515"/>
        <v>3.5714285714285712E-2</v>
      </c>
      <c r="AW373" s="157">
        <f t="shared" si="515"/>
        <v>3.5714285714285712E-2</v>
      </c>
      <c r="AX373" s="157">
        <f t="shared" si="515"/>
        <v>3.5714285714285712E-2</v>
      </c>
      <c r="AY373" s="157">
        <f t="shared" si="515"/>
        <v>3.5714285714285712E-2</v>
      </c>
      <c r="AZ373" s="157">
        <f t="shared" si="515"/>
        <v>3.5714285714285712E-2</v>
      </c>
      <c r="BA373" s="157">
        <f t="shared" si="515"/>
        <v>3.5714285714285712E-2</v>
      </c>
      <c r="BB373" s="157">
        <f t="shared" si="515"/>
        <v>3.5714285714285712E-2</v>
      </c>
      <c r="BC373" s="157">
        <f t="shared" si="515"/>
        <v>3.5714285714285712E-2</v>
      </c>
      <c r="BD373" s="157">
        <f t="shared" si="515"/>
        <v>3.5714285714285712E-2</v>
      </c>
      <c r="BE373" s="157">
        <f t="shared" si="515"/>
        <v>3.5714285714285712E-2</v>
      </c>
      <c r="BF373" s="157">
        <f t="shared" si="515"/>
        <v>3.5714285714285712E-2</v>
      </c>
      <c r="BG373" s="157">
        <f t="shared" si="515"/>
        <v>3.5714285714285712E-2</v>
      </c>
      <c r="BH373" s="157">
        <f t="shared" si="515"/>
        <v>3.5714285714285712E-2</v>
      </c>
      <c r="BI373" s="157">
        <f t="shared" si="515"/>
        <v>3.5714285714285712E-2</v>
      </c>
      <c r="BJ373" s="157">
        <f t="shared" si="515"/>
        <v>3.5714285714285712E-2</v>
      </c>
      <c r="BK373" s="157">
        <f t="shared" si="515"/>
        <v>3.5714285714285712E-2</v>
      </c>
      <c r="BL373" s="157">
        <f t="shared" si="515"/>
        <v>3.5714285714285712E-2</v>
      </c>
      <c r="BM373" s="157">
        <f t="shared" si="515"/>
        <v>3.5714285714285712E-2</v>
      </c>
      <c r="BN373" s="157">
        <f t="shared" si="515"/>
        <v>3.5714285714285712E-2</v>
      </c>
      <c r="BO373" s="157">
        <f t="shared" si="515"/>
        <v>3.5714285714285712E-2</v>
      </c>
      <c r="BP373" s="157">
        <f t="shared" si="515"/>
        <v>3.5714285714285712E-2</v>
      </c>
      <c r="BQ373" s="157">
        <f t="shared" si="515"/>
        <v>3.5714285714285712E-2</v>
      </c>
      <c r="BR373" s="157">
        <f t="shared" si="515"/>
        <v>3.5714285714285712E-2</v>
      </c>
      <c r="BS373" s="157">
        <f t="shared" si="515"/>
        <v>3.5714285714285712E-2</v>
      </c>
      <c r="BT373" s="157">
        <f t="shared" si="515"/>
        <v>3.5714285714285712E-2</v>
      </c>
      <c r="BU373" s="157">
        <f t="shared" si="515"/>
        <v>3.5714285714285712E-2</v>
      </c>
      <c r="BV373" s="157">
        <f t="shared" si="515"/>
        <v>3.5714285714285712E-2</v>
      </c>
      <c r="BW373" s="157">
        <f t="shared" si="515"/>
        <v>3.5714285714285712E-2</v>
      </c>
      <c r="BX373" s="157">
        <f t="shared" si="515"/>
        <v>3.5714285714285712E-2</v>
      </c>
      <c r="BY373" s="157">
        <f t="shared" si="515"/>
        <v>3.5714285714285712E-2</v>
      </c>
      <c r="BZ373" s="157">
        <f t="shared" si="515"/>
        <v>3.5714285714285712E-2</v>
      </c>
      <c r="CA373" s="157">
        <f t="shared" si="515"/>
        <v>3.5714285714285712E-2</v>
      </c>
      <c r="CB373" s="157">
        <f t="shared" si="515"/>
        <v>3.5714285714285712E-2</v>
      </c>
      <c r="CC373" s="157">
        <f t="shared" si="515"/>
        <v>3.5714285714285712E-2</v>
      </c>
      <c r="CD373" s="157">
        <f t="shared" si="515"/>
        <v>3.5714285714285712E-2</v>
      </c>
      <c r="CE373" s="157">
        <f t="shared" ref="CE373:CO373" si="516">IF($E372&lt;&gt;0,1/$E372,0)/Periods_in_Year</f>
        <v>3.5714285714285712E-2</v>
      </c>
      <c r="CF373" s="157">
        <f t="shared" si="516"/>
        <v>3.5714285714285712E-2</v>
      </c>
      <c r="CG373" s="157">
        <f t="shared" si="516"/>
        <v>3.5714285714285712E-2</v>
      </c>
      <c r="CH373" s="157">
        <f t="shared" si="516"/>
        <v>3.5714285714285712E-2</v>
      </c>
      <c r="CI373" s="157">
        <f t="shared" si="516"/>
        <v>3.5714285714285712E-2</v>
      </c>
      <c r="CJ373" s="157">
        <f t="shared" si="516"/>
        <v>3.5714285714285712E-2</v>
      </c>
      <c r="CK373" s="157">
        <f t="shared" si="516"/>
        <v>3.5714285714285712E-2</v>
      </c>
      <c r="CL373" s="157">
        <f t="shared" si="516"/>
        <v>3.5714285714285712E-2</v>
      </c>
      <c r="CM373" s="157">
        <f t="shared" si="516"/>
        <v>3.5714285714285712E-2</v>
      </c>
      <c r="CN373" s="157">
        <f t="shared" si="516"/>
        <v>3.5714285714285712E-2</v>
      </c>
      <c r="CO373" s="157">
        <f t="shared" si="516"/>
        <v>3.5714285714285712E-2</v>
      </c>
    </row>
    <row r="374" spans="1:93">
      <c r="A374" s="10"/>
      <c r="B374" s="10"/>
      <c r="C374" s="17" t="s">
        <v>125</v>
      </c>
      <c r="D374" s="10"/>
      <c r="E374" s="62"/>
      <c r="F374" s="11"/>
      <c r="G374" s="134" t="str">
        <f t="shared" ref="G374:G379" si="517">Monetary_Unit</f>
        <v>тыс. руб.</v>
      </c>
      <c r="H374" s="10"/>
      <c r="I374" s="10"/>
      <c r="J374" s="10"/>
      <c r="K374" s="10"/>
      <c r="L374" s="10">
        <f t="shared" ref="L374:AQ374" si="518">K379</f>
        <v>0</v>
      </c>
      <c r="M374" s="10">
        <f t="shared" ca="1" si="518"/>
        <v>0</v>
      </c>
      <c r="N374" s="10">
        <f t="shared" ca="1" si="518"/>
        <v>0</v>
      </c>
      <c r="O374" s="10">
        <f t="shared" ca="1" si="518"/>
        <v>0</v>
      </c>
      <c r="P374" s="10">
        <f t="shared" ca="1" si="518"/>
        <v>0</v>
      </c>
      <c r="Q374" s="10">
        <f t="shared" ca="1" si="518"/>
        <v>0</v>
      </c>
      <c r="R374" s="10">
        <f t="shared" ca="1" si="518"/>
        <v>0</v>
      </c>
      <c r="S374" s="10">
        <f t="shared" ca="1" si="518"/>
        <v>0</v>
      </c>
      <c r="T374" s="10">
        <f t="shared" ca="1" si="518"/>
        <v>0</v>
      </c>
      <c r="U374" s="10">
        <f t="shared" ca="1" si="518"/>
        <v>0</v>
      </c>
      <c r="V374" s="10">
        <f t="shared" ca="1" si="518"/>
        <v>0</v>
      </c>
      <c r="W374" s="10">
        <f t="shared" ca="1" si="518"/>
        <v>0</v>
      </c>
      <c r="X374" s="10">
        <f t="shared" ca="1" si="518"/>
        <v>0</v>
      </c>
      <c r="Y374" s="10">
        <f t="shared" ca="1" si="518"/>
        <v>0</v>
      </c>
      <c r="Z374" s="10">
        <f t="shared" ca="1" si="518"/>
        <v>0</v>
      </c>
      <c r="AA374" s="10">
        <f t="shared" ca="1" si="518"/>
        <v>0</v>
      </c>
      <c r="AB374" s="10">
        <f t="shared" ca="1" si="518"/>
        <v>0</v>
      </c>
      <c r="AC374" s="10">
        <f t="shared" ca="1" si="518"/>
        <v>594047.59928800585</v>
      </c>
      <c r="AD374" s="10">
        <f t="shared" ca="1" si="518"/>
        <v>572831.61359914846</v>
      </c>
      <c r="AE374" s="10">
        <f t="shared" ca="1" si="518"/>
        <v>551615.62791029119</v>
      </c>
      <c r="AF374" s="10">
        <f t="shared" ca="1" si="518"/>
        <v>530399.64222143381</v>
      </c>
      <c r="AG374" s="10">
        <f t="shared" ca="1" si="518"/>
        <v>509183.65653257642</v>
      </c>
      <c r="AH374" s="10">
        <f t="shared" ca="1" si="518"/>
        <v>487967.6708437191</v>
      </c>
      <c r="AI374" s="10">
        <f t="shared" ca="1" si="518"/>
        <v>466751.68515486171</v>
      </c>
      <c r="AJ374" s="10">
        <f t="shared" ca="1" si="518"/>
        <v>445535.69946600439</v>
      </c>
      <c r="AK374" s="10">
        <f t="shared" ca="1" si="518"/>
        <v>424319.713777147</v>
      </c>
      <c r="AL374" s="10">
        <f t="shared" ca="1" si="518"/>
        <v>403103.72808828967</v>
      </c>
      <c r="AM374" s="10">
        <f t="shared" ca="1" si="518"/>
        <v>381887.74239943235</v>
      </c>
      <c r="AN374" s="10">
        <f t="shared" ca="1" si="518"/>
        <v>360671.75671057496</v>
      </c>
      <c r="AO374" s="10">
        <f t="shared" ca="1" si="518"/>
        <v>339455.77102171758</v>
      </c>
      <c r="AP374" s="10">
        <f t="shared" ca="1" si="518"/>
        <v>318239.78533286025</v>
      </c>
      <c r="AQ374" s="10">
        <f t="shared" ca="1" si="518"/>
        <v>297023.79964400292</v>
      </c>
      <c r="AR374" s="10">
        <f t="shared" ref="AR374:BW374" ca="1" si="519">AQ379</f>
        <v>275807.8139551456</v>
      </c>
      <c r="AS374" s="10">
        <f t="shared" ca="1" si="519"/>
        <v>254591.82826628827</v>
      </c>
      <c r="AT374" s="10">
        <f t="shared" ca="1" si="519"/>
        <v>233375.84257743094</v>
      </c>
      <c r="AU374" s="10">
        <f t="shared" ca="1" si="519"/>
        <v>212159.85688857362</v>
      </c>
      <c r="AV374" s="10">
        <f t="shared" ca="1" si="519"/>
        <v>190943.87119971629</v>
      </c>
      <c r="AW374" s="10">
        <f t="shared" ca="1" si="519"/>
        <v>169727.88551085896</v>
      </c>
      <c r="AX374" s="10">
        <f t="shared" ca="1" si="519"/>
        <v>148511.89982200164</v>
      </c>
      <c r="AY374" s="10">
        <f t="shared" ca="1" si="519"/>
        <v>127295.91413314431</v>
      </c>
      <c r="AZ374" s="10">
        <f t="shared" ca="1" si="519"/>
        <v>106079.92844428698</v>
      </c>
      <c r="BA374" s="10">
        <f t="shared" ca="1" si="519"/>
        <v>84863.942755429656</v>
      </c>
      <c r="BB374" s="10">
        <f t="shared" ca="1" si="519"/>
        <v>63647.957066572271</v>
      </c>
      <c r="BC374" s="10">
        <f t="shared" ca="1" si="519"/>
        <v>42431.971377714886</v>
      </c>
      <c r="BD374" s="10">
        <f t="shared" ca="1" si="519"/>
        <v>21215.985688857501</v>
      </c>
      <c r="BE374" s="10">
        <f t="shared" ca="1" si="519"/>
        <v>0</v>
      </c>
      <c r="BF374" s="10">
        <f t="shared" ca="1" si="519"/>
        <v>0</v>
      </c>
      <c r="BG374" s="10">
        <f t="shared" ca="1" si="519"/>
        <v>0</v>
      </c>
      <c r="BH374" s="10">
        <f t="shared" ca="1" si="519"/>
        <v>0</v>
      </c>
      <c r="BI374" s="10">
        <f t="shared" ca="1" si="519"/>
        <v>0</v>
      </c>
      <c r="BJ374" s="10">
        <f t="shared" ca="1" si="519"/>
        <v>0</v>
      </c>
      <c r="BK374" s="10">
        <f t="shared" ca="1" si="519"/>
        <v>0</v>
      </c>
      <c r="BL374" s="10">
        <f t="shared" ca="1" si="519"/>
        <v>0</v>
      </c>
      <c r="BM374" s="10">
        <f t="shared" ca="1" si="519"/>
        <v>0</v>
      </c>
      <c r="BN374" s="10">
        <f t="shared" ca="1" si="519"/>
        <v>0</v>
      </c>
      <c r="BO374" s="10">
        <f t="shared" ca="1" si="519"/>
        <v>0</v>
      </c>
      <c r="BP374" s="10">
        <f t="shared" ca="1" si="519"/>
        <v>0</v>
      </c>
      <c r="BQ374" s="10">
        <f t="shared" ca="1" si="519"/>
        <v>0</v>
      </c>
      <c r="BR374" s="10">
        <f t="shared" ca="1" si="519"/>
        <v>0</v>
      </c>
      <c r="BS374" s="10">
        <f t="shared" ca="1" si="519"/>
        <v>0</v>
      </c>
      <c r="BT374" s="10">
        <f t="shared" ca="1" si="519"/>
        <v>0</v>
      </c>
      <c r="BU374" s="10">
        <f t="shared" ca="1" si="519"/>
        <v>0</v>
      </c>
      <c r="BV374" s="10">
        <f t="shared" ca="1" si="519"/>
        <v>0</v>
      </c>
      <c r="BW374" s="10">
        <f t="shared" ca="1" si="519"/>
        <v>0</v>
      </c>
      <c r="BX374" s="10">
        <f t="shared" ref="BX374:CO374" ca="1" si="520">BW379</f>
        <v>0</v>
      </c>
      <c r="BY374" s="10">
        <f t="shared" ca="1" si="520"/>
        <v>0</v>
      </c>
      <c r="BZ374" s="10">
        <f t="shared" ca="1" si="520"/>
        <v>0</v>
      </c>
      <c r="CA374" s="10">
        <f t="shared" ca="1" si="520"/>
        <v>0</v>
      </c>
      <c r="CB374" s="10">
        <f t="shared" ca="1" si="520"/>
        <v>0</v>
      </c>
      <c r="CC374" s="10">
        <f t="shared" ca="1" si="520"/>
        <v>0</v>
      </c>
      <c r="CD374" s="10">
        <f t="shared" ca="1" si="520"/>
        <v>0</v>
      </c>
      <c r="CE374" s="10">
        <f t="shared" ca="1" si="520"/>
        <v>0</v>
      </c>
      <c r="CF374" s="10">
        <f t="shared" ca="1" si="520"/>
        <v>0</v>
      </c>
      <c r="CG374" s="10">
        <f t="shared" ca="1" si="520"/>
        <v>0</v>
      </c>
      <c r="CH374" s="10">
        <f t="shared" ca="1" si="520"/>
        <v>0</v>
      </c>
      <c r="CI374" s="10">
        <f t="shared" ca="1" si="520"/>
        <v>0</v>
      </c>
      <c r="CJ374" s="10">
        <f t="shared" ca="1" si="520"/>
        <v>0</v>
      </c>
      <c r="CK374" s="10">
        <f t="shared" ca="1" si="520"/>
        <v>0</v>
      </c>
      <c r="CL374" s="10">
        <f t="shared" ca="1" si="520"/>
        <v>0</v>
      </c>
      <c r="CM374" s="10">
        <f t="shared" ca="1" si="520"/>
        <v>0</v>
      </c>
      <c r="CN374" s="10">
        <f t="shared" ca="1" si="520"/>
        <v>0</v>
      </c>
      <c r="CO374" s="10">
        <f t="shared" ca="1" si="520"/>
        <v>0</v>
      </c>
    </row>
    <row r="375" spans="1:93">
      <c r="A375" s="10"/>
      <c r="B375" s="10"/>
      <c r="C375" s="17" t="s">
        <v>126</v>
      </c>
      <c r="D375" s="10"/>
      <c r="E375" s="62"/>
      <c r="F375" s="11"/>
      <c r="G375" s="134" t="str">
        <f t="shared" si="517"/>
        <v>тыс. руб.</v>
      </c>
      <c r="H375" s="10"/>
      <c r="I375" s="23">
        <f ca="1">SUM(L375:CO375)</f>
        <v>594047.59928800585</v>
      </c>
      <c r="J375" s="10"/>
      <c r="K375" s="10"/>
      <c r="L375" s="10">
        <f t="shared" ref="L375:AQ375" ca="1" si="521">SUM(L325)</f>
        <v>0</v>
      </c>
      <c r="M375" s="10">
        <f t="shared" ca="1" si="521"/>
        <v>0</v>
      </c>
      <c r="N375" s="10">
        <f t="shared" ca="1" si="521"/>
        <v>0</v>
      </c>
      <c r="O375" s="10">
        <f t="shared" ca="1" si="521"/>
        <v>0</v>
      </c>
      <c r="P375" s="10">
        <f t="shared" ca="1" si="521"/>
        <v>0</v>
      </c>
      <c r="Q375" s="10">
        <f t="shared" ca="1" si="521"/>
        <v>0</v>
      </c>
      <c r="R375" s="10">
        <f t="shared" ca="1" si="521"/>
        <v>0</v>
      </c>
      <c r="S375" s="10">
        <f t="shared" ca="1" si="521"/>
        <v>0</v>
      </c>
      <c r="T375" s="10">
        <f t="shared" ca="1" si="521"/>
        <v>0</v>
      </c>
      <c r="U375" s="10">
        <f t="shared" ca="1" si="521"/>
        <v>0</v>
      </c>
      <c r="V375" s="10">
        <f t="shared" ca="1" si="521"/>
        <v>0</v>
      </c>
      <c r="W375" s="10">
        <f t="shared" ca="1" si="521"/>
        <v>0</v>
      </c>
      <c r="X375" s="10">
        <f t="shared" ca="1" si="521"/>
        <v>0</v>
      </c>
      <c r="Y375" s="10">
        <f t="shared" ca="1" si="521"/>
        <v>0</v>
      </c>
      <c r="Z375" s="10">
        <f t="shared" ca="1" si="521"/>
        <v>0</v>
      </c>
      <c r="AA375" s="10">
        <f t="shared" ca="1" si="521"/>
        <v>0</v>
      </c>
      <c r="AB375" s="10">
        <f t="shared" ca="1" si="521"/>
        <v>594047.59928800585</v>
      </c>
      <c r="AC375" s="10">
        <f t="shared" ca="1" si="521"/>
        <v>0</v>
      </c>
      <c r="AD375" s="10">
        <f t="shared" ca="1" si="521"/>
        <v>0</v>
      </c>
      <c r="AE375" s="10">
        <f t="shared" ca="1" si="521"/>
        <v>0</v>
      </c>
      <c r="AF375" s="10">
        <f t="shared" ca="1" si="521"/>
        <v>0</v>
      </c>
      <c r="AG375" s="10">
        <f t="shared" ca="1" si="521"/>
        <v>0</v>
      </c>
      <c r="AH375" s="10">
        <f t="shared" ca="1" si="521"/>
        <v>0</v>
      </c>
      <c r="AI375" s="10">
        <f t="shared" ca="1" si="521"/>
        <v>0</v>
      </c>
      <c r="AJ375" s="10">
        <f t="shared" ca="1" si="521"/>
        <v>0</v>
      </c>
      <c r="AK375" s="10">
        <f t="shared" ca="1" si="521"/>
        <v>0</v>
      </c>
      <c r="AL375" s="10">
        <f t="shared" ca="1" si="521"/>
        <v>0</v>
      </c>
      <c r="AM375" s="10">
        <f t="shared" ca="1" si="521"/>
        <v>0</v>
      </c>
      <c r="AN375" s="10">
        <f t="shared" ca="1" si="521"/>
        <v>0</v>
      </c>
      <c r="AO375" s="10">
        <f t="shared" ca="1" si="521"/>
        <v>0</v>
      </c>
      <c r="AP375" s="10">
        <f t="shared" ca="1" si="521"/>
        <v>0</v>
      </c>
      <c r="AQ375" s="10">
        <f t="shared" ca="1" si="521"/>
        <v>0</v>
      </c>
      <c r="AR375" s="10">
        <f t="shared" ref="AR375:BW375" ca="1" si="522">SUM(AR325)</f>
        <v>0</v>
      </c>
      <c r="AS375" s="10">
        <f t="shared" ca="1" si="522"/>
        <v>0</v>
      </c>
      <c r="AT375" s="10">
        <f t="shared" ca="1" si="522"/>
        <v>0</v>
      </c>
      <c r="AU375" s="10">
        <f t="shared" ca="1" si="522"/>
        <v>0</v>
      </c>
      <c r="AV375" s="10">
        <f t="shared" ca="1" si="522"/>
        <v>0</v>
      </c>
      <c r="AW375" s="10">
        <f t="shared" ca="1" si="522"/>
        <v>0</v>
      </c>
      <c r="AX375" s="10">
        <f t="shared" ca="1" si="522"/>
        <v>0</v>
      </c>
      <c r="AY375" s="10">
        <f t="shared" ca="1" si="522"/>
        <v>0</v>
      </c>
      <c r="AZ375" s="10">
        <f t="shared" ca="1" si="522"/>
        <v>0</v>
      </c>
      <c r="BA375" s="10">
        <f t="shared" ca="1" si="522"/>
        <v>0</v>
      </c>
      <c r="BB375" s="10">
        <f t="shared" ca="1" si="522"/>
        <v>0</v>
      </c>
      <c r="BC375" s="10">
        <f t="shared" ca="1" si="522"/>
        <v>0</v>
      </c>
      <c r="BD375" s="10">
        <f t="shared" ca="1" si="522"/>
        <v>0</v>
      </c>
      <c r="BE375" s="10">
        <f t="shared" ca="1" si="522"/>
        <v>0</v>
      </c>
      <c r="BF375" s="10">
        <f t="shared" ca="1" si="522"/>
        <v>0</v>
      </c>
      <c r="BG375" s="10">
        <f t="shared" ca="1" si="522"/>
        <v>0</v>
      </c>
      <c r="BH375" s="10">
        <f t="shared" ca="1" si="522"/>
        <v>0</v>
      </c>
      <c r="BI375" s="10">
        <f t="shared" ca="1" si="522"/>
        <v>0</v>
      </c>
      <c r="BJ375" s="10">
        <f t="shared" ca="1" si="522"/>
        <v>0</v>
      </c>
      <c r="BK375" s="10">
        <f t="shared" ca="1" si="522"/>
        <v>0</v>
      </c>
      <c r="BL375" s="10">
        <f t="shared" ca="1" si="522"/>
        <v>0</v>
      </c>
      <c r="BM375" s="10">
        <f t="shared" ca="1" si="522"/>
        <v>0</v>
      </c>
      <c r="BN375" s="10">
        <f t="shared" ca="1" si="522"/>
        <v>0</v>
      </c>
      <c r="BO375" s="10">
        <f t="shared" ca="1" si="522"/>
        <v>0</v>
      </c>
      <c r="BP375" s="10">
        <f t="shared" ca="1" si="522"/>
        <v>0</v>
      </c>
      <c r="BQ375" s="10">
        <f t="shared" ca="1" si="522"/>
        <v>0</v>
      </c>
      <c r="BR375" s="10">
        <f t="shared" ca="1" si="522"/>
        <v>0</v>
      </c>
      <c r="BS375" s="10">
        <f t="shared" ca="1" si="522"/>
        <v>0</v>
      </c>
      <c r="BT375" s="10">
        <f t="shared" ca="1" si="522"/>
        <v>0</v>
      </c>
      <c r="BU375" s="10">
        <f t="shared" ca="1" si="522"/>
        <v>0</v>
      </c>
      <c r="BV375" s="10">
        <f t="shared" ca="1" si="522"/>
        <v>0</v>
      </c>
      <c r="BW375" s="10">
        <f t="shared" ca="1" si="522"/>
        <v>0</v>
      </c>
      <c r="BX375" s="10">
        <f t="shared" ref="BX375:CO375" ca="1" si="523">SUM(BX325)</f>
        <v>0</v>
      </c>
      <c r="BY375" s="10">
        <f t="shared" ca="1" si="523"/>
        <v>0</v>
      </c>
      <c r="BZ375" s="10">
        <f t="shared" ca="1" si="523"/>
        <v>0</v>
      </c>
      <c r="CA375" s="10">
        <f t="shared" ca="1" si="523"/>
        <v>0</v>
      </c>
      <c r="CB375" s="10">
        <f t="shared" ca="1" si="523"/>
        <v>0</v>
      </c>
      <c r="CC375" s="10">
        <f t="shared" ca="1" si="523"/>
        <v>0</v>
      </c>
      <c r="CD375" s="10">
        <f t="shared" ca="1" si="523"/>
        <v>0</v>
      </c>
      <c r="CE375" s="10">
        <f t="shared" ca="1" si="523"/>
        <v>0</v>
      </c>
      <c r="CF375" s="10">
        <f t="shared" ca="1" si="523"/>
        <v>0</v>
      </c>
      <c r="CG375" s="10">
        <f t="shared" ca="1" si="523"/>
        <v>0</v>
      </c>
      <c r="CH375" s="10">
        <f t="shared" ca="1" si="523"/>
        <v>0</v>
      </c>
      <c r="CI375" s="10">
        <f t="shared" ca="1" si="523"/>
        <v>0</v>
      </c>
      <c r="CJ375" s="10">
        <f t="shared" ca="1" si="523"/>
        <v>0</v>
      </c>
      <c r="CK375" s="10">
        <f t="shared" ca="1" si="523"/>
        <v>0</v>
      </c>
      <c r="CL375" s="10">
        <f t="shared" ca="1" si="523"/>
        <v>0</v>
      </c>
      <c r="CM375" s="10">
        <f t="shared" ca="1" si="523"/>
        <v>0</v>
      </c>
      <c r="CN375" s="10">
        <f t="shared" ca="1" si="523"/>
        <v>0</v>
      </c>
      <c r="CO375" s="10">
        <f t="shared" ca="1" si="523"/>
        <v>0</v>
      </c>
    </row>
    <row r="376" spans="1:93">
      <c r="A376" s="10"/>
      <c r="B376" s="10"/>
      <c r="C376" s="17" t="s">
        <v>388</v>
      </c>
      <c r="D376" s="10"/>
      <c r="E376" s="62"/>
      <c r="F376" s="11"/>
      <c r="G376" s="134" t="str">
        <f t="shared" si="517"/>
        <v>тыс. руб.</v>
      </c>
      <c r="H376" s="10"/>
      <c r="I376" s="10"/>
      <c r="J376" s="10"/>
      <c r="K376" s="10"/>
      <c r="L376" s="10">
        <f t="shared" ref="L376:AQ376" ca="1" si="524">L375+K376</f>
        <v>0</v>
      </c>
      <c r="M376" s="10">
        <f t="shared" ca="1" si="524"/>
        <v>0</v>
      </c>
      <c r="N376" s="10">
        <f t="shared" ca="1" si="524"/>
        <v>0</v>
      </c>
      <c r="O376" s="10">
        <f t="shared" ca="1" si="524"/>
        <v>0</v>
      </c>
      <c r="P376" s="10">
        <f t="shared" ca="1" si="524"/>
        <v>0</v>
      </c>
      <c r="Q376" s="10">
        <f t="shared" ca="1" si="524"/>
        <v>0</v>
      </c>
      <c r="R376" s="10">
        <f t="shared" ca="1" si="524"/>
        <v>0</v>
      </c>
      <c r="S376" s="10">
        <f t="shared" ca="1" si="524"/>
        <v>0</v>
      </c>
      <c r="T376" s="10">
        <f t="shared" ca="1" si="524"/>
        <v>0</v>
      </c>
      <c r="U376" s="10">
        <f t="shared" ca="1" si="524"/>
        <v>0</v>
      </c>
      <c r="V376" s="10">
        <f t="shared" ca="1" si="524"/>
        <v>0</v>
      </c>
      <c r="W376" s="10">
        <f t="shared" ca="1" si="524"/>
        <v>0</v>
      </c>
      <c r="X376" s="10">
        <f t="shared" ca="1" si="524"/>
        <v>0</v>
      </c>
      <c r="Y376" s="10">
        <f t="shared" ca="1" si="524"/>
        <v>0</v>
      </c>
      <c r="Z376" s="10">
        <f t="shared" ca="1" si="524"/>
        <v>0</v>
      </c>
      <c r="AA376" s="10">
        <f t="shared" ca="1" si="524"/>
        <v>0</v>
      </c>
      <c r="AB376" s="10">
        <f t="shared" ca="1" si="524"/>
        <v>594047.59928800585</v>
      </c>
      <c r="AC376" s="10">
        <f t="shared" ca="1" si="524"/>
        <v>594047.59928800585</v>
      </c>
      <c r="AD376" s="10">
        <f t="shared" ca="1" si="524"/>
        <v>594047.59928800585</v>
      </c>
      <c r="AE376" s="10">
        <f t="shared" ca="1" si="524"/>
        <v>594047.59928800585</v>
      </c>
      <c r="AF376" s="10">
        <f t="shared" ca="1" si="524"/>
        <v>594047.59928800585</v>
      </c>
      <c r="AG376" s="10">
        <f t="shared" ca="1" si="524"/>
        <v>594047.59928800585</v>
      </c>
      <c r="AH376" s="10">
        <f t="shared" ca="1" si="524"/>
        <v>594047.59928800585</v>
      </c>
      <c r="AI376" s="10">
        <f t="shared" ca="1" si="524"/>
        <v>594047.59928800585</v>
      </c>
      <c r="AJ376" s="10">
        <f t="shared" ca="1" si="524"/>
        <v>594047.59928800585</v>
      </c>
      <c r="AK376" s="10">
        <f t="shared" ca="1" si="524"/>
        <v>594047.59928800585</v>
      </c>
      <c r="AL376" s="10">
        <f t="shared" ca="1" si="524"/>
        <v>594047.59928800585</v>
      </c>
      <c r="AM376" s="10">
        <f t="shared" ca="1" si="524"/>
        <v>594047.59928800585</v>
      </c>
      <c r="AN376" s="10">
        <f t="shared" ca="1" si="524"/>
        <v>594047.59928800585</v>
      </c>
      <c r="AO376" s="10">
        <f t="shared" ca="1" si="524"/>
        <v>594047.59928800585</v>
      </c>
      <c r="AP376" s="10">
        <f t="shared" ca="1" si="524"/>
        <v>594047.59928800585</v>
      </c>
      <c r="AQ376" s="10">
        <f t="shared" ca="1" si="524"/>
        <v>594047.59928800585</v>
      </c>
      <c r="AR376" s="10">
        <f t="shared" ref="AR376:BW376" ca="1" si="525">AR375+AQ376</f>
        <v>594047.59928800585</v>
      </c>
      <c r="AS376" s="10">
        <f t="shared" ca="1" si="525"/>
        <v>594047.59928800585</v>
      </c>
      <c r="AT376" s="10">
        <f t="shared" ca="1" si="525"/>
        <v>594047.59928800585</v>
      </c>
      <c r="AU376" s="10">
        <f t="shared" ca="1" si="525"/>
        <v>594047.59928800585</v>
      </c>
      <c r="AV376" s="10">
        <f t="shared" ca="1" si="525"/>
        <v>594047.59928800585</v>
      </c>
      <c r="AW376" s="10">
        <f t="shared" ca="1" si="525"/>
        <v>594047.59928800585</v>
      </c>
      <c r="AX376" s="10">
        <f t="shared" ca="1" si="525"/>
        <v>594047.59928800585</v>
      </c>
      <c r="AY376" s="10">
        <f t="shared" ca="1" si="525"/>
        <v>594047.59928800585</v>
      </c>
      <c r="AZ376" s="10">
        <f t="shared" ca="1" si="525"/>
        <v>594047.59928800585</v>
      </c>
      <c r="BA376" s="10">
        <f t="shared" ca="1" si="525"/>
        <v>594047.59928800585</v>
      </c>
      <c r="BB376" s="10">
        <f t="shared" ca="1" si="525"/>
        <v>594047.59928800585</v>
      </c>
      <c r="BC376" s="10">
        <f t="shared" ca="1" si="525"/>
        <v>594047.59928800585</v>
      </c>
      <c r="BD376" s="10">
        <f t="shared" ca="1" si="525"/>
        <v>594047.59928800585</v>
      </c>
      <c r="BE376" s="10">
        <f t="shared" ca="1" si="525"/>
        <v>594047.59928800585</v>
      </c>
      <c r="BF376" s="10">
        <f t="shared" ca="1" si="525"/>
        <v>594047.59928800585</v>
      </c>
      <c r="BG376" s="10">
        <f t="shared" ca="1" si="525"/>
        <v>594047.59928800585</v>
      </c>
      <c r="BH376" s="10">
        <f t="shared" ca="1" si="525"/>
        <v>594047.59928800585</v>
      </c>
      <c r="BI376" s="10">
        <f t="shared" ca="1" si="525"/>
        <v>594047.59928800585</v>
      </c>
      <c r="BJ376" s="10">
        <f t="shared" ca="1" si="525"/>
        <v>594047.59928800585</v>
      </c>
      <c r="BK376" s="10">
        <f t="shared" ca="1" si="525"/>
        <v>594047.59928800585</v>
      </c>
      <c r="BL376" s="10">
        <f t="shared" ca="1" si="525"/>
        <v>594047.59928800585</v>
      </c>
      <c r="BM376" s="10">
        <f t="shared" ca="1" si="525"/>
        <v>594047.59928800585</v>
      </c>
      <c r="BN376" s="10">
        <f t="shared" ca="1" si="525"/>
        <v>594047.59928800585</v>
      </c>
      <c r="BO376" s="10">
        <f t="shared" ca="1" si="525"/>
        <v>594047.59928800585</v>
      </c>
      <c r="BP376" s="10">
        <f t="shared" ca="1" si="525"/>
        <v>594047.59928800585</v>
      </c>
      <c r="BQ376" s="10">
        <f t="shared" ca="1" si="525"/>
        <v>594047.59928800585</v>
      </c>
      <c r="BR376" s="10">
        <f t="shared" ca="1" si="525"/>
        <v>594047.59928800585</v>
      </c>
      <c r="BS376" s="10">
        <f t="shared" ca="1" si="525"/>
        <v>594047.59928800585</v>
      </c>
      <c r="BT376" s="10">
        <f t="shared" ca="1" si="525"/>
        <v>594047.59928800585</v>
      </c>
      <c r="BU376" s="10">
        <f t="shared" ca="1" si="525"/>
        <v>594047.59928800585</v>
      </c>
      <c r="BV376" s="10">
        <f t="shared" ca="1" si="525"/>
        <v>594047.59928800585</v>
      </c>
      <c r="BW376" s="10">
        <f t="shared" ca="1" si="525"/>
        <v>594047.59928800585</v>
      </c>
      <c r="BX376" s="10">
        <f t="shared" ref="BX376:CO376" ca="1" si="526">BX375+BW376</f>
        <v>594047.59928800585</v>
      </c>
      <c r="BY376" s="10">
        <f t="shared" ca="1" si="526"/>
        <v>594047.59928800585</v>
      </c>
      <c r="BZ376" s="10">
        <f t="shared" ca="1" si="526"/>
        <v>594047.59928800585</v>
      </c>
      <c r="CA376" s="10">
        <f t="shared" ca="1" si="526"/>
        <v>594047.59928800585</v>
      </c>
      <c r="CB376" s="10">
        <f t="shared" ca="1" si="526"/>
        <v>594047.59928800585</v>
      </c>
      <c r="CC376" s="10">
        <f t="shared" ca="1" si="526"/>
        <v>594047.59928800585</v>
      </c>
      <c r="CD376" s="10">
        <f t="shared" ca="1" si="526"/>
        <v>594047.59928800585</v>
      </c>
      <c r="CE376" s="10">
        <f t="shared" ca="1" si="526"/>
        <v>594047.59928800585</v>
      </c>
      <c r="CF376" s="10">
        <f t="shared" ca="1" si="526"/>
        <v>594047.59928800585</v>
      </c>
      <c r="CG376" s="10">
        <f t="shared" ca="1" si="526"/>
        <v>594047.59928800585</v>
      </c>
      <c r="CH376" s="10">
        <f t="shared" ca="1" si="526"/>
        <v>594047.59928800585</v>
      </c>
      <c r="CI376" s="10">
        <f t="shared" ca="1" si="526"/>
        <v>594047.59928800585</v>
      </c>
      <c r="CJ376" s="10">
        <f t="shared" ca="1" si="526"/>
        <v>594047.59928800585</v>
      </c>
      <c r="CK376" s="10">
        <f t="shared" ca="1" si="526"/>
        <v>594047.59928800585</v>
      </c>
      <c r="CL376" s="10">
        <f t="shared" ca="1" si="526"/>
        <v>594047.59928800585</v>
      </c>
      <c r="CM376" s="10">
        <f t="shared" ca="1" si="526"/>
        <v>594047.59928800585</v>
      </c>
      <c r="CN376" s="10">
        <f t="shared" ca="1" si="526"/>
        <v>594047.59928800585</v>
      </c>
      <c r="CO376" s="10">
        <f t="shared" ca="1" si="526"/>
        <v>594047.59928800585</v>
      </c>
    </row>
    <row r="377" spans="1:93">
      <c r="A377" s="10"/>
      <c r="B377" s="10"/>
      <c r="C377" s="17" t="s">
        <v>389</v>
      </c>
      <c r="D377" s="10"/>
      <c r="E377" s="62"/>
      <c r="F377" s="11"/>
      <c r="G377" s="134" t="str">
        <f t="shared" si="517"/>
        <v>тыс. руб.</v>
      </c>
      <c r="H377" s="10"/>
      <c r="I377" s="23">
        <f ca="1">SUM(L377:CO377)</f>
        <v>594047.59928800573</v>
      </c>
      <c r="J377" s="10"/>
      <c r="K377" s="10"/>
      <c r="L377" s="10">
        <f t="shared" ref="L377:AQ377" ca="1" si="527">(MIN(L376*L373,K379))</f>
        <v>0</v>
      </c>
      <c r="M377" s="10">
        <f t="shared" ca="1" si="527"/>
        <v>0</v>
      </c>
      <c r="N377" s="10">
        <f t="shared" ca="1" si="527"/>
        <v>0</v>
      </c>
      <c r="O377" s="10">
        <f t="shared" ca="1" si="527"/>
        <v>0</v>
      </c>
      <c r="P377" s="10">
        <f t="shared" ca="1" si="527"/>
        <v>0</v>
      </c>
      <c r="Q377" s="10">
        <f t="shared" ca="1" si="527"/>
        <v>0</v>
      </c>
      <c r="R377" s="10">
        <f t="shared" ca="1" si="527"/>
        <v>0</v>
      </c>
      <c r="S377" s="10">
        <f t="shared" ca="1" si="527"/>
        <v>0</v>
      </c>
      <c r="T377" s="10">
        <f t="shared" ca="1" si="527"/>
        <v>0</v>
      </c>
      <c r="U377" s="10">
        <f t="shared" ca="1" si="527"/>
        <v>0</v>
      </c>
      <c r="V377" s="10">
        <f t="shared" ca="1" si="527"/>
        <v>0</v>
      </c>
      <c r="W377" s="10">
        <f t="shared" ca="1" si="527"/>
        <v>0</v>
      </c>
      <c r="X377" s="10">
        <f t="shared" ca="1" si="527"/>
        <v>0</v>
      </c>
      <c r="Y377" s="10">
        <f t="shared" ca="1" si="527"/>
        <v>0</v>
      </c>
      <c r="Z377" s="10">
        <f t="shared" ca="1" si="527"/>
        <v>0</v>
      </c>
      <c r="AA377" s="10">
        <f t="shared" ca="1" si="527"/>
        <v>0</v>
      </c>
      <c r="AB377" s="10">
        <f t="shared" ca="1" si="527"/>
        <v>0</v>
      </c>
      <c r="AC377" s="10">
        <f t="shared" ca="1" si="527"/>
        <v>21215.985688857352</v>
      </c>
      <c r="AD377" s="10">
        <f t="shared" ca="1" si="527"/>
        <v>21215.985688857352</v>
      </c>
      <c r="AE377" s="10">
        <f t="shared" ca="1" si="527"/>
        <v>21215.985688857352</v>
      </c>
      <c r="AF377" s="10">
        <f t="shared" ca="1" si="527"/>
        <v>21215.985688857352</v>
      </c>
      <c r="AG377" s="10">
        <f t="shared" ca="1" si="527"/>
        <v>21215.985688857352</v>
      </c>
      <c r="AH377" s="10">
        <f t="shared" ca="1" si="527"/>
        <v>21215.985688857352</v>
      </c>
      <c r="AI377" s="10">
        <f t="shared" ca="1" si="527"/>
        <v>21215.985688857352</v>
      </c>
      <c r="AJ377" s="10">
        <f t="shared" ca="1" si="527"/>
        <v>21215.985688857352</v>
      </c>
      <c r="AK377" s="10">
        <f t="shared" ca="1" si="527"/>
        <v>21215.985688857352</v>
      </c>
      <c r="AL377" s="10">
        <f t="shared" ca="1" si="527"/>
        <v>21215.985688857352</v>
      </c>
      <c r="AM377" s="10">
        <f t="shared" ca="1" si="527"/>
        <v>21215.985688857352</v>
      </c>
      <c r="AN377" s="10">
        <f t="shared" ca="1" si="527"/>
        <v>21215.985688857352</v>
      </c>
      <c r="AO377" s="10">
        <f t="shared" ca="1" si="527"/>
        <v>21215.985688857352</v>
      </c>
      <c r="AP377" s="10">
        <f t="shared" ca="1" si="527"/>
        <v>21215.985688857352</v>
      </c>
      <c r="AQ377" s="10">
        <f t="shared" ca="1" si="527"/>
        <v>21215.985688857352</v>
      </c>
      <c r="AR377" s="10">
        <f t="shared" ref="AR377:BW377" ca="1" si="528">(MIN(AR376*AR373,AQ379))</f>
        <v>21215.985688857352</v>
      </c>
      <c r="AS377" s="10">
        <f t="shared" ca="1" si="528"/>
        <v>21215.985688857352</v>
      </c>
      <c r="AT377" s="10">
        <f t="shared" ca="1" si="528"/>
        <v>21215.985688857352</v>
      </c>
      <c r="AU377" s="10">
        <f t="shared" ca="1" si="528"/>
        <v>21215.985688857352</v>
      </c>
      <c r="AV377" s="10">
        <f t="shared" ca="1" si="528"/>
        <v>21215.985688857352</v>
      </c>
      <c r="AW377" s="10">
        <f t="shared" ca="1" si="528"/>
        <v>21215.985688857352</v>
      </c>
      <c r="AX377" s="10">
        <f t="shared" ca="1" si="528"/>
        <v>21215.985688857352</v>
      </c>
      <c r="AY377" s="10">
        <f t="shared" ca="1" si="528"/>
        <v>21215.985688857352</v>
      </c>
      <c r="AZ377" s="10">
        <f t="shared" ca="1" si="528"/>
        <v>21215.985688857352</v>
      </c>
      <c r="BA377" s="10">
        <f t="shared" ca="1" si="528"/>
        <v>21215.985688857352</v>
      </c>
      <c r="BB377" s="10">
        <f t="shared" ca="1" si="528"/>
        <v>21215.985688857352</v>
      </c>
      <c r="BC377" s="10">
        <f t="shared" ca="1" si="528"/>
        <v>21215.985688857352</v>
      </c>
      <c r="BD377" s="10">
        <f t="shared" ca="1" si="528"/>
        <v>21215.985688857352</v>
      </c>
      <c r="BE377" s="10">
        <f t="shared" ca="1" si="528"/>
        <v>0</v>
      </c>
      <c r="BF377" s="10">
        <f t="shared" ca="1" si="528"/>
        <v>0</v>
      </c>
      <c r="BG377" s="10">
        <f t="shared" ca="1" si="528"/>
        <v>0</v>
      </c>
      <c r="BH377" s="10">
        <f t="shared" ca="1" si="528"/>
        <v>0</v>
      </c>
      <c r="BI377" s="10">
        <f t="shared" ca="1" si="528"/>
        <v>0</v>
      </c>
      <c r="BJ377" s="10">
        <f t="shared" ca="1" si="528"/>
        <v>0</v>
      </c>
      <c r="BK377" s="10">
        <f t="shared" ca="1" si="528"/>
        <v>0</v>
      </c>
      <c r="BL377" s="10">
        <f t="shared" ca="1" si="528"/>
        <v>0</v>
      </c>
      <c r="BM377" s="10">
        <f t="shared" ca="1" si="528"/>
        <v>0</v>
      </c>
      <c r="BN377" s="10">
        <f t="shared" ca="1" si="528"/>
        <v>0</v>
      </c>
      <c r="BO377" s="10">
        <f t="shared" ca="1" si="528"/>
        <v>0</v>
      </c>
      <c r="BP377" s="10">
        <f t="shared" ca="1" si="528"/>
        <v>0</v>
      </c>
      <c r="BQ377" s="10">
        <f t="shared" ca="1" si="528"/>
        <v>0</v>
      </c>
      <c r="BR377" s="10">
        <f t="shared" ca="1" si="528"/>
        <v>0</v>
      </c>
      <c r="BS377" s="10">
        <f t="shared" ca="1" si="528"/>
        <v>0</v>
      </c>
      <c r="BT377" s="10">
        <f t="shared" ca="1" si="528"/>
        <v>0</v>
      </c>
      <c r="BU377" s="10">
        <f t="shared" ca="1" si="528"/>
        <v>0</v>
      </c>
      <c r="BV377" s="10">
        <f t="shared" ca="1" si="528"/>
        <v>0</v>
      </c>
      <c r="BW377" s="10">
        <f t="shared" ca="1" si="528"/>
        <v>0</v>
      </c>
      <c r="BX377" s="10">
        <f t="shared" ref="BX377:CO377" ca="1" si="529">(MIN(BX376*BX373,BW379))</f>
        <v>0</v>
      </c>
      <c r="BY377" s="10">
        <f t="shared" ca="1" si="529"/>
        <v>0</v>
      </c>
      <c r="BZ377" s="10">
        <f t="shared" ca="1" si="529"/>
        <v>0</v>
      </c>
      <c r="CA377" s="10">
        <f t="shared" ca="1" si="529"/>
        <v>0</v>
      </c>
      <c r="CB377" s="10">
        <f t="shared" ca="1" si="529"/>
        <v>0</v>
      </c>
      <c r="CC377" s="10">
        <f t="shared" ca="1" si="529"/>
        <v>0</v>
      </c>
      <c r="CD377" s="10">
        <f t="shared" ca="1" si="529"/>
        <v>0</v>
      </c>
      <c r="CE377" s="10">
        <f t="shared" ca="1" si="529"/>
        <v>0</v>
      </c>
      <c r="CF377" s="10">
        <f t="shared" ca="1" si="529"/>
        <v>0</v>
      </c>
      <c r="CG377" s="10">
        <f t="shared" ca="1" si="529"/>
        <v>0</v>
      </c>
      <c r="CH377" s="10">
        <f t="shared" ca="1" si="529"/>
        <v>0</v>
      </c>
      <c r="CI377" s="10">
        <f t="shared" ca="1" si="529"/>
        <v>0</v>
      </c>
      <c r="CJ377" s="10">
        <f t="shared" ca="1" si="529"/>
        <v>0</v>
      </c>
      <c r="CK377" s="10">
        <f t="shared" ca="1" si="529"/>
        <v>0</v>
      </c>
      <c r="CL377" s="10">
        <f t="shared" ca="1" si="529"/>
        <v>0</v>
      </c>
      <c r="CM377" s="10">
        <f t="shared" ca="1" si="529"/>
        <v>0</v>
      </c>
      <c r="CN377" s="10">
        <f t="shared" ca="1" si="529"/>
        <v>0</v>
      </c>
      <c r="CO377" s="10">
        <f t="shared" ca="1" si="529"/>
        <v>0</v>
      </c>
    </row>
    <row r="378" spans="1:93">
      <c r="A378" s="10"/>
      <c r="B378" s="10"/>
      <c r="C378" s="17" t="s">
        <v>127</v>
      </c>
      <c r="D378" s="10"/>
      <c r="E378" s="62"/>
      <c r="F378" s="11"/>
      <c r="G378" s="134" t="str">
        <f t="shared" si="517"/>
        <v>тыс. руб.</v>
      </c>
      <c r="H378" s="10"/>
      <c r="I378" s="10"/>
      <c r="J378" s="10"/>
      <c r="K378" s="10"/>
      <c r="L378" s="10">
        <f t="shared" ref="L378:AQ378" ca="1" si="530">SUM(K378,-L377)</f>
        <v>0</v>
      </c>
      <c r="M378" s="10">
        <f t="shared" ca="1" si="530"/>
        <v>0</v>
      </c>
      <c r="N378" s="10">
        <f t="shared" ca="1" si="530"/>
        <v>0</v>
      </c>
      <c r="O378" s="10">
        <f t="shared" ca="1" si="530"/>
        <v>0</v>
      </c>
      <c r="P378" s="10">
        <f t="shared" ca="1" si="530"/>
        <v>0</v>
      </c>
      <c r="Q378" s="10">
        <f t="shared" ca="1" si="530"/>
        <v>0</v>
      </c>
      <c r="R378" s="10">
        <f t="shared" ca="1" si="530"/>
        <v>0</v>
      </c>
      <c r="S378" s="10">
        <f t="shared" ca="1" si="530"/>
        <v>0</v>
      </c>
      <c r="T378" s="10">
        <f t="shared" ca="1" si="530"/>
        <v>0</v>
      </c>
      <c r="U378" s="10">
        <f t="shared" ca="1" si="530"/>
        <v>0</v>
      </c>
      <c r="V378" s="10">
        <f t="shared" ca="1" si="530"/>
        <v>0</v>
      </c>
      <c r="W378" s="10">
        <f t="shared" ca="1" si="530"/>
        <v>0</v>
      </c>
      <c r="X378" s="10">
        <f t="shared" ca="1" si="530"/>
        <v>0</v>
      </c>
      <c r="Y378" s="10">
        <f t="shared" ca="1" si="530"/>
        <v>0</v>
      </c>
      <c r="Z378" s="10">
        <f t="shared" ca="1" si="530"/>
        <v>0</v>
      </c>
      <c r="AA378" s="10">
        <f t="shared" ca="1" si="530"/>
        <v>0</v>
      </c>
      <c r="AB378" s="10">
        <f t="shared" ca="1" si="530"/>
        <v>0</v>
      </c>
      <c r="AC378" s="10">
        <f t="shared" ca="1" si="530"/>
        <v>-21215.985688857352</v>
      </c>
      <c r="AD378" s="10">
        <f t="shared" ca="1" si="530"/>
        <v>-42431.971377714704</v>
      </c>
      <c r="AE378" s="10">
        <f t="shared" ca="1" si="530"/>
        <v>-63647.957066572053</v>
      </c>
      <c r="AF378" s="10">
        <f t="shared" ca="1" si="530"/>
        <v>-84863.942755429409</v>
      </c>
      <c r="AG378" s="10">
        <f t="shared" ca="1" si="530"/>
        <v>-106079.92844428676</v>
      </c>
      <c r="AH378" s="10">
        <f t="shared" ca="1" si="530"/>
        <v>-127295.91413314412</v>
      </c>
      <c r="AI378" s="10">
        <f t="shared" ca="1" si="530"/>
        <v>-148511.89982200146</v>
      </c>
      <c r="AJ378" s="10">
        <f t="shared" ca="1" si="530"/>
        <v>-169727.88551085882</v>
      </c>
      <c r="AK378" s="10">
        <f t="shared" ca="1" si="530"/>
        <v>-190943.87119971617</v>
      </c>
      <c r="AL378" s="10">
        <f t="shared" ca="1" si="530"/>
        <v>-212159.85688857353</v>
      </c>
      <c r="AM378" s="10">
        <f t="shared" ca="1" si="530"/>
        <v>-233375.84257743089</v>
      </c>
      <c r="AN378" s="10">
        <f t="shared" ca="1" si="530"/>
        <v>-254591.82826628824</v>
      </c>
      <c r="AO378" s="10">
        <f t="shared" ca="1" si="530"/>
        <v>-275807.8139551456</v>
      </c>
      <c r="AP378" s="10">
        <f t="shared" ca="1" si="530"/>
        <v>-297023.79964400292</v>
      </c>
      <c r="AQ378" s="10">
        <f t="shared" ca="1" si="530"/>
        <v>-318239.78533286025</v>
      </c>
      <c r="AR378" s="10">
        <f t="shared" ref="AR378:BW378" ca="1" si="531">SUM(AQ378,-AR377)</f>
        <v>-339455.77102171758</v>
      </c>
      <c r="AS378" s="10">
        <f t="shared" ca="1" si="531"/>
        <v>-360671.7567105749</v>
      </c>
      <c r="AT378" s="10">
        <f t="shared" ca="1" si="531"/>
        <v>-381887.74239943223</v>
      </c>
      <c r="AU378" s="10">
        <f t="shared" ca="1" si="531"/>
        <v>-403103.72808828956</v>
      </c>
      <c r="AV378" s="10">
        <f t="shared" ca="1" si="531"/>
        <v>-424319.71377714688</v>
      </c>
      <c r="AW378" s="10">
        <f t="shared" ca="1" si="531"/>
        <v>-445535.69946600421</v>
      </c>
      <c r="AX378" s="10">
        <f t="shared" ca="1" si="531"/>
        <v>-466751.68515486154</v>
      </c>
      <c r="AY378" s="10">
        <f t="shared" ca="1" si="531"/>
        <v>-487967.67084371886</v>
      </c>
      <c r="AZ378" s="10">
        <f t="shared" ca="1" si="531"/>
        <v>-509183.65653257619</v>
      </c>
      <c r="BA378" s="10">
        <f t="shared" ca="1" si="531"/>
        <v>-530399.64222143358</v>
      </c>
      <c r="BB378" s="10">
        <f t="shared" ca="1" si="531"/>
        <v>-551615.62791029096</v>
      </c>
      <c r="BC378" s="10">
        <f t="shared" ca="1" si="531"/>
        <v>-572831.61359914835</v>
      </c>
      <c r="BD378" s="10">
        <f t="shared" ca="1" si="531"/>
        <v>-594047.59928800573</v>
      </c>
      <c r="BE378" s="10">
        <f t="shared" ca="1" si="531"/>
        <v>-594047.59928800573</v>
      </c>
      <c r="BF378" s="10">
        <f t="shared" ca="1" si="531"/>
        <v>-594047.59928800573</v>
      </c>
      <c r="BG378" s="10">
        <f t="shared" ca="1" si="531"/>
        <v>-594047.59928800573</v>
      </c>
      <c r="BH378" s="10">
        <f t="shared" ca="1" si="531"/>
        <v>-594047.59928800573</v>
      </c>
      <c r="BI378" s="10">
        <f t="shared" ca="1" si="531"/>
        <v>-594047.59928800573</v>
      </c>
      <c r="BJ378" s="10">
        <f t="shared" ca="1" si="531"/>
        <v>-594047.59928800573</v>
      </c>
      <c r="BK378" s="10">
        <f t="shared" ca="1" si="531"/>
        <v>-594047.59928800573</v>
      </c>
      <c r="BL378" s="10">
        <f t="shared" ca="1" si="531"/>
        <v>-594047.59928800573</v>
      </c>
      <c r="BM378" s="10">
        <f t="shared" ca="1" si="531"/>
        <v>-594047.59928800573</v>
      </c>
      <c r="BN378" s="10">
        <f t="shared" ca="1" si="531"/>
        <v>-594047.59928800573</v>
      </c>
      <c r="BO378" s="10">
        <f t="shared" ca="1" si="531"/>
        <v>-594047.59928800573</v>
      </c>
      <c r="BP378" s="10">
        <f t="shared" ca="1" si="531"/>
        <v>-594047.59928800573</v>
      </c>
      <c r="BQ378" s="10">
        <f t="shared" ca="1" si="531"/>
        <v>-594047.59928800573</v>
      </c>
      <c r="BR378" s="10">
        <f t="shared" ca="1" si="531"/>
        <v>-594047.59928800573</v>
      </c>
      <c r="BS378" s="10">
        <f t="shared" ca="1" si="531"/>
        <v>-594047.59928800573</v>
      </c>
      <c r="BT378" s="10">
        <f t="shared" ca="1" si="531"/>
        <v>-594047.59928800573</v>
      </c>
      <c r="BU378" s="10">
        <f t="shared" ca="1" si="531"/>
        <v>-594047.59928800573</v>
      </c>
      <c r="BV378" s="10">
        <f t="shared" ca="1" si="531"/>
        <v>-594047.59928800573</v>
      </c>
      <c r="BW378" s="10">
        <f t="shared" ca="1" si="531"/>
        <v>-594047.59928800573</v>
      </c>
      <c r="BX378" s="10">
        <f t="shared" ref="BX378:CO378" ca="1" si="532">SUM(BW378,-BX377)</f>
        <v>-594047.59928800573</v>
      </c>
      <c r="BY378" s="10">
        <f t="shared" ca="1" si="532"/>
        <v>-594047.59928800573</v>
      </c>
      <c r="BZ378" s="10">
        <f t="shared" ca="1" si="532"/>
        <v>-594047.59928800573</v>
      </c>
      <c r="CA378" s="10">
        <f t="shared" ca="1" si="532"/>
        <v>-594047.59928800573</v>
      </c>
      <c r="CB378" s="10">
        <f t="shared" ca="1" si="532"/>
        <v>-594047.59928800573</v>
      </c>
      <c r="CC378" s="10">
        <f t="shared" ca="1" si="532"/>
        <v>-594047.59928800573</v>
      </c>
      <c r="CD378" s="10">
        <f t="shared" ca="1" si="532"/>
        <v>-594047.59928800573</v>
      </c>
      <c r="CE378" s="10">
        <f t="shared" ca="1" si="532"/>
        <v>-594047.59928800573</v>
      </c>
      <c r="CF378" s="10">
        <f t="shared" ca="1" si="532"/>
        <v>-594047.59928800573</v>
      </c>
      <c r="CG378" s="10">
        <f t="shared" ca="1" si="532"/>
        <v>-594047.59928800573</v>
      </c>
      <c r="CH378" s="10">
        <f t="shared" ca="1" si="532"/>
        <v>-594047.59928800573</v>
      </c>
      <c r="CI378" s="10">
        <f t="shared" ca="1" si="532"/>
        <v>-594047.59928800573</v>
      </c>
      <c r="CJ378" s="10">
        <f t="shared" ca="1" si="532"/>
        <v>-594047.59928800573</v>
      </c>
      <c r="CK378" s="10">
        <f t="shared" ca="1" si="532"/>
        <v>-594047.59928800573</v>
      </c>
      <c r="CL378" s="10">
        <f t="shared" ca="1" si="532"/>
        <v>-594047.59928800573</v>
      </c>
      <c r="CM378" s="10">
        <f t="shared" ca="1" si="532"/>
        <v>-594047.59928800573</v>
      </c>
      <c r="CN378" s="10">
        <f t="shared" ca="1" si="532"/>
        <v>-594047.59928800573</v>
      </c>
      <c r="CO378" s="10">
        <f t="shared" ca="1" si="532"/>
        <v>-594047.59928800573</v>
      </c>
    </row>
    <row r="379" spans="1:93">
      <c r="A379" s="10"/>
      <c r="B379" s="10"/>
      <c r="C379" s="17" t="s">
        <v>128</v>
      </c>
      <c r="D379" s="10"/>
      <c r="E379" s="62"/>
      <c r="F379" s="11"/>
      <c r="G379" s="134" t="str">
        <f t="shared" si="517"/>
        <v>тыс. руб.</v>
      </c>
      <c r="H379" s="10"/>
      <c r="I379" s="10"/>
      <c r="J379" s="10"/>
      <c r="K379" s="10"/>
      <c r="L379" s="10">
        <f t="shared" ref="L379:Q379" ca="1" si="533">SUM(L376,L378)</f>
        <v>0</v>
      </c>
      <c r="M379" s="10">
        <f t="shared" ca="1" si="533"/>
        <v>0</v>
      </c>
      <c r="N379" s="10">
        <f t="shared" ca="1" si="533"/>
        <v>0</v>
      </c>
      <c r="O379" s="10">
        <f t="shared" ca="1" si="533"/>
        <v>0</v>
      </c>
      <c r="P379" s="10">
        <f t="shared" ca="1" si="533"/>
        <v>0</v>
      </c>
      <c r="Q379" s="10">
        <f t="shared" ca="1" si="533"/>
        <v>0</v>
      </c>
      <c r="R379" s="10">
        <f ca="1">SUM(R376,R378)</f>
        <v>0</v>
      </c>
      <c r="S379" s="10">
        <f t="shared" ref="S379:CD379" ca="1" si="534">SUM(S376,S378)</f>
        <v>0</v>
      </c>
      <c r="T379" s="10">
        <f t="shared" ca="1" si="534"/>
        <v>0</v>
      </c>
      <c r="U379" s="10">
        <f t="shared" ca="1" si="534"/>
        <v>0</v>
      </c>
      <c r="V379" s="10">
        <f t="shared" ca="1" si="534"/>
        <v>0</v>
      </c>
      <c r="W379" s="10">
        <f t="shared" ca="1" si="534"/>
        <v>0</v>
      </c>
      <c r="X379" s="10">
        <f t="shared" ca="1" si="534"/>
        <v>0</v>
      </c>
      <c r="Y379" s="10">
        <f t="shared" ca="1" si="534"/>
        <v>0</v>
      </c>
      <c r="Z379" s="10">
        <f t="shared" ca="1" si="534"/>
        <v>0</v>
      </c>
      <c r="AA379" s="10">
        <f t="shared" ca="1" si="534"/>
        <v>0</v>
      </c>
      <c r="AB379" s="10">
        <f t="shared" ca="1" si="534"/>
        <v>594047.59928800585</v>
      </c>
      <c r="AC379" s="10">
        <f t="shared" ca="1" si="534"/>
        <v>572831.61359914846</v>
      </c>
      <c r="AD379" s="10">
        <f t="shared" ca="1" si="534"/>
        <v>551615.62791029119</v>
      </c>
      <c r="AE379" s="10">
        <f t="shared" ca="1" si="534"/>
        <v>530399.64222143381</v>
      </c>
      <c r="AF379" s="10">
        <f t="shared" ca="1" si="534"/>
        <v>509183.65653257642</v>
      </c>
      <c r="AG379" s="10">
        <f t="shared" ca="1" si="534"/>
        <v>487967.6708437191</v>
      </c>
      <c r="AH379" s="10">
        <f t="shared" ca="1" si="534"/>
        <v>466751.68515486171</v>
      </c>
      <c r="AI379" s="10">
        <f t="shared" ca="1" si="534"/>
        <v>445535.69946600439</v>
      </c>
      <c r="AJ379" s="10">
        <f t="shared" ca="1" si="534"/>
        <v>424319.713777147</v>
      </c>
      <c r="AK379" s="10">
        <f t="shared" ca="1" si="534"/>
        <v>403103.72808828967</v>
      </c>
      <c r="AL379" s="10">
        <f t="shared" ca="1" si="534"/>
        <v>381887.74239943235</v>
      </c>
      <c r="AM379" s="10">
        <f t="shared" ca="1" si="534"/>
        <v>360671.75671057496</v>
      </c>
      <c r="AN379" s="10">
        <f t="shared" ca="1" si="534"/>
        <v>339455.77102171758</v>
      </c>
      <c r="AO379" s="10">
        <f t="shared" ca="1" si="534"/>
        <v>318239.78533286025</v>
      </c>
      <c r="AP379" s="10">
        <f t="shared" ca="1" si="534"/>
        <v>297023.79964400292</v>
      </c>
      <c r="AQ379" s="10">
        <f t="shared" ca="1" si="534"/>
        <v>275807.8139551456</v>
      </c>
      <c r="AR379" s="10">
        <f t="shared" ca="1" si="534"/>
        <v>254591.82826628827</v>
      </c>
      <c r="AS379" s="10">
        <f t="shared" ca="1" si="534"/>
        <v>233375.84257743094</v>
      </c>
      <c r="AT379" s="10">
        <f t="shared" ca="1" si="534"/>
        <v>212159.85688857362</v>
      </c>
      <c r="AU379" s="10">
        <f t="shared" ca="1" si="534"/>
        <v>190943.87119971629</v>
      </c>
      <c r="AV379" s="10">
        <f t="shared" ca="1" si="534"/>
        <v>169727.88551085896</v>
      </c>
      <c r="AW379" s="10">
        <f t="shared" ca="1" si="534"/>
        <v>148511.89982200164</v>
      </c>
      <c r="AX379" s="10">
        <f t="shared" ca="1" si="534"/>
        <v>127295.91413314431</v>
      </c>
      <c r="AY379" s="10">
        <f t="shared" ca="1" si="534"/>
        <v>106079.92844428698</v>
      </c>
      <c r="AZ379" s="10">
        <f t="shared" ca="1" si="534"/>
        <v>84863.942755429656</v>
      </c>
      <c r="BA379" s="10">
        <f t="shared" ca="1" si="534"/>
        <v>63647.957066572271</v>
      </c>
      <c r="BB379" s="10">
        <f t="shared" ca="1" si="534"/>
        <v>42431.971377714886</v>
      </c>
      <c r="BC379" s="10">
        <f t="shared" ca="1" si="534"/>
        <v>21215.985688857501</v>
      </c>
      <c r="BD379" s="10">
        <f t="shared" ca="1" si="534"/>
        <v>0</v>
      </c>
      <c r="BE379" s="10">
        <f t="shared" ca="1" si="534"/>
        <v>0</v>
      </c>
      <c r="BF379" s="10">
        <f t="shared" ca="1" si="534"/>
        <v>0</v>
      </c>
      <c r="BG379" s="10">
        <f t="shared" ca="1" si="534"/>
        <v>0</v>
      </c>
      <c r="BH379" s="10">
        <f t="shared" ca="1" si="534"/>
        <v>0</v>
      </c>
      <c r="BI379" s="10">
        <f t="shared" ca="1" si="534"/>
        <v>0</v>
      </c>
      <c r="BJ379" s="10">
        <f t="shared" ca="1" si="534"/>
        <v>0</v>
      </c>
      <c r="BK379" s="10">
        <f t="shared" ca="1" si="534"/>
        <v>0</v>
      </c>
      <c r="BL379" s="10">
        <f t="shared" ca="1" si="534"/>
        <v>0</v>
      </c>
      <c r="BM379" s="10">
        <f t="shared" ca="1" si="534"/>
        <v>0</v>
      </c>
      <c r="BN379" s="10">
        <f t="shared" ca="1" si="534"/>
        <v>0</v>
      </c>
      <c r="BO379" s="10">
        <f t="shared" ca="1" si="534"/>
        <v>0</v>
      </c>
      <c r="BP379" s="10">
        <f t="shared" ca="1" si="534"/>
        <v>0</v>
      </c>
      <c r="BQ379" s="10">
        <f t="shared" ca="1" si="534"/>
        <v>0</v>
      </c>
      <c r="BR379" s="10">
        <f t="shared" ca="1" si="534"/>
        <v>0</v>
      </c>
      <c r="BS379" s="10">
        <f t="shared" ca="1" si="534"/>
        <v>0</v>
      </c>
      <c r="BT379" s="10">
        <f t="shared" ca="1" si="534"/>
        <v>0</v>
      </c>
      <c r="BU379" s="10">
        <f t="shared" ca="1" si="534"/>
        <v>0</v>
      </c>
      <c r="BV379" s="10">
        <f t="shared" ca="1" si="534"/>
        <v>0</v>
      </c>
      <c r="BW379" s="10">
        <f t="shared" ca="1" si="534"/>
        <v>0</v>
      </c>
      <c r="BX379" s="10">
        <f t="shared" ca="1" si="534"/>
        <v>0</v>
      </c>
      <c r="BY379" s="10">
        <f t="shared" ca="1" si="534"/>
        <v>0</v>
      </c>
      <c r="BZ379" s="10">
        <f t="shared" ca="1" si="534"/>
        <v>0</v>
      </c>
      <c r="CA379" s="10">
        <f t="shared" ca="1" si="534"/>
        <v>0</v>
      </c>
      <c r="CB379" s="10">
        <f t="shared" ca="1" si="534"/>
        <v>0</v>
      </c>
      <c r="CC379" s="10">
        <f t="shared" ca="1" si="534"/>
        <v>0</v>
      </c>
      <c r="CD379" s="10">
        <f t="shared" ca="1" si="534"/>
        <v>0</v>
      </c>
      <c r="CE379" s="10">
        <f t="shared" ref="CE379:CO379" ca="1" si="535">SUM(CE376,CE378)</f>
        <v>0</v>
      </c>
      <c r="CF379" s="10">
        <f t="shared" ca="1" si="535"/>
        <v>0</v>
      </c>
      <c r="CG379" s="10">
        <f t="shared" ca="1" si="535"/>
        <v>0</v>
      </c>
      <c r="CH379" s="10">
        <f t="shared" ca="1" si="535"/>
        <v>0</v>
      </c>
      <c r="CI379" s="10">
        <f t="shared" ca="1" si="535"/>
        <v>0</v>
      </c>
      <c r="CJ379" s="10">
        <f t="shared" ca="1" si="535"/>
        <v>0</v>
      </c>
      <c r="CK379" s="10">
        <f t="shared" ca="1" si="535"/>
        <v>0</v>
      </c>
      <c r="CL379" s="10">
        <f t="shared" ca="1" si="535"/>
        <v>0</v>
      </c>
      <c r="CM379" s="10">
        <f t="shared" ca="1" si="535"/>
        <v>0</v>
      </c>
      <c r="CN379" s="10">
        <f t="shared" ca="1" si="535"/>
        <v>0</v>
      </c>
      <c r="CO379" s="10">
        <f t="shared" ca="1" si="535"/>
        <v>0</v>
      </c>
    </row>
    <row r="380" spans="1:93">
      <c r="A380" s="10"/>
      <c r="B380" s="10"/>
      <c r="C380" s="17"/>
      <c r="D380" s="10"/>
      <c r="E380" s="62"/>
      <c r="F380" s="11"/>
      <c r="G380" s="11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  <c r="CG380" s="10"/>
      <c r="CH380" s="10"/>
      <c r="CI380" s="10"/>
      <c r="CJ380" s="10"/>
      <c r="CK380" s="10"/>
      <c r="CL380" s="10"/>
      <c r="CM380" s="10"/>
      <c r="CN380" s="10"/>
      <c r="CO380" s="10"/>
    </row>
    <row r="381" spans="1:93">
      <c r="A381" s="10"/>
      <c r="B381" s="10"/>
      <c r="C381" s="87" t="s">
        <v>1062</v>
      </c>
      <c r="D381" s="10"/>
      <c r="E381" s="62"/>
      <c r="F381" s="11"/>
      <c r="G381" s="11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  <c r="CG381" s="10"/>
      <c r="CH381" s="10"/>
      <c r="CI381" s="10"/>
      <c r="CJ381" s="10"/>
      <c r="CK381" s="10"/>
      <c r="CL381" s="10"/>
      <c r="CM381" s="10"/>
      <c r="CN381" s="10"/>
      <c r="CO381" s="10"/>
    </row>
    <row r="382" spans="1:93">
      <c r="A382" s="10"/>
      <c r="B382" s="10"/>
      <c r="C382" s="17" t="s">
        <v>386</v>
      </c>
      <c r="D382" s="10"/>
      <c r="E382" s="184">
        <f xml:space="preserve"> Предпосылки!E365</f>
        <v>30</v>
      </c>
      <c r="F382" s="11"/>
      <c r="G382" s="11" t="s">
        <v>123</v>
      </c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  <c r="CG382" s="10"/>
      <c r="CH382" s="10"/>
      <c r="CI382" s="10"/>
      <c r="CJ382" s="10"/>
      <c r="CK382" s="10"/>
      <c r="CL382" s="10"/>
      <c r="CM382" s="10"/>
      <c r="CN382" s="10"/>
      <c r="CO382" s="10"/>
    </row>
    <row r="383" spans="1:93">
      <c r="A383" s="10"/>
      <c r="B383" s="10"/>
      <c r="C383" s="17" t="s">
        <v>387</v>
      </c>
      <c r="D383" s="10"/>
      <c r="F383" s="11"/>
      <c r="G383" s="11" t="s">
        <v>28</v>
      </c>
      <c r="H383" s="10"/>
      <c r="I383" s="10"/>
      <c r="J383" s="10"/>
      <c r="K383" s="10"/>
      <c r="L383" s="157">
        <f t="shared" ref="L383:Q383" si="536">IF($E382&lt;&gt;0,1/$E382,0)/Periods_in_Year</f>
        <v>8.3333333333333332E-3</v>
      </c>
      <c r="M383" s="157">
        <f t="shared" si="536"/>
        <v>8.3333333333333332E-3</v>
      </c>
      <c r="N383" s="157">
        <f t="shared" si="536"/>
        <v>8.3333333333333332E-3</v>
      </c>
      <c r="O383" s="157">
        <f t="shared" si="536"/>
        <v>8.3333333333333332E-3</v>
      </c>
      <c r="P383" s="157">
        <f t="shared" si="536"/>
        <v>8.3333333333333332E-3</v>
      </c>
      <c r="Q383" s="157">
        <f t="shared" si="536"/>
        <v>8.3333333333333332E-3</v>
      </c>
      <c r="R383" s="157">
        <f>IF($E382&lt;&gt;0,1/$E382,0)/Periods_in_Year</f>
        <v>8.3333333333333332E-3</v>
      </c>
      <c r="S383" s="157">
        <f t="shared" ref="S383:CD383" si="537">IF($E382&lt;&gt;0,1/$E382,0)/Periods_in_Year</f>
        <v>8.3333333333333332E-3</v>
      </c>
      <c r="T383" s="157">
        <f t="shared" si="537"/>
        <v>8.3333333333333332E-3</v>
      </c>
      <c r="U383" s="157">
        <f t="shared" si="537"/>
        <v>8.3333333333333332E-3</v>
      </c>
      <c r="V383" s="157">
        <f t="shared" si="537"/>
        <v>8.3333333333333332E-3</v>
      </c>
      <c r="W383" s="157">
        <f t="shared" si="537"/>
        <v>8.3333333333333332E-3</v>
      </c>
      <c r="X383" s="157">
        <f t="shared" si="537"/>
        <v>8.3333333333333332E-3</v>
      </c>
      <c r="Y383" s="157">
        <f t="shared" si="537"/>
        <v>8.3333333333333332E-3</v>
      </c>
      <c r="Z383" s="157">
        <f t="shared" si="537"/>
        <v>8.3333333333333332E-3</v>
      </c>
      <c r="AA383" s="157">
        <f t="shared" si="537"/>
        <v>8.3333333333333332E-3</v>
      </c>
      <c r="AB383" s="157">
        <f t="shared" si="537"/>
        <v>8.3333333333333332E-3</v>
      </c>
      <c r="AC383" s="157">
        <f t="shared" si="537"/>
        <v>8.3333333333333332E-3</v>
      </c>
      <c r="AD383" s="157">
        <f t="shared" si="537"/>
        <v>8.3333333333333332E-3</v>
      </c>
      <c r="AE383" s="157">
        <f t="shared" si="537"/>
        <v>8.3333333333333332E-3</v>
      </c>
      <c r="AF383" s="157">
        <f t="shared" si="537"/>
        <v>8.3333333333333332E-3</v>
      </c>
      <c r="AG383" s="157">
        <f t="shared" si="537"/>
        <v>8.3333333333333332E-3</v>
      </c>
      <c r="AH383" s="157">
        <f t="shared" si="537"/>
        <v>8.3333333333333332E-3</v>
      </c>
      <c r="AI383" s="157">
        <f t="shared" si="537"/>
        <v>8.3333333333333332E-3</v>
      </c>
      <c r="AJ383" s="157">
        <f t="shared" si="537"/>
        <v>8.3333333333333332E-3</v>
      </c>
      <c r="AK383" s="157">
        <f t="shared" si="537"/>
        <v>8.3333333333333332E-3</v>
      </c>
      <c r="AL383" s="157">
        <f t="shared" si="537"/>
        <v>8.3333333333333332E-3</v>
      </c>
      <c r="AM383" s="157">
        <f t="shared" si="537"/>
        <v>8.3333333333333332E-3</v>
      </c>
      <c r="AN383" s="157">
        <f t="shared" si="537"/>
        <v>8.3333333333333332E-3</v>
      </c>
      <c r="AO383" s="157">
        <f t="shared" si="537"/>
        <v>8.3333333333333332E-3</v>
      </c>
      <c r="AP383" s="157">
        <f t="shared" si="537"/>
        <v>8.3333333333333332E-3</v>
      </c>
      <c r="AQ383" s="157">
        <f t="shared" si="537"/>
        <v>8.3333333333333332E-3</v>
      </c>
      <c r="AR383" s="157">
        <f t="shared" si="537"/>
        <v>8.3333333333333332E-3</v>
      </c>
      <c r="AS383" s="157">
        <f t="shared" si="537"/>
        <v>8.3333333333333332E-3</v>
      </c>
      <c r="AT383" s="157">
        <f t="shared" si="537"/>
        <v>8.3333333333333332E-3</v>
      </c>
      <c r="AU383" s="157">
        <f t="shared" si="537"/>
        <v>8.3333333333333332E-3</v>
      </c>
      <c r="AV383" s="157">
        <f t="shared" si="537"/>
        <v>8.3333333333333332E-3</v>
      </c>
      <c r="AW383" s="157">
        <f t="shared" si="537"/>
        <v>8.3333333333333332E-3</v>
      </c>
      <c r="AX383" s="157">
        <f t="shared" si="537"/>
        <v>8.3333333333333332E-3</v>
      </c>
      <c r="AY383" s="157">
        <f t="shared" si="537"/>
        <v>8.3333333333333332E-3</v>
      </c>
      <c r="AZ383" s="157">
        <f t="shared" si="537"/>
        <v>8.3333333333333332E-3</v>
      </c>
      <c r="BA383" s="157">
        <f t="shared" si="537"/>
        <v>8.3333333333333332E-3</v>
      </c>
      <c r="BB383" s="157">
        <f t="shared" si="537"/>
        <v>8.3333333333333332E-3</v>
      </c>
      <c r="BC383" s="157">
        <f t="shared" si="537"/>
        <v>8.3333333333333332E-3</v>
      </c>
      <c r="BD383" s="157">
        <f t="shared" si="537"/>
        <v>8.3333333333333332E-3</v>
      </c>
      <c r="BE383" s="157">
        <f t="shared" si="537"/>
        <v>8.3333333333333332E-3</v>
      </c>
      <c r="BF383" s="157">
        <f t="shared" si="537"/>
        <v>8.3333333333333332E-3</v>
      </c>
      <c r="BG383" s="157">
        <f t="shared" si="537"/>
        <v>8.3333333333333332E-3</v>
      </c>
      <c r="BH383" s="157">
        <f t="shared" si="537"/>
        <v>8.3333333333333332E-3</v>
      </c>
      <c r="BI383" s="157">
        <f t="shared" si="537"/>
        <v>8.3333333333333332E-3</v>
      </c>
      <c r="BJ383" s="157">
        <f t="shared" si="537"/>
        <v>8.3333333333333332E-3</v>
      </c>
      <c r="BK383" s="157">
        <f t="shared" si="537"/>
        <v>8.3333333333333332E-3</v>
      </c>
      <c r="BL383" s="157">
        <f t="shared" si="537"/>
        <v>8.3333333333333332E-3</v>
      </c>
      <c r="BM383" s="157">
        <f t="shared" si="537"/>
        <v>8.3333333333333332E-3</v>
      </c>
      <c r="BN383" s="157">
        <f t="shared" si="537"/>
        <v>8.3333333333333332E-3</v>
      </c>
      <c r="BO383" s="157">
        <f t="shared" si="537"/>
        <v>8.3333333333333332E-3</v>
      </c>
      <c r="BP383" s="157">
        <f t="shared" si="537"/>
        <v>8.3333333333333332E-3</v>
      </c>
      <c r="BQ383" s="157">
        <f t="shared" si="537"/>
        <v>8.3333333333333332E-3</v>
      </c>
      <c r="BR383" s="157">
        <f t="shared" si="537"/>
        <v>8.3333333333333332E-3</v>
      </c>
      <c r="BS383" s="157">
        <f t="shared" si="537"/>
        <v>8.3333333333333332E-3</v>
      </c>
      <c r="BT383" s="157">
        <f t="shared" si="537"/>
        <v>8.3333333333333332E-3</v>
      </c>
      <c r="BU383" s="157">
        <f t="shared" si="537"/>
        <v>8.3333333333333332E-3</v>
      </c>
      <c r="BV383" s="157">
        <f t="shared" si="537"/>
        <v>8.3333333333333332E-3</v>
      </c>
      <c r="BW383" s="157">
        <f t="shared" si="537"/>
        <v>8.3333333333333332E-3</v>
      </c>
      <c r="BX383" s="157">
        <f t="shared" si="537"/>
        <v>8.3333333333333332E-3</v>
      </c>
      <c r="BY383" s="157">
        <f t="shared" si="537"/>
        <v>8.3333333333333332E-3</v>
      </c>
      <c r="BZ383" s="157">
        <f t="shared" si="537"/>
        <v>8.3333333333333332E-3</v>
      </c>
      <c r="CA383" s="157">
        <f t="shared" si="537"/>
        <v>8.3333333333333332E-3</v>
      </c>
      <c r="CB383" s="157">
        <f t="shared" si="537"/>
        <v>8.3333333333333332E-3</v>
      </c>
      <c r="CC383" s="157">
        <f t="shared" si="537"/>
        <v>8.3333333333333332E-3</v>
      </c>
      <c r="CD383" s="157">
        <f t="shared" si="537"/>
        <v>8.3333333333333332E-3</v>
      </c>
      <c r="CE383" s="157">
        <f t="shared" ref="CE383:CO383" si="538">IF($E382&lt;&gt;0,1/$E382,0)/Periods_in_Year</f>
        <v>8.3333333333333332E-3</v>
      </c>
      <c r="CF383" s="157">
        <f t="shared" si="538"/>
        <v>8.3333333333333332E-3</v>
      </c>
      <c r="CG383" s="157">
        <f t="shared" si="538"/>
        <v>8.3333333333333332E-3</v>
      </c>
      <c r="CH383" s="157">
        <f t="shared" si="538"/>
        <v>8.3333333333333332E-3</v>
      </c>
      <c r="CI383" s="157">
        <f t="shared" si="538"/>
        <v>8.3333333333333332E-3</v>
      </c>
      <c r="CJ383" s="157">
        <f t="shared" si="538"/>
        <v>8.3333333333333332E-3</v>
      </c>
      <c r="CK383" s="157">
        <f t="shared" si="538"/>
        <v>8.3333333333333332E-3</v>
      </c>
      <c r="CL383" s="157">
        <f t="shared" si="538"/>
        <v>8.3333333333333332E-3</v>
      </c>
      <c r="CM383" s="157">
        <f t="shared" si="538"/>
        <v>8.3333333333333332E-3</v>
      </c>
      <c r="CN383" s="157">
        <f t="shared" si="538"/>
        <v>8.3333333333333332E-3</v>
      </c>
      <c r="CO383" s="157">
        <f t="shared" si="538"/>
        <v>8.3333333333333332E-3</v>
      </c>
    </row>
    <row r="384" spans="1:93">
      <c r="A384" s="10"/>
      <c r="B384" s="10"/>
      <c r="C384" s="17" t="s">
        <v>125</v>
      </c>
      <c r="D384" s="10"/>
      <c r="E384" s="62"/>
      <c r="F384" s="11"/>
      <c r="G384" s="134" t="str">
        <f t="shared" ref="G384:G389" si="539">Monetary_Unit</f>
        <v>тыс. руб.</v>
      </c>
      <c r="H384" s="10"/>
      <c r="I384" s="10"/>
      <c r="J384" s="10"/>
      <c r="K384" s="10"/>
      <c r="L384" s="10">
        <f t="shared" ref="L384:AQ384" si="540">K389</f>
        <v>0</v>
      </c>
      <c r="M384" s="10">
        <f t="shared" ca="1" si="540"/>
        <v>0</v>
      </c>
      <c r="N384" s="10">
        <f t="shared" ca="1" si="540"/>
        <v>0</v>
      </c>
      <c r="O384" s="10">
        <f t="shared" ca="1" si="540"/>
        <v>0</v>
      </c>
      <c r="P384" s="10">
        <f t="shared" ca="1" si="540"/>
        <v>0</v>
      </c>
      <c r="Q384" s="10">
        <f t="shared" ca="1" si="540"/>
        <v>0</v>
      </c>
      <c r="R384" s="10">
        <f t="shared" ca="1" si="540"/>
        <v>0</v>
      </c>
      <c r="S384" s="10">
        <f t="shared" ca="1" si="540"/>
        <v>0</v>
      </c>
      <c r="T384" s="10">
        <f t="shared" ca="1" si="540"/>
        <v>0</v>
      </c>
      <c r="U384" s="10">
        <f t="shared" ca="1" si="540"/>
        <v>0</v>
      </c>
      <c r="V384" s="10">
        <f t="shared" ca="1" si="540"/>
        <v>0</v>
      </c>
      <c r="W384" s="10">
        <f t="shared" ca="1" si="540"/>
        <v>0</v>
      </c>
      <c r="X384" s="10">
        <f t="shared" ca="1" si="540"/>
        <v>0</v>
      </c>
      <c r="Y384" s="10">
        <f t="shared" ca="1" si="540"/>
        <v>0</v>
      </c>
      <c r="Z384" s="10">
        <f t="shared" ca="1" si="540"/>
        <v>0</v>
      </c>
      <c r="AA384" s="10">
        <f t="shared" ca="1" si="540"/>
        <v>0</v>
      </c>
      <c r="AB384" s="10">
        <f t="shared" ca="1" si="540"/>
        <v>0</v>
      </c>
      <c r="AC384" s="10">
        <f t="shared" ca="1" si="540"/>
        <v>3224.2384874818158</v>
      </c>
      <c r="AD384" s="10">
        <f t="shared" ca="1" si="540"/>
        <v>3197.3698334194673</v>
      </c>
      <c r="AE384" s="10">
        <f t="shared" ca="1" si="540"/>
        <v>3170.5011793571189</v>
      </c>
      <c r="AF384" s="10">
        <f t="shared" ca="1" si="540"/>
        <v>3143.6325252947704</v>
      </c>
      <c r="AG384" s="10">
        <f t="shared" ca="1" si="540"/>
        <v>3116.7638712324219</v>
      </c>
      <c r="AH384" s="10">
        <f t="shared" ca="1" si="540"/>
        <v>3089.8952171700735</v>
      </c>
      <c r="AI384" s="10">
        <f t="shared" ca="1" si="540"/>
        <v>3063.026563107725</v>
      </c>
      <c r="AJ384" s="10">
        <f t="shared" ca="1" si="540"/>
        <v>3036.1579090453765</v>
      </c>
      <c r="AK384" s="10">
        <f t="shared" ca="1" si="540"/>
        <v>3009.2892549830281</v>
      </c>
      <c r="AL384" s="10">
        <f t="shared" ca="1" si="540"/>
        <v>2982.4206009206796</v>
      </c>
      <c r="AM384" s="10">
        <f t="shared" ca="1" si="540"/>
        <v>2955.5519468583311</v>
      </c>
      <c r="AN384" s="10">
        <f t="shared" ca="1" si="540"/>
        <v>2928.6832927959827</v>
      </c>
      <c r="AO384" s="10">
        <f t="shared" ca="1" si="540"/>
        <v>2901.8146387336342</v>
      </c>
      <c r="AP384" s="10">
        <f t="shared" ca="1" si="540"/>
        <v>2874.9459846712857</v>
      </c>
      <c r="AQ384" s="10">
        <f t="shared" ca="1" si="540"/>
        <v>2848.0773306089372</v>
      </c>
      <c r="AR384" s="10">
        <f t="shared" ref="AR384:BW384" ca="1" si="541">AQ389</f>
        <v>2821.2086765465888</v>
      </c>
      <c r="AS384" s="10">
        <f t="shared" ca="1" si="541"/>
        <v>2794.3400224842403</v>
      </c>
      <c r="AT384" s="10">
        <f t="shared" ca="1" si="541"/>
        <v>2767.4713684218918</v>
      </c>
      <c r="AU384" s="10">
        <f t="shared" ca="1" si="541"/>
        <v>2740.6027143595434</v>
      </c>
      <c r="AV384" s="10">
        <f t="shared" ca="1" si="541"/>
        <v>2713.7340602971949</v>
      </c>
      <c r="AW384" s="10">
        <f t="shared" ca="1" si="541"/>
        <v>2686.8654062348464</v>
      </c>
      <c r="AX384" s="10">
        <f t="shared" ca="1" si="541"/>
        <v>2659.996752172498</v>
      </c>
      <c r="AY384" s="10">
        <f t="shared" ca="1" si="541"/>
        <v>2633.1280981101495</v>
      </c>
      <c r="AZ384" s="10">
        <f t="shared" ca="1" si="541"/>
        <v>2606.259444047801</v>
      </c>
      <c r="BA384" s="10">
        <f t="shared" ca="1" si="541"/>
        <v>2579.3907899854526</v>
      </c>
      <c r="BB384" s="10">
        <f t="shared" ca="1" si="541"/>
        <v>2552.5221359231041</v>
      </c>
      <c r="BC384" s="10">
        <f t="shared" ca="1" si="541"/>
        <v>2525.6534818607556</v>
      </c>
      <c r="BD384" s="10">
        <f t="shared" ca="1" si="541"/>
        <v>2498.7848277984072</v>
      </c>
      <c r="BE384" s="10">
        <f t="shared" ca="1" si="541"/>
        <v>2471.9161737360587</v>
      </c>
      <c r="BF384" s="10">
        <f t="shared" ca="1" si="541"/>
        <v>2445.0475196737102</v>
      </c>
      <c r="BG384" s="10">
        <f t="shared" ca="1" si="541"/>
        <v>2418.1788656113617</v>
      </c>
      <c r="BH384" s="10">
        <f t="shared" ca="1" si="541"/>
        <v>2391.3102115490133</v>
      </c>
      <c r="BI384" s="10">
        <f t="shared" ca="1" si="541"/>
        <v>2364.4415574866648</v>
      </c>
      <c r="BJ384" s="10">
        <f t="shared" ca="1" si="541"/>
        <v>2337.5729034243163</v>
      </c>
      <c r="BK384" s="10">
        <f t="shared" ca="1" si="541"/>
        <v>2310.7042493619679</v>
      </c>
      <c r="BL384" s="10">
        <f t="shared" ca="1" si="541"/>
        <v>2283.8355952996194</v>
      </c>
      <c r="BM384" s="10">
        <f t="shared" ca="1" si="541"/>
        <v>2256.9669412372709</v>
      </c>
      <c r="BN384" s="10">
        <f t="shared" ca="1" si="541"/>
        <v>2230.0982871749225</v>
      </c>
      <c r="BO384" s="10">
        <f t="shared" ca="1" si="541"/>
        <v>2203.229633112574</v>
      </c>
      <c r="BP384" s="10">
        <f t="shared" ca="1" si="541"/>
        <v>2176.360979050226</v>
      </c>
      <c r="BQ384" s="10">
        <f t="shared" ca="1" si="541"/>
        <v>2149.4923249878775</v>
      </c>
      <c r="BR384" s="10">
        <f t="shared" ca="1" si="541"/>
        <v>2122.623670925529</v>
      </c>
      <c r="BS384" s="10">
        <f t="shared" ca="1" si="541"/>
        <v>2095.7550168631806</v>
      </c>
      <c r="BT384" s="10">
        <f t="shared" ca="1" si="541"/>
        <v>2068.8863628008321</v>
      </c>
      <c r="BU384" s="10">
        <f t="shared" ca="1" si="541"/>
        <v>2042.0177087384834</v>
      </c>
      <c r="BV384" s="10">
        <f t="shared" ca="1" si="541"/>
        <v>2015.1490546761349</v>
      </c>
      <c r="BW384" s="10">
        <f t="shared" ca="1" si="541"/>
        <v>1988.2804006137865</v>
      </c>
      <c r="BX384" s="10">
        <f t="shared" ref="BX384:CO384" ca="1" si="542">BW389</f>
        <v>1961.411746551438</v>
      </c>
      <c r="BY384" s="10">
        <f t="shared" ca="1" si="542"/>
        <v>1934.5430924890895</v>
      </c>
      <c r="BZ384" s="10">
        <f t="shared" ca="1" si="542"/>
        <v>1907.6744384267411</v>
      </c>
      <c r="CA384" s="10">
        <f t="shared" ca="1" si="542"/>
        <v>1880.8057843643926</v>
      </c>
      <c r="CB384" s="10">
        <f t="shared" ca="1" si="542"/>
        <v>1853.9371303020441</v>
      </c>
      <c r="CC384" s="10">
        <f t="shared" ca="1" si="542"/>
        <v>1827.0684762396957</v>
      </c>
      <c r="CD384" s="10">
        <f t="shared" ca="1" si="542"/>
        <v>1800.1998221773472</v>
      </c>
      <c r="CE384" s="10">
        <f t="shared" ca="1" si="542"/>
        <v>1773.3311681149987</v>
      </c>
      <c r="CF384" s="10">
        <f t="shared" ca="1" si="542"/>
        <v>1746.4625140526502</v>
      </c>
      <c r="CG384" s="10">
        <f t="shared" ca="1" si="542"/>
        <v>1719.5938599903018</v>
      </c>
      <c r="CH384" s="10">
        <f t="shared" ca="1" si="542"/>
        <v>1692.7252059279533</v>
      </c>
      <c r="CI384" s="10">
        <f t="shared" ca="1" si="542"/>
        <v>1665.8565518656048</v>
      </c>
      <c r="CJ384" s="10">
        <f t="shared" ca="1" si="542"/>
        <v>1638.9878978032564</v>
      </c>
      <c r="CK384" s="10">
        <f t="shared" ca="1" si="542"/>
        <v>1612.1192437409079</v>
      </c>
      <c r="CL384" s="10">
        <f t="shared" ca="1" si="542"/>
        <v>1585.2505896785594</v>
      </c>
      <c r="CM384" s="10">
        <f t="shared" ca="1" si="542"/>
        <v>1558.381935616211</v>
      </c>
      <c r="CN384" s="10">
        <f t="shared" ca="1" si="542"/>
        <v>1531.5132815538625</v>
      </c>
      <c r="CO384" s="10">
        <f t="shared" ca="1" si="542"/>
        <v>1504.644627491514</v>
      </c>
    </row>
    <row r="385" spans="1:93">
      <c r="A385" s="10"/>
      <c r="B385" s="10"/>
      <c r="C385" s="17" t="s">
        <v>126</v>
      </c>
      <c r="D385" s="10"/>
      <c r="E385" s="62"/>
      <c r="F385" s="11"/>
      <c r="G385" s="134" t="str">
        <f t="shared" si="539"/>
        <v>тыс. руб.</v>
      </c>
      <c r="H385" s="10"/>
      <c r="I385" s="23">
        <f ca="1">SUM(L385:CO385)</f>
        <v>3224.2384874818158</v>
      </c>
      <c r="J385" s="10"/>
      <c r="K385" s="10"/>
      <c r="L385" s="10">
        <f t="shared" ref="L385:Q385" ca="1" si="543">SUM(L$328,L$330:L$331) * $E345</f>
        <v>0</v>
      </c>
      <c r="M385" s="10">
        <f t="shared" ca="1" si="543"/>
        <v>0</v>
      </c>
      <c r="N385" s="10">
        <f t="shared" ca="1" si="543"/>
        <v>0</v>
      </c>
      <c r="O385" s="10">
        <f t="shared" ca="1" si="543"/>
        <v>0</v>
      </c>
      <c r="P385" s="10">
        <f t="shared" ca="1" si="543"/>
        <v>0</v>
      </c>
      <c r="Q385" s="10">
        <f t="shared" ca="1" si="543"/>
        <v>0</v>
      </c>
      <c r="R385" s="10">
        <f ca="1">SUM(R$328,R$330:R$331) * $E345</f>
        <v>0</v>
      </c>
      <c r="S385" s="10">
        <f t="shared" ref="S385:CD385" ca="1" si="544">SUM(S$328,S$330:S$331) * $E345</f>
        <v>0</v>
      </c>
      <c r="T385" s="10">
        <f t="shared" ca="1" si="544"/>
        <v>0</v>
      </c>
      <c r="U385" s="10">
        <f t="shared" ca="1" si="544"/>
        <v>0</v>
      </c>
      <c r="V385" s="10">
        <f t="shared" ca="1" si="544"/>
        <v>0</v>
      </c>
      <c r="W385" s="10">
        <f t="shared" ca="1" si="544"/>
        <v>0</v>
      </c>
      <c r="X385" s="10">
        <f t="shared" ca="1" si="544"/>
        <v>0</v>
      </c>
      <c r="Y385" s="10">
        <f t="shared" ca="1" si="544"/>
        <v>0</v>
      </c>
      <c r="Z385" s="10">
        <f t="shared" ca="1" si="544"/>
        <v>0</v>
      </c>
      <c r="AA385" s="10">
        <f t="shared" ca="1" si="544"/>
        <v>0</v>
      </c>
      <c r="AB385" s="10">
        <f t="shared" ca="1" si="544"/>
        <v>3224.2384874818158</v>
      </c>
      <c r="AC385" s="10">
        <f t="shared" ca="1" si="544"/>
        <v>0</v>
      </c>
      <c r="AD385" s="10">
        <f t="shared" ca="1" si="544"/>
        <v>0</v>
      </c>
      <c r="AE385" s="10">
        <f t="shared" ca="1" si="544"/>
        <v>0</v>
      </c>
      <c r="AF385" s="10">
        <f t="shared" ca="1" si="544"/>
        <v>0</v>
      </c>
      <c r="AG385" s="10">
        <f t="shared" ca="1" si="544"/>
        <v>0</v>
      </c>
      <c r="AH385" s="10">
        <f t="shared" ca="1" si="544"/>
        <v>0</v>
      </c>
      <c r="AI385" s="10">
        <f t="shared" ca="1" si="544"/>
        <v>0</v>
      </c>
      <c r="AJ385" s="10">
        <f t="shared" ca="1" si="544"/>
        <v>0</v>
      </c>
      <c r="AK385" s="10">
        <f t="shared" ca="1" si="544"/>
        <v>0</v>
      </c>
      <c r="AL385" s="10">
        <f t="shared" ca="1" si="544"/>
        <v>0</v>
      </c>
      <c r="AM385" s="10">
        <f t="shared" ca="1" si="544"/>
        <v>0</v>
      </c>
      <c r="AN385" s="10">
        <f t="shared" ca="1" si="544"/>
        <v>0</v>
      </c>
      <c r="AO385" s="10">
        <f t="shared" ca="1" si="544"/>
        <v>0</v>
      </c>
      <c r="AP385" s="10">
        <f t="shared" ca="1" si="544"/>
        <v>0</v>
      </c>
      <c r="AQ385" s="10">
        <f t="shared" ca="1" si="544"/>
        <v>0</v>
      </c>
      <c r="AR385" s="10">
        <f t="shared" ca="1" si="544"/>
        <v>0</v>
      </c>
      <c r="AS385" s="10">
        <f t="shared" ca="1" si="544"/>
        <v>0</v>
      </c>
      <c r="AT385" s="10">
        <f t="shared" ca="1" si="544"/>
        <v>0</v>
      </c>
      <c r="AU385" s="10">
        <f t="shared" ca="1" si="544"/>
        <v>0</v>
      </c>
      <c r="AV385" s="10">
        <f t="shared" ca="1" si="544"/>
        <v>0</v>
      </c>
      <c r="AW385" s="10">
        <f t="shared" ca="1" si="544"/>
        <v>0</v>
      </c>
      <c r="AX385" s="10">
        <f t="shared" ca="1" si="544"/>
        <v>0</v>
      </c>
      <c r="AY385" s="10">
        <f t="shared" ca="1" si="544"/>
        <v>0</v>
      </c>
      <c r="AZ385" s="10">
        <f t="shared" ca="1" si="544"/>
        <v>0</v>
      </c>
      <c r="BA385" s="10">
        <f t="shared" ca="1" si="544"/>
        <v>0</v>
      </c>
      <c r="BB385" s="10">
        <f t="shared" ca="1" si="544"/>
        <v>0</v>
      </c>
      <c r="BC385" s="10">
        <f t="shared" ca="1" si="544"/>
        <v>0</v>
      </c>
      <c r="BD385" s="10">
        <f t="shared" ca="1" si="544"/>
        <v>0</v>
      </c>
      <c r="BE385" s="10">
        <f t="shared" ca="1" si="544"/>
        <v>0</v>
      </c>
      <c r="BF385" s="10">
        <f t="shared" ca="1" si="544"/>
        <v>0</v>
      </c>
      <c r="BG385" s="10">
        <f t="shared" ca="1" si="544"/>
        <v>0</v>
      </c>
      <c r="BH385" s="10">
        <f t="shared" ca="1" si="544"/>
        <v>0</v>
      </c>
      <c r="BI385" s="10">
        <f t="shared" ca="1" si="544"/>
        <v>0</v>
      </c>
      <c r="BJ385" s="10">
        <f t="shared" ca="1" si="544"/>
        <v>0</v>
      </c>
      <c r="BK385" s="10">
        <f t="shared" ca="1" si="544"/>
        <v>0</v>
      </c>
      <c r="BL385" s="10">
        <f t="shared" ca="1" si="544"/>
        <v>0</v>
      </c>
      <c r="BM385" s="10">
        <f t="shared" ca="1" si="544"/>
        <v>0</v>
      </c>
      <c r="BN385" s="10">
        <f t="shared" ca="1" si="544"/>
        <v>0</v>
      </c>
      <c r="BO385" s="10">
        <f t="shared" ca="1" si="544"/>
        <v>0</v>
      </c>
      <c r="BP385" s="10">
        <f t="shared" ca="1" si="544"/>
        <v>0</v>
      </c>
      <c r="BQ385" s="10">
        <f t="shared" ca="1" si="544"/>
        <v>0</v>
      </c>
      <c r="BR385" s="10">
        <f t="shared" ca="1" si="544"/>
        <v>0</v>
      </c>
      <c r="BS385" s="10">
        <f t="shared" ca="1" si="544"/>
        <v>0</v>
      </c>
      <c r="BT385" s="10">
        <f t="shared" ca="1" si="544"/>
        <v>0</v>
      </c>
      <c r="BU385" s="10">
        <f t="shared" ca="1" si="544"/>
        <v>0</v>
      </c>
      <c r="BV385" s="10">
        <f t="shared" ca="1" si="544"/>
        <v>0</v>
      </c>
      <c r="BW385" s="10">
        <f t="shared" ca="1" si="544"/>
        <v>0</v>
      </c>
      <c r="BX385" s="10">
        <f t="shared" ca="1" si="544"/>
        <v>0</v>
      </c>
      <c r="BY385" s="10">
        <f t="shared" ca="1" si="544"/>
        <v>0</v>
      </c>
      <c r="BZ385" s="10">
        <f t="shared" ca="1" si="544"/>
        <v>0</v>
      </c>
      <c r="CA385" s="10">
        <f t="shared" ca="1" si="544"/>
        <v>0</v>
      </c>
      <c r="CB385" s="10">
        <f t="shared" ca="1" si="544"/>
        <v>0</v>
      </c>
      <c r="CC385" s="10">
        <f t="shared" ca="1" si="544"/>
        <v>0</v>
      </c>
      <c r="CD385" s="10">
        <f t="shared" ca="1" si="544"/>
        <v>0</v>
      </c>
      <c r="CE385" s="10">
        <f t="shared" ref="CE385:CO385" ca="1" si="545">SUM(CE$328,CE$330:CE$331) * $E345</f>
        <v>0</v>
      </c>
      <c r="CF385" s="10">
        <f t="shared" ca="1" si="545"/>
        <v>0</v>
      </c>
      <c r="CG385" s="10">
        <f t="shared" ca="1" si="545"/>
        <v>0</v>
      </c>
      <c r="CH385" s="10">
        <f t="shared" ca="1" si="545"/>
        <v>0</v>
      </c>
      <c r="CI385" s="10">
        <f t="shared" ca="1" si="545"/>
        <v>0</v>
      </c>
      <c r="CJ385" s="10">
        <f t="shared" ca="1" si="545"/>
        <v>0</v>
      </c>
      <c r="CK385" s="10">
        <f t="shared" ca="1" si="545"/>
        <v>0</v>
      </c>
      <c r="CL385" s="10">
        <f t="shared" ca="1" si="545"/>
        <v>0</v>
      </c>
      <c r="CM385" s="10">
        <f t="shared" ca="1" si="545"/>
        <v>0</v>
      </c>
      <c r="CN385" s="10">
        <f t="shared" ca="1" si="545"/>
        <v>0</v>
      </c>
      <c r="CO385" s="10">
        <f t="shared" ca="1" si="545"/>
        <v>0</v>
      </c>
    </row>
    <row r="386" spans="1:93">
      <c r="A386" s="10"/>
      <c r="B386" s="10"/>
      <c r="C386" s="17" t="s">
        <v>388</v>
      </c>
      <c r="D386" s="10"/>
      <c r="E386" s="62"/>
      <c r="F386" s="11"/>
      <c r="G386" s="134" t="str">
        <f t="shared" si="539"/>
        <v>тыс. руб.</v>
      </c>
      <c r="H386" s="10"/>
      <c r="I386" s="10"/>
      <c r="J386" s="10"/>
      <c r="K386" s="10"/>
      <c r="L386" s="10">
        <f t="shared" ref="L386:AQ386" ca="1" si="546">L385+K386</f>
        <v>0</v>
      </c>
      <c r="M386" s="10">
        <f t="shared" ca="1" si="546"/>
        <v>0</v>
      </c>
      <c r="N386" s="10">
        <f t="shared" ca="1" si="546"/>
        <v>0</v>
      </c>
      <c r="O386" s="10">
        <f t="shared" ca="1" si="546"/>
        <v>0</v>
      </c>
      <c r="P386" s="10">
        <f t="shared" ca="1" si="546"/>
        <v>0</v>
      </c>
      <c r="Q386" s="10">
        <f t="shared" ca="1" si="546"/>
        <v>0</v>
      </c>
      <c r="R386" s="10">
        <f t="shared" ca="1" si="546"/>
        <v>0</v>
      </c>
      <c r="S386" s="10">
        <f t="shared" ca="1" si="546"/>
        <v>0</v>
      </c>
      <c r="T386" s="10">
        <f t="shared" ca="1" si="546"/>
        <v>0</v>
      </c>
      <c r="U386" s="10">
        <f t="shared" ca="1" si="546"/>
        <v>0</v>
      </c>
      <c r="V386" s="10">
        <f t="shared" ca="1" si="546"/>
        <v>0</v>
      </c>
      <c r="W386" s="10">
        <f t="shared" ca="1" si="546"/>
        <v>0</v>
      </c>
      <c r="X386" s="10">
        <f t="shared" ca="1" si="546"/>
        <v>0</v>
      </c>
      <c r="Y386" s="10">
        <f t="shared" ca="1" si="546"/>
        <v>0</v>
      </c>
      <c r="Z386" s="10">
        <f t="shared" ca="1" si="546"/>
        <v>0</v>
      </c>
      <c r="AA386" s="10">
        <f t="shared" ca="1" si="546"/>
        <v>0</v>
      </c>
      <c r="AB386" s="10">
        <f t="shared" ca="1" si="546"/>
        <v>3224.2384874818158</v>
      </c>
      <c r="AC386" s="10">
        <f t="shared" ca="1" si="546"/>
        <v>3224.2384874818158</v>
      </c>
      <c r="AD386" s="10">
        <f t="shared" ca="1" si="546"/>
        <v>3224.2384874818158</v>
      </c>
      <c r="AE386" s="10">
        <f t="shared" ca="1" si="546"/>
        <v>3224.2384874818158</v>
      </c>
      <c r="AF386" s="10">
        <f t="shared" ca="1" si="546"/>
        <v>3224.2384874818158</v>
      </c>
      <c r="AG386" s="10">
        <f t="shared" ca="1" si="546"/>
        <v>3224.2384874818158</v>
      </c>
      <c r="AH386" s="10">
        <f t="shared" ca="1" si="546"/>
        <v>3224.2384874818158</v>
      </c>
      <c r="AI386" s="10">
        <f t="shared" ca="1" si="546"/>
        <v>3224.2384874818158</v>
      </c>
      <c r="AJ386" s="10">
        <f t="shared" ca="1" si="546"/>
        <v>3224.2384874818158</v>
      </c>
      <c r="AK386" s="10">
        <f t="shared" ca="1" si="546"/>
        <v>3224.2384874818158</v>
      </c>
      <c r="AL386" s="10">
        <f t="shared" ca="1" si="546"/>
        <v>3224.2384874818158</v>
      </c>
      <c r="AM386" s="10">
        <f t="shared" ca="1" si="546"/>
        <v>3224.2384874818158</v>
      </c>
      <c r="AN386" s="10">
        <f t="shared" ca="1" si="546"/>
        <v>3224.2384874818158</v>
      </c>
      <c r="AO386" s="10">
        <f t="shared" ca="1" si="546"/>
        <v>3224.2384874818158</v>
      </c>
      <c r="AP386" s="10">
        <f t="shared" ca="1" si="546"/>
        <v>3224.2384874818158</v>
      </c>
      <c r="AQ386" s="10">
        <f t="shared" ca="1" si="546"/>
        <v>3224.2384874818158</v>
      </c>
      <c r="AR386" s="10">
        <f t="shared" ref="AR386:BW386" ca="1" si="547">AR385+AQ386</f>
        <v>3224.2384874818158</v>
      </c>
      <c r="AS386" s="10">
        <f t="shared" ca="1" si="547"/>
        <v>3224.2384874818158</v>
      </c>
      <c r="AT386" s="10">
        <f t="shared" ca="1" si="547"/>
        <v>3224.2384874818158</v>
      </c>
      <c r="AU386" s="10">
        <f t="shared" ca="1" si="547"/>
        <v>3224.2384874818158</v>
      </c>
      <c r="AV386" s="10">
        <f t="shared" ca="1" si="547"/>
        <v>3224.2384874818158</v>
      </c>
      <c r="AW386" s="10">
        <f t="shared" ca="1" si="547"/>
        <v>3224.2384874818158</v>
      </c>
      <c r="AX386" s="10">
        <f t="shared" ca="1" si="547"/>
        <v>3224.2384874818158</v>
      </c>
      <c r="AY386" s="10">
        <f t="shared" ca="1" si="547"/>
        <v>3224.2384874818158</v>
      </c>
      <c r="AZ386" s="10">
        <f t="shared" ca="1" si="547"/>
        <v>3224.2384874818158</v>
      </c>
      <c r="BA386" s="10">
        <f t="shared" ca="1" si="547"/>
        <v>3224.2384874818158</v>
      </c>
      <c r="BB386" s="10">
        <f t="shared" ca="1" si="547"/>
        <v>3224.2384874818158</v>
      </c>
      <c r="BC386" s="10">
        <f t="shared" ca="1" si="547"/>
        <v>3224.2384874818158</v>
      </c>
      <c r="BD386" s="10">
        <f t="shared" ca="1" si="547"/>
        <v>3224.2384874818158</v>
      </c>
      <c r="BE386" s="10">
        <f t="shared" ca="1" si="547"/>
        <v>3224.2384874818158</v>
      </c>
      <c r="BF386" s="10">
        <f t="shared" ca="1" si="547"/>
        <v>3224.2384874818158</v>
      </c>
      <c r="BG386" s="10">
        <f t="shared" ca="1" si="547"/>
        <v>3224.2384874818158</v>
      </c>
      <c r="BH386" s="10">
        <f t="shared" ca="1" si="547"/>
        <v>3224.2384874818158</v>
      </c>
      <c r="BI386" s="10">
        <f t="shared" ca="1" si="547"/>
        <v>3224.2384874818158</v>
      </c>
      <c r="BJ386" s="10">
        <f t="shared" ca="1" si="547"/>
        <v>3224.2384874818158</v>
      </c>
      <c r="BK386" s="10">
        <f t="shared" ca="1" si="547"/>
        <v>3224.2384874818158</v>
      </c>
      <c r="BL386" s="10">
        <f t="shared" ca="1" si="547"/>
        <v>3224.2384874818158</v>
      </c>
      <c r="BM386" s="10">
        <f t="shared" ca="1" si="547"/>
        <v>3224.2384874818158</v>
      </c>
      <c r="BN386" s="10">
        <f t="shared" ca="1" si="547"/>
        <v>3224.2384874818158</v>
      </c>
      <c r="BO386" s="10">
        <f t="shared" ca="1" si="547"/>
        <v>3224.2384874818158</v>
      </c>
      <c r="BP386" s="10">
        <f t="shared" ca="1" si="547"/>
        <v>3224.2384874818158</v>
      </c>
      <c r="BQ386" s="10">
        <f t="shared" ca="1" si="547"/>
        <v>3224.2384874818158</v>
      </c>
      <c r="BR386" s="10">
        <f t="shared" ca="1" si="547"/>
        <v>3224.2384874818158</v>
      </c>
      <c r="BS386" s="10">
        <f t="shared" ca="1" si="547"/>
        <v>3224.2384874818158</v>
      </c>
      <c r="BT386" s="10">
        <f t="shared" ca="1" si="547"/>
        <v>3224.2384874818158</v>
      </c>
      <c r="BU386" s="10">
        <f t="shared" ca="1" si="547"/>
        <v>3224.2384874818158</v>
      </c>
      <c r="BV386" s="10">
        <f t="shared" ca="1" si="547"/>
        <v>3224.2384874818158</v>
      </c>
      <c r="BW386" s="10">
        <f t="shared" ca="1" si="547"/>
        <v>3224.2384874818158</v>
      </c>
      <c r="BX386" s="10">
        <f t="shared" ref="BX386:CO386" ca="1" si="548">BX385+BW386</f>
        <v>3224.2384874818158</v>
      </c>
      <c r="BY386" s="10">
        <f t="shared" ca="1" si="548"/>
        <v>3224.2384874818158</v>
      </c>
      <c r="BZ386" s="10">
        <f t="shared" ca="1" si="548"/>
        <v>3224.2384874818158</v>
      </c>
      <c r="CA386" s="10">
        <f t="shared" ca="1" si="548"/>
        <v>3224.2384874818158</v>
      </c>
      <c r="CB386" s="10">
        <f t="shared" ca="1" si="548"/>
        <v>3224.2384874818158</v>
      </c>
      <c r="CC386" s="10">
        <f t="shared" ca="1" si="548"/>
        <v>3224.2384874818158</v>
      </c>
      <c r="CD386" s="10">
        <f t="shared" ca="1" si="548"/>
        <v>3224.2384874818158</v>
      </c>
      <c r="CE386" s="10">
        <f t="shared" ca="1" si="548"/>
        <v>3224.2384874818158</v>
      </c>
      <c r="CF386" s="10">
        <f t="shared" ca="1" si="548"/>
        <v>3224.2384874818158</v>
      </c>
      <c r="CG386" s="10">
        <f t="shared" ca="1" si="548"/>
        <v>3224.2384874818158</v>
      </c>
      <c r="CH386" s="10">
        <f t="shared" ca="1" si="548"/>
        <v>3224.2384874818158</v>
      </c>
      <c r="CI386" s="10">
        <f t="shared" ca="1" si="548"/>
        <v>3224.2384874818158</v>
      </c>
      <c r="CJ386" s="10">
        <f t="shared" ca="1" si="548"/>
        <v>3224.2384874818158</v>
      </c>
      <c r="CK386" s="10">
        <f t="shared" ca="1" si="548"/>
        <v>3224.2384874818158</v>
      </c>
      <c r="CL386" s="10">
        <f t="shared" ca="1" si="548"/>
        <v>3224.2384874818158</v>
      </c>
      <c r="CM386" s="10">
        <f t="shared" ca="1" si="548"/>
        <v>3224.2384874818158</v>
      </c>
      <c r="CN386" s="10">
        <f t="shared" ca="1" si="548"/>
        <v>3224.2384874818158</v>
      </c>
      <c r="CO386" s="10">
        <f t="shared" ca="1" si="548"/>
        <v>3224.2384874818158</v>
      </c>
    </row>
    <row r="387" spans="1:93">
      <c r="A387" s="10"/>
      <c r="B387" s="10"/>
      <c r="C387" s="17" t="s">
        <v>389</v>
      </c>
      <c r="D387" s="10"/>
      <c r="E387" s="62"/>
      <c r="F387" s="11"/>
      <c r="G387" s="134" t="str">
        <f t="shared" si="539"/>
        <v>тыс. руб.</v>
      </c>
      <c r="H387" s="10"/>
      <c r="I387" s="23">
        <f ca="1">SUM(L387:CO387)</f>
        <v>1746.4625140526502</v>
      </c>
      <c r="J387" s="10"/>
      <c r="K387" s="10"/>
      <c r="L387" s="10">
        <f t="shared" ref="L387:AQ387" ca="1" si="549">(MIN(L386*L383,K389))</f>
        <v>0</v>
      </c>
      <c r="M387" s="10">
        <f t="shared" ca="1" si="549"/>
        <v>0</v>
      </c>
      <c r="N387" s="10">
        <f t="shared" ca="1" si="549"/>
        <v>0</v>
      </c>
      <c r="O387" s="10">
        <f t="shared" ca="1" si="549"/>
        <v>0</v>
      </c>
      <c r="P387" s="10">
        <f t="shared" ca="1" si="549"/>
        <v>0</v>
      </c>
      <c r="Q387" s="10">
        <f t="shared" ca="1" si="549"/>
        <v>0</v>
      </c>
      <c r="R387" s="10">
        <f t="shared" ca="1" si="549"/>
        <v>0</v>
      </c>
      <c r="S387" s="10">
        <f t="shared" ca="1" si="549"/>
        <v>0</v>
      </c>
      <c r="T387" s="10">
        <f t="shared" ca="1" si="549"/>
        <v>0</v>
      </c>
      <c r="U387" s="10">
        <f t="shared" ca="1" si="549"/>
        <v>0</v>
      </c>
      <c r="V387" s="10">
        <f t="shared" ca="1" si="549"/>
        <v>0</v>
      </c>
      <c r="W387" s="10">
        <f t="shared" ca="1" si="549"/>
        <v>0</v>
      </c>
      <c r="X387" s="10">
        <f t="shared" ca="1" si="549"/>
        <v>0</v>
      </c>
      <c r="Y387" s="10">
        <f t="shared" ca="1" si="549"/>
        <v>0</v>
      </c>
      <c r="Z387" s="10">
        <f t="shared" ca="1" si="549"/>
        <v>0</v>
      </c>
      <c r="AA387" s="10">
        <f t="shared" ca="1" si="549"/>
        <v>0</v>
      </c>
      <c r="AB387" s="10">
        <f t="shared" ca="1" si="549"/>
        <v>0</v>
      </c>
      <c r="AC387" s="10">
        <f t="shared" ca="1" si="549"/>
        <v>26.868654062348465</v>
      </c>
      <c r="AD387" s="10">
        <f t="shared" ca="1" si="549"/>
        <v>26.868654062348465</v>
      </c>
      <c r="AE387" s="10">
        <f t="shared" ca="1" si="549"/>
        <v>26.868654062348465</v>
      </c>
      <c r="AF387" s="10">
        <f t="shared" ca="1" si="549"/>
        <v>26.868654062348465</v>
      </c>
      <c r="AG387" s="10">
        <f t="shared" ca="1" si="549"/>
        <v>26.868654062348465</v>
      </c>
      <c r="AH387" s="10">
        <f t="shared" ca="1" si="549"/>
        <v>26.868654062348465</v>
      </c>
      <c r="AI387" s="10">
        <f t="shared" ca="1" si="549"/>
        <v>26.868654062348465</v>
      </c>
      <c r="AJ387" s="10">
        <f t="shared" ca="1" si="549"/>
        <v>26.868654062348465</v>
      </c>
      <c r="AK387" s="10">
        <f t="shared" ca="1" si="549"/>
        <v>26.868654062348465</v>
      </c>
      <c r="AL387" s="10">
        <f t="shared" ca="1" si="549"/>
        <v>26.868654062348465</v>
      </c>
      <c r="AM387" s="10">
        <f t="shared" ca="1" si="549"/>
        <v>26.868654062348465</v>
      </c>
      <c r="AN387" s="10">
        <f t="shared" ca="1" si="549"/>
        <v>26.868654062348465</v>
      </c>
      <c r="AO387" s="10">
        <f t="shared" ca="1" si="549"/>
        <v>26.868654062348465</v>
      </c>
      <c r="AP387" s="10">
        <f t="shared" ca="1" si="549"/>
        <v>26.868654062348465</v>
      </c>
      <c r="AQ387" s="10">
        <f t="shared" ca="1" si="549"/>
        <v>26.868654062348465</v>
      </c>
      <c r="AR387" s="10">
        <f t="shared" ref="AR387:BW387" ca="1" si="550">(MIN(AR386*AR383,AQ389))</f>
        <v>26.868654062348465</v>
      </c>
      <c r="AS387" s="10">
        <f t="shared" ca="1" si="550"/>
        <v>26.868654062348465</v>
      </c>
      <c r="AT387" s="10">
        <f t="shared" ca="1" si="550"/>
        <v>26.868654062348465</v>
      </c>
      <c r="AU387" s="10">
        <f t="shared" ca="1" si="550"/>
        <v>26.868654062348465</v>
      </c>
      <c r="AV387" s="10">
        <f t="shared" ca="1" si="550"/>
        <v>26.868654062348465</v>
      </c>
      <c r="AW387" s="10">
        <f t="shared" ca="1" si="550"/>
        <v>26.868654062348465</v>
      </c>
      <c r="AX387" s="10">
        <f t="shared" ca="1" si="550"/>
        <v>26.868654062348465</v>
      </c>
      <c r="AY387" s="10">
        <f t="shared" ca="1" si="550"/>
        <v>26.868654062348465</v>
      </c>
      <c r="AZ387" s="10">
        <f t="shared" ca="1" si="550"/>
        <v>26.868654062348465</v>
      </c>
      <c r="BA387" s="10">
        <f t="shared" ca="1" si="550"/>
        <v>26.868654062348465</v>
      </c>
      <c r="BB387" s="10">
        <f t="shared" ca="1" si="550"/>
        <v>26.868654062348465</v>
      </c>
      <c r="BC387" s="10">
        <f t="shared" ca="1" si="550"/>
        <v>26.868654062348465</v>
      </c>
      <c r="BD387" s="10">
        <f t="shared" ca="1" si="550"/>
        <v>26.868654062348465</v>
      </c>
      <c r="BE387" s="10">
        <f t="shared" ca="1" si="550"/>
        <v>26.868654062348465</v>
      </c>
      <c r="BF387" s="10">
        <f t="shared" ca="1" si="550"/>
        <v>26.868654062348465</v>
      </c>
      <c r="BG387" s="10">
        <f t="shared" ca="1" si="550"/>
        <v>26.868654062348465</v>
      </c>
      <c r="BH387" s="10">
        <f t="shared" ca="1" si="550"/>
        <v>26.868654062348465</v>
      </c>
      <c r="BI387" s="10">
        <f t="shared" ca="1" si="550"/>
        <v>26.868654062348465</v>
      </c>
      <c r="BJ387" s="10">
        <f t="shared" ca="1" si="550"/>
        <v>26.868654062348465</v>
      </c>
      <c r="BK387" s="10">
        <f t="shared" ca="1" si="550"/>
        <v>26.868654062348465</v>
      </c>
      <c r="BL387" s="10">
        <f t="shared" ca="1" si="550"/>
        <v>26.868654062348465</v>
      </c>
      <c r="BM387" s="10">
        <f t="shared" ca="1" si="550"/>
        <v>26.868654062348465</v>
      </c>
      <c r="BN387" s="10">
        <f t="shared" ca="1" si="550"/>
        <v>26.868654062348465</v>
      </c>
      <c r="BO387" s="10">
        <f t="shared" ca="1" si="550"/>
        <v>26.868654062348465</v>
      </c>
      <c r="BP387" s="10">
        <f t="shared" ca="1" si="550"/>
        <v>26.868654062348465</v>
      </c>
      <c r="BQ387" s="10">
        <f t="shared" ca="1" si="550"/>
        <v>26.868654062348465</v>
      </c>
      <c r="BR387" s="10">
        <f t="shared" ca="1" si="550"/>
        <v>26.868654062348465</v>
      </c>
      <c r="BS387" s="10">
        <f t="shared" ca="1" si="550"/>
        <v>26.868654062348465</v>
      </c>
      <c r="BT387" s="10">
        <f t="shared" ca="1" si="550"/>
        <v>26.868654062348465</v>
      </c>
      <c r="BU387" s="10">
        <f t="shared" ca="1" si="550"/>
        <v>26.868654062348465</v>
      </c>
      <c r="BV387" s="10">
        <f t="shared" ca="1" si="550"/>
        <v>26.868654062348465</v>
      </c>
      <c r="BW387" s="10">
        <f t="shared" ca="1" si="550"/>
        <v>26.868654062348465</v>
      </c>
      <c r="BX387" s="10">
        <f t="shared" ref="BX387:CO387" ca="1" si="551">(MIN(BX386*BX383,BW389))</f>
        <v>26.868654062348465</v>
      </c>
      <c r="BY387" s="10">
        <f t="shared" ca="1" si="551"/>
        <v>26.868654062348465</v>
      </c>
      <c r="BZ387" s="10">
        <f t="shared" ca="1" si="551"/>
        <v>26.868654062348465</v>
      </c>
      <c r="CA387" s="10">
        <f t="shared" ca="1" si="551"/>
        <v>26.868654062348465</v>
      </c>
      <c r="CB387" s="10">
        <f t="shared" ca="1" si="551"/>
        <v>26.868654062348465</v>
      </c>
      <c r="CC387" s="10">
        <f t="shared" ca="1" si="551"/>
        <v>26.868654062348465</v>
      </c>
      <c r="CD387" s="10">
        <f t="shared" ca="1" si="551"/>
        <v>26.868654062348465</v>
      </c>
      <c r="CE387" s="10">
        <f t="shared" ca="1" si="551"/>
        <v>26.868654062348465</v>
      </c>
      <c r="CF387" s="10">
        <f t="shared" ca="1" si="551"/>
        <v>26.868654062348465</v>
      </c>
      <c r="CG387" s="10">
        <f t="shared" ca="1" si="551"/>
        <v>26.868654062348465</v>
      </c>
      <c r="CH387" s="10">
        <f t="shared" ca="1" si="551"/>
        <v>26.868654062348465</v>
      </c>
      <c r="CI387" s="10">
        <f t="shared" ca="1" si="551"/>
        <v>26.868654062348465</v>
      </c>
      <c r="CJ387" s="10">
        <f t="shared" ca="1" si="551"/>
        <v>26.868654062348465</v>
      </c>
      <c r="CK387" s="10">
        <f t="shared" ca="1" si="551"/>
        <v>26.868654062348465</v>
      </c>
      <c r="CL387" s="10">
        <f t="shared" ca="1" si="551"/>
        <v>26.868654062348465</v>
      </c>
      <c r="CM387" s="10">
        <f t="shared" ca="1" si="551"/>
        <v>26.868654062348465</v>
      </c>
      <c r="CN387" s="10">
        <f t="shared" ca="1" si="551"/>
        <v>26.868654062348465</v>
      </c>
      <c r="CO387" s="10">
        <f t="shared" ca="1" si="551"/>
        <v>26.868654062348465</v>
      </c>
    </row>
    <row r="388" spans="1:93">
      <c r="A388" s="10"/>
      <c r="B388" s="10"/>
      <c r="C388" s="17" t="s">
        <v>127</v>
      </c>
      <c r="D388" s="10"/>
      <c r="E388" s="62"/>
      <c r="F388" s="11"/>
      <c r="G388" s="134" t="str">
        <f t="shared" si="539"/>
        <v>тыс. руб.</v>
      </c>
      <c r="H388" s="10"/>
      <c r="I388" s="10"/>
      <c r="J388" s="10"/>
      <c r="K388" s="10"/>
      <c r="L388" s="10">
        <f t="shared" ref="L388:AQ388" ca="1" si="552">SUM(K388,-L387)</f>
        <v>0</v>
      </c>
      <c r="M388" s="10">
        <f t="shared" ca="1" si="552"/>
        <v>0</v>
      </c>
      <c r="N388" s="10">
        <f t="shared" ca="1" si="552"/>
        <v>0</v>
      </c>
      <c r="O388" s="10">
        <f t="shared" ca="1" si="552"/>
        <v>0</v>
      </c>
      <c r="P388" s="10">
        <f t="shared" ca="1" si="552"/>
        <v>0</v>
      </c>
      <c r="Q388" s="10">
        <f t="shared" ca="1" si="552"/>
        <v>0</v>
      </c>
      <c r="R388" s="10">
        <f t="shared" ca="1" si="552"/>
        <v>0</v>
      </c>
      <c r="S388" s="10">
        <f t="shared" ca="1" si="552"/>
        <v>0</v>
      </c>
      <c r="T388" s="10">
        <f t="shared" ca="1" si="552"/>
        <v>0</v>
      </c>
      <c r="U388" s="10">
        <f t="shared" ca="1" si="552"/>
        <v>0</v>
      </c>
      <c r="V388" s="10">
        <f t="shared" ca="1" si="552"/>
        <v>0</v>
      </c>
      <c r="W388" s="10">
        <f t="shared" ca="1" si="552"/>
        <v>0</v>
      </c>
      <c r="X388" s="10">
        <f t="shared" ca="1" si="552"/>
        <v>0</v>
      </c>
      <c r="Y388" s="10">
        <f t="shared" ca="1" si="552"/>
        <v>0</v>
      </c>
      <c r="Z388" s="10">
        <f t="shared" ca="1" si="552"/>
        <v>0</v>
      </c>
      <c r="AA388" s="10">
        <f t="shared" ca="1" si="552"/>
        <v>0</v>
      </c>
      <c r="AB388" s="10">
        <f t="shared" ca="1" si="552"/>
        <v>0</v>
      </c>
      <c r="AC388" s="10">
        <f t="shared" ca="1" si="552"/>
        <v>-26.868654062348465</v>
      </c>
      <c r="AD388" s="10">
        <f t="shared" ca="1" si="552"/>
        <v>-53.737308124696931</v>
      </c>
      <c r="AE388" s="10">
        <f t="shared" ca="1" si="552"/>
        <v>-80.605962187045392</v>
      </c>
      <c r="AF388" s="10">
        <f t="shared" ca="1" si="552"/>
        <v>-107.47461624939386</v>
      </c>
      <c r="AG388" s="10">
        <f t="shared" ca="1" si="552"/>
        <v>-134.34327031174232</v>
      </c>
      <c r="AH388" s="10">
        <f t="shared" ca="1" si="552"/>
        <v>-161.21192437409078</v>
      </c>
      <c r="AI388" s="10">
        <f t="shared" ca="1" si="552"/>
        <v>-188.08057843643925</v>
      </c>
      <c r="AJ388" s="10">
        <f t="shared" ca="1" si="552"/>
        <v>-214.94923249878772</v>
      </c>
      <c r="AK388" s="10">
        <f t="shared" ca="1" si="552"/>
        <v>-241.81788656113619</v>
      </c>
      <c r="AL388" s="10">
        <f t="shared" ca="1" si="552"/>
        <v>-268.68654062348463</v>
      </c>
      <c r="AM388" s="10">
        <f t="shared" ca="1" si="552"/>
        <v>-295.5551946858331</v>
      </c>
      <c r="AN388" s="10">
        <f t="shared" ca="1" si="552"/>
        <v>-322.42384874818157</v>
      </c>
      <c r="AO388" s="10">
        <f t="shared" ca="1" si="552"/>
        <v>-349.29250281053004</v>
      </c>
      <c r="AP388" s="10">
        <f t="shared" ca="1" si="552"/>
        <v>-376.16115687287851</v>
      </c>
      <c r="AQ388" s="10">
        <f t="shared" ca="1" si="552"/>
        <v>-403.02981093522698</v>
      </c>
      <c r="AR388" s="10">
        <f t="shared" ref="AR388:BW388" ca="1" si="553">SUM(AQ388,-AR387)</f>
        <v>-429.89846499757545</v>
      </c>
      <c r="AS388" s="10">
        <f t="shared" ca="1" si="553"/>
        <v>-456.76711905992391</v>
      </c>
      <c r="AT388" s="10">
        <f t="shared" ca="1" si="553"/>
        <v>-483.63577312227238</v>
      </c>
      <c r="AU388" s="10">
        <f t="shared" ca="1" si="553"/>
        <v>-510.50442718462085</v>
      </c>
      <c r="AV388" s="10">
        <f t="shared" ca="1" si="553"/>
        <v>-537.37308124696926</v>
      </c>
      <c r="AW388" s="10">
        <f t="shared" ca="1" si="553"/>
        <v>-564.24173530931773</v>
      </c>
      <c r="AX388" s="10">
        <f t="shared" ca="1" si="553"/>
        <v>-591.1103893716662</v>
      </c>
      <c r="AY388" s="10">
        <f t="shared" ca="1" si="553"/>
        <v>-617.97904343401467</v>
      </c>
      <c r="AZ388" s="10">
        <f t="shared" ca="1" si="553"/>
        <v>-644.84769749636314</v>
      </c>
      <c r="BA388" s="10">
        <f t="shared" ca="1" si="553"/>
        <v>-671.71635155871161</v>
      </c>
      <c r="BB388" s="10">
        <f t="shared" ca="1" si="553"/>
        <v>-698.58500562106008</v>
      </c>
      <c r="BC388" s="10">
        <f t="shared" ca="1" si="553"/>
        <v>-725.45365968340855</v>
      </c>
      <c r="BD388" s="10">
        <f t="shared" ca="1" si="553"/>
        <v>-752.32231374575701</v>
      </c>
      <c r="BE388" s="10">
        <f t="shared" ca="1" si="553"/>
        <v>-779.19096780810548</v>
      </c>
      <c r="BF388" s="10">
        <f t="shared" ca="1" si="553"/>
        <v>-806.05962187045395</v>
      </c>
      <c r="BG388" s="10">
        <f t="shared" ca="1" si="553"/>
        <v>-832.92827593280242</v>
      </c>
      <c r="BH388" s="10">
        <f t="shared" ca="1" si="553"/>
        <v>-859.79692999515089</v>
      </c>
      <c r="BI388" s="10">
        <f t="shared" ca="1" si="553"/>
        <v>-886.66558405749936</v>
      </c>
      <c r="BJ388" s="10">
        <f t="shared" ca="1" si="553"/>
        <v>-913.53423811984783</v>
      </c>
      <c r="BK388" s="10">
        <f t="shared" ca="1" si="553"/>
        <v>-940.4028921821963</v>
      </c>
      <c r="BL388" s="10">
        <f t="shared" ca="1" si="553"/>
        <v>-967.27154624454477</v>
      </c>
      <c r="BM388" s="10">
        <f t="shared" ca="1" si="553"/>
        <v>-994.14020030689323</v>
      </c>
      <c r="BN388" s="10">
        <f t="shared" ca="1" si="553"/>
        <v>-1021.0088543692417</v>
      </c>
      <c r="BO388" s="10">
        <f t="shared" ca="1" si="553"/>
        <v>-1047.8775084315901</v>
      </c>
      <c r="BP388" s="10">
        <f t="shared" ca="1" si="553"/>
        <v>-1074.7461624939385</v>
      </c>
      <c r="BQ388" s="10">
        <f t="shared" ca="1" si="553"/>
        <v>-1101.614816556287</v>
      </c>
      <c r="BR388" s="10">
        <f t="shared" ca="1" si="553"/>
        <v>-1128.4834706186355</v>
      </c>
      <c r="BS388" s="10">
        <f t="shared" ca="1" si="553"/>
        <v>-1155.3521246809839</v>
      </c>
      <c r="BT388" s="10">
        <f t="shared" ca="1" si="553"/>
        <v>-1182.2207787433324</v>
      </c>
      <c r="BU388" s="10">
        <f t="shared" ca="1" si="553"/>
        <v>-1209.0894328056809</v>
      </c>
      <c r="BV388" s="10">
        <f t="shared" ca="1" si="553"/>
        <v>-1235.9580868680293</v>
      </c>
      <c r="BW388" s="10">
        <f t="shared" ca="1" si="553"/>
        <v>-1262.8267409303778</v>
      </c>
      <c r="BX388" s="10">
        <f t="shared" ref="BX388:CO388" ca="1" si="554">SUM(BW388,-BX387)</f>
        <v>-1289.6953949927263</v>
      </c>
      <c r="BY388" s="10">
        <f t="shared" ca="1" si="554"/>
        <v>-1316.5640490550747</v>
      </c>
      <c r="BZ388" s="10">
        <f t="shared" ca="1" si="554"/>
        <v>-1343.4327031174232</v>
      </c>
      <c r="CA388" s="10">
        <f t="shared" ca="1" si="554"/>
        <v>-1370.3013571797717</v>
      </c>
      <c r="CB388" s="10">
        <f t="shared" ca="1" si="554"/>
        <v>-1397.1700112421202</v>
      </c>
      <c r="CC388" s="10">
        <f t="shared" ca="1" si="554"/>
        <v>-1424.0386653044686</v>
      </c>
      <c r="CD388" s="10">
        <f t="shared" ca="1" si="554"/>
        <v>-1450.9073193668171</v>
      </c>
      <c r="CE388" s="10">
        <f t="shared" ca="1" si="554"/>
        <v>-1477.7759734291656</v>
      </c>
      <c r="CF388" s="10">
        <f t="shared" ca="1" si="554"/>
        <v>-1504.644627491514</v>
      </c>
      <c r="CG388" s="10">
        <f t="shared" ca="1" si="554"/>
        <v>-1531.5132815538625</v>
      </c>
      <c r="CH388" s="10">
        <f t="shared" ca="1" si="554"/>
        <v>-1558.381935616211</v>
      </c>
      <c r="CI388" s="10">
        <f t="shared" ca="1" si="554"/>
        <v>-1585.2505896785594</v>
      </c>
      <c r="CJ388" s="10">
        <f t="shared" ca="1" si="554"/>
        <v>-1612.1192437409079</v>
      </c>
      <c r="CK388" s="10">
        <f t="shared" ca="1" si="554"/>
        <v>-1638.9878978032564</v>
      </c>
      <c r="CL388" s="10">
        <f t="shared" ca="1" si="554"/>
        <v>-1665.8565518656048</v>
      </c>
      <c r="CM388" s="10">
        <f t="shared" ca="1" si="554"/>
        <v>-1692.7252059279533</v>
      </c>
      <c r="CN388" s="10">
        <f t="shared" ca="1" si="554"/>
        <v>-1719.5938599903018</v>
      </c>
      <c r="CO388" s="10">
        <f t="shared" ca="1" si="554"/>
        <v>-1746.4625140526502</v>
      </c>
    </row>
    <row r="389" spans="1:93">
      <c r="A389" s="10"/>
      <c r="B389" s="10"/>
      <c r="C389" s="17" t="s">
        <v>128</v>
      </c>
      <c r="D389" s="10"/>
      <c r="E389" s="62"/>
      <c r="F389" s="11"/>
      <c r="G389" s="134" t="str">
        <f t="shared" si="539"/>
        <v>тыс. руб.</v>
      </c>
      <c r="H389" s="10"/>
      <c r="I389" s="10"/>
      <c r="J389" s="10"/>
      <c r="K389" s="10"/>
      <c r="L389" s="10">
        <f t="shared" ref="L389:Q389" ca="1" si="555">SUM(L386,L388)</f>
        <v>0</v>
      </c>
      <c r="M389" s="10">
        <f t="shared" ca="1" si="555"/>
        <v>0</v>
      </c>
      <c r="N389" s="10">
        <f t="shared" ca="1" si="555"/>
        <v>0</v>
      </c>
      <c r="O389" s="10">
        <f t="shared" ca="1" si="555"/>
        <v>0</v>
      </c>
      <c r="P389" s="10">
        <f t="shared" ca="1" si="555"/>
        <v>0</v>
      </c>
      <c r="Q389" s="10">
        <f t="shared" ca="1" si="555"/>
        <v>0</v>
      </c>
      <c r="R389" s="10">
        <f ca="1">SUM(R386,R388)</f>
        <v>0</v>
      </c>
      <c r="S389" s="10">
        <f t="shared" ref="S389:CD389" ca="1" si="556">SUM(S386,S388)</f>
        <v>0</v>
      </c>
      <c r="T389" s="10">
        <f t="shared" ca="1" si="556"/>
        <v>0</v>
      </c>
      <c r="U389" s="10">
        <f t="shared" ca="1" si="556"/>
        <v>0</v>
      </c>
      <c r="V389" s="10">
        <f t="shared" ca="1" si="556"/>
        <v>0</v>
      </c>
      <c r="W389" s="10">
        <f t="shared" ca="1" si="556"/>
        <v>0</v>
      </c>
      <c r="X389" s="10">
        <f t="shared" ca="1" si="556"/>
        <v>0</v>
      </c>
      <c r="Y389" s="10">
        <f t="shared" ca="1" si="556"/>
        <v>0</v>
      </c>
      <c r="Z389" s="10">
        <f t="shared" ca="1" si="556"/>
        <v>0</v>
      </c>
      <c r="AA389" s="10">
        <f t="shared" ca="1" si="556"/>
        <v>0</v>
      </c>
      <c r="AB389" s="10">
        <f t="shared" ca="1" si="556"/>
        <v>3224.2384874818158</v>
      </c>
      <c r="AC389" s="10">
        <f t="shared" ca="1" si="556"/>
        <v>3197.3698334194673</v>
      </c>
      <c r="AD389" s="10">
        <f t="shared" ca="1" si="556"/>
        <v>3170.5011793571189</v>
      </c>
      <c r="AE389" s="10">
        <f t="shared" ca="1" si="556"/>
        <v>3143.6325252947704</v>
      </c>
      <c r="AF389" s="10">
        <f t="shared" ca="1" si="556"/>
        <v>3116.7638712324219</v>
      </c>
      <c r="AG389" s="10">
        <f t="shared" ca="1" si="556"/>
        <v>3089.8952171700735</v>
      </c>
      <c r="AH389" s="10">
        <f t="shared" ca="1" si="556"/>
        <v>3063.026563107725</v>
      </c>
      <c r="AI389" s="10">
        <f t="shared" ca="1" si="556"/>
        <v>3036.1579090453765</v>
      </c>
      <c r="AJ389" s="10">
        <f t="shared" ca="1" si="556"/>
        <v>3009.2892549830281</v>
      </c>
      <c r="AK389" s="10">
        <f t="shared" ca="1" si="556"/>
        <v>2982.4206009206796</v>
      </c>
      <c r="AL389" s="10">
        <f t="shared" ca="1" si="556"/>
        <v>2955.5519468583311</v>
      </c>
      <c r="AM389" s="10">
        <f t="shared" ca="1" si="556"/>
        <v>2928.6832927959827</v>
      </c>
      <c r="AN389" s="10">
        <f t="shared" ca="1" si="556"/>
        <v>2901.8146387336342</v>
      </c>
      <c r="AO389" s="10">
        <f t="shared" ca="1" si="556"/>
        <v>2874.9459846712857</v>
      </c>
      <c r="AP389" s="10">
        <f t="shared" ca="1" si="556"/>
        <v>2848.0773306089372</v>
      </c>
      <c r="AQ389" s="10">
        <f t="shared" ca="1" si="556"/>
        <v>2821.2086765465888</v>
      </c>
      <c r="AR389" s="10">
        <f t="shared" ca="1" si="556"/>
        <v>2794.3400224842403</v>
      </c>
      <c r="AS389" s="10">
        <f t="shared" ca="1" si="556"/>
        <v>2767.4713684218918</v>
      </c>
      <c r="AT389" s="10">
        <f t="shared" ca="1" si="556"/>
        <v>2740.6027143595434</v>
      </c>
      <c r="AU389" s="10">
        <f t="shared" ca="1" si="556"/>
        <v>2713.7340602971949</v>
      </c>
      <c r="AV389" s="10">
        <f t="shared" ca="1" si="556"/>
        <v>2686.8654062348464</v>
      </c>
      <c r="AW389" s="10">
        <f t="shared" ca="1" si="556"/>
        <v>2659.996752172498</v>
      </c>
      <c r="AX389" s="10">
        <f t="shared" ca="1" si="556"/>
        <v>2633.1280981101495</v>
      </c>
      <c r="AY389" s="10">
        <f t="shared" ca="1" si="556"/>
        <v>2606.259444047801</v>
      </c>
      <c r="AZ389" s="10">
        <f t="shared" ca="1" si="556"/>
        <v>2579.3907899854526</v>
      </c>
      <c r="BA389" s="10">
        <f t="shared" ca="1" si="556"/>
        <v>2552.5221359231041</v>
      </c>
      <c r="BB389" s="10">
        <f t="shared" ca="1" si="556"/>
        <v>2525.6534818607556</v>
      </c>
      <c r="BC389" s="10">
        <f t="shared" ca="1" si="556"/>
        <v>2498.7848277984072</v>
      </c>
      <c r="BD389" s="10">
        <f t="shared" ca="1" si="556"/>
        <v>2471.9161737360587</v>
      </c>
      <c r="BE389" s="10">
        <f t="shared" ca="1" si="556"/>
        <v>2445.0475196737102</v>
      </c>
      <c r="BF389" s="10">
        <f t="shared" ca="1" si="556"/>
        <v>2418.1788656113617</v>
      </c>
      <c r="BG389" s="10">
        <f t="shared" ca="1" si="556"/>
        <v>2391.3102115490133</v>
      </c>
      <c r="BH389" s="10">
        <f t="shared" ca="1" si="556"/>
        <v>2364.4415574866648</v>
      </c>
      <c r="BI389" s="10">
        <f t="shared" ca="1" si="556"/>
        <v>2337.5729034243163</v>
      </c>
      <c r="BJ389" s="10">
        <f t="shared" ca="1" si="556"/>
        <v>2310.7042493619679</v>
      </c>
      <c r="BK389" s="10">
        <f t="shared" ca="1" si="556"/>
        <v>2283.8355952996194</v>
      </c>
      <c r="BL389" s="10">
        <f t="shared" ca="1" si="556"/>
        <v>2256.9669412372709</v>
      </c>
      <c r="BM389" s="10">
        <f t="shared" ca="1" si="556"/>
        <v>2230.0982871749225</v>
      </c>
      <c r="BN389" s="10">
        <f t="shared" ca="1" si="556"/>
        <v>2203.229633112574</v>
      </c>
      <c r="BO389" s="10">
        <f t="shared" ca="1" si="556"/>
        <v>2176.360979050226</v>
      </c>
      <c r="BP389" s="10">
        <f t="shared" ca="1" si="556"/>
        <v>2149.4923249878775</v>
      </c>
      <c r="BQ389" s="10">
        <f t="shared" ca="1" si="556"/>
        <v>2122.623670925529</v>
      </c>
      <c r="BR389" s="10">
        <f t="shared" ca="1" si="556"/>
        <v>2095.7550168631806</v>
      </c>
      <c r="BS389" s="10">
        <f t="shared" ca="1" si="556"/>
        <v>2068.8863628008321</v>
      </c>
      <c r="BT389" s="10">
        <f t="shared" ca="1" si="556"/>
        <v>2042.0177087384834</v>
      </c>
      <c r="BU389" s="10">
        <f t="shared" ca="1" si="556"/>
        <v>2015.1490546761349</v>
      </c>
      <c r="BV389" s="10">
        <f t="shared" ca="1" si="556"/>
        <v>1988.2804006137865</v>
      </c>
      <c r="BW389" s="10">
        <f t="shared" ca="1" si="556"/>
        <v>1961.411746551438</v>
      </c>
      <c r="BX389" s="10">
        <f t="shared" ca="1" si="556"/>
        <v>1934.5430924890895</v>
      </c>
      <c r="BY389" s="10">
        <f t="shared" ca="1" si="556"/>
        <v>1907.6744384267411</v>
      </c>
      <c r="BZ389" s="10">
        <f t="shared" ca="1" si="556"/>
        <v>1880.8057843643926</v>
      </c>
      <c r="CA389" s="10">
        <f t="shared" ca="1" si="556"/>
        <v>1853.9371303020441</v>
      </c>
      <c r="CB389" s="10">
        <f t="shared" ca="1" si="556"/>
        <v>1827.0684762396957</v>
      </c>
      <c r="CC389" s="10">
        <f t="shared" ca="1" si="556"/>
        <v>1800.1998221773472</v>
      </c>
      <c r="CD389" s="10">
        <f t="shared" ca="1" si="556"/>
        <v>1773.3311681149987</v>
      </c>
      <c r="CE389" s="10">
        <f t="shared" ref="CE389:CO389" ca="1" si="557">SUM(CE386,CE388)</f>
        <v>1746.4625140526502</v>
      </c>
      <c r="CF389" s="10">
        <f t="shared" ca="1" si="557"/>
        <v>1719.5938599903018</v>
      </c>
      <c r="CG389" s="10">
        <f t="shared" ca="1" si="557"/>
        <v>1692.7252059279533</v>
      </c>
      <c r="CH389" s="10">
        <f t="shared" ca="1" si="557"/>
        <v>1665.8565518656048</v>
      </c>
      <c r="CI389" s="10">
        <f t="shared" ca="1" si="557"/>
        <v>1638.9878978032564</v>
      </c>
      <c r="CJ389" s="10">
        <f t="shared" ca="1" si="557"/>
        <v>1612.1192437409079</v>
      </c>
      <c r="CK389" s="10">
        <f t="shared" ca="1" si="557"/>
        <v>1585.2505896785594</v>
      </c>
      <c r="CL389" s="10">
        <f t="shared" ca="1" si="557"/>
        <v>1558.381935616211</v>
      </c>
      <c r="CM389" s="10">
        <f t="shared" ca="1" si="557"/>
        <v>1531.5132815538625</v>
      </c>
      <c r="CN389" s="10">
        <f t="shared" ca="1" si="557"/>
        <v>1504.644627491514</v>
      </c>
      <c r="CO389" s="10">
        <f t="shared" ca="1" si="557"/>
        <v>1477.7759734291656</v>
      </c>
    </row>
    <row r="390" spans="1:93">
      <c r="A390" s="10"/>
      <c r="B390" s="10"/>
      <c r="C390" s="17"/>
      <c r="D390" s="10"/>
      <c r="E390" s="62"/>
      <c r="F390" s="11"/>
      <c r="G390" s="11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  <c r="CG390" s="10"/>
      <c r="CH390" s="10"/>
      <c r="CI390" s="10"/>
      <c r="CJ390" s="10"/>
      <c r="CK390" s="10"/>
      <c r="CL390" s="10"/>
      <c r="CM390" s="10"/>
      <c r="CN390" s="10"/>
      <c r="CO390" s="10"/>
    </row>
    <row r="391" spans="1:93">
      <c r="A391" s="10"/>
      <c r="B391" s="10"/>
      <c r="C391" s="87" t="s">
        <v>1063</v>
      </c>
      <c r="D391" s="10"/>
      <c r="E391" s="62"/>
      <c r="F391" s="11"/>
      <c r="G391" s="11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  <c r="CG391" s="10"/>
      <c r="CH391" s="10"/>
      <c r="CI391" s="10"/>
      <c r="CJ391" s="10"/>
      <c r="CK391" s="10"/>
      <c r="CL391" s="10"/>
      <c r="CM391" s="10"/>
      <c r="CN391" s="10"/>
      <c r="CO391" s="10"/>
    </row>
    <row r="392" spans="1:93">
      <c r="A392" s="10"/>
      <c r="B392" s="10"/>
      <c r="C392" s="17" t="s">
        <v>386</v>
      </c>
      <c r="D392" s="10"/>
      <c r="E392" s="184">
        <f>Предпосылки!E366</f>
        <v>30</v>
      </c>
      <c r="F392" s="11"/>
      <c r="G392" s="11" t="s">
        <v>123</v>
      </c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  <c r="CG392" s="10"/>
      <c r="CH392" s="10"/>
      <c r="CI392" s="10"/>
      <c r="CJ392" s="10"/>
      <c r="CK392" s="10"/>
      <c r="CL392" s="10"/>
      <c r="CM392" s="10"/>
      <c r="CN392" s="10"/>
      <c r="CO392" s="10"/>
    </row>
    <row r="393" spans="1:93">
      <c r="A393" s="10"/>
      <c r="B393" s="10"/>
      <c r="C393" s="17" t="s">
        <v>387</v>
      </c>
      <c r="D393" s="10"/>
      <c r="F393" s="11"/>
      <c r="G393" s="11" t="s">
        <v>28</v>
      </c>
      <c r="H393" s="10"/>
      <c r="I393" s="10"/>
      <c r="J393" s="10"/>
      <c r="K393" s="10"/>
      <c r="L393" s="157">
        <f t="shared" ref="L393:Q393" si="558">IF($E392&lt;&gt;0,1/$E392,0)/Periods_in_Year</f>
        <v>8.3333333333333332E-3</v>
      </c>
      <c r="M393" s="157">
        <f t="shared" si="558"/>
        <v>8.3333333333333332E-3</v>
      </c>
      <c r="N393" s="157">
        <f t="shared" si="558"/>
        <v>8.3333333333333332E-3</v>
      </c>
      <c r="O393" s="157">
        <f t="shared" si="558"/>
        <v>8.3333333333333332E-3</v>
      </c>
      <c r="P393" s="157">
        <f t="shared" si="558"/>
        <v>8.3333333333333332E-3</v>
      </c>
      <c r="Q393" s="157">
        <f t="shared" si="558"/>
        <v>8.3333333333333332E-3</v>
      </c>
      <c r="R393" s="157">
        <f>IF($E392&lt;&gt;0,1/$E392,0)/Periods_in_Year</f>
        <v>8.3333333333333332E-3</v>
      </c>
      <c r="S393" s="157">
        <f t="shared" ref="S393:CD393" si="559">IF($E392&lt;&gt;0,1/$E392,0)/Periods_in_Year</f>
        <v>8.3333333333333332E-3</v>
      </c>
      <c r="T393" s="157">
        <f t="shared" si="559"/>
        <v>8.3333333333333332E-3</v>
      </c>
      <c r="U393" s="157">
        <f t="shared" si="559"/>
        <v>8.3333333333333332E-3</v>
      </c>
      <c r="V393" s="157">
        <f t="shared" si="559"/>
        <v>8.3333333333333332E-3</v>
      </c>
      <c r="W393" s="157">
        <f t="shared" si="559"/>
        <v>8.3333333333333332E-3</v>
      </c>
      <c r="X393" s="157">
        <f t="shared" si="559"/>
        <v>8.3333333333333332E-3</v>
      </c>
      <c r="Y393" s="157">
        <f t="shared" si="559"/>
        <v>8.3333333333333332E-3</v>
      </c>
      <c r="Z393" s="157">
        <f t="shared" si="559"/>
        <v>8.3333333333333332E-3</v>
      </c>
      <c r="AA393" s="157">
        <f t="shared" si="559"/>
        <v>8.3333333333333332E-3</v>
      </c>
      <c r="AB393" s="157">
        <f t="shared" si="559"/>
        <v>8.3333333333333332E-3</v>
      </c>
      <c r="AC393" s="157">
        <f t="shared" si="559"/>
        <v>8.3333333333333332E-3</v>
      </c>
      <c r="AD393" s="157">
        <f t="shared" si="559"/>
        <v>8.3333333333333332E-3</v>
      </c>
      <c r="AE393" s="157">
        <f t="shared" si="559"/>
        <v>8.3333333333333332E-3</v>
      </c>
      <c r="AF393" s="157">
        <f t="shared" si="559"/>
        <v>8.3333333333333332E-3</v>
      </c>
      <c r="AG393" s="157">
        <f t="shared" si="559"/>
        <v>8.3333333333333332E-3</v>
      </c>
      <c r="AH393" s="157">
        <f t="shared" si="559"/>
        <v>8.3333333333333332E-3</v>
      </c>
      <c r="AI393" s="157">
        <f t="shared" si="559"/>
        <v>8.3333333333333332E-3</v>
      </c>
      <c r="AJ393" s="157">
        <f t="shared" si="559"/>
        <v>8.3333333333333332E-3</v>
      </c>
      <c r="AK393" s="157">
        <f t="shared" si="559"/>
        <v>8.3333333333333332E-3</v>
      </c>
      <c r="AL393" s="157">
        <f t="shared" si="559"/>
        <v>8.3333333333333332E-3</v>
      </c>
      <c r="AM393" s="157">
        <f t="shared" si="559"/>
        <v>8.3333333333333332E-3</v>
      </c>
      <c r="AN393" s="157">
        <f t="shared" si="559"/>
        <v>8.3333333333333332E-3</v>
      </c>
      <c r="AO393" s="157">
        <f t="shared" si="559"/>
        <v>8.3333333333333332E-3</v>
      </c>
      <c r="AP393" s="157">
        <f t="shared" si="559"/>
        <v>8.3333333333333332E-3</v>
      </c>
      <c r="AQ393" s="157">
        <f t="shared" si="559"/>
        <v>8.3333333333333332E-3</v>
      </c>
      <c r="AR393" s="157">
        <f t="shared" si="559"/>
        <v>8.3333333333333332E-3</v>
      </c>
      <c r="AS393" s="157">
        <f t="shared" si="559"/>
        <v>8.3333333333333332E-3</v>
      </c>
      <c r="AT393" s="157">
        <f t="shared" si="559"/>
        <v>8.3333333333333332E-3</v>
      </c>
      <c r="AU393" s="157">
        <f t="shared" si="559"/>
        <v>8.3333333333333332E-3</v>
      </c>
      <c r="AV393" s="157">
        <f t="shared" si="559"/>
        <v>8.3333333333333332E-3</v>
      </c>
      <c r="AW393" s="157">
        <f t="shared" si="559"/>
        <v>8.3333333333333332E-3</v>
      </c>
      <c r="AX393" s="157">
        <f t="shared" si="559"/>
        <v>8.3333333333333332E-3</v>
      </c>
      <c r="AY393" s="157">
        <f t="shared" si="559"/>
        <v>8.3333333333333332E-3</v>
      </c>
      <c r="AZ393" s="157">
        <f t="shared" si="559"/>
        <v>8.3333333333333332E-3</v>
      </c>
      <c r="BA393" s="157">
        <f t="shared" si="559"/>
        <v>8.3333333333333332E-3</v>
      </c>
      <c r="BB393" s="157">
        <f t="shared" si="559"/>
        <v>8.3333333333333332E-3</v>
      </c>
      <c r="BC393" s="157">
        <f t="shared" si="559"/>
        <v>8.3333333333333332E-3</v>
      </c>
      <c r="BD393" s="157">
        <f t="shared" si="559"/>
        <v>8.3333333333333332E-3</v>
      </c>
      <c r="BE393" s="157">
        <f t="shared" si="559"/>
        <v>8.3333333333333332E-3</v>
      </c>
      <c r="BF393" s="157">
        <f t="shared" si="559"/>
        <v>8.3333333333333332E-3</v>
      </c>
      <c r="BG393" s="157">
        <f t="shared" si="559"/>
        <v>8.3333333333333332E-3</v>
      </c>
      <c r="BH393" s="157">
        <f t="shared" si="559"/>
        <v>8.3333333333333332E-3</v>
      </c>
      <c r="BI393" s="157">
        <f t="shared" si="559"/>
        <v>8.3333333333333332E-3</v>
      </c>
      <c r="BJ393" s="157">
        <f t="shared" si="559"/>
        <v>8.3333333333333332E-3</v>
      </c>
      <c r="BK393" s="157">
        <f t="shared" si="559"/>
        <v>8.3333333333333332E-3</v>
      </c>
      <c r="BL393" s="157">
        <f t="shared" si="559"/>
        <v>8.3333333333333332E-3</v>
      </c>
      <c r="BM393" s="157">
        <f t="shared" si="559"/>
        <v>8.3333333333333332E-3</v>
      </c>
      <c r="BN393" s="157">
        <f t="shared" si="559"/>
        <v>8.3333333333333332E-3</v>
      </c>
      <c r="BO393" s="157">
        <f t="shared" si="559"/>
        <v>8.3333333333333332E-3</v>
      </c>
      <c r="BP393" s="157">
        <f t="shared" si="559"/>
        <v>8.3333333333333332E-3</v>
      </c>
      <c r="BQ393" s="157">
        <f t="shared" si="559"/>
        <v>8.3333333333333332E-3</v>
      </c>
      <c r="BR393" s="157">
        <f t="shared" si="559"/>
        <v>8.3333333333333332E-3</v>
      </c>
      <c r="BS393" s="157">
        <f t="shared" si="559"/>
        <v>8.3333333333333332E-3</v>
      </c>
      <c r="BT393" s="157">
        <f t="shared" si="559"/>
        <v>8.3333333333333332E-3</v>
      </c>
      <c r="BU393" s="157">
        <f t="shared" si="559"/>
        <v>8.3333333333333332E-3</v>
      </c>
      <c r="BV393" s="157">
        <f t="shared" si="559"/>
        <v>8.3333333333333332E-3</v>
      </c>
      <c r="BW393" s="157">
        <f t="shared" si="559"/>
        <v>8.3333333333333332E-3</v>
      </c>
      <c r="BX393" s="157">
        <f t="shared" si="559"/>
        <v>8.3333333333333332E-3</v>
      </c>
      <c r="BY393" s="157">
        <f t="shared" si="559"/>
        <v>8.3333333333333332E-3</v>
      </c>
      <c r="BZ393" s="157">
        <f t="shared" si="559"/>
        <v>8.3333333333333332E-3</v>
      </c>
      <c r="CA393" s="157">
        <f t="shared" si="559"/>
        <v>8.3333333333333332E-3</v>
      </c>
      <c r="CB393" s="157">
        <f t="shared" si="559"/>
        <v>8.3333333333333332E-3</v>
      </c>
      <c r="CC393" s="157">
        <f t="shared" si="559"/>
        <v>8.3333333333333332E-3</v>
      </c>
      <c r="CD393" s="157">
        <f t="shared" si="559"/>
        <v>8.3333333333333332E-3</v>
      </c>
      <c r="CE393" s="157">
        <f t="shared" ref="CE393:CO393" si="560">IF($E392&lt;&gt;0,1/$E392,0)/Periods_in_Year</f>
        <v>8.3333333333333332E-3</v>
      </c>
      <c r="CF393" s="157">
        <f t="shared" si="560"/>
        <v>8.3333333333333332E-3</v>
      </c>
      <c r="CG393" s="157">
        <f t="shared" si="560"/>
        <v>8.3333333333333332E-3</v>
      </c>
      <c r="CH393" s="157">
        <f t="shared" si="560"/>
        <v>8.3333333333333332E-3</v>
      </c>
      <c r="CI393" s="157">
        <f t="shared" si="560"/>
        <v>8.3333333333333332E-3</v>
      </c>
      <c r="CJ393" s="157">
        <f t="shared" si="560"/>
        <v>8.3333333333333332E-3</v>
      </c>
      <c r="CK393" s="157">
        <f t="shared" si="560"/>
        <v>8.3333333333333332E-3</v>
      </c>
      <c r="CL393" s="157">
        <f t="shared" si="560"/>
        <v>8.3333333333333332E-3</v>
      </c>
      <c r="CM393" s="157">
        <f t="shared" si="560"/>
        <v>8.3333333333333332E-3</v>
      </c>
      <c r="CN393" s="157">
        <f t="shared" si="560"/>
        <v>8.3333333333333332E-3</v>
      </c>
      <c r="CO393" s="157">
        <f t="shared" si="560"/>
        <v>8.3333333333333332E-3</v>
      </c>
    </row>
    <row r="394" spans="1:93">
      <c r="A394" s="10"/>
      <c r="B394" s="10"/>
      <c r="C394" s="17" t="s">
        <v>125</v>
      </c>
      <c r="D394" s="10"/>
      <c r="E394" s="62"/>
      <c r="F394" s="11"/>
      <c r="G394" s="134" t="str">
        <f t="shared" ref="G394:G399" si="561">Monetary_Unit</f>
        <v>тыс. руб.</v>
      </c>
      <c r="H394" s="10"/>
      <c r="I394" s="10"/>
      <c r="J394" s="10"/>
      <c r="K394" s="10"/>
      <c r="L394" s="10">
        <f t="shared" ref="L394:AQ394" si="562">K399</f>
        <v>0</v>
      </c>
      <c r="M394" s="10">
        <f t="shared" ca="1" si="562"/>
        <v>0</v>
      </c>
      <c r="N394" s="10">
        <f t="shared" ca="1" si="562"/>
        <v>0</v>
      </c>
      <c r="O394" s="10">
        <f t="shared" ca="1" si="562"/>
        <v>0</v>
      </c>
      <c r="P394" s="10">
        <f t="shared" ca="1" si="562"/>
        <v>0</v>
      </c>
      <c r="Q394" s="10">
        <f t="shared" ca="1" si="562"/>
        <v>0</v>
      </c>
      <c r="R394" s="10">
        <f t="shared" ca="1" si="562"/>
        <v>0</v>
      </c>
      <c r="S394" s="10">
        <f t="shared" ca="1" si="562"/>
        <v>0</v>
      </c>
      <c r="T394" s="10">
        <f t="shared" ca="1" si="562"/>
        <v>0</v>
      </c>
      <c r="U394" s="10">
        <f t="shared" ca="1" si="562"/>
        <v>0</v>
      </c>
      <c r="V394" s="10">
        <f t="shared" ca="1" si="562"/>
        <v>0</v>
      </c>
      <c r="W394" s="10">
        <f t="shared" ca="1" si="562"/>
        <v>0</v>
      </c>
      <c r="X394" s="10">
        <f t="shared" ca="1" si="562"/>
        <v>0</v>
      </c>
      <c r="Y394" s="10">
        <f t="shared" ca="1" si="562"/>
        <v>0</v>
      </c>
      <c r="Z394" s="10">
        <f t="shared" ca="1" si="562"/>
        <v>0</v>
      </c>
      <c r="AA394" s="10">
        <f t="shared" ca="1" si="562"/>
        <v>0</v>
      </c>
      <c r="AB394" s="10">
        <f t="shared" ca="1" si="562"/>
        <v>0</v>
      </c>
      <c r="AC394" s="10">
        <f t="shared" ca="1" si="562"/>
        <v>286203.3778594482</v>
      </c>
      <c r="AD394" s="10">
        <f t="shared" ca="1" si="562"/>
        <v>283818.34971061948</v>
      </c>
      <c r="AE394" s="10">
        <f t="shared" ca="1" si="562"/>
        <v>281433.32156179071</v>
      </c>
      <c r="AF394" s="10">
        <f t="shared" ca="1" si="562"/>
        <v>279048.293412962</v>
      </c>
      <c r="AG394" s="10">
        <f t="shared" ca="1" si="562"/>
        <v>276663.26526413328</v>
      </c>
      <c r="AH394" s="10">
        <f t="shared" ca="1" si="562"/>
        <v>274278.23711530451</v>
      </c>
      <c r="AI394" s="10">
        <f t="shared" ca="1" si="562"/>
        <v>271893.2089664758</v>
      </c>
      <c r="AJ394" s="10">
        <f t="shared" ca="1" si="562"/>
        <v>269508.18081764708</v>
      </c>
      <c r="AK394" s="10">
        <f t="shared" ca="1" si="562"/>
        <v>267123.15266881831</v>
      </c>
      <c r="AL394" s="10">
        <f t="shared" ca="1" si="562"/>
        <v>264738.12451998959</v>
      </c>
      <c r="AM394" s="10">
        <f t="shared" ca="1" si="562"/>
        <v>262353.09637116082</v>
      </c>
      <c r="AN394" s="10">
        <f t="shared" ca="1" si="562"/>
        <v>259968.06822233211</v>
      </c>
      <c r="AO394" s="10">
        <f t="shared" ca="1" si="562"/>
        <v>257583.04007350336</v>
      </c>
      <c r="AP394" s="10">
        <f t="shared" ca="1" si="562"/>
        <v>255198.01192467465</v>
      </c>
      <c r="AQ394" s="10">
        <f t="shared" ca="1" si="562"/>
        <v>252812.9837758459</v>
      </c>
      <c r="AR394" s="10">
        <f t="shared" ref="AR394:BW394" ca="1" si="563">AQ399</f>
        <v>250427.95562701716</v>
      </c>
      <c r="AS394" s="10">
        <f t="shared" ca="1" si="563"/>
        <v>248042.92747818842</v>
      </c>
      <c r="AT394" s="10">
        <f t="shared" ca="1" si="563"/>
        <v>245657.8993293597</v>
      </c>
      <c r="AU394" s="10">
        <f t="shared" ca="1" si="563"/>
        <v>243272.87118053096</v>
      </c>
      <c r="AV394" s="10">
        <f t="shared" ca="1" si="563"/>
        <v>240887.84303170221</v>
      </c>
      <c r="AW394" s="10">
        <f t="shared" ca="1" si="563"/>
        <v>238502.8148828735</v>
      </c>
      <c r="AX394" s="10">
        <f t="shared" ca="1" si="563"/>
        <v>236117.78673404476</v>
      </c>
      <c r="AY394" s="10">
        <f t="shared" ca="1" si="563"/>
        <v>233732.75858521601</v>
      </c>
      <c r="AZ394" s="10">
        <f t="shared" ca="1" si="563"/>
        <v>231347.73043638727</v>
      </c>
      <c r="BA394" s="10">
        <f t="shared" ca="1" si="563"/>
        <v>228962.70228755852</v>
      </c>
      <c r="BB394" s="10">
        <f t="shared" ca="1" si="563"/>
        <v>226577.67413872981</v>
      </c>
      <c r="BC394" s="10">
        <f t="shared" ca="1" si="563"/>
        <v>224192.64598990107</v>
      </c>
      <c r="BD394" s="10">
        <f t="shared" ca="1" si="563"/>
        <v>221807.61784107232</v>
      </c>
      <c r="BE394" s="10">
        <f t="shared" ca="1" si="563"/>
        <v>219422.58969224361</v>
      </c>
      <c r="BF394" s="10">
        <f t="shared" ca="1" si="563"/>
        <v>217037.56154341486</v>
      </c>
      <c r="BG394" s="10">
        <f t="shared" ca="1" si="563"/>
        <v>214652.53339458612</v>
      </c>
      <c r="BH394" s="10">
        <f t="shared" ca="1" si="563"/>
        <v>212267.50524575741</v>
      </c>
      <c r="BI394" s="10">
        <f t="shared" ca="1" si="563"/>
        <v>209882.47709692869</v>
      </c>
      <c r="BJ394" s="10">
        <f t="shared" ca="1" si="563"/>
        <v>207497.44894809995</v>
      </c>
      <c r="BK394" s="10">
        <f t="shared" ca="1" si="563"/>
        <v>205112.4207992712</v>
      </c>
      <c r="BL394" s="10">
        <f t="shared" ca="1" si="563"/>
        <v>202727.39265044249</v>
      </c>
      <c r="BM394" s="10">
        <f t="shared" ca="1" si="563"/>
        <v>200342.36450161377</v>
      </c>
      <c r="BN394" s="10">
        <f t="shared" ca="1" si="563"/>
        <v>197957.33635278503</v>
      </c>
      <c r="BO394" s="10">
        <f t="shared" ca="1" si="563"/>
        <v>195572.30820395629</v>
      </c>
      <c r="BP394" s="10">
        <f t="shared" ca="1" si="563"/>
        <v>193187.28005512757</v>
      </c>
      <c r="BQ394" s="10">
        <f t="shared" ca="1" si="563"/>
        <v>190802.25190629886</v>
      </c>
      <c r="BR394" s="10">
        <f t="shared" ca="1" si="563"/>
        <v>188417.22375747011</v>
      </c>
      <c r="BS394" s="10">
        <f t="shared" ca="1" si="563"/>
        <v>186032.19560864137</v>
      </c>
      <c r="BT394" s="10">
        <f t="shared" ca="1" si="563"/>
        <v>183647.16745981266</v>
      </c>
      <c r="BU394" s="10">
        <f t="shared" ca="1" si="563"/>
        <v>181262.13931098394</v>
      </c>
      <c r="BV394" s="10">
        <f t="shared" ca="1" si="563"/>
        <v>178877.1111621552</v>
      </c>
      <c r="BW394" s="10">
        <f t="shared" ca="1" si="563"/>
        <v>176492.08301332645</v>
      </c>
      <c r="BX394" s="10">
        <f t="shared" ref="BX394:CO394" ca="1" si="564">BW399</f>
        <v>174107.05486449774</v>
      </c>
      <c r="BY394" s="10">
        <f t="shared" ca="1" si="564"/>
        <v>171722.02671566902</v>
      </c>
      <c r="BZ394" s="10">
        <f t="shared" ca="1" si="564"/>
        <v>169336.99856684028</v>
      </c>
      <c r="CA394" s="10">
        <f t="shared" ca="1" si="564"/>
        <v>166951.97041801154</v>
      </c>
      <c r="CB394" s="10">
        <f t="shared" ca="1" si="564"/>
        <v>164566.94226918282</v>
      </c>
      <c r="CC394" s="10">
        <f t="shared" ca="1" si="564"/>
        <v>162181.91412035411</v>
      </c>
      <c r="CD394" s="10">
        <f t="shared" ca="1" si="564"/>
        <v>159796.88597152536</v>
      </c>
      <c r="CE394" s="10">
        <f t="shared" ca="1" si="564"/>
        <v>157411.85782269662</v>
      </c>
      <c r="CF394" s="10">
        <f t="shared" ca="1" si="564"/>
        <v>155026.82967386791</v>
      </c>
      <c r="CG394" s="10">
        <f t="shared" ca="1" si="564"/>
        <v>152641.80152503916</v>
      </c>
      <c r="CH394" s="10">
        <f t="shared" ca="1" si="564"/>
        <v>150256.77337621042</v>
      </c>
      <c r="CI394" s="10">
        <f t="shared" ca="1" si="564"/>
        <v>147871.74522738167</v>
      </c>
      <c r="CJ394" s="10">
        <f t="shared" ca="1" si="564"/>
        <v>145486.71707855293</v>
      </c>
      <c r="CK394" s="10">
        <f t="shared" ca="1" si="564"/>
        <v>143101.68892972419</v>
      </c>
      <c r="CL394" s="10">
        <f t="shared" ca="1" si="564"/>
        <v>140716.66078089544</v>
      </c>
      <c r="CM394" s="10">
        <f t="shared" ca="1" si="564"/>
        <v>138331.6326320667</v>
      </c>
      <c r="CN394" s="10">
        <f t="shared" ca="1" si="564"/>
        <v>135946.60448323796</v>
      </c>
      <c r="CO394" s="10">
        <f t="shared" ca="1" si="564"/>
        <v>133561.57633440921</v>
      </c>
    </row>
    <row r="395" spans="1:93">
      <c r="A395" s="10"/>
      <c r="B395" s="10"/>
      <c r="C395" s="17" t="s">
        <v>126</v>
      </c>
      <c r="D395" s="10"/>
      <c r="E395" s="62"/>
      <c r="F395" s="11"/>
      <c r="G395" s="134" t="str">
        <f t="shared" si="561"/>
        <v>тыс. руб.</v>
      </c>
      <c r="H395" s="10"/>
      <c r="I395" s="23">
        <f ca="1">SUM(L395:CO395)</f>
        <v>286203.3778594482</v>
      </c>
      <c r="J395" s="10"/>
      <c r="K395" s="10"/>
      <c r="L395" s="10">
        <f t="shared" ref="L395:Q395" ca="1" si="565">SUM(L$328,L$330:L$331) * $E346</f>
        <v>0</v>
      </c>
      <c r="M395" s="10">
        <f t="shared" ca="1" si="565"/>
        <v>0</v>
      </c>
      <c r="N395" s="10">
        <f t="shared" ca="1" si="565"/>
        <v>0</v>
      </c>
      <c r="O395" s="10">
        <f t="shared" ca="1" si="565"/>
        <v>0</v>
      </c>
      <c r="P395" s="10">
        <f t="shared" ca="1" si="565"/>
        <v>0</v>
      </c>
      <c r="Q395" s="10">
        <f t="shared" ca="1" si="565"/>
        <v>0</v>
      </c>
      <c r="R395" s="10">
        <f ca="1">SUM(R$328,R$330:R$331) * $E346</f>
        <v>0</v>
      </c>
      <c r="S395" s="10">
        <f t="shared" ref="S395:CD395" ca="1" si="566">SUM(S$328,S$330:S$331) * $E346</f>
        <v>0</v>
      </c>
      <c r="T395" s="10">
        <f t="shared" ca="1" si="566"/>
        <v>0</v>
      </c>
      <c r="U395" s="10">
        <f t="shared" ca="1" si="566"/>
        <v>0</v>
      </c>
      <c r="V395" s="10">
        <f t="shared" ca="1" si="566"/>
        <v>0</v>
      </c>
      <c r="W395" s="10">
        <f t="shared" ca="1" si="566"/>
        <v>0</v>
      </c>
      <c r="X395" s="10">
        <f t="shared" ca="1" si="566"/>
        <v>0</v>
      </c>
      <c r="Y395" s="10">
        <f t="shared" ca="1" si="566"/>
        <v>0</v>
      </c>
      <c r="Z395" s="10">
        <f t="shared" ca="1" si="566"/>
        <v>0</v>
      </c>
      <c r="AA395" s="10">
        <f t="shared" ca="1" si="566"/>
        <v>0</v>
      </c>
      <c r="AB395" s="10">
        <f t="shared" ca="1" si="566"/>
        <v>286203.3778594482</v>
      </c>
      <c r="AC395" s="10">
        <f t="shared" ca="1" si="566"/>
        <v>0</v>
      </c>
      <c r="AD395" s="10">
        <f t="shared" ca="1" si="566"/>
        <v>0</v>
      </c>
      <c r="AE395" s="10">
        <f t="shared" ca="1" si="566"/>
        <v>0</v>
      </c>
      <c r="AF395" s="10">
        <f t="shared" ca="1" si="566"/>
        <v>0</v>
      </c>
      <c r="AG395" s="10">
        <f t="shared" ca="1" si="566"/>
        <v>0</v>
      </c>
      <c r="AH395" s="10">
        <f t="shared" ca="1" si="566"/>
        <v>0</v>
      </c>
      <c r="AI395" s="10">
        <f t="shared" ca="1" si="566"/>
        <v>0</v>
      </c>
      <c r="AJ395" s="10">
        <f t="shared" ca="1" si="566"/>
        <v>0</v>
      </c>
      <c r="AK395" s="10">
        <f t="shared" ca="1" si="566"/>
        <v>0</v>
      </c>
      <c r="AL395" s="10">
        <f t="shared" ca="1" si="566"/>
        <v>0</v>
      </c>
      <c r="AM395" s="10">
        <f t="shared" ca="1" si="566"/>
        <v>0</v>
      </c>
      <c r="AN395" s="10">
        <f t="shared" ca="1" si="566"/>
        <v>0</v>
      </c>
      <c r="AO395" s="10">
        <f t="shared" ca="1" si="566"/>
        <v>0</v>
      </c>
      <c r="AP395" s="10">
        <f t="shared" ca="1" si="566"/>
        <v>0</v>
      </c>
      <c r="AQ395" s="10">
        <f t="shared" ca="1" si="566"/>
        <v>0</v>
      </c>
      <c r="AR395" s="10">
        <f t="shared" ca="1" si="566"/>
        <v>0</v>
      </c>
      <c r="AS395" s="10">
        <f t="shared" ca="1" si="566"/>
        <v>0</v>
      </c>
      <c r="AT395" s="10">
        <f t="shared" ca="1" si="566"/>
        <v>0</v>
      </c>
      <c r="AU395" s="10">
        <f t="shared" ca="1" si="566"/>
        <v>0</v>
      </c>
      <c r="AV395" s="10">
        <f t="shared" ca="1" si="566"/>
        <v>0</v>
      </c>
      <c r="AW395" s="10">
        <f t="shared" ca="1" si="566"/>
        <v>0</v>
      </c>
      <c r="AX395" s="10">
        <f t="shared" ca="1" si="566"/>
        <v>0</v>
      </c>
      <c r="AY395" s="10">
        <f t="shared" ca="1" si="566"/>
        <v>0</v>
      </c>
      <c r="AZ395" s="10">
        <f t="shared" ca="1" si="566"/>
        <v>0</v>
      </c>
      <c r="BA395" s="10">
        <f t="shared" ca="1" si="566"/>
        <v>0</v>
      </c>
      <c r="BB395" s="10">
        <f t="shared" ca="1" si="566"/>
        <v>0</v>
      </c>
      <c r="BC395" s="10">
        <f t="shared" ca="1" si="566"/>
        <v>0</v>
      </c>
      <c r="BD395" s="10">
        <f t="shared" ca="1" si="566"/>
        <v>0</v>
      </c>
      <c r="BE395" s="10">
        <f t="shared" ca="1" si="566"/>
        <v>0</v>
      </c>
      <c r="BF395" s="10">
        <f t="shared" ca="1" si="566"/>
        <v>0</v>
      </c>
      <c r="BG395" s="10">
        <f t="shared" ca="1" si="566"/>
        <v>0</v>
      </c>
      <c r="BH395" s="10">
        <f t="shared" ca="1" si="566"/>
        <v>0</v>
      </c>
      <c r="BI395" s="10">
        <f t="shared" ca="1" si="566"/>
        <v>0</v>
      </c>
      <c r="BJ395" s="10">
        <f t="shared" ca="1" si="566"/>
        <v>0</v>
      </c>
      <c r="BK395" s="10">
        <f t="shared" ca="1" si="566"/>
        <v>0</v>
      </c>
      <c r="BL395" s="10">
        <f t="shared" ca="1" si="566"/>
        <v>0</v>
      </c>
      <c r="BM395" s="10">
        <f t="shared" ca="1" si="566"/>
        <v>0</v>
      </c>
      <c r="BN395" s="10">
        <f t="shared" ca="1" si="566"/>
        <v>0</v>
      </c>
      <c r="BO395" s="10">
        <f t="shared" ca="1" si="566"/>
        <v>0</v>
      </c>
      <c r="BP395" s="10">
        <f t="shared" ca="1" si="566"/>
        <v>0</v>
      </c>
      <c r="BQ395" s="10">
        <f t="shared" ca="1" si="566"/>
        <v>0</v>
      </c>
      <c r="BR395" s="10">
        <f t="shared" ca="1" si="566"/>
        <v>0</v>
      </c>
      <c r="BS395" s="10">
        <f t="shared" ca="1" si="566"/>
        <v>0</v>
      </c>
      <c r="BT395" s="10">
        <f t="shared" ca="1" si="566"/>
        <v>0</v>
      </c>
      <c r="BU395" s="10">
        <f t="shared" ca="1" si="566"/>
        <v>0</v>
      </c>
      <c r="BV395" s="10">
        <f t="shared" ca="1" si="566"/>
        <v>0</v>
      </c>
      <c r="BW395" s="10">
        <f t="shared" ca="1" si="566"/>
        <v>0</v>
      </c>
      <c r="BX395" s="10">
        <f t="shared" ca="1" si="566"/>
        <v>0</v>
      </c>
      <c r="BY395" s="10">
        <f t="shared" ca="1" si="566"/>
        <v>0</v>
      </c>
      <c r="BZ395" s="10">
        <f t="shared" ca="1" si="566"/>
        <v>0</v>
      </c>
      <c r="CA395" s="10">
        <f t="shared" ca="1" si="566"/>
        <v>0</v>
      </c>
      <c r="CB395" s="10">
        <f t="shared" ca="1" si="566"/>
        <v>0</v>
      </c>
      <c r="CC395" s="10">
        <f t="shared" ca="1" si="566"/>
        <v>0</v>
      </c>
      <c r="CD395" s="10">
        <f t="shared" ca="1" si="566"/>
        <v>0</v>
      </c>
      <c r="CE395" s="10">
        <f t="shared" ref="CE395:CO395" ca="1" si="567">SUM(CE$328,CE$330:CE$331) * $E346</f>
        <v>0</v>
      </c>
      <c r="CF395" s="10">
        <f t="shared" ca="1" si="567"/>
        <v>0</v>
      </c>
      <c r="CG395" s="10">
        <f t="shared" ca="1" si="567"/>
        <v>0</v>
      </c>
      <c r="CH395" s="10">
        <f t="shared" ca="1" si="567"/>
        <v>0</v>
      </c>
      <c r="CI395" s="10">
        <f t="shared" ca="1" si="567"/>
        <v>0</v>
      </c>
      <c r="CJ395" s="10">
        <f t="shared" ca="1" si="567"/>
        <v>0</v>
      </c>
      <c r="CK395" s="10">
        <f t="shared" ca="1" si="567"/>
        <v>0</v>
      </c>
      <c r="CL395" s="10">
        <f t="shared" ca="1" si="567"/>
        <v>0</v>
      </c>
      <c r="CM395" s="10">
        <f t="shared" ca="1" si="567"/>
        <v>0</v>
      </c>
      <c r="CN395" s="10">
        <f t="shared" ca="1" si="567"/>
        <v>0</v>
      </c>
      <c r="CO395" s="10">
        <f t="shared" ca="1" si="567"/>
        <v>0</v>
      </c>
    </row>
    <row r="396" spans="1:93">
      <c r="A396" s="10"/>
      <c r="B396" s="10"/>
      <c r="C396" s="17" t="s">
        <v>388</v>
      </c>
      <c r="D396" s="10"/>
      <c r="E396" s="62"/>
      <c r="F396" s="11"/>
      <c r="G396" s="134" t="str">
        <f t="shared" si="561"/>
        <v>тыс. руб.</v>
      </c>
      <c r="H396" s="10"/>
      <c r="I396" s="10"/>
      <c r="J396" s="10"/>
      <c r="K396" s="10"/>
      <c r="L396" s="10">
        <f t="shared" ref="L396:AQ396" ca="1" si="568">L395+K396</f>
        <v>0</v>
      </c>
      <c r="M396" s="10">
        <f t="shared" ca="1" si="568"/>
        <v>0</v>
      </c>
      <c r="N396" s="10">
        <f t="shared" ca="1" si="568"/>
        <v>0</v>
      </c>
      <c r="O396" s="10">
        <f t="shared" ca="1" si="568"/>
        <v>0</v>
      </c>
      <c r="P396" s="10">
        <f t="shared" ca="1" si="568"/>
        <v>0</v>
      </c>
      <c r="Q396" s="10">
        <f t="shared" ca="1" si="568"/>
        <v>0</v>
      </c>
      <c r="R396" s="10">
        <f t="shared" ca="1" si="568"/>
        <v>0</v>
      </c>
      <c r="S396" s="10">
        <f t="shared" ca="1" si="568"/>
        <v>0</v>
      </c>
      <c r="T396" s="10">
        <f t="shared" ca="1" si="568"/>
        <v>0</v>
      </c>
      <c r="U396" s="10">
        <f t="shared" ca="1" si="568"/>
        <v>0</v>
      </c>
      <c r="V396" s="10">
        <f t="shared" ca="1" si="568"/>
        <v>0</v>
      </c>
      <c r="W396" s="10">
        <f t="shared" ca="1" si="568"/>
        <v>0</v>
      </c>
      <c r="X396" s="10">
        <f t="shared" ca="1" si="568"/>
        <v>0</v>
      </c>
      <c r="Y396" s="10">
        <f t="shared" ca="1" si="568"/>
        <v>0</v>
      </c>
      <c r="Z396" s="10">
        <f t="shared" ca="1" si="568"/>
        <v>0</v>
      </c>
      <c r="AA396" s="10">
        <f t="shared" ca="1" si="568"/>
        <v>0</v>
      </c>
      <c r="AB396" s="10">
        <f t="shared" ca="1" si="568"/>
        <v>286203.3778594482</v>
      </c>
      <c r="AC396" s="10">
        <f t="shared" ca="1" si="568"/>
        <v>286203.3778594482</v>
      </c>
      <c r="AD396" s="10">
        <f t="shared" ca="1" si="568"/>
        <v>286203.3778594482</v>
      </c>
      <c r="AE396" s="10">
        <f t="shared" ca="1" si="568"/>
        <v>286203.3778594482</v>
      </c>
      <c r="AF396" s="10">
        <f t="shared" ca="1" si="568"/>
        <v>286203.3778594482</v>
      </c>
      <c r="AG396" s="10">
        <f t="shared" ca="1" si="568"/>
        <v>286203.3778594482</v>
      </c>
      <c r="AH396" s="10">
        <f t="shared" ca="1" si="568"/>
        <v>286203.3778594482</v>
      </c>
      <c r="AI396" s="10">
        <f t="shared" ca="1" si="568"/>
        <v>286203.3778594482</v>
      </c>
      <c r="AJ396" s="10">
        <f t="shared" ca="1" si="568"/>
        <v>286203.3778594482</v>
      </c>
      <c r="AK396" s="10">
        <f t="shared" ca="1" si="568"/>
        <v>286203.3778594482</v>
      </c>
      <c r="AL396" s="10">
        <f t="shared" ca="1" si="568"/>
        <v>286203.3778594482</v>
      </c>
      <c r="AM396" s="10">
        <f t="shared" ca="1" si="568"/>
        <v>286203.3778594482</v>
      </c>
      <c r="AN396" s="10">
        <f t="shared" ca="1" si="568"/>
        <v>286203.3778594482</v>
      </c>
      <c r="AO396" s="10">
        <f t="shared" ca="1" si="568"/>
        <v>286203.3778594482</v>
      </c>
      <c r="AP396" s="10">
        <f t="shared" ca="1" si="568"/>
        <v>286203.3778594482</v>
      </c>
      <c r="AQ396" s="10">
        <f t="shared" ca="1" si="568"/>
        <v>286203.3778594482</v>
      </c>
      <c r="AR396" s="10">
        <f t="shared" ref="AR396:BW396" ca="1" si="569">AR395+AQ396</f>
        <v>286203.3778594482</v>
      </c>
      <c r="AS396" s="10">
        <f t="shared" ca="1" si="569"/>
        <v>286203.3778594482</v>
      </c>
      <c r="AT396" s="10">
        <f t="shared" ca="1" si="569"/>
        <v>286203.3778594482</v>
      </c>
      <c r="AU396" s="10">
        <f t="shared" ca="1" si="569"/>
        <v>286203.3778594482</v>
      </c>
      <c r="AV396" s="10">
        <f t="shared" ca="1" si="569"/>
        <v>286203.3778594482</v>
      </c>
      <c r="AW396" s="10">
        <f t="shared" ca="1" si="569"/>
        <v>286203.3778594482</v>
      </c>
      <c r="AX396" s="10">
        <f t="shared" ca="1" si="569"/>
        <v>286203.3778594482</v>
      </c>
      <c r="AY396" s="10">
        <f t="shared" ca="1" si="569"/>
        <v>286203.3778594482</v>
      </c>
      <c r="AZ396" s="10">
        <f t="shared" ca="1" si="569"/>
        <v>286203.3778594482</v>
      </c>
      <c r="BA396" s="10">
        <f t="shared" ca="1" si="569"/>
        <v>286203.3778594482</v>
      </c>
      <c r="BB396" s="10">
        <f t="shared" ca="1" si="569"/>
        <v>286203.3778594482</v>
      </c>
      <c r="BC396" s="10">
        <f t="shared" ca="1" si="569"/>
        <v>286203.3778594482</v>
      </c>
      <c r="BD396" s="10">
        <f t="shared" ca="1" si="569"/>
        <v>286203.3778594482</v>
      </c>
      <c r="BE396" s="10">
        <f t="shared" ca="1" si="569"/>
        <v>286203.3778594482</v>
      </c>
      <c r="BF396" s="10">
        <f t="shared" ca="1" si="569"/>
        <v>286203.3778594482</v>
      </c>
      <c r="BG396" s="10">
        <f t="shared" ca="1" si="569"/>
        <v>286203.3778594482</v>
      </c>
      <c r="BH396" s="10">
        <f t="shared" ca="1" si="569"/>
        <v>286203.3778594482</v>
      </c>
      <c r="BI396" s="10">
        <f t="shared" ca="1" si="569"/>
        <v>286203.3778594482</v>
      </c>
      <c r="BJ396" s="10">
        <f t="shared" ca="1" si="569"/>
        <v>286203.3778594482</v>
      </c>
      <c r="BK396" s="10">
        <f t="shared" ca="1" si="569"/>
        <v>286203.3778594482</v>
      </c>
      <c r="BL396" s="10">
        <f t="shared" ca="1" si="569"/>
        <v>286203.3778594482</v>
      </c>
      <c r="BM396" s="10">
        <f t="shared" ca="1" si="569"/>
        <v>286203.3778594482</v>
      </c>
      <c r="BN396" s="10">
        <f t="shared" ca="1" si="569"/>
        <v>286203.3778594482</v>
      </c>
      <c r="BO396" s="10">
        <f t="shared" ca="1" si="569"/>
        <v>286203.3778594482</v>
      </c>
      <c r="BP396" s="10">
        <f t="shared" ca="1" si="569"/>
        <v>286203.3778594482</v>
      </c>
      <c r="BQ396" s="10">
        <f t="shared" ca="1" si="569"/>
        <v>286203.3778594482</v>
      </c>
      <c r="BR396" s="10">
        <f t="shared" ca="1" si="569"/>
        <v>286203.3778594482</v>
      </c>
      <c r="BS396" s="10">
        <f t="shared" ca="1" si="569"/>
        <v>286203.3778594482</v>
      </c>
      <c r="BT396" s="10">
        <f t="shared" ca="1" si="569"/>
        <v>286203.3778594482</v>
      </c>
      <c r="BU396" s="10">
        <f t="shared" ca="1" si="569"/>
        <v>286203.3778594482</v>
      </c>
      <c r="BV396" s="10">
        <f t="shared" ca="1" si="569"/>
        <v>286203.3778594482</v>
      </c>
      <c r="BW396" s="10">
        <f t="shared" ca="1" si="569"/>
        <v>286203.3778594482</v>
      </c>
      <c r="BX396" s="10">
        <f t="shared" ref="BX396:CO396" ca="1" si="570">BX395+BW396</f>
        <v>286203.3778594482</v>
      </c>
      <c r="BY396" s="10">
        <f t="shared" ca="1" si="570"/>
        <v>286203.3778594482</v>
      </c>
      <c r="BZ396" s="10">
        <f t="shared" ca="1" si="570"/>
        <v>286203.3778594482</v>
      </c>
      <c r="CA396" s="10">
        <f t="shared" ca="1" si="570"/>
        <v>286203.3778594482</v>
      </c>
      <c r="CB396" s="10">
        <f t="shared" ca="1" si="570"/>
        <v>286203.3778594482</v>
      </c>
      <c r="CC396" s="10">
        <f t="shared" ca="1" si="570"/>
        <v>286203.3778594482</v>
      </c>
      <c r="CD396" s="10">
        <f t="shared" ca="1" si="570"/>
        <v>286203.3778594482</v>
      </c>
      <c r="CE396" s="10">
        <f t="shared" ca="1" si="570"/>
        <v>286203.3778594482</v>
      </c>
      <c r="CF396" s="10">
        <f t="shared" ca="1" si="570"/>
        <v>286203.3778594482</v>
      </c>
      <c r="CG396" s="10">
        <f t="shared" ca="1" si="570"/>
        <v>286203.3778594482</v>
      </c>
      <c r="CH396" s="10">
        <f t="shared" ca="1" si="570"/>
        <v>286203.3778594482</v>
      </c>
      <c r="CI396" s="10">
        <f t="shared" ca="1" si="570"/>
        <v>286203.3778594482</v>
      </c>
      <c r="CJ396" s="10">
        <f t="shared" ca="1" si="570"/>
        <v>286203.3778594482</v>
      </c>
      <c r="CK396" s="10">
        <f t="shared" ca="1" si="570"/>
        <v>286203.3778594482</v>
      </c>
      <c r="CL396" s="10">
        <f t="shared" ca="1" si="570"/>
        <v>286203.3778594482</v>
      </c>
      <c r="CM396" s="10">
        <f t="shared" ca="1" si="570"/>
        <v>286203.3778594482</v>
      </c>
      <c r="CN396" s="10">
        <f t="shared" ca="1" si="570"/>
        <v>286203.3778594482</v>
      </c>
      <c r="CO396" s="10">
        <f t="shared" ca="1" si="570"/>
        <v>286203.3778594482</v>
      </c>
    </row>
    <row r="397" spans="1:93">
      <c r="A397" s="10"/>
      <c r="B397" s="10"/>
      <c r="C397" s="17" t="s">
        <v>389</v>
      </c>
      <c r="D397" s="10"/>
      <c r="E397" s="62"/>
      <c r="F397" s="11"/>
      <c r="G397" s="134" t="str">
        <f t="shared" si="561"/>
        <v>тыс. руб.</v>
      </c>
      <c r="H397" s="10"/>
      <c r="I397" s="23">
        <f ca="1">SUM(L397:CO397)</f>
        <v>155026.82967386773</v>
      </c>
      <c r="J397" s="10"/>
      <c r="K397" s="10"/>
      <c r="L397" s="10">
        <f t="shared" ref="L397:AQ397" ca="1" si="571">(MIN(L396*L393,K399))</f>
        <v>0</v>
      </c>
      <c r="M397" s="10">
        <f t="shared" ca="1" si="571"/>
        <v>0</v>
      </c>
      <c r="N397" s="10">
        <f t="shared" ca="1" si="571"/>
        <v>0</v>
      </c>
      <c r="O397" s="10">
        <f t="shared" ca="1" si="571"/>
        <v>0</v>
      </c>
      <c r="P397" s="10">
        <f t="shared" ca="1" si="571"/>
        <v>0</v>
      </c>
      <c r="Q397" s="10">
        <f t="shared" ca="1" si="571"/>
        <v>0</v>
      </c>
      <c r="R397" s="10">
        <f t="shared" ca="1" si="571"/>
        <v>0</v>
      </c>
      <c r="S397" s="10">
        <f t="shared" ca="1" si="571"/>
        <v>0</v>
      </c>
      <c r="T397" s="10">
        <f t="shared" ca="1" si="571"/>
        <v>0</v>
      </c>
      <c r="U397" s="10">
        <f t="shared" ca="1" si="571"/>
        <v>0</v>
      </c>
      <c r="V397" s="10">
        <f t="shared" ca="1" si="571"/>
        <v>0</v>
      </c>
      <c r="W397" s="10">
        <f t="shared" ca="1" si="571"/>
        <v>0</v>
      </c>
      <c r="X397" s="10">
        <f t="shared" ca="1" si="571"/>
        <v>0</v>
      </c>
      <c r="Y397" s="10">
        <f t="shared" ca="1" si="571"/>
        <v>0</v>
      </c>
      <c r="Z397" s="10">
        <f t="shared" ca="1" si="571"/>
        <v>0</v>
      </c>
      <c r="AA397" s="10">
        <f t="shared" ca="1" si="571"/>
        <v>0</v>
      </c>
      <c r="AB397" s="10">
        <f t="shared" ca="1" si="571"/>
        <v>0</v>
      </c>
      <c r="AC397" s="10">
        <f t="shared" ca="1" si="571"/>
        <v>2385.0281488287351</v>
      </c>
      <c r="AD397" s="10">
        <f t="shared" ca="1" si="571"/>
        <v>2385.0281488287351</v>
      </c>
      <c r="AE397" s="10">
        <f t="shared" ca="1" si="571"/>
        <v>2385.0281488287351</v>
      </c>
      <c r="AF397" s="10">
        <f t="shared" ca="1" si="571"/>
        <v>2385.0281488287351</v>
      </c>
      <c r="AG397" s="10">
        <f t="shared" ca="1" si="571"/>
        <v>2385.0281488287351</v>
      </c>
      <c r="AH397" s="10">
        <f t="shared" ca="1" si="571"/>
        <v>2385.0281488287351</v>
      </c>
      <c r="AI397" s="10">
        <f t="shared" ca="1" si="571"/>
        <v>2385.0281488287351</v>
      </c>
      <c r="AJ397" s="10">
        <f t="shared" ca="1" si="571"/>
        <v>2385.0281488287351</v>
      </c>
      <c r="AK397" s="10">
        <f t="shared" ca="1" si="571"/>
        <v>2385.0281488287351</v>
      </c>
      <c r="AL397" s="10">
        <f t="shared" ca="1" si="571"/>
        <v>2385.0281488287351</v>
      </c>
      <c r="AM397" s="10">
        <f t="shared" ca="1" si="571"/>
        <v>2385.0281488287351</v>
      </c>
      <c r="AN397" s="10">
        <f t="shared" ca="1" si="571"/>
        <v>2385.0281488287351</v>
      </c>
      <c r="AO397" s="10">
        <f t="shared" ca="1" si="571"/>
        <v>2385.0281488287351</v>
      </c>
      <c r="AP397" s="10">
        <f t="shared" ca="1" si="571"/>
        <v>2385.0281488287351</v>
      </c>
      <c r="AQ397" s="10">
        <f t="shared" ca="1" si="571"/>
        <v>2385.0281488287351</v>
      </c>
      <c r="AR397" s="10">
        <f t="shared" ref="AR397:BW397" ca="1" si="572">(MIN(AR396*AR393,AQ399))</f>
        <v>2385.0281488287351</v>
      </c>
      <c r="AS397" s="10">
        <f t="shared" ca="1" si="572"/>
        <v>2385.0281488287351</v>
      </c>
      <c r="AT397" s="10">
        <f t="shared" ca="1" si="572"/>
        <v>2385.0281488287351</v>
      </c>
      <c r="AU397" s="10">
        <f t="shared" ca="1" si="572"/>
        <v>2385.0281488287351</v>
      </c>
      <c r="AV397" s="10">
        <f t="shared" ca="1" si="572"/>
        <v>2385.0281488287351</v>
      </c>
      <c r="AW397" s="10">
        <f t="shared" ca="1" si="572"/>
        <v>2385.0281488287351</v>
      </c>
      <c r="AX397" s="10">
        <f t="shared" ca="1" si="572"/>
        <v>2385.0281488287351</v>
      </c>
      <c r="AY397" s="10">
        <f t="shared" ca="1" si="572"/>
        <v>2385.0281488287351</v>
      </c>
      <c r="AZ397" s="10">
        <f t="shared" ca="1" si="572"/>
        <v>2385.0281488287351</v>
      </c>
      <c r="BA397" s="10">
        <f t="shared" ca="1" si="572"/>
        <v>2385.0281488287351</v>
      </c>
      <c r="BB397" s="10">
        <f t="shared" ca="1" si="572"/>
        <v>2385.0281488287351</v>
      </c>
      <c r="BC397" s="10">
        <f t="shared" ca="1" si="572"/>
        <v>2385.0281488287351</v>
      </c>
      <c r="BD397" s="10">
        <f t="shared" ca="1" si="572"/>
        <v>2385.0281488287351</v>
      </c>
      <c r="BE397" s="10">
        <f t="shared" ca="1" si="572"/>
        <v>2385.0281488287351</v>
      </c>
      <c r="BF397" s="10">
        <f t="shared" ca="1" si="572"/>
        <v>2385.0281488287351</v>
      </c>
      <c r="BG397" s="10">
        <f t="shared" ca="1" si="572"/>
        <v>2385.0281488287351</v>
      </c>
      <c r="BH397" s="10">
        <f t="shared" ca="1" si="572"/>
        <v>2385.0281488287351</v>
      </c>
      <c r="BI397" s="10">
        <f t="shared" ca="1" si="572"/>
        <v>2385.0281488287351</v>
      </c>
      <c r="BJ397" s="10">
        <f t="shared" ca="1" si="572"/>
        <v>2385.0281488287351</v>
      </c>
      <c r="BK397" s="10">
        <f t="shared" ca="1" si="572"/>
        <v>2385.0281488287351</v>
      </c>
      <c r="BL397" s="10">
        <f t="shared" ca="1" si="572"/>
        <v>2385.0281488287351</v>
      </c>
      <c r="BM397" s="10">
        <f t="shared" ca="1" si="572"/>
        <v>2385.0281488287351</v>
      </c>
      <c r="BN397" s="10">
        <f t="shared" ca="1" si="572"/>
        <v>2385.0281488287351</v>
      </c>
      <c r="BO397" s="10">
        <f t="shared" ca="1" si="572"/>
        <v>2385.0281488287351</v>
      </c>
      <c r="BP397" s="10">
        <f t="shared" ca="1" si="572"/>
        <v>2385.0281488287351</v>
      </c>
      <c r="BQ397" s="10">
        <f t="shared" ca="1" si="572"/>
        <v>2385.0281488287351</v>
      </c>
      <c r="BR397" s="10">
        <f t="shared" ca="1" si="572"/>
        <v>2385.0281488287351</v>
      </c>
      <c r="BS397" s="10">
        <f t="shared" ca="1" si="572"/>
        <v>2385.0281488287351</v>
      </c>
      <c r="BT397" s="10">
        <f t="shared" ca="1" si="572"/>
        <v>2385.0281488287351</v>
      </c>
      <c r="BU397" s="10">
        <f t="shared" ca="1" si="572"/>
        <v>2385.0281488287351</v>
      </c>
      <c r="BV397" s="10">
        <f t="shared" ca="1" si="572"/>
        <v>2385.0281488287351</v>
      </c>
      <c r="BW397" s="10">
        <f t="shared" ca="1" si="572"/>
        <v>2385.0281488287351</v>
      </c>
      <c r="BX397" s="10">
        <f t="shared" ref="BX397:CO397" ca="1" si="573">(MIN(BX396*BX393,BW399))</f>
        <v>2385.0281488287351</v>
      </c>
      <c r="BY397" s="10">
        <f t="shared" ca="1" si="573"/>
        <v>2385.0281488287351</v>
      </c>
      <c r="BZ397" s="10">
        <f t="shared" ca="1" si="573"/>
        <v>2385.0281488287351</v>
      </c>
      <c r="CA397" s="10">
        <f t="shared" ca="1" si="573"/>
        <v>2385.0281488287351</v>
      </c>
      <c r="CB397" s="10">
        <f t="shared" ca="1" si="573"/>
        <v>2385.0281488287351</v>
      </c>
      <c r="CC397" s="10">
        <f t="shared" ca="1" si="573"/>
        <v>2385.0281488287351</v>
      </c>
      <c r="CD397" s="10">
        <f t="shared" ca="1" si="573"/>
        <v>2385.0281488287351</v>
      </c>
      <c r="CE397" s="10">
        <f t="shared" ca="1" si="573"/>
        <v>2385.0281488287351</v>
      </c>
      <c r="CF397" s="10">
        <f t="shared" ca="1" si="573"/>
        <v>2385.0281488287351</v>
      </c>
      <c r="CG397" s="10">
        <f t="shared" ca="1" si="573"/>
        <v>2385.0281488287351</v>
      </c>
      <c r="CH397" s="10">
        <f t="shared" ca="1" si="573"/>
        <v>2385.0281488287351</v>
      </c>
      <c r="CI397" s="10">
        <f t="shared" ca="1" si="573"/>
        <v>2385.0281488287351</v>
      </c>
      <c r="CJ397" s="10">
        <f t="shared" ca="1" si="573"/>
        <v>2385.0281488287351</v>
      </c>
      <c r="CK397" s="10">
        <f t="shared" ca="1" si="573"/>
        <v>2385.0281488287351</v>
      </c>
      <c r="CL397" s="10">
        <f t="shared" ca="1" si="573"/>
        <v>2385.0281488287351</v>
      </c>
      <c r="CM397" s="10">
        <f t="shared" ca="1" si="573"/>
        <v>2385.0281488287351</v>
      </c>
      <c r="CN397" s="10">
        <f t="shared" ca="1" si="573"/>
        <v>2385.0281488287351</v>
      </c>
      <c r="CO397" s="10">
        <f t="shared" ca="1" si="573"/>
        <v>2385.0281488287351</v>
      </c>
    </row>
    <row r="398" spans="1:93">
      <c r="A398" s="10"/>
      <c r="B398" s="10"/>
      <c r="C398" s="17" t="s">
        <v>127</v>
      </c>
      <c r="D398" s="10"/>
      <c r="E398" s="62"/>
      <c r="F398" s="11"/>
      <c r="G398" s="134" t="str">
        <f t="shared" si="561"/>
        <v>тыс. руб.</v>
      </c>
      <c r="H398" s="10"/>
      <c r="I398" s="10"/>
      <c r="J398" s="10"/>
      <c r="K398" s="10"/>
      <c r="L398" s="10">
        <f t="shared" ref="L398:AQ398" ca="1" si="574">SUM(K398,-L397)</f>
        <v>0</v>
      </c>
      <c r="M398" s="10">
        <f t="shared" ca="1" si="574"/>
        <v>0</v>
      </c>
      <c r="N398" s="10">
        <f t="shared" ca="1" si="574"/>
        <v>0</v>
      </c>
      <c r="O398" s="10">
        <f t="shared" ca="1" si="574"/>
        <v>0</v>
      </c>
      <c r="P398" s="10">
        <f t="shared" ca="1" si="574"/>
        <v>0</v>
      </c>
      <c r="Q398" s="10">
        <f t="shared" ca="1" si="574"/>
        <v>0</v>
      </c>
      <c r="R398" s="10">
        <f t="shared" ca="1" si="574"/>
        <v>0</v>
      </c>
      <c r="S398" s="10">
        <f t="shared" ca="1" si="574"/>
        <v>0</v>
      </c>
      <c r="T398" s="10">
        <f t="shared" ca="1" si="574"/>
        <v>0</v>
      </c>
      <c r="U398" s="10">
        <f t="shared" ca="1" si="574"/>
        <v>0</v>
      </c>
      <c r="V398" s="10">
        <f t="shared" ca="1" si="574"/>
        <v>0</v>
      </c>
      <c r="W398" s="10">
        <f t="shared" ca="1" si="574"/>
        <v>0</v>
      </c>
      <c r="X398" s="10">
        <f t="shared" ca="1" si="574"/>
        <v>0</v>
      </c>
      <c r="Y398" s="10">
        <f t="shared" ca="1" si="574"/>
        <v>0</v>
      </c>
      <c r="Z398" s="10">
        <f t="shared" ca="1" si="574"/>
        <v>0</v>
      </c>
      <c r="AA398" s="10">
        <f t="shared" ca="1" si="574"/>
        <v>0</v>
      </c>
      <c r="AB398" s="10">
        <f t="shared" ca="1" si="574"/>
        <v>0</v>
      </c>
      <c r="AC398" s="10">
        <f t="shared" ca="1" si="574"/>
        <v>-2385.0281488287351</v>
      </c>
      <c r="AD398" s="10">
        <f t="shared" ca="1" si="574"/>
        <v>-4770.0562976574702</v>
      </c>
      <c r="AE398" s="10">
        <f t="shared" ca="1" si="574"/>
        <v>-7155.0844464862057</v>
      </c>
      <c r="AF398" s="10">
        <f t="shared" ca="1" si="574"/>
        <v>-9540.1125953149403</v>
      </c>
      <c r="AG398" s="10">
        <f t="shared" ca="1" si="574"/>
        <v>-11925.140744143675</v>
      </c>
      <c r="AH398" s="10">
        <f t="shared" ca="1" si="574"/>
        <v>-14310.16889297241</v>
      </c>
      <c r="AI398" s="10">
        <f t="shared" ca="1" si="574"/>
        <v>-16695.197041801144</v>
      </c>
      <c r="AJ398" s="10">
        <f t="shared" ca="1" si="574"/>
        <v>-19080.225190629881</v>
      </c>
      <c r="AK398" s="10">
        <f t="shared" ca="1" si="574"/>
        <v>-21465.253339458617</v>
      </c>
      <c r="AL398" s="10">
        <f t="shared" ca="1" si="574"/>
        <v>-23850.281488287354</v>
      </c>
      <c r="AM398" s="10">
        <f t="shared" ca="1" si="574"/>
        <v>-26235.30963711609</v>
      </c>
      <c r="AN398" s="10">
        <f t="shared" ca="1" si="574"/>
        <v>-28620.337785944826</v>
      </c>
      <c r="AO398" s="10">
        <f t="shared" ca="1" si="574"/>
        <v>-31005.365934773563</v>
      </c>
      <c r="AP398" s="10">
        <f t="shared" ca="1" si="574"/>
        <v>-33390.394083602296</v>
      </c>
      <c r="AQ398" s="10">
        <f t="shared" ca="1" si="574"/>
        <v>-35775.422232431032</v>
      </c>
      <c r="AR398" s="10">
        <f t="shared" ref="AR398:BW398" ca="1" si="575">SUM(AQ398,-AR397)</f>
        <v>-38160.450381259769</v>
      </c>
      <c r="AS398" s="10">
        <f t="shared" ca="1" si="575"/>
        <v>-40545.478530088505</v>
      </c>
      <c r="AT398" s="10">
        <f t="shared" ca="1" si="575"/>
        <v>-42930.506678917242</v>
      </c>
      <c r="AU398" s="10">
        <f t="shared" ca="1" si="575"/>
        <v>-45315.534827745978</v>
      </c>
      <c r="AV398" s="10">
        <f t="shared" ca="1" si="575"/>
        <v>-47700.562976574714</v>
      </c>
      <c r="AW398" s="10">
        <f t="shared" ca="1" si="575"/>
        <v>-50085.591125403451</v>
      </c>
      <c r="AX398" s="10">
        <f t="shared" ca="1" si="575"/>
        <v>-52470.619274232187</v>
      </c>
      <c r="AY398" s="10">
        <f t="shared" ca="1" si="575"/>
        <v>-54855.647423060924</v>
      </c>
      <c r="AZ398" s="10">
        <f t="shared" ca="1" si="575"/>
        <v>-57240.67557188966</v>
      </c>
      <c r="BA398" s="10">
        <f t="shared" ca="1" si="575"/>
        <v>-59625.703720718397</v>
      </c>
      <c r="BB398" s="10">
        <f t="shared" ca="1" si="575"/>
        <v>-62010.731869547133</v>
      </c>
      <c r="BC398" s="10">
        <f t="shared" ca="1" si="575"/>
        <v>-64395.76001837587</v>
      </c>
      <c r="BD398" s="10">
        <f t="shared" ca="1" si="575"/>
        <v>-66780.788167204606</v>
      </c>
      <c r="BE398" s="10">
        <f t="shared" ca="1" si="575"/>
        <v>-69165.816316033335</v>
      </c>
      <c r="BF398" s="10">
        <f t="shared" ca="1" si="575"/>
        <v>-71550.844464862064</v>
      </c>
      <c r="BG398" s="10">
        <f t="shared" ca="1" si="575"/>
        <v>-73935.872613690794</v>
      </c>
      <c r="BH398" s="10">
        <f t="shared" ca="1" si="575"/>
        <v>-76320.900762519523</v>
      </c>
      <c r="BI398" s="10">
        <f t="shared" ca="1" si="575"/>
        <v>-78705.928911348252</v>
      </c>
      <c r="BJ398" s="10">
        <f t="shared" ca="1" si="575"/>
        <v>-81090.957060176981</v>
      </c>
      <c r="BK398" s="10">
        <f t="shared" ca="1" si="575"/>
        <v>-83475.98520900571</v>
      </c>
      <c r="BL398" s="10">
        <f t="shared" ca="1" si="575"/>
        <v>-85861.013357834439</v>
      </c>
      <c r="BM398" s="10">
        <f t="shared" ca="1" si="575"/>
        <v>-88246.041506663169</v>
      </c>
      <c r="BN398" s="10">
        <f t="shared" ca="1" si="575"/>
        <v>-90631.069655491898</v>
      </c>
      <c r="BO398" s="10">
        <f t="shared" ca="1" si="575"/>
        <v>-93016.097804320627</v>
      </c>
      <c r="BP398" s="10">
        <f t="shared" ca="1" si="575"/>
        <v>-95401.125953149356</v>
      </c>
      <c r="BQ398" s="10">
        <f t="shared" ca="1" si="575"/>
        <v>-97786.154101978085</v>
      </c>
      <c r="BR398" s="10">
        <f t="shared" ca="1" si="575"/>
        <v>-100171.18225080681</v>
      </c>
      <c r="BS398" s="10">
        <f t="shared" ca="1" si="575"/>
        <v>-102556.21039963554</v>
      </c>
      <c r="BT398" s="10">
        <f t="shared" ca="1" si="575"/>
        <v>-104941.23854846427</v>
      </c>
      <c r="BU398" s="10">
        <f t="shared" ca="1" si="575"/>
        <v>-107326.266697293</v>
      </c>
      <c r="BV398" s="10">
        <f t="shared" ca="1" si="575"/>
        <v>-109711.29484612173</v>
      </c>
      <c r="BW398" s="10">
        <f t="shared" ca="1" si="575"/>
        <v>-112096.32299495046</v>
      </c>
      <c r="BX398" s="10">
        <f t="shared" ref="BX398:CO398" ca="1" si="576">SUM(BW398,-BX397)</f>
        <v>-114481.35114377919</v>
      </c>
      <c r="BY398" s="10">
        <f t="shared" ca="1" si="576"/>
        <v>-116866.37929260792</v>
      </c>
      <c r="BZ398" s="10">
        <f t="shared" ca="1" si="576"/>
        <v>-119251.40744143665</v>
      </c>
      <c r="CA398" s="10">
        <f t="shared" ca="1" si="576"/>
        <v>-121636.43559026538</v>
      </c>
      <c r="CB398" s="10">
        <f t="shared" ca="1" si="576"/>
        <v>-124021.46373909411</v>
      </c>
      <c r="CC398" s="10">
        <f t="shared" ca="1" si="576"/>
        <v>-126406.49188792284</v>
      </c>
      <c r="CD398" s="10">
        <f t="shared" ca="1" si="576"/>
        <v>-128791.52003675156</v>
      </c>
      <c r="CE398" s="10">
        <f t="shared" ca="1" si="576"/>
        <v>-131176.54818558029</v>
      </c>
      <c r="CF398" s="10">
        <f t="shared" ca="1" si="576"/>
        <v>-133561.57633440904</v>
      </c>
      <c r="CG398" s="10">
        <f t="shared" ca="1" si="576"/>
        <v>-135946.60448323778</v>
      </c>
      <c r="CH398" s="10">
        <f t="shared" ca="1" si="576"/>
        <v>-138331.63263206652</v>
      </c>
      <c r="CI398" s="10">
        <f t="shared" ca="1" si="576"/>
        <v>-140716.66078089527</v>
      </c>
      <c r="CJ398" s="10">
        <f t="shared" ca="1" si="576"/>
        <v>-143101.68892972401</v>
      </c>
      <c r="CK398" s="10">
        <f t="shared" ca="1" si="576"/>
        <v>-145486.71707855276</v>
      </c>
      <c r="CL398" s="10">
        <f t="shared" ca="1" si="576"/>
        <v>-147871.7452273815</v>
      </c>
      <c r="CM398" s="10">
        <f t="shared" ca="1" si="576"/>
        <v>-150256.77337621024</v>
      </c>
      <c r="CN398" s="10">
        <f t="shared" ca="1" si="576"/>
        <v>-152641.80152503899</v>
      </c>
      <c r="CO398" s="10">
        <f t="shared" ca="1" si="576"/>
        <v>-155026.82967386773</v>
      </c>
    </row>
    <row r="399" spans="1:93">
      <c r="A399" s="10"/>
      <c r="B399" s="10"/>
      <c r="C399" s="17" t="s">
        <v>128</v>
      </c>
      <c r="D399" s="10"/>
      <c r="E399" s="62"/>
      <c r="F399" s="11"/>
      <c r="G399" s="134" t="str">
        <f t="shared" si="561"/>
        <v>тыс. руб.</v>
      </c>
      <c r="H399" s="10"/>
      <c r="I399" s="10"/>
      <c r="J399" s="10"/>
      <c r="K399" s="10"/>
      <c r="L399" s="10">
        <f t="shared" ref="L399:Q399" ca="1" si="577">SUM(L396,L398)</f>
        <v>0</v>
      </c>
      <c r="M399" s="10">
        <f t="shared" ca="1" si="577"/>
        <v>0</v>
      </c>
      <c r="N399" s="10">
        <f t="shared" ca="1" si="577"/>
        <v>0</v>
      </c>
      <c r="O399" s="10">
        <f t="shared" ca="1" si="577"/>
        <v>0</v>
      </c>
      <c r="P399" s="10">
        <f t="shared" ca="1" si="577"/>
        <v>0</v>
      </c>
      <c r="Q399" s="10">
        <f t="shared" ca="1" si="577"/>
        <v>0</v>
      </c>
      <c r="R399" s="10">
        <f ca="1">SUM(R396,R398)</f>
        <v>0</v>
      </c>
      <c r="S399" s="10">
        <f t="shared" ref="S399:CD399" ca="1" si="578">SUM(S396,S398)</f>
        <v>0</v>
      </c>
      <c r="T399" s="10">
        <f t="shared" ca="1" si="578"/>
        <v>0</v>
      </c>
      <c r="U399" s="10">
        <f t="shared" ca="1" si="578"/>
        <v>0</v>
      </c>
      <c r="V399" s="10">
        <f t="shared" ca="1" si="578"/>
        <v>0</v>
      </c>
      <c r="W399" s="10">
        <f t="shared" ca="1" si="578"/>
        <v>0</v>
      </c>
      <c r="X399" s="10">
        <f t="shared" ca="1" si="578"/>
        <v>0</v>
      </c>
      <c r="Y399" s="10">
        <f t="shared" ca="1" si="578"/>
        <v>0</v>
      </c>
      <c r="Z399" s="10">
        <f t="shared" ca="1" si="578"/>
        <v>0</v>
      </c>
      <c r="AA399" s="10">
        <f t="shared" ca="1" si="578"/>
        <v>0</v>
      </c>
      <c r="AB399" s="10">
        <f t="shared" ca="1" si="578"/>
        <v>286203.3778594482</v>
      </c>
      <c r="AC399" s="10">
        <f t="shared" ca="1" si="578"/>
        <v>283818.34971061948</v>
      </c>
      <c r="AD399" s="10">
        <f t="shared" ca="1" si="578"/>
        <v>281433.32156179071</v>
      </c>
      <c r="AE399" s="10">
        <f t="shared" ca="1" si="578"/>
        <v>279048.293412962</v>
      </c>
      <c r="AF399" s="10">
        <f t="shared" ca="1" si="578"/>
        <v>276663.26526413328</v>
      </c>
      <c r="AG399" s="10">
        <f t="shared" ca="1" si="578"/>
        <v>274278.23711530451</v>
      </c>
      <c r="AH399" s="10">
        <f t="shared" ca="1" si="578"/>
        <v>271893.2089664758</v>
      </c>
      <c r="AI399" s="10">
        <f t="shared" ca="1" si="578"/>
        <v>269508.18081764708</v>
      </c>
      <c r="AJ399" s="10">
        <f t="shared" ca="1" si="578"/>
        <v>267123.15266881831</v>
      </c>
      <c r="AK399" s="10">
        <f t="shared" ca="1" si="578"/>
        <v>264738.12451998959</v>
      </c>
      <c r="AL399" s="10">
        <f t="shared" ca="1" si="578"/>
        <v>262353.09637116082</v>
      </c>
      <c r="AM399" s="10">
        <f t="shared" ca="1" si="578"/>
        <v>259968.06822233211</v>
      </c>
      <c r="AN399" s="10">
        <f t="shared" ca="1" si="578"/>
        <v>257583.04007350336</v>
      </c>
      <c r="AO399" s="10">
        <f t="shared" ca="1" si="578"/>
        <v>255198.01192467465</v>
      </c>
      <c r="AP399" s="10">
        <f t="shared" ca="1" si="578"/>
        <v>252812.9837758459</v>
      </c>
      <c r="AQ399" s="10">
        <f t="shared" ca="1" si="578"/>
        <v>250427.95562701716</v>
      </c>
      <c r="AR399" s="10">
        <f t="shared" ca="1" si="578"/>
        <v>248042.92747818842</v>
      </c>
      <c r="AS399" s="10">
        <f t="shared" ca="1" si="578"/>
        <v>245657.8993293597</v>
      </c>
      <c r="AT399" s="10">
        <f t="shared" ca="1" si="578"/>
        <v>243272.87118053096</v>
      </c>
      <c r="AU399" s="10">
        <f t="shared" ca="1" si="578"/>
        <v>240887.84303170221</v>
      </c>
      <c r="AV399" s="10">
        <f t="shared" ca="1" si="578"/>
        <v>238502.8148828735</v>
      </c>
      <c r="AW399" s="10">
        <f t="shared" ca="1" si="578"/>
        <v>236117.78673404476</v>
      </c>
      <c r="AX399" s="10">
        <f t="shared" ca="1" si="578"/>
        <v>233732.75858521601</v>
      </c>
      <c r="AY399" s="10">
        <f t="shared" ca="1" si="578"/>
        <v>231347.73043638727</v>
      </c>
      <c r="AZ399" s="10">
        <f t="shared" ca="1" si="578"/>
        <v>228962.70228755852</v>
      </c>
      <c r="BA399" s="10">
        <f t="shared" ca="1" si="578"/>
        <v>226577.67413872981</v>
      </c>
      <c r="BB399" s="10">
        <f t="shared" ca="1" si="578"/>
        <v>224192.64598990107</v>
      </c>
      <c r="BC399" s="10">
        <f t="shared" ca="1" si="578"/>
        <v>221807.61784107232</v>
      </c>
      <c r="BD399" s="10">
        <f t="shared" ca="1" si="578"/>
        <v>219422.58969224361</v>
      </c>
      <c r="BE399" s="10">
        <f t="shared" ca="1" si="578"/>
        <v>217037.56154341486</v>
      </c>
      <c r="BF399" s="10">
        <f t="shared" ca="1" si="578"/>
        <v>214652.53339458612</v>
      </c>
      <c r="BG399" s="10">
        <f t="shared" ca="1" si="578"/>
        <v>212267.50524575741</v>
      </c>
      <c r="BH399" s="10">
        <f t="shared" ca="1" si="578"/>
        <v>209882.47709692869</v>
      </c>
      <c r="BI399" s="10">
        <f t="shared" ca="1" si="578"/>
        <v>207497.44894809995</v>
      </c>
      <c r="BJ399" s="10">
        <f t="shared" ca="1" si="578"/>
        <v>205112.4207992712</v>
      </c>
      <c r="BK399" s="10">
        <f t="shared" ca="1" si="578"/>
        <v>202727.39265044249</v>
      </c>
      <c r="BL399" s="10">
        <f t="shared" ca="1" si="578"/>
        <v>200342.36450161377</v>
      </c>
      <c r="BM399" s="10">
        <f t="shared" ca="1" si="578"/>
        <v>197957.33635278503</v>
      </c>
      <c r="BN399" s="10">
        <f t="shared" ca="1" si="578"/>
        <v>195572.30820395629</v>
      </c>
      <c r="BO399" s="10">
        <f t="shared" ca="1" si="578"/>
        <v>193187.28005512757</v>
      </c>
      <c r="BP399" s="10">
        <f t="shared" ca="1" si="578"/>
        <v>190802.25190629886</v>
      </c>
      <c r="BQ399" s="10">
        <f t="shared" ca="1" si="578"/>
        <v>188417.22375747011</v>
      </c>
      <c r="BR399" s="10">
        <f t="shared" ca="1" si="578"/>
        <v>186032.19560864137</v>
      </c>
      <c r="BS399" s="10">
        <f t="shared" ca="1" si="578"/>
        <v>183647.16745981266</v>
      </c>
      <c r="BT399" s="10">
        <f t="shared" ca="1" si="578"/>
        <v>181262.13931098394</v>
      </c>
      <c r="BU399" s="10">
        <f t="shared" ca="1" si="578"/>
        <v>178877.1111621552</v>
      </c>
      <c r="BV399" s="10">
        <f t="shared" ca="1" si="578"/>
        <v>176492.08301332645</v>
      </c>
      <c r="BW399" s="10">
        <f t="shared" ca="1" si="578"/>
        <v>174107.05486449774</v>
      </c>
      <c r="BX399" s="10">
        <f t="shared" ca="1" si="578"/>
        <v>171722.02671566902</v>
      </c>
      <c r="BY399" s="10">
        <f t="shared" ca="1" si="578"/>
        <v>169336.99856684028</v>
      </c>
      <c r="BZ399" s="10">
        <f t="shared" ca="1" si="578"/>
        <v>166951.97041801154</v>
      </c>
      <c r="CA399" s="10">
        <f t="shared" ca="1" si="578"/>
        <v>164566.94226918282</v>
      </c>
      <c r="CB399" s="10">
        <f t="shared" ca="1" si="578"/>
        <v>162181.91412035411</v>
      </c>
      <c r="CC399" s="10">
        <f t="shared" ca="1" si="578"/>
        <v>159796.88597152536</v>
      </c>
      <c r="CD399" s="10">
        <f t="shared" ca="1" si="578"/>
        <v>157411.85782269662</v>
      </c>
      <c r="CE399" s="10">
        <f t="shared" ref="CE399:CO399" ca="1" si="579">SUM(CE396,CE398)</f>
        <v>155026.82967386791</v>
      </c>
      <c r="CF399" s="10">
        <f t="shared" ca="1" si="579"/>
        <v>152641.80152503916</v>
      </c>
      <c r="CG399" s="10">
        <f t="shared" ca="1" si="579"/>
        <v>150256.77337621042</v>
      </c>
      <c r="CH399" s="10">
        <f t="shared" ca="1" si="579"/>
        <v>147871.74522738167</v>
      </c>
      <c r="CI399" s="10">
        <f t="shared" ca="1" si="579"/>
        <v>145486.71707855293</v>
      </c>
      <c r="CJ399" s="10">
        <f t="shared" ca="1" si="579"/>
        <v>143101.68892972419</v>
      </c>
      <c r="CK399" s="10">
        <f t="shared" ca="1" si="579"/>
        <v>140716.66078089544</v>
      </c>
      <c r="CL399" s="10">
        <f t="shared" ca="1" si="579"/>
        <v>138331.6326320667</v>
      </c>
      <c r="CM399" s="10">
        <f t="shared" ca="1" si="579"/>
        <v>135946.60448323796</v>
      </c>
      <c r="CN399" s="10">
        <f t="shared" ca="1" si="579"/>
        <v>133561.57633440921</v>
      </c>
      <c r="CO399" s="10">
        <f t="shared" ca="1" si="579"/>
        <v>131176.54818558047</v>
      </c>
    </row>
    <row r="400" spans="1:93">
      <c r="A400" s="10"/>
      <c r="B400" s="10"/>
      <c r="C400" s="17"/>
      <c r="D400" s="10"/>
      <c r="E400" s="62"/>
      <c r="F400" s="11"/>
      <c r="G400" s="11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  <c r="BA400" s="10"/>
      <c r="BB400" s="10"/>
      <c r="BC400" s="10"/>
      <c r="BD400" s="10"/>
      <c r="BE400" s="10"/>
      <c r="BF400" s="10"/>
      <c r="BG400" s="10"/>
      <c r="BH400" s="10"/>
      <c r="BI400" s="10"/>
      <c r="BJ400" s="10"/>
      <c r="BK400" s="10"/>
      <c r="BL400" s="10"/>
      <c r="BM400" s="10"/>
      <c r="BN400" s="10"/>
      <c r="BO400" s="10"/>
      <c r="BP400" s="10"/>
      <c r="BQ400" s="10"/>
      <c r="BR400" s="10"/>
      <c r="BS400" s="10"/>
      <c r="BT400" s="10"/>
      <c r="BU400" s="10"/>
      <c r="BV400" s="10"/>
      <c r="BW400" s="10"/>
      <c r="BX400" s="10"/>
      <c r="BY400" s="10"/>
      <c r="BZ400" s="10"/>
      <c r="CA400" s="10"/>
      <c r="CB400" s="10"/>
      <c r="CC400" s="10"/>
      <c r="CD400" s="10"/>
      <c r="CE400" s="10"/>
      <c r="CF400" s="10"/>
      <c r="CG400" s="10"/>
      <c r="CH400" s="10"/>
      <c r="CI400" s="10"/>
      <c r="CJ400" s="10"/>
      <c r="CK400" s="10"/>
      <c r="CL400" s="10"/>
      <c r="CM400" s="10"/>
      <c r="CN400" s="10"/>
      <c r="CO400" s="10"/>
    </row>
    <row r="401" spans="1:93">
      <c r="A401" s="10"/>
      <c r="B401" s="10"/>
      <c r="C401" s="87" t="s">
        <v>1064</v>
      </c>
      <c r="D401" s="10"/>
      <c r="E401" s="62"/>
      <c r="F401" s="11"/>
      <c r="G401" s="11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10"/>
      <c r="BK401" s="10"/>
      <c r="BL401" s="10"/>
      <c r="BM401" s="10"/>
      <c r="BN401" s="10"/>
      <c r="BO401" s="10"/>
      <c r="BP401" s="10"/>
      <c r="BQ401" s="10"/>
      <c r="BR401" s="10"/>
      <c r="BS401" s="10"/>
      <c r="BT401" s="10"/>
      <c r="BU401" s="10"/>
      <c r="BV401" s="10"/>
      <c r="BW401" s="10"/>
      <c r="BX401" s="10"/>
      <c r="BY401" s="10"/>
      <c r="BZ401" s="10"/>
      <c r="CA401" s="10"/>
      <c r="CB401" s="10"/>
      <c r="CC401" s="10"/>
      <c r="CD401" s="10"/>
      <c r="CE401" s="10"/>
      <c r="CF401" s="10"/>
      <c r="CG401" s="10"/>
      <c r="CH401" s="10"/>
      <c r="CI401" s="10"/>
      <c r="CJ401" s="10"/>
      <c r="CK401" s="10"/>
      <c r="CL401" s="10"/>
      <c r="CM401" s="10"/>
      <c r="CN401" s="10"/>
      <c r="CO401" s="10"/>
    </row>
    <row r="402" spans="1:93">
      <c r="A402" s="10"/>
      <c r="B402" s="10"/>
      <c r="C402" s="17" t="s">
        <v>386</v>
      </c>
      <c r="D402" s="10"/>
      <c r="E402" s="184">
        <f xml:space="preserve"> Предпосылки!E367</f>
        <v>7</v>
      </c>
      <c r="F402" s="11"/>
      <c r="G402" s="11" t="s">
        <v>123</v>
      </c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10"/>
      <c r="BK402" s="10"/>
      <c r="BL402" s="10"/>
      <c r="BM402" s="10"/>
      <c r="BN402" s="10"/>
      <c r="BO402" s="10"/>
      <c r="BP402" s="10"/>
      <c r="BQ402" s="10"/>
      <c r="BR402" s="10"/>
      <c r="BS402" s="10"/>
      <c r="BT402" s="10"/>
      <c r="BU402" s="10"/>
      <c r="BV402" s="10"/>
      <c r="BW402" s="10"/>
      <c r="BX402" s="10"/>
      <c r="BY402" s="10"/>
      <c r="BZ402" s="10"/>
      <c r="CA402" s="10"/>
      <c r="CB402" s="10"/>
      <c r="CC402" s="10"/>
      <c r="CD402" s="10"/>
      <c r="CE402" s="10"/>
      <c r="CF402" s="10"/>
      <c r="CG402" s="10"/>
      <c r="CH402" s="10"/>
      <c r="CI402" s="10"/>
      <c r="CJ402" s="10"/>
      <c r="CK402" s="10"/>
      <c r="CL402" s="10"/>
      <c r="CM402" s="10"/>
      <c r="CN402" s="10"/>
      <c r="CO402" s="10"/>
    </row>
    <row r="403" spans="1:93">
      <c r="A403" s="10"/>
      <c r="B403" s="10"/>
      <c r="C403" s="17" t="s">
        <v>387</v>
      </c>
      <c r="D403" s="10"/>
      <c r="F403" s="11"/>
      <c r="G403" s="11" t="s">
        <v>28</v>
      </c>
      <c r="H403" s="10"/>
      <c r="I403" s="10"/>
      <c r="J403" s="10"/>
      <c r="K403" s="10"/>
      <c r="L403" s="157">
        <f t="shared" ref="L403:Q403" si="580">IF($E402&lt;&gt;0,1/$E402,0)/Periods_in_Year</f>
        <v>3.5714285714285712E-2</v>
      </c>
      <c r="M403" s="157">
        <f t="shared" si="580"/>
        <v>3.5714285714285712E-2</v>
      </c>
      <c r="N403" s="157">
        <f t="shared" si="580"/>
        <v>3.5714285714285712E-2</v>
      </c>
      <c r="O403" s="157">
        <f t="shared" si="580"/>
        <v>3.5714285714285712E-2</v>
      </c>
      <c r="P403" s="157">
        <f t="shared" si="580"/>
        <v>3.5714285714285712E-2</v>
      </c>
      <c r="Q403" s="157">
        <f t="shared" si="580"/>
        <v>3.5714285714285712E-2</v>
      </c>
      <c r="R403" s="157">
        <f>IF($E402&lt;&gt;0,1/$E402,0)/Periods_in_Year</f>
        <v>3.5714285714285712E-2</v>
      </c>
      <c r="S403" s="157">
        <f t="shared" ref="S403:CD403" si="581">IF($E402&lt;&gt;0,1/$E402,0)/Periods_in_Year</f>
        <v>3.5714285714285712E-2</v>
      </c>
      <c r="T403" s="157">
        <f t="shared" si="581"/>
        <v>3.5714285714285712E-2</v>
      </c>
      <c r="U403" s="157">
        <f t="shared" si="581"/>
        <v>3.5714285714285712E-2</v>
      </c>
      <c r="V403" s="157">
        <f t="shared" si="581"/>
        <v>3.5714285714285712E-2</v>
      </c>
      <c r="W403" s="157">
        <f t="shared" si="581"/>
        <v>3.5714285714285712E-2</v>
      </c>
      <c r="X403" s="157">
        <f t="shared" si="581"/>
        <v>3.5714285714285712E-2</v>
      </c>
      <c r="Y403" s="157">
        <f t="shared" si="581"/>
        <v>3.5714285714285712E-2</v>
      </c>
      <c r="Z403" s="157">
        <f t="shared" si="581"/>
        <v>3.5714285714285712E-2</v>
      </c>
      <c r="AA403" s="157">
        <f t="shared" si="581"/>
        <v>3.5714285714285712E-2</v>
      </c>
      <c r="AB403" s="157">
        <f t="shared" si="581"/>
        <v>3.5714285714285712E-2</v>
      </c>
      <c r="AC403" s="157">
        <f t="shared" si="581"/>
        <v>3.5714285714285712E-2</v>
      </c>
      <c r="AD403" s="157">
        <f t="shared" si="581"/>
        <v>3.5714285714285712E-2</v>
      </c>
      <c r="AE403" s="157">
        <f t="shared" si="581"/>
        <v>3.5714285714285712E-2</v>
      </c>
      <c r="AF403" s="157">
        <f t="shared" si="581"/>
        <v>3.5714285714285712E-2</v>
      </c>
      <c r="AG403" s="157">
        <f t="shared" si="581"/>
        <v>3.5714285714285712E-2</v>
      </c>
      <c r="AH403" s="157">
        <f t="shared" si="581"/>
        <v>3.5714285714285712E-2</v>
      </c>
      <c r="AI403" s="157">
        <f t="shared" si="581"/>
        <v>3.5714285714285712E-2</v>
      </c>
      <c r="AJ403" s="157">
        <f t="shared" si="581"/>
        <v>3.5714285714285712E-2</v>
      </c>
      <c r="AK403" s="157">
        <f t="shared" si="581"/>
        <v>3.5714285714285712E-2</v>
      </c>
      <c r="AL403" s="157">
        <f t="shared" si="581"/>
        <v>3.5714285714285712E-2</v>
      </c>
      <c r="AM403" s="157">
        <f t="shared" si="581"/>
        <v>3.5714285714285712E-2</v>
      </c>
      <c r="AN403" s="157">
        <f t="shared" si="581"/>
        <v>3.5714285714285712E-2</v>
      </c>
      <c r="AO403" s="157">
        <f t="shared" si="581"/>
        <v>3.5714285714285712E-2</v>
      </c>
      <c r="AP403" s="157">
        <f t="shared" si="581"/>
        <v>3.5714285714285712E-2</v>
      </c>
      <c r="AQ403" s="157">
        <f t="shared" si="581"/>
        <v>3.5714285714285712E-2</v>
      </c>
      <c r="AR403" s="157">
        <f t="shared" si="581"/>
        <v>3.5714285714285712E-2</v>
      </c>
      <c r="AS403" s="157">
        <f t="shared" si="581"/>
        <v>3.5714285714285712E-2</v>
      </c>
      <c r="AT403" s="157">
        <f t="shared" si="581"/>
        <v>3.5714285714285712E-2</v>
      </c>
      <c r="AU403" s="157">
        <f t="shared" si="581"/>
        <v>3.5714285714285712E-2</v>
      </c>
      <c r="AV403" s="157">
        <f t="shared" si="581"/>
        <v>3.5714285714285712E-2</v>
      </c>
      <c r="AW403" s="157">
        <f t="shared" si="581"/>
        <v>3.5714285714285712E-2</v>
      </c>
      <c r="AX403" s="157">
        <f t="shared" si="581"/>
        <v>3.5714285714285712E-2</v>
      </c>
      <c r="AY403" s="157">
        <f t="shared" si="581"/>
        <v>3.5714285714285712E-2</v>
      </c>
      <c r="AZ403" s="157">
        <f t="shared" si="581"/>
        <v>3.5714285714285712E-2</v>
      </c>
      <c r="BA403" s="157">
        <f t="shared" si="581"/>
        <v>3.5714285714285712E-2</v>
      </c>
      <c r="BB403" s="157">
        <f t="shared" si="581"/>
        <v>3.5714285714285712E-2</v>
      </c>
      <c r="BC403" s="157">
        <f t="shared" si="581"/>
        <v>3.5714285714285712E-2</v>
      </c>
      <c r="BD403" s="157">
        <f t="shared" si="581"/>
        <v>3.5714285714285712E-2</v>
      </c>
      <c r="BE403" s="157">
        <f t="shared" si="581"/>
        <v>3.5714285714285712E-2</v>
      </c>
      <c r="BF403" s="157">
        <f t="shared" si="581"/>
        <v>3.5714285714285712E-2</v>
      </c>
      <c r="BG403" s="157">
        <f t="shared" si="581"/>
        <v>3.5714285714285712E-2</v>
      </c>
      <c r="BH403" s="157">
        <f t="shared" si="581"/>
        <v>3.5714285714285712E-2</v>
      </c>
      <c r="BI403" s="157">
        <f t="shared" si="581"/>
        <v>3.5714285714285712E-2</v>
      </c>
      <c r="BJ403" s="157">
        <f t="shared" si="581"/>
        <v>3.5714285714285712E-2</v>
      </c>
      <c r="BK403" s="157">
        <f t="shared" si="581"/>
        <v>3.5714285714285712E-2</v>
      </c>
      <c r="BL403" s="157">
        <f t="shared" si="581"/>
        <v>3.5714285714285712E-2</v>
      </c>
      <c r="BM403" s="157">
        <f t="shared" si="581"/>
        <v>3.5714285714285712E-2</v>
      </c>
      <c r="BN403" s="157">
        <f t="shared" si="581"/>
        <v>3.5714285714285712E-2</v>
      </c>
      <c r="BO403" s="157">
        <f t="shared" si="581"/>
        <v>3.5714285714285712E-2</v>
      </c>
      <c r="BP403" s="157">
        <f t="shared" si="581"/>
        <v>3.5714285714285712E-2</v>
      </c>
      <c r="BQ403" s="157">
        <f t="shared" si="581"/>
        <v>3.5714285714285712E-2</v>
      </c>
      <c r="BR403" s="157">
        <f t="shared" si="581"/>
        <v>3.5714285714285712E-2</v>
      </c>
      <c r="BS403" s="157">
        <f t="shared" si="581"/>
        <v>3.5714285714285712E-2</v>
      </c>
      <c r="BT403" s="157">
        <f t="shared" si="581"/>
        <v>3.5714285714285712E-2</v>
      </c>
      <c r="BU403" s="157">
        <f t="shared" si="581"/>
        <v>3.5714285714285712E-2</v>
      </c>
      <c r="BV403" s="157">
        <f t="shared" si="581"/>
        <v>3.5714285714285712E-2</v>
      </c>
      <c r="BW403" s="157">
        <f t="shared" si="581"/>
        <v>3.5714285714285712E-2</v>
      </c>
      <c r="BX403" s="157">
        <f t="shared" si="581"/>
        <v>3.5714285714285712E-2</v>
      </c>
      <c r="BY403" s="157">
        <f t="shared" si="581"/>
        <v>3.5714285714285712E-2</v>
      </c>
      <c r="BZ403" s="157">
        <f t="shared" si="581"/>
        <v>3.5714285714285712E-2</v>
      </c>
      <c r="CA403" s="157">
        <f t="shared" si="581"/>
        <v>3.5714285714285712E-2</v>
      </c>
      <c r="CB403" s="157">
        <f t="shared" si="581"/>
        <v>3.5714285714285712E-2</v>
      </c>
      <c r="CC403" s="157">
        <f t="shared" si="581"/>
        <v>3.5714285714285712E-2</v>
      </c>
      <c r="CD403" s="157">
        <f t="shared" si="581"/>
        <v>3.5714285714285712E-2</v>
      </c>
      <c r="CE403" s="157">
        <f t="shared" ref="CE403:CO403" si="582">IF($E402&lt;&gt;0,1/$E402,0)/Periods_in_Year</f>
        <v>3.5714285714285712E-2</v>
      </c>
      <c r="CF403" s="157">
        <f t="shared" si="582"/>
        <v>3.5714285714285712E-2</v>
      </c>
      <c r="CG403" s="157">
        <f t="shared" si="582"/>
        <v>3.5714285714285712E-2</v>
      </c>
      <c r="CH403" s="157">
        <f t="shared" si="582"/>
        <v>3.5714285714285712E-2</v>
      </c>
      <c r="CI403" s="157">
        <f t="shared" si="582"/>
        <v>3.5714285714285712E-2</v>
      </c>
      <c r="CJ403" s="157">
        <f t="shared" si="582"/>
        <v>3.5714285714285712E-2</v>
      </c>
      <c r="CK403" s="157">
        <f t="shared" si="582"/>
        <v>3.5714285714285712E-2</v>
      </c>
      <c r="CL403" s="157">
        <f t="shared" si="582"/>
        <v>3.5714285714285712E-2</v>
      </c>
      <c r="CM403" s="157">
        <f t="shared" si="582"/>
        <v>3.5714285714285712E-2</v>
      </c>
      <c r="CN403" s="157">
        <f t="shared" si="582"/>
        <v>3.5714285714285712E-2</v>
      </c>
      <c r="CO403" s="157">
        <f t="shared" si="582"/>
        <v>3.5714285714285712E-2</v>
      </c>
    </row>
    <row r="404" spans="1:93">
      <c r="A404" s="10"/>
      <c r="B404" s="10"/>
      <c r="C404" s="17" t="s">
        <v>125</v>
      </c>
      <c r="D404" s="10"/>
      <c r="E404" s="62"/>
      <c r="F404" s="11"/>
      <c r="G404" s="134" t="str">
        <f t="shared" ref="G404:G409" si="583">Monetary_Unit</f>
        <v>тыс. руб.</v>
      </c>
      <c r="H404" s="10"/>
      <c r="I404" s="10"/>
      <c r="J404" s="10"/>
      <c r="K404" s="10"/>
      <c r="L404" s="10">
        <f t="shared" ref="L404:AQ404" si="584">K409</f>
        <v>0</v>
      </c>
      <c r="M404" s="10">
        <f t="shared" ca="1" si="584"/>
        <v>0</v>
      </c>
      <c r="N404" s="10">
        <f t="shared" ca="1" si="584"/>
        <v>0</v>
      </c>
      <c r="O404" s="10">
        <f t="shared" ca="1" si="584"/>
        <v>0</v>
      </c>
      <c r="P404" s="10">
        <f t="shared" ca="1" si="584"/>
        <v>0</v>
      </c>
      <c r="Q404" s="10">
        <f t="shared" ca="1" si="584"/>
        <v>0</v>
      </c>
      <c r="R404" s="10">
        <f t="shared" ca="1" si="584"/>
        <v>0</v>
      </c>
      <c r="S404" s="10">
        <f t="shared" ca="1" si="584"/>
        <v>0</v>
      </c>
      <c r="T404" s="10">
        <f t="shared" ca="1" si="584"/>
        <v>0</v>
      </c>
      <c r="U404" s="10">
        <f t="shared" ca="1" si="584"/>
        <v>0</v>
      </c>
      <c r="V404" s="10">
        <f t="shared" ca="1" si="584"/>
        <v>0</v>
      </c>
      <c r="W404" s="10">
        <f t="shared" ca="1" si="584"/>
        <v>0</v>
      </c>
      <c r="X404" s="10">
        <f t="shared" ca="1" si="584"/>
        <v>0</v>
      </c>
      <c r="Y404" s="10">
        <f t="shared" ca="1" si="584"/>
        <v>0</v>
      </c>
      <c r="Z404" s="10">
        <f t="shared" ca="1" si="584"/>
        <v>0</v>
      </c>
      <c r="AA404" s="10">
        <f t="shared" ca="1" si="584"/>
        <v>0</v>
      </c>
      <c r="AB404" s="10">
        <f t="shared" ca="1" si="584"/>
        <v>0</v>
      </c>
      <c r="AC404" s="10">
        <f t="shared" ca="1" si="584"/>
        <v>68960.039156356026</v>
      </c>
      <c r="AD404" s="10">
        <f t="shared" ca="1" si="584"/>
        <v>66497.180615057601</v>
      </c>
      <c r="AE404" s="10">
        <f t="shared" ca="1" si="584"/>
        <v>64034.322073759169</v>
      </c>
      <c r="AF404" s="10">
        <f t="shared" ca="1" si="584"/>
        <v>61571.463532460737</v>
      </c>
      <c r="AG404" s="10">
        <f t="shared" ca="1" si="584"/>
        <v>59108.604991162312</v>
      </c>
      <c r="AH404" s="10">
        <f t="shared" ca="1" si="584"/>
        <v>56645.74644986388</v>
      </c>
      <c r="AI404" s="10">
        <f t="shared" ca="1" si="584"/>
        <v>54182.887908565448</v>
      </c>
      <c r="AJ404" s="10">
        <f t="shared" ca="1" si="584"/>
        <v>51720.029367267023</v>
      </c>
      <c r="AK404" s="10">
        <f t="shared" ca="1" si="584"/>
        <v>49257.170825968598</v>
      </c>
      <c r="AL404" s="10">
        <f t="shared" ca="1" si="584"/>
        <v>46794.312284670166</v>
      </c>
      <c r="AM404" s="10">
        <f t="shared" ca="1" si="584"/>
        <v>44331.453743371734</v>
      </c>
      <c r="AN404" s="10">
        <f t="shared" ca="1" si="584"/>
        <v>41868.595202073309</v>
      </c>
      <c r="AO404" s="10">
        <f t="shared" ca="1" si="584"/>
        <v>39405.736660774885</v>
      </c>
      <c r="AP404" s="10">
        <f t="shared" ca="1" si="584"/>
        <v>36942.878119476452</v>
      </c>
      <c r="AQ404" s="10">
        <f t="shared" ca="1" si="584"/>
        <v>34480.01957817802</v>
      </c>
      <c r="AR404" s="10">
        <f t="shared" ref="AR404:BW404" ca="1" si="585">AQ409</f>
        <v>32017.161036879588</v>
      </c>
      <c r="AS404" s="10">
        <f t="shared" ca="1" si="585"/>
        <v>29554.302495581156</v>
      </c>
      <c r="AT404" s="10">
        <f t="shared" ca="1" si="585"/>
        <v>27091.443954282724</v>
      </c>
      <c r="AU404" s="10">
        <f t="shared" ca="1" si="585"/>
        <v>24628.585412984292</v>
      </c>
      <c r="AV404" s="10">
        <f t="shared" ca="1" si="585"/>
        <v>22165.72687168586</v>
      </c>
      <c r="AW404" s="10">
        <f t="shared" ca="1" si="585"/>
        <v>19702.868330387428</v>
      </c>
      <c r="AX404" s="10">
        <f t="shared" ca="1" si="585"/>
        <v>17240.009789088996</v>
      </c>
      <c r="AY404" s="10">
        <f t="shared" ca="1" si="585"/>
        <v>14777.151247790564</v>
      </c>
      <c r="AZ404" s="10">
        <f t="shared" ca="1" si="585"/>
        <v>12314.292706492131</v>
      </c>
      <c r="BA404" s="10">
        <f t="shared" ca="1" si="585"/>
        <v>9851.4341651936993</v>
      </c>
      <c r="BB404" s="10">
        <f t="shared" ca="1" si="585"/>
        <v>7388.5756238952672</v>
      </c>
      <c r="BC404" s="10">
        <f t="shared" ca="1" si="585"/>
        <v>4925.7170825968351</v>
      </c>
      <c r="BD404" s="10">
        <f t="shared" ca="1" si="585"/>
        <v>2462.8585412984103</v>
      </c>
      <c r="BE404" s="10">
        <f t="shared" ca="1" si="585"/>
        <v>0</v>
      </c>
      <c r="BF404" s="10">
        <f t="shared" ca="1" si="585"/>
        <v>0</v>
      </c>
      <c r="BG404" s="10">
        <f t="shared" ca="1" si="585"/>
        <v>0</v>
      </c>
      <c r="BH404" s="10">
        <f t="shared" ca="1" si="585"/>
        <v>0</v>
      </c>
      <c r="BI404" s="10">
        <f t="shared" ca="1" si="585"/>
        <v>0</v>
      </c>
      <c r="BJ404" s="10">
        <f t="shared" ca="1" si="585"/>
        <v>0</v>
      </c>
      <c r="BK404" s="10">
        <f t="shared" ca="1" si="585"/>
        <v>0</v>
      </c>
      <c r="BL404" s="10">
        <f t="shared" ca="1" si="585"/>
        <v>0</v>
      </c>
      <c r="BM404" s="10">
        <f t="shared" ca="1" si="585"/>
        <v>0</v>
      </c>
      <c r="BN404" s="10">
        <f t="shared" ca="1" si="585"/>
        <v>0</v>
      </c>
      <c r="BO404" s="10">
        <f t="shared" ca="1" si="585"/>
        <v>0</v>
      </c>
      <c r="BP404" s="10">
        <f t="shared" ca="1" si="585"/>
        <v>0</v>
      </c>
      <c r="BQ404" s="10">
        <f t="shared" ca="1" si="585"/>
        <v>0</v>
      </c>
      <c r="BR404" s="10">
        <f t="shared" ca="1" si="585"/>
        <v>0</v>
      </c>
      <c r="BS404" s="10">
        <f t="shared" ca="1" si="585"/>
        <v>0</v>
      </c>
      <c r="BT404" s="10">
        <f t="shared" ca="1" si="585"/>
        <v>0</v>
      </c>
      <c r="BU404" s="10">
        <f t="shared" ca="1" si="585"/>
        <v>0</v>
      </c>
      <c r="BV404" s="10">
        <f t="shared" ca="1" si="585"/>
        <v>0</v>
      </c>
      <c r="BW404" s="10">
        <f t="shared" ca="1" si="585"/>
        <v>0</v>
      </c>
      <c r="BX404" s="10">
        <f t="shared" ref="BX404:CO404" ca="1" si="586">BW409</f>
        <v>0</v>
      </c>
      <c r="BY404" s="10">
        <f t="shared" ca="1" si="586"/>
        <v>0</v>
      </c>
      <c r="BZ404" s="10">
        <f t="shared" ca="1" si="586"/>
        <v>0</v>
      </c>
      <c r="CA404" s="10">
        <f t="shared" ca="1" si="586"/>
        <v>0</v>
      </c>
      <c r="CB404" s="10">
        <f t="shared" ca="1" si="586"/>
        <v>0</v>
      </c>
      <c r="CC404" s="10">
        <f t="shared" ca="1" si="586"/>
        <v>0</v>
      </c>
      <c r="CD404" s="10">
        <f t="shared" ca="1" si="586"/>
        <v>0</v>
      </c>
      <c r="CE404" s="10">
        <f t="shared" ca="1" si="586"/>
        <v>0</v>
      </c>
      <c r="CF404" s="10">
        <f t="shared" ca="1" si="586"/>
        <v>0</v>
      </c>
      <c r="CG404" s="10">
        <f t="shared" ca="1" si="586"/>
        <v>0</v>
      </c>
      <c r="CH404" s="10">
        <f t="shared" ca="1" si="586"/>
        <v>0</v>
      </c>
      <c r="CI404" s="10">
        <f t="shared" ca="1" si="586"/>
        <v>0</v>
      </c>
      <c r="CJ404" s="10">
        <f t="shared" ca="1" si="586"/>
        <v>0</v>
      </c>
      <c r="CK404" s="10">
        <f t="shared" ca="1" si="586"/>
        <v>0</v>
      </c>
      <c r="CL404" s="10">
        <f t="shared" ca="1" si="586"/>
        <v>0</v>
      </c>
      <c r="CM404" s="10">
        <f t="shared" ca="1" si="586"/>
        <v>0</v>
      </c>
      <c r="CN404" s="10">
        <f t="shared" ca="1" si="586"/>
        <v>0</v>
      </c>
      <c r="CO404" s="10">
        <f t="shared" ca="1" si="586"/>
        <v>0</v>
      </c>
    </row>
    <row r="405" spans="1:93">
      <c r="A405" s="10"/>
      <c r="B405" s="10"/>
      <c r="C405" s="17" t="s">
        <v>126</v>
      </c>
      <c r="D405" s="10"/>
      <c r="E405" s="62"/>
      <c r="F405" s="11"/>
      <c r="G405" s="134" t="str">
        <f t="shared" si="583"/>
        <v>тыс. руб.</v>
      </c>
      <c r="H405" s="10"/>
      <c r="I405" s="23">
        <f ca="1">SUM(L405:CO405)</f>
        <v>68960.039156356026</v>
      </c>
      <c r="J405" s="10"/>
      <c r="K405" s="10"/>
      <c r="L405" s="10">
        <f t="shared" ref="L405:Q405" ca="1" si="587">SUM(L$328,L$330:L$331) * $E347</f>
        <v>0</v>
      </c>
      <c r="M405" s="10">
        <f t="shared" ca="1" si="587"/>
        <v>0</v>
      </c>
      <c r="N405" s="10">
        <f t="shared" ca="1" si="587"/>
        <v>0</v>
      </c>
      <c r="O405" s="10">
        <f t="shared" ca="1" si="587"/>
        <v>0</v>
      </c>
      <c r="P405" s="10">
        <f t="shared" ca="1" si="587"/>
        <v>0</v>
      </c>
      <c r="Q405" s="10">
        <f t="shared" ca="1" si="587"/>
        <v>0</v>
      </c>
      <c r="R405" s="10">
        <f ca="1">SUM(R$328,R$330:R$331) * $E347</f>
        <v>0</v>
      </c>
      <c r="S405" s="10">
        <f t="shared" ref="S405:CD405" ca="1" si="588">SUM(S$328,S$330:S$331) * $E347</f>
        <v>0</v>
      </c>
      <c r="T405" s="10">
        <f t="shared" ca="1" si="588"/>
        <v>0</v>
      </c>
      <c r="U405" s="10">
        <f t="shared" ca="1" si="588"/>
        <v>0</v>
      </c>
      <c r="V405" s="10">
        <f t="shared" ca="1" si="588"/>
        <v>0</v>
      </c>
      <c r="W405" s="10">
        <f t="shared" ca="1" si="588"/>
        <v>0</v>
      </c>
      <c r="X405" s="10">
        <f t="shared" ca="1" si="588"/>
        <v>0</v>
      </c>
      <c r="Y405" s="10">
        <f t="shared" ca="1" si="588"/>
        <v>0</v>
      </c>
      <c r="Z405" s="10">
        <f t="shared" ca="1" si="588"/>
        <v>0</v>
      </c>
      <c r="AA405" s="10">
        <f t="shared" ca="1" si="588"/>
        <v>0</v>
      </c>
      <c r="AB405" s="10">
        <f t="shared" ca="1" si="588"/>
        <v>68960.039156356026</v>
      </c>
      <c r="AC405" s="10">
        <f t="shared" ca="1" si="588"/>
        <v>0</v>
      </c>
      <c r="AD405" s="10">
        <f t="shared" ca="1" si="588"/>
        <v>0</v>
      </c>
      <c r="AE405" s="10">
        <f t="shared" ca="1" si="588"/>
        <v>0</v>
      </c>
      <c r="AF405" s="10">
        <f t="shared" ca="1" si="588"/>
        <v>0</v>
      </c>
      <c r="AG405" s="10">
        <f t="shared" ca="1" si="588"/>
        <v>0</v>
      </c>
      <c r="AH405" s="10">
        <f t="shared" ca="1" si="588"/>
        <v>0</v>
      </c>
      <c r="AI405" s="10">
        <f t="shared" ca="1" si="588"/>
        <v>0</v>
      </c>
      <c r="AJ405" s="10">
        <f t="shared" ca="1" si="588"/>
        <v>0</v>
      </c>
      <c r="AK405" s="10">
        <f t="shared" ca="1" si="588"/>
        <v>0</v>
      </c>
      <c r="AL405" s="10">
        <f t="shared" ca="1" si="588"/>
        <v>0</v>
      </c>
      <c r="AM405" s="10">
        <f t="shared" ca="1" si="588"/>
        <v>0</v>
      </c>
      <c r="AN405" s="10">
        <f t="shared" ca="1" si="588"/>
        <v>0</v>
      </c>
      <c r="AO405" s="10">
        <f t="shared" ca="1" si="588"/>
        <v>0</v>
      </c>
      <c r="AP405" s="10">
        <f t="shared" ca="1" si="588"/>
        <v>0</v>
      </c>
      <c r="AQ405" s="10">
        <f t="shared" ca="1" si="588"/>
        <v>0</v>
      </c>
      <c r="AR405" s="10">
        <f t="shared" ca="1" si="588"/>
        <v>0</v>
      </c>
      <c r="AS405" s="10">
        <f t="shared" ca="1" si="588"/>
        <v>0</v>
      </c>
      <c r="AT405" s="10">
        <f t="shared" ca="1" si="588"/>
        <v>0</v>
      </c>
      <c r="AU405" s="10">
        <f t="shared" ca="1" si="588"/>
        <v>0</v>
      </c>
      <c r="AV405" s="10">
        <f t="shared" ca="1" si="588"/>
        <v>0</v>
      </c>
      <c r="AW405" s="10">
        <f t="shared" ca="1" si="588"/>
        <v>0</v>
      </c>
      <c r="AX405" s="10">
        <f t="shared" ca="1" si="588"/>
        <v>0</v>
      </c>
      <c r="AY405" s="10">
        <f t="shared" ca="1" si="588"/>
        <v>0</v>
      </c>
      <c r="AZ405" s="10">
        <f t="shared" ca="1" si="588"/>
        <v>0</v>
      </c>
      <c r="BA405" s="10">
        <f t="shared" ca="1" si="588"/>
        <v>0</v>
      </c>
      <c r="BB405" s="10">
        <f t="shared" ca="1" si="588"/>
        <v>0</v>
      </c>
      <c r="BC405" s="10">
        <f t="shared" ca="1" si="588"/>
        <v>0</v>
      </c>
      <c r="BD405" s="10">
        <f t="shared" ca="1" si="588"/>
        <v>0</v>
      </c>
      <c r="BE405" s="10">
        <f t="shared" ca="1" si="588"/>
        <v>0</v>
      </c>
      <c r="BF405" s="10">
        <f t="shared" ca="1" si="588"/>
        <v>0</v>
      </c>
      <c r="BG405" s="10">
        <f t="shared" ca="1" si="588"/>
        <v>0</v>
      </c>
      <c r="BH405" s="10">
        <f t="shared" ca="1" si="588"/>
        <v>0</v>
      </c>
      <c r="BI405" s="10">
        <f t="shared" ca="1" si="588"/>
        <v>0</v>
      </c>
      <c r="BJ405" s="10">
        <f t="shared" ca="1" si="588"/>
        <v>0</v>
      </c>
      <c r="BK405" s="10">
        <f t="shared" ca="1" si="588"/>
        <v>0</v>
      </c>
      <c r="BL405" s="10">
        <f t="shared" ca="1" si="588"/>
        <v>0</v>
      </c>
      <c r="BM405" s="10">
        <f t="shared" ca="1" si="588"/>
        <v>0</v>
      </c>
      <c r="BN405" s="10">
        <f t="shared" ca="1" si="588"/>
        <v>0</v>
      </c>
      <c r="BO405" s="10">
        <f t="shared" ca="1" si="588"/>
        <v>0</v>
      </c>
      <c r="BP405" s="10">
        <f t="shared" ca="1" si="588"/>
        <v>0</v>
      </c>
      <c r="BQ405" s="10">
        <f t="shared" ca="1" si="588"/>
        <v>0</v>
      </c>
      <c r="BR405" s="10">
        <f t="shared" ca="1" si="588"/>
        <v>0</v>
      </c>
      <c r="BS405" s="10">
        <f t="shared" ca="1" si="588"/>
        <v>0</v>
      </c>
      <c r="BT405" s="10">
        <f t="shared" ca="1" si="588"/>
        <v>0</v>
      </c>
      <c r="BU405" s="10">
        <f t="shared" ca="1" si="588"/>
        <v>0</v>
      </c>
      <c r="BV405" s="10">
        <f t="shared" ca="1" si="588"/>
        <v>0</v>
      </c>
      <c r="BW405" s="10">
        <f t="shared" ca="1" si="588"/>
        <v>0</v>
      </c>
      <c r="BX405" s="10">
        <f t="shared" ca="1" si="588"/>
        <v>0</v>
      </c>
      <c r="BY405" s="10">
        <f t="shared" ca="1" si="588"/>
        <v>0</v>
      </c>
      <c r="BZ405" s="10">
        <f t="shared" ca="1" si="588"/>
        <v>0</v>
      </c>
      <c r="CA405" s="10">
        <f t="shared" ca="1" si="588"/>
        <v>0</v>
      </c>
      <c r="CB405" s="10">
        <f t="shared" ca="1" si="588"/>
        <v>0</v>
      </c>
      <c r="CC405" s="10">
        <f t="shared" ca="1" si="588"/>
        <v>0</v>
      </c>
      <c r="CD405" s="10">
        <f t="shared" ca="1" si="588"/>
        <v>0</v>
      </c>
      <c r="CE405" s="10">
        <f t="shared" ref="CE405:CO405" ca="1" si="589">SUM(CE$328,CE$330:CE$331) * $E347</f>
        <v>0</v>
      </c>
      <c r="CF405" s="10">
        <f t="shared" ca="1" si="589"/>
        <v>0</v>
      </c>
      <c r="CG405" s="10">
        <f t="shared" ca="1" si="589"/>
        <v>0</v>
      </c>
      <c r="CH405" s="10">
        <f t="shared" ca="1" si="589"/>
        <v>0</v>
      </c>
      <c r="CI405" s="10">
        <f t="shared" ca="1" si="589"/>
        <v>0</v>
      </c>
      <c r="CJ405" s="10">
        <f t="shared" ca="1" si="589"/>
        <v>0</v>
      </c>
      <c r="CK405" s="10">
        <f t="shared" ca="1" si="589"/>
        <v>0</v>
      </c>
      <c r="CL405" s="10">
        <f t="shared" ca="1" si="589"/>
        <v>0</v>
      </c>
      <c r="CM405" s="10">
        <f t="shared" ca="1" si="589"/>
        <v>0</v>
      </c>
      <c r="CN405" s="10">
        <f t="shared" ca="1" si="589"/>
        <v>0</v>
      </c>
      <c r="CO405" s="10">
        <f t="shared" ca="1" si="589"/>
        <v>0</v>
      </c>
    </row>
    <row r="406" spans="1:93">
      <c r="A406" s="10"/>
      <c r="B406" s="10"/>
      <c r="C406" s="17" t="s">
        <v>388</v>
      </c>
      <c r="D406" s="10"/>
      <c r="E406" s="62"/>
      <c r="F406" s="11"/>
      <c r="G406" s="134" t="str">
        <f t="shared" si="583"/>
        <v>тыс. руб.</v>
      </c>
      <c r="H406" s="10"/>
      <c r="I406" s="10"/>
      <c r="J406" s="10"/>
      <c r="K406" s="10"/>
      <c r="L406" s="10">
        <f t="shared" ref="L406:AQ406" ca="1" si="590">L405+K406</f>
        <v>0</v>
      </c>
      <c r="M406" s="10">
        <f t="shared" ca="1" si="590"/>
        <v>0</v>
      </c>
      <c r="N406" s="10">
        <f t="shared" ca="1" si="590"/>
        <v>0</v>
      </c>
      <c r="O406" s="10">
        <f t="shared" ca="1" si="590"/>
        <v>0</v>
      </c>
      <c r="P406" s="10">
        <f t="shared" ca="1" si="590"/>
        <v>0</v>
      </c>
      <c r="Q406" s="10">
        <f t="shared" ca="1" si="590"/>
        <v>0</v>
      </c>
      <c r="R406" s="10">
        <f t="shared" ca="1" si="590"/>
        <v>0</v>
      </c>
      <c r="S406" s="10">
        <f t="shared" ca="1" si="590"/>
        <v>0</v>
      </c>
      <c r="T406" s="10">
        <f t="shared" ca="1" si="590"/>
        <v>0</v>
      </c>
      <c r="U406" s="10">
        <f t="shared" ca="1" si="590"/>
        <v>0</v>
      </c>
      <c r="V406" s="10">
        <f t="shared" ca="1" si="590"/>
        <v>0</v>
      </c>
      <c r="W406" s="10">
        <f t="shared" ca="1" si="590"/>
        <v>0</v>
      </c>
      <c r="X406" s="10">
        <f t="shared" ca="1" si="590"/>
        <v>0</v>
      </c>
      <c r="Y406" s="10">
        <f t="shared" ca="1" si="590"/>
        <v>0</v>
      </c>
      <c r="Z406" s="10">
        <f t="shared" ca="1" si="590"/>
        <v>0</v>
      </c>
      <c r="AA406" s="10">
        <f t="shared" ca="1" si="590"/>
        <v>0</v>
      </c>
      <c r="AB406" s="10">
        <f t="shared" ca="1" si="590"/>
        <v>68960.039156356026</v>
      </c>
      <c r="AC406" s="10">
        <f t="shared" ca="1" si="590"/>
        <v>68960.039156356026</v>
      </c>
      <c r="AD406" s="10">
        <f t="shared" ca="1" si="590"/>
        <v>68960.039156356026</v>
      </c>
      <c r="AE406" s="10">
        <f t="shared" ca="1" si="590"/>
        <v>68960.039156356026</v>
      </c>
      <c r="AF406" s="10">
        <f t="shared" ca="1" si="590"/>
        <v>68960.039156356026</v>
      </c>
      <c r="AG406" s="10">
        <f t="shared" ca="1" si="590"/>
        <v>68960.039156356026</v>
      </c>
      <c r="AH406" s="10">
        <f t="shared" ca="1" si="590"/>
        <v>68960.039156356026</v>
      </c>
      <c r="AI406" s="10">
        <f t="shared" ca="1" si="590"/>
        <v>68960.039156356026</v>
      </c>
      <c r="AJ406" s="10">
        <f t="shared" ca="1" si="590"/>
        <v>68960.039156356026</v>
      </c>
      <c r="AK406" s="10">
        <f t="shared" ca="1" si="590"/>
        <v>68960.039156356026</v>
      </c>
      <c r="AL406" s="10">
        <f t="shared" ca="1" si="590"/>
        <v>68960.039156356026</v>
      </c>
      <c r="AM406" s="10">
        <f t="shared" ca="1" si="590"/>
        <v>68960.039156356026</v>
      </c>
      <c r="AN406" s="10">
        <f t="shared" ca="1" si="590"/>
        <v>68960.039156356026</v>
      </c>
      <c r="AO406" s="10">
        <f t="shared" ca="1" si="590"/>
        <v>68960.039156356026</v>
      </c>
      <c r="AP406" s="10">
        <f t="shared" ca="1" si="590"/>
        <v>68960.039156356026</v>
      </c>
      <c r="AQ406" s="10">
        <f t="shared" ca="1" si="590"/>
        <v>68960.039156356026</v>
      </c>
      <c r="AR406" s="10">
        <f t="shared" ref="AR406:BW406" ca="1" si="591">AR405+AQ406</f>
        <v>68960.039156356026</v>
      </c>
      <c r="AS406" s="10">
        <f t="shared" ca="1" si="591"/>
        <v>68960.039156356026</v>
      </c>
      <c r="AT406" s="10">
        <f t="shared" ca="1" si="591"/>
        <v>68960.039156356026</v>
      </c>
      <c r="AU406" s="10">
        <f t="shared" ca="1" si="591"/>
        <v>68960.039156356026</v>
      </c>
      <c r="AV406" s="10">
        <f t="shared" ca="1" si="591"/>
        <v>68960.039156356026</v>
      </c>
      <c r="AW406" s="10">
        <f t="shared" ca="1" si="591"/>
        <v>68960.039156356026</v>
      </c>
      <c r="AX406" s="10">
        <f t="shared" ca="1" si="591"/>
        <v>68960.039156356026</v>
      </c>
      <c r="AY406" s="10">
        <f t="shared" ca="1" si="591"/>
        <v>68960.039156356026</v>
      </c>
      <c r="AZ406" s="10">
        <f t="shared" ca="1" si="591"/>
        <v>68960.039156356026</v>
      </c>
      <c r="BA406" s="10">
        <f t="shared" ca="1" si="591"/>
        <v>68960.039156356026</v>
      </c>
      <c r="BB406" s="10">
        <f t="shared" ca="1" si="591"/>
        <v>68960.039156356026</v>
      </c>
      <c r="BC406" s="10">
        <f t="shared" ca="1" si="591"/>
        <v>68960.039156356026</v>
      </c>
      <c r="BD406" s="10">
        <f t="shared" ca="1" si="591"/>
        <v>68960.039156356026</v>
      </c>
      <c r="BE406" s="10">
        <f t="shared" ca="1" si="591"/>
        <v>68960.039156356026</v>
      </c>
      <c r="BF406" s="10">
        <f t="shared" ca="1" si="591"/>
        <v>68960.039156356026</v>
      </c>
      <c r="BG406" s="10">
        <f t="shared" ca="1" si="591"/>
        <v>68960.039156356026</v>
      </c>
      <c r="BH406" s="10">
        <f t="shared" ca="1" si="591"/>
        <v>68960.039156356026</v>
      </c>
      <c r="BI406" s="10">
        <f t="shared" ca="1" si="591"/>
        <v>68960.039156356026</v>
      </c>
      <c r="BJ406" s="10">
        <f t="shared" ca="1" si="591"/>
        <v>68960.039156356026</v>
      </c>
      <c r="BK406" s="10">
        <f t="shared" ca="1" si="591"/>
        <v>68960.039156356026</v>
      </c>
      <c r="BL406" s="10">
        <f t="shared" ca="1" si="591"/>
        <v>68960.039156356026</v>
      </c>
      <c r="BM406" s="10">
        <f t="shared" ca="1" si="591"/>
        <v>68960.039156356026</v>
      </c>
      <c r="BN406" s="10">
        <f t="shared" ca="1" si="591"/>
        <v>68960.039156356026</v>
      </c>
      <c r="BO406" s="10">
        <f t="shared" ca="1" si="591"/>
        <v>68960.039156356026</v>
      </c>
      <c r="BP406" s="10">
        <f t="shared" ca="1" si="591"/>
        <v>68960.039156356026</v>
      </c>
      <c r="BQ406" s="10">
        <f t="shared" ca="1" si="591"/>
        <v>68960.039156356026</v>
      </c>
      <c r="BR406" s="10">
        <f t="shared" ca="1" si="591"/>
        <v>68960.039156356026</v>
      </c>
      <c r="BS406" s="10">
        <f t="shared" ca="1" si="591"/>
        <v>68960.039156356026</v>
      </c>
      <c r="BT406" s="10">
        <f t="shared" ca="1" si="591"/>
        <v>68960.039156356026</v>
      </c>
      <c r="BU406" s="10">
        <f t="shared" ca="1" si="591"/>
        <v>68960.039156356026</v>
      </c>
      <c r="BV406" s="10">
        <f t="shared" ca="1" si="591"/>
        <v>68960.039156356026</v>
      </c>
      <c r="BW406" s="10">
        <f t="shared" ca="1" si="591"/>
        <v>68960.039156356026</v>
      </c>
      <c r="BX406" s="10">
        <f t="shared" ref="BX406:CO406" ca="1" si="592">BX405+BW406</f>
        <v>68960.039156356026</v>
      </c>
      <c r="BY406" s="10">
        <f t="shared" ca="1" si="592"/>
        <v>68960.039156356026</v>
      </c>
      <c r="BZ406" s="10">
        <f t="shared" ca="1" si="592"/>
        <v>68960.039156356026</v>
      </c>
      <c r="CA406" s="10">
        <f t="shared" ca="1" si="592"/>
        <v>68960.039156356026</v>
      </c>
      <c r="CB406" s="10">
        <f t="shared" ca="1" si="592"/>
        <v>68960.039156356026</v>
      </c>
      <c r="CC406" s="10">
        <f t="shared" ca="1" si="592"/>
        <v>68960.039156356026</v>
      </c>
      <c r="CD406" s="10">
        <f t="shared" ca="1" si="592"/>
        <v>68960.039156356026</v>
      </c>
      <c r="CE406" s="10">
        <f t="shared" ca="1" si="592"/>
        <v>68960.039156356026</v>
      </c>
      <c r="CF406" s="10">
        <f t="shared" ca="1" si="592"/>
        <v>68960.039156356026</v>
      </c>
      <c r="CG406" s="10">
        <f t="shared" ca="1" si="592"/>
        <v>68960.039156356026</v>
      </c>
      <c r="CH406" s="10">
        <f t="shared" ca="1" si="592"/>
        <v>68960.039156356026</v>
      </c>
      <c r="CI406" s="10">
        <f t="shared" ca="1" si="592"/>
        <v>68960.039156356026</v>
      </c>
      <c r="CJ406" s="10">
        <f t="shared" ca="1" si="592"/>
        <v>68960.039156356026</v>
      </c>
      <c r="CK406" s="10">
        <f t="shared" ca="1" si="592"/>
        <v>68960.039156356026</v>
      </c>
      <c r="CL406" s="10">
        <f t="shared" ca="1" si="592"/>
        <v>68960.039156356026</v>
      </c>
      <c r="CM406" s="10">
        <f t="shared" ca="1" si="592"/>
        <v>68960.039156356026</v>
      </c>
      <c r="CN406" s="10">
        <f t="shared" ca="1" si="592"/>
        <v>68960.039156356026</v>
      </c>
      <c r="CO406" s="10">
        <f t="shared" ca="1" si="592"/>
        <v>68960.039156356026</v>
      </c>
    </row>
    <row r="407" spans="1:93">
      <c r="A407" s="10"/>
      <c r="B407" s="10"/>
      <c r="C407" s="17" t="s">
        <v>389</v>
      </c>
      <c r="D407" s="10"/>
      <c r="E407" s="62"/>
      <c r="F407" s="11"/>
      <c r="G407" s="134" t="str">
        <f t="shared" si="583"/>
        <v>тыс. руб.</v>
      </c>
      <c r="H407" s="10"/>
      <c r="I407" s="23">
        <f ca="1">SUM(L407:CO407)</f>
        <v>68960.039156356026</v>
      </c>
      <c r="J407" s="10"/>
      <c r="K407" s="10"/>
      <c r="L407" s="10">
        <f t="shared" ref="L407:AQ407" ca="1" si="593">(MIN(L406*L403,K409))</f>
        <v>0</v>
      </c>
      <c r="M407" s="10">
        <f t="shared" ca="1" si="593"/>
        <v>0</v>
      </c>
      <c r="N407" s="10">
        <f t="shared" ca="1" si="593"/>
        <v>0</v>
      </c>
      <c r="O407" s="10">
        <f t="shared" ca="1" si="593"/>
        <v>0</v>
      </c>
      <c r="P407" s="10">
        <f t="shared" ca="1" si="593"/>
        <v>0</v>
      </c>
      <c r="Q407" s="10">
        <f t="shared" ca="1" si="593"/>
        <v>0</v>
      </c>
      <c r="R407" s="10">
        <f t="shared" ca="1" si="593"/>
        <v>0</v>
      </c>
      <c r="S407" s="10">
        <f t="shared" ca="1" si="593"/>
        <v>0</v>
      </c>
      <c r="T407" s="10">
        <f t="shared" ca="1" si="593"/>
        <v>0</v>
      </c>
      <c r="U407" s="10">
        <f t="shared" ca="1" si="593"/>
        <v>0</v>
      </c>
      <c r="V407" s="10">
        <f t="shared" ca="1" si="593"/>
        <v>0</v>
      </c>
      <c r="W407" s="10">
        <f t="shared" ca="1" si="593"/>
        <v>0</v>
      </c>
      <c r="X407" s="10">
        <f t="shared" ca="1" si="593"/>
        <v>0</v>
      </c>
      <c r="Y407" s="10">
        <f t="shared" ca="1" si="593"/>
        <v>0</v>
      </c>
      <c r="Z407" s="10">
        <f t="shared" ca="1" si="593"/>
        <v>0</v>
      </c>
      <c r="AA407" s="10">
        <f t="shared" ca="1" si="593"/>
        <v>0</v>
      </c>
      <c r="AB407" s="10">
        <f t="shared" ca="1" si="593"/>
        <v>0</v>
      </c>
      <c r="AC407" s="10">
        <f t="shared" ca="1" si="593"/>
        <v>2462.8585412984294</v>
      </c>
      <c r="AD407" s="10">
        <f t="shared" ca="1" si="593"/>
        <v>2462.8585412984294</v>
      </c>
      <c r="AE407" s="10">
        <f t="shared" ca="1" si="593"/>
        <v>2462.8585412984294</v>
      </c>
      <c r="AF407" s="10">
        <f t="shared" ca="1" si="593"/>
        <v>2462.8585412984294</v>
      </c>
      <c r="AG407" s="10">
        <f t="shared" ca="1" si="593"/>
        <v>2462.8585412984294</v>
      </c>
      <c r="AH407" s="10">
        <f t="shared" ca="1" si="593"/>
        <v>2462.8585412984294</v>
      </c>
      <c r="AI407" s="10">
        <f t="shared" ca="1" si="593"/>
        <v>2462.8585412984294</v>
      </c>
      <c r="AJ407" s="10">
        <f t="shared" ca="1" si="593"/>
        <v>2462.8585412984294</v>
      </c>
      <c r="AK407" s="10">
        <f t="shared" ca="1" si="593"/>
        <v>2462.8585412984294</v>
      </c>
      <c r="AL407" s="10">
        <f t="shared" ca="1" si="593"/>
        <v>2462.8585412984294</v>
      </c>
      <c r="AM407" s="10">
        <f t="shared" ca="1" si="593"/>
        <v>2462.8585412984294</v>
      </c>
      <c r="AN407" s="10">
        <f t="shared" ca="1" si="593"/>
        <v>2462.8585412984294</v>
      </c>
      <c r="AO407" s="10">
        <f t="shared" ca="1" si="593"/>
        <v>2462.8585412984294</v>
      </c>
      <c r="AP407" s="10">
        <f t="shared" ca="1" si="593"/>
        <v>2462.8585412984294</v>
      </c>
      <c r="AQ407" s="10">
        <f t="shared" ca="1" si="593"/>
        <v>2462.8585412984294</v>
      </c>
      <c r="AR407" s="10">
        <f t="shared" ref="AR407:BW407" ca="1" si="594">(MIN(AR406*AR403,AQ409))</f>
        <v>2462.8585412984294</v>
      </c>
      <c r="AS407" s="10">
        <f t="shared" ca="1" si="594"/>
        <v>2462.8585412984294</v>
      </c>
      <c r="AT407" s="10">
        <f t="shared" ca="1" si="594"/>
        <v>2462.8585412984294</v>
      </c>
      <c r="AU407" s="10">
        <f t="shared" ca="1" si="594"/>
        <v>2462.8585412984294</v>
      </c>
      <c r="AV407" s="10">
        <f t="shared" ca="1" si="594"/>
        <v>2462.8585412984294</v>
      </c>
      <c r="AW407" s="10">
        <f t="shared" ca="1" si="594"/>
        <v>2462.8585412984294</v>
      </c>
      <c r="AX407" s="10">
        <f t="shared" ca="1" si="594"/>
        <v>2462.8585412984294</v>
      </c>
      <c r="AY407" s="10">
        <f t="shared" ca="1" si="594"/>
        <v>2462.8585412984294</v>
      </c>
      <c r="AZ407" s="10">
        <f t="shared" ca="1" si="594"/>
        <v>2462.8585412984294</v>
      </c>
      <c r="BA407" s="10">
        <f t="shared" ca="1" si="594"/>
        <v>2462.8585412984294</v>
      </c>
      <c r="BB407" s="10">
        <f t="shared" ca="1" si="594"/>
        <v>2462.8585412984294</v>
      </c>
      <c r="BC407" s="10">
        <f t="shared" ca="1" si="594"/>
        <v>2462.8585412984294</v>
      </c>
      <c r="BD407" s="10">
        <f t="shared" ca="1" si="594"/>
        <v>2462.8585412984103</v>
      </c>
      <c r="BE407" s="10">
        <f t="shared" ca="1" si="594"/>
        <v>0</v>
      </c>
      <c r="BF407" s="10">
        <f t="shared" ca="1" si="594"/>
        <v>0</v>
      </c>
      <c r="BG407" s="10">
        <f t="shared" ca="1" si="594"/>
        <v>0</v>
      </c>
      <c r="BH407" s="10">
        <f t="shared" ca="1" si="594"/>
        <v>0</v>
      </c>
      <c r="BI407" s="10">
        <f t="shared" ca="1" si="594"/>
        <v>0</v>
      </c>
      <c r="BJ407" s="10">
        <f t="shared" ca="1" si="594"/>
        <v>0</v>
      </c>
      <c r="BK407" s="10">
        <f t="shared" ca="1" si="594"/>
        <v>0</v>
      </c>
      <c r="BL407" s="10">
        <f t="shared" ca="1" si="594"/>
        <v>0</v>
      </c>
      <c r="BM407" s="10">
        <f t="shared" ca="1" si="594"/>
        <v>0</v>
      </c>
      <c r="BN407" s="10">
        <f t="shared" ca="1" si="594"/>
        <v>0</v>
      </c>
      <c r="BO407" s="10">
        <f t="shared" ca="1" si="594"/>
        <v>0</v>
      </c>
      <c r="BP407" s="10">
        <f t="shared" ca="1" si="594"/>
        <v>0</v>
      </c>
      <c r="BQ407" s="10">
        <f t="shared" ca="1" si="594"/>
        <v>0</v>
      </c>
      <c r="BR407" s="10">
        <f t="shared" ca="1" si="594"/>
        <v>0</v>
      </c>
      <c r="BS407" s="10">
        <f t="shared" ca="1" si="594"/>
        <v>0</v>
      </c>
      <c r="BT407" s="10">
        <f t="shared" ca="1" si="594"/>
        <v>0</v>
      </c>
      <c r="BU407" s="10">
        <f t="shared" ca="1" si="594"/>
        <v>0</v>
      </c>
      <c r="BV407" s="10">
        <f t="shared" ca="1" si="594"/>
        <v>0</v>
      </c>
      <c r="BW407" s="10">
        <f t="shared" ca="1" si="594"/>
        <v>0</v>
      </c>
      <c r="BX407" s="10">
        <f t="shared" ref="BX407:CO407" ca="1" si="595">(MIN(BX406*BX403,BW409))</f>
        <v>0</v>
      </c>
      <c r="BY407" s="10">
        <f t="shared" ca="1" si="595"/>
        <v>0</v>
      </c>
      <c r="BZ407" s="10">
        <f t="shared" ca="1" si="595"/>
        <v>0</v>
      </c>
      <c r="CA407" s="10">
        <f t="shared" ca="1" si="595"/>
        <v>0</v>
      </c>
      <c r="CB407" s="10">
        <f t="shared" ca="1" si="595"/>
        <v>0</v>
      </c>
      <c r="CC407" s="10">
        <f t="shared" ca="1" si="595"/>
        <v>0</v>
      </c>
      <c r="CD407" s="10">
        <f t="shared" ca="1" si="595"/>
        <v>0</v>
      </c>
      <c r="CE407" s="10">
        <f t="shared" ca="1" si="595"/>
        <v>0</v>
      </c>
      <c r="CF407" s="10">
        <f t="shared" ca="1" si="595"/>
        <v>0</v>
      </c>
      <c r="CG407" s="10">
        <f t="shared" ca="1" si="595"/>
        <v>0</v>
      </c>
      <c r="CH407" s="10">
        <f t="shared" ca="1" si="595"/>
        <v>0</v>
      </c>
      <c r="CI407" s="10">
        <f t="shared" ca="1" si="595"/>
        <v>0</v>
      </c>
      <c r="CJ407" s="10">
        <f t="shared" ca="1" si="595"/>
        <v>0</v>
      </c>
      <c r="CK407" s="10">
        <f t="shared" ca="1" si="595"/>
        <v>0</v>
      </c>
      <c r="CL407" s="10">
        <f t="shared" ca="1" si="595"/>
        <v>0</v>
      </c>
      <c r="CM407" s="10">
        <f t="shared" ca="1" si="595"/>
        <v>0</v>
      </c>
      <c r="CN407" s="10">
        <f t="shared" ca="1" si="595"/>
        <v>0</v>
      </c>
      <c r="CO407" s="10">
        <f t="shared" ca="1" si="595"/>
        <v>0</v>
      </c>
    </row>
    <row r="408" spans="1:93">
      <c r="A408" s="10"/>
      <c r="B408" s="10"/>
      <c r="C408" s="17" t="s">
        <v>127</v>
      </c>
      <c r="D408" s="10"/>
      <c r="E408" s="62"/>
      <c r="F408" s="11"/>
      <c r="G408" s="134" t="str">
        <f t="shared" si="583"/>
        <v>тыс. руб.</v>
      </c>
      <c r="H408" s="10"/>
      <c r="I408" s="10"/>
      <c r="J408" s="10"/>
      <c r="K408" s="10"/>
      <c r="L408" s="10">
        <f t="shared" ref="L408:AQ408" ca="1" si="596">SUM(K408,-L407)</f>
        <v>0</v>
      </c>
      <c r="M408" s="10">
        <f t="shared" ca="1" si="596"/>
        <v>0</v>
      </c>
      <c r="N408" s="10">
        <f t="shared" ca="1" si="596"/>
        <v>0</v>
      </c>
      <c r="O408" s="10">
        <f t="shared" ca="1" si="596"/>
        <v>0</v>
      </c>
      <c r="P408" s="10">
        <f t="shared" ca="1" si="596"/>
        <v>0</v>
      </c>
      <c r="Q408" s="10">
        <f t="shared" ca="1" si="596"/>
        <v>0</v>
      </c>
      <c r="R408" s="10">
        <f t="shared" ca="1" si="596"/>
        <v>0</v>
      </c>
      <c r="S408" s="10">
        <f t="shared" ca="1" si="596"/>
        <v>0</v>
      </c>
      <c r="T408" s="10">
        <f t="shared" ca="1" si="596"/>
        <v>0</v>
      </c>
      <c r="U408" s="10">
        <f t="shared" ca="1" si="596"/>
        <v>0</v>
      </c>
      <c r="V408" s="10">
        <f t="shared" ca="1" si="596"/>
        <v>0</v>
      </c>
      <c r="W408" s="10">
        <f t="shared" ca="1" si="596"/>
        <v>0</v>
      </c>
      <c r="X408" s="10">
        <f t="shared" ca="1" si="596"/>
        <v>0</v>
      </c>
      <c r="Y408" s="10">
        <f t="shared" ca="1" si="596"/>
        <v>0</v>
      </c>
      <c r="Z408" s="10">
        <f t="shared" ca="1" si="596"/>
        <v>0</v>
      </c>
      <c r="AA408" s="10">
        <f t="shared" ca="1" si="596"/>
        <v>0</v>
      </c>
      <c r="AB408" s="10">
        <f t="shared" ca="1" si="596"/>
        <v>0</v>
      </c>
      <c r="AC408" s="10">
        <f t="shared" ca="1" si="596"/>
        <v>-2462.8585412984294</v>
      </c>
      <c r="AD408" s="10">
        <f t="shared" ca="1" si="596"/>
        <v>-4925.7170825968587</v>
      </c>
      <c r="AE408" s="10">
        <f t="shared" ca="1" si="596"/>
        <v>-7388.5756238952881</v>
      </c>
      <c r="AF408" s="10">
        <f t="shared" ca="1" si="596"/>
        <v>-9851.4341651937175</v>
      </c>
      <c r="AG408" s="10">
        <f t="shared" ca="1" si="596"/>
        <v>-12314.292706492146</v>
      </c>
      <c r="AH408" s="10">
        <f t="shared" ca="1" si="596"/>
        <v>-14777.151247790574</v>
      </c>
      <c r="AI408" s="10">
        <f t="shared" ca="1" si="596"/>
        <v>-17240.009789089003</v>
      </c>
      <c r="AJ408" s="10">
        <f t="shared" ca="1" si="596"/>
        <v>-19702.868330387431</v>
      </c>
      <c r="AK408" s="10">
        <f t="shared" ca="1" si="596"/>
        <v>-22165.72687168586</v>
      </c>
      <c r="AL408" s="10">
        <f t="shared" ca="1" si="596"/>
        <v>-24628.585412984288</v>
      </c>
      <c r="AM408" s="10">
        <f t="shared" ca="1" si="596"/>
        <v>-27091.443954282717</v>
      </c>
      <c r="AN408" s="10">
        <f t="shared" ca="1" si="596"/>
        <v>-29554.302495581145</v>
      </c>
      <c r="AO408" s="10">
        <f t="shared" ca="1" si="596"/>
        <v>-32017.161036879574</v>
      </c>
      <c r="AP408" s="10">
        <f t="shared" ca="1" si="596"/>
        <v>-34480.019578178006</v>
      </c>
      <c r="AQ408" s="10">
        <f t="shared" ca="1" si="596"/>
        <v>-36942.878119476438</v>
      </c>
      <c r="AR408" s="10">
        <f t="shared" ref="AR408:BW408" ca="1" si="597">SUM(AQ408,-AR407)</f>
        <v>-39405.73666077487</v>
      </c>
      <c r="AS408" s="10">
        <f t="shared" ca="1" si="597"/>
        <v>-41868.595202073302</v>
      </c>
      <c r="AT408" s="10">
        <f t="shared" ca="1" si="597"/>
        <v>-44331.453743371734</v>
      </c>
      <c r="AU408" s="10">
        <f t="shared" ca="1" si="597"/>
        <v>-46794.312284670166</v>
      </c>
      <c r="AV408" s="10">
        <f t="shared" ca="1" si="597"/>
        <v>-49257.170825968598</v>
      </c>
      <c r="AW408" s="10">
        <f t="shared" ca="1" si="597"/>
        <v>-51720.02936726703</v>
      </c>
      <c r="AX408" s="10">
        <f t="shared" ca="1" si="597"/>
        <v>-54182.887908565463</v>
      </c>
      <c r="AY408" s="10">
        <f t="shared" ca="1" si="597"/>
        <v>-56645.746449863895</v>
      </c>
      <c r="AZ408" s="10">
        <f t="shared" ca="1" si="597"/>
        <v>-59108.604991162327</v>
      </c>
      <c r="BA408" s="10">
        <f t="shared" ca="1" si="597"/>
        <v>-61571.463532460759</v>
      </c>
      <c r="BB408" s="10">
        <f t="shared" ca="1" si="597"/>
        <v>-64034.322073759191</v>
      </c>
      <c r="BC408" s="10">
        <f t="shared" ca="1" si="597"/>
        <v>-66497.180615057616</v>
      </c>
      <c r="BD408" s="10">
        <f t="shared" ca="1" si="597"/>
        <v>-68960.039156356026</v>
      </c>
      <c r="BE408" s="10">
        <f t="shared" ca="1" si="597"/>
        <v>-68960.039156356026</v>
      </c>
      <c r="BF408" s="10">
        <f t="shared" ca="1" si="597"/>
        <v>-68960.039156356026</v>
      </c>
      <c r="BG408" s="10">
        <f t="shared" ca="1" si="597"/>
        <v>-68960.039156356026</v>
      </c>
      <c r="BH408" s="10">
        <f t="shared" ca="1" si="597"/>
        <v>-68960.039156356026</v>
      </c>
      <c r="BI408" s="10">
        <f t="shared" ca="1" si="597"/>
        <v>-68960.039156356026</v>
      </c>
      <c r="BJ408" s="10">
        <f t="shared" ca="1" si="597"/>
        <v>-68960.039156356026</v>
      </c>
      <c r="BK408" s="10">
        <f t="shared" ca="1" si="597"/>
        <v>-68960.039156356026</v>
      </c>
      <c r="BL408" s="10">
        <f t="shared" ca="1" si="597"/>
        <v>-68960.039156356026</v>
      </c>
      <c r="BM408" s="10">
        <f t="shared" ca="1" si="597"/>
        <v>-68960.039156356026</v>
      </c>
      <c r="BN408" s="10">
        <f t="shared" ca="1" si="597"/>
        <v>-68960.039156356026</v>
      </c>
      <c r="BO408" s="10">
        <f t="shared" ca="1" si="597"/>
        <v>-68960.039156356026</v>
      </c>
      <c r="BP408" s="10">
        <f t="shared" ca="1" si="597"/>
        <v>-68960.039156356026</v>
      </c>
      <c r="BQ408" s="10">
        <f t="shared" ca="1" si="597"/>
        <v>-68960.039156356026</v>
      </c>
      <c r="BR408" s="10">
        <f t="shared" ca="1" si="597"/>
        <v>-68960.039156356026</v>
      </c>
      <c r="BS408" s="10">
        <f t="shared" ca="1" si="597"/>
        <v>-68960.039156356026</v>
      </c>
      <c r="BT408" s="10">
        <f t="shared" ca="1" si="597"/>
        <v>-68960.039156356026</v>
      </c>
      <c r="BU408" s="10">
        <f t="shared" ca="1" si="597"/>
        <v>-68960.039156356026</v>
      </c>
      <c r="BV408" s="10">
        <f t="shared" ca="1" si="597"/>
        <v>-68960.039156356026</v>
      </c>
      <c r="BW408" s="10">
        <f t="shared" ca="1" si="597"/>
        <v>-68960.039156356026</v>
      </c>
      <c r="BX408" s="10">
        <f t="shared" ref="BX408:CO408" ca="1" si="598">SUM(BW408,-BX407)</f>
        <v>-68960.039156356026</v>
      </c>
      <c r="BY408" s="10">
        <f t="shared" ca="1" si="598"/>
        <v>-68960.039156356026</v>
      </c>
      <c r="BZ408" s="10">
        <f t="shared" ca="1" si="598"/>
        <v>-68960.039156356026</v>
      </c>
      <c r="CA408" s="10">
        <f t="shared" ca="1" si="598"/>
        <v>-68960.039156356026</v>
      </c>
      <c r="CB408" s="10">
        <f t="shared" ca="1" si="598"/>
        <v>-68960.039156356026</v>
      </c>
      <c r="CC408" s="10">
        <f t="shared" ca="1" si="598"/>
        <v>-68960.039156356026</v>
      </c>
      <c r="CD408" s="10">
        <f t="shared" ca="1" si="598"/>
        <v>-68960.039156356026</v>
      </c>
      <c r="CE408" s="10">
        <f t="shared" ca="1" si="598"/>
        <v>-68960.039156356026</v>
      </c>
      <c r="CF408" s="10">
        <f t="shared" ca="1" si="598"/>
        <v>-68960.039156356026</v>
      </c>
      <c r="CG408" s="10">
        <f t="shared" ca="1" si="598"/>
        <v>-68960.039156356026</v>
      </c>
      <c r="CH408" s="10">
        <f t="shared" ca="1" si="598"/>
        <v>-68960.039156356026</v>
      </c>
      <c r="CI408" s="10">
        <f t="shared" ca="1" si="598"/>
        <v>-68960.039156356026</v>
      </c>
      <c r="CJ408" s="10">
        <f t="shared" ca="1" si="598"/>
        <v>-68960.039156356026</v>
      </c>
      <c r="CK408" s="10">
        <f t="shared" ca="1" si="598"/>
        <v>-68960.039156356026</v>
      </c>
      <c r="CL408" s="10">
        <f t="shared" ca="1" si="598"/>
        <v>-68960.039156356026</v>
      </c>
      <c r="CM408" s="10">
        <f t="shared" ca="1" si="598"/>
        <v>-68960.039156356026</v>
      </c>
      <c r="CN408" s="10">
        <f t="shared" ca="1" si="598"/>
        <v>-68960.039156356026</v>
      </c>
      <c r="CO408" s="10">
        <f t="shared" ca="1" si="598"/>
        <v>-68960.039156356026</v>
      </c>
    </row>
    <row r="409" spans="1:93">
      <c r="A409" s="10"/>
      <c r="B409" s="10"/>
      <c r="C409" s="17" t="s">
        <v>128</v>
      </c>
      <c r="D409" s="10"/>
      <c r="E409" s="62"/>
      <c r="F409" s="11"/>
      <c r="G409" s="134" t="str">
        <f t="shared" si="583"/>
        <v>тыс. руб.</v>
      </c>
      <c r="H409" s="10"/>
      <c r="I409" s="10"/>
      <c r="J409" s="10"/>
      <c r="K409" s="10"/>
      <c r="L409" s="10">
        <f t="shared" ref="L409:Q409" ca="1" si="599">SUM(L406,L408)</f>
        <v>0</v>
      </c>
      <c r="M409" s="10">
        <f t="shared" ca="1" si="599"/>
        <v>0</v>
      </c>
      <c r="N409" s="10">
        <f t="shared" ca="1" si="599"/>
        <v>0</v>
      </c>
      <c r="O409" s="10">
        <f t="shared" ca="1" si="599"/>
        <v>0</v>
      </c>
      <c r="P409" s="10">
        <f t="shared" ca="1" si="599"/>
        <v>0</v>
      </c>
      <c r="Q409" s="10">
        <f t="shared" ca="1" si="599"/>
        <v>0</v>
      </c>
      <c r="R409" s="10">
        <f ca="1">SUM(R406,R408)</f>
        <v>0</v>
      </c>
      <c r="S409" s="10">
        <f t="shared" ref="S409:CD409" ca="1" si="600">SUM(S406,S408)</f>
        <v>0</v>
      </c>
      <c r="T409" s="10">
        <f t="shared" ca="1" si="600"/>
        <v>0</v>
      </c>
      <c r="U409" s="10">
        <f t="shared" ca="1" si="600"/>
        <v>0</v>
      </c>
      <c r="V409" s="10">
        <f t="shared" ca="1" si="600"/>
        <v>0</v>
      </c>
      <c r="W409" s="10">
        <f t="shared" ca="1" si="600"/>
        <v>0</v>
      </c>
      <c r="X409" s="10">
        <f t="shared" ca="1" si="600"/>
        <v>0</v>
      </c>
      <c r="Y409" s="10">
        <f t="shared" ca="1" si="600"/>
        <v>0</v>
      </c>
      <c r="Z409" s="10">
        <f t="shared" ca="1" si="600"/>
        <v>0</v>
      </c>
      <c r="AA409" s="10">
        <f t="shared" ca="1" si="600"/>
        <v>0</v>
      </c>
      <c r="AB409" s="10">
        <f t="shared" ca="1" si="600"/>
        <v>68960.039156356026</v>
      </c>
      <c r="AC409" s="10">
        <f t="shared" ca="1" si="600"/>
        <v>66497.180615057601</v>
      </c>
      <c r="AD409" s="10">
        <f t="shared" ca="1" si="600"/>
        <v>64034.322073759169</v>
      </c>
      <c r="AE409" s="10">
        <f t="shared" ca="1" si="600"/>
        <v>61571.463532460737</v>
      </c>
      <c r="AF409" s="10">
        <f t="shared" ca="1" si="600"/>
        <v>59108.604991162312</v>
      </c>
      <c r="AG409" s="10">
        <f t="shared" ca="1" si="600"/>
        <v>56645.74644986388</v>
      </c>
      <c r="AH409" s="10">
        <f t="shared" ca="1" si="600"/>
        <v>54182.887908565448</v>
      </c>
      <c r="AI409" s="10">
        <f t="shared" ca="1" si="600"/>
        <v>51720.029367267023</v>
      </c>
      <c r="AJ409" s="10">
        <f t="shared" ca="1" si="600"/>
        <v>49257.170825968598</v>
      </c>
      <c r="AK409" s="10">
        <f t="shared" ca="1" si="600"/>
        <v>46794.312284670166</v>
      </c>
      <c r="AL409" s="10">
        <f t="shared" ca="1" si="600"/>
        <v>44331.453743371734</v>
      </c>
      <c r="AM409" s="10">
        <f t="shared" ca="1" si="600"/>
        <v>41868.595202073309</v>
      </c>
      <c r="AN409" s="10">
        <f t="shared" ca="1" si="600"/>
        <v>39405.736660774885</v>
      </c>
      <c r="AO409" s="10">
        <f t="shared" ca="1" si="600"/>
        <v>36942.878119476452</v>
      </c>
      <c r="AP409" s="10">
        <f t="shared" ca="1" si="600"/>
        <v>34480.01957817802</v>
      </c>
      <c r="AQ409" s="10">
        <f t="shared" ca="1" si="600"/>
        <v>32017.161036879588</v>
      </c>
      <c r="AR409" s="10">
        <f t="shared" ca="1" si="600"/>
        <v>29554.302495581156</v>
      </c>
      <c r="AS409" s="10">
        <f t="shared" ca="1" si="600"/>
        <v>27091.443954282724</v>
      </c>
      <c r="AT409" s="10">
        <f t="shared" ca="1" si="600"/>
        <v>24628.585412984292</v>
      </c>
      <c r="AU409" s="10">
        <f t="shared" ca="1" si="600"/>
        <v>22165.72687168586</v>
      </c>
      <c r="AV409" s="10">
        <f t="shared" ca="1" si="600"/>
        <v>19702.868330387428</v>
      </c>
      <c r="AW409" s="10">
        <f t="shared" ca="1" si="600"/>
        <v>17240.009789088996</v>
      </c>
      <c r="AX409" s="10">
        <f t="shared" ca="1" si="600"/>
        <v>14777.151247790564</v>
      </c>
      <c r="AY409" s="10">
        <f t="shared" ca="1" si="600"/>
        <v>12314.292706492131</v>
      </c>
      <c r="AZ409" s="10">
        <f t="shared" ca="1" si="600"/>
        <v>9851.4341651936993</v>
      </c>
      <c r="BA409" s="10">
        <f t="shared" ca="1" si="600"/>
        <v>7388.5756238952672</v>
      </c>
      <c r="BB409" s="10">
        <f t="shared" ca="1" si="600"/>
        <v>4925.7170825968351</v>
      </c>
      <c r="BC409" s="10">
        <f t="shared" ca="1" si="600"/>
        <v>2462.8585412984103</v>
      </c>
      <c r="BD409" s="10">
        <f t="shared" ca="1" si="600"/>
        <v>0</v>
      </c>
      <c r="BE409" s="10">
        <f t="shared" ca="1" si="600"/>
        <v>0</v>
      </c>
      <c r="BF409" s="10">
        <f t="shared" ca="1" si="600"/>
        <v>0</v>
      </c>
      <c r="BG409" s="10">
        <f t="shared" ca="1" si="600"/>
        <v>0</v>
      </c>
      <c r="BH409" s="10">
        <f t="shared" ca="1" si="600"/>
        <v>0</v>
      </c>
      <c r="BI409" s="10">
        <f t="shared" ca="1" si="600"/>
        <v>0</v>
      </c>
      <c r="BJ409" s="10">
        <f t="shared" ca="1" si="600"/>
        <v>0</v>
      </c>
      <c r="BK409" s="10">
        <f t="shared" ca="1" si="600"/>
        <v>0</v>
      </c>
      <c r="BL409" s="10">
        <f t="shared" ca="1" si="600"/>
        <v>0</v>
      </c>
      <c r="BM409" s="10">
        <f t="shared" ca="1" si="600"/>
        <v>0</v>
      </c>
      <c r="BN409" s="10">
        <f t="shared" ca="1" si="600"/>
        <v>0</v>
      </c>
      <c r="BO409" s="10">
        <f t="shared" ca="1" si="600"/>
        <v>0</v>
      </c>
      <c r="BP409" s="10">
        <f t="shared" ca="1" si="600"/>
        <v>0</v>
      </c>
      <c r="BQ409" s="10">
        <f t="shared" ca="1" si="600"/>
        <v>0</v>
      </c>
      <c r="BR409" s="10">
        <f t="shared" ca="1" si="600"/>
        <v>0</v>
      </c>
      <c r="BS409" s="10">
        <f t="shared" ca="1" si="600"/>
        <v>0</v>
      </c>
      <c r="BT409" s="10">
        <f t="shared" ca="1" si="600"/>
        <v>0</v>
      </c>
      <c r="BU409" s="10">
        <f t="shared" ca="1" si="600"/>
        <v>0</v>
      </c>
      <c r="BV409" s="10">
        <f t="shared" ca="1" si="600"/>
        <v>0</v>
      </c>
      <c r="BW409" s="10">
        <f t="shared" ca="1" si="600"/>
        <v>0</v>
      </c>
      <c r="BX409" s="10">
        <f t="shared" ca="1" si="600"/>
        <v>0</v>
      </c>
      <c r="BY409" s="10">
        <f t="shared" ca="1" si="600"/>
        <v>0</v>
      </c>
      <c r="BZ409" s="10">
        <f t="shared" ca="1" si="600"/>
        <v>0</v>
      </c>
      <c r="CA409" s="10">
        <f t="shared" ca="1" si="600"/>
        <v>0</v>
      </c>
      <c r="CB409" s="10">
        <f t="shared" ca="1" si="600"/>
        <v>0</v>
      </c>
      <c r="CC409" s="10">
        <f t="shared" ca="1" si="600"/>
        <v>0</v>
      </c>
      <c r="CD409" s="10">
        <f t="shared" ca="1" si="600"/>
        <v>0</v>
      </c>
      <c r="CE409" s="10">
        <f t="shared" ref="CE409:CO409" ca="1" si="601">SUM(CE406,CE408)</f>
        <v>0</v>
      </c>
      <c r="CF409" s="10">
        <f t="shared" ca="1" si="601"/>
        <v>0</v>
      </c>
      <c r="CG409" s="10">
        <f t="shared" ca="1" si="601"/>
        <v>0</v>
      </c>
      <c r="CH409" s="10">
        <f t="shared" ca="1" si="601"/>
        <v>0</v>
      </c>
      <c r="CI409" s="10">
        <f t="shared" ca="1" si="601"/>
        <v>0</v>
      </c>
      <c r="CJ409" s="10">
        <f t="shared" ca="1" si="601"/>
        <v>0</v>
      </c>
      <c r="CK409" s="10">
        <f t="shared" ca="1" si="601"/>
        <v>0</v>
      </c>
      <c r="CL409" s="10">
        <f t="shared" ca="1" si="601"/>
        <v>0</v>
      </c>
      <c r="CM409" s="10">
        <f t="shared" ca="1" si="601"/>
        <v>0</v>
      </c>
      <c r="CN409" s="10">
        <f t="shared" ca="1" si="601"/>
        <v>0</v>
      </c>
      <c r="CO409" s="10">
        <f t="shared" ca="1" si="601"/>
        <v>0</v>
      </c>
    </row>
    <row r="410" spans="1:93">
      <c r="A410" s="10"/>
      <c r="B410" s="10"/>
      <c r="C410" s="17"/>
      <c r="D410" s="10"/>
      <c r="E410" s="62"/>
      <c r="F410" s="11"/>
      <c r="G410" s="11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10"/>
      <c r="BK410" s="10"/>
      <c r="BL410" s="10"/>
      <c r="BM410" s="10"/>
      <c r="BN410" s="10"/>
      <c r="BO410" s="10"/>
      <c r="BP410" s="10"/>
      <c r="BQ410" s="10"/>
      <c r="BR410" s="10"/>
      <c r="BS410" s="10"/>
      <c r="BT410" s="10"/>
      <c r="BU410" s="10"/>
      <c r="BV410" s="10"/>
      <c r="BW410" s="10"/>
      <c r="BX410" s="10"/>
      <c r="BY410" s="10"/>
      <c r="BZ410" s="10"/>
      <c r="CA410" s="10"/>
      <c r="CB410" s="10"/>
      <c r="CC410" s="10"/>
      <c r="CD410" s="10"/>
      <c r="CE410" s="10"/>
      <c r="CF410" s="10"/>
      <c r="CG410" s="10"/>
      <c r="CH410" s="10"/>
      <c r="CI410" s="10"/>
      <c r="CJ410" s="10"/>
      <c r="CK410" s="10"/>
      <c r="CL410" s="10"/>
      <c r="CM410" s="10"/>
      <c r="CN410" s="10"/>
      <c r="CO410" s="10"/>
    </row>
    <row r="411" spans="1:93" ht="16.5" thickBot="1">
      <c r="A411" s="10"/>
      <c r="B411" s="10"/>
      <c r="C411" s="12" t="s">
        <v>1085</v>
      </c>
      <c r="D411" s="12"/>
      <c r="E411" s="12"/>
      <c r="F411" s="12"/>
      <c r="G411" s="360"/>
      <c r="H411" s="12"/>
      <c r="I411" s="12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10"/>
      <c r="BK411" s="10"/>
      <c r="BL411" s="10"/>
      <c r="BM411" s="10"/>
      <c r="BN411" s="10"/>
      <c r="BO411" s="10"/>
      <c r="BP411" s="10"/>
      <c r="BQ411" s="10"/>
      <c r="BR411" s="10"/>
      <c r="BS411" s="10"/>
      <c r="BT411" s="10"/>
      <c r="BU411" s="10"/>
      <c r="BV411" s="10"/>
      <c r="BW411" s="10"/>
      <c r="BX411" s="10"/>
      <c r="BY411" s="10"/>
      <c r="BZ411" s="10"/>
      <c r="CA411" s="10"/>
      <c r="CB411" s="10"/>
      <c r="CC411" s="10"/>
      <c r="CD411" s="10"/>
      <c r="CE411" s="10"/>
      <c r="CF411" s="10"/>
      <c r="CG411" s="10"/>
      <c r="CH411" s="10"/>
      <c r="CI411" s="10"/>
      <c r="CJ411" s="10"/>
      <c r="CK411" s="10"/>
      <c r="CL411" s="10"/>
      <c r="CM411" s="10"/>
      <c r="CN411" s="10"/>
      <c r="CO411" s="10"/>
    </row>
    <row r="412" spans="1:93">
      <c r="A412" s="10"/>
      <c r="B412" s="10"/>
      <c r="C412" s="17"/>
      <c r="D412" s="10"/>
      <c r="E412" s="62"/>
      <c r="F412" s="11"/>
      <c r="G412" s="11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10"/>
      <c r="BK412" s="10"/>
      <c r="BL412" s="10"/>
      <c r="BM412" s="10"/>
      <c r="BN412" s="10"/>
      <c r="BO412" s="10"/>
      <c r="BP412" s="10"/>
      <c r="BQ412" s="10"/>
      <c r="BR412" s="10"/>
      <c r="BS412" s="10"/>
      <c r="BT412" s="10"/>
      <c r="BU412" s="10"/>
      <c r="BV412" s="10"/>
      <c r="BW412" s="10"/>
      <c r="BX412" s="10"/>
      <c r="BY412" s="10"/>
      <c r="BZ412" s="10"/>
      <c r="CA412" s="10"/>
      <c r="CB412" s="10"/>
      <c r="CC412" s="10"/>
      <c r="CD412" s="10"/>
      <c r="CE412" s="10"/>
      <c r="CF412" s="10"/>
      <c r="CG412" s="10"/>
      <c r="CH412" s="10"/>
      <c r="CI412" s="10"/>
      <c r="CJ412" s="10"/>
      <c r="CK412" s="10"/>
      <c r="CL412" s="10"/>
      <c r="CM412" s="10"/>
      <c r="CN412" s="10"/>
      <c r="CO412" s="10"/>
    </row>
    <row r="413" spans="1:93">
      <c r="A413" s="10"/>
      <c r="B413" s="10"/>
      <c r="C413" s="17" t="s">
        <v>125</v>
      </c>
      <c r="D413" s="10"/>
      <c r="E413" s="62"/>
      <c r="F413" s="11"/>
      <c r="G413" s="134" t="str">
        <f>Monetary_Unit</f>
        <v>тыс. руб.</v>
      </c>
      <c r="H413" s="10"/>
      <c r="I413" s="10"/>
      <c r="J413" s="10"/>
      <c r="K413" s="10"/>
      <c r="L413" s="10">
        <f t="shared" ref="L413:AQ413" si="602">K415</f>
        <v>0</v>
      </c>
      <c r="M413" s="10">
        <f t="shared" si="602"/>
        <v>0</v>
      </c>
      <c r="N413" s="10">
        <f t="shared" si="602"/>
        <v>0</v>
      </c>
      <c r="O413" s="10">
        <f t="shared" si="602"/>
        <v>0</v>
      </c>
      <c r="P413" s="10">
        <f t="shared" si="602"/>
        <v>0</v>
      </c>
      <c r="Q413" s="10">
        <f t="shared" si="602"/>
        <v>0</v>
      </c>
      <c r="R413" s="10">
        <f t="shared" si="602"/>
        <v>0</v>
      </c>
      <c r="S413" s="10">
        <f t="shared" si="602"/>
        <v>0</v>
      </c>
      <c r="T413" s="10">
        <f t="shared" si="602"/>
        <v>0</v>
      </c>
      <c r="U413" s="10">
        <f t="shared" si="602"/>
        <v>0</v>
      </c>
      <c r="V413" s="10">
        <f t="shared" si="602"/>
        <v>0</v>
      </c>
      <c r="W413" s="10">
        <f t="shared" si="602"/>
        <v>0</v>
      </c>
      <c r="X413" s="10">
        <f t="shared" si="602"/>
        <v>0</v>
      </c>
      <c r="Y413" s="10">
        <f t="shared" si="602"/>
        <v>0</v>
      </c>
      <c r="Z413" s="10">
        <f t="shared" si="602"/>
        <v>0</v>
      </c>
      <c r="AA413" s="10">
        <f t="shared" si="602"/>
        <v>0</v>
      </c>
      <c r="AB413" s="10">
        <f t="shared" si="602"/>
        <v>0</v>
      </c>
      <c r="AC413" s="10">
        <f t="shared" si="602"/>
        <v>0</v>
      </c>
      <c r="AD413" s="10">
        <f t="shared" si="602"/>
        <v>0</v>
      </c>
      <c r="AE413" s="10">
        <f t="shared" si="602"/>
        <v>0</v>
      </c>
      <c r="AF413" s="10">
        <f t="shared" si="602"/>
        <v>0</v>
      </c>
      <c r="AG413" s="10">
        <f t="shared" si="602"/>
        <v>0</v>
      </c>
      <c r="AH413" s="10">
        <f t="shared" si="602"/>
        <v>0</v>
      </c>
      <c r="AI413" s="10">
        <f t="shared" si="602"/>
        <v>0</v>
      </c>
      <c r="AJ413" s="10">
        <f t="shared" si="602"/>
        <v>0</v>
      </c>
      <c r="AK413" s="10">
        <f t="shared" si="602"/>
        <v>0</v>
      </c>
      <c r="AL413" s="10">
        <f t="shared" si="602"/>
        <v>0</v>
      </c>
      <c r="AM413" s="10">
        <f t="shared" si="602"/>
        <v>0</v>
      </c>
      <c r="AN413" s="10">
        <f t="shared" si="602"/>
        <v>0</v>
      </c>
      <c r="AO413" s="10">
        <f t="shared" si="602"/>
        <v>0</v>
      </c>
      <c r="AP413" s="10">
        <f t="shared" si="602"/>
        <v>0</v>
      </c>
      <c r="AQ413" s="10">
        <f t="shared" si="602"/>
        <v>0</v>
      </c>
      <c r="AR413" s="10">
        <f t="shared" ref="AR413:BW413" si="603">AQ415</f>
        <v>0</v>
      </c>
      <c r="AS413" s="10">
        <f t="shared" si="603"/>
        <v>0</v>
      </c>
      <c r="AT413" s="10">
        <f t="shared" si="603"/>
        <v>0</v>
      </c>
      <c r="AU413" s="10">
        <f t="shared" si="603"/>
        <v>0</v>
      </c>
      <c r="AV413" s="10">
        <f t="shared" si="603"/>
        <v>0</v>
      </c>
      <c r="AW413" s="10">
        <f t="shared" si="603"/>
        <v>0</v>
      </c>
      <c r="AX413" s="10">
        <f t="shared" si="603"/>
        <v>0</v>
      </c>
      <c r="AY413" s="10">
        <f t="shared" si="603"/>
        <v>0</v>
      </c>
      <c r="AZ413" s="10">
        <f t="shared" si="603"/>
        <v>0</v>
      </c>
      <c r="BA413" s="10">
        <f t="shared" si="603"/>
        <v>0</v>
      </c>
      <c r="BB413" s="10">
        <f t="shared" si="603"/>
        <v>0</v>
      </c>
      <c r="BC413" s="10">
        <f t="shared" si="603"/>
        <v>0</v>
      </c>
      <c r="BD413" s="10">
        <f t="shared" si="603"/>
        <v>0</v>
      </c>
      <c r="BE413" s="10">
        <f t="shared" si="603"/>
        <v>0</v>
      </c>
      <c r="BF413" s="10">
        <f t="shared" si="603"/>
        <v>0</v>
      </c>
      <c r="BG413" s="10">
        <f t="shared" si="603"/>
        <v>0</v>
      </c>
      <c r="BH413" s="10">
        <f t="shared" si="603"/>
        <v>0</v>
      </c>
      <c r="BI413" s="10">
        <f t="shared" si="603"/>
        <v>0</v>
      </c>
      <c r="BJ413" s="10">
        <f t="shared" si="603"/>
        <v>0</v>
      </c>
      <c r="BK413" s="10">
        <f t="shared" si="603"/>
        <v>0</v>
      </c>
      <c r="BL413" s="10">
        <f t="shared" si="603"/>
        <v>0</v>
      </c>
      <c r="BM413" s="10">
        <f t="shared" si="603"/>
        <v>0</v>
      </c>
      <c r="BN413" s="10">
        <f t="shared" si="603"/>
        <v>0</v>
      </c>
      <c r="BO413" s="10">
        <f t="shared" si="603"/>
        <v>0</v>
      </c>
      <c r="BP413" s="10">
        <f t="shared" si="603"/>
        <v>0</v>
      </c>
      <c r="BQ413" s="10">
        <f t="shared" si="603"/>
        <v>0</v>
      </c>
      <c r="BR413" s="10">
        <f t="shared" si="603"/>
        <v>0</v>
      </c>
      <c r="BS413" s="10">
        <f t="shared" si="603"/>
        <v>0</v>
      </c>
      <c r="BT413" s="10">
        <f t="shared" si="603"/>
        <v>0</v>
      </c>
      <c r="BU413" s="10">
        <f t="shared" si="603"/>
        <v>0</v>
      </c>
      <c r="BV413" s="10">
        <f t="shared" si="603"/>
        <v>0</v>
      </c>
      <c r="BW413" s="10">
        <f t="shared" si="603"/>
        <v>0</v>
      </c>
      <c r="BX413" s="10">
        <f t="shared" ref="BX413:CO413" si="604">BW415</f>
        <v>0</v>
      </c>
      <c r="BY413" s="10">
        <f t="shared" si="604"/>
        <v>0</v>
      </c>
      <c r="BZ413" s="10">
        <f t="shared" si="604"/>
        <v>0</v>
      </c>
      <c r="CA413" s="10">
        <f t="shared" si="604"/>
        <v>0</v>
      </c>
      <c r="CB413" s="10">
        <f t="shared" si="604"/>
        <v>0</v>
      </c>
      <c r="CC413" s="10">
        <f t="shared" si="604"/>
        <v>0</v>
      </c>
      <c r="CD413" s="10">
        <f t="shared" si="604"/>
        <v>0</v>
      </c>
      <c r="CE413" s="10">
        <f t="shared" si="604"/>
        <v>0</v>
      </c>
      <c r="CF413" s="10">
        <f t="shared" si="604"/>
        <v>0</v>
      </c>
      <c r="CG413" s="10">
        <f t="shared" si="604"/>
        <v>0</v>
      </c>
      <c r="CH413" s="10">
        <f t="shared" si="604"/>
        <v>0</v>
      </c>
      <c r="CI413" s="10">
        <f t="shared" si="604"/>
        <v>0</v>
      </c>
      <c r="CJ413" s="10">
        <f t="shared" si="604"/>
        <v>0</v>
      </c>
      <c r="CK413" s="10">
        <f t="shared" si="604"/>
        <v>0</v>
      </c>
      <c r="CL413" s="10">
        <f t="shared" si="604"/>
        <v>0</v>
      </c>
      <c r="CM413" s="10">
        <f t="shared" si="604"/>
        <v>0</v>
      </c>
      <c r="CN413" s="10">
        <f t="shared" si="604"/>
        <v>0</v>
      </c>
      <c r="CO413" s="10">
        <f t="shared" si="604"/>
        <v>0</v>
      </c>
    </row>
    <row r="414" spans="1:93">
      <c r="A414" s="10"/>
      <c r="B414" s="10"/>
      <c r="C414" s="17" t="s">
        <v>126</v>
      </c>
      <c r="D414" s="10"/>
      <c r="E414" s="62"/>
      <c r="F414" s="11"/>
      <c r="G414" s="134" t="str">
        <f>Monetary_Unit</f>
        <v>тыс. руб.</v>
      </c>
      <c r="H414" s="10"/>
      <c r="I414" s="23">
        <f>SUM(L414:CO414)</f>
        <v>0</v>
      </c>
      <c r="J414" s="10"/>
      <c r="K414" s="10"/>
      <c r="L414" s="10">
        <f t="shared" ref="L414:AQ414" si="605" xml:space="preserve"> L329</f>
        <v>0</v>
      </c>
      <c r="M414" s="10">
        <f t="shared" si="605"/>
        <v>0</v>
      </c>
      <c r="N414" s="10">
        <f t="shared" si="605"/>
        <v>0</v>
      </c>
      <c r="O414" s="10">
        <f t="shared" si="605"/>
        <v>0</v>
      </c>
      <c r="P414" s="10">
        <f t="shared" si="605"/>
        <v>0</v>
      </c>
      <c r="Q414" s="10">
        <f t="shared" si="605"/>
        <v>0</v>
      </c>
      <c r="R414" s="10">
        <f t="shared" si="605"/>
        <v>0</v>
      </c>
      <c r="S414" s="10">
        <f t="shared" si="605"/>
        <v>0</v>
      </c>
      <c r="T414" s="10">
        <f t="shared" si="605"/>
        <v>0</v>
      </c>
      <c r="U414" s="10">
        <f t="shared" si="605"/>
        <v>0</v>
      </c>
      <c r="V414" s="10">
        <f t="shared" si="605"/>
        <v>0</v>
      </c>
      <c r="W414" s="10">
        <f t="shared" si="605"/>
        <v>0</v>
      </c>
      <c r="X414" s="10">
        <f t="shared" si="605"/>
        <v>0</v>
      </c>
      <c r="Y414" s="10">
        <f t="shared" si="605"/>
        <v>0</v>
      </c>
      <c r="Z414" s="10">
        <f t="shared" si="605"/>
        <v>0</v>
      </c>
      <c r="AA414" s="10">
        <f t="shared" si="605"/>
        <v>0</v>
      </c>
      <c r="AB414" s="10">
        <f t="shared" si="605"/>
        <v>0</v>
      </c>
      <c r="AC414" s="10">
        <f t="shared" si="605"/>
        <v>0</v>
      </c>
      <c r="AD414" s="10">
        <f t="shared" si="605"/>
        <v>0</v>
      </c>
      <c r="AE414" s="10">
        <f t="shared" si="605"/>
        <v>0</v>
      </c>
      <c r="AF414" s="10">
        <f t="shared" si="605"/>
        <v>0</v>
      </c>
      <c r="AG414" s="10">
        <f t="shared" si="605"/>
        <v>0</v>
      </c>
      <c r="AH414" s="10">
        <f t="shared" si="605"/>
        <v>0</v>
      </c>
      <c r="AI414" s="10">
        <f t="shared" si="605"/>
        <v>0</v>
      </c>
      <c r="AJ414" s="10">
        <f t="shared" si="605"/>
        <v>0</v>
      </c>
      <c r="AK414" s="10">
        <f t="shared" si="605"/>
        <v>0</v>
      </c>
      <c r="AL414" s="10">
        <f t="shared" si="605"/>
        <v>0</v>
      </c>
      <c r="AM414" s="10">
        <f t="shared" si="605"/>
        <v>0</v>
      </c>
      <c r="AN414" s="10">
        <f t="shared" si="605"/>
        <v>0</v>
      </c>
      <c r="AO414" s="10">
        <f t="shared" si="605"/>
        <v>0</v>
      </c>
      <c r="AP414" s="10">
        <f t="shared" si="605"/>
        <v>0</v>
      </c>
      <c r="AQ414" s="10">
        <f t="shared" si="605"/>
        <v>0</v>
      </c>
      <c r="AR414" s="10">
        <f t="shared" ref="AR414:BW414" si="606" xml:space="preserve"> AR329</f>
        <v>0</v>
      </c>
      <c r="AS414" s="10">
        <f t="shared" si="606"/>
        <v>0</v>
      </c>
      <c r="AT414" s="10">
        <f t="shared" si="606"/>
        <v>0</v>
      </c>
      <c r="AU414" s="10">
        <f t="shared" si="606"/>
        <v>0</v>
      </c>
      <c r="AV414" s="10">
        <f t="shared" si="606"/>
        <v>0</v>
      </c>
      <c r="AW414" s="10">
        <f t="shared" si="606"/>
        <v>0</v>
      </c>
      <c r="AX414" s="10">
        <f t="shared" si="606"/>
        <v>0</v>
      </c>
      <c r="AY414" s="10">
        <f t="shared" si="606"/>
        <v>0</v>
      </c>
      <c r="AZ414" s="10">
        <f t="shared" si="606"/>
        <v>0</v>
      </c>
      <c r="BA414" s="10">
        <f t="shared" si="606"/>
        <v>0</v>
      </c>
      <c r="BB414" s="10">
        <f t="shared" si="606"/>
        <v>0</v>
      </c>
      <c r="BC414" s="10">
        <f t="shared" si="606"/>
        <v>0</v>
      </c>
      <c r="BD414" s="10">
        <f t="shared" si="606"/>
        <v>0</v>
      </c>
      <c r="BE414" s="10">
        <f t="shared" si="606"/>
        <v>0</v>
      </c>
      <c r="BF414" s="10">
        <f t="shared" si="606"/>
        <v>0</v>
      </c>
      <c r="BG414" s="10">
        <f t="shared" si="606"/>
        <v>0</v>
      </c>
      <c r="BH414" s="10">
        <f t="shared" si="606"/>
        <v>0</v>
      </c>
      <c r="BI414" s="10">
        <f t="shared" si="606"/>
        <v>0</v>
      </c>
      <c r="BJ414" s="10">
        <f t="shared" si="606"/>
        <v>0</v>
      </c>
      <c r="BK414" s="10">
        <f t="shared" si="606"/>
        <v>0</v>
      </c>
      <c r="BL414" s="10">
        <f t="shared" si="606"/>
        <v>0</v>
      </c>
      <c r="BM414" s="10">
        <f t="shared" si="606"/>
        <v>0</v>
      </c>
      <c r="BN414" s="10">
        <f t="shared" si="606"/>
        <v>0</v>
      </c>
      <c r="BO414" s="10">
        <f t="shared" si="606"/>
        <v>0</v>
      </c>
      <c r="BP414" s="10">
        <f t="shared" si="606"/>
        <v>0</v>
      </c>
      <c r="BQ414" s="10">
        <f t="shared" si="606"/>
        <v>0</v>
      </c>
      <c r="BR414" s="10">
        <f t="shared" si="606"/>
        <v>0</v>
      </c>
      <c r="BS414" s="10">
        <f t="shared" si="606"/>
        <v>0</v>
      </c>
      <c r="BT414" s="10">
        <f t="shared" si="606"/>
        <v>0</v>
      </c>
      <c r="BU414" s="10">
        <f t="shared" si="606"/>
        <v>0</v>
      </c>
      <c r="BV414" s="10">
        <f t="shared" si="606"/>
        <v>0</v>
      </c>
      <c r="BW414" s="10">
        <f t="shared" si="606"/>
        <v>0</v>
      </c>
      <c r="BX414" s="10">
        <f t="shared" ref="BX414:CO414" si="607" xml:space="preserve"> BX329</f>
        <v>0</v>
      </c>
      <c r="BY414" s="10">
        <f t="shared" si="607"/>
        <v>0</v>
      </c>
      <c r="BZ414" s="10">
        <f t="shared" si="607"/>
        <v>0</v>
      </c>
      <c r="CA414" s="10">
        <f t="shared" si="607"/>
        <v>0</v>
      </c>
      <c r="CB414" s="10">
        <f t="shared" si="607"/>
        <v>0</v>
      </c>
      <c r="CC414" s="10">
        <f t="shared" si="607"/>
        <v>0</v>
      </c>
      <c r="CD414" s="10">
        <f t="shared" si="607"/>
        <v>0</v>
      </c>
      <c r="CE414" s="10">
        <f t="shared" si="607"/>
        <v>0</v>
      </c>
      <c r="CF414" s="10">
        <f t="shared" si="607"/>
        <v>0</v>
      </c>
      <c r="CG414" s="10">
        <f t="shared" si="607"/>
        <v>0</v>
      </c>
      <c r="CH414" s="10">
        <f t="shared" si="607"/>
        <v>0</v>
      </c>
      <c r="CI414" s="10">
        <f t="shared" si="607"/>
        <v>0</v>
      </c>
      <c r="CJ414" s="10">
        <f t="shared" si="607"/>
        <v>0</v>
      </c>
      <c r="CK414" s="10">
        <f t="shared" si="607"/>
        <v>0</v>
      </c>
      <c r="CL414" s="10">
        <f t="shared" si="607"/>
        <v>0</v>
      </c>
      <c r="CM414" s="10">
        <f t="shared" si="607"/>
        <v>0</v>
      </c>
      <c r="CN414" s="10">
        <f t="shared" si="607"/>
        <v>0</v>
      </c>
      <c r="CO414" s="10">
        <f t="shared" si="607"/>
        <v>0</v>
      </c>
    </row>
    <row r="415" spans="1:93">
      <c r="A415" s="10"/>
      <c r="B415" s="10"/>
      <c r="C415" s="17" t="s">
        <v>128</v>
      </c>
      <c r="D415" s="10"/>
      <c r="E415" s="62"/>
      <c r="F415" s="11"/>
      <c r="G415" s="134" t="str">
        <f>Monetary_Unit</f>
        <v>тыс. руб.</v>
      </c>
      <c r="H415" s="10"/>
      <c r="I415" s="10"/>
      <c r="J415" s="10"/>
      <c r="K415" s="10"/>
      <c r="L415" s="10">
        <f t="shared" ref="L415:R415" si="608" xml:space="preserve"> SUM(L413:L414)</f>
        <v>0</v>
      </c>
      <c r="M415" s="10">
        <f t="shared" si="608"/>
        <v>0</v>
      </c>
      <c r="N415" s="10">
        <f t="shared" si="608"/>
        <v>0</v>
      </c>
      <c r="O415" s="10">
        <f t="shared" si="608"/>
        <v>0</v>
      </c>
      <c r="P415" s="10">
        <f t="shared" si="608"/>
        <v>0</v>
      </c>
      <c r="Q415" s="10">
        <f t="shared" si="608"/>
        <v>0</v>
      </c>
      <c r="R415" s="10">
        <f t="shared" si="608"/>
        <v>0</v>
      </c>
      <c r="S415" s="10">
        <f t="shared" ref="S415:CD415" si="609" xml:space="preserve"> SUM(S413:S414)</f>
        <v>0</v>
      </c>
      <c r="T415" s="10">
        <f t="shared" si="609"/>
        <v>0</v>
      </c>
      <c r="U415" s="10">
        <f t="shared" si="609"/>
        <v>0</v>
      </c>
      <c r="V415" s="10">
        <f t="shared" si="609"/>
        <v>0</v>
      </c>
      <c r="W415" s="10">
        <f t="shared" si="609"/>
        <v>0</v>
      </c>
      <c r="X415" s="10">
        <f t="shared" si="609"/>
        <v>0</v>
      </c>
      <c r="Y415" s="10">
        <f t="shared" si="609"/>
        <v>0</v>
      </c>
      <c r="Z415" s="10">
        <f t="shared" si="609"/>
        <v>0</v>
      </c>
      <c r="AA415" s="10">
        <f t="shared" si="609"/>
        <v>0</v>
      </c>
      <c r="AB415" s="10">
        <f t="shared" si="609"/>
        <v>0</v>
      </c>
      <c r="AC415" s="10">
        <f t="shared" si="609"/>
        <v>0</v>
      </c>
      <c r="AD415" s="10">
        <f t="shared" si="609"/>
        <v>0</v>
      </c>
      <c r="AE415" s="10">
        <f t="shared" si="609"/>
        <v>0</v>
      </c>
      <c r="AF415" s="10">
        <f t="shared" si="609"/>
        <v>0</v>
      </c>
      <c r="AG415" s="10">
        <f t="shared" si="609"/>
        <v>0</v>
      </c>
      <c r="AH415" s="10">
        <f t="shared" si="609"/>
        <v>0</v>
      </c>
      <c r="AI415" s="10">
        <f t="shared" si="609"/>
        <v>0</v>
      </c>
      <c r="AJ415" s="10">
        <f t="shared" si="609"/>
        <v>0</v>
      </c>
      <c r="AK415" s="10">
        <f t="shared" si="609"/>
        <v>0</v>
      </c>
      <c r="AL415" s="10">
        <f t="shared" si="609"/>
        <v>0</v>
      </c>
      <c r="AM415" s="10">
        <f t="shared" si="609"/>
        <v>0</v>
      </c>
      <c r="AN415" s="10">
        <f t="shared" si="609"/>
        <v>0</v>
      </c>
      <c r="AO415" s="10">
        <f t="shared" si="609"/>
        <v>0</v>
      </c>
      <c r="AP415" s="10">
        <f t="shared" si="609"/>
        <v>0</v>
      </c>
      <c r="AQ415" s="10">
        <f t="shared" si="609"/>
        <v>0</v>
      </c>
      <c r="AR415" s="10">
        <f t="shared" si="609"/>
        <v>0</v>
      </c>
      <c r="AS415" s="10">
        <f t="shared" si="609"/>
        <v>0</v>
      </c>
      <c r="AT415" s="10">
        <f t="shared" si="609"/>
        <v>0</v>
      </c>
      <c r="AU415" s="10">
        <f t="shared" si="609"/>
        <v>0</v>
      </c>
      <c r="AV415" s="10">
        <f t="shared" si="609"/>
        <v>0</v>
      </c>
      <c r="AW415" s="10">
        <f t="shared" si="609"/>
        <v>0</v>
      </c>
      <c r="AX415" s="10">
        <f t="shared" si="609"/>
        <v>0</v>
      </c>
      <c r="AY415" s="10">
        <f t="shared" si="609"/>
        <v>0</v>
      </c>
      <c r="AZ415" s="10">
        <f t="shared" si="609"/>
        <v>0</v>
      </c>
      <c r="BA415" s="10">
        <f t="shared" si="609"/>
        <v>0</v>
      </c>
      <c r="BB415" s="10">
        <f t="shared" si="609"/>
        <v>0</v>
      </c>
      <c r="BC415" s="10">
        <f t="shared" si="609"/>
        <v>0</v>
      </c>
      <c r="BD415" s="10">
        <f t="shared" si="609"/>
        <v>0</v>
      </c>
      <c r="BE415" s="10">
        <f t="shared" si="609"/>
        <v>0</v>
      </c>
      <c r="BF415" s="10">
        <f t="shared" si="609"/>
        <v>0</v>
      </c>
      <c r="BG415" s="10">
        <f t="shared" si="609"/>
        <v>0</v>
      </c>
      <c r="BH415" s="10">
        <f t="shared" si="609"/>
        <v>0</v>
      </c>
      <c r="BI415" s="10">
        <f t="shared" si="609"/>
        <v>0</v>
      </c>
      <c r="BJ415" s="10">
        <f t="shared" si="609"/>
        <v>0</v>
      </c>
      <c r="BK415" s="10">
        <f t="shared" si="609"/>
        <v>0</v>
      </c>
      <c r="BL415" s="10">
        <f t="shared" si="609"/>
        <v>0</v>
      </c>
      <c r="BM415" s="10">
        <f t="shared" si="609"/>
        <v>0</v>
      </c>
      <c r="BN415" s="10">
        <f t="shared" si="609"/>
        <v>0</v>
      </c>
      <c r="BO415" s="10">
        <f t="shared" si="609"/>
        <v>0</v>
      </c>
      <c r="BP415" s="10">
        <f t="shared" si="609"/>
        <v>0</v>
      </c>
      <c r="BQ415" s="10">
        <f t="shared" si="609"/>
        <v>0</v>
      </c>
      <c r="BR415" s="10">
        <f t="shared" si="609"/>
        <v>0</v>
      </c>
      <c r="BS415" s="10">
        <f t="shared" si="609"/>
        <v>0</v>
      </c>
      <c r="BT415" s="10">
        <f t="shared" si="609"/>
        <v>0</v>
      </c>
      <c r="BU415" s="10">
        <f t="shared" si="609"/>
        <v>0</v>
      </c>
      <c r="BV415" s="10">
        <f t="shared" si="609"/>
        <v>0</v>
      </c>
      <c r="BW415" s="10">
        <f t="shared" si="609"/>
        <v>0</v>
      </c>
      <c r="BX415" s="10">
        <f t="shared" si="609"/>
        <v>0</v>
      </c>
      <c r="BY415" s="10">
        <f t="shared" si="609"/>
        <v>0</v>
      </c>
      <c r="BZ415" s="10">
        <f t="shared" si="609"/>
        <v>0</v>
      </c>
      <c r="CA415" s="10">
        <f t="shared" si="609"/>
        <v>0</v>
      </c>
      <c r="CB415" s="10">
        <f t="shared" si="609"/>
        <v>0</v>
      </c>
      <c r="CC415" s="10">
        <f t="shared" si="609"/>
        <v>0</v>
      </c>
      <c r="CD415" s="10">
        <f t="shared" si="609"/>
        <v>0</v>
      </c>
      <c r="CE415" s="10">
        <f t="shared" ref="CE415:CO415" si="610" xml:space="preserve"> SUM(CE413:CE414)</f>
        <v>0</v>
      </c>
      <c r="CF415" s="10">
        <f t="shared" si="610"/>
        <v>0</v>
      </c>
      <c r="CG415" s="10">
        <f t="shared" si="610"/>
        <v>0</v>
      </c>
      <c r="CH415" s="10">
        <f t="shared" si="610"/>
        <v>0</v>
      </c>
      <c r="CI415" s="10">
        <f t="shared" si="610"/>
        <v>0</v>
      </c>
      <c r="CJ415" s="10">
        <f t="shared" si="610"/>
        <v>0</v>
      </c>
      <c r="CK415" s="10">
        <f t="shared" si="610"/>
        <v>0</v>
      </c>
      <c r="CL415" s="10">
        <f t="shared" si="610"/>
        <v>0</v>
      </c>
      <c r="CM415" s="10">
        <f t="shared" si="610"/>
        <v>0</v>
      </c>
      <c r="CN415" s="10">
        <f t="shared" si="610"/>
        <v>0</v>
      </c>
      <c r="CO415" s="10">
        <f t="shared" si="610"/>
        <v>0</v>
      </c>
    </row>
    <row r="416" spans="1:93">
      <c r="A416" s="10"/>
      <c r="B416" s="10"/>
      <c r="C416" s="17"/>
      <c r="D416" s="10"/>
      <c r="E416" s="62"/>
      <c r="F416" s="11"/>
      <c r="G416" s="11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10"/>
      <c r="BK416" s="10"/>
      <c r="BL416" s="10"/>
      <c r="BM416" s="10"/>
      <c r="BN416" s="10"/>
      <c r="BO416" s="10"/>
      <c r="BP416" s="10"/>
      <c r="BQ416" s="10"/>
      <c r="BR416" s="10"/>
      <c r="BS416" s="10"/>
      <c r="BT416" s="10"/>
      <c r="BU416" s="10"/>
      <c r="BV416" s="10"/>
      <c r="BW416" s="10"/>
      <c r="BX416" s="10"/>
      <c r="BY416" s="10"/>
      <c r="BZ416" s="10"/>
      <c r="CA416" s="10"/>
      <c r="CB416" s="10"/>
      <c r="CC416" s="10"/>
      <c r="CD416" s="10"/>
      <c r="CE416" s="10"/>
      <c r="CF416" s="10"/>
      <c r="CG416" s="10"/>
      <c r="CH416" s="10"/>
      <c r="CI416" s="10"/>
      <c r="CJ416" s="10"/>
      <c r="CK416" s="10"/>
      <c r="CL416" s="10"/>
      <c r="CM416" s="10"/>
      <c r="CN416" s="10"/>
      <c r="CO416" s="10"/>
    </row>
    <row r="417" spans="1:93" ht="16.5" thickBot="1">
      <c r="A417" s="10"/>
      <c r="B417" s="10"/>
      <c r="C417" s="12" t="s">
        <v>316</v>
      </c>
      <c r="D417" s="12"/>
      <c r="E417" s="12"/>
      <c r="F417" s="12"/>
      <c r="G417" s="360"/>
      <c r="H417" s="12"/>
      <c r="I417" s="12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10"/>
      <c r="BK417" s="10"/>
      <c r="BL417" s="10"/>
      <c r="BM417" s="10"/>
      <c r="BN417" s="10"/>
      <c r="BO417" s="10"/>
      <c r="BP417" s="10"/>
      <c r="BQ417" s="10"/>
      <c r="BR417" s="10"/>
      <c r="BS417" s="10"/>
      <c r="BT417" s="10"/>
      <c r="BU417" s="10"/>
      <c r="BV417" s="10"/>
      <c r="BW417" s="10"/>
      <c r="BX417" s="10"/>
      <c r="BY417" s="10"/>
      <c r="BZ417" s="10"/>
      <c r="CA417" s="10"/>
      <c r="CB417" s="10"/>
      <c r="CC417" s="10"/>
      <c r="CD417" s="10"/>
      <c r="CE417" s="10"/>
      <c r="CF417" s="10"/>
      <c r="CG417" s="10"/>
      <c r="CH417" s="10"/>
      <c r="CI417" s="10"/>
      <c r="CJ417" s="10"/>
      <c r="CK417" s="10"/>
      <c r="CL417" s="10"/>
      <c r="CM417" s="10"/>
      <c r="CN417" s="10"/>
      <c r="CO417" s="10"/>
    </row>
    <row r="418" spans="1:93">
      <c r="A418" s="10"/>
      <c r="B418" s="10"/>
      <c r="C418" s="21"/>
      <c r="D418" s="10"/>
      <c r="E418" s="62"/>
      <c r="F418" s="11"/>
      <c r="G418" s="11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  <c r="BA418" s="10"/>
      <c r="BB418" s="10"/>
      <c r="BC418" s="10"/>
      <c r="BD418" s="10"/>
      <c r="BE418" s="10"/>
      <c r="BF418" s="10"/>
      <c r="BG418" s="10"/>
      <c r="BH418" s="10"/>
      <c r="BI418" s="10"/>
      <c r="BJ418" s="10"/>
      <c r="BK418" s="10"/>
      <c r="BL418" s="10"/>
      <c r="BM418" s="10"/>
      <c r="BN418" s="10"/>
      <c r="BO418" s="10"/>
      <c r="BP418" s="10"/>
      <c r="BQ418" s="10"/>
      <c r="BR418" s="10"/>
      <c r="BS418" s="10"/>
      <c r="BT418" s="10"/>
      <c r="BU418" s="10"/>
      <c r="BV418" s="10"/>
      <c r="BW418" s="10"/>
      <c r="BX418" s="10"/>
      <c r="BY418" s="10"/>
      <c r="BZ418" s="10"/>
      <c r="CA418" s="10"/>
      <c r="CB418" s="10"/>
      <c r="CC418" s="10"/>
      <c r="CD418" s="10"/>
      <c r="CE418" s="10"/>
      <c r="CF418" s="10"/>
      <c r="CG418" s="10"/>
      <c r="CH418" s="10"/>
      <c r="CI418" s="10"/>
      <c r="CJ418" s="10"/>
      <c r="CK418" s="10"/>
      <c r="CL418" s="10"/>
      <c r="CM418" s="10"/>
      <c r="CN418" s="10"/>
      <c r="CO418" s="10"/>
    </row>
    <row r="419" spans="1:93">
      <c r="A419" s="10"/>
      <c r="B419" s="10"/>
      <c r="C419" s="87" t="s">
        <v>841</v>
      </c>
      <c r="D419" s="10"/>
      <c r="E419" s="62"/>
      <c r="F419" s="11"/>
      <c r="G419" s="11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</row>
    <row r="420" spans="1:93">
      <c r="A420" s="10"/>
      <c r="B420" s="10"/>
      <c r="C420" s="17" t="s">
        <v>386</v>
      </c>
      <c r="D420" s="10"/>
      <c r="E420" s="184">
        <f xml:space="preserve"> Предпосылки!E370</f>
        <v>30</v>
      </c>
      <c r="F420" s="11"/>
      <c r="G420" s="11" t="s">
        <v>123</v>
      </c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  <c r="BA420" s="10"/>
      <c r="BB420" s="10"/>
      <c r="BC420" s="10"/>
      <c r="BD420" s="10"/>
      <c r="BE420" s="10"/>
      <c r="BF420" s="10"/>
      <c r="BG420" s="10"/>
      <c r="BH420" s="10"/>
      <c r="BI420" s="10"/>
      <c r="BJ420" s="10"/>
      <c r="BK420" s="10"/>
      <c r="BL420" s="10"/>
      <c r="BM420" s="10"/>
      <c r="BN420" s="10"/>
      <c r="BO420" s="10"/>
      <c r="BP420" s="10"/>
      <c r="BQ420" s="10"/>
      <c r="BR420" s="10"/>
      <c r="BS420" s="10"/>
      <c r="BT420" s="10"/>
      <c r="BU420" s="10"/>
      <c r="BV420" s="10"/>
      <c r="BW420" s="10"/>
      <c r="BX420" s="10"/>
      <c r="BY420" s="10"/>
      <c r="BZ420" s="10"/>
      <c r="CA420" s="10"/>
      <c r="CB420" s="10"/>
      <c r="CC420" s="10"/>
      <c r="CD420" s="10"/>
      <c r="CE420" s="10"/>
      <c r="CF420" s="10"/>
      <c r="CG420" s="10"/>
      <c r="CH420" s="10"/>
      <c r="CI420" s="10"/>
      <c r="CJ420" s="10"/>
      <c r="CK420" s="10"/>
      <c r="CL420" s="10"/>
      <c r="CM420" s="10"/>
      <c r="CN420" s="10"/>
      <c r="CO420" s="10"/>
    </row>
    <row r="421" spans="1:93">
      <c r="A421" s="10"/>
      <c r="B421" s="10"/>
      <c r="C421" s="17" t="s">
        <v>387</v>
      </c>
      <c r="D421" s="10"/>
      <c r="E421" s="182"/>
      <c r="F421" s="11"/>
      <c r="G421" s="11" t="s">
        <v>28</v>
      </c>
      <c r="H421" s="10"/>
      <c r="I421" s="10"/>
      <c r="J421" s="10"/>
      <c r="K421" s="10"/>
      <c r="L421" s="157">
        <f t="shared" ref="L421:R421" si="611" xml:space="preserve"> IF($E420&lt;&gt;0,1/$E420,0)/Periods_in_Year</f>
        <v>8.3333333333333332E-3</v>
      </c>
      <c r="M421" s="157">
        <f t="shared" si="611"/>
        <v>8.3333333333333332E-3</v>
      </c>
      <c r="N421" s="157">
        <f t="shared" si="611"/>
        <v>8.3333333333333332E-3</v>
      </c>
      <c r="O421" s="157">
        <f t="shared" si="611"/>
        <v>8.3333333333333332E-3</v>
      </c>
      <c r="P421" s="157">
        <f t="shared" si="611"/>
        <v>8.3333333333333332E-3</v>
      </c>
      <c r="Q421" s="157">
        <f t="shared" si="611"/>
        <v>8.3333333333333332E-3</v>
      </c>
      <c r="R421" s="157">
        <f t="shared" si="611"/>
        <v>8.3333333333333332E-3</v>
      </c>
      <c r="S421" s="157">
        <f t="shared" ref="S421:CD421" si="612" xml:space="preserve"> IF($E420&lt;&gt;0,1/$E420,0)/Periods_in_Year</f>
        <v>8.3333333333333332E-3</v>
      </c>
      <c r="T421" s="157">
        <f t="shared" si="612"/>
        <v>8.3333333333333332E-3</v>
      </c>
      <c r="U421" s="157">
        <f t="shared" si="612"/>
        <v>8.3333333333333332E-3</v>
      </c>
      <c r="V421" s="157">
        <f t="shared" si="612"/>
        <v>8.3333333333333332E-3</v>
      </c>
      <c r="W421" s="157">
        <f t="shared" si="612"/>
        <v>8.3333333333333332E-3</v>
      </c>
      <c r="X421" s="157">
        <f t="shared" si="612"/>
        <v>8.3333333333333332E-3</v>
      </c>
      <c r="Y421" s="157">
        <f t="shared" si="612"/>
        <v>8.3333333333333332E-3</v>
      </c>
      <c r="Z421" s="157">
        <f t="shared" si="612"/>
        <v>8.3333333333333332E-3</v>
      </c>
      <c r="AA421" s="157">
        <f t="shared" si="612"/>
        <v>8.3333333333333332E-3</v>
      </c>
      <c r="AB421" s="157">
        <f t="shared" si="612"/>
        <v>8.3333333333333332E-3</v>
      </c>
      <c r="AC421" s="157">
        <f t="shared" si="612"/>
        <v>8.3333333333333332E-3</v>
      </c>
      <c r="AD421" s="157">
        <f t="shared" si="612"/>
        <v>8.3333333333333332E-3</v>
      </c>
      <c r="AE421" s="157">
        <f t="shared" si="612"/>
        <v>8.3333333333333332E-3</v>
      </c>
      <c r="AF421" s="157">
        <f t="shared" si="612"/>
        <v>8.3333333333333332E-3</v>
      </c>
      <c r="AG421" s="157">
        <f t="shared" si="612"/>
        <v>8.3333333333333332E-3</v>
      </c>
      <c r="AH421" s="157">
        <f t="shared" si="612"/>
        <v>8.3333333333333332E-3</v>
      </c>
      <c r="AI421" s="157">
        <f t="shared" si="612"/>
        <v>8.3333333333333332E-3</v>
      </c>
      <c r="AJ421" s="157">
        <f t="shared" si="612"/>
        <v>8.3333333333333332E-3</v>
      </c>
      <c r="AK421" s="157">
        <f t="shared" si="612"/>
        <v>8.3333333333333332E-3</v>
      </c>
      <c r="AL421" s="157">
        <f t="shared" si="612"/>
        <v>8.3333333333333332E-3</v>
      </c>
      <c r="AM421" s="157">
        <f t="shared" si="612"/>
        <v>8.3333333333333332E-3</v>
      </c>
      <c r="AN421" s="157">
        <f t="shared" si="612"/>
        <v>8.3333333333333332E-3</v>
      </c>
      <c r="AO421" s="157">
        <f t="shared" si="612"/>
        <v>8.3333333333333332E-3</v>
      </c>
      <c r="AP421" s="157">
        <f t="shared" si="612"/>
        <v>8.3333333333333332E-3</v>
      </c>
      <c r="AQ421" s="157">
        <f t="shared" si="612"/>
        <v>8.3333333333333332E-3</v>
      </c>
      <c r="AR421" s="157">
        <f t="shared" si="612"/>
        <v>8.3333333333333332E-3</v>
      </c>
      <c r="AS421" s="157">
        <f t="shared" si="612"/>
        <v>8.3333333333333332E-3</v>
      </c>
      <c r="AT421" s="157">
        <f t="shared" si="612"/>
        <v>8.3333333333333332E-3</v>
      </c>
      <c r="AU421" s="157">
        <f t="shared" si="612"/>
        <v>8.3333333333333332E-3</v>
      </c>
      <c r="AV421" s="157">
        <f t="shared" si="612"/>
        <v>8.3333333333333332E-3</v>
      </c>
      <c r="AW421" s="157">
        <f t="shared" si="612"/>
        <v>8.3333333333333332E-3</v>
      </c>
      <c r="AX421" s="157">
        <f t="shared" si="612"/>
        <v>8.3333333333333332E-3</v>
      </c>
      <c r="AY421" s="157">
        <f t="shared" si="612"/>
        <v>8.3333333333333332E-3</v>
      </c>
      <c r="AZ421" s="157">
        <f t="shared" si="612"/>
        <v>8.3333333333333332E-3</v>
      </c>
      <c r="BA421" s="157">
        <f t="shared" si="612"/>
        <v>8.3333333333333332E-3</v>
      </c>
      <c r="BB421" s="157">
        <f t="shared" si="612"/>
        <v>8.3333333333333332E-3</v>
      </c>
      <c r="BC421" s="157">
        <f t="shared" si="612"/>
        <v>8.3333333333333332E-3</v>
      </c>
      <c r="BD421" s="157">
        <f t="shared" si="612"/>
        <v>8.3333333333333332E-3</v>
      </c>
      <c r="BE421" s="157">
        <f t="shared" si="612"/>
        <v>8.3333333333333332E-3</v>
      </c>
      <c r="BF421" s="157">
        <f t="shared" si="612"/>
        <v>8.3333333333333332E-3</v>
      </c>
      <c r="BG421" s="157">
        <f t="shared" si="612"/>
        <v>8.3333333333333332E-3</v>
      </c>
      <c r="BH421" s="157">
        <f t="shared" si="612"/>
        <v>8.3333333333333332E-3</v>
      </c>
      <c r="BI421" s="157">
        <f t="shared" si="612"/>
        <v>8.3333333333333332E-3</v>
      </c>
      <c r="BJ421" s="157">
        <f t="shared" si="612"/>
        <v>8.3333333333333332E-3</v>
      </c>
      <c r="BK421" s="157">
        <f t="shared" si="612"/>
        <v>8.3333333333333332E-3</v>
      </c>
      <c r="BL421" s="157">
        <f t="shared" si="612"/>
        <v>8.3333333333333332E-3</v>
      </c>
      <c r="BM421" s="157">
        <f t="shared" si="612"/>
        <v>8.3333333333333332E-3</v>
      </c>
      <c r="BN421" s="157">
        <f t="shared" si="612"/>
        <v>8.3333333333333332E-3</v>
      </c>
      <c r="BO421" s="157">
        <f t="shared" si="612"/>
        <v>8.3333333333333332E-3</v>
      </c>
      <c r="BP421" s="157">
        <f t="shared" si="612"/>
        <v>8.3333333333333332E-3</v>
      </c>
      <c r="BQ421" s="157">
        <f t="shared" si="612"/>
        <v>8.3333333333333332E-3</v>
      </c>
      <c r="BR421" s="157">
        <f t="shared" si="612"/>
        <v>8.3333333333333332E-3</v>
      </c>
      <c r="BS421" s="157">
        <f t="shared" si="612"/>
        <v>8.3333333333333332E-3</v>
      </c>
      <c r="BT421" s="157">
        <f t="shared" si="612"/>
        <v>8.3333333333333332E-3</v>
      </c>
      <c r="BU421" s="157">
        <f t="shared" si="612"/>
        <v>8.3333333333333332E-3</v>
      </c>
      <c r="BV421" s="157">
        <f t="shared" si="612"/>
        <v>8.3333333333333332E-3</v>
      </c>
      <c r="BW421" s="157">
        <f t="shared" si="612"/>
        <v>8.3333333333333332E-3</v>
      </c>
      <c r="BX421" s="157">
        <f t="shared" si="612"/>
        <v>8.3333333333333332E-3</v>
      </c>
      <c r="BY421" s="157">
        <f t="shared" si="612"/>
        <v>8.3333333333333332E-3</v>
      </c>
      <c r="BZ421" s="157">
        <f t="shared" si="612"/>
        <v>8.3333333333333332E-3</v>
      </c>
      <c r="CA421" s="157">
        <f t="shared" si="612"/>
        <v>8.3333333333333332E-3</v>
      </c>
      <c r="CB421" s="157">
        <f t="shared" si="612"/>
        <v>8.3333333333333332E-3</v>
      </c>
      <c r="CC421" s="157">
        <f t="shared" si="612"/>
        <v>8.3333333333333332E-3</v>
      </c>
      <c r="CD421" s="157">
        <f t="shared" si="612"/>
        <v>8.3333333333333332E-3</v>
      </c>
      <c r="CE421" s="157">
        <f t="shared" ref="CE421:CO421" si="613" xml:space="preserve"> IF($E420&lt;&gt;0,1/$E420,0)/Periods_in_Year</f>
        <v>8.3333333333333332E-3</v>
      </c>
      <c r="CF421" s="157">
        <f t="shared" si="613"/>
        <v>8.3333333333333332E-3</v>
      </c>
      <c r="CG421" s="157">
        <f t="shared" si="613"/>
        <v>8.3333333333333332E-3</v>
      </c>
      <c r="CH421" s="157">
        <f t="shared" si="613"/>
        <v>8.3333333333333332E-3</v>
      </c>
      <c r="CI421" s="157">
        <f t="shared" si="613"/>
        <v>8.3333333333333332E-3</v>
      </c>
      <c r="CJ421" s="157">
        <f t="shared" si="613"/>
        <v>8.3333333333333332E-3</v>
      </c>
      <c r="CK421" s="157">
        <f t="shared" si="613"/>
        <v>8.3333333333333332E-3</v>
      </c>
      <c r="CL421" s="157">
        <f t="shared" si="613"/>
        <v>8.3333333333333332E-3</v>
      </c>
      <c r="CM421" s="157">
        <f t="shared" si="613"/>
        <v>8.3333333333333332E-3</v>
      </c>
      <c r="CN421" s="157">
        <f t="shared" si="613"/>
        <v>8.3333333333333332E-3</v>
      </c>
      <c r="CO421" s="157">
        <f t="shared" si="613"/>
        <v>8.3333333333333332E-3</v>
      </c>
    </row>
    <row r="422" spans="1:93">
      <c r="A422" s="10"/>
      <c r="B422" s="10"/>
      <c r="C422" s="17" t="s">
        <v>125</v>
      </c>
      <c r="D422" s="10"/>
      <c r="E422" s="62"/>
      <c r="F422" s="11"/>
      <c r="G422" s="134" t="str">
        <f t="shared" ref="G422:G428" si="614">Monetary_Unit</f>
        <v>тыс. руб.</v>
      </c>
      <c r="H422" s="10"/>
      <c r="I422" s="10"/>
      <c r="J422" s="10"/>
      <c r="K422" s="10"/>
      <c r="L422" s="52">
        <f t="shared" ref="L422:AQ422" si="615" xml:space="preserve"> K428</f>
        <v>0</v>
      </c>
      <c r="M422" s="52">
        <f t="shared" ca="1" si="615"/>
        <v>0</v>
      </c>
      <c r="N422" s="52">
        <f t="shared" ca="1" si="615"/>
        <v>0</v>
      </c>
      <c r="O422" s="52">
        <f t="shared" ca="1" si="615"/>
        <v>0</v>
      </c>
      <c r="P422" s="52">
        <f t="shared" ca="1" si="615"/>
        <v>0</v>
      </c>
      <c r="Q422" s="52">
        <f t="shared" ca="1" si="615"/>
        <v>0</v>
      </c>
      <c r="R422" s="52">
        <f t="shared" ca="1" si="615"/>
        <v>0</v>
      </c>
      <c r="S422" s="52">
        <f t="shared" ca="1" si="615"/>
        <v>0</v>
      </c>
      <c r="T422" s="52">
        <f t="shared" ca="1" si="615"/>
        <v>0</v>
      </c>
      <c r="U422" s="52">
        <f t="shared" ca="1" si="615"/>
        <v>0</v>
      </c>
      <c r="V422" s="52">
        <f t="shared" ca="1" si="615"/>
        <v>0</v>
      </c>
      <c r="W422" s="52">
        <f t="shared" ca="1" si="615"/>
        <v>0</v>
      </c>
      <c r="X422" s="52">
        <f t="shared" ca="1" si="615"/>
        <v>0</v>
      </c>
      <c r="Y422" s="52">
        <f t="shared" ca="1" si="615"/>
        <v>0</v>
      </c>
      <c r="Z422" s="52">
        <f t="shared" ca="1" si="615"/>
        <v>0</v>
      </c>
      <c r="AA422" s="52">
        <f t="shared" ca="1" si="615"/>
        <v>0</v>
      </c>
      <c r="AB422" s="52">
        <f t="shared" ca="1" si="615"/>
        <v>0</v>
      </c>
      <c r="AC422" s="52">
        <f t="shared" ca="1" si="615"/>
        <v>27774.797642991573</v>
      </c>
      <c r="AD422" s="52">
        <f t="shared" ca="1" si="615"/>
        <v>24789.006896369978</v>
      </c>
      <c r="AE422" s="52">
        <f t="shared" ca="1" si="615"/>
        <v>24580.695914047541</v>
      </c>
      <c r="AF422" s="52">
        <f t="shared" ca="1" si="615"/>
        <v>24372.384931725104</v>
      </c>
      <c r="AG422" s="52">
        <f t="shared" ca="1" si="615"/>
        <v>24164.073949402667</v>
      </c>
      <c r="AH422" s="52">
        <f t="shared" ca="1" si="615"/>
        <v>23955.762967080231</v>
      </c>
      <c r="AI422" s="52">
        <f t="shared" ca="1" si="615"/>
        <v>23747.451984757794</v>
      </c>
      <c r="AJ422" s="52">
        <f t="shared" ca="1" si="615"/>
        <v>23539.141002435357</v>
      </c>
      <c r="AK422" s="52">
        <f t="shared" ca="1" si="615"/>
        <v>23330.83002011292</v>
      </c>
      <c r="AL422" s="52">
        <f t="shared" ca="1" si="615"/>
        <v>23122.519037790484</v>
      </c>
      <c r="AM422" s="52">
        <f t="shared" ca="1" si="615"/>
        <v>22914.208055468047</v>
      </c>
      <c r="AN422" s="52">
        <f t="shared" ca="1" si="615"/>
        <v>22705.89707314561</v>
      </c>
      <c r="AO422" s="52">
        <f t="shared" ca="1" si="615"/>
        <v>22497.586090823173</v>
      </c>
      <c r="AP422" s="52">
        <f t="shared" ca="1" si="615"/>
        <v>22289.275108500737</v>
      </c>
      <c r="AQ422" s="52">
        <f t="shared" ca="1" si="615"/>
        <v>22080.9641261783</v>
      </c>
      <c r="AR422" s="52">
        <f t="shared" ref="AR422:BW422" ca="1" si="616" xml:space="preserve"> AQ428</f>
        <v>21872.653143855863</v>
      </c>
      <c r="AS422" s="52">
        <f t="shared" ca="1" si="616"/>
        <v>21664.342161533426</v>
      </c>
      <c r="AT422" s="52">
        <f t="shared" ca="1" si="616"/>
        <v>21456.03117921099</v>
      </c>
      <c r="AU422" s="52">
        <f t="shared" ca="1" si="616"/>
        <v>21247.720196888553</v>
      </c>
      <c r="AV422" s="52">
        <f t="shared" ca="1" si="616"/>
        <v>21039.409214566116</v>
      </c>
      <c r="AW422" s="52">
        <f t="shared" ca="1" si="616"/>
        <v>20831.098232243679</v>
      </c>
      <c r="AX422" s="52">
        <f t="shared" ca="1" si="616"/>
        <v>20622.787249921243</v>
      </c>
      <c r="AY422" s="52">
        <f t="shared" ca="1" si="616"/>
        <v>20414.476267598806</v>
      </c>
      <c r="AZ422" s="52">
        <f t="shared" ca="1" si="616"/>
        <v>20206.165285276369</v>
      </c>
      <c r="BA422" s="52">
        <f t="shared" ca="1" si="616"/>
        <v>19997.854302953932</v>
      </c>
      <c r="BB422" s="52">
        <f t="shared" ca="1" si="616"/>
        <v>19789.543320631496</v>
      </c>
      <c r="BC422" s="52">
        <f t="shared" ca="1" si="616"/>
        <v>19581.232338309059</v>
      </c>
      <c r="BD422" s="52">
        <f t="shared" ca="1" si="616"/>
        <v>19372.921355986622</v>
      </c>
      <c r="BE422" s="52">
        <f t="shared" ca="1" si="616"/>
        <v>19164.610373664185</v>
      </c>
      <c r="BF422" s="52">
        <f t="shared" ca="1" si="616"/>
        <v>18956.299391341749</v>
      </c>
      <c r="BG422" s="52">
        <f t="shared" ca="1" si="616"/>
        <v>18747.988409019312</v>
      </c>
      <c r="BH422" s="52">
        <f t="shared" ca="1" si="616"/>
        <v>18539.677426696875</v>
      </c>
      <c r="BI422" s="52">
        <f t="shared" ca="1" si="616"/>
        <v>18331.366444374438</v>
      </c>
      <c r="BJ422" s="52">
        <f t="shared" ca="1" si="616"/>
        <v>18123.055462052002</v>
      </c>
      <c r="BK422" s="52">
        <f t="shared" ca="1" si="616"/>
        <v>17914.744479729565</v>
      </c>
      <c r="BL422" s="52">
        <f t="shared" ca="1" si="616"/>
        <v>17706.433497407128</v>
      </c>
      <c r="BM422" s="52">
        <f t="shared" ca="1" si="616"/>
        <v>17498.122515084691</v>
      </c>
      <c r="BN422" s="52">
        <f t="shared" ca="1" si="616"/>
        <v>17289.811532762255</v>
      </c>
      <c r="BO422" s="52">
        <f t="shared" ca="1" si="616"/>
        <v>17081.500550439818</v>
      </c>
      <c r="BP422" s="52">
        <f t="shared" ca="1" si="616"/>
        <v>16873.189568117381</v>
      </c>
      <c r="BQ422" s="52">
        <f t="shared" ca="1" si="616"/>
        <v>16664.878585794941</v>
      </c>
      <c r="BR422" s="52">
        <f t="shared" ca="1" si="616"/>
        <v>16456.567603472504</v>
      </c>
      <c r="BS422" s="52">
        <f t="shared" ca="1" si="616"/>
        <v>16248.256621150069</v>
      </c>
      <c r="BT422" s="52">
        <f t="shared" ca="1" si="616"/>
        <v>16039.945638827632</v>
      </c>
      <c r="BU422" s="52">
        <f t="shared" ca="1" si="616"/>
        <v>15831.634656505195</v>
      </c>
      <c r="BV422" s="52">
        <f t="shared" ca="1" si="616"/>
        <v>15623.323674182759</v>
      </c>
      <c r="BW422" s="52">
        <f t="shared" ca="1" si="616"/>
        <v>15415.012691860322</v>
      </c>
      <c r="BX422" s="52">
        <f t="shared" ref="BX422:CO422" ca="1" si="617" xml:space="preserve"> BW428</f>
        <v>15206.701709537885</v>
      </c>
      <c r="BY422" s="52">
        <f t="shared" ca="1" si="617"/>
        <v>14998.390727215448</v>
      </c>
      <c r="BZ422" s="52">
        <f t="shared" ca="1" si="617"/>
        <v>14790.079744893012</v>
      </c>
      <c r="CA422" s="52">
        <f t="shared" ca="1" si="617"/>
        <v>14581.768762570575</v>
      </c>
      <c r="CB422" s="52">
        <f t="shared" ca="1" si="617"/>
        <v>14373.457780248138</v>
      </c>
      <c r="CC422" s="52">
        <f t="shared" ca="1" si="617"/>
        <v>14165.146797925701</v>
      </c>
      <c r="CD422" s="52">
        <f t="shared" ca="1" si="617"/>
        <v>13956.835815603265</v>
      </c>
      <c r="CE422" s="52">
        <f t="shared" ca="1" si="617"/>
        <v>13748.524833280828</v>
      </c>
      <c r="CF422" s="52">
        <f t="shared" ca="1" si="617"/>
        <v>13540.213850958391</v>
      </c>
      <c r="CG422" s="52">
        <f t="shared" ca="1" si="617"/>
        <v>13331.902868635954</v>
      </c>
      <c r="CH422" s="52">
        <f t="shared" ca="1" si="617"/>
        <v>13123.591886313518</v>
      </c>
      <c r="CI422" s="52">
        <f t="shared" ca="1" si="617"/>
        <v>12915.280903991081</v>
      </c>
      <c r="CJ422" s="52">
        <f t="shared" ca="1" si="617"/>
        <v>12706.969921668644</v>
      </c>
      <c r="CK422" s="52">
        <f t="shared" ca="1" si="617"/>
        <v>12498.658939346207</v>
      </c>
      <c r="CL422" s="52">
        <f t="shared" ca="1" si="617"/>
        <v>12290.347957023771</v>
      </c>
      <c r="CM422" s="52">
        <f t="shared" ca="1" si="617"/>
        <v>12082.036974701334</v>
      </c>
      <c r="CN422" s="52">
        <f t="shared" ca="1" si="617"/>
        <v>11873.725992378897</v>
      </c>
      <c r="CO422" s="52">
        <f t="shared" ca="1" si="617"/>
        <v>11665.41501005646</v>
      </c>
    </row>
    <row r="423" spans="1:93">
      <c r="A423" s="10"/>
      <c r="B423" s="10"/>
      <c r="C423" s="17" t="s">
        <v>126</v>
      </c>
      <c r="D423" s="10"/>
      <c r="E423" s="62"/>
      <c r="F423" s="11"/>
      <c r="G423" s="134" t="str">
        <f t="shared" si="614"/>
        <v>тыс. руб.</v>
      </c>
      <c r="H423" s="10"/>
      <c r="I423" s="23">
        <f ca="1">SUM(L423:CO423)</f>
        <v>24997.317878692415</v>
      </c>
      <c r="J423" s="10"/>
      <c r="K423" s="10"/>
      <c r="L423" s="52">
        <f t="shared" ref="L423:AQ423" ca="1" si="618" xml:space="preserve"> SUM(L320:L322,L326) + L424</f>
        <v>0</v>
      </c>
      <c r="M423" s="52">
        <f t="shared" ca="1" si="618"/>
        <v>0</v>
      </c>
      <c r="N423" s="52">
        <f t="shared" ca="1" si="618"/>
        <v>0</v>
      </c>
      <c r="O423" s="52">
        <f t="shared" ca="1" si="618"/>
        <v>0</v>
      </c>
      <c r="P423" s="52">
        <f t="shared" ca="1" si="618"/>
        <v>0</v>
      </c>
      <c r="Q423" s="52">
        <f t="shared" ca="1" si="618"/>
        <v>0</v>
      </c>
      <c r="R423" s="52">
        <f t="shared" ca="1" si="618"/>
        <v>0</v>
      </c>
      <c r="S423" s="52">
        <f t="shared" ca="1" si="618"/>
        <v>0</v>
      </c>
      <c r="T423" s="52">
        <f t="shared" ca="1" si="618"/>
        <v>0</v>
      </c>
      <c r="U423" s="52">
        <f t="shared" ca="1" si="618"/>
        <v>0</v>
      </c>
      <c r="V423" s="52">
        <f t="shared" ca="1" si="618"/>
        <v>0</v>
      </c>
      <c r="W423" s="52">
        <f t="shared" ca="1" si="618"/>
        <v>0</v>
      </c>
      <c r="X423" s="52">
        <f t="shared" ca="1" si="618"/>
        <v>0</v>
      </c>
      <c r="Y423" s="52">
        <f t="shared" ca="1" si="618"/>
        <v>0</v>
      </c>
      <c r="Z423" s="52">
        <f t="shared" ca="1" si="618"/>
        <v>0</v>
      </c>
      <c r="AA423" s="52">
        <f t="shared" ca="1" si="618"/>
        <v>0</v>
      </c>
      <c r="AB423" s="52">
        <f t="shared" ca="1" si="618"/>
        <v>27774.797642991573</v>
      </c>
      <c r="AC423" s="52">
        <f t="shared" ca="1" si="618"/>
        <v>-2777.4797642991575</v>
      </c>
      <c r="AD423" s="52">
        <f t="shared" ca="1" si="618"/>
        <v>0</v>
      </c>
      <c r="AE423" s="52">
        <f t="shared" ca="1" si="618"/>
        <v>0</v>
      </c>
      <c r="AF423" s="52">
        <f t="shared" ca="1" si="618"/>
        <v>0</v>
      </c>
      <c r="AG423" s="52">
        <f t="shared" ca="1" si="618"/>
        <v>0</v>
      </c>
      <c r="AH423" s="52">
        <f t="shared" ca="1" si="618"/>
        <v>0</v>
      </c>
      <c r="AI423" s="52">
        <f t="shared" ca="1" si="618"/>
        <v>0</v>
      </c>
      <c r="AJ423" s="52">
        <f t="shared" ca="1" si="618"/>
        <v>0</v>
      </c>
      <c r="AK423" s="52">
        <f t="shared" ca="1" si="618"/>
        <v>0</v>
      </c>
      <c r="AL423" s="52">
        <f t="shared" ca="1" si="618"/>
        <v>0</v>
      </c>
      <c r="AM423" s="52">
        <f t="shared" ca="1" si="618"/>
        <v>0</v>
      </c>
      <c r="AN423" s="52">
        <f t="shared" ca="1" si="618"/>
        <v>0</v>
      </c>
      <c r="AO423" s="52">
        <f t="shared" ca="1" si="618"/>
        <v>0</v>
      </c>
      <c r="AP423" s="52">
        <f t="shared" ca="1" si="618"/>
        <v>0</v>
      </c>
      <c r="AQ423" s="52">
        <f t="shared" ca="1" si="618"/>
        <v>0</v>
      </c>
      <c r="AR423" s="52">
        <f t="shared" ref="AR423:BW423" ca="1" si="619" xml:space="preserve"> SUM(AR320:AR322,AR326) + AR424</f>
        <v>0</v>
      </c>
      <c r="AS423" s="52">
        <f t="shared" ca="1" si="619"/>
        <v>0</v>
      </c>
      <c r="AT423" s="52">
        <f t="shared" ca="1" si="619"/>
        <v>0</v>
      </c>
      <c r="AU423" s="52">
        <f t="shared" ca="1" si="619"/>
        <v>0</v>
      </c>
      <c r="AV423" s="52">
        <f t="shared" ca="1" si="619"/>
        <v>0</v>
      </c>
      <c r="AW423" s="52">
        <f t="shared" ca="1" si="619"/>
        <v>0</v>
      </c>
      <c r="AX423" s="52">
        <f t="shared" ca="1" si="619"/>
        <v>0</v>
      </c>
      <c r="AY423" s="52">
        <f t="shared" ca="1" si="619"/>
        <v>0</v>
      </c>
      <c r="AZ423" s="52">
        <f t="shared" ca="1" si="619"/>
        <v>0</v>
      </c>
      <c r="BA423" s="52">
        <f t="shared" ca="1" si="619"/>
        <v>0</v>
      </c>
      <c r="BB423" s="52">
        <f t="shared" ca="1" si="619"/>
        <v>0</v>
      </c>
      <c r="BC423" s="52">
        <f t="shared" ca="1" si="619"/>
        <v>0</v>
      </c>
      <c r="BD423" s="52">
        <f t="shared" ca="1" si="619"/>
        <v>0</v>
      </c>
      <c r="BE423" s="52">
        <f t="shared" ca="1" si="619"/>
        <v>0</v>
      </c>
      <c r="BF423" s="52">
        <f t="shared" ca="1" si="619"/>
        <v>0</v>
      </c>
      <c r="BG423" s="52">
        <f t="shared" ca="1" si="619"/>
        <v>0</v>
      </c>
      <c r="BH423" s="52">
        <f t="shared" ca="1" si="619"/>
        <v>0</v>
      </c>
      <c r="BI423" s="52">
        <f t="shared" ca="1" si="619"/>
        <v>0</v>
      </c>
      <c r="BJ423" s="52">
        <f t="shared" ca="1" si="619"/>
        <v>0</v>
      </c>
      <c r="BK423" s="52">
        <f t="shared" ca="1" si="619"/>
        <v>0</v>
      </c>
      <c r="BL423" s="52">
        <f t="shared" ca="1" si="619"/>
        <v>0</v>
      </c>
      <c r="BM423" s="52">
        <f t="shared" ca="1" si="619"/>
        <v>0</v>
      </c>
      <c r="BN423" s="52">
        <f t="shared" ca="1" si="619"/>
        <v>0</v>
      </c>
      <c r="BO423" s="52">
        <f t="shared" ca="1" si="619"/>
        <v>0</v>
      </c>
      <c r="BP423" s="52">
        <f t="shared" ca="1" si="619"/>
        <v>0</v>
      </c>
      <c r="BQ423" s="52">
        <f t="shared" ca="1" si="619"/>
        <v>0</v>
      </c>
      <c r="BR423" s="52">
        <f t="shared" ca="1" si="619"/>
        <v>0</v>
      </c>
      <c r="BS423" s="52">
        <f t="shared" ca="1" si="619"/>
        <v>0</v>
      </c>
      <c r="BT423" s="52">
        <f t="shared" ca="1" si="619"/>
        <v>0</v>
      </c>
      <c r="BU423" s="52">
        <f t="shared" ca="1" si="619"/>
        <v>0</v>
      </c>
      <c r="BV423" s="52">
        <f t="shared" ca="1" si="619"/>
        <v>0</v>
      </c>
      <c r="BW423" s="52">
        <f t="shared" ca="1" si="619"/>
        <v>0</v>
      </c>
      <c r="BX423" s="52">
        <f t="shared" ref="BX423:CO423" ca="1" si="620" xml:space="preserve"> SUM(BX320:BX322,BX326) + BX424</f>
        <v>0</v>
      </c>
      <c r="BY423" s="52">
        <f t="shared" ca="1" si="620"/>
        <v>0</v>
      </c>
      <c r="BZ423" s="52">
        <f t="shared" ca="1" si="620"/>
        <v>0</v>
      </c>
      <c r="CA423" s="52">
        <f t="shared" ca="1" si="620"/>
        <v>0</v>
      </c>
      <c r="CB423" s="52">
        <f t="shared" ca="1" si="620"/>
        <v>0</v>
      </c>
      <c r="CC423" s="52">
        <f t="shared" ca="1" si="620"/>
        <v>0</v>
      </c>
      <c r="CD423" s="52">
        <f t="shared" ca="1" si="620"/>
        <v>0</v>
      </c>
      <c r="CE423" s="52">
        <f t="shared" ca="1" si="620"/>
        <v>0</v>
      </c>
      <c r="CF423" s="52">
        <f t="shared" ca="1" si="620"/>
        <v>0</v>
      </c>
      <c r="CG423" s="52">
        <f t="shared" ca="1" si="620"/>
        <v>0</v>
      </c>
      <c r="CH423" s="52">
        <f t="shared" ca="1" si="620"/>
        <v>0</v>
      </c>
      <c r="CI423" s="52">
        <f t="shared" ca="1" si="620"/>
        <v>0</v>
      </c>
      <c r="CJ423" s="52">
        <f t="shared" ca="1" si="620"/>
        <v>0</v>
      </c>
      <c r="CK423" s="52">
        <f t="shared" ca="1" si="620"/>
        <v>0</v>
      </c>
      <c r="CL423" s="52">
        <f t="shared" ca="1" si="620"/>
        <v>0</v>
      </c>
      <c r="CM423" s="52">
        <f t="shared" ca="1" si="620"/>
        <v>0</v>
      </c>
      <c r="CN423" s="52">
        <f t="shared" ca="1" si="620"/>
        <v>0</v>
      </c>
      <c r="CO423" s="52">
        <f t="shared" ca="1" si="620"/>
        <v>0</v>
      </c>
    </row>
    <row r="424" spans="1:93">
      <c r="A424" s="10"/>
      <c r="B424" s="10"/>
      <c r="C424" s="17" t="s">
        <v>129</v>
      </c>
      <c r="D424" s="10"/>
      <c r="E424" s="178">
        <f>Предпосылки!E375</f>
        <v>0.1</v>
      </c>
      <c r="F424" s="11"/>
      <c r="G424" s="134" t="str">
        <f t="shared" si="614"/>
        <v>тыс. руб.</v>
      </c>
      <c r="H424" s="10"/>
      <c r="I424" s="23">
        <f ca="1">SUM(L424:CO424)</f>
        <v>-2777.4797642991575</v>
      </c>
      <c r="J424" s="10"/>
      <c r="K424" s="10"/>
      <c r="L424" s="52">
        <f t="shared" ref="L424:AQ424" si="621" xml:space="preserve"> - SUM(K320:K322,K326) * $E424</f>
        <v>0</v>
      </c>
      <c r="M424" s="52">
        <f t="shared" ca="1" si="621"/>
        <v>0</v>
      </c>
      <c r="N424" s="52">
        <f t="shared" ca="1" si="621"/>
        <v>0</v>
      </c>
      <c r="O424" s="52">
        <f t="shared" ca="1" si="621"/>
        <v>0</v>
      </c>
      <c r="P424" s="52">
        <f t="shared" ca="1" si="621"/>
        <v>0</v>
      </c>
      <c r="Q424" s="52">
        <f t="shared" ca="1" si="621"/>
        <v>0</v>
      </c>
      <c r="R424" s="52">
        <f t="shared" ca="1" si="621"/>
        <v>0</v>
      </c>
      <c r="S424" s="52">
        <f t="shared" ca="1" si="621"/>
        <v>0</v>
      </c>
      <c r="T424" s="52">
        <f t="shared" ca="1" si="621"/>
        <v>0</v>
      </c>
      <c r="U424" s="52">
        <f t="shared" ca="1" si="621"/>
        <v>0</v>
      </c>
      <c r="V424" s="52">
        <f t="shared" ca="1" si="621"/>
        <v>0</v>
      </c>
      <c r="W424" s="52">
        <f t="shared" ca="1" si="621"/>
        <v>0</v>
      </c>
      <c r="X424" s="52">
        <f t="shared" ca="1" si="621"/>
        <v>0</v>
      </c>
      <c r="Y424" s="52">
        <f t="shared" ca="1" si="621"/>
        <v>0</v>
      </c>
      <c r="Z424" s="52">
        <f t="shared" ca="1" si="621"/>
        <v>0</v>
      </c>
      <c r="AA424" s="52">
        <f t="shared" ca="1" si="621"/>
        <v>0</v>
      </c>
      <c r="AB424" s="52">
        <f t="shared" ca="1" si="621"/>
        <v>0</v>
      </c>
      <c r="AC424" s="52">
        <f t="shared" ca="1" si="621"/>
        <v>-2777.4797642991575</v>
      </c>
      <c r="AD424" s="52">
        <f t="shared" ca="1" si="621"/>
        <v>0</v>
      </c>
      <c r="AE424" s="52">
        <f t="shared" ca="1" si="621"/>
        <v>0</v>
      </c>
      <c r="AF424" s="52">
        <f t="shared" ca="1" si="621"/>
        <v>0</v>
      </c>
      <c r="AG424" s="52">
        <f t="shared" ca="1" si="621"/>
        <v>0</v>
      </c>
      <c r="AH424" s="52">
        <f t="shared" ca="1" si="621"/>
        <v>0</v>
      </c>
      <c r="AI424" s="52">
        <f t="shared" ca="1" si="621"/>
        <v>0</v>
      </c>
      <c r="AJ424" s="52">
        <f t="shared" ca="1" si="621"/>
        <v>0</v>
      </c>
      <c r="AK424" s="52">
        <f t="shared" ca="1" si="621"/>
        <v>0</v>
      </c>
      <c r="AL424" s="52">
        <f t="shared" ca="1" si="621"/>
        <v>0</v>
      </c>
      <c r="AM424" s="52">
        <f t="shared" ca="1" si="621"/>
        <v>0</v>
      </c>
      <c r="AN424" s="52">
        <f t="shared" ca="1" si="621"/>
        <v>0</v>
      </c>
      <c r="AO424" s="52">
        <f t="shared" ca="1" si="621"/>
        <v>0</v>
      </c>
      <c r="AP424" s="52">
        <f t="shared" ca="1" si="621"/>
        <v>0</v>
      </c>
      <c r="AQ424" s="52">
        <f t="shared" ca="1" si="621"/>
        <v>0</v>
      </c>
      <c r="AR424" s="52">
        <f t="shared" ref="AR424:BW424" ca="1" si="622" xml:space="preserve"> - SUM(AQ320:AQ322,AQ326) * $E424</f>
        <v>0</v>
      </c>
      <c r="AS424" s="52">
        <f t="shared" ca="1" si="622"/>
        <v>0</v>
      </c>
      <c r="AT424" s="52">
        <f t="shared" ca="1" si="622"/>
        <v>0</v>
      </c>
      <c r="AU424" s="52">
        <f t="shared" ca="1" si="622"/>
        <v>0</v>
      </c>
      <c r="AV424" s="52">
        <f t="shared" ca="1" si="622"/>
        <v>0</v>
      </c>
      <c r="AW424" s="52">
        <f t="shared" ca="1" si="622"/>
        <v>0</v>
      </c>
      <c r="AX424" s="52">
        <f t="shared" ca="1" si="622"/>
        <v>0</v>
      </c>
      <c r="AY424" s="52">
        <f t="shared" ca="1" si="622"/>
        <v>0</v>
      </c>
      <c r="AZ424" s="52">
        <f t="shared" ca="1" si="622"/>
        <v>0</v>
      </c>
      <c r="BA424" s="52">
        <f t="shared" ca="1" si="622"/>
        <v>0</v>
      </c>
      <c r="BB424" s="52">
        <f t="shared" ca="1" si="622"/>
        <v>0</v>
      </c>
      <c r="BC424" s="52">
        <f t="shared" ca="1" si="622"/>
        <v>0</v>
      </c>
      <c r="BD424" s="52">
        <f t="shared" ca="1" si="622"/>
        <v>0</v>
      </c>
      <c r="BE424" s="52">
        <f t="shared" ca="1" si="622"/>
        <v>0</v>
      </c>
      <c r="BF424" s="52">
        <f t="shared" ca="1" si="622"/>
        <v>0</v>
      </c>
      <c r="BG424" s="52">
        <f t="shared" ca="1" si="622"/>
        <v>0</v>
      </c>
      <c r="BH424" s="52">
        <f t="shared" ca="1" si="622"/>
        <v>0</v>
      </c>
      <c r="BI424" s="52">
        <f t="shared" ca="1" si="622"/>
        <v>0</v>
      </c>
      <c r="BJ424" s="52">
        <f t="shared" ca="1" si="622"/>
        <v>0</v>
      </c>
      <c r="BK424" s="52">
        <f t="shared" ca="1" si="622"/>
        <v>0</v>
      </c>
      <c r="BL424" s="52">
        <f t="shared" ca="1" si="622"/>
        <v>0</v>
      </c>
      <c r="BM424" s="52">
        <f t="shared" ca="1" si="622"/>
        <v>0</v>
      </c>
      <c r="BN424" s="52">
        <f t="shared" ca="1" si="622"/>
        <v>0</v>
      </c>
      <c r="BO424" s="52">
        <f t="shared" ca="1" si="622"/>
        <v>0</v>
      </c>
      <c r="BP424" s="52">
        <f t="shared" ca="1" si="622"/>
        <v>0</v>
      </c>
      <c r="BQ424" s="52">
        <f t="shared" ca="1" si="622"/>
        <v>0</v>
      </c>
      <c r="BR424" s="52">
        <f t="shared" ca="1" si="622"/>
        <v>0</v>
      </c>
      <c r="BS424" s="52">
        <f t="shared" ca="1" si="622"/>
        <v>0</v>
      </c>
      <c r="BT424" s="52">
        <f t="shared" ca="1" si="622"/>
        <v>0</v>
      </c>
      <c r="BU424" s="52">
        <f t="shared" ca="1" si="622"/>
        <v>0</v>
      </c>
      <c r="BV424" s="52">
        <f t="shared" ca="1" si="622"/>
        <v>0</v>
      </c>
      <c r="BW424" s="52">
        <f t="shared" ca="1" si="622"/>
        <v>0</v>
      </c>
      <c r="BX424" s="52">
        <f t="shared" ref="BX424:CO424" ca="1" si="623" xml:space="preserve"> - SUM(BW320:BW322,BW326) * $E424</f>
        <v>0</v>
      </c>
      <c r="BY424" s="52">
        <f t="shared" ca="1" si="623"/>
        <v>0</v>
      </c>
      <c r="BZ424" s="52">
        <f t="shared" ca="1" si="623"/>
        <v>0</v>
      </c>
      <c r="CA424" s="52">
        <f t="shared" ca="1" si="623"/>
        <v>0</v>
      </c>
      <c r="CB424" s="52">
        <f t="shared" ca="1" si="623"/>
        <v>0</v>
      </c>
      <c r="CC424" s="52">
        <f t="shared" ca="1" si="623"/>
        <v>0</v>
      </c>
      <c r="CD424" s="52">
        <f t="shared" ca="1" si="623"/>
        <v>0</v>
      </c>
      <c r="CE424" s="52">
        <f t="shared" ca="1" si="623"/>
        <v>0</v>
      </c>
      <c r="CF424" s="52">
        <f t="shared" ca="1" si="623"/>
        <v>0</v>
      </c>
      <c r="CG424" s="52">
        <f t="shared" ca="1" si="623"/>
        <v>0</v>
      </c>
      <c r="CH424" s="52">
        <f t="shared" ca="1" si="623"/>
        <v>0</v>
      </c>
      <c r="CI424" s="52">
        <f t="shared" ca="1" si="623"/>
        <v>0</v>
      </c>
      <c r="CJ424" s="52">
        <f t="shared" ca="1" si="623"/>
        <v>0</v>
      </c>
      <c r="CK424" s="52">
        <f t="shared" ca="1" si="623"/>
        <v>0</v>
      </c>
      <c r="CL424" s="52">
        <f t="shared" ca="1" si="623"/>
        <v>0</v>
      </c>
      <c r="CM424" s="52">
        <f t="shared" ca="1" si="623"/>
        <v>0</v>
      </c>
      <c r="CN424" s="52">
        <f t="shared" ca="1" si="623"/>
        <v>0</v>
      </c>
      <c r="CO424" s="52">
        <f t="shared" ca="1" si="623"/>
        <v>0</v>
      </c>
    </row>
    <row r="425" spans="1:93">
      <c r="A425" s="10"/>
      <c r="B425" s="10"/>
      <c r="C425" s="17" t="s">
        <v>388</v>
      </c>
      <c r="D425" s="10"/>
      <c r="E425" s="62"/>
      <c r="F425" s="11"/>
      <c r="G425" s="134" t="str">
        <f t="shared" si="614"/>
        <v>тыс. руб.</v>
      </c>
      <c r="H425" s="10"/>
      <c r="I425" s="10"/>
      <c r="J425" s="10"/>
      <c r="K425" s="10"/>
      <c r="L425" s="52">
        <f t="shared" ref="L425:AQ425" ca="1" si="624" xml:space="preserve"> L423 + K425</f>
        <v>0</v>
      </c>
      <c r="M425" s="52">
        <f t="shared" ca="1" si="624"/>
        <v>0</v>
      </c>
      <c r="N425" s="52">
        <f t="shared" ca="1" si="624"/>
        <v>0</v>
      </c>
      <c r="O425" s="52">
        <f t="shared" ca="1" si="624"/>
        <v>0</v>
      </c>
      <c r="P425" s="52">
        <f t="shared" ca="1" si="624"/>
        <v>0</v>
      </c>
      <c r="Q425" s="52">
        <f t="shared" ca="1" si="624"/>
        <v>0</v>
      </c>
      <c r="R425" s="52">
        <f t="shared" ca="1" si="624"/>
        <v>0</v>
      </c>
      <c r="S425" s="52">
        <f t="shared" ca="1" si="624"/>
        <v>0</v>
      </c>
      <c r="T425" s="52">
        <f t="shared" ca="1" si="624"/>
        <v>0</v>
      </c>
      <c r="U425" s="52">
        <f t="shared" ca="1" si="624"/>
        <v>0</v>
      </c>
      <c r="V425" s="52">
        <f t="shared" ca="1" si="624"/>
        <v>0</v>
      </c>
      <c r="W425" s="52">
        <f t="shared" ca="1" si="624"/>
        <v>0</v>
      </c>
      <c r="X425" s="52">
        <f t="shared" ca="1" si="624"/>
        <v>0</v>
      </c>
      <c r="Y425" s="52">
        <f t="shared" ca="1" si="624"/>
        <v>0</v>
      </c>
      <c r="Z425" s="52">
        <f t="shared" ca="1" si="624"/>
        <v>0</v>
      </c>
      <c r="AA425" s="52">
        <f t="shared" ca="1" si="624"/>
        <v>0</v>
      </c>
      <c r="AB425" s="52">
        <f t="shared" ca="1" si="624"/>
        <v>27774.797642991573</v>
      </c>
      <c r="AC425" s="52">
        <f t="shared" ca="1" si="624"/>
        <v>24997.317878692415</v>
      </c>
      <c r="AD425" s="52">
        <f t="shared" ca="1" si="624"/>
        <v>24997.317878692415</v>
      </c>
      <c r="AE425" s="52">
        <f t="shared" ca="1" si="624"/>
        <v>24997.317878692415</v>
      </c>
      <c r="AF425" s="52">
        <f t="shared" ca="1" si="624"/>
        <v>24997.317878692415</v>
      </c>
      <c r="AG425" s="52">
        <f t="shared" ca="1" si="624"/>
        <v>24997.317878692415</v>
      </c>
      <c r="AH425" s="52">
        <f t="shared" ca="1" si="624"/>
        <v>24997.317878692415</v>
      </c>
      <c r="AI425" s="52">
        <f t="shared" ca="1" si="624"/>
        <v>24997.317878692415</v>
      </c>
      <c r="AJ425" s="52">
        <f t="shared" ca="1" si="624"/>
        <v>24997.317878692415</v>
      </c>
      <c r="AK425" s="52">
        <f t="shared" ca="1" si="624"/>
        <v>24997.317878692415</v>
      </c>
      <c r="AL425" s="52">
        <f t="shared" ca="1" si="624"/>
        <v>24997.317878692415</v>
      </c>
      <c r="AM425" s="52">
        <f t="shared" ca="1" si="624"/>
        <v>24997.317878692415</v>
      </c>
      <c r="AN425" s="52">
        <f t="shared" ca="1" si="624"/>
        <v>24997.317878692415</v>
      </c>
      <c r="AO425" s="52">
        <f t="shared" ca="1" si="624"/>
        <v>24997.317878692415</v>
      </c>
      <c r="AP425" s="52">
        <f t="shared" ca="1" si="624"/>
        <v>24997.317878692415</v>
      </c>
      <c r="AQ425" s="52">
        <f t="shared" ca="1" si="624"/>
        <v>24997.317878692415</v>
      </c>
      <c r="AR425" s="52">
        <f t="shared" ref="AR425:BW425" ca="1" si="625" xml:space="preserve"> AR423 + AQ425</f>
        <v>24997.317878692415</v>
      </c>
      <c r="AS425" s="52">
        <f t="shared" ca="1" si="625"/>
        <v>24997.317878692415</v>
      </c>
      <c r="AT425" s="52">
        <f t="shared" ca="1" si="625"/>
        <v>24997.317878692415</v>
      </c>
      <c r="AU425" s="52">
        <f t="shared" ca="1" si="625"/>
        <v>24997.317878692415</v>
      </c>
      <c r="AV425" s="52">
        <f t="shared" ca="1" si="625"/>
        <v>24997.317878692415</v>
      </c>
      <c r="AW425" s="52">
        <f t="shared" ca="1" si="625"/>
        <v>24997.317878692415</v>
      </c>
      <c r="AX425" s="52">
        <f t="shared" ca="1" si="625"/>
        <v>24997.317878692415</v>
      </c>
      <c r="AY425" s="52">
        <f t="shared" ca="1" si="625"/>
        <v>24997.317878692415</v>
      </c>
      <c r="AZ425" s="52">
        <f t="shared" ca="1" si="625"/>
        <v>24997.317878692415</v>
      </c>
      <c r="BA425" s="52">
        <f t="shared" ca="1" si="625"/>
        <v>24997.317878692415</v>
      </c>
      <c r="BB425" s="52">
        <f t="shared" ca="1" si="625"/>
        <v>24997.317878692415</v>
      </c>
      <c r="BC425" s="52">
        <f t="shared" ca="1" si="625"/>
        <v>24997.317878692415</v>
      </c>
      <c r="BD425" s="52">
        <f t="shared" ca="1" si="625"/>
        <v>24997.317878692415</v>
      </c>
      <c r="BE425" s="52">
        <f t="shared" ca="1" si="625"/>
        <v>24997.317878692415</v>
      </c>
      <c r="BF425" s="52">
        <f t="shared" ca="1" si="625"/>
        <v>24997.317878692415</v>
      </c>
      <c r="BG425" s="52">
        <f t="shared" ca="1" si="625"/>
        <v>24997.317878692415</v>
      </c>
      <c r="BH425" s="52">
        <f t="shared" ca="1" si="625"/>
        <v>24997.317878692415</v>
      </c>
      <c r="BI425" s="52">
        <f t="shared" ca="1" si="625"/>
        <v>24997.317878692415</v>
      </c>
      <c r="BJ425" s="52">
        <f t="shared" ca="1" si="625"/>
        <v>24997.317878692415</v>
      </c>
      <c r="BK425" s="52">
        <f t="shared" ca="1" si="625"/>
        <v>24997.317878692415</v>
      </c>
      <c r="BL425" s="52">
        <f t="shared" ca="1" si="625"/>
        <v>24997.317878692415</v>
      </c>
      <c r="BM425" s="52">
        <f t="shared" ca="1" si="625"/>
        <v>24997.317878692415</v>
      </c>
      <c r="BN425" s="52">
        <f t="shared" ca="1" si="625"/>
        <v>24997.317878692415</v>
      </c>
      <c r="BO425" s="52">
        <f t="shared" ca="1" si="625"/>
        <v>24997.317878692415</v>
      </c>
      <c r="BP425" s="52">
        <f t="shared" ca="1" si="625"/>
        <v>24997.317878692415</v>
      </c>
      <c r="BQ425" s="52">
        <f t="shared" ca="1" si="625"/>
        <v>24997.317878692415</v>
      </c>
      <c r="BR425" s="52">
        <f t="shared" ca="1" si="625"/>
        <v>24997.317878692415</v>
      </c>
      <c r="BS425" s="52">
        <f t="shared" ca="1" si="625"/>
        <v>24997.317878692415</v>
      </c>
      <c r="BT425" s="52">
        <f t="shared" ca="1" si="625"/>
        <v>24997.317878692415</v>
      </c>
      <c r="BU425" s="52">
        <f t="shared" ca="1" si="625"/>
        <v>24997.317878692415</v>
      </c>
      <c r="BV425" s="52">
        <f t="shared" ca="1" si="625"/>
        <v>24997.317878692415</v>
      </c>
      <c r="BW425" s="52">
        <f t="shared" ca="1" si="625"/>
        <v>24997.317878692415</v>
      </c>
      <c r="BX425" s="52">
        <f t="shared" ref="BX425:CO425" ca="1" si="626" xml:space="preserve"> BX423 + BW425</f>
        <v>24997.317878692415</v>
      </c>
      <c r="BY425" s="52">
        <f t="shared" ca="1" si="626"/>
        <v>24997.317878692415</v>
      </c>
      <c r="BZ425" s="52">
        <f t="shared" ca="1" si="626"/>
        <v>24997.317878692415</v>
      </c>
      <c r="CA425" s="52">
        <f t="shared" ca="1" si="626"/>
        <v>24997.317878692415</v>
      </c>
      <c r="CB425" s="52">
        <f t="shared" ca="1" si="626"/>
        <v>24997.317878692415</v>
      </c>
      <c r="CC425" s="52">
        <f t="shared" ca="1" si="626"/>
        <v>24997.317878692415</v>
      </c>
      <c r="CD425" s="52">
        <f t="shared" ca="1" si="626"/>
        <v>24997.317878692415</v>
      </c>
      <c r="CE425" s="52">
        <f t="shared" ca="1" si="626"/>
        <v>24997.317878692415</v>
      </c>
      <c r="CF425" s="52">
        <f t="shared" ca="1" si="626"/>
        <v>24997.317878692415</v>
      </c>
      <c r="CG425" s="52">
        <f t="shared" ca="1" si="626"/>
        <v>24997.317878692415</v>
      </c>
      <c r="CH425" s="52">
        <f t="shared" ca="1" si="626"/>
        <v>24997.317878692415</v>
      </c>
      <c r="CI425" s="52">
        <f t="shared" ca="1" si="626"/>
        <v>24997.317878692415</v>
      </c>
      <c r="CJ425" s="52">
        <f t="shared" ca="1" si="626"/>
        <v>24997.317878692415</v>
      </c>
      <c r="CK425" s="52">
        <f t="shared" ca="1" si="626"/>
        <v>24997.317878692415</v>
      </c>
      <c r="CL425" s="52">
        <f t="shared" ca="1" si="626"/>
        <v>24997.317878692415</v>
      </c>
      <c r="CM425" s="52">
        <f t="shared" ca="1" si="626"/>
        <v>24997.317878692415</v>
      </c>
      <c r="CN425" s="52">
        <f t="shared" ca="1" si="626"/>
        <v>24997.317878692415</v>
      </c>
      <c r="CO425" s="52">
        <f t="shared" ca="1" si="626"/>
        <v>24997.317878692415</v>
      </c>
    </row>
    <row r="426" spans="1:93">
      <c r="A426" s="10"/>
      <c r="B426" s="10"/>
      <c r="C426" s="17" t="s">
        <v>389</v>
      </c>
      <c r="D426" s="10"/>
      <c r="E426" s="62"/>
      <c r="F426" s="11"/>
      <c r="G426" s="134" t="str">
        <f t="shared" si="614"/>
        <v>тыс. руб.</v>
      </c>
      <c r="H426" s="10"/>
      <c r="I426" s="23">
        <f ca="1">SUM(L426:CO426)</f>
        <v>13540.213850958391</v>
      </c>
      <c r="J426" s="10"/>
      <c r="K426" s="10"/>
      <c r="L426" s="52">
        <f t="shared" ref="L426:AQ426" ca="1" si="627" xml:space="preserve"> MIN(L425*L421,K428)</f>
        <v>0</v>
      </c>
      <c r="M426" s="52">
        <f t="shared" ca="1" si="627"/>
        <v>0</v>
      </c>
      <c r="N426" s="52">
        <f t="shared" ca="1" si="627"/>
        <v>0</v>
      </c>
      <c r="O426" s="52">
        <f t="shared" ca="1" si="627"/>
        <v>0</v>
      </c>
      <c r="P426" s="52">
        <f t="shared" ca="1" si="627"/>
        <v>0</v>
      </c>
      <c r="Q426" s="52">
        <f t="shared" ca="1" si="627"/>
        <v>0</v>
      </c>
      <c r="R426" s="52">
        <f t="shared" ca="1" si="627"/>
        <v>0</v>
      </c>
      <c r="S426" s="52">
        <f t="shared" ca="1" si="627"/>
        <v>0</v>
      </c>
      <c r="T426" s="52">
        <f t="shared" ca="1" si="627"/>
        <v>0</v>
      </c>
      <c r="U426" s="52">
        <f t="shared" ca="1" si="627"/>
        <v>0</v>
      </c>
      <c r="V426" s="52">
        <f t="shared" ca="1" si="627"/>
        <v>0</v>
      </c>
      <c r="W426" s="52">
        <f t="shared" ca="1" si="627"/>
        <v>0</v>
      </c>
      <c r="X426" s="52">
        <f t="shared" ca="1" si="627"/>
        <v>0</v>
      </c>
      <c r="Y426" s="52">
        <f t="shared" ca="1" si="627"/>
        <v>0</v>
      </c>
      <c r="Z426" s="52">
        <f t="shared" ca="1" si="627"/>
        <v>0</v>
      </c>
      <c r="AA426" s="52">
        <f t="shared" ca="1" si="627"/>
        <v>0</v>
      </c>
      <c r="AB426" s="52">
        <f t="shared" ca="1" si="627"/>
        <v>0</v>
      </c>
      <c r="AC426" s="52">
        <f t="shared" ca="1" si="627"/>
        <v>208.31098232243679</v>
      </c>
      <c r="AD426" s="52">
        <f t="shared" ca="1" si="627"/>
        <v>208.31098232243679</v>
      </c>
      <c r="AE426" s="52">
        <f t="shared" ca="1" si="627"/>
        <v>208.31098232243679</v>
      </c>
      <c r="AF426" s="52">
        <f t="shared" ca="1" si="627"/>
        <v>208.31098232243679</v>
      </c>
      <c r="AG426" s="52">
        <f t="shared" ca="1" si="627"/>
        <v>208.31098232243679</v>
      </c>
      <c r="AH426" s="52">
        <f t="shared" ca="1" si="627"/>
        <v>208.31098232243679</v>
      </c>
      <c r="AI426" s="52">
        <f t="shared" ca="1" si="627"/>
        <v>208.31098232243679</v>
      </c>
      <c r="AJ426" s="52">
        <f t="shared" ca="1" si="627"/>
        <v>208.31098232243679</v>
      </c>
      <c r="AK426" s="52">
        <f t="shared" ca="1" si="627"/>
        <v>208.31098232243679</v>
      </c>
      <c r="AL426" s="52">
        <f t="shared" ca="1" si="627"/>
        <v>208.31098232243679</v>
      </c>
      <c r="AM426" s="52">
        <f t="shared" ca="1" si="627"/>
        <v>208.31098232243679</v>
      </c>
      <c r="AN426" s="52">
        <f t="shared" ca="1" si="627"/>
        <v>208.31098232243679</v>
      </c>
      <c r="AO426" s="52">
        <f t="shared" ca="1" si="627"/>
        <v>208.31098232243679</v>
      </c>
      <c r="AP426" s="52">
        <f t="shared" ca="1" si="627"/>
        <v>208.31098232243679</v>
      </c>
      <c r="AQ426" s="52">
        <f t="shared" ca="1" si="627"/>
        <v>208.31098232243679</v>
      </c>
      <c r="AR426" s="52">
        <f t="shared" ref="AR426:BW426" ca="1" si="628" xml:space="preserve"> MIN(AR425*AR421,AQ428)</f>
        <v>208.31098232243679</v>
      </c>
      <c r="AS426" s="52">
        <f t="shared" ca="1" si="628"/>
        <v>208.31098232243679</v>
      </c>
      <c r="AT426" s="52">
        <f t="shared" ca="1" si="628"/>
        <v>208.31098232243679</v>
      </c>
      <c r="AU426" s="52">
        <f t="shared" ca="1" si="628"/>
        <v>208.31098232243679</v>
      </c>
      <c r="AV426" s="52">
        <f t="shared" ca="1" si="628"/>
        <v>208.31098232243679</v>
      </c>
      <c r="AW426" s="52">
        <f t="shared" ca="1" si="628"/>
        <v>208.31098232243679</v>
      </c>
      <c r="AX426" s="52">
        <f t="shared" ca="1" si="628"/>
        <v>208.31098232243679</v>
      </c>
      <c r="AY426" s="52">
        <f t="shared" ca="1" si="628"/>
        <v>208.31098232243679</v>
      </c>
      <c r="AZ426" s="52">
        <f t="shared" ca="1" si="628"/>
        <v>208.31098232243679</v>
      </c>
      <c r="BA426" s="52">
        <f t="shared" ca="1" si="628"/>
        <v>208.31098232243679</v>
      </c>
      <c r="BB426" s="52">
        <f t="shared" ca="1" si="628"/>
        <v>208.31098232243679</v>
      </c>
      <c r="BC426" s="52">
        <f t="shared" ca="1" si="628"/>
        <v>208.31098232243679</v>
      </c>
      <c r="BD426" s="52">
        <f t="shared" ca="1" si="628"/>
        <v>208.31098232243679</v>
      </c>
      <c r="BE426" s="52">
        <f t="shared" ca="1" si="628"/>
        <v>208.31098232243679</v>
      </c>
      <c r="BF426" s="52">
        <f t="shared" ca="1" si="628"/>
        <v>208.31098232243679</v>
      </c>
      <c r="BG426" s="52">
        <f t="shared" ca="1" si="628"/>
        <v>208.31098232243679</v>
      </c>
      <c r="BH426" s="52">
        <f t="shared" ca="1" si="628"/>
        <v>208.31098232243679</v>
      </c>
      <c r="BI426" s="52">
        <f t="shared" ca="1" si="628"/>
        <v>208.31098232243679</v>
      </c>
      <c r="BJ426" s="52">
        <f t="shared" ca="1" si="628"/>
        <v>208.31098232243679</v>
      </c>
      <c r="BK426" s="52">
        <f t="shared" ca="1" si="628"/>
        <v>208.31098232243679</v>
      </c>
      <c r="BL426" s="52">
        <f t="shared" ca="1" si="628"/>
        <v>208.31098232243679</v>
      </c>
      <c r="BM426" s="52">
        <f t="shared" ca="1" si="628"/>
        <v>208.31098232243679</v>
      </c>
      <c r="BN426" s="52">
        <f t="shared" ca="1" si="628"/>
        <v>208.31098232243679</v>
      </c>
      <c r="BO426" s="52">
        <f t="shared" ca="1" si="628"/>
        <v>208.31098232243679</v>
      </c>
      <c r="BP426" s="52">
        <f t="shared" ca="1" si="628"/>
        <v>208.31098232243679</v>
      </c>
      <c r="BQ426" s="52">
        <f t="shared" ca="1" si="628"/>
        <v>208.31098232243679</v>
      </c>
      <c r="BR426" s="52">
        <f t="shared" ca="1" si="628"/>
        <v>208.31098232243679</v>
      </c>
      <c r="BS426" s="52">
        <f t="shared" ca="1" si="628"/>
        <v>208.31098232243679</v>
      </c>
      <c r="BT426" s="52">
        <f t="shared" ca="1" si="628"/>
        <v>208.31098232243679</v>
      </c>
      <c r="BU426" s="52">
        <f t="shared" ca="1" si="628"/>
        <v>208.31098232243679</v>
      </c>
      <c r="BV426" s="52">
        <f t="shared" ca="1" si="628"/>
        <v>208.31098232243679</v>
      </c>
      <c r="BW426" s="52">
        <f t="shared" ca="1" si="628"/>
        <v>208.31098232243679</v>
      </c>
      <c r="BX426" s="52">
        <f t="shared" ref="BX426:CO426" ca="1" si="629" xml:space="preserve"> MIN(BX425*BX421,BW428)</f>
        <v>208.31098232243679</v>
      </c>
      <c r="BY426" s="52">
        <f t="shared" ca="1" si="629"/>
        <v>208.31098232243679</v>
      </c>
      <c r="BZ426" s="52">
        <f t="shared" ca="1" si="629"/>
        <v>208.31098232243679</v>
      </c>
      <c r="CA426" s="52">
        <f t="shared" ca="1" si="629"/>
        <v>208.31098232243679</v>
      </c>
      <c r="CB426" s="52">
        <f t="shared" ca="1" si="629"/>
        <v>208.31098232243679</v>
      </c>
      <c r="CC426" s="52">
        <f t="shared" ca="1" si="629"/>
        <v>208.31098232243679</v>
      </c>
      <c r="CD426" s="52">
        <f t="shared" ca="1" si="629"/>
        <v>208.31098232243679</v>
      </c>
      <c r="CE426" s="52">
        <f t="shared" ca="1" si="629"/>
        <v>208.31098232243679</v>
      </c>
      <c r="CF426" s="52">
        <f t="shared" ca="1" si="629"/>
        <v>208.31098232243679</v>
      </c>
      <c r="CG426" s="52">
        <f t="shared" ca="1" si="629"/>
        <v>208.31098232243679</v>
      </c>
      <c r="CH426" s="52">
        <f t="shared" ca="1" si="629"/>
        <v>208.31098232243679</v>
      </c>
      <c r="CI426" s="52">
        <f t="shared" ca="1" si="629"/>
        <v>208.31098232243679</v>
      </c>
      <c r="CJ426" s="52">
        <f t="shared" ca="1" si="629"/>
        <v>208.31098232243679</v>
      </c>
      <c r="CK426" s="52">
        <f t="shared" ca="1" si="629"/>
        <v>208.31098232243679</v>
      </c>
      <c r="CL426" s="52">
        <f t="shared" ca="1" si="629"/>
        <v>208.31098232243679</v>
      </c>
      <c r="CM426" s="52">
        <f t="shared" ca="1" si="629"/>
        <v>208.31098232243679</v>
      </c>
      <c r="CN426" s="52">
        <f t="shared" ca="1" si="629"/>
        <v>208.31098232243679</v>
      </c>
      <c r="CO426" s="52">
        <f t="shared" ca="1" si="629"/>
        <v>208.31098232243679</v>
      </c>
    </row>
    <row r="427" spans="1:93">
      <c r="A427" s="10"/>
      <c r="B427" s="10"/>
      <c r="C427" s="17" t="s">
        <v>127</v>
      </c>
      <c r="D427" s="10"/>
      <c r="E427" s="62"/>
      <c r="F427" s="11"/>
      <c r="G427" s="134" t="str">
        <f t="shared" si="614"/>
        <v>тыс. руб.</v>
      </c>
      <c r="H427" s="10"/>
      <c r="I427" s="10"/>
      <c r="J427" s="10"/>
      <c r="K427" s="10"/>
      <c r="L427" s="52">
        <f t="shared" ref="L427:AQ427" ca="1" si="630" xml:space="preserve"> SUM(K427,-L426)</f>
        <v>0</v>
      </c>
      <c r="M427" s="52">
        <f t="shared" ca="1" si="630"/>
        <v>0</v>
      </c>
      <c r="N427" s="52">
        <f t="shared" ca="1" si="630"/>
        <v>0</v>
      </c>
      <c r="O427" s="52">
        <f t="shared" ca="1" si="630"/>
        <v>0</v>
      </c>
      <c r="P427" s="52">
        <f t="shared" ca="1" si="630"/>
        <v>0</v>
      </c>
      <c r="Q427" s="52">
        <f t="shared" ca="1" si="630"/>
        <v>0</v>
      </c>
      <c r="R427" s="52">
        <f t="shared" ca="1" si="630"/>
        <v>0</v>
      </c>
      <c r="S427" s="52">
        <f t="shared" ca="1" si="630"/>
        <v>0</v>
      </c>
      <c r="T427" s="52">
        <f t="shared" ca="1" si="630"/>
        <v>0</v>
      </c>
      <c r="U427" s="52">
        <f t="shared" ca="1" si="630"/>
        <v>0</v>
      </c>
      <c r="V427" s="52">
        <f t="shared" ca="1" si="630"/>
        <v>0</v>
      </c>
      <c r="W427" s="52">
        <f t="shared" ca="1" si="630"/>
        <v>0</v>
      </c>
      <c r="X427" s="52">
        <f t="shared" ca="1" si="630"/>
        <v>0</v>
      </c>
      <c r="Y427" s="52">
        <f t="shared" ca="1" si="630"/>
        <v>0</v>
      </c>
      <c r="Z427" s="52">
        <f t="shared" ca="1" si="630"/>
        <v>0</v>
      </c>
      <c r="AA427" s="52">
        <f t="shared" ca="1" si="630"/>
        <v>0</v>
      </c>
      <c r="AB427" s="52">
        <f t="shared" ca="1" si="630"/>
        <v>0</v>
      </c>
      <c r="AC427" s="52">
        <f t="shared" ca="1" si="630"/>
        <v>-208.31098232243679</v>
      </c>
      <c r="AD427" s="52">
        <f t="shared" ca="1" si="630"/>
        <v>-416.62196464487357</v>
      </c>
      <c r="AE427" s="52">
        <f t="shared" ca="1" si="630"/>
        <v>-624.93294696731039</v>
      </c>
      <c r="AF427" s="52">
        <f t="shared" ca="1" si="630"/>
        <v>-833.24392928974714</v>
      </c>
      <c r="AG427" s="52">
        <f t="shared" ca="1" si="630"/>
        <v>-1041.554911612184</v>
      </c>
      <c r="AH427" s="52">
        <f t="shared" ca="1" si="630"/>
        <v>-1249.8658939346208</v>
      </c>
      <c r="AI427" s="52">
        <f t="shared" ca="1" si="630"/>
        <v>-1458.1768762570575</v>
      </c>
      <c r="AJ427" s="52">
        <f t="shared" ca="1" si="630"/>
        <v>-1666.4878585794943</v>
      </c>
      <c r="AK427" s="52">
        <f t="shared" ca="1" si="630"/>
        <v>-1874.798840901931</v>
      </c>
      <c r="AL427" s="52">
        <f t="shared" ca="1" si="630"/>
        <v>-2083.109823224368</v>
      </c>
      <c r="AM427" s="52">
        <f t="shared" ca="1" si="630"/>
        <v>-2291.4208055468048</v>
      </c>
      <c r="AN427" s="52">
        <f t="shared" ca="1" si="630"/>
        <v>-2499.7317878692415</v>
      </c>
      <c r="AO427" s="52">
        <f t="shared" ca="1" si="630"/>
        <v>-2708.0427701916783</v>
      </c>
      <c r="AP427" s="52">
        <f t="shared" ca="1" si="630"/>
        <v>-2916.3537525141151</v>
      </c>
      <c r="AQ427" s="52">
        <f t="shared" ca="1" si="630"/>
        <v>-3124.6647348365518</v>
      </c>
      <c r="AR427" s="52">
        <f t="shared" ref="AR427:BW427" ca="1" si="631" xml:space="preserve"> SUM(AQ427,-AR426)</f>
        <v>-3332.9757171589886</v>
      </c>
      <c r="AS427" s="52">
        <f t="shared" ca="1" si="631"/>
        <v>-3541.2866994814253</v>
      </c>
      <c r="AT427" s="52">
        <f t="shared" ca="1" si="631"/>
        <v>-3749.5976818038621</v>
      </c>
      <c r="AU427" s="52">
        <f t="shared" ca="1" si="631"/>
        <v>-3957.9086641262988</v>
      </c>
      <c r="AV427" s="52">
        <f t="shared" ca="1" si="631"/>
        <v>-4166.2196464487361</v>
      </c>
      <c r="AW427" s="52">
        <f t="shared" ca="1" si="631"/>
        <v>-4374.5306287711728</v>
      </c>
      <c r="AX427" s="52">
        <f t="shared" ca="1" si="631"/>
        <v>-4582.8416110936096</v>
      </c>
      <c r="AY427" s="52">
        <f t="shared" ca="1" si="631"/>
        <v>-4791.1525934160463</v>
      </c>
      <c r="AZ427" s="52">
        <f t="shared" ca="1" si="631"/>
        <v>-4999.4635757384831</v>
      </c>
      <c r="BA427" s="52">
        <f t="shared" ca="1" si="631"/>
        <v>-5207.7745580609198</v>
      </c>
      <c r="BB427" s="52">
        <f t="shared" ca="1" si="631"/>
        <v>-5416.0855403833566</v>
      </c>
      <c r="BC427" s="52">
        <f t="shared" ca="1" si="631"/>
        <v>-5624.3965227057934</v>
      </c>
      <c r="BD427" s="52">
        <f t="shared" ca="1" si="631"/>
        <v>-5832.7075050282301</v>
      </c>
      <c r="BE427" s="52">
        <f t="shared" ca="1" si="631"/>
        <v>-6041.0184873506669</v>
      </c>
      <c r="BF427" s="52">
        <f t="shared" ca="1" si="631"/>
        <v>-6249.3294696731036</v>
      </c>
      <c r="BG427" s="52">
        <f t="shared" ca="1" si="631"/>
        <v>-6457.6404519955404</v>
      </c>
      <c r="BH427" s="52">
        <f t="shared" ca="1" si="631"/>
        <v>-6665.9514343179771</v>
      </c>
      <c r="BI427" s="52">
        <f t="shared" ca="1" si="631"/>
        <v>-6874.2624166404139</v>
      </c>
      <c r="BJ427" s="52">
        <f t="shared" ca="1" si="631"/>
        <v>-7082.5733989628507</v>
      </c>
      <c r="BK427" s="52">
        <f t="shared" ca="1" si="631"/>
        <v>-7290.8843812852874</v>
      </c>
      <c r="BL427" s="52">
        <f t="shared" ca="1" si="631"/>
        <v>-7499.1953636077242</v>
      </c>
      <c r="BM427" s="52">
        <f t="shared" ca="1" si="631"/>
        <v>-7707.5063459301609</v>
      </c>
      <c r="BN427" s="52">
        <f t="shared" ca="1" si="631"/>
        <v>-7915.8173282525977</v>
      </c>
      <c r="BO427" s="52">
        <f t="shared" ca="1" si="631"/>
        <v>-8124.1283105750344</v>
      </c>
      <c r="BP427" s="52">
        <f t="shared" ca="1" si="631"/>
        <v>-8332.4392928974721</v>
      </c>
      <c r="BQ427" s="52">
        <f t="shared" ca="1" si="631"/>
        <v>-8540.7502752199089</v>
      </c>
      <c r="BR427" s="52">
        <f t="shared" ca="1" si="631"/>
        <v>-8749.0612575423456</v>
      </c>
      <c r="BS427" s="52">
        <f t="shared" ca="1" si="631"/>
        <v>-8957.3722398647824</v>
      </c>
      <c r="BT427" s="52">
        <f t="shared" ca="1" si="631"/>
        <v>-9165.6832221872191</v>
      </c>
      <c r="BU427" s="52">
        <f t="shared" ca="1" si="631"/>
        <v>-9373.9942045096559</v>
      </c>
      <c r="BV427" s="52">
        <f t="shared" ca="1" si="631"/>
        <v>-9582.3051868320927</v>
      </c>
      <c r="BW427" s="52">
        <f t="shared" ca="1" si="631"/>
        <v>-9790.6161691545294</v>
      </c>
      <c r="BX427" s="52">
        <f t="shared" ref="BX427:CO427" ca="1" si="632" xml:space="preserve"> SUM(BW427,-BX426)</f>
        <v>-9998.9271514769662</v>
      </c>
      <c r="BY427" s="52">
        <f t="shared" ca="1" si="632"/>
        <v>-10207.238133799403</v>
      </c>
      <c r="BZ427" s="52">
        <f t="shared" ca="1" si="632"/>
        <v>-10415.54911612184</v>
      </c>
      <c r="CA427" s="52">
        <f t="shared" ca="1" si="632"/>
        <v>-10623.860098444276</v>
      </c>
      <c r="CB427" s="52">
        <f t="shared" ca="1" si="632"/>
        <v>-10832.171080766713</v>
      </c>
      <c r="CC427" s="52">
        <f t="shared" ca="1" si="632"/>
        <v>-11040.48206308915</v>
      </c>
      <c r="CD427" s="52">
        <f t="shared" ca="1" si="632"/>
        <v>-11248.793045411587</v>
      </c>
      <c r="CE427" s="52">
        <f t="shared" ca="1" si="632"/>
        <v>-11457.104027734023</v>
      </c>
      <c r="CF427" s="52">
        <f t="shared" ca="1" si="632"/>
        <v>-11665.41501005646</v>
      </c>
      <c r="CG427" s="52">
        <f t="shared" ca="1" si="632"/>
        <v>-11873.725992378897</v>
      </c>
      <c r="CH427" s="52">
        <f t="shared" ca="1" si="632"/>
        <v>-12082.036974701334</v>
      </c>
      <c r="CI427" s="52">
        <f t="shared" ca="1" si="632"/>
        <v>-12290.347957023771</v>
      </c>
      <c r="CJ427" s="52">
        <f t="shared" ca="1" si="632"/>
        <v>-12498.658939346207</v>
      </c>
      <c r="CK427" s="52">
        <f t="shared" ca="1" si="632"/>
        <v>-12706.969921668644</v>
      </c>
      <c r="CL427" s="52">
        <f t="shared" ca="1" si="632"/>
        <v>-12915.280903991081</v>
      </c>
      <c r="CM427" s="52">
        <f t="shared" ca="1" si="632"/>
        <v>-13123.591886313518</v>
      </c>
      <c r="CN427" s="52">
        <f t="shared" ca="1" si="632"/>
        <v>-13331.902868635954</v>
      </c>
      <c r="CO427" s="52">
        <f t="shared" ca="1" si="632"/>
        <v>-13540.213850958391</v>
      </c>
    </row>
    <row r="428" spans="1:93">
      <c r="A428" s="10"/>
      <c r="B428" s="10"/>
      <c r="C428" s="17" t="s">
        <v>128</v>
      </c>
      <c r="D428" s="10"/>
      <c r="E428" s="62"/>
      <c r="F428" s="11"/>
      <c r="G428" s="134" t="str">
        <f t="shared" si="614"/>
        <v>тыс. руб.</v>
      </c>
      <c r="H428" s="10"/>
      <c r="I428" s="10"/>
      <c r="J428" s="10"/>
      <c r="K428" s="10"/>
      <c r="L428" s="52">
        <f t="shared" ref="L428:R428" ca="1" si="633" xml:space="preserve"> SUM(L425,L427)</f>
        <v>0</v>
      </c>
      <c r="M428" s="52">
        <f t="shared" ca="1" si="633"/>
        <v>0</v>
      </c>
      <c r="N428" s="52">
        <f t="shared" ca="1" si="633"/>
        <v>0</v>
      </c>
      <c r="O428" s="52">
        <f t="shared" ca="1" si="633"/>
        <v>0</v>
      </c>
      <c r="P428" s="52">
        <f t="shared" ca="1" si="633"/>
        <v>0</v>
      </c>
      <c r="Q428" s="52">
        <f t="shared" ca="1" si="633"/>
        <v>0</v>
      </c>
      <c r="R428" s="52">
        <f t="shared" ca="1" si="633"/>
        <v>0</v>
      </c>
      <c r="S428" s="52">
        <f t="shared" ref="S428:CD428" ca="1" si="634" xml:space="preserve"> SUM(S425,S427)</f>
        <v>0</v>
      </c>
      <c r="T428" s="52">
        <f t="shared" ca="1" si="634"/>
        <v>0</v>
      </c>
      <c r="U428" s="52">
        <f t="shared" ca="1" si="634"/>
        <v>0</v>
      </c>
      <c r="V428" s="52">
        <f t="shared" ca="1" si="634"/>
        <v>0</v>
      </c>
      <c r="W428" s="52">
        <f t="shared" ca="1" si="634"/>
        <v>0</v>
      </c>
      <c r="X428" s="52">
        <f t="shared" ca="1" si="634"/>
        <v>0</v>
      </c>
      <c r="Y428" s="52">
        <f t="shared" ca="1" si="634"/>
        <v>0</v>
      </c>
      <c r="Z428" s="52">
        <f t="shared" ca="1" si="634"/>
        <v>0</v>
      </c>
      <c r="AA428" s="52">
        <f t="shared" ca="1" si="634"/>
        <v>0</v>
      </c>
      <c r="AB428" s="52">
        <f t="shared" ca="1" si="634"/>
        <v>27774.797642991573</v>
      </c>
      <c r="AC428" s="52">
        <f t="shared" ca="1" si="634"/>
        <v>24789.006896369978</v>
      </c>
      <c r="AD428" s="52">
        <f t="shared" ca="1" si="634"/>
        <v>24580.695914047541</v>
      </c>
      <c r="AE428" s="52">
        <f t="shared" ca="1" si="634"/>
        <v>24372.384931725104</v>
      </c>
      <c r="AF428" s="52">
        <f t="shared" ca="1" si="634"/>
        <v>24164.073949402667</v>
      </c>
      <c r="AG428" s="52">
        <f t="shared" ca="1" si="634"/>
        <v>23955.762967080231</v>
      </c>
      <c r="AH428" s="52">
        <f t="shared" ca="1" si="634"/>
        <v>23747.451984757794</v>
      </c>
      <c r="AI428" s="52">
        <f t="shared" ca="1" si="634"/>
        <v>23539.141002435357</v>
      </c>
      <c r="AJ428" s="52">
        <f t="shared" ca="1" si="634"/>
        <v>23330.83002011292</v>
      </c>
      <c r="AK428" s="52">
        <f t="shared" ca="1" si="634"/>
        <v>23122.519037790484</v>
      </c>
      <c r="AL428" s="52">
        <f t="shared" ca="1" si="634"/>
        <v>22914.208055468047</v>
      </c>
      <c r="AM428" s="52">
        <f t="shared" ca="1" si="634"/>
        <v>22705.89707314561</v>
      </c>
      <c r="AN428" s="52">
        <f t="shared" ca="1" si="634"/>
        <v>22497.586090823173</v>
      </c>
      <c r="AO428" s="52">
        <f t="shared" ca="1" si="634"/>
        <v>22289.275108500737</v>
      </c>
      <c r="AP428" s="52">
        <f t="shared" ca="1" si="634"/>
        <v>22080.9641261783</v>
      </c>
      <c r="AQ428" s="52">
        <f t="shared" ca="1" si="634"/>
        <v>21872.653143855863</v>
      </c>
      <c r="AR428" s="52">
        <f t="shared" ca="1" si="634"/>
        <v>21664.342161533426</v>
      </c>
      <c r="AS428" s="52">
        <f t="shared" ca="1" si="634"/>
        <v>21456.03117921099</v>
      </c>
      <c r="AT428" s="52">
        <f t="shared" ca="1" si="634"/>
        <v>21247.720196888553</v>
      </c>
      <c r="AU428" s="52">
        <f t="shared" ca="1" si="634"/>
        <v>21039.409214566116</v>
      </c>
      <c r="AV428" s="52">
        <f t="shared" ca="1" si="634"/>
        <v>20831.098232243679</v>
      </c>
      <c r="AW428" s="52">
        <f t="shared" ca="1" si="634"/>
        <v>20622.787249921243</v>
      </c>
      <c r="AX428" s="52">
        <f t="shared" ca="1" si="634"/>
        <v>20414.476267598806</v>
      </c>
      <c r="AY428" s="52">
        <f t="shared" ca="1" si="634"/>
        <v>20206.165285276369</v>
      </c>
      <c r="AZ428" s="52">
        <f t="shared" ca="1" si="634"/>
        <v>19997.854302953932</v>
      </c>
      <c r="BA428" s="52">
        <f t="shared" ca="1" si="634"/>
        <v>19789.543320631496</v>
      </c>
      <c r="BB428" s="52">
        <f t="shared" ca="1" si="634"/>
        <v>19581.232338309059</v>
      </c>
      <c r="BC428" s="52">
        <f t="shared" ca="1" si="634"/>
        <v>19372.921355986622</v>
      </c>
      <c r="BD428" s="52">
        <f t="shared" ca="1" si="634"/>
        <v>19164.610373664185</v>
      </c>
      <c r="BE428" s="52">
        <f t="shared" ca="1" si="634"/>
        <v>18956.299391341749</v>
      </c>
      <c r="BF428" s="52">
        <f t="shared" ca="1" si="634"/>
        <v>18747.988409019312</v>
      </c>
      <c r="BG428" s="52">
        <f t="shared" ca="1" si="634"/>
        <v>18539.677426696875</v>
      </c>
      <c r="BH428" s="52">
        <f t="shared" ca="1" si="634"/>
        <v>18331.366444374438</v>
      </c>
      <c r="BI428" s="52">
        <f t="shared" ca="1" si="634"/>
        <v>18123.055462052002</v>
      </c>
      <c r="BJ428" s="52">
        <f t="shared" ca="1" si="634"/>
        <v>17914.744479729565</v>
      </c>
      <c r="BK428" s="52">
        <f t="shared" ca="1" si="634"/>
        <v>17706.433497407128</v>
      </c>
      <c r="BL428" s="52">
        <f t="shared" ca="1" si="634"/>
        <v>17498.122515084691</v>
      </c>
      <c r="BM428" s="52">
        <f t="shared" ca="1" si="634"/>
        <v>17289.811532762255</v>
      </c>
      <c r="BN428" s="52">
        <f t="shared" ca="1" si="634"/>
        <v>17081.500550439818</v>
      </c>
      <c r="BO428" s="52">
        <f t="shared" ca="1" si="634"/>
        <v>16873.189568117381</v>
      </c>
      <c r="BP428" s="52">
        <f t="shared" ca="1" si="634"/>
        <v>16664.878585794941</v>
      </c>
      <c r="BQ428" s="52">
        <f t="shared" ca="1" si="634"/>
        <v>16456.567603472504</v>
      </c>
      <c r="BR428" s="52">
        <f t="shared" ca="1" si="634"/>
        <v>16248.256621150069</v>
      </c>
      <c r="BS428" s="52">
        <f t="shared" ca="1" si="634"/>
        <v>16039.945638827632</v>
      </c>
      <c r="BT428" s="52">
        <f t="shared" ca="1" si="634"/>
        <v>15831.634656505195</v>
      </c>
      <c r="BU428" s="52">
        <f t="shared" ca="1" si="634"/>
        <v>15623.323674182759</v>
      </c>
      <c r="BV428" s="52">
        <f t="shared" ca="1" si="634"/>
        <v>15415.012691860322</v>
      </c>
      <c r="BW428" s="52">
        <f t="shared" ca="1" si="634"/>
        <v>15206.701709537885</v>
      </c>
      <c r="BX428" s="52">
        <f t="shared" ca="1" si="634"/>
        <v>14998.390727215448</v>
      </c>
      <c r="BY428" s="52">
        <f t="shared" ca="1" si="634"/>
        <v>14790.079744893012</v>
      </c>
      <c r="BZ428" s="52">
        <f t="shared" ca="1" si="634"/>
        <v>14581.768762570575</v>
      </c>
      <c r="CA428" s="52">
        <f t="shared" ca="1" si="634"/>
        <v>14373.457780248138</v>
      </c>
      <c r="CB428" s="52">
        <f t="shared" ca="1" si="634"/>
        <v>14165.146797925701</v>
      </c>
      <c r="CC428" s="52">
        <f t="shared" ca="1" si="634"/>
        <v>13956.835815603265</v>
      </c>
      <c r="CD428" s="52">
        <f t="shared" ca="1" si="634"/>
        <v>13748.524833280828</v>
      </c>
      <c r="CE428" s="52">
        <f t="shared" ref="CE428:CO428" ca="1" si="635" xml:space="preserve"> SUM(CE425,CE427)</f>
        <v>13540.213850958391</v>
      </c>
      <c r="CF428" s="52">
        <f t="shared" ca="1" si="635"/>
        <v>13331.902868635954</v>
      </c>
      <c r="CG428" s="52">
        <f t="shared" ca="1" si="635"/>
        <v>13123.591886313518</v>
      </c>
      <c r="CH428" s="52">
        <f t="shared" ca="1" si="635"/>
        <v>12915.280903991081</v>
      </c>
      <c r="CI428" s="52">
        <f t="shared" ca="1" si="635"/>
        <v>12706.969921668644</v>
      </c>
      <c r="CJ428" s="52">
        <f t="shared" ca="1" si="635"/>
        <v>12498.658939346207</v>
      </c>
      <c r="CK428" s="52">
        <f t="shared" ca="1" si="635"/>
        <v>12290.347957023771</v>
      </c>
      <c r="CL428" s="52">
        <f t="shared" ca="1" si="635"/>
        <v>12082.036974701334</v>
      </c>
      <c r="CM428" s="52">
        <f t="shared" ca="1" si="635"/>
        <v>11873.725992378897</v>
      </c>
      <c r="CN428" s="52">
        <f t="shared" ca="1" si="635"/>
        <v>11665.41501005646</v>
      </c>
      <c r="CO428" s="52">
        <f t="shared" ca="1" si="635"/>
        <v>11457.104027734023</v>
      </c>
    </row>
    <row r="429" spans="1:93">
      <c r="A429" s="10"/>
      <c r="B429" s="10"/>
      <c r="C429" s="17"/>
      <c r="D429" s="10"/>
      <c r="E429" s="62"/>
      <c r="F429" s="11"/>
      <c r="G429" s="11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</row>
    <row r="430" spans="1:93">
      <c r="A430" s="10"/>
      <c r="B430" s="10"/>
      <c r="C430" s="87" t="s">
        <v>581</v>
      </c>
      <c r="D430" s="10"/>
      <c r="E430" s="10"/>
      <c r="F430" s="10"/>
      <c r="G430" s="11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  <c r="BA430" s="10"/>
      <c r="BB430" s="10"/>
      <c r="BC430" s="10"/>
      <c r="BD430" s="10"/>
      <c r="BE430" s="10"/>
      <c r="BF430" s="10"/>
      <c r="BG430" s="10"/>
      <c r="BH430" s="10"/>
      <c r="BI430" s="10"/>
      <c r="BJ430" s="10"/>
      <c r="BK430" s="10"/>
      <c r="BL430" s="10"/>
      <c r="BM430" s="10"/>
      <c r="BN430" s="10"/>
      <c r="BO430" s="10"/>
      <c r="BP430" s="10"/>
      <c r="BQ430" s="10"/>
      <c r="BR430" s="10"/>
      <c r="BS430" s="10"/>
      <c r="BT430" s="10"/>
      <c r="BU430" s="10"/>
      <c r="BV430" s="10"/>
      <c r="BW430" s="10"/>
      <c r="BX430" s="10"/>
      <c r="BY430" s="10"/>
      <c r="BZ430" s="10"/>
      <c r="CA430" s="10"/>
      <c r="CB430" s="10"/>
      <c r="CC430" s="10"/>
      <c r="CD430" s="10"/>
      <c r="CE430" s="10"/>
      <c r="CF430" s="10"/>
      <c r="CG430" s="10"/>
      <c r="CH430" s="10"/>
      <c r="CI430" s="10"/>
      <c r="CJ430" s="10"/>
      <c r="CK430" s="10"/>
      <c r="CL430" s="10"/>
      <c r="CM430" s="10"/>
      <c r="CN430" s="10"/>
      <c r="CO430" s="10"/>
    </row>
    <row r="431" spans="1:93">
      <c r="A431" s="10"/>
      <c r="B431" s="10"/>
      <c r="C431" s="17" t="s">
        <v>386</v>
      </c>
      <c r="D431" s="10"/>
      <c r="E431" s="184">
        <f xml:space="preserve"> Предпосылки!E371</f>
        <v>30</v>
      </c>
      <c r="F431" s="11"/>
      <c r="G431" s="11" t="s">
        <v>123</v>
      </c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  <c r="BA431" s="10"/>
      <c r="BB431" s="10"/>
      <c r="BC431" s="10"/>
      <c r="BD431" s="10"/>
      <c r="BE431" s="10"/>
      <c r="BF431" s="10"/>
      <c r="BG431" s="10"/>
      <c r="BH431" s="10"/>
      <c r="BI431" s="10"/>
      <c r="BJ431" s="10"/>
      <c r="BK431" s="10"/>
      <c r="BL431" s="10"/>
      <c r="BM431" s="10"/>
      <c r="BN431" s="10"/>
      <c r="BO431" s="10"/>
      <c r="BP431" s="10"/>
      <c r="BQ431" s="10"/>
      <c r="BR431" s="10"/>
      <c r="BS431" s="10"/>
      <c r="BT431" s="10"/>
      <c r="BU431" s="10"/>
      <c r="BV431" s="10"/>
      <c r="BW431" s="10"/>
      <c r="BX431" s="10"/>
      <c r="BY431" s="10"/>
      <c r="BZ431" s="10"/>
      <c r="CA431" s="10"/>
      <c r="CB431" s="10"/>
      <c r="CC431" s="10"/>
      <c r="CD431" s="10"/>
      <c r="CE431" s="10"/>
      <c r="CF431" s="10"/>
      <c r="CG431" s="10"/>
      <c r="CH431" s="10"/>
      <c r="CI431" s="10"/>
      <c r="CJ431" s="10"/>
      <c r="CK431" s="10"/>
      <c r="CL431" s="10"/>
      <c r="CM431" s="10"/>
      <c r="CN431" s="10"/>
      <c r="CO431" s="10"/>
    </row>
    <row r="432" spans="1:93">
      <c r="A432" s="10"/>
      <c r="B432" s="10"/>
      <c r="C432" s="17" t="s">
        <v>387</v>
      </c>
      <c r="D432" s="10"/>
      <c r="E432" s="182"/>
      <c r="F432" s="11"/>
      <c r="G432" s="11" t="s">
        <v>28</v>
      </c>
      <c r="H432" s="10"/>
      <c r="I432" s="10"/>
      <c r="J432" s="10"/>
      <c r="K432" s="10"/>
      <c r="L432" s="157">
        <f t="shared" ref="L432:R432" si="636" xml:space="preserve"> IF($E431&lt;&gt;0,1/$E431,0)/Periods_in_Year</f>
        <v>8.3333333333333332E-3</v>
      </c>
      <c r="M432" s="157">
        <f t="shared" si="636"/>
        <v>8.3333333333333332E-3</v>
      </c>
      <c r="N432" s="157">
        <f t="shared" si="636"/>
        <v>8.3333333333333332E-3</v>
      </c>
      <c r="O432" s="157">
        <f t="shared" si="636"/>
        <v>8.3333333333333332E-3</v>
      </c>
      <c r="P432" s="157">
        <f t="shared" si="636"/>
        <v>8.3333333333333332E-3</v>
      </c>
      <c r="Q432" s="157">
        <f t="shared" si="636"/>
        <v>8.3333333333333332E-3</v>
      </c>
      <c r="R432" s="157">
        <f t="shared" si="636"/>
        <v>8.3333333333333332E-3</v>
      </c>
      <c r="S432" s="157">
        <f t="shared" ref="S432:CD432" si="637" xml:space="preserve"> IF($E431&lt;&gt;0,1/$E431,0)/Periods_in_Year</f>
        <v>8.3333333333333332E-3</v>
      </c>
      <c r="T432" s="157">
        <f t="shared" si="637"/>
        <v>8.3333333333333332E-3</v>
      </c>
      <c r="U432" s="157">
        <f t="shared" si="637"/>
        <v>8.3333333333333332E-3</v>
      </c>
      <c r="V432" s="157">
        <f t="shared" si="637"/>
        <v>8.3333333333333332E-3</v>
      </c>
      <c r="W432" s="157">
        <f t="shared" si="637"/>
        <v>8.3333333333333332E-3</v>
      </c>
      <c r="X432" s="157">
        <f t="shared" si="637"/>
        <v>8.3333333333333332E-3</v>
      </c>
      <c r="Y432" s="157">
        <f t="shared" si="637"/>
        <v>8.3333333333333332E-3</v>
      </c>
      <c r="Z432" s="157">
        <f t="shared" si="637"/>
        <v>8.3333333333333332E-3</v>
      </c>
      <c r="AA432" s="157">
        <f t="shared" si="637"/>
        <v>8.3333333333333332E-3</v>
      </c>
      <c r="AB432" s="157">
        <f t="shared" si="637"/>
        <v>8.3333333333333332E-3</v>
      </c>
      <c r="AC432" s="157">
        <f t="shared" si="637"/>
        <v>8.3333333333333332E-3</v>
      </c>
      <c r="AD432" s="157">
        <f t="shared" si="637"/>
        <v>8.3333333333333332E-3</v>
      </c>
      <c r="AE432" s="157">
        <f t="shared" si="637"/>
        <v>8.3333333333333332E-3</v>
      </c>
      <c r="AF432" s="157">
        <f t="shared" si="637"/>
        <v>8.3333333333333332E-3</v>
      </c>
      <c r="AG432" s="157">
        <f t="shared" si="637"/>
        <v>8.3333333333333332E-3</v>
      </c>
      <c r="AH432" s="157">
        <f t="shared" si="637"/>
        <v>8.3333333333333332E-3</v>
      </c>
      <c r="AI432" s="157">
        <f t="shared" si="637"/>
        <v>8.3333333333333332E-3</v>
      </c>
      <c r="AJ432" s="157">
        <f t="shared" si="637"/>
        <v>8.3333333333333332E-3</v>
      </c>
      <c r="AK432" s="157">
        <f t="shared" si="637"/>
        <v>8.3333333333333332E-3</v>
      </c>
      <c r="AL432" s="157">
        <f t="shared" si="637"/>
        <v>8.3333333333333332E-3</v>
      </c>
      <c r="AM432" s="157">
        <f t="shared" si="637"/>
        <v>8.3333333333333332E-3</v>
      </c>
      <c r="AN432" s="157">
        <f t="shared" si="637"/>
        <v>8.3333333333333332E-3</v>
      </c>
      <c r="AO432" s="157">
        <f t="shared" si="637"/>
        <v>8.3333333333333332E-3</v>
      </c>
      <c r="AP432" s="157">
        <f t="shared" si="637"/>
        <v>8.3333333333333332E-3</v>
      </c>
      <c r="AQ432" s="157">
        <f t="shared" si="637"/>
        <v>8.3333333333333332E-3</v>
      </c>
      <c r="AR432" s="157">
        <f t="shared" si="637"/>
        <v>8.3333333333333332E-3</v>
      </c>
      <c r="AS432" s="157">
        <f t="shared" si="637"/>
        <v>8.3333333333333332E-3</v>
      </c>
      <c r="AT432" s="157">
        <f t="shared" si="637"/>
        <v>8.3333333333333332E-3</v>
      </c>
      <c r="AU432" s="157">
        <f t="shared" si="637"/>
        <v>8.3333333333333332E-3</v>
      </c>
      <c r="AV432" s="157">
        <f t="shared" si="637"/>
        <v>8.3333333333333332E-3</v>
      </c>
      <c r="AW432" s="157">
        <f t="shared" si="637"/>
        <v>8.3333333333333332E-3</v>
      </c>
      <c r="AX432" s="157">
        <f t="shared" si="637"/>
        <v>8.3333333333333332E-3</v>
      </c>
      <c r="AY432" s="157">
        <f t="shared" si="637"/>
        <v>8.3333333333333332E-3</v>
      </c>
      <c r="AZ432" s="157">
        <f t="shared" si="637"/>
        <v>8.3333333333333332E-3</v>
      </c>
      <c r="BA432" s="157">
        <f t="shared" si="637"/>
        <v>8.3333333333333332E-3</v>
      </c>
      <c r="BB432" s="157">
        <f t="shared" si="637"/>
        <v>8.3333333333333332E-3</v>
      </c>
      <c r="BC432" s="157">
        <f t="shared" si="637"/>
        <v>8.3333333333333332E-3</v>
      </c>
      <c r="BD432" s="157">
        <f t="shared" si="637"/>
        <v>8.3333333333333332E-3</v>
      </c>
      <c r="BE432" s="157">
        <f t="shared" si="637"/>
        <v>8.3333333333333332E-3</v>
      </c>
      <c r="BF432" s="157">
        <f t="shared" si="637"/>
        <v>8.3333333333333332E-3</v>
      </c>
      <c r="BG432" s="157">
        <f t="shared" si="637"/>
        <v>8.3333333333333332E-3</v>
      </c>
      <c r="BH432" s="157">
        <f t="shared" si="637"/>
        <v>8.3333333333333332E-3</v>
      </c>
      <c r="BI432" s="157">
        <f t="shared" si="637"/>
        <v>8.3333333333333332E-3</v>
      </c>
      <c r="BJ432" s="157">
        <f t="shared" si="637"/>
        <v>8.3333333333333332E-3</v>
      </c>
      <c r="BK432" s="157">
        <f t="shared" si="637"/>
        <v>8.3333333333333332E-3</v>
      </c>
      <c r="BL432" s="157">
        <f t="shared" si="637"/>
        <v>8.3333333333333332E-3</v>
      </c>
      <c r="BM432" s="157">
        <f t="shared" si="637"/>
        <v>8.3333333333333332E-3</v>
      </c>
      <c r="BN432" s="157">
        <f t="shared" si="637"/>
        <v>8.3333333333333332E-3</v>
      </c>
      <c r="BO432" s="157">
        <f t="shared" si="637"/>
        <v>8.3333333333333332E-3</v>
      </c>
      <c r="BP432" s="157">
        <f t="shared" si="637"/>
        <v>8.3333333333333332E-3</v>
      </c>
      <c r="BQ432" s="157">
        <f t="shared" si="637"/>
        <v>8.3333333333333332E-3</v>
      </c>
      <c r="BR432" s="157">
        <f t="shared" si="637"/>
        <v>8.3333333333333332E-3</v>
      </c>
      <c r="BS432" s="157">
        <f t="shared" si="637"/>
        <v>8.3333333333333332E-3</v>
      </c>
      <c r="BT432" s="157">
        <f t="shared" si="637"/>
        <v>8.3333333333333332E-3</v>
      </c>
      <c r="BU432" s="157">
        <f t="shared" si="637"/>
        <v>8.3333333333333332E-3</v>
      </c>
      <c r="BV432" s="157">
        <f t="shared" si="637"/>
        <v>8.3333333333333332E-3</v>
      </c>
      <c r="BW432" s="157">
        <f t="shared" si="637"/>
        <v>8.3333333333333332E-3</v>
      </c>
      <c r="BX432" s="157">
        <f t="shared" si="637"/>
        <v>8.3333333333333332E-3</v>
      </c>
      <c r="BY432" s="157">
        <f t="shared" si="637"/>
        <v>8.3333333333333332E-3</v>
      </c>
      <c r="BZ432" s="157">
        <f t="shared" si="637"/>
        <v>8.3333333333333332E-3</v>
      </c>
      <c r="CA432" s="157">
        <f t="shared" si="637"/>
        <v>8.3333333333333332E-3</v>
      </c>
      <c r="CB432" s="157">
        <f t="shared" si="637"/>
        <v>8.3333333333333332E-3</v>
      </c>
      <c r="CC432" s="157">
        <f t="shared" si="637"/>
        <v>8.3333333333333332E-3</v>
      </c>
      <c r="CD432" s="157">
        <f t="shared" si="637"/>
        <v>8.3333333333333332E-3</v>
      </c>
      <c r="CE432" s="157">
        <f t="shared" ref="CE432:CO432" si="638" xml:space="preserve"> IF($E431&lt;&gt;0,1/$E431,0)/Periods_in_Year</f>
        <v>8.3333333333333332E-3</v>
      </c>
      <c r="CF432" s="157">
        <f t="shared" si="638"/>
        <v>8.3333333333333332E-3</v>
      </c>
      <c r="CG432" s="157">
        <f t="shared" si="638"/>
        <v>8.3333333333333332E-3</v>
      </c>
      <c r="CH432" s="157">
        <f t="shared" si="638"/>
        <v>8.3333333333333332E-3</v>
      </c>
      <c r="CI432" s="157">
        <f t="shared" si="638"/>
        <v>8.3333333333333332E-3</v>
      </c>
      <c r="CJ432" s="157">
        <f t="shared" si="638"/>
        <v>8.3333333333333332E-3</v>
      </c>
      <c r="CK432" s="157">
        <f t="shared" si="638"/>
        <v>8.3333333333333332E-3</v>
      </c>
      <c r="CL432" s="157">
        <f t="shared" si="638"/>
        <v>8.3333333333333332E-3</v>
      </c>
      <c r="CM432" s="157">
        <f t="shared" si="638"/>
        <v>8.3333333333333332E-3</v>
      </c>
      <c r="CN432" s="157">
        <f t="shared" si="638"/>
        <v>8.3333333333333332E-3</v>
      </c>
      <c r="CO432" s="157">
        <f t="shared" si="638"/>
        <v>8.3333333333333332E-3</v>
      </c>
    </row>
    <row r="433" spans="1:93">
      <c r="A433" s="10"/>
      <c r="B433" s="10"/>
      <c r="C433" s="17" t="s">
        <v>125</v>
      </c>
      <c r="D433" s="10"/>
      <c r="E433" s="62"/>
      <c r="F433" s="11"/>
      <c r="G433" s="134" t="str">
        <f t="shared" ref="G433:G439" si="639">Monetary_Unit</f>
        <v>тыс. руб.</v>
      </c>
      <c r="H433" s="10"/>
      <c r="I433" s="10"/>
      <c r="J433" s="10"/>
      <c r="K433" s="10"/>
      <c r="L433" s="52">
        <f t="shared" ref="L433:AQ433" si="640" xml:space="preserve"> K439</f>
        <v>0</v>
      </c>
      <c r="M433" s="52">
        <f t="shared" ca="1" si="640"/>
        <v>0</v>
      </c>
      <c r="N433" s="52">
        <f t="shared" ca="1" si="640"/>
        <v>0</v>
      </c>
      <c r="O433" s="52">
        <f t="shared" ca="1" si="640"/>
        <v>0</v>
      </c>
      <c r="P433" s="52">
        <f t="shared" ca="1" si="640"/>
        <v>0</v>
      </c>
      <c r="Q433" s="52">
        <f t="shared" ca="1" si="640"/>
        <v>0</v>
      </c>
      <c r="R433" s="52">
        <f t="shared" ca="1" si="640"/>
        <v>0</v>
      </c>
      <c r="S433" s="52">
        <f t="shared" ca="1" si="640"/>
        <v>0</v>
      </c>
      <c r="T433" s="52">
        <f t="shared" ca="1" si="640"/>
        <v>0</v>
      </c>
      <c r="U433" s="52">
        <f t="shared" ca="1" si="640"/>
        <v>0</v>
      </c>
      <c r="V433" s="52">
        <f t="shared" ca="1" si="640"/>
        <v>0</v>
      </c>
      <c r="W433" s="52">
        <f t="shared" ca="1" si="640"/>
        <v>0</v>
      </c>
      <c r="X433" s="52">
        <f t="shared" ca="1" si="640"/>
        <v>0</v>
      </c>
      <c r="Y433" s="52">
        <f t="shared" ca="1" si="640"/>
        <v>0</v>
      </c>
      <c r="Z433" s="52">
        <f t="shared" ca="1" si="640"/>
        <v>0</v>
      </c>
      <c r="AA433" s="52">
        <f t="shared" ca="1" si="640"/>
        <v>0</v>
      </c>
      <c r="AB433" s="52">
        <f t="shared" ca="1" si="640"/>
        <v>0</v>
      </c>
      <c r="AC433" s="52">
        <f t="shared" ca="1" si="640"/>
        <v>2465463.0653563468</v>
      </c>
      <c r="AD433" s="52">
        <f t="shared" ca="1" si="640"/>
        <v>2198371.2332760757</v>
      </c>
      <c r="AE433" s="52">
        <f t="shared" ca="1" si="640"/>
        <v>2179880.2602859032</v>
      </c>
      <c r="AF433" s="52">
        <f t="shared" ca="1" si="640"/>
        <v>2161389.2872957308</v>
      </c>
      <c r="AG433" s="52">
        <f t="shared" ca="1" si="640"/>
        <v>2142898.3143055579</v>
      </c>
      <c r="AH433" s="52">
        <f t="shared" ca="1" si="640"/>
        <v>2124407.3413153854</v>
      </c>
      <c r="AI433" s="52">
        <f t="shared" ca="1" si="640"/>
        <v>2105916.368325213</v>
      </c>
      <c r="AJ433" s="52">
        <f t="shared" ca="1" si="640"/>
        <v>2087425.3953350403</v>
      </c>
      <c r="AK433" s="52">
        <f t="shared" ca="1" si="640"/>
        <v>2068934.4223448676</v>
      </c>
      <c r="AL433" s="52">
        <f t="shared" ca="1" si="640"/>
        <v>2050443.4493546952</v>
      </c>
      <c r="AM433" s="52">
        <f t="shared" ca="1" si="640"/>
        <v>2031952.4763645225</v>
      </c>
      <c r="AN433" s="52">
        <f t="shared" ca="1" si="640"/>
        <v>2013461.5033743498</v>
      </c>
      <c r="AO433" s="52">
        <f t="shared" ca="1" si="640"/>
        <v>1994970.5303841773</v>
      </c>
      <c r="AP433" s="52">
        <f t="shared" ca="1" si="640"/>
        <v>1976479.5573940047</v>
      </c>
      <c r="AQ433" s="52">
        <f t="shared" ca="1" si="640"/>
        <v>1957988.5844038322</v>
      </c>
      <c r="AR433" s="52">
        <f t="shared" ref="AR433:BW433" ca="1" si="641" xml:space="preserve"> AQ439</f>
        <v>1939497.6114136595</v>
      </c>
      <c r="AS433" s="52">
        <f t="shared" ca="1" si="641"/>
        <v>1921006.6384234868</v>
      </c>
      <c r="AT433" s="52">
        <f t="shared" ca="1" si="641"/>
        <v>1902515.6654333142</v>
      </c>
      <c r="AU433" s="52">
        <f t="shared" ca="1" si="641"/>
        <v>1884024.6924431417</v>
      </c>
      <c r="AV433" s="52">
        <f t="shared" ca="1" si="641"/>
        <v>1865533.719452969</v>
      </c>
      <c r="AW433" s="52">
        <f t="shared" ca="1" si="641"/>
        <v>1847042.7464627963</v>
      </c>
      <c r="AX433" s="52">
        <f t="shared" ca="1" si="641"/>
        <v>1828551.7734726239</v>
      </c>
      <c r="AY433" s="52">
        <f t="shared" ca="1" si="641"/>
        <v>1810060.8004824512</v>
      </c>
      <c r="AZ433" s="52">
        <f t="shared" ca="1" si="641"/>
        <v>1791569.8274922785</v>
      </c>
      <c r="BA433" s="52">
        <f t="shared" ca="1" si="641"/>
        <v>1773078.8545021059</v>
      </c>
      <c r="BB433" s="52">
        <f t="shared" ca="1" si="641"/>
        <v>1754587.8815119332</v>
      </c>
      <c r="BC433" s="52">
        <f t="shared" ca="1" si="641"/>
        <v>1736096.9085217607</v>
      </c>
      <c r="BD433" s="52">
        <f t="shared" ca="1" si="641"/>
        <v>1717605.935531588</v>
      </c>
      <c r="BE433" s="52">
        <f t="shared" ca="1" si="641"/>
        <v>1699114.9625414154</v>
      </c>
      <c r="BF433" s="52">
        <f t="shared" ca="1" si="641"/>
        <v>1680623.9895512429</v>
      </c>
      <c r="BG433" s="52">
        <f t="shared" ca="1" si="641"/>
        <v>1662133.0165610702</v>
      </c>
      <c r="BH433" s="52">
        <f t="shared" ca="1" si="641"/>
        <v>1643642.0435708975</v>
      </c>
      <c r="BI433" s="52">
        <f t="shared" ca="1" si="641"/>
        <v>1625151.0705807251</v>
      </c>
      <c r="BJ433" s="52">
        <f t="shared" ca="1" si="641"/>
        <v>1606660.0975905526</v>
      </c>
      <c r="BK433" s="52">
        <f t="shared" ca="1" si="641"/>
        <v>1588169.12460038</v>
      </c>
      <c r="BL433" s="52">
        <f t="shared" ca="1" si="641"/>
        <v>1569678.1516102073</v>
      </c>
      <c r="BM433" s="52">
        <f t="shared" ca="1" si="641"/>
        <v>1551187.1786200348</v>
      </c>
      <c r="BN433" s="52">
        <f t="shared" ca="1" si="641"/>
        <v>1532696.2056298624</v>
      </c>
      <c r="BO433" s="52">
        <f t="shared" ca="1" si="641"/>
        <v>1514205.2326396897</v>
      </c>
      <c r="BP433" s="52">
        <f t="shared" ca="1" si="641"/>
        <v>1495714.259649517</v>
      </c>
      <c r="BQ433" s="52">
        <f t="shared" ca="1" si="641"/>
        <v>1477223.2866593446</v>
      </c>
      <c r="BR433" s="52">
        <f t="shared" ca="1" si="641"/>
        <v>1458732.3136691721</v>
      </c>
      <c r="BS433" s="52">
        <f t="shared" ca="1" si="641"/>
        <v>1440241.3406789994</v>
      </c>
      <c r="BT433" s="52">
        <f t="shared" ca="1" si="641"/>
        <v>1421750.3676888268</v>
      </c>
      <c r="BU433" s="52">
        <f t="shared" ca="1" si="641"/>
        <v>1403259.3946986543</v>
      </c>
      <c r="BV433" s="52">
        <f t="shared" ca="1" si="641"/>
        <v>1384768.4217084819</v>
      </c>
      <c r="BW433" s="52">
        <f t="shared" ca="1" si="641"/>
        <v>1366277.4487183092</v>
      </c>
      <c r="BX433" s="52">
        <f t="shared" ref="BX433:CO433" ca="1" si="642" xml:space="preserve"> BW439</f>
        <v>1347786.4757281365</v>
      </c>
      <c r="BY433" s="52">
        <f t="shared" ca="1" si="642"/>
        <v>1329295.502737964</v>
      </c>
      <c r="BZ433" s="52">
        <f t="shared" ca="1" si="642"/>
        <v>1310804.5297477916</v>
      </c>
      <c r="CA433" s="52">
        <f t="shared" ca="1" si="642"/>
        <v>1292313.5567576189</v>
      </c>
      <c r="CB433" s="52">
        <f t="shared" ca="1" si="642"/>
        <v>1273822.5837674462</v>
      </c>
      <c r="CC433" s="52">
        <f t="shared" ca="1" si="642"/>
        <v>1255331.6107772738</v>
      </c>
      <c r="CD433" s="52">
        <f t="shared" ca="1" si="642"/>
        <v>1236840.6377871013</v>
      </c>
      <c r="CE433" s="52">
        <f t="shared" ca="1" si="642"/>
        <v>1218349.6647969286</v>
      </c>
      <c r="CF433" s="52">
        <f t="shared" ca="1" si="642"/>
        <v>1199858.691806756</v>
      </c>
      <c r="CG433" s="52">
        <f t="shared" ca="1" si="642"/>
        <v>1181367.7188165835</v>
      </c>
      <c r="CH433" s="52">
        <f t="shared" ca="1" si="642"/>
        <v>1162876.7458264108</v>
      </c>
      <c r="CI433" s="52">
        <f t="shared" ca="1" si="642"/>
        <v>1144385.7728362381</v>
      </c>
      <c r="CJ433" s="52">
        <f t="shared" ca="1" si="642"/>
        <v>1125894.7998460655</v>
      </c>
      <c r="CK433" s="52">
        <f t="shared" ca="1" si="642"/>
        <v>1107403.8268558928</v>
      </c>
      <c r="CL433" s="52">
        <f t="shared" ca="1" si="642"/>
        <v>1088912.8538657201</v>
      </c>
      <c r="CM433" s="52">
        <f t="shared" ca="1" si="642"/>
        <v>1070421.8808755474</v>
      </c>
      <c r="CN433" s="52">
        <f t="shared" ca="1" si="642"/>
        <v>1051930.9078853747</v>
      </c>
      <c r="CO433" s="52">
        <f t="shared" ca="1" si="642"/>
        <v>1033439.9348952021</v>
      </c>
    </row>
    <row r="434" spans="1:93">
      <c r="A434" s="10"/>
      <c r="B434" s="10"/>
      <c r="C434" s="17" t="s">
        <v>126</v>
      </c>
      <c r="D434" s="10"/>
      <c r="E434" s="62"/>
      <c r="F434" s="11"/>
      <c r="G434" s="134" t="str">
        <f t="shared" si="639"/>
        <v>тыс. руб.</v>
      </c>
      <c r="H434" s="10"/>
      <c r="I434" s="23">
        <f ca="1">SUM(L434:CO434)</f>
        <v>2218916.7588207121</v>
      </c>
      <c r="J434" s="10"/>
      <c r="K434" s="10"/>
      <c r="L434" s="52">
        <f t="shared" ref="L434:AQ434" ca="1" si="643" xml:space="preserve"> SUM(L323,L324,L327) + L435</f>
        <v>0</v>
      </c>
      <c r="M434" s="52">
        <f t="shared" ca="1" si="643"/>
        <v>0</v>
      </c>
      <c r="N434" s="52">
        <f t="shared" ca="1" si="643"/>
        <v>0</v>
      </c>
      <c r="O434" s="52">
        <f t="shared" ca="1" si="643"/>
        <v>0</v>
      </c>
      <c r="P434" s="52">
        <f t="shared" ca="1" si="643"/>
        <v>0</v>
      </c>
      <c r="Q434" s="52">
        <f t="shared" ca="1" si="643"/>
        <v>0</v>
      </c>
      <c r="R434" s="52">
        <f t="shared" ca="1" si="643"/>
        <v>0</v>
      </c>
      <c r="S434" s="52">
        <f t="shared" ca="1" si="643"/>
        <v>0</v>
      </c>
      <c r="T434" s="52">
        <f t="shared" ca="1" si="643"/>
        <v>0</v>
      </c>
      <c r="U434" s="52">
        <f t="shared" ca="1" si="643"/>
        <v>0</v>
      </c>
      <c r="V434" s="52">
        <f t="shared" ca="1" si="643"/>
        <v>0</v>
      </c>
      <c r="W434" s="52">
        <f t="shared" ca="1" si="643"/>
        <v>0</v>
      </c>
      <c r="X434" s="52">
        <f t="shared" ca="1" si="643"/>
        <v>0</v>
      </c>
      <c r="Y434" s="52">
        <f t="shared" ca="1" si="643"/>
        <v>0</v>
      </c>
      <c r="Z434" s="52">
        <f t="shared" ca="1" si="643"/>
        <v>0</v>
      </c>
      <c r="AA434" s="52">
        <f t="shared" ca="1" si="643"/>
        <v>0</v>
      </c>
      <c r="AB434" s="52">
        <f t="shared" ca="1" si="643"/>
        <v>2465463.0653563468</v>
      </c>
      <c r="AC434" s="52">
        <f t="shared" ca="1" si="643"/>
        <v>-246546.30653563468</v>
      </c>
      <c r="AD434" s="52">
        <f t="shared" ca="1" si="643"/>
        <v>0</v>
      </c>
      <c r="AE434" s="52">
        <f t="shared" ca="1" si="643"/>
        <v>0</v>
      </c>
      <c r="AF434" s="52">
        <f t="shared" ca="1" si="643"/>
        <v>0</v>
      </c>
      <c r="AG434" s="52">
        <f t="shared" ca="1" si="643"/>
        <v>0</v>
      </c>
      <c r="AH434" s="52">
        <f t="shared" ca="1" si="643"/>
        <v>0</v>
      </c>
      <c r="AI434" s="52">
        <f t="shared" ca="1" si="643"/>
        <v>0</v>
      </c>
      <c r="AJ434" s="52">
        <f t="shared" ca="1" si="643"/>
        <v>0</v>
      </c>
      <c r="AK434" s="52">
        <f t="shared" ca="1" si="643"/>
        <v>0</v>
      </c>
      <c r="AL434" s="52">
        <f t="shared" ca="1" si="643"/>
        <v>0</v>
      </c>
      <c r="AM434" s="52">
        <f t="shared" ca="1" si="643"/>
        <v>0</v>
      </c>
      <c r="AN434" s="52">
        <f t="shared" ca="1" si="643"/>
        <v>0</v>
      </c>
      <c r="AO434" s="52">
        <f t="shared" ca="1" si="643"/>
        <v>0</v>
      </c>
      <c r="AP434" s="52">
        <f t="shared" ca="1" si="643"/>
        <v>0</v>
      </c>
      <c r="AQ434" s="52">
        <f t="shared" ca="1" si="643"/>
        <v>0</v>
      </c>
      <c r="AR434" s="52">
        <f t="shared" ref="AR434:BW434" ca="1" si="644" xml:space="preserve"> SUM(AR323,AR324,AR327) + AR435</f>
        <v>0</v>
      </c>
      <c r="AS434" s="52">
        <f t="shared" ca="1" si="644"/>
        <v>0</v>
      </c>
      <c r="AT434" s="52">
        <f t="shared" ca="1" si="644"/>
        <v>0</v>
      </c>
      <c r="AU434" s="52">
        <f t="shared" ca="1" si="644"/>
        <v>0</v>
      </c>
      <c r="AV434" s="52">
        <f t="shared" ca="1" si="644"/>
        <v>0</v>
      </c>
      <c r="AW434" s="52">
        <f t="shared" ca="1" si="644"/>
        <v>0</v>
      </c>
      <c r="AX434" s="52">
        <f t="shared" ca="1" si="644"/>
        <v>0</v>
      </c>
      <c r="AY434" s="52">
        <f t="shared" ca="1" si="644"/>
        <v>0</v>
      </c>
      <c r="AZ434" s="52">
        <f t="shared" ca="1" si="644"/>
        <v>0</v>
      </c>
      <c r="BA434" s="52">
        <f t="shared" ca="1" si="644"/>
        <v>0</v>
      </c>
      <c r="BB434" s="52">
        <f t="shared" ca="1" si="644"/>
        <v>0</v>
      </c>
      <c r="BC434" s="52">
        <f t="shared" ca="1" si="644"/>
        <v>0</v>
      </c>
      <c r="BD434" s="52">
        <f t="shared" ca="1" si="644"/>
        <v>0</v>
      </c>
      <c r="BE434" s="52">
        <f t="shared" ca="1" si="644"/>
        <v>0</v>
      </c>
      <c r="BF434" s="52">
        <f t="shared" ca="1" si="644"/>
        <v>0</v>
      </c>
      <c r="BG434" s="52">
        <f t="shared" ca="1" si="644"/>
        <v>0</v>
      </c>
      <c r="BH434" s="52">
        <f t="shared" ca="1" si="644"/>
        <v>0</v>
      </c>
      <c r="BI434" s="52">
        <f t="shared" ca="1" si="644"/>
        <v>0</v>
      </c>
      <c r="BJ434" s="52">
        <f t="shared" ca="1" si="644"/>
        <v>0</v>
      </c>
      <c r="BK434" s="52">
        <f t="shared" ca="1" si="644"/>
        <v>0</v>
      </c>
      <c r="BL434" s="52">
        <f t="shared" ca="1" si="644"/>
        <v>0</v>
      </c>
      <c r="BM434" s="52">
        <f t="shared" ca="1" si="644"/>
        <v>0</v>
      </c>
      <c r="BN434" s="52">
        <f t="shared" ca="1" si="644"/>
        <v>0</v>
      </c>
      <c r="BO434" s="52">
        <f t="shared" ca="1" si="644"/>
        <v>0</v>
      </c>
      <c r="BP434" s="52">
        <f t="shared" ca="1" si="644"/>
        <v>0</v>
      </c>
      <c r="BQ434" s="52">
        <f t="shared" ca="1" si="644"/>
        <v>0</v>
      </c>
      <c r="BR434" s="52">
        <f t="shared" ca="1" si="644"/>
        <v>0</v>
      </c>
      <c r="BS434" s="52">
        <f t="shared" ca="1" si="644"/>
        <v>0</v>
      </c>
      <c r="BT434" s="52">
        <f t="shared" ca="1" si="644"/>
        <v>0</v>
      </c>
      <c r="BU434" s="52">
        <f t="shared" ca="1" si="644"/>
        <v>0</v>
      </c>
      <c r="BV434" s="52">
        <f t="shared" ca="1" si="644"/>
        <v>0</v>
      </c>
      <c r="BW434" s="52">
        <f t="shared" ca="1" si="644"/>
        <v>0</v>
      </c>
      <c r="BX434" s="52">
        <f t="shared" ref="BX434:CO434" ca="1" si="645" xml:space="preserve"> SUM(BX323,BX324,BX327) + BX435</f>
        <v>0</v>
      </c>
      <c r="BY434" s="52">
        <f t="shared" ca="1" si="645"/>
        <v>0</v>
      </c>
      <c r="BZ434" s="52">
        <f t="shared" ca="1" si="645"/>
        <v>0</v>
      </c>
      <c r="CA434" s="52">
        <f t="shared" ca="1" si="645"/>
        <v>0</v>
      </c>
      <c r="CB434" s="52">
        <f t="shared" ca="1" si="645"/>
        <v>0</v>
      </c>
      <c r="CC434" s="52">
        <f t="shared" ca="1" si="645"/>
        <v>0</v>
      </c>
      <c r="CD434" s="52">
        <f t="shared" ca="1" si="645"/>
        <v>0</v>
      </c>
      <c r="CE434" s="52">
        <f t="shared" ca="1" si="645"/>
        <v>0</v>
      </c>
      <c r="CF434" s="52">
        <f t="shared" ca="1" si="645"/>
        <v>0</v>
      </c>
      <c r="CG434" s="52">
        <f t="shared" ca="1" si="645"/>
        <v>0</v>
      </c>
      <c r="CH434" s="52">
        <f t="shared" ca="1" si="645"/>
        <v>0</v>
      </c>
      <c r="CI434" s="52">
        <f t="shared" ca="1" si="645"/>
        <v>0</v>
      </c>
      <c r="CJ434" s="52">
        <f t="shared" ca="1" si="645"/>
        <v>0</v>
      </c>
      <c r="CK434" s="52">
        <f t="shared" ca="1" si="645"/>
        <v>0</v>
      </c>
      <c r="CL434" s="52">
        <f t="shared" ca="1" si="645"/>
        <v>0</v>
      </c>
      <c r="CM434" s="52">
        <f t="shared" ca="1" si="645"/>
        <v>0</v>
      </c>
      <c r="CN434" s="52">
        <f t="shared" ca="1" si="645"/>
        <v>0</v>
      </c>
      <c r="CO434" s="52">
        <f t="shared" ca="1" si="645"/>
        <v>0</v>
      </c>
    </row>
    <row r="435" spans="1:93">
      <c r="A435" s="10"/>
      <c r="B435" s="10"/>
      <c r="C435" s="17" t="s">
        <v>129</v>
      </c>
      <c r="D435" s="10"/>
      <c r="E435" s="178">
        <f>Предпосылки!E376</f>
        <v>0.1</v>
      </c>
      <c r="F435" s="11"/>
      <c r="G435" s="134" t="str">
        <f t="shared" si="639"/>
        <v>тыс. руб.</v>
      </c>
      <c r="H435" s="10"/>
      <c r="I435" s="23">
        <f ca="1">SUM(L435:CO435)</f>
        <v>-246546.30653563468</v>
      </c>
      <c r="J435" s="10"/>
      <c r="K435" s="10"/>
      <c r="L435" s="52">
        <f t="shared" ref="L435:AQ435" si="646" xml:space="preserve"> - SUM(K323,K324,K327) * $E435</f>
        <v>0</v>
      </c>
      <c r="M435" s="52">
        <f t="shared" ca="1" si="646"/>
        <v>0</v>
      </c>
      <c r="N435" s="52">
        <f t="shared" ca="1" si="646"/>
        <v>0</v>
      </c>
      <c r="O435" s="52">
        <f t="shared" ca="1" si="646"/>
        <v>0</v>
      </c>
      <c r="P435" s="52">
        <f t="shared" ca="1" si="646"/>
        <v>0</v>
      </c>
      <c r="Q435" s="52">
        <f t="shared" ca="1" si="646"/>
        <v>0</v>
      </c>
      <c r="R435" s="52">
        <f t="shared" ca="1" si="646"/>
        <v>0</v>
      </c>
      <c r="S435" s="52">
        <f t="shared" ca="1" si="646"/>
        <v>0</v>
      </c>
      <c r="T435" s="52">
        <f t="shared" ca="1" si="646"/>
        <v>0</v>
      </c>
      <c r="U435" s="52">
        <f t="shared" ca="1" si="646"/>
        <v>0</v>
      </c>
      <c r="V435" s="52">
        <f t="shared" ca="1" si="646"/>
        <v>0</v>
      </c>
      <c r="W435" s="52">
        <f t="shared" ca="1" si="646"/>
        <v>0</v>
      </c>
      <c r="X435" s="52">
        <f t="shared" ca="1" si="646"/>
        <v>0</v>
      </c>
      <c r="Y435" s="52">
        <f t="shared" ca="1" si="646"/>
        <v>0</v>
      </c>
      <c r="Z435" s="52">
        <f t="shared" ca="1" si="646"/>
        <v>0</v>
      </c>
      <c r="AA435" s="52">
        <f t="shared" ca="1" si="646"/>
        <v>0</v>
      </c>
      <c r="AB435" s="52">
        <f t="shared" ca="1" si="646"/>
        <v>0</v>
      </c>
      <c r="AC435" s="52">
        <f t="shared" ca="1" si="646"/>
        <v>-246546.30653563468</v>
      </c>
      <c r="AD435" s="52">
        <f t="shared" ca="1" si="646"/>
        <v>0</v>
      </c>
      <c r="AE435" s="52">
        <f t="shared" ca="1" si="646"/>
        <v>0</v>
      </c>
      <c r="AF435" s="52">
        <f t="shared" ca="1" si="646"/>
        <v>0</v>
      </c>
      <c r="AG435" s="52">
        <f t="shared" ca="1" si="646"/>
        <v>0</v>
      </c>
      <c r="AH435" s="52">
        <f t="shared" ca="1" si="646"/>
        <v>0</v>
      </c>
      <c r="AI435" s="52">
        <f t="shared" ca="1" si="646"/>
        <v>0</v>
      </c>
      <c r="AJ435" s="52">
        <f t="shared" ca="1" si="646"/>
        <v>0</v>
      </c>
      <c r="AK435" s="52">
        <f t="shared" ca="1" si="646"/>
        <v>0</v>
      </c>
      <c r="AL435" s="52">
        <f t="shared" ca="1" si="646"/>
        <v>0</v>
      </c>
      <c r="AM435" s="52">
        <f t="shared" ca="1" si="646"/>
        <v>0</v>
      </c>
      <c r="AN435" s="52">
        <f t="shared" ca="1" si="646"/>
        <v>0</v>
      </c>
      <c r="AO435" s="52">
        <f t="shared" ca="1" si="646"/>
        <v>0</v>
      </c>
      <c r="AP435" s="52">
        <f t="shared" ca="1" si="646"/>
        <v>0</v>
      </c>
      <c r="AQ435" s="52">
        <f t="shared" ca="1" si="646"/>
        <v>0</v>
      </c>
      <c r="AR435" s="52">
        <f t="shared" ref="AR435:BW435" ca="1" si="647" xml:space="preserve"> - SUM(AQ323,AQ324,AQ327) * $E435</f>
        <v>0</v>
      </c>
      <c r="AS435" s="52">
        <f t="shared" ca="1" si="647"/>
        <v>0</v>
      </c>
      <c r="AT435" s="52">
        <f t="shared" ca="1" si="647"/>
        <v>0</v>
      </c>
      <c r="AU435" s="52">
        <f t="shared" ca="1" si="647"/>
        <v>0</v>
      </c>
      <c r="AV435" s="52">
        <f t="shared" ca="1" si="647"/>
        <v>0</v>
      </c>
      <c r="AW435" s="52">
        <f t="shared" ca="1" si="647"/>
        <v>0</v>
      </c>
      <c r="AX435" s="52">
        <f t="shared" ca="1" si="647"/>
        <v>0</v>
      </c>
      <c r="AY435" s="52">
        <f t="shared" ca="1" si="647"/>
        <v>0</v>
      </c>
      <c r="AZ435" s="52">
        <f t="shared" ca="1" si="647"/>
        <v>0</v>
      </c>
      <c r="BA435" s="52">
        <f t="shared" ca="1" si="647"/>
        <v>0</v>
      </c>
      <c r="BB435" s="52">
        <f t="shared" ca="1" si="647"/>
        <v>0</v>
      </c>
      <c r="BC435" s="52">
        <f t="shared" ca="1" si="647"/>
        <v>0</v>
      </c>
      <c r="BD435" s="52">
        <f t="shared" ca="1" si="647"/>
        <v>0</v>
      </c>
      <c r="BE435" s="52">
        <f t="shared" ca="1" si="647"/>
        <v>0</v>
      </c>
      <c r="BF435" s="52">
        <f t="shared" ca="1" si="647"/>
        <v>0</v>
      </c>
      <c r="BG435" s="52">
        <f t="shared" ca="1" si="647"/>
        <v>0</v>
      </c>
      <c r="BH435" s="52">
        <f t="shared" ca="1" si="647"/>
        <v>0</v>
      </c>
      <c r="BI435" s="52">
        <f t="shared" ca="1" si="647"/>
        <v>0</v>
      </c>
      <c r="BJ435" s="52">
        <f t="shared" ca="1" si="647"/>
        <v>0</v>
      </c>
      <c r="BK435" s="52">
        <f t="shared" ca="1" si="647"/>
        <v>0</v>
      </c>
      <c r="BL435" s="52">
        <f t="shared" ca="1" si="647"/>
        <v>0</v>
      </c>
      <c r="BM435" s="52">
        <f t="shared" ca="1" si="647"/>
        <v>0</v>
      </c>
      <c r="BN435" s="52">
        <f t="shared" ca="1" si="647"/>
        <v>0</v>
      </c>
      <c r="BO435" s="52">
        <f t="shared" ca="1" si="647"/>
        <v>0</v>
      </c>
      <c r="BP435" s="52">
        <f t="shared" ca="1" si="647"/>
        <v>0</v>
      </c>
      <c r="BQ435" s="52">
        <f t="shared" ca="1" si="647"/>
        <v>0</v>
      </c>
      <c r="BR435" s="52">
        <f t="shared" ca="1" si="647"/>
        <v>0</v>
      </c>
      <c r="BS435" s="52">
        <f t="shared" ca="1" si="647"/>
        <v>0</v>
      </c>
      <c r="BT435" s="52">
        <f t="shared" ca="1" si="647"/>
        <v>0</v>
      </c>
      <c r="BU435" s="52">
        <f t="shared" ca="1" si="647"/>
        <v>0</v>
      </c>
      <c r="BV435" s="52">
        <f t="shared" ca="1" si="647"/>
        <v>0</v>
      </c>
      <c r="BW435" s="52">
        <f t="shared" ca="1" si="647"/>
        <v>0</v>
      </c>
      <c r="BX435" s="52">
        <f t="shared" ref="BX435:CO435" ca="1" si="648" xml:space="preserve"> - SUM(BW323,BW324,BW327) * $E435</f>
        <v>0</v>
      </c>
      <c r="BY435" s="52">
        <f t="shared" ca="1" si="648"/>
        <v>0</v>
      </c>
      <c r="BZ435" s="52">
        <f t="shared" ca="1" si="648"/>
        <v>0</v>
      </c>
      <c r="CA435" s="52">
        <f t="shared" ca="1" si="648"/>
        <v>0</v>
      </c>
      <c r="CB435" s="52">
        <f t="shared" ca="1" si="648"/>
        <v>0</v>
      </c>
      <c r="CC435" s="52">
        <f t="shared" ca="1" si="648"/>
        <v>0</v>
      </c>
      <c r="CD435" s="52">
        <f t="shared" ca="1" si="648"/>
        <v>0</v>
      </c>
      <c r="CE435" s="52">
        <f t="shared" ca="1" si="648"/>
        <v>0</v>
      </c>
      <c r="CF435" s="52">
        <f t="shared" ca="1" si="648"/>
        <v>0</v>
      </c>
      <c r="CG435" s="52">
        <f t="shared" ca="1" si="648"/>
        <v>0</v>
      </c>
      <c r="CH435" s="52">
        <f t="shared" ca="1" si="648"/>
        <v>0</v>
      </c>
      <c r="CI435" s="52">
        <f t="shared" ca="1" si="648"/>
        <v>0</v>
      </c>
      <c r="CJ435" s="52">
        <f t="shared" ca="1" si="648"/>
        <v>0</v>
      </c>
      <c r="CK435" s="52">
        <f t="shared" ca="1" si="648"/>
        <v>0</v>
      </c>
      <c r="CL435" s="52">
        <f t="shared" ca="1" si="648"/>
        <v>0</v>
      </c>
      <c r="CM435" s="52">
        <f t="shared" ca="1" si="648"/>
        <v>0</v>
      </c>
      <c r="CN435" s="52">
        <f t="shared" ca="1" si="648"/>
        <v>0</v>
      </c>
      <c r="CO435" s="52">
        <f t="shared" ca="1" si="648"/>
        <v>0</v>
      </c>
    </row>
    <row r="436" spans="1:93">
      <c r="A436" s="10"/>
      <c r="B436" s="10"/>
      <c r="C436" s="17" t="s">
        <v>388</v>
      </c>
      <c r="D436" s="10"/>
      <c r="E436" s="62"/>
      <c r="F436" s="11"/>
      <c r="G436" s="134" t="str">
        <f t="shared" si="639"/>
        <v>тыс. руб.</v>
      </c>
      <c r="H436" s="10"/>
      <c r="I436" s="10"/>
      <c r="J436" s="10"/>
      <c r="K436" s="10"/>
      <c r="L436" s="52">
        <f t="shared" ref="L436:AQ436" ca="1" si="649" xml:space="preserve"> L434 + K436</f>
        <v>0</v>
      </c>
      <c r="M436" s="52">
        <f t="shared" ca="1" si="649"/>
        <v>0</v>
      </c>
      <c r="N436" s="52">
        <f t="shared" ca="1" si="649"/>
        <v>0</v>
      </c>
      <c r="O436" s="52">
        <f t="shared" ca="1" si="649"/>
        <v>0</v>
      </c>
      <c r="P436" s="52">
        <f t="shared" ca="1" si="649"/>
        <v>0</v>
      </c>
      <c r="Q436" s="52">
        <f t="shared" ca="1" si="649"/>
        <v>0</v>
      </c>
      <c r="R436" s="52">
        <f t="shared" ca="1" si="649"/>
        <v>0</v>
      </c>
      <c r="S436" s="52">
        <f t="shared" ca="1" si="649"/>
        <v>0</v>
      </c>
      <c r="T436" s="52">
        <f t="shared" ca="1" si="649"/>
        <v>0</v>
      </c>
      <c r="U436" s="52">
        <f t="shared" ca="1" si="649"/>
        <v>0</v>
      </c>
      <c r="V436" s="52">
        <f t="shared" ca="1" si="649"/>
        <v>0</v>
      </c>
      <c r="W436" s="52">
        <f t="shared" ca="1" si="649"/>
        <v>0</v>
      </c>
      <c r="X436" s="52">
        <f t="shared" ca="1" si="649"/>
        <v>0</v>
      </c>
      <c r="Y436" s="52">
        <f t="shared" ca="1" si="649"/>
        <v>0</v>
      </c>
      <c r="Z436" s="52">
        <f t="shared" ca="1" si="649"/>
        <v>0</v>
      </c>
      <c r="AA436" s="52">
        <f t="shared" ca="1" si="649"/>
        <v>0</v>
      </c>
      <c r="AB436" s="52">
        <f t="shared" ca="1" si="649"/>
        <v>2465463.0653563468</v>
      </c>
      <c r="AC436" s="52">
        <f t="shared" ca="1" si="649"/>
        <v>2218916.7588207121</v>
      </c>
      <c r="AD436" s="52">
        <f t="shared" ca="1" si="649"/>
        <v>2218916.7588207121</v>
      </c>
      <c r="AE436" s="52">
        <f t="shared" ca="1" si="649"/>
        <v>2218916.7588207121</v>
      </c>
      <c r="AF436" s="52">
        <f t="shared" ca="1" si="649"/>
        <v>2218916.7588207121</v>
      </c>
      <c r="AG436" s="52">
        <f t="shared" ca="1" si="649"/>
        <v>2218916.7588207121</v>
      </c>
      <c r="AH436" s="52">
        <f t="shared" ca="1" si="649"/>
        <v>2218916.7588207121</v>
      </c>
      <c r="AI436" s="52">
        <f t="shared" ca="1" si="649"/>
        <v>2218916.7588207121</v>
      </c>
      <c r="AJ436" s="52">
        <f t="shared" ca="1" si="649"/>
        <v>2218916.7588207121</v>
      </c>
      <c r="AK436" s="52">
        <f t="shared" ca="1" si="649"/>
        <v>2218916.7588207121</v>
      </c>
      <c r="AL436" s="52">
        <f t="shared" ca="1" si="649"/>
        <v>2218916.7588207121</v>
      </c>
      <c r="AM436" s="52">
        <f t="shared" ca="1" si="649"/>
        <v>2218916.7588207121</v>
      </c>
      <c r="AN436" s="52">
        <f t="shared" ca="1" si="649"/>
        <v>2218916.7588207121</v>
      </c>
      <c r="AO436" s="52">
        <f t="shared" ca="1" si="649"/>
        <v>2218916.7588207121</v>
      </c>
      <c r="AP436" s="52">
        <f t="shared" ca="1" si="649"/>
        <v>2218916.7588207121</v>
      </c>
      <c r="AQ436" s="52">
        <f t="shared" ca="1" si="649"/>
        <v>2218916.7588207121</v>
      </c>
      <c r="AR436" s="52">
        <f t="shared" ref="AR436:BW436" ca="1" si="650" xml:space="preserve"> AR434 + AQ436</f>
        <v>2218916.7588207121</v>
      </c>
      <c r="AS436" s="52">
        <f t="shared" ca="1" si="650"/>
        <v>2218916.7588207121</v>
      </c>
      <c r="AT436" s="52">
        <f t="shared" ca="1" si="650"/>
        <v>2218916.7588207121</v>
      </c>
      <c r="AU436" s="52">
        <f t="shared" ca="1" si="650"/>
        <v>2218916.7588207121</v>
      </c>
      <c r="AV436" s="52">
        <f t="shared" ca="1" si="650"/>
        <v>2218916.7588207121</v>
      </c>
      <c r="AW436" s="52">
        <f t="shared" ca="1" si="650"/>
        <v>2218916.7588207121</v>
      </c>
      <c r="AX436" s="52">
        <f t="shared" ca="1" si="650"/>
        <v>2218916.7588207121</v>
      </c>
      <c r="AY436" s="52">
        <f t="shared" ca="1" si="650"/>
        <v>2218916.7588207121</v>
      </c>
      <c r="AZ436" s="52">
        <f t="shared" ca="1" si="650"/>
        <v>2218916.7588207121</v>
      </c>
      <c r="BA436" s="52">
        <f t="shared" ca="1" si="650"/>
        <v>2218916.7588207121</v>
      </c>
      <c r="BB436" s="52">
        <f t="shared" ca="1" si="650"/>
        <v>2218916.7588207121</v>
      </c>
      <c r="BC436" s="52">
        <f t="shared" ca="1" si="650"/>
        <v>2218916.7588207121</v>
      </c>
      <c r="BD436" s="52">
        <f t="shared" ca="1" si="650"/>
        <v>2218916.7588207121</v>
      </c>
      <c r="BE436" s="52">
        <f t="shared" ca="1" si="650"/>
        <v>2218916.7588207121</v>
      </c>
      <c r="BF436" s="52">
        <f t="shared" ca="1" si="650"/>
        <v>2218916.7588207121</v>
      </c>
      <c r="BG436" s="52">
        <f t="shared" ca="1" si="650"/>
        <v>2218916.7588207121</v>
      </c>
      <c r="BH436" s="52">
        <f t="shared" ca="1" si="650"/>
        <v>2218916.7588207121</v>
      </c>
      <c r="BI436" s="52">
        <f t="shared" ca="1" si="650"/>
        <v>2218916.7588207121</v>
      </c>
      <c r="BJ436" s="52">
        <f t="shared" ca="1" si="650"/>
        <v>2218916.7588207121</v>
      </c>
      <c r="BK436" s="52">
        <f t="shared" ca="1" si="650"/>
        <v>2218916.7588207121</v>
      </c>
      <c r="BL436" s="52">
        <f t="shared" ca="1" si="650"/>
        <v>2218916.7588207121</v>
      </c>
      <c r="BM436" s="52">
        <f t="shared" ca="1" si="650"/>
        <v>2218916.7588207121</v>
      </c>
      <c r="BN436" s="52">
        <f t="shared" ca="1" si="650"/>
        <v>2218916.7588207121</v>
      </c>
      <c r="BO436" s="52">
        <f t="shared" ca="1" si="650"/>
        <v>2218916.7588207121</v>
      </c>
      <c r="BP436" s="52">
        <f t="shared" ca="1" si="650"/>
        <v>2218916.7588207121</v>
      </c>
      <c r="BQ436" s="52">
        <f t="shared" ca="1" si="650"/>
        <v>2218916.7588207121</v>
      </c>
      <c r="BR436" s="52">
        <f t="shared" ca="1" si="650"/>
        <v>2218916.7588207121</v>
      </c>
      <c r="BS436" s="52">
        <f t="shared" ca="1" si="650"/>
        <v>2218916.7588207121</v>
      </c>
      <c r="BT436" s="52">
        <f t="shared" ca="1" si="650"/>
        <v>2218916.7588207121</v>
      </c>
      <c r="BU436" s="52">
        <f t="shared" ca="1" si="650"/>
        <v>2218916.7588207121</v>
      </c>
      <c r="BV436" s="52">
        <f t="shared" ca="1" si="650"/>
        <v>2218916.7588207121</v>
      </c>
      <c r="BW436" s="52">
        <f t="shared" ca="1" si="650"/>
        <v>2218916.7588207121</v>
      </c>
      <c r="BX436" s="52">
        <f t="shared" ref="BX436:CO436" ca="1" si="651" xml:space="preserve"> BX434 + BW436</f>
        <v>2218916.7588207121</v>
      </c>
      <c r="BY436" s="52">
        <f t="shared" ca="1" si="651"/>
        <v>2218916.7588207121</v>
      </c>
      <c r="BZ436" s="52">
        <f t="shared" ca="1" si="651"/>
        <v>2218916.7588207121</v>
      </c>
      <c r="CA436" s="52">
        <f t="shared" ca="1" si="651"/>
        <v>2218916.7588207121</v>
      </c>
      <c r="CB436" s="52">
        <f t="shared" ca="1" si="651"/>
        <v>2218916.7588207121</v>
      </c>
      <c r="CC436" s="52">
        <f t="shared" ca="1" si="651"/>
        <v>2218916.7588207121</v>
      </c>
      <c r="CD436" s="52">
        <f t="shared" ca="1" si="651"/>
        <v>2218916.7588207121</v>
      </c>
      <c r="CE436" s="52">
        <f t="shared" ca="1" si="651"/>
        <v>2218916.7588207121</v>
      </c>
      <c r="CF436" s="52">
        <f t="shared" ca="1" si="651"/>
        <v>2218916.7588207121</v>
      </c>
      <c r="CG436" s="52">
        <f t="shared" ca="1" si="651"/>
        <v>2218916.7588207121</v>
      </c>
      <c r="CH436" s="52">
        <f t="shared" ca="1" si="651"/>
        <v>2218916.7588207121</v>
      </c>
      <c r="CI436" s="52">
        <f t="shared" ca="1" si="651"/>
        <v>2218916.7588207121</v>
      </c>
      <c r="CJ436" s="52">
        <f t="shared" ca="1" si="651"/>
        <v>2218916.7588207121</v>
      </c>
      <c r="CK436" s="52">
        <f t="shared" ca="1" si="651"/>
        <v>2218916.7588207121</v>
      </c>
      <c r="CL436" s="52">
        <f t="shared" ca="1" si="651"/>
        <v>2218916.7588207121</v>
      </c>
      <c r="CM436" s="52">
        <f t="shared" ca="1" si="651"/>
        <v>2218916.7588207121</v>
      </c>
      <c r="CN436" s="52">
        <f t="shared" ca="1" si="651"/>
        <v>2218916.7588207121</v>
      </c>
      <c r="CO436" s="52">
        <f t="shared" ca="1" si="651"/>
        <v>2218916.7588207121</v>
      </c>
    </row>
    <row r="437" spans="1:93">
      <c r="A437" s="10"/>
      <c r="B437" s="10"/>
      <c r="C437" s="17" t="s">
        <v>389</v>
      </c>
      <c r="D437" s="10"/>
      <c r="E437" s="62"/>
      <c r="F437" s="11"/>
      <c r="G437" s="134" t="str">
        <f t="shared" si="639"/>
        <v>тыс. руб.</v>
      </c>
      <c r="H437" s="10"/>
      <c r="I437" s="23">
        <f ca="1">SUM(L437:CO437)</f>
        <v>1203967.7969156827</v>
      </c>
      <c r="J437" s="10"/>
      <c r="K437" s="10"/>
      <c r="L437" s="52">
        <f ca="1" xml:space="preserve"> MIN((L436-L434)*L432,K439)</f>
        <v>0</v>
      </c>
      <c r="M437" s="52">
        <f t="shared" ref="M437:BX437" ca="1" si="652" xml:space="preserve"> MIN((M436-M434)*M432,L439)</f>
        <v>0</v>
      </c>
      <c r="N437" s="52">
        <f t="shared" ca="1" si="652"/>
        <v>0</v>
      </c>
      <c r="O437" s="52">
        <f t="shared" ca="1" si="652"/>
        <v>0</v>
      </c>
      <c r="P437" s="52">
        <f t="shared" ca="1" si="652"/>
        <v>0</v>
      </c>
      <c r="Q437" s="52">
        <f t="shared" ca="1" si="652"/>
        <v>0</v>
      </c>
      <c r="R437" s="52">
        <f t="shared" ca="1" si="652"/>
        <v>0</v>
      </c>
      <c r="S437" s="52">
        <f t="shared" ca="1" si="652"/>
        <v>0</v>
      </c>
      <c r="T437" s="52">
        <f t="shared" ca="1" si="652"/>
        <v>0</v>
      </c>
      <c r="U437" s="52">
        <f t="shared" ca="1" si="652"/>
        <v>0</v>
      </c>
      <c r="V437" s="52">
        <f t="shared" ca="1" si="652"/>
        <v>0</v>
      </c>
      <c r="W437" s="52">
        <f t="shared" ca="1" si="652"/>
        <v>0</v>
      </c>
      <c r="X437" s="52">
        <f t="shared" ca="1" si="652"/>
        <v>0</v>
      </c>
      <c r="Y437" s="52">
        <f t="shared" ca="1" si="652"/>
        <v>0</v>
      </c>
      <c r="Z437" s="52">
        <f t="shared" ca="1" si="652"/>
        <v>0</v>
      </c>
      <c r="AA437" s="52">
        <f t="shared" ca="1" si="652"/>
        <v>0</v>
      </c>
      <c r="AB437" s="52">
        <f t="shared" ca="1" si="652"/>
        <v>0</v>
      </c>
      <c r="AC437" s="52">
        <f t="shared" ca="1" si="652"/>
        <v>20545.525544636224</v>
      </c>
      <c r="AD437" s="52">
        <f t="shared" ca="1" si="652"/>
        <v>18490.972990172602</v>
      </c>
      <c r="AE437" s="52">
        <f t="shared" ca="1" si="652"/>
        <v>18490.972990172602</v>
      </c>
      <c r="AF437" s="52">
        <f t="shared" ca="1" si="652"/>
        <v>18490.972990172602</v>
      </c>
      <c r="AG437" s="52">
        <f t="shared" ca="1" si="652"/>
        <v>18490.972990172602</v>
      </c>
      <c r="AH437" s="52">
        <f t="shared" ca="1" si="652"/>
        <v>18490.972990172602</v>
      </c>
      <c r="AI437" s="52">
        <f t="shared" ca="1" si="652"/>
        <v>18490.972990172602</v>
      </c>
      <c r="AJ437" s="52">
        <f t="shared" ca="1" si="652"/>
        <v>18490.972990172602</v>
      </c>
      <c r="AK437" s="52">
        <f t="shared" ca="1" si="652"/>
        <v>18490.972990172602</v>
      </c>
      <c r="AL437" s="52">
        <f t="shared" ca="1" si="652"/>
        <v>18490.972990172602</v>
      </c>
      <c r="AM437" s="52">
        <f t="shared" ca="1" si="652"/>
        <v>18490.972990172602</v>
      </c>
      <c r="AN437" s="52">
        <f t="shared" ca="1" si="652"/>
        <v>18490.972990172602</v>
      </c>
      <c r="AO437" s="52">
        <f t="shared" ca="1" si="652"/>
        <v>18490.972990172602</v>
      </c>
      <c r="AP437" s="52">
        <f t="shared" ca="1" si="652"/>
        <v>18490.972990172602</v>
      </c>
      <c r="AQ437" s="52">
        <f t="shared" ca="1" si="652"/>
        <v>18490.972990172602</v>
      </c>
      <c r="AR437" s="52">
        <f t="shared" ca="1" si="652"/>
        <v>18490.972990172602</v>
      </c>
      <c r="AS437" s="52">
        <f t="shared" ca="1" si="652"/>
        <v>18490.972990172602</v>
      </c>
      <c r="AT437" s="52">
        <f t="shared" ca="1" si="652"/>
        <v>18490.972990172602</v>
      </c>
      <c r="AU437" s="52">
        <f t="shared" ca="1" si="652"/>
        <v>18490.972990172602</v>
      </c>
      <c r="AV437" s="52">
        <f t="shared" ca="1" si="652"/>
        <v>18490.972990172602</v>
      </c>
      <c r="AW437" s="52">
        <f t="shared" ca="1" si="652"/>
        <v>18490.972990172602</v>
      </c>
      <c r="AX437" s="52">
        <f t="shared" ca="1" si="652"/>
        <v>18490.972990172602</v>
      </c>
      <c r="AY437" s="52">
        <f t="shared" ca="1" si="652"/>
        <v>18490.972990172602</v>
      </c>
      <c r="AZ437" s="52">
        <f t="shared" ca="1" si="652"/>
        <v>18490.972990172602</v>
      </c>
      <c r="BA437" s="52">
        <f t="shared" ca="1" si="652"/>
        <v>18490.972990172602</v>
      </c>
      <c r="BB437" s="52">
        <f t="shared" ca="1" si="652"/>
        <v>18490.972990172602</v>
      </c>
      <c r="BC437" s="52">
        <f t="shared" ca="1" si="652"/>
        <v>18490.972990172602</v>
      </c>
      <c r="BD437" s="52">
        <f t="shared" ca="1" si="652"/>
        <v>18490.972990172602</v>
      </c>
      <c r="BE437" s="52">
        <f t="shared" ca="1" si="652"/>
        <v>18490.972990172602</v>
      </c>
      <c r="BF437" s="52">
        <f t="shared" ca="1" si="652"/>
        <v>18490.972990172602</v>
      </c>
      <c r="BG437" s="52">
        <f t="shared" ca="1" si="652"/>
        <v>18490.972990172602</v>
      </c>
      <c r="BH437" s="52">
        <f t="shared" ca="1" si="652"/>
        <v>18490.972990172602</v>
      </c>
      <c r="BI437" s="52">
        <f t="shared" ca="1" si="652"/>
        <v>18490.972990172602</v>
      </c>
      <c r="BJ437" s="52">
        <f t="shared" ca="1" si="652"/>
        <v>18490.972990172602</v>
      </c>
      <c r="BK437" s="52">
        <f t="shared" ca="1" si="652"/>
        <v>18490.972990172602</v>
      </c>
      <c r="BL437" s="52">
        <f t="shared" ca="1" si="652"/>
        <v>18490.972990172602</v>
      </c>
      <c r="BM437" s="52">
        <f t="shared" ca="1" si="652"/>
        <v>18490.972990172602</v>
      </c>
      <c r="BN437" s="52">
        <f t="shared" ca="1" si="652"/>
        <v>18490.972990172602</v>
      </c>
      <c r="BO437" s="52">
        <f t="shared" ca="1" si="652"/>
        <v>18490.972990172602</v>
      </c>
      <c r="BP437" s="52">
        <f t="shared" ca="1" si="652"/>
        <v>18490.972990172602</v>
      </c>
      <c r="BQ437" s="52">
        <f t="shared" ca="1" si="652"/>
        <v>18490.972990172602</v>
      </c>
      <c r="BR437" s="52">
        <f t="shared" ca="1" si="652"/>
        <v>18490.972990172602</v>
      </c>
      <c r="BS437" s="52">
        <f t="shared" ca="1" si="652"/>
        <v>18490.972990172602</v>
      </c>
      <c r="BT437" s="52">
        <f t="shared" ca="1" si="652"/>
        <v>18490.972990172602</v>
      </c>
      <c r="BU437" s="52">
        <f t="shared" ca="1" si="652"/>
        <v>18490.972990172602</v>
      </c>
      <c r="BV437" s="52">
        <f t="shared" ca="1" si="652"/>
        <v>18490.972990172602</v>
      </c>
      <c r="BW437" s="52">
        <f t="shared" ca="1" si="652"/>
        <v>18490.972990172602</v>
      </c>
      <c r="BX437" s="52">
        <f t="shared" ca="1" si="652"/>
        <v>18490.972990172602</v>
      </c>
      <c r="BY437" s="52">
        <f t="shared" ref="BY437:CO437" ca="1" si="653" xml:space="preserve"> MIN((BY436-BY434)*BY432,BX439)</f>
        <v>18490.972990172602</v>
      </c>
      <c r="BZ437" s="52">
        <f t="shared" ca="1" si="653"/>
        <v>18490.972990172602</v>
      </c>
      <c r="CA437" s="52">
        <f t="shared" ca="1" si="653"/>
        <v>18490.972990172602</v>
      </c>
      <c r="CB437" s="52">
        <f t="shared" ca="1" si="653"/>
        <v>18490.972990172602</v>
      </c>
      <c r="CC437" s="52">
        <f t="shared" ca="1" si="653"/>
        <v>18490.972990172602</v>
      </c>
      <c r="CD437" s="52">
        <f t="shared" ca="1" si="653"/>
        <v>18490.972990172602</v>
      </c>
      <c r="CE437" s="52">
        <f t="shared" ca="1" si="653"/>
        <v>18490.972990172602</v>
      </c>
      <c r="CF437" s="52">
        <f t="shared" ca="1" si="653"/>
        <v>18490.972990172602</v>
      </c>
      <c r="CG437" s="52">
        <f t="shared" ca="1" si="653"/>
        <v>18490.972990172602</v>
      </c>
      <c r="CH437" s="52">
        <f t="shared" ca="1" si="653"/>
        <v>18490.972990172602</v>
      </c>
      <c r="CI437" s="52">
        <f t="shared" ca="1" si="653"/>
        <v>18490.972990172602</v>
      </c>
      <c r="CJ437" s="52">
        <f t="shared" ca="1" si="653"/>
        <v>18490.972990172602</v>
      </c>
      <c r="CK437" s="52">
        <f t="shared" ca="1" si="653"/>
        <v>18490.972990172602</v>
      </c>
      <c r="CL437" s="52">
        <f t="shared" ca="1" si="653"/>
        <v>18490.972990172602</v>
      </c>
      <c r="CM437" s="52">
        <f t="shared" ca="1" si="653"/>
        <v>18490.972990172602</v>
      </c>
      <c r="CN437" s="52">
        <f t="shared" ca="1" si="653"/>
        <v>18490.972990172602</v>
      </c>
      <c r="CO437" s="52">
        <f t="shared" ca="1" si="653"/>
        <v>18490.972990172602</v>
      </c>
    </row>
    <row r="438" spans="1:93">
      <c r="A438" s="10"/>
      <c r="B438" s="10"/>
      <c r="C438" s="17" t="s">
        <v>127</v>
      </c>
      <c r="D438" s="10"/>
      <c r="E438" s="62"/>
      <c r="F438" s="11"/>
      <c r="G438" s="134" t="str">
        <f t="shared" si="639"/>
        <v>тыс. руб.</v>
      </c>
      <c r="H438" s="10"/>
      <c r="I438" s="10"/>
      <c r="J438" s="10"/>
      <c r="K438" s="10"/>
      <c r="L438" s="52">
        <f t="shared" ref="L438:AQ438" ca="1" si="654" xml:space="preserve"> SUM(K438,-L437)</f>
        <v>0</v>
      </c>
      <c r="M438" s="52">
        <f t="shared" ca="1" si="654"/>
        <v>0</v>
      </c>
      <c r="N438" s="52">
        <f t="shared" ca="1" si="654"/>
        <v>0</v>
      </c>
      <c r="O438" s="52">
        <f t="shared" ca="1" si="654"/>
        <v>0</v>
      </c>
      <c r="P438" s="52">
        <f t="shared" ca="1" si="654"/>
        <v>0</v>
      </c>
      <c r="Q438" s="52">
        <f t="shared" ca="1" si="654"/>
        <v>0</v>
      </c>
      <c r="R438" s="52">
        <f t="shared" ca="1" si="654"/>
        <v>0</v>
      </c>
      <c r="S438" s="52">
        <f t="shared" ca="1" si="654"/>
        <v>0</v>
      </c>
      <c r="T438" s="52">
        <f t="shared" ca="1" si="654"/>
        <v>0</v>
      </c>
      <c r="U438" s="52">
        <f t="shared" ca="1" si="654"/>
        <v>0</v>
      </c>
      <c r="V438" s="52">
        <f t="shared" ca="1" si="654"/>
        <v>0</v>
      </c>
      <c r="W438" s="52">
        <f t="shared" ca="1" si="654"/>
        <v>0</v>
      </c>
      <c r="X438" s="52">
        <f t="shared" ca="1" si="654"/>
        <v>0</v>
      </c>
      <c r="Y438" s="52">
        <f t="shared" ca="1" si="654"/>
        <v>0</v>
      </c>
      <c r="Z438" s="52">
        <f t="shared" ca="1" si="654"/>
        <v>0</v>
      </c>
      <c r="AA438" s="52">
        <f t="shared" ca="1" si="654"/>
        <v>0</v>
      </c>
      <c r="AB438" s="52">
        <f t="shared" ca="1" si="654"/>
        <v>0</v>
      </c>
      <c r="AC438" s="52">
        <f t="shared" ca="1" si="654"/>
        <v>-20545.525544636224</v>
      </c>
      <c r="AD438" s="52">
        <f t="shared" ca="1" si="654"/>
        <v>-39036.498534808823</v>
      </c>
      <c r="AE438" s="52">
        <f t="shared" ca="1" si="654"/>
        <v>-57527.471524981425</v>
      </c>
      <c r="AF438" s="52">
        <f t="shared" ca="1" si="654"/>
        <v>-76018.444515154028</v>
      </c>
      <c r="AG438" s="52">
        <f t="shared" ca="1" si="654"/>
        <v>-94509.417505326623</v>
      </c>
      <c r="AH438" s="52">
        <f t="shared" ca="1" si="654"/>
        <v>-113000.39049549922</v>
      </c>
      <c r="AI438" s="52">
        <f t="shared" ca="1" si="654"/>
        <v>-131491.36348567181</v>
      </c>
      <c r="AJ438" s="52">
        <f t="shared" ca="1" si="654"/>
        <v>-149982.33647584441</v>
      </c>
      <c r="AK438" s="52">
        <f t="shared" ca="1" si="654"/>
        <v>-168473.309466017</v>
      </c>
      <c r="AL438" s="52">
        <f t="shared" ca="1" si="654"/>
        <v>-186964.2824561896</v>
      </c>
      <c r="AM438" s="52">
        <f t="shared" ca="1" si="654"/>
        <v>-205455.25544636219</v>
      </c>
      <c r="AN438" s="52">
        <f t="shared" ca="1" si="654"/>
        <v>-223946.22843653479</v>
      </c>
      <c r="AO438" s="52">
        <f t="shared" ca="1" si="654"/>
        <v>-242437.20142670738</v>
      </c>
      <c r="AP438" s="52">
        <f t="shared" ca="1" si="654"/>
        <v>-260928.17441687998</v>
      </c>
      <c r="AQ438" s="52">
        <f t="shared" ca="1" si="654"/>
        <v>-279419.14740705257</v>
      </c>
      <c r="AR438" s="52">
        <f t="shared" ref="AR438:BW438" ca="1" si="655" xml:space="preserve"> SUM(AQ438,-AR437)</f>
        <v>-297910.1203972252</v>
      </c>
      <c r="AS438" s="52">
        <f t="shared" ca="1" si="655"/>
        <v>-316401.09338739782</v>
      </c>
      <c r="AT438" s="52">
        <f t="shared" ca="1" si="655"/>
        <v>-334892.06637757045</v>
      </c>
      <c r="AU438" s="52">
        <f t="shared" ca="1" si="655"/>
        <v>-353383.03936774307</v>
      </c>
      <c r="AV438" s="52">
        <f t="shared" ca="1" si="655"/>
        <v>-371874.01235791569</v>
      </c>
      <c r="AW438" s="52">
        <f t="shared" ca="1" si="655"/>
        <v>-390364.98534808832</v>
      </c>
      <c r="AX438" s="52">
        <f t="shared" ca="1" si="655"/>
        <v>-408855.95833826094</v>
      </c>
      <c r="AY438" s="52">
        <f t="shared" ca="1" si="655"/>
        <v>-427346.93132843357</v>
      </c>
      <c r="AZ438" s="52">
        <f t="shared" ca="1" si="655"/>
        <v>-445837.90431860619</v>
      </c>
      <c r="BA438" s="52">
        <f t="shared" ca="1" si="655"/>
        <v>-464328.87730877881</v>
      </c>
      <c r="BB438" s="52">
        <f t="shared" ca="1" si="655"/>
        <v>-482819.85029895144</v>
      </c>
      <c r="BC438" s="52">
        <f t="shared" ca="1" si="655"/>
        <v>-501310.82328912406</v>
      </c>
      <c r="BD438" s="52">
        <f t="shared" ca="1" si="655"/>
        <v>-519801.79627929669</v>
      </c>
      <c r="BE438" s="52">
        <f t="shared" ca="1" si="655"/>
        <v>-538292.76926946931</v>
      </c>
      <c r="BF438" s="52">
        <f t="shared" ca="1" si="655"/>
        <v>-556783.74225964188</v>
      </c>
      <c r="BG438" s="52">
        <f t="shared" ca="1" si="655"/>
        <v>-575274.71524981444</v>
      </c>
      <c r="BH438" s="52">
        <f t="shared" ca="1" si="655"/>
        <v>-593765.68823998701</v>
      </c>
      <c r="BI438" s="52">
        <f t="shared" ca="1" si="655"/>
        <v>-612256.66123015957</v>
      </c>
      <c r="BJ438" s="52">
        <f t="shared" ca="1" si="655"/>
        <v>-630747.63422033214</v>
      </c>
      <c r="BK438" s="52">
        <f t="shared" ca="1" si="655"/>
        <v>-649238.60721050471</v>
      </c>
      <c r="BL438" s="52">
        <f t="shared" ca="1" si="655"/>
        <v>-667729.58020067727</v>
      </c>
      <c r="BM438" s="52">
        <f t="shared" ca="1" si="655"/>
        <v>-686220.55319084984</v>
      </c>
      <c r="BN438" s="52">
        <f t="shared" ca="1" si="655"/>
        <v>-704711.5261810224</v>
      </c>
      <c r="BO438" s="52">
        <f t="shared" ca="1" si="655"/>
        <v>-723202.49917119497</v>
      </c>
      <c r="BP438" s="52">
        <f t="shared" ca="1" si="655"/>
        <v>-741693.47216136754</v>
      </c>
      <c r="BQ438" s="52">
        <f t="shared" ca="1" si="655"/>
        <v>-760184.4451515401</v>
      </c>
      <c r="BR438" s="52">
        <f t="shared" ca="1" si="655"/>
        <v>-778675.41814171267</v>
      </c>
      <c r="BS438" s="52">
        <f t="shared" ca="1" si="655"/>
        <v>-797166.39113188523</v>
      </c>
      <c r="BT438" s="52">
        <f t="shared" ca="1" si="655"/>
        <v>-815657.3641220578</v>
      </c>
      <c r="BU438" s="52">
        <f t="shared" ca="1" si="655"/>
        <v>-834148.33711223037</v>
      </c>
      <c r="BV438" s="52">
        <f t="shared" ca="1" si="655"/>
        <v>-852639.31010240293</v>
      </c>
      <c r="BW438" s="52">
        <f t="shared" ca="1" si="655"/>
        <v>-871130.2830925755</v>
      </c>
      <c r="BX438" s="52">
        <f t="shared" ref="BX438:CO438" ca="1" si="656" xml:space="preserve"> SUM(BW438,-BX437)</f>
        <v>-889621.25608274806</v>
      </c>
      <c r="BY438" s="52">
        <f t="shared" ca="1" si="656"/>
        <v>-908112.22907292063</v>
      </c>
      <c r="BZ438" s="52">
        <f t="shared" ca="1" si="656"/>
        <v>-926603.20206309319</v>
      </c>
      <c r="CA438" s="52">
        <f t="shared" ca="1" si="656"/>
        <v>-945094.17505326576</v>
      </c>
      <c r="CB438" s="52">
        <f t="shared" ca="1" si="656"/>
        <v>-963585.14804343833</v>
      </c>
      <c r="CC438" s="52">
        <f t="shared" ca="1" si="656"/>
        <v>-982076.12103361089</v>
      </c>
      <c r="CD438" s="52">
        <f t="shared" ca="1" si="656"/>
        <v>-1000567.0940237835</v>
      </c>
      <c r="CE438" s="52">
        <f t="shared" ca="1" si="656"/>
        <v>-1019058.067013956</v>
      </c>
      <c r="CF438" s="52">
        <f t="shared" ca="1" si="656"/>
        <v>-1037549.0400041286</v>
      </c>
      <c r="CG438" s="52">
        <f t="shared" ca="1" si="656"/>
        <v>-1056040.0129943013</v>
      </c>
      <c r="CH438" s="52">
        <f t="shared" ca="1" si="656"/>
        <v>-1074530.985984474</v>
      </c>
      <c r="CI438" s="52">
        <f t="shared" ca="1" si="656"/>
        <v>-1093021.9589746466</v>
      </c>
      <c r="CJ438" s="52">
        <f t="shared" ca="1" si="656"/>
        <v>-1111512.9319648193</v>
      </c>
      <c r="CK438" s="52">
        <f t="shared" ca="1" si="656"/>
        <v>-1130003.904954992</v>
      </c>
      <c r="CL438" s="52">
        <f t="shared" ca="1" si="656"/>
        <v>-1148494.8779451647</v>
      </c>
      <c r="CM438" s="52">
        <f t="shared" ca="1" si="656"/>
        <v>-1166985.8509353374</v>
      </c>
      <c r="CN438" s="52">
        <f t="shared" ca="1" si="656"/>
        <v>-1185476.82392551</v>
      </c>
      <c r="CO438" s="52">
        <f t="shared" ca="1" si="656"/>
        <v>-1203967.7969156827</v>
      </c>
    </row>
    <row r="439" spans="1:93">
      <c r="A439" s="10"/>
      <c r="B439" s="10"/>
      <c r="C439" s="17" t="s">
        <v>128</v>
      </c>
      <c r="D439" s="10"/>
      <c r="E439" s="62"/>
      <c r="F439" s="11"/>
      <c r="G439" s="134" t="str">
        <f t="shared" si="639"/>
        <v>тыс. руб.</v>
      </c>
      <c r="H439" s="10"/>
      <c r="I439" s="10"/>
      <c r="J439" s="10"/>
      <c r="K439" s="10"/>
      <c r="L439" s="52">
        <f t="shared" ref="L439:R439" ca="1" si="657" xml:space="preserve"> SUM(L436,L438)</f>
        <v>0</v>
      </c>
      <c r="M439" s="52">
        <f t="shared" ca="1" si="657"/>
        <v>0</v>
      </c>
      <c r="N439" s="52">
        <f t="shared" ca="1" si="657"/>
        <v>0</v>
      </c>
      <c r="O439" s="52">
        <f t="shared" ca="1" si="657"/>
        <v>0</v>
      </c>
      <c r="P439" s="52">
        <f t="shared" ca="1" si="657"/>
        <v>0</v>
      </c>
      <c r="Q439" s="52">
        <f t="shared" ca="1" si="657"/>
        <v>0</v>
      </c>
      <c r="R439" s="52">
        <f t="shared" ca="1" si="657"/>
        <v>0</v>
      </c>
      <c r="S439" s="52">
        <f t="shared" ref="S439:CD439" ca="1" si="658" xml:space="preserve"> SUM(S436,S438)</f>
        <v>0</v>
      </c>
      <c r="T439" s="52">
        <f t="shared" ca="1" si="658"/>
        <v>0</v>
      </c>
      <c r="U439" s="52">
        <f t="shared" ca="1" si="658"/>
        <v>0</v>
      </c>
      <c r="V439" s="52">
        <f t="shared" ca="1" si="658"/>
        <v>0</v>
      </c>
      <c r="W439" s="52">
        <f t="shared" ca="1" si="658"/>
        <v>0</v>
      </c>
      <c r="X439" s="52">
        <f t="shared" ca="1" si="658"/>
        <v>0</v>
      </c>
      <c r="Y439" s="52">
        <f t="shared" ca="1" si="658"/>
        <v>0</v>
      </c>
      <c r="Z439" s="52">
        <f t="shared" ca="1" si="658"/>
        <v>0</v>
      </c>
      <c r="AA439" s="52">
        <f t="shared" ca="1" si="658"/>
        <v>0</v>
      </c>
      <c r="AB439" s="52">
        <f t="shared" ca="1" si="658"/>
        <v>2465463.0653563468</v>
      </c>
      <c r="AC439" s="52">
        <f t="shared" ca="1" si="658"/>
        <v>2198371.2332760757</v>
      </c>
      <c r="AD439" s="52">
        <f t="shared" ca="1" si="658"/>
        <v>2179880.2602859032</v>
      </c>
      <c r="AE439" s="52">
        <f t="shared" ca="1" si="658"/>
        <v>2161389.2872957308</v>
      </c>
      <c r="AF439" s="52">
        <f t="shared" ca="1" si="658"/>
        <v>2142898.3143055579</v>
      </c>
      <c r="AG439" s="52">
        <f t="shared" ca="1" si="658"/>
        <v>2124407.3413153854</v>
      </c>
      <c r="AH439" s="52">
        <f t="shared" ca="1" si="658"/>
        <v>2105916.368325213</v>
      </c>
      <c r="AI439" s="52">
        <f t="shared" ca="1" si="658"/>
        <v>2087425.3953350403</v>
      </c>
      <c r="AJ439" s="52">
        <f t="shared" ca="1" si="658"/>
        <v>2068934.4223448676</v>
      </c>
      <c r="AK439" s="52">
        <f t="shared" ca="1" si="658"/>
        <v>2050443.4493546952</v>
      </c>
      <c r="AL439" s="52">
        <f t="shared" ca="1" si="658"/>
        <v>2031952.4763645225</v>
      </c>
      <c r="AM439" s="52">
        <f t="shared" ca="1" si="658"/>
        <v>2013461.5033743498</v>
      </c>
      <c r="AN439" s="52">
        <f t="shared" ca="1" si="658"/>
        <v>1994970.5303841773</v>
      </c>
      <c r="AO439" s="52">
        <f t="shared" ca="1" si="658"/>
        <v>1976479.5573940047</v>
      </c>
      <c r="AP439" s="52">
        <f t="shared" ca="1" si="658"/>
        <v>1957988.5844038322</v>
      </c>
      <c r="AQ439" s="52">
        <f t="shared" ca="1" si="658"/>
        <v>1939497.6114136595</v>
      </c>
      <c r="AR439" s="52">
        <f t="shared" ca="1" si="658"/>
        <v>1921006.6384234868</v>
      </c>
      <c r="AS439" s="52">
        <f t="shared" ca="1" si="658"/>
        <v>1902515.6654333142</v>
      </c>
      <c r="AT439" s="52">
        <f t="shared" ca="1" si="658"/>
        <v>1884024.6924431417</v>
      </c>
      <c r="AU439" s="52">
        <f t="shared" ca="1" si="658"/>
        <v>1865533.719452969</v>
      </c>
      <c r="AV439" s="52">
        <f t="shared" ca="1" si="658"/>
        <v>1847042.7464627963</v>
      </c>
      <c r="AW439" s="52">
        <f t="shared" ca="1" si="658"/>
        <v>1828551.7734726239</v>
      </c>
      <c r="AX439" s="52">
        <f t="shared" ca="1" si="658"/>
        <v>1810060.8004824512</v>
      </c>
      <c r="AY439" s="52">
        <f t="shared" ca="1" si="658"/>
        <v>1791569.8274922785</v>
      </c>
      <c r="AZ439" s="52">
        <f t="shared" ca="1" si="658"/>
        <v>1773078.8545021059</v>
      </c>
      <c r="BA439" s="52">
        <f t="shared" ca="1" si="658"/>
        <v>1754587.8815119332</v>
      </c>
      <c r="BB439" s="52">
        <f t="shared" ca="1" si="658"/>
        <v>1736096.9085217607</v>
      </c>
      <c r="BC439" s="52">
        <f t="shared" ca="1" si="658"/>
        <v>1717605.935531588</v>
      </c>
      <c r="BD439" s="52">
        <f t="shared" ca="1" si="658"/>
        <v>1699114.9625414154</v>
      </c>
      <c r="BE439" s="52">
        <f t="shared" ca="1" si="658"/>
        <v>1680623.9895512429</v>
      </c>
      <c r="BF439" s="52">
        <f t="shared" ca="1" si="658"/>
        <v>1662133.0165610702</v>
      </c>
      <c r="BG439" s="52">
        <f t="shared" ca="1" si="658"/>
        <v>1643642.0435708975</v>
      </c>
      <c r="BH439" s="52">
        <f t="shared" ca="1" si="658"/>
        <v>1625151.0705807251</v>
      </c>
      <c r="BI439" s="52">
        <f t="shared" ca="1" si="658"/>
        <v>1606660.0975905526</v>
      </c>
      <c r="BJ439" s="52">
        <f t="shared" ca="1" si="658"/>
        <v>1588169.12460038</v>
      </c>
      <c r="BK439" s="52">
        <f t="shared" ca="1" si="658"/>
        <v>1569678.1516102073</v>
      </c>
      <c r="BL439" s="52">
        <f t="shared" ca="1" si="658"/>
        <v>1551187.1786200348</v>
      </c>
      <c r="BM439" s="52">
        <f t="shared" ca="1" si="658"/>
        <v>1532696.2056298624</v>
      </c>
      <c r="BN439" s="52">
        <f t="shared" ca="1" si="658"/>
        <v>1514205.2326396897</v>
      </c>
      <c r="BO439" s="52">
        <f t="shared" ca="1" si="658"/>
        <v>1495714.259649517</v>
      </c>
      <c r="BP439" s="52">
        <f t="shared" ca="1" si="658"/>
        <v>1477223.2866593446</v>
      </c>
      <c r="BQ439" s="52">
        <f t="shared" ca="1" si="658"/>
        <v>1458732.3136691721</v>
      </c>
      <c r="BR439" s="52">
        <f t="shared" ca="1" si="658"/>
        <v>1440241.3406789994</v>
      </c>
      <c r="BS439" s="52">
        <f t="shared" ca="1" si="658"/>
        <v>1421750.3676888268</v>
      </c>
      <c r="BT439" s="52">
        <f t="shared" ca="1" si="658"/>
        <v>1403259.3946986543</v>
      </c>
      <c r="BU439" s="52">
        <f t="shared" ca="1" si="658"/>
        <v>1384768.4217084819</v>
      </c>
      <c r="BV439" s="52">
        <f t="shared" ca="1" si="658"/>
        <v>1366277.4487183092</v>
      </c>
      <c r="BW439" s="52">
        <f t="shared" ca="1" si="658"/>
        <v>1347786.4757281365</v>
      </c>
      <c r="BX439" s="52">
        <f t="shared" ca="1" si="658"/>
        <v>1329295.502737964</v>
      </c>
      <c r="BY439" s="52">
        <f t="shared" ca="1" si="658"/>
        <v>1310804.5297477916</v>
      </c>
      <c r="BZ439" s="52">
        <f t="shared" ca="1" si="658"/>
        <v>1292313.5567576189</v>
      </c>
      <c r="CA439" s="52">
        <f t="shared" ca="1" si="658"/>
        <v>1273822.5837674462</v>
      </c>
      <c r="CB439" s="52">
        <f t="shared" ca="1" si="658"/>
        <v>1255331.6107772738</v>
      </c>
      <c r="CC439" s="52">
        <f t="shared" ca="1" si="658"/>
        <v>1236840.6377871013</v>
      </c>
      <c r="CD439" s="52">
        <f t="shared" ca="1" si="658"/>
        <v>1218349.6647969286</v>
      </c>
      <c r="CE439" s="52">
        <f t="shared" ref="CE439:CO439" ca="1" si="659" xml:space="preserve"> SUM(CE436,CE438)</f>
        <v>1199858.691806756</v>
      </c>
      <c r="CF439" s="52">
        <f t="shared" ca="1" si="659"/>
        <v>1181367.7188165835</v>
      </c>
      <c r="CG439" s="52">
        <f t="shared" ca="1" si="659"/>
        <v>1162876.7458264108</v>
      </c>
      <c r="CH439" s="52">
        <f t="shared" ca="1" si="659"/>
        <v>1144385.7728362381</v>
      </c>
      <c r="CI439" s="52">
        <f t="shared" ca="1" si="659"/>
        <v>1125894.7998460655</v>
      </c>
      <c r="CJ439" s="52">
        <f t="shared" ca="1" si="659"/>
        <v>1107403.8268558928</v>
      </c>
      <c r="CK439" s="52">
        <f t="shared" ca="1" si="659"/>
        <v>1088912.8538657201</v>
      </c>
      <c r="CL439" s="52">
        <f t="shared" ca="1" si="659"/>
        <v>1070421.8808755474</v>
      </c>
      <c r="CM439" s="52">
        <f t="shared" ca="1" si="659"/>
        <v>1051930.9078853747</v>
      </c>
      <c r="CN439" s="52">
        <f t="shared" ca="1" si="659"/>
        <v>1033439.9348952021</v>
      </c>
      <c r="CO439" s="52">
        <f t="shared" ca="1" si="659"/>
        <v>1014948.9619050294</v>
      </c>
    </row>
    <row r="440" spans="1:93">
      <c r="A440" s="10"/>
      <c r="B440" s="10"/>
      <c r="C440" s="17"/>
      <c r="D440" s="10"/>
      <c r="E440" s="62"/>
      <c r="F440" s="11"/>
      <c r="G440" s="11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  <c r="BA440" s="10"/>
      <c r="BB440" s="10"/>
      <c r="BC440" s="10"/>
      <c r="BD440" s="10"/>
      <c r="BE440" s="10"/>
      <c r="BF440" s="10"/>
      <c r="BG440" s="10"/>
      <c r="BH440" s="10"/>
      <c r="BI440" s="10"/>
      <c r="BJ440" s="10"/>
      <c r="BK440" s="10"/>
      <c r="BL440" s="10"/>
      <c r="BM440" s="10"/>
      <c r="BN440" s="10"/>
      <c r="BO440" s="10"/>
      <c r="BP440" s="10"/>
      <c r="BQ440" s="10"/>
      <c r="BR440" s="10"/>
      <c r="BS440" s="10"/>
      <c r="BT440" s="10"/>
      <c r="BU440" s="10"/>
      <c r="BV440" s="10"/>
      <c r="BW440" s="10"/>
      <c r="BX440" s="10"/>
      <c r="BY440" s="10"/>
      <c r="BZ440" s="10"/>
      <c r="CA440" s="10"/>
      <c r="CB440" s="10"/>
      <c r="CC440" s="10"/>
      <c r="CD440" s="10"/>
      <c r="CE440" s="10"/>
      <c r="CF440" s="10"/>
      <c r="CG440" s="10"/>
      <c r="CH440" s="10"/>
      <c r="CI440" s="10"/>
      <c r="CJ440" s="10"/>
      <c r="CK440" s="10"/>
      <c r="CL440" s="10"/>
      <c r="CM440" s="10"/>
      <c r="CN440" s="10"/>
      <c r="CO440" s="10"/>
    </row>
    <row r="441" spans="1:93">
      <c r="A441" s="10"/>
      <c r="B441" s="10"/>
      <c r="C441" s="87" t="s">
        <v>633</v>
      </c>
      <c r="D441" s="10"/>
      <c r="E441" s="10"/>
      <c r="F441" s="10"/>
      <c r="G441" s="11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  <c r="BA441" s="10"/>
      <c r="BB441" s="10"/>
      <c r="BC441" s="10"/>
      <c r="BD441" s="10"/>
      <c r="BE441" s="10"/>
      <c r="BF441" s="10"/>
      <c r="BG441" s="10"/>
      <c r="BH441" s="10"/>
      <c r="BI441" s="10"/>
      <c r="BJ441" s="10"/>
      <c r="BK441" s="10"/>
      <c r="BL441" s="10"/>
      <c r="BM441" s="10"/>
      <c r="BN441" s="10"/>
      <c r="BO441" s="10"/>
      <c r="BP441" s="10"/>
      <c r="BQ441" s="10"/>
      <c r="BR441" s="10"/>
      <c r="BS441" s="10"/>
      <c r="BT441" s="10"/>
      <c r="BU441" s="10"/>
      <c r="BV441" s="10"/>
      <c r="BW441" s="10"/>
      <c r="BX441" s="10"/>
      <c r="BY441" s="10"/>
      <c r="BZ441" s="10"/>
      <c r="CA441" s="10"/>
      <c r="CB441" s="10"/>
      <c r="CC441" s="10"/>
      <c r="CD441" s="10"/>
      <c r="CE441" s="10"/>
      <c r="CF441" s="10"/>
      <c r="CG441" s="10"/>
      <c r="CH441" s="10"/>
      <c r="CI441" s="10"/>
      <c r="CJ441" s="10"/>
      <c r="CK441" s="10"/>
      <c r="CL441" s="10"/>
      <c r="CM441" s="10"/>
      <c r="CN441" s="10"/>
      <c r="CO441" s="10"/>
    </row>
    <row r="442" spans="1:93">
      <c r="A442" s="10"/>
      <c r="B442" s="10"/>
      <c r="C442" s="17" t="s">
        <v>386</v>
      </c>
      <c r="D442" s="10"/>
      <c r="E442" s="184">
        <f xml:space="preserve"> Предпосылки!E372</f>
        <v>7</v>
      </c>
      <c r="F442" s="11"/>
      <c r="G442" s="11" t="s">
        <v>123</v>
      </c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  <c r="BA442" s="10"/>
      <c r="BB442" s="10"/>
      <c r="BC442" s="10"/>
      <c r="BD442" s="10"/>
      <c r="BE442" s="10"/>
      <c r="BF442" s="10"/>
      <c r="BG442" s="10"/>
      <c r="BH442" s="10"/>
      <c r="BI442" s="10"/>
      <c r="BJ442" s="10"/>
      <c r="BK442" s="10"/>
      <c r="BL442" s="10"/>
      <c r="BM442" s="10"/>
      <c r="BN442" s="10"/>
      <c r="BO442" s="10"/>
      <c r="BP442" s="10"/>
      <c r="BQ442" s="10"/>
      <c r="BR442" s="10"/>
      <c r="BS442" s="10"/>
      <c r="BT442" s="10"/>
      <c r="BU442" s="10"/>
      <c r="BV442" s="10"/>
      <c r="BW442" s="10"/>
      <c r="BX442" s="10"/>
      <c r="BY442" s="10"/>
      <c r="BZ442" s="10"/>
      <c r="CA442" s="10"/>
      <c r="CB442" s="10"/>
      <c r="CC442" s="10"/>
      <c r="CD442" s="10"/>
      <c r="CE442" s="10"/>
      <c r="CF442" s="10"/>
      <c r="CG442" s="10"/>
      <c r="CH442" s="10"/>
      <c r="CI442" s="10"/>
      <c r="CJ442" s="10"/>
      <c r="CK442" s="10"/>
      <c r="CL442" s="10"/>
      <c r="CM442" s="10"/>
      <c r="CN442" s="10"/>
      <c r="CO442" s="10"/>
    </row>
    <row r="443" spans="1:93">
      <c r="A443" s="10"/>
      <c r="B443" s="10"/>
      <c r="C443" s="17" t="s">
        <v>387</v>
      </c>
      <c r="D443" s="10"/>
      <c r="E443" s="182"/>
      <c r="F443" s="11"/>
      <c r="G443" s="11" t="s">
        <v>28</v>
      </c>
      <c r="H443" s="10"/>
      <c r="I443" s="10"/>
      <c r="J443" s="10"/>
      <c r="K443" s="10"/>
      <c r="L443" s="157">
        <f t="shared" ref="L443:R443" si="660" xml:space="preserve"> IF($E442&lt;&gt;0,1/$E442,0)/Periods_in_Year</f>
        <v>3.5714285714285712E-2</v>
      </c>
      <c r="M443" s="157">
        <f t="shared" si="660"/>
        <v>3.5714285714285712E-2</v>
      </c>
      <c r="N443" s="157">
        <f t="shared" si="660"/>
        <v>3.5714285714285712E-2</v>
      </c>
      <c r="O443" s="157">
        <f t="shared" si="660"/>
        <v>3.5714285714285712E-2</v>
      </c>
      <c r="P443" s="157">
        <f t="shared" si="660"/>
        <v>3.5714285714285712E-2</v>
      </c>
      <c r="Q443" s="157">
        <f t="shared" si="660"/>
        <v>3.5714285714285712E-2</v>
      </c>
      <c r="R443" s="157">
        <f t="shared" si="660"/>
        <v>3.5714285714285712E-2</v>
      </c>
      <c r="S443" s="157">
        <f t="shared" ref="S443:CD443" si="661" xml:space="preserve"> IF($E442&lt;&gt;0,1/$E442,0)/Periods_in_Year</f>
        <v>3.5714285714285712E-2</v>
      </c>
      <c r="T443" s="157">
        <f t="shared" si="661"/>
        <v>3.5714285714285712E-2</v>
      </c>
      <c r="U443" s="157">
        <f t="shared" si="661"/>
        <v>3.5714285714285712E-2</v>
      </c>
      <c r="V443" s="157">
        <f t="shared" si="661"/>
        <v>3.5714285714285712E-2</v>
      </c>
      <c r="W443" s="157">
        <f t="shared" si="661"/>
        <v>3.5714285714285712E-2</v>
      </c>
      <c r="X443" s="157">
        <f t="shared" si="661"/>
        <v>3.5714285714285712E-2</v>
      </c>
      <c r="Y443" s="157">
        <f t="shared" si="661"/>
        <v>3.5714285714285712E-2</v>
      </c>
      <c r="Z443" s="157">
        <f t="shared" si="661"/>
        <v>3.5714285714285712E-2</v>
      </c>
      <c r="AA443" s="157">
        <f t="shared" si="661"/>
        <v>3.5714285714285712E-2</v>
      </c>
      <c r="AB443" s="157">
        <f t="shared" si="661"/>
        <v>3.5714285714285712E-2</v>
      </c>
      <c r="AC443" s="157">
        <f t="shared" si="661"/>
        <v>3.5714285714285712E-2</v>
      </c>
      <c r="AD443" s="157">
        <f t="shared" si="661"/>
        <v>3.5714285714285712E-2</v>
      </c>
      <c r="AE443" s="157">
        <f t="shared" si="661"/>
        <v>3.5714285714285712E-2</v>
      </c>
      <c r="AF443" s="157">
        <f t="shared" si="661"/>
        <v>3.5714285714285712E-2</v>
      </c>
      <c r="AG443" s="157">
        <f t="shared" si="661"/>
        <v>3.5714285714285712E-2</v>
      </c>
      <c r="AH443" s="157">
        <f t="shared" si="661"/>
        <v>3.5714285714285712E-2</v>
      </c>
      <c r="AI443" s="157">
        <f t="shared" si="661"/>
        <v>3.5714285714285712E-2</v>
      </c>
      <c r="AJ443" s="157">
        <f t="shared" si="661"/>
        <v>3.5714285714285712E-2</v>
      </c>
      <c r="AK443" s="157">
        <f t="shared" si="661"/>
        <v>3.5714285714285712E-2</v>
      </c>
      <c r="AL443" s="157">
        <f t="shared" si="661"/>
        <v>3.5714285714285712E-2</v>
      </c>
      <c r="AM443" s="157">
        <f t="shared" si="661"/>
        <v>3.5714285714285712E-2</v>
      </c>
      <c r="AN443" s="157">
        <f t="shared" si="661"/>
        <v>3.5714285714285712E-2</v>
      </c>
      <c r="AO443" s="157">
        <f t="shared" si="661"/>
        <v>3.5714285714285712E-2</v>
      </c>
      <c r="AP443" s="157">
        <f t="shared" si="661"/>
        <v>3.5714285714285712E-2</v>
      </c>
      <c r="AQ443" s="157">
        <f t="shared" si="661"/>
        <v>3.5714285714285712E-2</v>
      </c>
      <c r="AR443" s="157">
        <f t="shared" si="661"/>
        <v>3.5714285714285712E-2</v>
      </c>
      <c r="AS443" s="157">
        <f t="shared" si="661"/>
        <v>3.5714285714285712E-2</v>
      </c>
      <c r="AT443" s="157">
        <f t="shared" si="661"/>
        <v>3.5714285714285712E-2</v>
      </c>
      <c r="AU443" s="157">
        <f t="shared" si="661"/>
        <v>3.5714285714285712E-2</v>
      </c>
      <c r="AV443" s="157">
        <f t="shared" si="661"/>
        <v>3.5714285714285712E-2</v>
      </c>
      <c r="AW443" s="157">
        <f t="shared" si="661"/>
        <v>3.5714285714285712E-2</v>
      </c>
      <c r="AX443" s="157">
        <f t="shared" si="661"/>
        <v>3.5714285714285712E-2</v>
      </c>
      <c r="AY443" s="157">
        <f t="shared" si="661"/>
        <v>3.5714285714285712E-2</v>
      </c>
      <c r="AZ443" s="157">
        <f t="shared" si="661"/>
        <v>3.5714285714285712E-2</v>
      </c>
      <c r="BA443" s="157">
        <f t="shared" si="661"/>
        <v>3.5714285714285712E-2</v>
      </c>
      <c r="BB443" s="157">
        <f t="shared" si="661"/>
        <v>3.5714285714285712E-2</v>
      </c>
      <c r="BC443" s="157">
        <f t="shared" si="661"/>
        <v>3.5714285714285712E-2</v>
      </c>
      <c r="BD443" s="157">
        <f t="shared" si="661"/>
        <v>3.5714285714285712E-2</v>
      </c>
      <c r="BE443" s="157">
        <f t="shared" si="661"/>
        <v>3.5714285714285712E-2</v>
      </c>
      <c r="BF443" s="157">
        <f t="shared" si="661"/>
        <v>3.5714285714285712E-2</v>
      </c>
      <c r="BG443" s="157">
        <f t="shared" si="661"/>
        <v>3.5714285714285712E-2</v>
      </c>
      <c r="BH443" s="157">
        <f t="shared" si="661"/>
        <v>3.5714285714285712E-2</v>
      </c>
      <c r="BI443" s="157">
        <f t="shared" si="661"/>
        <v>3.5714285714285712E-2</v>
      </c>
      <c r="BJ443" s="157">
        <f t="shared" si="661"/>
        <v>3.5714285714285712E-2</v>
      </c>
      <c r="BK443" s="157">
        <f t="shared" si="661"/>
        <v>3.5714285714285712E-2</v>
      </c>
      <c r="BL443" s="157">
        <f t="shared" si="661"/>
        <v>3.5714285714285712E-2</v>
      </c>
      <c r="BM443" s="157">
        <f t="shared" si="661"/>
        <v>3.5714285714285712E-2</v>
      </c>
      <c r="BN443" s="157">
        <f t="shared" si="661"/>
        <v>3.5714285714285712E-2</v>
      </c>
      <c r="BO443" s="157">
        <f t="shared" si="661"/>
        <v>3.5714285714285712E-2</v>
      </c>
      <c r="BP443" s="157">
        <f t="shared" si="661"/>
        <v>3.5714285714285712E-2</v>
      </c>
      <c r="BQ443" s="157">
        <f t="shared" si="661"/>
        <v>3.5714285714285712E-2</v>
      </c>
      <c r="BR443" s="157">
        <f t="shared" si="661"/>
        <v>3.5714285714285712E-2</v>
      </c>
      <c r="BS443" s="157">
        <f t="shared" si="661"/>
        <v>3.5714285714285712E-2</v>
      </c>
      <c r="BT443" s="157">
        <f t="shared" si="661"/>
        <v>3.5714285714285712E-2</v>
      </c>
      <c r="BU443" s="157">
        <f t="shared" si="661"/>
        <v>3.5714285714285712E-2</v>
      </c>
      <c r="BV443" s="157">
        <f t="shared" si="661"/>
        <v>3.5714285714285712E-2</v>
      </c>
      <c r="BW443" s="157">
        <f t="shared" si="661"/>
        <v>3.5714285714285712E-2</v>
      </c>
      <c r="BX443" s="157">
        <f t="shared" si="661"/>
        <v>3.5714285714285712E-2</v>
      </c>
      <c r="BY443" s="157">
        <f t="shared" si="661"/>
        <v>3.5714285714285712E-2</v>
      </c>
      <c r="BZ443" s="157">
        <f t="shared" si="661"/>
        <v>3.5714285714285712E-2</v>
      </c>
      <c r="CA443" s="157">
        <f t="shared" si="661"/>
        <v>3.5714285714285712E-2</v>
      </c>
      <c r="CB443" s="157">
        <f t="shared" si="661"/>
        <v>3.5714285714285712E-2</v>
      </c>
      <c r="CC443" s="157">
        <f t="shared" si="661"/>
        <v>3.5714285714285712E-2</v>
      </c>
      <c r="CD443" s="157">
        <f t="shared" si="661"/>
        <v>3.5714285714285712E-2</v>
      </c>
      <c r="CE443" s="157">
        <f t="shared" ref="CE443:CO443" si="662" xml:space="preserve"> IF($E442&lt;&gt;0,1/$E442,0)/Periods_in_Year</f>
        <v>3.5714285714285712E-2</v>
      </c>
      <c r="CF443" s="157">
        <f t="shared" si="662"/>
        <v>3.5714285714285712E-2</v>
      </c>
      <c r="CG443" s="157">
        <f t="shared" si="662"/>
        <v>3.5714285714285712E-2</v>
      </c>
      <c r="CH443" s="157">
        <f t="shared" si="662"/>
        <v>3.5714285714285712E-2</v>
      </c>
      <c r="CI443" s="157">
        <f t="shared" si="662"/>
        <v>3.5714285714285712E-2</v>
      </c>
      <c r="CJ443" s="157">
        <f t="shared" si="662"/>
        <v>3.5714285714285712E-2</v>
      </c>
      <c r="CK443" s="157">
        <f t="shared" si="662"/>
        <v>3.5714285714285712E-2</v>
      </c>
      <c r="CL443" s="157">
        <f t="shared" si="662"/>
        <v>3.5714285714285712E-2</v>
      </c>
      <c r="CM443" s="157">
        <f t="shared" si="662"/>
        <v>3.5714285714285712E-2</v>
      </c>
      <c r="CN443" s="157">
        <f t="shared" si="662"/>
        <v>3.5714285714285712E-2</v>
      </c>
      <c r="CO443" s="157">
        <f t="shared" si="662"/>
        <v>3.5714285714285712E-2</v>
      </c>
    </row>
    <row r="444" spans="1:93">
      <c r="A444" s="10"/>
      <c r="B444" s="10"/>
      <c r="C444" s="17" t="s">
        <v>125</v>
      </c>
      <c r="D444" s="10"/>
      <c r="E444" s="62"/>
      <c r="F444" s="11"/>
      <c r="G444" s="134" t="str">
        <f t="shared" ref="G444:G450" si="663">Monetary_Unit</f>
        <v>тыс. руб.</v>
      </c>
      <c r="H444" s="10"/>
      <c r="I444" s="10"/>
      <c r="J444" s="10"/>
      <c r="K444" s="10"/>
      <c r="L444" s="52">
        <f t="shared" ref="L444:R444" si="664" xml:space="preserve"> K450</f>
        <v>0</v>
      </c>
      <c r="M444" s="52">
        <f t="shared" ca="1" si="664"/>
        <v>0</v>
      </c>
      <c r="N444" s="52">
        <f t="shared" ca="1" si="664"/>
        <v>0</v>
      </c>
      <c r="O444" s="52">
        <f t="shared" ca="1" si="664"/>
        <v>0</v>
      </c>
      <c r="P444" s="52">
        <f t="shared" ca="1" si="664"/>
        <v>0</v>
      </c>
      <c r="Q444" s="52">
        <f t="shared" ca="1" si="664"/>
        <v>0</v>
      </c>
      <c r="R444" s="52">
        <f t="shared" ca="1" si="664"/>
        <v>0</v>
      </c>
      <c r="S444" s="52">
        <f ca="1" xml:space="preserve"> R450</f>
        <v>0</v>
      </c>
      <c r="T444" s="52">
        <f t="shared" ref="T444:CE444" ca="1" si="665" xml:space="preserve"> S450</f>
        <v>0</v>
      </c>
      <c r="U444" s="52">
        <f t="shared" ca="1" si="665"/>
        <v>0</v>
      </c>
      <c r="V444" s="52">
        <f t="shared" ca="1" si="665"/>
        <v>0</v>
      </c>
      <c r="W444" s="52">
        <f t="shared" ca="1" si="665"/>
        <v>0</v>
      </c>
      <c r="X444" s="52">
        <f t="shared" ca="1" si="665"/>
        <v>0</v>
      </c>
      <c r="Y444" s="52">
        <f t="shared" ca="1" si="665"/>
        <v>0</v>
      </c>
      <c r="Z444" s="52">
        <f t="shared" ca="1" si="665"/>
        <v>0</v>
      </c>
      <c r="AA444" s="52">
        <f t="shared" ca="1" si="665"/>
        <v>0</v>
      </c>
      <c r="AB444" s="52">
        <f t="shared" ca="1" si="665"/>
        <v>0</v>
      </c>
      <c r="AC444" s="52">
        <f t="shared" ca="1" si="665"/>
        <v>594047.59928800585</v>
      </c>
      <c r="AD444" s="52">
        <f t="shared" ca="1" si="665"/>
        <v>400982.12951940391</v>
      </c>
      <c r="AE444" s="52">
        <f t="shared" ca="1" si="665"/>
        <v>386130.93953720375</v>
      </c>
      <c r="AF444" s="52">
        <f t="shared" ca="1" si="665"/>
        <v>371279.74955500365</v>
      </c>
      <c r="AG444" s="52">
        <f t="shared" ca="1" si="665"/>
        <v>356428.5595728035</v>
      </c>
      <c r="AH444" s="52">
        <f t="shared" ca="1" si="665"/>
        <v>341577.36959060334</v>
      </c>
      <c r="AI444" s="52">
        <f t="shared" ca="1" si="665"/>
        <v>326726.17960840318</v>
      </c>
      <c r="AJ444" s="52">
        <f t="shared" ca="1" si="665"/>
        <v>311874.98962620308</v>
      </c>
      <c r="AK444" s="52">
        <f t="shared" ca="1" si="665"/>
        <v>297023.79964400292</v>
      </c>
      <c r="AL444" s="52">
        <f t="shared" ca="1" si="665"/>
        <v>282172.60966180277</v>
      </c>
      <c r="AM444" s="52">
        <f t="shared" ca="1" si="665"/>
        <v>267321.41967960261</v>
      </c>
      <c r="AN444" s="52">
        <f t="shared" ca="1" si="665"/>
        <v>252470.22969740245</v>
      </c>
      <c r="AO444" s="52">
        <f t="shared" ca="1" si="665"/>
        <v>237619.03971520229</v>
      </c>
      <c r="AP444" s="52">
        <f t="shared" ca="1" si="665"/>
        <v>222767.84973300213</v>
      </c>
      <c r="AQ444" s="52">
        <f t="shared" ca="1" si="665"/>
        <v>207916.65975080198</v>
      </c>
      <c r="AR444" s="52">
        <f t="shared" ca="1" si="665"/>
        <v>193065.46976860182</v>
      </c>
      <c r="AS444" s="52">
        <f t="shared" ca="1" si="665"/>
        <v>178214.27978640166</v>
      </c>
      <c r="AT444" s="52">
        <f t="shared" ca="1" si="665"/>
        <v>163363.0898042015</v>
      </c>
      <c r="AU444" s="52">
        <f t="shared" ca="1" si="665"/>
        <v>148511.89982200135</v>
      </c>
      <c r="AV444" s="52">
        <f t="shared" ca="1" si="665"/>
        <v>133660.70983980119</v>
      </c>
      <c r="AW444" s="52">
        <f t="shared" ca="1" si="665"/>
        <v>118809.51985760103</v>
      </c>
      <c r="AX444" s="52">
        <f t="shared" ca="1" si="665"/>
        <v>103958.32987540087</v>
      </c>
      <c r="AY444" s="52">
        <f t="shared" ca="1" si="665"/>
        <v>89107.139893200714</v>
      </c>
      <c r="AZ444" s="52">
        <f t="shared" ca="1" si="665"/>
        <v>74255.949911000556</v>
      </c>
      <c r="BA444" s="52">
        <f t="shared" ca="1" si="665"/>
        <v>59404.759928800398</v>
      </c>
      <c r="BB444" s="52">
        <f t="shared" ca="1" si="665"/>
        <v>44553.569946600241</v>
      </c>
      <c r="BC444" s="52">
        <f t="shared" ca="1" si="665"/>
        <v>29702.379964400083</v>
      </c>
      <c r="BD444" s="52">
        <f t="shared" ca="1" si="665"/>
        <v>14851.189982199925</v>
      </c>
      <c r="BE444" s="52">
        <f t="shared" ca="1" si="665"/>
        <v>0</v>
      </c>
      <c r="BF444" s="52">
        <f t="shared" ca="1" si="665"/>
        <v>0</v>
      </c>
      <c r="BG444" s="52">
        <f t="shared" ca="1" si="665"/>
        <v>0</v>
      </c>
      <c r="BH444" s="52">
        <f t="shared" ca="1" si="665"/>
        <v>0</v>
      </c>
      <c r="BI444" s="52">
        <f t="shared" ca="1" si="665"/>
        <v>0</v>
      </c>
      <c r="BJ444" s="52">
        <f t="shared" ca="1" si="665"/>
        <v>0</v>
      </c>
      <c r="BK444" s="52">
        <f t="shared" ca="1" si="665"/>
        <v>0</v>
      </c>
      <c r="BL444" s="52">
        <f t="shared" ca="1" si="665"/>
        <v>0</v>
      </c>
      <c r="BM444" s="52">
        <f t="shared" ca="1" si="665"/>
        <v>0</v>
      </c>
      <c r="BN444" s="52">
        <f t="shared" ca="1" si="665"/>
        <v>0</v>
      </c>
      <c r="BO444" s="52">
        <f t="shared" ca="1" si="665"/>
        <v>0</v>
      </c>
      <c r="BP444" s="52">
        <f t="shared" ca="1" si="665"/>
        <v>0</v>
      </c>
      <c r="BQ444" s="52">
        <f t="shared" ca="1" si="665"/>
        <v>0</v>
      </c>
      <c r="BR444" s="52">
        <f t="shared" ca="1" si="665"/>
        <v>0</v>
      </c>
      <c r="BS444" s="52">
        <f t="shared" ca="1" si="665"/>
        <v>0</v>
      </c>
      <c r="BT444" s="52">
        <f t="shared" ca="1" si="665"/>
        <v>0</v>
      </c>
      <c r="BU444" s="52">
        <f t="shared" ca="1" si="665"/>
        <v>0</v>
      </c>
      <c r="BV444" s="52">
        <f t="shared" ca="1" si="665"/>
        <v>0</v>
      </c>
      <c r="BW444" s="52">
        <f t="shared" ca="1" si="665"/>
        <v>0</v>
      </c>
      <c r="BX444" s="52">
        <f t="shared" ca="1" si="665"/>
        <v>0</v>
      </c>
      <c r="BY444" s="52">
        <f t="shared" ca="1" si="665"/>
        <v>0</v>
      </c>
      <c r="BZ444" s="52">
        <f t="shared" ca="1" si="665"/>
        <v>0</v>
      </c>
      <c r="CA444" s="52">
        <f t="shared" ca="1" si="665"/>
        <v>0</v>
      </c>
      <c r="CB444" s="52">
        <f t="shared" ca="1" si="665"/>
        <v>0</v>
      </c>
      <c r="CC444" s="52">
        <f t="shared" ca="1" si="665"/>
        <v>0</v>
      </c>
      <c r="CD444" s="52">
        <f t="shared" ca="1" si="665"/>
        <v>0</v>
      </c>
      <c r="CE444" s="52">
        <f t="shared" ca="1" si="665"/>
        <v>0</v>
      </c>
      <c r="CF444" s="52">
        <f t="shared" ref="CF444:CO444" ca="1" si="666" xml:space="preserve"> CE450</f>
        <v>0</v>
      </c>
      <c r="CG444" s="52">
        <f t="shared" ca="1" si="666"/>
        <v>0</v>
      </c>
      <c r="CH444" s="52">
        <f t="shared" ca="1" si="666"/>
        <v>0</v>
      </c>
      <c r="CI444" s="52">
        <f t="shared" ca="1" si="666"/>
        <v>0</v>
      </c>
      <c r="CJ444" s="52">
        <f t="shared" ca="1" si="666"/>
        <v>0</v>
      </c>
      <c r="CK444" s="52">
        <f t="shared" ca="1" si="666"/>
        <v>0</v>
      </c>
      <c r="CL444" s="52">
        <f t="shared" ca="1" si="666"/>
        <v>0</v>
      </c>
      <c r="CM444" s="52">
        <f t="shared" ca="1" si="666"/>
        <v>0</v>
      </c>
      <c r="CN444" s="52">
        <f t="shared" ca="1" si="666"/>
        <v>0</v>
      </c>
      <c r="CO444" s="52">
        <f t="shared" ca="1" si="666"/>
        <v>0</v>
      </c>
    </row>
    <row r="445" spans="1:93">
      <c r="A445" s="10"/>
      <c r="B445" s="10"/>
      <c r="C445" s="17" t="s">
        <v>126</v>
      </c>
      <c r="D445" s="10"/>
      <c r="E445" s="62"/>
      <c r="F445" s="11"/>
      <c r="G445" s="134" t="str">
        <f t="shared" si="663"/>
        <v>тыс. руб.</v>
      </c>
      <c r="H445" s="10"/>
      <c r="I445" s="23">
        <f ca="1">SUM(L445:CO445)</f>
        <v>415833.31950160407</v>
      </c>
      <c r="J445" s="10"/>
      <c r="K445" s="10"/>
      <c r="L445" s="52">
        <f t="shared" ref="L445:AQ445" ca="1" si="667" xml:space="preserve"> L325 + L446</f>
        <v>0</v>
      </c>
      <c r="M445" s="52">
        <f t="shared" ca="1" si="667"/>
        <v>0</v>
      </c>
      <c r="N445" s="52">
        <f t="shared" ca="1" si="667"/>
        <v>0</v>
      </c>
      <c r="O445" s="52">
        <f t="shared" ca="1" si="667"/>
        <v>0</v>
      </c>
      <c r="P445" s="52">
        <f t="shared" ca="1" si="667"/>
        <v>0</v>
      </c>
      <c r="Q445" s="52">
        <f t="shared" ca="1" si="667"/>
        <v>0</v>
      </c>
      <c r="R445" s="52">
        <f t="shared" ca="1" si="667"/>
        <v>0</v>
      </c>
      <c r="S445" s="52">
        <f t="shared" ca="1" si="667"/>
        <v>0</v>
      </c>
      <c r="T445" s="52">
        <f t="shared" ca="1" si="667"/>
        <v>0</v>
      </c>
      <c r="U445" s="52">
        <f t="shared" ca="1" si="667"/>
        <v>0</v>
      </c>
      <c r="V445" s="52">
        <f t="shared" ca="1" si="667"/>
        <v>0</v>
      </c>
      <c r="W445" s="52">
        <f t="shared" ca="1" si="667"/>
        <v>0</v>
      </c>
      <c r="X445" s="52">
        <f t="shared" ca="1" si="667"/>
        <v>0</v>
      </c>
      <c r="Y445" s="52">
        <f t="shared" ca="1" si="667"/>
        <v>0</v>
      </c>
      <c r="Z445" s="52">
        <f t="shared" ca="1" si="667"/>
        <v>0</v>
      </c>
      <c r="AA445" s="52">
        <f t="shared" ca="1" si="667"/>
        <v>0</v>
      </c>
      <c r="AB445" s="52">
        <f t="shared" ca="1" si="667"/>
        <v>594047.59928800585</v>
      </c>
      <c r="AC445" s="52">
        <f t="shared" ca="1" si="667"/>
        <v>-178214.27978640175</v>
      </c>
      <c r="AD445" s="52">
        <f t="shared" ca="1" si="667"/>
        <v>0</v>
      </c>
      <c r="AE445" s="52">
        <f t="shared" ca="1" si="667"/>
        <v>0</v>
      </c>
      <c r="AF445" s="52">
        <f t="shared" ca="1" si="667"/>
        <v>0</v>
      </c>
      <c r="AG445" s="52">
        <f t="shared" ca="1" si="667"/>
        <v>0</v>
      </c>
      <c r="AH445" s="52">
        <f t="shared" ca="1" si="667"/>
        <v>0</v>
      </c>
      <c r="AI445" s="52">
        <f t="shared" ca="1" si="667"/>
        <v>0</v>
      </c>
      <c r="AJ445" s="52">
        <f t="shared" ca="1" si="667"/>
        <v>0</v>
      </c>
      <c r="AK445" s="52">
        <f t="shared" ca="1" si="667"/>
        <v>0</v>
      </c>
      <c r="AL445" s="52">
        <f t="shared" ca="1" si="667"/>
        <v>0</v>
      </c>
      <c r="AM445" s="52">
        <f t="shared" ca="1" si="667"/>
        <v>0</v>
      </c>
      <c r="AN445" s="52">
        <f t="shared" ca="1" si="667"/>
        <v>0</v>
      </c>
      <c r="AO445" s="52">
        <f t="shared" ca="1" si="667"/>
        <v>0</v>
      </c>
      <c r="AP445" s="52">
        <f t="shared" ca="1" si="667"/>
        <v>0</v>
      </c>
      <c r="AQ445" s="52">
        <f t="shared" ca="1" si="667"/>
        <v>0</v>
      </c>
      <c r="AR445" s="52">
        <f t="shared" ref="AR445:BW445" ca="1" si="668" xml:space="preserve"> AR325 + AR446</f>
        <v>0</v>
      </c>
      <c r="AS445" s="52">
        <f t="shared" ca="1" si="668"/>
        <v>0</v>
      </c>
      <c r="AT445" s="52">
        <f t="shared" ca="1" si="668"/>
        <v>0</v>
      </c>
      <c r="AU445" s="52">
        <f t="shared" ca="1" si="668"/>
        <v>0</v>
      </c>
      <c r="AV445" s="52">
        <f t="shared" ca="1" si="668"/>
        <v>0</v>
      </c>
      <c r="AW445" s="52">
        <f t="shared" ca="1" si="668"/>
        <v>0</v>
      </c>
      <c r="AX445" s="52">
        <f t="shared" ca="1" si="668"/>
        <v>0</v>
      </c>
      <c r="AY445" s="52">
        <f t="shared" ca="1" si="668"/>
        <v>0</v>
      </c>
      <c r="AZ445" s="52">
        <f t="shared" ca="1" si="668"/>
        <v>0</v>
      </c>
      <c r="BA445" s="52">
        <f t="shared" ca="1" si="668"/>
        <v>0</v>
      </c>
      <c r="BB445" s="52">
        <f t="shared" ca="1" si="668"/>
        <v>0</v>
      </c>
      <c r="BC445" s="52">
        <f t="shared" ca="1" si="668"/>
        <v>0</v>
      </c>
      <c r="BD445" s="52">
        <f t="shared" ca="1" si="668"/>
        <v>0</v>
      </c>
      <c r="BE445" s="52">
        <f t="shared" ca="1" si="668"/>
        <v>0</v>
      </c>
      <c r="BF445" s="52">
        <f t="shared" ca="1" si="668"/>
        <v>0</v>
      </c>
      <c r="BG445" s="52">
        <f t="shared" ca="1" si="668"/>
        <v>0</v>
      </c>
      <c r="BH445" s="52">
        <f t="shared" ca="1" si="668"/>
        <v>0</v>
      </c>
      <c r="BI445" s="52">
        <f t="shared" ca="1" si="668"/>
        <v>0</v>
      </c>
      <c r="BJ445" s="52">
        <f t="shared" ca="1" si="668"/>
        <v>0</v>
      </c>
      <c r="BK445" s="52">
        <f t="shared" ca="1" si="668"/>
        <v>0</v>
      </c>
      <c r="BL445" s="52">
        <f t="shared" ca="1" si="668"/>
        <v>0</v>
      </c>
      <c r="BM445" s="52">
        <f t="shared" ca="1" si="668"/>
        <v>0</v>
      </c>
      <c r="BN445" s="52">
        <f t="shared" ca="1" si="668"/>
        <v>0</v>
      </c>
      <c r="BO445" s="52">
        <f t="shared" ca="1" si="668"/>
        <v>0</v>
      </c>
      <c r="BP445" s="52">
        <f t="shared" ca="1" si="668"/>
        <v>0</v>
      </c>
      <c r="BQ445" s="52">
        <f t="shared" ca="1" si="668"/>
        <v>0</v>
      </c>
      <c r="BR445" s="52">
        <f t="shared" ca="1" si="668"/>
        <v>0</v>
      </c>
      <c r="BS445" s="52">
        <f t="shared" ca="1" si="668"/>
        <v>0</v>
      </c>
      <c r="BT445" s="52">
        <f t="shared" ca="1" si="668"/>
        <v>0</v>
      </c>
      <c r="BU445" s="52">
        <f t="shared" ca="1" si="668"/>
        <v>0</v>
      </c>
      <c r="BV445" s="52">
        <f t="shared" ca="1" si="668"/>
        <v>0</v>
      </c>
      <c r="BW445" s="52">
        <f t="shared" ca="1" si="668"/>
        <v>0</v>
      </c>
      <c r="BX445" s="52">
        <f t="shared" ref="BX445:CO445" ca="1" si="669" xml:space="preserve"> BX325 + BX446</f>
        <v>0</v>
      </c>
      <c r="BY445" s="52">
        <f t="shared" ca="1" si="669"/>
        <v>0</v>
      </c>
      <c r="BZ445" s="52">
        <f t="shared" ca="1" si="669"/>
        <v>0</v>
      </c>
      <c r="CA445" s="52">
        <f t="shared" ca="1" si="669"/>
        <v>0</v>
      </c>
      <c r="CB445" s="52">
        <f t="shared" ca="1" si="669"/>
        <v>0</v>
      </c>
      <c r="CC445" s="52">
        <f t="shared" ca="1" si="669"/>
        <v>0</v>
      </c>
      <c r="CD445" s="52">
        <f t="shared" ca="1" si="669"/>
        <v>0</v>
      </c>
      <c r="CE445" s="52">
        <f t="shared" ca="1" si="669"/>
        <v>0</v>
      </c>
      <c r="CF445" s="52">
        <f t="shared" ca="1" si="669"/>
        <v>0</v>
      </c>
      <c r="CG445" s="52">
        <f t="shared" ca="1" si="669"/>
        <v>0</v>
      </c>
      <c r="CH445" s="52">
        <f t="shared" ca="1" si="669"/>
        <v>0</v>
      </c>
      <c r="CI445" s="52">
        <f t="shared" ca="1" si="669"/>
        <v>0</v>
      </c>
      <c r="CJ445" s="52">
        <f t="shared" ca="1" si="669"/>
        <v>0</v>
      </c>
      <c r="CK445" s="52">
        <f t="shared" ca="1" si="669"/>
        <v>0</v>
      </c>
      <c r="CL445" s="52">
        <f t="shared" ca="1" si="669"/>
        <v>0</v>
      </c>
      <c r="CM445" s="52">
        <f t="shared" ca="1" si="669"/>
        <v>0</v>
      </c>
      <c r="CN445" s="52">
        <f t="shared" ca="1" si="669"/>
        <v>0</v>
      </c>
      <c r="CO445" s="52">
        <f t="shared" ca="1" si="669"/>
        <v>0</v>
      </c>
    </row>
    <row r="446" spans="1:93">
      <c r="A446" s="10"/>
      <c r="B446" s="10"/>
      <c r="C446" s="17" t="s">
        <v>129</v>
      </c>
      <c r="D446" s="10"/>
      <c r="E446" s="178">
        <f>Предпосылки!E377</f>
        <v>0.3</v>
      </c>
      <c r="F446" s="11"/>
      <c r="G446" s="134" t="str">
        <f t="shared" si="663"/>
        <v>тыс. руб.</v>
      </c>
      <c r="H446" s="10"/>
      <c r="I446" s="23">
        <f ca="1">SUM(L446:CO446)</f>
        <v>-178214.27978640175</v>
      </c>
      <c r="J446" s="10"/>
      <c r="K446" s="10"/>
      <c r="L446" s="52">
        <f t="shared" ref="L446:AQ446" si="670" xml:space="preserve"> - K325 * $E446</f>
        <v>0</v>
      </c>
      <c r="M446" s="52">
        <f t="shared" ca="1" si="670"/>
        <v>0</v>
      </c>
      <c r="N446" s="52">
        <f t="shared" ca="1" si="670"/>
        <v>0</v>
      </c>
      <c r="O446" s="52">
        <f t="shared" ca="1" si="670"/>
        <v>0</v>
      </c>
      <c r="P446" s="52">
        <f t="shared" ca="1" si="670"/>
        <v>0</v>
      </c>
      <c r="Q446" s="52">
        <f t="shared" ca="1" si="670"/>
        <v>0</v>
      </c>
      <c r="R446" s="52">
        <f t="shared" ca="1" si="670"/>
        <v>0</v>
      </c>
      <c r="S446" s="52">
        <f t="shared" ca="1" si="670"/>
        <v>0</v>
      </c>
      <c r="T446" s="52">
        <f t="shared" ca="1" si="670"/>
        <v>0</v>
      </c>
      <c r="U446" s="52">
        <f t="shared" ca="1" si="670"/>
        <v>0</v>
      </c>
      <c r="V446" s="52">
        <f t="shared" ca="1" si="670"/>
        <v>0</v>
      </c>
      <c r="W446" s="52">
        <f t="shared" ca="1" si="670"/>
        <v>0</v>
      </c>
      <c r="X446" s="52">
        <f t="shared" ca="1" si="670"/>
        <v>0</v>
      </c>
      <c r="Y446" s="52">
        <f t="shared" ca="1" si="670"/>
        <v>0</v>
      </c>
      <c r="Z446" s="52">
        <f t="shared" ca="1" si="670"/>
        <v>0</v>
      </c>
      <c r="AA446" s="52">
        <f t="shared" ca="1" si="670"/>
        <v>0</v>
      </c>
      <c r="AB446" s="52">
        <f t="shared" ca="1" si="670"/>
        <v>0</v>
      </c>
      <c r="AC446" s="52">
        <f t="shared" ca="1" si="670"/>
        <v>-178214.27978640175</v>
      </c>
      <c r="AD446" s="52">
        <f t="shared" ca="1" si="670"/>
        <v>0</v>
      </c>
      <c r="AE446" s="52">
        <f t="shared" ca="1" si="670"/>
        <v>0</v>
      </c>
      <c r="AF446" s="52">
        <f t="shared" ca="1" si="670"/>
        <v>0</v>
      </c>
      <c r="AG446" s="52">
        <f t="shared" ca="1" si="670"/>
        <v>0</v>
      </c>
      <c r="AH446" s="52">
        <f t="shared" ca="1" si="670"/>
        <v>0</v>
      </c>
      <c r="AI446" s="52">
        <f t="shared" ca="1" si="670"/>
        <v>0</v>
      </c>
      <c r="AJ446" s="52">
        <f t="shared" ca="1" si="670"/>
        <v>0</v>
      </c>
      <c r="AK446" s="52">
        <f t="shared" ca="1" si="670"/>
        <v>0</v>
      </c>
      <c r="AL446" s="52">
        <f t="shared" ca="1" si="670"/>
        <v>0</v>
      </c>
      <c r="AM446" s="52">
        <f t="shared" ca="1" si="670"/>
        <v>0</v>
      </c>
      <c r="AN446" s="52">
        <f t="shared" ca="1" si="670"/>
        <v>0</v>
      </c>
      <c r="AO446" s="52">
        <f t="shared" ca="1" si="670"/>
        <v>0</v>
      </c>
      <c r="AP446" s="52">
        <f t="shared" ca="1" si="670"/>
        <v>0</v>
      </c>
      <c r="AQ446" s="52">
        <f t="shared" ca="1" si="670"/>
        <v>0</v>
      </c>
      <c r="AR446" s="52">
        <f t="shared" ref="AR446:BW446" ca="1" si="671" xml:space="preserve"> - AQ325 * $E446</f>
        <v>0</v>
      </c>
      <c r="AS446" s="52">
        <f t="shared" ca="1" si="671"/>
        <v>0</v>
      </c>
      <c r="AT446" s="52">
        <f t="shared" ca="1" si="671"/>
        <v>0</v>
      </c>
      <c r="AU446" s="52">
        <f t="shared" ca="1" si="671"/>
        <v>0</v>
      </c>
      <c r="AV446" s="52">
        <f t="shared" ca="1" si="671"/>
        <v>0</v>
      </c>
      <c r="AW446" s="52">
        <f t="shared" ca="1" si="671"/>
        <v>0</v>
      </c>
      <c r="AX446" s="52">
        <f t="shared" ca="1" si="671"/>
        <v>0</v>
      </c>
      <c r="AY446" s="52">
        <f t="shared" ca="1" si="671"/>
        <v>0</v>
      </c>
      <c r="AZ446" s="52">
        <f t="shared" ca="1" si="671"/>
        <v>0</v>
      </c>
      <c r="BA446" s="52">
        <f t="shared" ca="1" si="671"/>
        <v>0</v>
      </c>
      <c r="BB446" s="52">
        <f t="shared" ca="1" si="671"/>
        <v>0</v>
      </c>
      <c r="BC446" s="52">
        <f t="shared" ca="1" si="671"/>
        <v>0</v>
      </c>
      <c r="BD446" s="52">
        <f t="shared" ca="1" si="671"/>
        <v>0</v>
      </c>
      <c r="BE446" s="52">
        <f t="shared" ca="1" si="671"/>
        <v>0</v>
      </c>
      <c r="BF446" s="52">
        <f t="shared" ca="1" si="671"/>
        <v>0</v>
      </c>
      <c r="BG446" s="52">
        <f t="shared" ca="1" si="671"/>
        <v>0</v>
      </c>
      <c r="BH446" s="52">
        <f t="shared" ca="1" si="671"/>
        <v>0</v>
      </c>
      <c r="BI446" s="52">
        <f t="shared" ca="1" si="671"/>
        <v>0</v>
      </c>
      <c r="BJ446" s="52">
        <f t="shared" ca="1" si="671"/>
        <v>0</v>
      </c>
      <c r="BK446" s="52">
        <f t="shared" ca="1" si="671"/>
        <v>0</v>
      </c>
      <c r="BL446" s="52">
        <f t="shared" ca="1" si="671"/>
        <v>0</v>
      </c>
      <c r="BM446" s="52">
        <f t="shared" ca="1" si="671"/>
        <v>0</v>
      </c>
      <c r="BN446" s="52">
        <f t="shared" ca="1" si="671"/>
        <v>0</v>
      </c>
      <c r="BO446" s="52">
        <f t="shared" ca="1" si="671"/>
        <v>0</v>
      </c>
      <c r="BP446" s="52">
        <f t="shared" ca="1" si="671"/>
        <v>0</v>
      </c>
      <c r="BQ446" s="52">
        <f t="shared" ca="1" si="671"/>
        <v>0</v>
      </c>
      <c r="BR446" s="52">
        <f t="shared" ca="1" si="671"/>
        <v>0</v>
      </c>
      <c r="BS446" s="52">
        <f t="shared" ca="1" si="671"/>
        <v>0</v>
      </c>
      <c r="BT446" s="52">
        <f t="shared" ca="1" si="671"/>
        <v>0</v>
      </c>
      <c r="BU446" s="52">
        <f t="shared" ca="1" si="671"/>
        <v>0</v>
      </c>
      <c r="BV446" s="52">
        <f t="shared" ca="1" si="671"/>
        <v>0</v>
      </c>
      <c r="BW446" s="52">
        <f t="shared" ca="1" si="671"/>
        <v>0</v>
      </c>
      <c r="BX446" s="52">
        <f t="shared" ref="BX446:CO446" ca="1" si="672" xml:space="preserve"> - BW325 * $E446</f>
        <v>0</v>
      </c>
      <c r="BY446" s="52">
        <f t="shared" ca="1" si="672"/>
        <v>0</v>
      </c>
      <c r="BZ446" s="52">
        <f t="shared" ca="1" si="672"/>
        <v>0</v>
      </c>
      <c r="CA446" s="52">
        <f t="shared" ca="1" si="672"/>
        <v>0</v>
      </c>
      <c r="CB446" s="52">
        <f t="shared" ca="1" si="672"/>
        <v>0</v>
      </c>
      <c r="CC446" s="52">
        <f t="shared" ca="1" si="672"/>
        <v>0</v>
      </c>
      <c r="CD446" s="52">
        <f t="shared" ca="1" si="672"/>
        <v>0</v>
      </c>
      <c r="CE446" s="52">
        <f t="shared" ca="1" si="672"/>
        <v>0</v>
      </c>
      <c r="CF446" s="52">
        <f t="shared" ca="1" si="672"/>
        <v>0</v>
      </c>
      <c r="CG446" s="52">
        <f t="shared" ca="1" si="672"/>
        <v>0</v>
      </c>
      <c r="CH446" s="52">
        <f t="shared" ca="1" si="672"/>
        <v>0</v>
      </c>
      <c r="CI446" s="52">
        <f t="shared" ca="1" si="672"/>
        <v>0</v>
      </c>
      <c r="CJ446" s="52">
        <f t="shared" ca="1" si="672"/>
        <v>0</v>
      </c>
      <c r="CK446" s="52">
        <f t="shared" ca="1" si="672"/>
        <v>0</v>
      </c>
      <c r="CL446" s="52">
        <f t="shared" ca="1" si="672"/>
        <v>0</v>
      </c>
      <c r="CM446" s="52">
        <f t="shared" ca="1" si="672"/>
        <v>0</v>
      </c>
      <c r="CN446" s="52">
        <f t="shared" ca="1" si="672"/>
        <v>0</v>
      </c>
      <c r="CO446" s="52">
        <f t="shared" ca="1" si="672"/>
        <v>0</v>
      </c>
    </row>
    <row r="447" spans="1:93">
      <c r="A447" s="10"/>
      <c r="B447" s="10"/>
      <c r="C447" s="17" t="s">
        <v>388</v>
      </c>
      <c r="D447" s="10"/>
      <c r="E447" s="62"/>
      <c r="F447" s="11"/>
      <c r="G447" s="134" t="str">
        <f t="shared" si="663"/>
        <v>тыс. руб.</v>
      </c>
      <c r="H447" s="10"/>
      <c r="I447" s="10"/>
      <c r="J447" s="10"/>
      <c r="K447" s="10"/>
      <c r="L447" s="52">
        <f t="shared" ref="L447:R447" ca="1" si="673" xml:space="preserve"> L445 + K447</f>
        <v>0</v>
      </c>
      <c r="M447" s="52">
        <f t="shared" ca="1" si="673"/>
        <v>0</v>
      </c>
      <c r="N447" s="52">
        <f t="shared" ca="1" si="673"/>
        <v>0</v>
      </c>
      <c r="O447" s="52">
        <f t="shared" ca="1" si="673"/>
        <v>0</v>
      </c>
      <c r="P447" s="52">
        <f t="shared" ca="1" si="673"/>
        <v>0</v>
      </c>
      <c r="Q447" s="52">
        <f t="shared" ca="1" si="673"/>
        <v>0</v>
      </c>
      <c r="R447" s="52">
        <f t="shared" ca="1" si="673"/>
        <v>0</v>
      </c>
      <c r="S447" s="52">
        <f ca="1" xml:space="preserve"> S445 + R447</f>
        <v>0</v>
      </c>
      <c r="T447" s="52">
        <f t="shared" ref="T447:CE447" ca="1" si="674" xml:space="preserve"> T445 + S447</f>
        <v>0</v>
      </c>
      <c r="U447" s="52">
        <f t="shared" ca="1" si="674"/>
        <v>0</v>
      </c>
      <c r="V447" s="52">
        <f t="shared" ca="1" si="674"/>
        <v>0</v>
      </c>
      <c r="W447" s="52">
        <f t="shared" ca="1" si="674"/>
        <v>0</v>
      </c>
      <c r="X447" s="52">
        <f t="shared" ca="1" si="674"/>
        <v>0</v>
      </c>
      <c r="Y447" s="52">
        <f t="shared" ca="1" si="674"/>
        <v>0</v>
      </c>
      <c r="Z447" s="52">
        <f t="shared" ca="1" si="674"/>
        <v>0</v>
      </c>
      <c r="AA447" s="52">
        <f t="shared" ca="1" si="674"/>
        <v>0</v>
      </c>
      <c r="AB447" s="52">
        <f t="shared" ca="1" si="674"/>
        <v>594047.59928800585</v>
      </c>
      <c r="AC447" s="52">
        <f t="shared" ca="1" si="674"/>
        <v>415833.31950160407</v>
      </c>
      <c r="AD447" s="52">
        <f t="shared" ca="1" si="674"/>
        <v>415833.31950160407</v>
      </c>
      <c r="AE447" s="52">
        <f t="shared" ca="1" si="674"/>
        <v>415833.31950160407</v>
      </c>
      <c r="AF447" s="52">
        <f t="shared" ca="1" si="674"/>
        <v>415833.31950160407</v>
      </c>
      <c r="AG447" s="52">
        <f t="shared" ca="1" si="674"/>
        <v>415833.31950160407</v>
      </c>
      <c r="AH447" s="52">
        <f t="shared" ca="1" si="674"/>
        <v>415833.31950160407</v>
      </c>
      <c r="AI447" s="52">
        <f t="shared" ca="1" si="674"/>
        <v>415833.31950160407</v>
      </c>
      <c r="AJ447" s="52">
        <f t="shared" ca="1" si="674"/>
        <v>415833.31950160407</v>
      </c>
      <c r="AK447" s="52">
        <f t="shared" ca="1" si="674"/>
        <v>415833.31950160407</v>
      </c>
      <c r="AL447" s="52">
        <f t="shared" ca="1" si="674"/>
        <v>415833.31950160407</v>
      </c>
      <c r="AM447" s="52">
        <f t="shared" ca="1" si="674"/>
        <v>415833.31950160407</v>
      </c>
      <c r="AN447" s="52">
        <f t="shared" ca="1" si="674"/>
        <v>415833.31950160407</v>
      </c>
      <c r="AO447" s="52">
        <f t="shared" ca="1" si="674"/>
        <v>415833.31950160407</v>
      </c>
      <c r="AP447" s="52">
        <f t="shared" ca="1" si="674"/>
        <v>415833.31950160407</v>
      </c>
      <c r="AQ447" s="52">
        <f t="shared" ca="1" si="674"/>
        <v>415833.31950160407</v>
      </c>
      <c r="AR447" s="52">
        <f t="shared" ca="1" si="674"/>
        <v>415833.31950160407</v>
      </c>
      <c r="AS447" s="52">
        <f t="shared" ca="1" si="674"/>
        <v>415833.31950160407</v>
      </c>
      <c r="AT447" s="52">
        <f t="shared" ca="1" si="674"/>
        <v>415833.31950160407</v>
      </c>
      <c r="AU447" s="52">
        <f t="shared" ca="1" si="674"/>
        <v>415833.31950160407</v>
      </c>
      <c r="AV447" s="52">
        <f t="shared" ca="1" si="674"/>
        <v>415833.31950160407</v>
      </c>
      <c r="AW447" s="52">
        <f t="shared" ca="1" si="674"/>
        <v>415833.31950160407</v>
      </c>
      <c r="AX447" s="52">
        <f t="shared" ca="1" si="674"/>
        <v>415833.31950160407</v>
      </c>
      <c r="AY447" s="52">
        <f t="shared" ca="1" si="674"/>
        <v>415833.31950160407</v>
      </c>
      <c r="AZ447" s="52">
        <f t="shared" ca="1" si="674"/>
        <v>415833.31950160407</v>
      </c>
      <c r="BA447" s="52">
        <f t="shared" ca="1" si="674"/>
        <v>415833.31950160407</v>
      </c>
      <c r="BB447" s="52">
        <f t="shared" ca="1" si="674"/>
        <v>415833.31950160407</v>
      </c>
      <c r="BC447" s="52">
        <f t="shared" ca="1" si="674"/>
        <v>415833.31950160407</v>
      </c>
      <c r="BD447" s="52">
        <f t="shared" ca="1" si="674"/>
        <v>415833.31950160407</v>
      </c>
      <c r="BE447" s="52">
        <f t="shared" ca="1" si="674"/>
        <v>415833.31950160407</v>
      </c>
      <c r="BF447" s="52">
        <f t="shared" ca="1" si="674"/>
        <v>415833.31950160407</v>
      </c>
      <c r="BG447" s="52">
        <f t="shared" ca="1" si="674"/>
        <v>415833.31950160407</v>
      </c>
      <c r="BH447" s="52">
        <f t="shared" ca="1" si="674"/>
        <v>415833.31950160407</v>
      </c>
      <c r="BI447" s="52">
        <f t="shared" ca="1" si="674"/>
        <v>415833.31950160407</v>
      </c>
      <c r="BJ447" s="52">
        <f t="shared" ca="1" si="674"/>
        <v>415833.31950160407</v>
      </c>
      <c r="BK447" s="52">
        <f t="shared" ca="1" si="674"/>
        <v>415833.31950160407</v>
      </c>
      <c r="BL447" s="52">
        <f t="shared" ca="1" si="674"/>
        <v>415833.31950160407</v>
      </c>
      <c r="BM447" s="52">
        <f t="shared" ca="1" si="674"/>
        <v>415833.31950160407</v>
      </c>
      <c r="BN447" s="52">
        <f t="shared" ca="1" si="674"/>
        <v>415833.31950160407</v>
      </c>
      <c r="BO447" s="52">
        <f t="shared" ca="1" si="674"/>
        <v>415833.31950160407</v>
      </c>
      <c r="BP447" s="52">
        <f t="shared" ca="1" si="674"/>
        <v>415833.31950160407</v>
      </c>
      <c r="BQ447" s="52">
        <f t="shared" ca="1" si="674"/>
        <v>415833.31950160407</v>
      </c>
      <c r="BR447" s="52">
        <f t="shared" ca="1" si="674"/>
        <v>415833.31950160407</v>
      </c>
      <c r="BS447" s="52">
        <f t="shared" ca="1" si="674"/>
        <v>415833.31950160407</v>
      </c>
      <c r="BT447" s="52">
        <f t="shared" ca="1" si="674"/>
        <v>415833.31950160407</v>
      </c>
      <c r="BU447" s="52">
        <f t="shared" ca="1" si="674"/>
        <v>415833.31950160407</v>
      </c>
      <c r="BV447" s="52">
        <f t="shared" ca="1" si="674"/>
        <v>415833.31950160407</v>
      </c>
      <c r="BW447" s="52">
        <f t="shared" ca="1" si="674"/>
        <v>415833.31950160407</v>
      </c>
      <c r="BX447" s="52">
        <f t="shared" ca="1" si="674"/>
        <v>415833.31950160407</v>
      </c>
      <c r="BY447" s="52">
        <f t="shared" ca="1" si="674"/>
        <v>415833.31950160407</v>
      </c>
      <c r="BZ447" s="52">
        <f t="shared" ca="1" si="674"/>
        <v>415833.31950160407</v>
      </c>
      <c r="CA447" s="52">
        <f t="shared" ca="1" si="674"/>
        <v>415833.31950160407</v>
      </c>
      <c r="CB447" s="52">
        <f t="shared" ca="1" si="674"/>
        <v>415833.31950160407</v>
      </c>
      <c r="CC447" s="52">
        <f t="shared" ca="1" si="674"/>
        <v>415833.31950160407</v>
      </c>
      <c r="CD447" s="52">
        <f t="shared" ca="1" si="674"/>
        <v>415833.31950160407</v>
      </c>
      <c r="CE447" s="52">
        <f t="shared" ca="1" si="674"/>
        <v>415833.31950160407</v>
      </c>
      <c r="CF447" s="52">
        <f t="shared" ref="CF447:CO447" ca="1" si="675" xml:space="preserve"> CF445 + CE447</f>
        <v>415833.31950160407</v>
      </c>
      <c r="CG447" s="52">
        <f t="shared" ca="1" si="675"/>
        <v>415833.31950160407</v>
      </c>
      <c r="CH447" s="52">
        <f t="shared" ca="1" si="675"/>
        <v>415833.31950160407</v>
      </c>
      <c r="CI447" s="52">
        <f t="shared" ca="1" si="675"/>
        <v>415833.31950160407</v>
      </c>
      <c r="CJ447" s="52">
        <f t="shared" ca="1" si="675"/>
        <v>415833.31950160407</v>
      </c>
      <c r="CK447" s="52">
        <f t="shared" ca="1" si="675"/>
        <v>415833.31950160407</v>
      </c>
      <c r="CL447" s="52">
        <f t="shared" ca="1" si="675"/>
        <v>415833.31950160407</v>
      </c>
      <c r="CM447" s="52">
        <f t="shared" ca="1" si="675"/>
        <v>415833.31950160407</v>
      </c>
      <c r="CN447" s="52">
        <f t="shared" ca="1" si="675"/>
        <v>415833.31950160407</v>
      </c>
      <c r="CO447" s="52">
        <f t="shared" ca="1" si="675"/>
        <v>415833.31950160407</v>
      </c>
    </row>
    <row r="448" spans="1:93">
      <c r="A448" s="10"/>
      <c r="B448" s="10"/>
      <c r="C448" s="17" t="s">
        <v>389</v>
      </c>
      <c r="D448" s="10"/>
      <c r="E448" s="62"/>
      <c r="F448" s="11"/>
      <c r="G448" s="134" t="str">
        <f t="shared" si="663"/>
        <v>тыс. руб.</v>
      </c>
      <c r="H448" s="10"/>
      <c r="I448" s="23">
        <f ca="1">SUM(L448:CO448)</f>
        <v>415833.31950160407</v>
      </c>
      <c r="J448" s="10"/>
      <c r="K448" s="10"/>
      <c r="L448" s="52">
        <f t="shared" ref="L448:AQ448" ca="1" si="676" xml:space="preserve"> MIN(L447*L443,K450)</f>
        <v>0</v>
      </c>
      <c r="M448" s="52">
        <f t="shared" ca="1" si="676"/>
        <v>0</v>
      </c>
      <c r="N448" s="52">
        <f t="shared" ca="1" si="676"/>
        <v>0</v>
      </c>
      <c r="O448" s="52">
        <f t="shared" ca="1" si="676"/>
        <v>0</v>
      </c>
      <c r="P448" s="52">
        <f t="shared" ca="1" si="676"/>
        <v>0</v>
      </c>
      <c r="Q448" s="52">
        <f t="shared" ca="1" si="676"/>
        <v>0</v>
      </c>
      <c r="R448" s="52">
        <f t="shared" ca="1" si="676"/>
        <v>0</v>
      </c>
      <c r="S448" s="52">
        <f t="shared" ca="1" si="676"/>
        <v>0</v>
      </c>
      <c r="T448" s="52">
        <f t="shared" ca="1" si="676"/>
        <v>0</v>
      </c>
      <c r="U448" s="52">
        <f t="shared" ca="1" si="676"/>
        <v>0</v>
      </c>
      <c r="V448" s="52">
        <f t="shared" ca="1" si="676"/>
        <v>0</v>
      </c>
      <c r="W448" s="52">
        <f t="shared" ca="1" si="676"/>
        <v>0</v>
      </c>
      <c r="X448" s="52">
        <f t="shared" ca="1" si="676"/>
        <v>0</v>
      </c>
      <c r="Y448" s="52">
        <f t="shared" ca="1" si="676"/>
        <v>0</v>
      </c>
      <c r="Z448" s="52">
        <f t="shared" ca="1" si="676"/>
        <v>0</v>
      </c>
      <c r="AA448" s="52">
        <f t="shared" ca="1" si="676"/>
        <v>0</v>
      </c>
      <c r="AB448" s="52">
        <f t="shared" ca="1" si="676"/>
        <v>0</v>
      </c>
      <c r="AC448" s="52">
        <f t="shared" ca="1" si="676"/>
        <v>14851.189982200145</v>
      </c>
      <c r="AD448" s="52">
        <f t="shared" ca="1" si="676"/>
        <v>14851.189982200145</v>
      </c>
      <c r="AE448" s="52">
        <f t="shared" ca="1" si="676"/>
        <v>14851.189982200145</v>
      </c>
      <c r="AF448" s="52">
        <f t="shared" ca="1" si="676"/>
        <v>14851.189982200145</v>
      </c>
      <c r="AG448" s="52">
        <f t="shared" ca="1" si="676"/>
        <v>14851.189982200145</v>
      </c>
      <c r="AH448" s="52">
        <f t="shared" ca="1" si="676"/>
        <v>14851.189982200145</v>
      </c>
      <c r="AI448" s="52">
        <f t="shared" ca="1" si="676"/>
        <v>14851.189982200145</v>
      </c>
      <c r="AJ448" s="52">
        <f t="shared" ca="1" si="676"/>
        <v>14851.189982200145</v>
      </c>
      <c r="AK448" s="52">
        <f t="shared" ca="1" si="676"/>
        <v>14851.189982200145</v>
      </c>
      <c r="AL448" s="52">
        <f t="shared" ca="1" si="676"/>
        <v>14851.189982200145</v>
      </c>
      <c r="AM448" s="52">
        <f t="shared" ca="1" si="676"/>
        <v>14851.189982200145</v>
      </c>
      <c r="AN448" s="52">
        <f t="shared" ca="1" si="676"/>
        <v>14851.189982200145</v>
      </c>
      <c r="AO448" s="52">
        <f t="shared" ca="1" si="676"/>
        <v>14851.189982200145</v>
      </c>
      <c r="AP448" s="52">
        <f t="shared" ca="1" si="676"/>
        <v>14851.189982200145</v>
      </c>
      <c r="AQ448" s="52">
        <f t="shared" ca="1" si="676"/>
        <v>14851.189982200145</v>
      </c>
      <c r="AR448" s="52">
        <f t="shared" ref="AR448:BW448" ca="1" si="677" xml:space="preserve"> MIN(AR447*AR443,AQ450)</f>
        <v>14851.189982200145</v>
      </c>
      <c r="AS448" s="52">
        <f t="shared" ca="1" si="677"/>
        <v>14851.189982200145</v>
      </c>
      <c r="AT448" s="52">
        <f t="shared" ca="1" si="677"/>
        <v>14851.189982200145</v>
      </c>
      <c r="AU448" s="52">
        <f t="shared" ca="1" si="677"/>
        <v>14851.189982200145</v>
      </c>
      <c r="AV448" s="52">
        <f t="shared" ca="1" si="677"/>
        <v>14851.189982200145</v>
      </c>
      <c r="AW448" s="52">
        <f t="shared" ca="1" si="677"/>
        <v>14851.189982200145</v>
      </c>
      <c r="AX448" s="52">
        <f t="shared" ca="1" si="677"/>
        <v>14851.189982200145</v>
      </c>
      <c r="AY448" s="52">
        <f t="shared" ca="1" si="677"/>
        <v>14851.189982200145</v>
      </c>
      <c r="AZ448" s="52">
        <f t="shared" ca="1" si="677"/>
        <v>14851.189982200145</v>
      </c>
      <c r="BA448" s="52">
        <f t="shared" ca="1" si="677"/>
        <v>14851.189982200145</v>
      </c>
      <c r="BB448" s="52">
        <f t="shared" ca="1" si="677"/>
        <v>14851.189982200145</v>
      </c>
      <c r="BC448" s="52">
        <f t="shared" ca="1" si="677"/>
        <v>14851.189982200145</v>
      </c>
      <c r="BD448" s="52">
        <f t="shared" ca="1" si="677"/>
        <v>14851.189982199925</v>
      </c>
      <c r="BE448" s="52">
        <f t="shared" ca="1" si="677"/>
        <v>0</v>
      </c>
      <c r="BF448" s="52">
        <f t="shared" ca="1" si="677"/>
        <v>0</v>
      </c>
      <c r="BG448" s="52">
        <f t="shared" ca="1" si="677"/>
        <v>0</v>
      </c>
      <c r="BH448" s="52">
        <f t="shared" ca="1" si="677"/>
        <v>0</v>
      </c>
      <c r="BI448" s="52">
        <f t="shared" ca="1" si="677"/>
        <v>0</v>
      </c>
      <c r="BJ448" s="52">
        <f t="shared" ca="1" si="677"/>
        <v>0</v>
      </c>
      <c r="BK448" s="52">
        <f t="shared" ca="1" si="677"/>
        <v>0</v>
      </c>
      <c r="BL448" s="52">
        <f t="shared" ca="1" si="677"/>
        <v>0</v>
      </c>
      <c r="BM448" s="52">
        <f t="shared" ca="1" si="677"/>
        <v>0</v>
      </c>
      <c r="BN448" s="52">
        <f t="shared" ca="1" si="677"/>
        <v>0</v>
      </c>
      <c r="BO448" s="52">
        <f t="shared" ca="1" si="677"/>
        <v>0</v>
      </c>
      <c r="BP448" s="52">
        <f t="shared" ca="1" si="677"/>
        <v>0</v>
      </c>
      <c r="BQ448" s="52">
        <f t="shared" ca="1" si="677"/>
        <v>0</v>
      </c>
      <c r="BR448" s="52">
        <f t="shared" ca="1" si="677"/>
        <v>0</v>
      </c>
      <c r="BS448" s="52">
        <f t="shared" ca="1" si="677"/>
        <v>0</v>
      </c>
      <c r="BT448" s="52">
        <f t="shared" ca="1" si="677"/>
        <v>0</v>
      </c>
      <c r="BU448" s="52">
        <f t="shared" ca="1" si="677"/>
        <v>0</v>
      </c>
      <c r="BV448" s="52">
        <f t="shared" ca="1" si="677"/>
        <v>0</v>
      </c>
      <c r="BW448" s="52">
        <f t="shared" ca="1" si="677"/>
        <v>0</v>
      </c>
      <c r="BX448" s="52">
        <f t="shared" ref="BX448:CO448" ca="1" si="678" xml:space="preserve"> MIN(BX447*BX443,BW450)</f>
        <v>0</v>
      </c>
      <c r="BY448" s="52">
        <f t="shared" ca="1" si="678"/>
        <v>0</v>
      </c>
      <c r="BZ448" s="52">
        <f t="shared" ca="1" si="678"/>
        <v>0</v>
      </c>
      <c r="CA448" s="52">
        <f t="shared" ca="1" si="678"/>
        <v>0</v>
      </c>
      <c r="CB448" s="52">
        <f t="shared" ca="1" si="678"/>
        <v>0</v>
      </c>
      <c r="CC448" s="52">
        <f t="shared" ca="1" si="678"/>
        <v>0</v>
      </c>
      <c r="CD448" s="52">
        <f t="shared" ca="1" si="678"/>
        <v>0</v>
      </c>
      <c r="CE448" s="52">
        <f t="shared" ca="1" si="678"/>
        <v>0</v>
      </c>
      <c r="CF448" s="52">
        <f t="shared" ca="1" si="678"/>
        <v>0</v>
      </c>
      <c r="CG448" s="52">
        <f t="shared" ca="1" si="678"/>
        <v>0</v>
      </c>
      <c r="CH448" s="52">
        <f t="shared" ca="1" si="678"/>
        <v>0</v>
      </c>
      <c r="CI448" s="52">
        <f t="shared" ca="1" si="678"/>
        <v>0</v>
      </c>
      <c r="CJ448" s="52">
        <f t="shared" ca="1" si="678"/>
        <v>0</v>
      </c>
      <c r="CK448" s="52">
        <f t="shared" ca="1" si="678"/>
        <v>0</v>
      </c>
      <c r="CL448" s="52">
        <f t="shared" ca="1" si="678"/>
        <v>0</v>
      </c>
      <c r="CM448" s="52">
        <f t="shared" ca="1" si="678"/>
        <v>0</v>
      </c>
      <c r="CN448" s="52">
        <f t="shared" ca="1" si="678"/>
        <v>0</v>
      </c>
      <c r="CO448" s="52">
        <f t="shared" ca="1" si="678"/>
        <v>0</v>
      </c>
    </row>
    <row r="449" spans="1:93">
      <c r="A449" s="10"/>
      <c r="B449" s="10"/>
      <c r="C449" s="17" t="s">
        <v>127</v>
      </c>
      <c r="D449" s="10"/>
      <c r="E449" s="62"/>
      <c r="F449" s="11"/>
      <c r="G449" s="134" t="str">
        <f t="shared" si="663"/>
        <v>тыс. руб.</v>
      </c>
      <c r="H449" s="10"/>
      <c r="I449" s="10"/>
      <c r="J449" s="10"/>
      <c r="K449" s="10"/>
      <c r="L449" s="52">
        <f t="shared" ref="L449:AQ449" ca="1" si="679" xml:space="preserve"> SUM(K449,-L448)</f>
        <v>0</v>
      </c>
      <c r="M449" s="52">
        <f t="shared" ca="1" si="679"/>
        <v>0</v>
      </c>
      <c r="N449" s="52">
        <f t="shared" ca="1" si="679"/>
        <v>0</v>
      </c>
      <c r="O449" s="52">
        <f t="shared" ca="1" si="679"/>
        <v>0</v>
      </c>
      <c r="P449" s="52">
        <f t="shared" ca="1" si="679"/>
        <v>0</v>
      </c>
      <c r="Q449" s="52">
        <f t="shared" ca="1" si="679"/>
        <v>0</v>
      </c>
      <c r="R449" s="52">
        <f t="shared" ca="1" si="679"/>
        <v>0</v>
      </c>
      <c r="S449" s="52">
        <f t="shared" ca="1" si="679"/>
        <v>0</v>
      </c>
      <c r="T449" s="52">
        <f t="shared" ca="1" si="679"/>
        <v>0</v>
      </c>
      <c r="U449" s="52">
        <f t="shared" ca="1" si="679"/>
        <v>0</v>
      </c>
      <c r="V449" s="52">
        <f t="shared" ca="1" si="679"/>
        <v>0</v>
      </c>
      <c r="W449" s="52">
        <f t="shared" ca="1" si="679"/>
        <v>0</v>
      </c>
      <c r="X449" s="52">
        <f t="shared" ca="1" si="679"/>
        <v>0</v>
      </c>
      <c r="Y449" s="52">
        <f t="shared" ca="1" si="679"/>
        <v>0</v>
      </c>
      <c r="Z449" s="52">
        <f t="shared" ca="1" si="679"/>
        <v>0</v>
      </c>
      <c r="AA449" s="52">
        <f t="shared" ca="1" si="679"/>
        <v>0</v>
      </c>
      <c r="AB449" s="52">
        <f t="shared" ca="1" si="679"/>
        <v>0</v>
      </c>
      <c r="AC449" s="52">
        <f t="shared" ca="1" si="679"/>
        <v>-14851.189982200145</v>
      </c>
      <c r="AD449" s="52">
        <f t="shared" ca="1" si="679"/>
        <v>-29702.37996440029</v>
      </c>
      <c r="AE449" s="52">
        <f t="shared" ca="1" si="679"/>
        <v>-44553.569946600437</v>
      </c>
      <c r="AF449" s="52">
        <f t="shared" ca="1" si="679"/>
        <v>-59404.75992880058</v>
      </c>
      <c r="AG449" s="52">
        <f t="shared" ca="1" si="679"/>
        <v>-74255.949911000731</v>
      </c>
      <c r="AH449" s="52">
        <f t="shared" ca="1" si="679"/>
        <v>-89107.139893200874</v>
      </c>
      <c r="AI449" s="52">
        <f t="shared" ca="1" si="679"/>
        <v>-103958.32987540102</v>
      </c>
      <c r="AJ449" s="52">
        <f t="shared" ca="1" si="679"/>
        <v>-118809.51985760116</v>
      </c>
      <c r="AK449" s="52">
        <f t="shared" ca="1" si="679"/>
        <v>-133660.7098398013</v>
      </c>
      <c r="AL449" s="52">
        <f t="shared" ca="1" si="679"/>
        <v>-148511.89982200146</v>
      </c>
      <c r="AM449" s="52">
        <f t="shared" ca="1" si="679"/>
        <v>-163363.08980420162</v>
      </c>
      <c r="AN449" s="52">
        <f t="shared" ca="1" si="679"/>
        <v>-178214.27978640178</v>
      </c>
      <c r="AO449" s="52">
        <f t="shared" ca="1" si="679"/>
        <v>-193065.46976860194</v>
      </c>
      <c r="AP449" s="52">
        <f t="shared" ca="1" si="679"/>
        <v>-207916.65975080209</v>
      </c>
      <c r="AQ449" s="52">
        <f t="shared" ca="1" si="679"/>
        <v>-222767.84973300225</v>
      </c>
      <c r="AR449" s="52">
        <f t="shared" ref="AR449:BW449" ca="1" si="680" xml:space="preserve"> SUM(AQ449,-AR448)</f>
        <v>-237619.03971520241</v>
      </c>
      <c r="AS449" s="52">
        <f t="shared" ca="1" si="680"/>
        <v>-252470.22969740257</v>
      </c>
      <c r="AT449" s="52">
        <f t="shared" ca="1" si="680"/>
        <v>-267321.41967960272</v>
      </c>
      <c r="AU449" s="52">
        <f t="shared" ca="1" si="680"/>
        <v>-282172.60966180288</v>
      </c>
      <c r="AV449" s="52">
        <f t="shared" ca="1" si="680"/>
        <v>-297023.79964400304</v>
      </c>
      <c r="AW449" s="52">
        <f t="shared" ca="1" si="680"/>
        <v>-311874.9896262032</v>
      </c>
      <c r="AX449" s="52">
        <f t="shared" ca="1" si="680"/>
        <v>-326726.17960840336</v>
      </c>
      <c r="AY449" s="52">
        <f t="shared" ca="1" si="680"/>
        <v>-341577.36959060351</v>
      </c>
      <c r="AZ449" s="52">
        <f t="shared" ca="1" si="680"/>
        <v>-356428.55957280367</v>
      </c>
      <c r="BA449" s="52">
        <f t="shared" ca="1" si="680"/>
        <v>-371279.74955500383</v>
      </c>
      <c r="BB449" s="52">
        <f t="shared" ca="1" si="680"/>
        <v>-386130.93953720399</v>
      </c>
      <c r="BC449" s="52">
        <f t="shared" ca="1" si="680"/>
        <v>-400982.12951940414</v>
      </c>
      <c r="BD449" s="52">
        <f t="shared" ca="1" si="680"/>
        <v>-415833.31950160407</v>
      </c>
      <c r="BE449" s="52">
        <f t="shared" ca="1" si="680"/>
        <v>-415833.31950160407</v>
      </c>
      <c r="BF449" s="52">
        <f t="shared" ca="1" si="680"/>
        <v>-415833.31950160407</v>
      </c>
      <c r="BG449" s="52">
        <f t="shared" ca="1" si="680"/>
        <v>-415833.31950160407</v>
      </c>
      <c r="BH449" s="52">
        <f t="shared" ca="1" si="680"/>
        <v>-415833.31950160407</v>
      </c>
      <c r="BI449" s="52">
        <f t="shared" ca="1" si="680"/>
        <v>-415833.31950160407</v>
      </c>
      <c r="BJ449" s="52">
        <f t="shared" ca="1" si="680"/>
        <v>-415833.31950160407</v>
      </c>
      <c r="BK449" s="52">
        <f t="shared" ca="1" si="680"/>
        <v>-415833.31950160407</v>
      </c>
      <c r="BL449" s="52">
        <f t="shared" ca="1" si="680"/>
        <v>-415833.31950160407</v>
      </c>
      <c r="BM449" s="52">
        <f t="shared" ca="1" si="680"/>
        <v>-415833.31950160407</v>
      </c>
      <c r="BN449" s="52">
        <f t="shared" ca="1" si="680"/>
        <v>-415833.31950160407</v>
      </c>
      <c r="BO449" s="52">
        <f t="shared" ca="1" si="680"/>
        <v>-415833.31950160407</v>
      </c>
      <c r="BP449" s="52">
        <f t="shared" ca="1" si="680"/>
        <v>-415833.31950160407</v>
      </c>
      <c r="BQ449" s="52">
        <f t="shared" ca="1" si="680"/>
        <v>-415833.31950160407</v>
      </c>
      <c r="BR449" s="52">
        <f t="shared" ca="1" si="680"/>
        <v>-415833.31950160407</v>
      </c>
      <c r="BS449" s="52">
        <f t="shared" ca="1" si="680"/>
        <v>-415833.31950160407</v>
      </c>
      <c r="BT449" s="52">
        <f t="shared" ca="1" si="680"/>
        <v>-415833.31950160407</v>
      </c>
      <c r="BU449" s="52">
        <f t="shared" ca="1" si="680"/>
        <v>-415833.31950160407</v>
      </c>
      <c r="BV449" s="52">
        <f t="shared" ca="1" si="680"/>
        <v>-415833.31950160407</v>
      </c>
      <c r="BW449" s="52">
        <f t="shared" ca="1" si="680"/>
        <v>-415833.31950160407</v>
      </c>
      <c r="BX449" s="52">
        <f t="shared" ref="BX449:CO449" ca="1" si="681" xml:space="preserve"> SUM(BW449,-BX448)</f>
        <v>-415833.31950160407</v>
      </c>
      <c r="BY449" s="52">
        <f t="shared" ca="1" si="681"/>
        <v>-415833.31950160407</v>
      </c>
      <c r="BZ449" s="52">
        <f t="shared" ca="1" si="681"/>
        <v>-415833.31950160407</v>
      </c>
      <c r="CA449" s="52">
        <f t="shared" ca="1" si="681"/>
        <v>-415833.31950160407</v>
      </c>
      <c r="CB449" s="52">
        <f t="shared" ca="1" si="681"/>
        <v>-415833.31950160407</v>
      </c>
      <c r="CC449" s="52">
        <f t="shared" ca="1" si="681"/>
        <v>-415833.31950160407</v>
      </c>
      <c r="CD449" s="52">
        <f t="shared" ca="1" si="681"/>
        <v>-415833.31950160407</v>
      </c>
      <c r="CE449" s="52">
        <f t="shared" ca="1" si="681"/>
        <v>-415833.31950160407</v>
      </c>
      <c r="CF449" s="52">
        <f t="shared" ca="1" si="681"/>
        <v>-415833.31950160407</v>
      </c>
      <c r="CG449" s="52">
        <f t="shared" ca="1" si="681"/>
        <v>-415833.31950160407</v>
      </c>
      <c r="CH449" s="52">
        <f t="shared" ca="1" si="681"/>
        <v>-415833.31950160407</v>
      </c>
      <c r="CI449" s="52">
        <f t="shared" ca="1" si="681"/>
        <v>-415833.31950160407</v>
      </c>
      <c r="CJ449" s="52">
        <f t="shared" ca="1" si="681"/>
        <v>-415833.31950160407</v>
      </c>
      <c r="CK449" s="52">
        <f t="shared" ca="1" si="681"/>
        <v>-415833.31950160407</v>
      </c>
      <c r="CL449" s="52">
        <f t="shared" ca="1" si="681"/>
        <v>-415833.31950160407</v>
      </c>
      <c r="CM449" s="52">
        <f t="shared" ca="1" si="681"/>
        <v>-415833.31950160407</v>
      </c>
      <c r="CN449" s="52">
        <f t="shared" ca="1" si="681"/>
        <v>-415833.31950160407</v>
      </c>
      <c r="CO449" s="52">
        <f t="shared" ca="1" si="681"/>
        <v>-415833.31950160407</v>
      </c>
    </row>
    <row r="450" spans="1:93">
      <c r="A450" s="10"/>
      <c r="B450" s="10"/>
      <c r="C450" s="17" t="s">
        <v>128</v>
      </c>
      <c r="D450" s="10"/>
      <c r="E450" s="62"/>
      <c r="F450" s="11"/>
      <c r="G450" s="134" t="str">
        <f t="shared" si="663"/>
        <v>тыс. руб.</v>
      </c>
      <c r="H450" s="10"/>
      <c r="I450" s="10"/>
      <c r="J450" s="10"/>
      <c r="K450" s="10"/>
      <c r="L450" s="52">
        <f t="shared" ref="L450:AQ450" ca="1" si="682" xml:space="preserve"> SUM(L447,L449)</f>
        <v>0</v>
      </c>
      <c r="M450" s="52">
        <f t="shared" ca="1" si="682"/>
        <v>0</v>
      </c>
      <c r="N450" s="52">
        <f t="shared" ca="1" si="682"/>
        <v>0</v>
      </c>
      <c r="O450" s="52">
        <f t="shared" ca="1" si="682"/>
        <v>0</v>
      </c>
      <c r="P450" s="52">
        <f t="shared" ca="1" si="682"/>
        <v>0</v>
      </c>
      <c r="Q450" s="52">
        <f t="shared" ca="1" si="682"/>
        <v>0</v>
      </c>
      <c r="R450" s="52">
        <f t="shared" ca="1" si="682"/>
        <v>0</v>
      </c>
      <c r="S450" s="52">
        <f t="shared" ca="1" si="682"/>
        <v>0</v>
      </c>
      <c r="T450" s="52">
        <f t="shared" ca="1" si="682"/>
        <v>0</v>
      </c>
      <c r="U450" s="52">
        <f t="shared" ca="1" si="682"/>
        <v>0</v>
      </c>
      <c r="V450" s="52">
        <f t="shared" ca="1" si="682"/>
        <v>0</v>
      </c>
      <c r="W450" s="52">
        <f t="shared" ca="1" si="682"/>
        <v>0</v>
      </c>
      <c r="X450" s="52">
        <f t="shared" ca="1" si="682"/>
        <v>0</v>
      </c>
      <c r="Y450" s="52">
        <f t="shared" ca="1" si="682"/>
        <v>0</v>
      </c>
      <c r="Z450" s="52">
        <f t="shared" ca="1" si="682"/>
        <v>0</v>
      </c>
      <c r="AA450" s="52">
        <f t="shared" ca="1" si="682"/>
        <v>0</v>
      </c>
      <c r="AB450" s="52">
        <f t="shared" ca="1" si="682"/>
        <v>594047.59928800585</v>
      </c>
      <c r="AC450" s="52">
        <f t="shared" ca="1" si="682"/>
        <v>400982.12951940391</v>
      </c>
      <c r="AD450" s="52">
        <f t="shared" ca="1" si="682"/>
        <v>386130.93953720375</v>
      </c>
      <c r="AE450" s="52">
        <f t="shared" ca="1" si="682"/>
        <v>371279.74955500365</v>
      </c>
      <c r="AF450" s="52">
        <f t="shared" ca="1" si="682"/>
        <v>356428.5595728035</v>
      </c>
      <c r="AG450" s="52">
        <f t="shared" ca="1" si="682"/>
        <v>341577.36959060334</v>
      </c>
      <c r="AH450" s="52">
        <f t="shared" ca="1" si="682"/>
        <v>326726.17960840318</v>
      </c>
      <c r="AI450" s="52">
        <f t="shared" ca="1" si="682"/>
        <v>311874.98962620308</v>
      </c>
      <c r="AJ450" s="52">
        <f t="shared" ca="1" si="682"/>
        <v>297023.79964400292</v>
      </c>
      <c r="AK450" s="52">
        <f t="shared" ca="1" si="682"/>
        <v>282172.60966180277</v>
      </c>
      <c r="AL450" s="52">
        <f t="shared" ca="1" si="682"/>
        <v>267321.41967960261</v>
      </c>
      <c r="AM450" s="52">
        <f t="shared" ca="1" si="682"/>
        <v>252470.22969740245</v>
      </c>
      <c r="AN450" s="52">
        <f t="shared" ca="1" si="682"/>
        <v>237619.03971520229</v>
      </c>
      <c r="AO450" s="52">
        <f t="shared" ca="1" si="682"/>
        <v>222767.84973300213</v>
      </c>
      <c r="AP450" s="52">
        <f t="shared" ca="1" si="682"/>
        <v>207916.65975080198</v>
      </c>
      <c r="AQ450" s="52">
        <f t="shared" ca="1" si="682"/>
        <v>193065.46976860182</v>
      </c>
      <c r="AR450" s="52">
        <f t="shared" ref="AR450:BW450" ca="1" si="683" xml:space="preserve"> SUM(AR447,AR449)</f>
        <v>178214.27978640166</v>
      </c>
      <c r="AS450" s="52">
        <f t="shared" ca="1" si="683"/>
        <v>163363.0898042015</v>
      </c>
      <c r="AT450" s="52">
        <f t="shared" ca="1" si="683"/>
        <v>148511.89982200135</v>
      </c>
      <c r="AU450" s="52">
        <f t="shared" ca="1" si="683"/>
        <v>133660.70983980119</v>
      </c>
      <c r="AV450" s="52">
        <f t="shared" ca="1" si="683"/>
        <v>118809.51985760103</v>
      </c>
      <c r="AW450" s="52">
        <f t="shared" ca="1" si="683"/>
        <v>103958.32987540087</v>
      </c>
      <c r="AX450" s="52">
        <f t="shared" ca="1" si="683"/>
        <v>89107.139893200714</v>
      </c>
      <c r="AY450" s="52">
        <f t="shared" ca="1" si="683"/>
        <v>74255.949911000556</v>
      </c>
      <c r="AZ450" s="52">
        <f t="shared" ca="1" si="683"/>
        <v>59404.759928800398</v>
      </c>
      <c r="BA450" s="52">
        <f t="shared" ca="1" si="683"/>
        <v>44553.569946600241</v>
      </c>
      <c r="BB450" s="52">
        <f t="shared" ca="1" si="683"/>
        <v>29702.379964400083</v>
      </c>
      <c r="BC450" s="52">
        <f t="shared" ca="1" si="683"/>
        <v>14851.189982199925</v>
      </c>
      <c r="BD450" s="52">
        <f t="shared" ca="1" si="683"/>
        <v>0</v>
      </c>
      <c r="BE450" s="52">
        <f t="shared" ca="1" si="683"/>
        <v>0</v>
      </c>
      <c r="BF450" s="52">
        <f t="shared" ca="1" si="683"/>
        <v>0</v>
      </c>
      <c r="BG450" s="52">
        <f t="shared" ca="1" si="683"/>
        <v>0</v>
      </c>
      <c r="BH450" s="52">
        <f t="shared" ca="1" si="683"/>
        <v>0</v>
      </c>
      <c r="BI450" s="52">
        <f t="shared" ca="1" si="683"/>
        <v>0</v>
      </c>
      <c r="BJ450" s="52">
        <f t="shared" ca="1" si="683"/>
        <v>0</v>
      </c>
      <c r="BK450" s="52">
        <f t="shared" ca="1" si="683"/>
        <v>0</v>
      </c>
      <c r="BL450" s="52">
        <f t="shared" ca="1" si="683"/>
        <v>0</v>
      </c>
      <c r="BM450" s="52">
        <f t="shared" ca="1" si="683"/>
        <v>0</v>
      </c>
      <c r="BN450" s="52">
        <f t="shared" ca="1" si="683"/>
        <v>0</v>
      </c>
      <c r="BO450" s="52">
        <f t="shared" ca="1" si="683"/>
        <v>0</v>
      </c>
      <c r="BP450" s="52">
        <f t="shared" ca="1" si="683"/>
        <v>0</v>
      </c>
      <c r="BQ450" s="52">
        <f t="shared" ca="1" si="683"/>
        <v>0</v>
      </c>
      <c r="BR450" s="52">
        <f t="shared" ca="1" si="683"/>
        <v>0</v>
      </c>
      <c r="BS450" s="52">
        <f t="shared" ca="1" si="683"/>
        <v>0</v>
      </c>
      <c r="BT450" s="52">
        <f t="shared" ca="1" si="683"/>
        <v>0</v>
      </c>
      <c r="BU450" s="52">
        <f t="shared" ca="1" si="683"/>
        <v>0</v>
      </c>
      <c r="BV450" s="52">
        <f t="shared" ca="1" si="683"/>
        <v>0</v>
      </c>
      <c r="BW450" s="52">
        <f t="shared" ca="1" si="683"/>
        <v>0</v>
      </c>
      <c r="BX450" s="52">
        <f t="shared" ref="BX450:CO450" ca="1" si="684" xml:space="preserve"> SUM(BX447,BX449)</f>
        <v>0</v>
      </c>
      <c r="BY450" s="52">
        <f t="shared" ca="1" si="684"/>
        <v>0</v>
      </c>
      <c r="BZ450" s="52">
        <f t="shared" ca="1" si="684"/>
        <v>0</v>
      </c>
      <c r="CA450" s="52">
        <f t="shared" ca="1" si="684"/>
        <v>0</v>
      </c>
      <c r="CB450" s="52">
        <f t="shared" ca="1" si="684"/>
        <v>0</v>
      </c>
      <c r="CC450" s="52">
        <f t="shared" ca="1" si="684"/>
        <v>0</v>
      </c>
      <c r="CD450" s="52">
        <f t="shared" ca="1" si="684"/>
        <v>0</v>
      </c>
      <c r="CE450" s="52">
        <f t="shared" ca="1" si="684"/>
        <v>0</v>
      </c>
      <c r="CF450" s="52">
        <f t="shared" ca="1" si="684"/>
        <v>0</v>
      </c>
      <c r="CG450" s="52">
        <f t="shared" ca="1" si="684"/>
        <v>0</v>
      </c>
      <c r="CH450" s="52">
        <f t="shared" ca="1" si="684"/>
        <v>0</v>
      </c>
      <c r="CI450" s="52">
        <f t="shared" ca="1" si="684"/>
        <v>0</v>
      </c>
      <c r="CJ450" s="52">
        <f t="shared" ca="1" si="684"/>
        <v>0</v>
      </c>
      <c r="CK450" s="52">
        <f t="shared" ca="1" si="684"/>
        <v>0</v>
      </c>
      <c r="CL450" s="52">
        <f t="shared" ca="1" si="684"/>
        <v>0</v>
      </c>
      <c r="CM450" s="52">
        <f t="shared" ca="1" si="684"/>
        <v>0</v>
      </c>
      <c r="CN450" s="52">
        <f t="shared" ca="1" si="684"/>
        <v>0</v>
      </c>
      <c r="CO450" s="52">
        <f t="shared" ca="1" si="684"/>
        <v>0</v>
      </c>
    </row>
    <row r="451" spans="1:93">
      <c r="A451" s="10"/>
      <c r="B451" s="10"/>
      <c r="C451" s="17"/>
      <c r="D451" s="10"/>
      <c r="E451" s="62"/>
      <c r="F451" s="11"/>
      <c r="G451" s="11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  <c r="BA451" s="10"/>
      <c r="BB451" s="10"/>
      <c r="BC451" s="10"/>
      <c r="BD451" s="10"/>
      <c r="BE451" s="10"/>
      <c r="BF451" s="10"/>
      <c r="BG451" s="10"/>
      <c r="BH451" s="10"/>
      <c r="BI451" s="10"/>
      <c r="BJ451" s="10"/>
      <c r="BK451" s="10"/>
      <c r="BL451" s="10"/>
      <c r="BM451" s="10"/>
      <c r="BN451" s="10"/>
      <c r="BO451" s="10"/>
      <c r="BP451" s="10"/>
      <c r="BQ451" s="10"/>
      <c r="BR451" s="10"/>
      <c r="BS451" s="10"/>
      <c r="BT451" s="10"/>
      <c r="BU451" s="10"/>
      <c r="BV451" s="10"/>
      <c r="BW451" s="10"/>
      <c r="BX451" s="10"/>
      <c r="BY451" s="10"/>
      <c r="BZ451" s="10"/>
      <c r="CA451" s="10"/>
      <c r="CB451" s="10"/>
      <c r="CC451" s="10"/>
      <c r="CD451" s="10"/>
      <c r="CE451" s="10"/>
      <c r="CF451" s="10"/>
      <c r="CG451" s="10"/>
      <c r="CH451" s="10"/>
      <c r="CI451" s="10"/>
      <c r="CJ451" s="10"/>
      <c r="CK451" s="10"/>
      <c r="CL451" s="10"/>
      <c r="CM451" s="10"/>
      <c r="CN451" s="10"/>
      <c r="CO451" s="10"/>
    </row>
    <row r="452" spans="1:93">
      <c r="A452" s="10"/>
      <c r="B452" s="10"/>
      <c r="C452" s="87" t="s">
        <v>1062</v>
      </c>
      <c r="D452" s="10"/>
      <c r="E452" s="62"/>
      <c r="F452" s="11"/>
      <c r="G452" s="11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  <c r="BA452" s="10"/>
      <c r="BB452" s="10"/>
      <c r="BC452" s="10"/>
      <c r="BD452" s="10"/>
      <c r="BE452" s="10"/>
      <c r="BF452" s="10"/>
      <c r="BG452" s="10"/>
      <c r="BH452" s="10"/>
      <c r="BI452" s="10"/>
      <c r="BJ452" s="10"/>
      <c r="BK452" s="10"/>
      <c r="BL452" s="10"/>
      <c r="BM452" s="10"/>
      <c r="BN452" s="10"/>
      <c r="BO452" s="10"/>
      <c r="BP452" s="10"/>
      <c r="BQ452" s="10"/>
      <c r="BR452" s="10"/>
      <c r="BS452" s="10"/>
      <c r="BT452" s="10"/>
      <c r="BU452" s="10"/>
      <c r="BV452" s="10"/>
      <c r="BW452" s="10"/>
      <c r="BX452" s="10"/>
      <c r="BY452" s="10"/>
      <c r="BZ452" s="10"/>
      <c r="CA452" s="10"/>
      <c r="CB452" s="10"/>
      <c r="CC452" s="10"/>
      <c r="CD452" s="10"/>
      <c r="CE452" s="10"/>
      <c r="CF452" s="10"/>
      <c r="CG452" s="10"/>
      <c r="CH452" s="10"/>
      <c r="CI452" s="10"/>
      <c r="CJ452" s="10"/>
      <c r="CK452" s="10"/>
      <c r="CL452" s="10"/>
      <c r="CM452" s="10"/>
      <c r="CN452" s="10"/>
      <c r="CO452" s="10"/>
    </row>
    <row r="453" spans="1:93">
      <c r="A453" s="10"/>
      <c r="B453" s="10"/>
      <c r="C453" s="17" t="s">
        <v>386</v>
      </c>
      <c r="D453" s="10"/>
      <c r="E453" s="184">
        <f xml:space="preserve"> Предпосылки!E370</f>
        <v>30</v>
      </c>
      <c r="F453" s="11"/>
      <c r="G453" s="11" t="s">
        <v>123</v>
      </c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  <c r="BA453" s="10"/>
      <c r="BB453" s="10"/>
      <c r="BC453" s="10"/>
      <c r="BD453" s="10"/>
      <c r="BE453" s="10"/>
      <c r="BF453" s="10"/>
      <c r="BG453" s="10"/>
      <c r="BH453" s="10"/>
      <c r="BI453" s="10"/>
      <c r="BJ453" s="10"/>
      <c r="BK453" s="10"/>
      <c r="BL453" s="10"/>
      <c r="BM453" s="10"/>
      <c r="BN453" s="10"/>
      <c r="BO453" s="10"/>
      <c r="BP453" s="10"/>
      <c r="BQ453" s="10"/>
      <c r="BR453" s="10"/>
      <c r="BS453" s="10"/>
      <c r="BT453" s="10"/>
      <c r="BU453" s="10"/>
      <c r="BV453" s="10"/>
      <c r="BW453" s="10"/>
      <c r="BX453" s="10"/>
      <c r="BY453" s="10"/>
      <c r="BZ453" s="10"/>
      <c r="CA453" s="10"/>
      <c r="CB453" s="10"/>
      <c r="CC453" s="10"/>
      <c r="CD453" s="10"/>
      <c r="CE453" s="10"/>
      <c r="CF453" s="10"/>
      <c r="CG453" s="10"/>
      <c r="CH453" s="10"/>
      <c r="CI453" s="10"/>
      <c r="CJ453" s="10"/>
      <c r="CK453" s="10"/>
      <c r="CL453" s="10"/>
      <c r="CM453" s="10"/>
      <c r="CN453" s="10"/>
      <c r="CO453" s="10"/>
    </row>
    <row r="454" spans="1:93">
      <c r="A454" s="10"/>
      <c r="B454" s="10"/>
      <c r="C454" s="17" t="s">
        <v>387</v>
      </c>
      <c r="D454" s="10"/>
      <c r="E454" s="182"/>
      <c r="F454" s="42"/>
      <c r="G454" s="11" t="s">
        <v>28</v>
      </c>
      <c r="H454" s="10"/>
      <c r="I454" s="10"/>
      <c r="J454" s="10"/>
      <c r="K454" s="10"/>
      <c r="L454" s="157">
        <f t="shared" ref="L454:AQ454" si="685" xml:space="preserve"> IF($E453&lt;&gt;0,1/$E453,0)/Periods_in_Year</f>
        <v>8.3333333333333332E-3</v>
      </c>
      <c r="M454" s="157">
        <f t="shared" si="685"/>
        <v>8.3333333333333332E-3</v>
      </c>
      <c r="N454" s="157">
        <f t="shared" si="685"/>
        <v>8.3333333333333332E-3</v>
      </c>
      <c r="O454" s="157">
        <f t="shared" si="685"/>
        <v>8.3333333333333332E-3</v>
      </c>
      <c r="P454" s="157">
        <f t="shared" si="685"/>
        <v>8.3333333333333332E-3</v>
      </c>
      <c r="Q454" s="157">
        <f t="shared" si="685"/>
        <v>8.3333333333333332E-3</v>
      </c>
      <c r="R454" s="157">
        <f t="shared" si="685"/>
        <v>8.3333333333333332E-3</v>
      </c>
      <c r="S454" s="157">
        <f t="shared" si="685"/>
        <v>8.3333333333333332E-3</v>
      </c>
      <c r="T454" s="157">
        <f t="shared" si="685"/>
        <v>8.3333333333333332E-3</v>
      </c>
      <c r="U454" s="157">
        <f t="shared" si="685"/>
        <v>8.3333333333333332E-3</v>
      </c>
      <c r="V454" s="157">
        <f t="shared" si="685"/>
        <v>8.3333333333333332E-3</v>
      </c>
      <c r="W454" s="157">
        <f t="shared" si="685"/>
        <v>8.3333333333333332E-3</v>
      </c>
      <c r="X454" s="157">
        <f t="shared" si="685"/>
        <v>8.3333333333333332E-3</v>
      </c>
      <c r="Y454" s="157">
        <f t="shared" si="685"/>
        <v>8.3333333333333332E-3</v>
      </c>
      <c r="Z454" s="157">
        <f t="shared" si="685"/>
        <v>8.3333333333333332E-3</v>
      </c>
      <c r="AA454" s="157">
        <f t="shared" si="685"/>
        <v>8.3333333333333332E-3</v>
      </c>
      <c r="AB454" s="157">
        <f t="shared" si="685"/>
        <v>8.3333333333333332E-3</v>
      </c>
      <c r="AC454" s="157">
        <f t="shared" si="685"/>
        <v>8.3333333333333332E-3</v>
      </c>
      <c r="AD454" s="157">
        <f t="shared" si="685"/>
        <v>8.3333333333333332E-3</v>
      </c>
      <c r="AE454" s="157">
        <f t="shared" si="685"/>
        <v>8.3333333333333332E-3</v>
      </c>
      <c r="AF454" s="157">
        <f t="shared" si="685"/>
        <v>8.3333333333333332E-3</v>
      </c>
      <c r="AG454" s="157">
        <f t="shared" si="685"/>
        <v>8.3333333333333332E-3</v>
      </c>
      <c r="AH454" s="157">
        <f t="shared" si="685"/>
        <v>8.3333333333333332E-3</v>
      </c>
      <c r="AI454" s="157">
        <f t="shared" si="685"/>
        <v>8.3333333333333332E-3</v>
      </c>
      <c r="AJ454" s="157">
        <f t="shared" si="685"/>
        <v>8.3333333333333332E-3</v>
      </c>
      <c r="AK454" s="157">
        <f t="shared" si="685"/>
        <v>8.3333333333333332E-3</v>
      </c>
      <c r="AL454" s="157">
        <f t="shared" si="685"/>
        <v>8.3333333333333332E-3</v>
      </c>
      <c r="AM454" s="157">
        <f t="shared" si="685"/>
        <v>8.3333333333333332E-3</v>
      </c>
      <c r="AN454" s="157">
        <f t="shared" si="685"/>
        <v>8.3333333333333332E-3</v>
      </c>
      <c r="AO454" s="157">
        <f t="shared" si="685"/>
        <v>8.3333333333333332E-3</v>
      </c>
      <c r="AP454" s="157">
        <f t="shared" si="685"/>
        <v>8.3333333333333332E-3</v>
      </c>
      <c r="AQ454" s="157">
        <f t="shared" si="685"/>
        <v>8.3333333333333332E-3</v>
      </c>
      <c r="AR454" s="157">
        <f t="shared" ref="AR454:BW454" si="686" xml:space="preserve"> IF($E453&lt;&gt;0,1/$E453,0)/Periods_in_Year</f>
        <v>8.3333333333333332E-3</v>
      </c>
      <c r="AS454" s="157">
        <f t="shared" si="686"/>
        <v>8.3333333333333332E-3</v>
      </c>
      <c r="AT454" s="157">
        <f t="shared" si="686"/>
        <v>8.3333333333333332E-3</v>
      </c>
      <c r="AU454" s="157">
        <f t="shared" si="686"/>
        <v>8.3333333333333332E-3</v>
      </c>
      <c r="AV454" s="157">
        <f t="shared" si="686"/>
        <v>8.3333333333333332E-3</v>
      </c>
      <c r="AW454" s="157">
        <f t="shared" si="686"/>
        <v>8.3333333333333332E-3</v>
      </c>
      <c r="AX454" s="157">
        <f t="shared" si="686"/>
        <v>8.3333333333333332E-3</v>
      </c>
      <c r="AY454" s="157">
        <f t="shared" si="686"/>
        <v>8.3333333333333332E-3</v>
      </c>
      <c r="AZ454" s="157">
        <f t="shared" si="686"/>
        <v>8.3333333333333332E-3</v>
      </c>
      <c r="BA454" s="157">
        <f t="shared" si="686"/>
        <v>8.3333333333333332E-3</v>
      </c>
      <c r="BB454" s="157">
        <f t="shared" si="686"/>
        <v>8.3333333333333332E-3</v>
      </c>
      <c r="BC454" s="157">
        <f t="shared" si="686"/>
        <v>8.3333333333333332E-3</v>
      </c>
      <c r="BD454" s="157">
        <f t="shared" si="686"/>
        <v>8.3333333333333332E-3</v>
      </c>
      <c r="BE454" s="157">
        <f t="shared" si="686"/>
        <v>8.3333333333333332E-3</v>
      </c>
      <c r="BF454" s="157">
        <f t="shared" si="686"/>
        <v>8.3333333333333332E-3</v>
      </c>
      <c r="BG454" s="157">
        <f t="shared" si="686"/>
        <v>8.3333333333333332E-3</v>
      </c>
      <c r="BH454" s="157">
        <f t="shared" si="686"/>
        <v>8.3333333333333332E-3</v>
      </c>
      <c r="BI454" s="157">
        <f t="shared" si="686"/>
        <v>8.3333333333333332E-3</v>
      </c>
      <c r="BJ454" s="157">
        <f t="shared" si="686"/>
        <v>8.3333333333333332E-3</v>
      </c>
      <c r="BK454" s="157">
        <f t="shared" si="686"/>
        <v>8.3333333333333332E-3</v>
      </c>
      <c r="BL454" s="157">
        <f t="shared" si="686"/>
        <v>8.3333333333333332E-3</v>
      </c>
      <c r="BM454" s="157">
        <f t="shared" si="686"/>
        <v>8.3333333333333332E-3</v>
      </c>
      <c r="BN454" s="157">
        <f t="shared" si="686"/>
        <v>8.3333333333333332E-3</v>
      </c>
      <c r="BO454" s="157">
        <f t="shared" si="686"/>
        <v>8.3333333333333332E-3</v>
      </c>
      <c r="BP454" s="157">
        <f t="shared" si="686"/>
        <v>8.3333333333333332E-3</v>
      </c>
      <c r="BQ454" s="157">
        <f t="shared" si="686"/>
        <v>8.3333333333333332E-3</v>
      </c>
      <c r="BR454" s="157">
        <f t="shared" si="686"/>
        <v>8.3333333333333332E-3</v>
      </c>
      <c r="BS454" s="157">
        <f t="shared" si="686"/>
        <v>8.3333333333333332E-3</v>
      </c>
      <c r="BT454" s="157">
        <f t="shared" si="686"/>
        <v>8.3333333333333332E-3</v>
      </c>
      <c r="BU454" s="157">
        <f t="shared" si="686"/>
        <v>8.3333333333333332E-3</v>
      </c>
      <c r="BV454" s="157">
        <f t="shared" si="686"/>
        <v>8.3333333333333332E-3</v>
      </c>
      <c r="BW454" s="157">
        <f t="shared" si="686"/>
        <v>8.3333333333333332E-3</v>
      </c>
      <c r="BX454" s="157">
        <f t="shared" ref="BX454:CO454" si="687" xml:space="preserve"> IF($E453&lt;&gt;0,1/$E453,0)/Periods_in_Year</f>
        <v>8.3333333333333332E-3</v>
      </c>
      <c r="BY454" s="157">
        <f t="shared" si="687"/>
        <v>8.3333333333333332E-3</v>
      </c>
      <c r="BZ454" s="157">
        <f t="shared" si="687"/>
        <v>8.3333333333333332E-3</v>
      </c>
      <c r="CA454" s="157">
        <f t="shared" si="687"/>
        <v>8.3333333333333332E-3</v>
      </c>
      <c r="CB454" s="157">
        <f t="shared" si="687"/>
        <v>8.3333333333333332E-3</v>
      </c>
      <c r="CC454" s="157">
        <f t="shared" si="687"/>
        <v>8.3333333333333332E-3</v>
      </c>
      <c r="CD454" s="157">
        <f t="shared" si="687"/>
        <v>8.3333333333333332E-3</v>
      </c>
      <c r="CE454" s="157">
        <f t="shared" si="687"/>
        <v>8.3333333333333332E-3</v>
      </c>
      <c r="CF454" s="157">
        <f t="shared" si="687"/>
        <v>8.3333333333333332E-3</v>
      </c>
      <c r="CG454" s="157">
        <f t="shared" si="687"/>
        <v>8.3333333333333332E-3</v>
      </c>
      <c r="CH454" s="157">
        <f t="shared" si="687"/>
        <v>8.3333333333333332E-3</v>
      </c>
      <c r="CI454" s="157">
        <f t="shared" si="687"/>
        <v>8.3333333333333332E-3</v>
      </c>
      <c r="CJ454" s="157">
        <f t="shared" si="687"/>
        <v>8.3333333333333332E-3</v>
      </c>
      <c r="CK454" s="157">
        <f t="shared" si="687"/>
        <v>8.3333333333333332E-3</v>
      </c>
      <c r="CL454" s="157">
        <f t="shared" si="687"/>
        <v>8.3333333333333332E-3</v>
      </c>
      <c r="CM454" s="157">
        <f t="shared" si="687"/>
        <v>8.3333333333333332E-3</v>
      </c>
      <c r="CN454" s="157">
        <f t="shared" si="687"/>
        <v>8.3333333333333332E-3</v>
      </c>
      <c r="CO454" s="157">
        <f t="shared" si="687"/>
        <v>8.3333333333333332E-3</v>
      </c>
    </row>
    <row r="455" spans="1:93">
      <c r="A455" s="10"/>
      <c r="B455" s="10"/>
      <c r="C455" s="17" t="s">
        <v>125</v>
      </c>
      <c r="D455" s="10"/>
      <c r="E455" s="62"/>
      <c r="F455" s="11"/>
      <c r="G455" s="134" t="str">
        <f t="shared" ref="G455:G461" si="688">Monetary_Unit</f>
        <v>тыс. руб.</v>
      </c>
      <c r="H455" s="10"/>
      <c r="I455" s="10"/>
      <c r="J455" s="10"/>
      <c r="K455" s="10"/>
      <c r="L455" s="52">
        <f t="shared" ref="L455:R455" si="689" xml:space="preserve"> K461</f>
        <v>0</v>
      </c>
      <c r="M455" s="52">
        <f t="shared" ca="1" si="689"/>
        <v>0</v>
      </c>
      <c r="N455" s="52">
        <f t="shared" ca="1" si="689"/>
        <v>0</v>
      </c>
      <c r="O455" s="52">
        <f t="shared" ca="1" si="689"/>
        <v>0</v>
      </c>
      <c r="P455" s="52">
        <f t="shared" ca="1" si="689"/>
        <v>0</v>
      </c>
      <c r="Q455" s="52">
        <f t="shared" ca="1" si="689"/>
        <v>0</v>
      </c>
      <c r="R455" s="52">
        <f t="shared" ca="1" si="689"/>
        <v>0</v>
      </c>
      <c r="S455" s="52">
        <f ca="1" xml:space="preserve"> R461</f>
        <v>0</v>
      </c>
      <c r="T455" s="52">
        <f t="shared" ref="T455:CE455" ca="1" si="690" xml:space="preserve"> S461</f>
        <v>0</v>
      </c>
      <c r="U455" s="52">
        <f t="shared" ca="1" si="690"/>
        <v>0</v>
      </c>
      <c r="V455" s="52">
        <f t="shared" ca="1" si="690"/>
        <v>0</v>
      </c>
      <c r="W455" s="52">
        <f t="shared" ca="1" si="690"/>
        <v>0</v>
      </c>
      <c r="X455" s="52">
        <f t="shared" ca="1" si="690"/>
        <v>0</v>
      </c>
      <c r="Y455" s="52">
        <f t="shared" ca="1" si="690"/>
        <v>0</v>
      </c>
      <c r="Z455" s="52">
        <f t="shared" ca="1" si="690"/>
        <v>0</v>
      </c>
      <c r="AA455" s="52">
        <f t="shared" ca="1" si="690"/>
        <v>0</v>
      </c>
      <c r="AB455" s="52">
        <f t="shared" ca="1" si="690"/>
        <v>0</v>
      </c>
      <c r="AC455" s="52">
        <f t="shared" ca="1" si="690"/>
        <v>0</v>
      </c>
      <c r="AD455" s="52">
        <f t="shared" ca="1" si="690"/>
        <v>0</v>
      </c>
      <c r="AE455" s="52">
        <f t="shared" ca="1" si="690"/>
        <v>0</v>
      </c>
      <c r="AF455" s="52">
        <f t="shared" ca="1" si="690"/>
        <v>0</v>
      </c>
      <c r="AG455" s="52">
        <f t="shared" ca="1" si="690"/>
        <v>0</v>
      </c>
      <c r="AH455" s="52">
        <f t="shared" ca="1" si="690"/>
        <v>0</v>
      </c>
      <c r="AI455" s="52">
        <f t="shared" ca="1" si="690"/>
        <v>0</v>
      </c>
      <c r="AJ455" s="52">
        <f t="shared" ca="1" si="690"/>
        <v>0</v>
      </c>
      <c r="AK455" s="52">
        <f t="shared" ca="1" si="690"/>
        <v>0</v>
      </c>
      <c r="AL455" s="52">
        <f t="shared" ca="1" si="690"/>
        <v>0</v>
      </c>
      <c r="AM455" s="52">
        <f t="shared" ca="1" si="690"/>
        <v>0</v>
      </c>
      <c r="AN455" s="52">
        <f t="shared" ca="1" si="690"/>
        <v>0</v>
      </c>
      <c r="AO455" s="52">
        <f t="shared" ca="1" si="690"/>
        <v>0</v>
      </c>
      <c r="AP455" s="52">
        <f t="shared" ca="1" si="690"/>
        <v>0</v>
      </c>
      <c r="AQ455" s="52">
        <f t="shared" ca="1" si="690"/>
        <v>0</v>
      </c>
      <c r="AR455" s="52">
        <f t="shared" ca="1" si="690"/>
        <v>0</v>
      </c>
      <c r="AS455" s="52">
        <f t="shared" ca="1" si="690"/>
        <v>0</v>
      </c>
      <c r="AT455" s="52">
        <f t="shared" ca="1" si="690"/>
        <v>0</v>
      </c>
      <c r="AU455" s="52">
        <f t="shared" ca="1" si="690"/>
        <v>0</v>
      </c>
      <c r="AV455" s="52">
        <f t="shared" ca="1" si="690"/>
        <v>0</v>
      </c>
      <c r="AW455" s="52">
        <f t="shared" ca="1" si="690"/>
        <v>0</v>
      </c>
      <c r="AX455" s="52">
        <f t="shared" ca="1" si="690"/>
        <v>0</v>
      </c>
      <c r="AY455" s="52">
        <f t="shared" ca="1" si="690"/>
        <v>0</v>
      </c>
      <c r="AZ455" s="52">
        <f t="shared" ca="1" si="690"/>
        <v>0</v>
      </c>
      <c r="BA455" s="52">
        <f t="shared" ca="1" si="690"/>
        <v>0</v>
      </c>
      <c r="BB455" s="52">
        <f t="shared" ca="1" si="690"/>
        <v>0</v>
      </c>
      <c r="BC455" s="52">
        <f t="shared" ca="1" si="690"/>
        <v>0</v>
      </c>
      <c r="BD455" s="52">
        <f t="shared" ca="1" si="690"/>
        <v>0</v>
      </c>
      <c r="BE455" s="52">
        <f t="shared" ca="1" si="690"/>
        <v>0</v>
      </c>
      <c r="BF455" s="52">
        <f t="shared" ca="1" si="690"/>
        <v>0</v>
      </c>
      <c r="BG455" s="52">
        <f t="shared" ca="1" si="690"/>
        <v>0</v>
      </c>
      <c r="BH455" s="52">
        <f t="shared" ca="1" si="690"/>
        <v>0</v>
      </c>
      <c r="BI455" s="52">
        <f t="shared" ca="1" si="690"/>
        <v>0</v>
      </c>
      <c r="BJ455" s="52">
        <f t="shared" ca="1" si="690"/>
        <v>0</v>
      </c>
      <c r="BK455" s="52">
        <f t="shared" ca="1" si="690"/>
        <v>0</v>
      </c>
      <c r="BL455" s="52">
        <f t="shared" ca="1" si="690"/>
        <v>0</v>
      </c>
      <c r="BM455" s="52">
        <f t="shared" ca="1" si="690"/>
        <v>0</v>
      </c>
      <c r="BN455" s="52">
        <f t="shared" ca="1" si="690"/>
        <v>0</v>
      </c>
      <c r="BO455" s="52">
        <f t="shared" ca="1" si="690"/>
        <v>0</v>
      </c>
      <c r="BP455" s="52">
        <f t="shared" ca="1" si="690"/>
        <v>0</v>
      </c>
      <c r="BQ455" s="52">
        <f t="shared" ca="1" si="690"/>
        <v>0</v>
      </c>
      <c r="BR455" s="52">
        <f t="shared" ca="1" si="690"/>
        <v>0</v>
      </c>
      <c r="BS455" s="52">
        <f t="shared" ca="1" si="690"/>
        <v>0</v>
      </c>
      <c r="BT455" s="52">
        <f t="shared" ca="1" si="690"/>
        <v>0</v>
      </c>
      <c r="BU455" s="52">
        <f t="shared" ca="1" si="690"/>
        <v>0</v>
      </c>
      <c r="BV455" s="52">
        <f t="shared" ca="1" si="690"/>
        <v>0</v>
      </c>
      <c r="BW455" s="52">
        <f t="shared" ca="1" si="690"/>
        <v>0</v>
      </c>
      <c r="BX455" s="52">
        <f t="shared" ca="1" si="690"/>
        <v>0</v>
      </c>
      <c r="BY455" s="52">
        <f t="shared" ca="1" si="690"/>
        <v>0</v>
      </c>
      <c r="BZ455" s="52">
        <f t="shared" ca="1" si="690"/>
        <v>0</v>
      </c>
      <c r="CA455" s="52">
        <f t="shared" ca="1" si="690"/>
        <v>0</v>
      </c>
      <c r="CB455" s="52">
        <f t="shared" ca="1" si="690"/>
        <v>0</v>
      </c>
      <c r="CC455" s="52">
        <f t="shared" ca="1" si="690"/>
        <v>0</v>
      </c>
      <c r="CD455" s="52">
        <f t="shared" ca="1" si="690"/>
        <v>0</v>
      </c>
      <c r="CE455" s="52">
        <f t="shared" ca="1" si="690"/>
        <v>0</v>
      </c>
      <c r="CF455" s="52">
        <f t="shared" ref="CF455:CO455" ca="1" si="691" xml:space="preserve"> CE461</f>
        <v>0</v>
      </c>
      <c r="CG455" s="52">
        <f t="shared" ca="1" si="691"/>
        <v>0</v>
      </c>
      <c r="CH455" s="52">
        <f t="shared" ca="1" si="691"/>
        <v>0</v>
      </c>
      <c r="CI455" s="52">
        <f t="shared" ca="1" si="691"/>
        <v>0</v>
      </c>
      <c r="CJ455" s="52">
        <f t="shared" ca="1" si="691"/>
        <v>0</v>
      </c>
      <c r="CK455" s="52">
        <f t="shared" ca="1" si="691"/>
        <v>0</v>
      </c>
      <c r="CL455" s="52">
        <f t="shared" ca="1" si="691"/>
        <v>0</v>
      </c>
      <c r="CM455" s="52">
        <f t="shared" ca="1" si="691"/>
        <v>0</v>
      </c>
      <c r="CN455" s="52">
        <f t="shared" ca="1" si="691"/>
        <v>0</v>
      </c>
      <c r="CO455" s="52">
        <f t="shared" ca="1" si="691"/>
        <v>0</v>
      </c>
    </row>
    <row r="456" spans="1:93">
      <c r="A456" s="10"/>
      <c r="B456" s="10"/>
      <c r="C456" s="17" t="s">
        <v>126</v>
      </c>
      <c r="D456" s="10"/>
      <c r="E456" s="62"/>
      <c r="F456" s="11"/>
      <c r="G456" s="134" t="str">
        <f t="shared" si="688"/>
        <v>тыс. руб.</v>
      </c>
      <c r="H456" s="10"/>
      <c r="I456" s="23">
        <f ca="1">SUM(L456:CO456)</f>
        <v>0</v>
      </c>
      <c r="J456" s="10"/>
      <c r="K456" s="10"/>
      <c r="L456" s="52">
        <f ca="1" xml:space="preserve"> SUM(L$328,L$330) * $E345 + L457</f>
        <v>0</v>
      </c>
      <c r="M456" s="52">
        <f t="shared" ref="M456:BX456" ca="1" si="692" xml:space="preserve"> SUM(M$328,M$330) * $E345 + M457</f>
        <v>0</v>
      </c>
      <c r="N456" s="52">
        <f t="shared" ca="1" si="692"/>
        <v>0</v>
      </c>
      <c r="O456" s="52">
        <f t="shared" ca="1" si="692"/>
        <v>0</v>
      </c>
      <c r="P456" s="52">
        <f t="shared" ca="1" si="692"/>
        <v>0</v>
      </c>
      <c r="Q456" s="52">
        <f t="shared" ca="1" si="692"/>
        <v>0</v>
      </c>
      <c r="R456" s="52">
        <f t="shared" ca="1" si="692"/>
        <v>0</v>
      </c>
      <c r="S456" s="52">
        <f t="shared" ca="1" si="692"/>
        <v>0</v>
      </c>
      <c r="T456" s="52">
        <f t="shared" ca="1" si="692"/>
        <v>0</v>
      </c>
      <c r="U456" s="52">
        <f t="shared" ca="1" si="692"/>
        <v>0</v>
      </c>
      <c r="V456" s="52">
        <f t="shared" ca="1" si="692"/>
        <v>0</v>
      </c>
      <c r="W456" s="52">
        <f t="shared" ca="1" si="692"/>
        <v>0</v>
      </c>
      <c r="X456" s="52">
        <f t="shared" ca="1" si="692"/>
        <v>0</v>
      </c>
      <c r="Y456" s="52">
        <f t="shared" ca="1" si="692"/>
        <v>0</v>
      </c>
      <c r="Z456" s="52">
        <f t="shared" ca="1" si="692"/>
        <v>0</v>
      </c>
      <c r="AA456" s="52">
        <f t="shared" ca="1" si="692"/>
        <v>0</v>
      </c>
      <c r="AB456" s="52">
        <f t="shared" ca="1" si="692"/>
        <v>0</v>
      </c>
      <c r="AC456" s="52">
        <f t="shared" ca="1" si="692"/>
        <v>0</v>
      </c>
      <c r="AD456" s="52">
        <f t="shared" ca="1" si="692"/>
        <v>0</v>
      </c>
      <c r="AE456" s="52">
        <f t="shared" ca="1" si="692"/>
        <v>0</v>
      </c>
      <c r="AF456" s="52">
        <f t="shared" ca="1" si="692"/>
        <v>0</v>
      </c>
      <c r="AG456" s="52">
        <f t="shared" ca="1" si="692"/>
        <v>0</v>
      </c>
      <c r="AH456" s="52">
        <f t="shared" ca="1" si="692"/>
        <v>0</v>
      </c>
      <c r="AI456" s="52">
        <f t="shared" ca="1" si="692"/>
        <v>0</v>
      </c>
      <c r="AJ456" s="52">
        <f t="shared" ca="1" si="692"/>
        <v>0</v>
      </c>
      <c r="AK456" s="52">
        <f t="shared" ca="1" si="692"/>
        <v>0</v>
      </c>
      <c r="AL456" s="52">
        <f t="shared" ca="1" si="692"/>
        <v>0</v>
      </c>
      <c r="AM456" s="52">
        <f t="shared" ca="1" si="692"/>
        <v>0</v>
      </c>
      <c r="AN456" s="52">
        <f t="shared" ca="1" si="692"/>
        <v>0</v>
      </c>
      <c r="AO456" s="52">
        <f t="shared" ca="1" si="692"/>
        <v>0</v>
      </c>
      <c r="AP456" s="52">
        <f t="shared" ca="1" si="692"/>
        <v>0</v>
      </c>
      <c r="AQ456" s="52">
        <f t="shared" ca="1" si="692"/>
        <v>0</v>
      </c>
      <c r="AR456" s="52">
        <f t="shared" ca="1" si="692"/>
        <v>0</v>
      </c>
      <c r="AS456" s="52">
        <f t="shared" ca="1" si="692"/>
        <v>0</v>
      </c>
      <c r="AT456" s="52">
        <f t="shared" ca="1" si="692"/>
        <v>0</v>
      </c>
      <c r="AU456" s="52">
        <f t="shared" ca="1" si="692"/>
        <v>0</v>
      </c>
      <c r="AV456" s="52">
        <f t="shared" ca="1" si="692"/>
        <v>0</v>
      </c>
      <c r="AW456" s="52">
        <f t="shared" ca="1" si="692"/>
        <v>0</v>
      </c>
      <c r="AX456" s="52">
        <f t="shared" ca="1" si="692"/>
        <v>0</v>
      </c>
      <c r="AY456" s="52">
        <f t="shared" ca="1" si="692"/>
        <v>0</v>
      </c>
      <c r="AZ456" s="52">
        <f t="shared" ca="1" si="692"/>
        <v>0</v>
      </c>
      <c r="BA456" s="52">
        <f t="shared" ca="1" si="692"/>
        <v>0</v>
      </c>
      <c r="BB456" s="52">
        <f t="shared" ca="1" si="692"/>
        <v>0</v>
      </c>
      <c r="BC456" s="52">
        <f t="shared" ca="1" si="692"/>
        <v>0</v>
      </c>
      <c r="BD456" s="52">
        <f t="shared" ca="1" si="692"/>
        <v>0</v>
      </c>
      <c r="BE456" s="52">
        <f t="shared" ca="1" si="692"/>
        <v>0</v>
      </c>
      <c r="BF456" s="52">
        <f t="shared" ca="1" si="692"/>
        <v>0</v>
      </c>
      <c r="BG456" s="52">
        <f t="shared" ca="1" si="692"/>
        <v>0</v>
      </c>
      <c r="BH456" s="52">
        <f t="shared" ca="1" si="692"/>
        <v>0</v>
      </c>
      <c r="BI456" s="52">
        <f t="shared" ca="1" si="692"/>
        <v>0</v>
      </c>
      <c r="BJ456" s="52">
        <f t="shared" ca="1" si="692"/>
        <v>0</v>
      </c>
      <c r="BK456" s="52">
        <f t="shared" ca="1" si="692"/>
        <v>0</v>
      </c>
      <c r="BL456" s="52">
        <f t="shared" ca="1" si="692"/>
        <v>0</v>
      </c>
      <c r="BM456" s="52">
        <f t="shared" ca="1" si="692"/>
        <v>0</v>
      </c>
      <c r="BN456" s="52">
        <f t="shared" ca="1" si="692"/>
        <v>0</v>
      </c>
      <c r="BO456" s="52">
        <f t="shared" ca="1" si="692"/>
        <v>0</v>
      </c>
      <c r="BP456" s="52">
        <f t="shared" ca="1" si="692"/>
        <v>0</v>
      </c>
      <c r="BQ456" s="52">
        <f t="shared" ca="1" si="692"/>
        <v>0</v>
      </c>
      <c r="BR456" s="52">
        <f t="shared" ca="1" si="692"/>
        <v>0</v>
      </c>
      <c r="BS456" s="52">
        <f t="shared" ca="1" si="692"/>
        <v>0</v>
      </c>
      <c r="BT456" s="52">
        <f t="shared" ca="1" si="692"/>
        <v>0</v>
      </c>
      <c r="BU456" s="52">
        <f t="shared" ca="1" si="692"/>
        <v>0</v>
      </c>
      <c r="BV456" s="52">
        <f t="shared" ca="1" si="692"/>
        <v>0</v>
      </c>
      <c r="BW456" s="52">
        <f t="shared" ca="1" si="692"/>
        <v>0</v>
      </c>
      <c r="BX456" s="52">
        <f t="shared" ca="1" si="692"/>
        <v>0</v>
      </c>
      <c r="BY456" s="52">
        <f t="shared" ref="BY456:CO456" ca="1" si="693" xml:space="preserve"> SUM(BY$328,BY$330) * $E345 + BY457</f>
        <v>0</v>
      </c>
      <c r="BZ456" s="52">
        <f t="shared" ca="1" si="693"/>
        <v>0</v>
      </c>
      <c r="CA456" s="52">
        <f t="shared" ca="1" si="693"/>
        <v>0</v>
      </c>
      <c r="CB456" s="52">
        <f t="shared" ca="1" si="693"/>
        <v>0</v>
      </c>
      <c r="CC456" s="52">
        <f t="shared" ca="1" si="693"/>
        <v>0</v>
      </c>
      <c r="CD456" s="52">
        <f t="shared" ca="1" si="693"/>
        <v>0</v>
      </c>
      <c r="CE456" s="52">
        <f t="shared" ca="1" si="693"/>
        <v>0</v>
      </c>
      <c r="CF456" s="52">
        <f t="shared" ca="1" si="693"/>
        <v>0</v>
      </c>
      <c r="CG456" s="52">
        <f t="shared" ca="1" si="693"/>
        <v>0</v>
      </c>
      <c r="CH456" s="52">
        <f t="shared" ca="1" si="693"/>
        <v>0</v>
      </c>
      <c r="CI456" s="52">
        <f t="shared" ca="1" si="693"/>
        <v>0</v>
      </c>
      <c r="CJ456" s="52">
        <f t="shared" ca="1" si="693"/>
        <v>0</v>
      </c>
      <c r="CK456" s="52">
        <f t="shared" ca="1" si="693"/>
        <v>0</v>
      </c>
      <c r="CL456" s="52">
        <f t="shared" ca="1" si="693"/>
        <v>0</v>
      </c>
      <c r="CM456" s="52">
        <f t="shared" ca="1" si="693"/>
        <v>0</v>
      </c>
      <c r="CN456" s="52">
        <f t="shared" ca="1" si="693"/>
        <v>0</v>
      </c>
      <c r="CO456" s="52">
        <f t="shared" ca="1" si="693"/>
        <v>0</v>
      </c>
    </row>
    <row r="457" spans="1:93">
      <c r="A457" s="10"/>
      <c r="B457" s="10"/>
      <c r="C457" s="17" t="s">
        <v>129</v>
      </c>
      <c r="D457" s="10"/>
      <c r="E457" s="178">
        <f>Предпосылки!E375</f>
        <v>0.1</v>
      </c>
      <c r="F457" s="11"/>
      <c r="G457" s="134" t="str">
        <f t="shared" si="688"/>
        <v>тыс. руб.</v>
      </c>
      <c r="H457" s="10"/>
      <c r="I457" s="23">
        <f ca="1">SUM(L457:CO457)</f>
        <v>0</v>
      </c>
      <c r="J457" s="10"/>
      <c r="K457" s="10"/>
      <c r="L457" s="52">
        <f ca="1" xml:space="preserve"> - SUM(K$328,K$330) * $E345 * $E457</f>
        <v>0</v>
      </c>
      <c r="M457" s="52">
        <f t="shared" ref="M457:BX457" ca="1" si="694" xml:space="preserve"> - SUM(L$328,L$330) * $E345 * $E457</f>
        <v>0</v>
      </c>
      <c r="N457" s="52">
        <f t="shared" ca="1" si="694"/>
        <v>0</v>
      </c>
      <c r="O457" s="52">
        <f t="shared" ca="1" si="694"/>
        <v>0</v>
      </c>
      <c r="P457" s="52">
        <f t="shared" ca="1" si="694"/>
        <v>0</v>
      </c>
      <c r="Q457" s="52">
        <f t="shared" ca="1" si="694"/>
        <v>0</v>
      </c>
      <c r="R457" s="52">
        <f t="shared" ca="1" si="694"/>
        <v>0</v>
      </c>
      <c r="S457" s="52">
        <f t="shared" ca="1" si="694"/>
        <v>0</v>
      </c>
      <c r="T457" s="52">
        <f t="shared" ca="1" si="694"/>
        <v>0</v>
      </c>
      <c r="U457" s="52">
        <f t="shared" ca="1" si="694"/>
        <v>0</v>
      </c>
      <c r="V457" s="52">
        <f t="shared" ca="1" si="694"/>
        <v>0</v>
      </c>
      <c r="W457" s="52">
        <f t="shared" ca="1" si="694"/>
        <v>0</v>
      </c>
      <c r="X457" s="52">
        <f t="shared" ca="1" si="694"/>
        <v>0</v>
      </c>
      <c r="Y457" s="52">
        <f t="shared" ca="1" si="694"/>
        <v>0</v>
      </c>
      <c r="Z457" s="52">
        <f t="shared" ca="1" si="694"/>
        <v>0</v>
      </c>
      <c r="AA457" s="52">
        <f t="shared" ca="1" si="694"/>
        <v>0</v>
      </c>
      <c r="AB457" s="52">
        <f t="shared" ca="1" si="694"/>
        <v>0</v>
      </c>
      <c r="AC457" s="52">
        <f t="shared" ca="1" si="694"/>
        <v>0</v>
      </c>
      <c r="AD457" s="52">
        <f t="shared" ca="1" si="694"/>
        <v>0</v>
      </c>
      <c r="AE457" s="52">
        <f t="shared" ca="1" si="694"/>
        <v>0</v>
      </c>
      <c r="AF457" s="52">
        <f t="shared" ca="1" si="694"/>
        <v>0</v>
      </c>
      <c r="AG457" s="52">
        <f t="shared" ca="1" si="694"/>
        <v>0</v>
      </c>
      <c r="AH457" s="52">
        <f t="shared" ca="1" si="694"/>
        <v>0</v>
      </c>
      <c r="AI457" s="52">
        <f t="shared" ca="1" si="694"/>
        <v>0</v>
      </c>
      <c r="AJ457" s="52">
        <f t="shared" ca="1" si="694"/>
        <v>0</v>
      </c>
      <c r="AK457" s="52">
        <f t="shared" ca="1" si="694"/>
        <v>0</v>
      </c>
      <c r="AL457" s="52">
        <f t="shared" ca="1" si="694"/>
        <v>0</v>
      </c>
      <c r="AM457" s="52">
        <f t="shared" ca="1" si="694"/>
        <v>0</v>
      </c>
      <c r="AN457" s="52">
        <f t="shared" ca="1" si="694"/>
        <v>0</v>
      </c>
      <c r="AO457" s="52">
        <f t="shared" ca="1" si="694"/>
        <v>0</v>
      </c>
      <c r="AP457" s="52">
        <f t="shared" ca="1" si="694"/>
        <v>0</v>
      </c>
      <c r="AQ457" s="52">
        <f t="shared" ca="1" si="694"/>
        <v>0</v>
      </c>
      <c r="AR457" s="52">
        <f t="shared" ca="1" si="694"/>
        <v>0</v>
      </c>
      <c r="AS457" s="52">
        <f t="shared" ca="1" si="694"/>
        <v>0</v>
      </c>
      <c r="AT457" s="52">
        <f t="shared" ca="1" si="694"/>
        <v>0</v>
      </c>
      <c r="AU457" s="52">
        <f t="shared" ca="1" si="694"/>
        <v>0</v>
      </c>
      <c r="AV457" s="52">
        <f t="shared" ca="1" si="694"/>
        <v>0</v>
      </c>
      <c r="AW457" s="52">
        <f t="shared" ca="1" si="694"/>
        <v>0</v>
      </c>
      <c r="AX457" s="52">
        <f t="shared" ca="1" si="694"/>
        <v>0</v>
      </c>
      <c r="AY457" s="52">
        <f t="shared" ca="1" si="694"/>
        <v>0</v>
      </c>
      <c r="AZ457" s="52">
        <f t="shared" ca="1" si="694"/>
        <v>0</v>
      </c>
      <c r="BA457" s="52">
        <f t="shared" ca="1" si="694"/>
        <v>0</v>
      </c>
      <c r="BB457" s="52">
        <f t="shared" ca="1" si="694"/>
        <v>0</v>
      </c>
      <c r="BC457" s="52">
        <f t="shared" ca="1" si="694"/>
        <v>0</v>
      </c>
      <c r="BD457" s="52">
        <f t="shared" ca="1" si="694"/>
        <v>0</v>
      </c>
      <c r="BE457" s="52">
        <f t="shared" ca="1" si="694"/>
        <v>0</v>
      </c>
      <c r="BF457" s="52">
        <f t="shared" ca="1" si="694"/>
        <v>0</v>
      </c>
      <c r="BG457" s="52">
        <f t="shared" ca="1" si="694"/>
        <v>0</v>
      </c>
      <c r="BH457" s="52">
        <f t="shared" ca="1" si="694"/>
        <v>0</v>
      </c>
      <c r="BI457" s="52">
        <f t="shared" ca="1" si="694"/>
        <v>0</v>
      </c>
      <c r="BJ457" s="52">
        <f t="shared" ca="1" si="694"/>
        <v>0</v>
      </c>
      <c r="BK457" s="52">
        <f t="shared" ca="1" si="694"/>
        <v>0</v>
      </c>
      <c r="BL457" s="52">
        <f t="shared" ca="1" si="694"/>
        <v>0</v>
      </c>
      <c r="BM457" s="52">
        <f t="shared" ca="1" si="694"/>
        <v>0</v>
      </c>
      <c r="BN457" s="52">
        <f t="shared" ca="1" si="694"/>
        <v>0</v>
      </c>
      <c r="BO457" s="52">
        <f t="shared" ca="1" si="694"/>
        <v>0</v>
      </c>
      <c r="BP457" s="52">
        <f t="shared" ca="1" si="694"/>
        <v>0</v>
      </c>
      <c r="BQ457" s="52">
        <f t="shared" ca="1" si="694"/>
        <v>0</v>
      </c>
      <c r="BR457" s="52">
        <f t="shared" ca="1" si="694"/>
        <v>0</v>
      </c>
      <c r="BS457" s="52">
        <f t="shared" ca="1" si="694"/>
        <v>0</v>
      </c>
      <c r="BT457" s="52">
        <f t="shared" ca="1" si="694"/>
        <v>0</v>
      </c>
      <c r="BU457" s="52">
        <f t="shared" ca="1" si="694"/>
        <v>0</v>
      </c>
      <c r="BV457" s="52">
        <f t="shared" ca="1" si="694"/>
        <v>0</v>
      </c>
      <c r="BW457" s="52">
        <f t="shared" ca="1" si="694"/>
        <v>0</v>
      </c>
      <c r="BX457" s="52">
        <f t="shared" ca="1" si="694"/>
        <v>0</v>
      </c>
      <c r="BY457" s="52">
        <f t="shared" ref="BY457:CO457" ca="1" si="695" xml:space="preserve"> - SUM(BX$328,BX$330) * $E345 * $E457</f>
        <v>0</v>
      </c>
      <c r="BZ457" s="52">
        <f t="shared" ca="1" si="695"/>
        <v>0</v>
      </c>
      <c r="CA457" s="52">
        <f t="shared" ca="1" si="695"/>
        <v>0</v>
      </c>
      <c r="CB457" s="52">
        <f t="shared" ca="1" si="695"/>
        <v>0</v>
      </c>
      <c r="CC457" s="52">
        <f t="shared" ca="1" si="695"/>
        <v>0</v>
      </c>
      <c r="CD457" s="52">
        <f t="shared" ca="1" si="695"/>
        <v>0</v>
      </c>
      <c r="CE457" s="52">
        <f t="shared" ca="1" si="695"/>
        <v>0</v>
      </c>
      <c r="CF457" s="52">
        <f t="shared" ca="1" si="695"/>
        <v>0</v>
      </c>
      <c r="CG457" s="52">
        <f t="shared" ca="1" si="695"/>
        <v>0</v>
      </c>
      <c r="CH457" s="52">
        <f t="shared" ca="1" si="695"/>
        <v>0</v>
      </c>
      <c r="CI457" s="52">
        <f t="shared" ca="1" si="695"/>
        <v>0</v>
      </c>
      <c r="CJ457" s="52">
        <f t="shared" ca="1" si="695"/>
        <v>0</v>
      </c>
      <c r="CK457" s="52">
        <f t="shared" ca="1" si="695"/>
        <v>0</v>
      </c>
      <c r="CL457" s="52">
        <f t="shared" ca="1" si="695"/>
        <v>0</v>
      </c>
      <c r="CM457" s="52">
        <f t="shared" ca="1" si="695"/>
        <v>0</v>
      </c>
      <c r="CN457" s="52">
        <f t="shared" ca="1" si="695"/>
        <v>0</v>
      </c>
      <c r="CO457" s="52">
        <f t="shared" ca="1" si="695"/>
        <v>0</v>
      </c>
    </row>
    <row r="458" spans="1:93">
      <c r="A458" s="10"/>
      <c r="B458" s="10"/>
      <c r="C458" s="17" t="s">
        <v>388</v>
      </c>
      <c r="D458" s="10"/>
      <c r="E458" s="62"/>
      <c r="F458" s="11"/>
      <c r="G458" s="134" t="str">
        <f t="shared" si="688"/>
        <v>тыс. руб.</v>
      </c>
      <c r="H458" s="10"/>
      <c r="I458" s="10"/>
      <c r="J458" s="10"/>
      <c r="K458" s="10"/>
      <c r="L458" s="52">
        <f t="shared" ref="L458:R458" ca="1" si="696" xml:space="preserve"> L456 + K458</f>
        <v>0</v>
      </c>
      <c r="M458" s="52">
        <f t="shared" ca="1" si="696"/>
        <v>0</v>
      </c>
      <c r="N458" s="52">
        <f t="shared" ca="1" si="696"/>
        <v>0</v>
      </c>
      <c r="O458" s="52">
        <f t="shared" ca="1" si="696"/>
        <v>0</v>
      </c>
      <c r="P458" s="52">
        <f t="shared" ca="1" si="696"/>
        <v>0</v>
      </c>
      <c r="Q458" s="52">
        <f t="shared" ca="1" si="696"/>
        <v>0</v>
      </c>
      <c r="R458" s="52">
        <f t="shared" ca="1" si="696"/>
        <v>0</v>
      </c>
      <c r="S458" s="52">
        <f ca="1" xml:space="preserve"> S456 + R458</f>
        <v>0</v>
      </c>
      <c r="T458" s="52">
        <f t="shared" ref="T458:CE458" ca="1" si="697" xml:space="preserve"> T456 + S458</f>
        <v>0</v>
      </c>
      <c r="U458" s="52">
        <f t="shared" ca="1" si="697"/>
        <v>0</v>
      </c>
      <c r="V458" s="52">
        <f t="shared" ca="1" si="697"/>
        <v>0</v>
      </c>
      <c r="W458" s="52">
        <f t="shared" ca="1" si="697"/>
        <v>0</v>
      </c>
      <c r="X458" s="52">
        <f t="shared" ca="1" si="697"/>
        <v>0</v>
      </c>
      <c r="Y458" s="52">
        <f t="shared" ca="1" si="697"/>
        <v>0</v>
      </c>
      <c r="Z458" s="52">
        <f t="shared" ca="1" si="697"/>
        <v>0</v>
      </c>
      <c r="AA458" s="52">
        <f t="shared" ca="1" si="697"/>
        <v>0</v>
      </c>
      <c r="AB458" s="52">
        <f t="shared" ca="1" si="697"/>
        <v>0</v>
      </c>
      <c r="AC458" s="52">
        <f t="shared" ca="1" si="697"/>
        <v>0</v>
      </c>
      <c r="AD458" s="52">
        <f t="shared" ca="1" si="697"/>
        <v>0</v>
      </c>
      <c r="AE458" s="52">
        <f t="shared" ca="1" si="697"/>
        <v>0</v>
      </c>
      <c r="AF458" s="52">
        <f t="shared" ca="1" si="697"/>
        <v>0</v>
      </c>
      <c r="AG458" s="52">
        <f t="shared" ca="1" si="697"/>
        <v>0</v>
      </c>
      <c r="AH458" s="52">
        <f t="shared" ca="1" si="697"/>
        <v>0</v>
      </c>
      <c r="AI458" s="52">
        <f t="shared" ca="1" si="697"/>
        <v>0</v>
      </c>
      <c r="AJ458" s="52">
        <f t="shared" ca="1" si="697"/>
        <v>0</v>
      </c>
      <c r="AK458" s="52">
        <f t="shared" ca="1" si="697"/>
        <v>0</v>
      </c>
      <c r="AL458" s="52">
        <f t="shared" ca="1" si="697"/>
        <v>0</v>
      </c>
      <c r="AM458" s="52">
        <f t="shared" ca="1" si="697"/>
        <v>0</v>
      </c>
      <c r="AN458" s="52">
        <f t="shared" ca="1" si="697"/>
        <v>0</v>
      </c>
      <c r="AO458" s="52">
        <f t="shared" ca="1" si="697"/>
        <v>0</v>
      </c>
      <c r="AP458" s="52">
        <f t="shared" ca="1" si="697"/>
        <v>0</v>
      </c>
      <c r="AQ458" s="52">
        <f t="shared" ca="1" si="697"/>
        <v>0</v>
      </c>
      <c r="AR458" s="52">
        <f t="shared" ca="1" si="697"/>
        <v>0</v>
      </c>
      <c r="AS458" s="52">
        <f t="shared" ca="1" si="697"/>
        <v>0</v>
      </c>
      <c r="AT458" s="52">
        <f t="shared" ca="1" si="697"/>
        <v>0</v>
      </c>
      <c r="AU458" s="52">
        <f t="shared" ca="1" si="697"/>
        <v>0</v>
      </c>
      <c r="AV458" s="52">
        <f t="shared" ca="1" si="697"/>
        <v>0</v>
      </c>
      <c r="AW458" s="52">
        <f t="shared" ca="1" si="697"/>
        <v>0</v>
      </c>
      <c r="AX458" s="52">
        <f t="shared" ca="1" si="697"/>
        <v>0</v>
      </c>
      <c r="AY458" s="52">
        <f t="shared" ca="1" si="697"/>
        <v>0</v>
      </c>
      <c r="AZ458" s="52">
        <f t="shared" ca="1" si="697"/>
        <v>0</v>
      </c>
      <c r="BA458" s="52">
        <f t="shared" ca="1" si="697"/>
        <v>0</v>
      </c>
      <c r="BB458" s="52">
        <f t="shared" ca="1" si="697"/>
        <v>0</v>
      </c>
      <c r="BC458" s="52">
        <f t="shared" ca="1" si="697"/>
        <v>0</v>
      </c>
      <c r="BD458" s="52">
        <f t="shared" ca="1" si="697"/>
        <v>0</v>
      </c>
      <c r="BE458" s="52">
        <f t="shared" ca="1" si="697"/>
        <v>0</v>
      </c>
      <c r="BF458" s="52">
        <f t="shared" ca="1" si="697"/>
        <v>0</v>
      </c>
      <c r="BG458" s="52">
        <f t="shared" ca="1" si="697"/>
        <v>0</v>
      </c>
      <c r="BH458" s="52">
        <f t="shared" ca="1" si="697"/>
        <v>0</v>
      </c>
      <c r="BI458" s="52">
        <f t="shared" ca="1" si="697"/>
        <v>0</v>
      </c>
      <c r="BJ458" s="52">
        <f t="shared" ca="1" si="697"/>
        <v>0</v>
      </c>
      <c r="BK458" s="52">
        <f t="shared" ca="1" si="697"/>
        <v>0</v>
      </c>
      <c r="BL458" s="52">
        <f t="shared" ca="1" si="697"/>
        <v>0</v>
      </c>
      <c r="BM458" s="52">
        <f t="shared" ca="1" si="697"/>
        <v>0</v>
      </c>
      <c r="BN458" s="52">
        <f t="shared" ca="1" si="697"/>
        <v>0</v>
      </c>
      <c r="BO458" s="52">
        <f t="shared" ca="1" si="697"/>
        <v>0</v>
      </c>
      <c r="BP458" s="52">
        <f t="shared" ca="1" si="697"/>
        <v>0</v>
      </c>
      <c r="BQ458" s="52">
        <f t="shared" ca="1" si="697"/>
        <v>0</v>
      </c>
      <c r="BR458" s="52">
        <f t="shared" ca="1" si="697"/>
        <v>0</v>
      </c>
      <c r="BS458" s="52">
        <f t="shared" ca="1" si="697"/>
        <v>0</v>
      </c>
      <c r="BT458" s="52">
        <f t="shared" ca="1" si="697"/>
        <v>0</v>
      </c>
      <c r="BU458" s="52">
        <f t="shared" ca="1" si="697"/>
        <v>0</v>
      </c>
      <c r="BV458" s="52">
        <f t="shared" ca="1" si="697"/>
        <v>0</v>
      </c>
      <c r="BW458" s="52">
        <f t="shared" ca="1" si="697"/>
        <v>0</v>
      </c>
      <c r="BX458" s="52">
        <f t="shared" ca="1" si="697"/>
        <v>0</v>
      </c>
      <c r="BY458" s="52">
        <f t="shared" ca="1" si="697"/>
        <v>0</v>
      </c>
      <c r="BZ458" s="52">
        <f t="shared" ca="1" si="697"/>
        <v>0</v>
      </c>
      <c r="CA458" s="52">
        <f t="shared" ca="1" si="697"/>
        <v>0</v>
      </c>
      <c r="CB458" s="52">
        <f t="shared" ca="1" si="697"/>
        <v>0</v>
      </c>
      <c r="CC458" s="52">
        <f t="shared" ca="1" si="697"/>
        <v>0</v>
      </c>
      <c r="CD458" s="52">
        <f t="shared" ca="1" si="697"/>
        <v>0</v>
      </c>
      <c r="CE458" s="52">
        <f t="shared" ca="1" si="697"/>
        <v>0</v>
      </c>
      <c r="CF458" s="52">
        <f t="shared" ref="CF458:CO458" ca="1" si="698" xml:space="preserve"> CF456 + CE458</f>
        <v>0</v>
      </c>
      <c r="CG458" s="52">
        <f t="shared" ca="1" si="698"/>
        <v>0</v>
      </c>
      <c r="CH458" s="52">
        <f t="shared" ca="1" si="698"/>
        <v>0</v>
      </c>
      <c r="CI458" s="52">
        <f t="shared" ca="1" si="698"/>
        <v>0</v>
      </c>
      <c r="CJ458" s="52">
        <f t="shared" ca="1" si="698"/>
        <v>0</v>
      </c>
      <c r="CK458" s="52">
        <f t="shared" ca="1" si="698"/>
        <v>0</v>
      </c>
      <c r="CL458" s="52">
        <f t="shared" ca="1" si="698"/>
        <v>0</v>
      </c>
      <c r="CM458" s="52">
        <f t="shared" ca="1" si="698"/>
        <v>0</v>
      </c>
      <c r="CN458" s="52">
        <f t="shared" ca="1" si="698"/>
        <v>0</v>
      </c>
      <c r="CO458" s="52">
        <f t="shared" ca="1" si="698"/>
        <v>0</v>
      </c>
    </row>
    <row r="459" spans="1:93">
      <c r="A459" s="10"/>
      <c r="B459" s="10"/>
      <c r="C459" s="17" t="s">
        <v>389</v>
      </c>
      <c r="D459" s="10"/>
      <c r="E459" s="62"/>
      <c r="F459" s="11"/>
      <c r="G459" s="134" t="str">
        <f t="shared" si="688"/>
        <v>тыс. руб.</v>
      </c>
      <c r="H459" s="10"/>
      <c r="I459" s="23">
        <f ca="1">SUM(L459:CO459)</f>
        <v>0</v>
      </c>
      <c r="J459" s="10"/>
      <c r="K459" s="10"/>
      <c r="L459" s="52">
        <f t="shared" ref="L459:AQ459" ca="1" si="699" xml:space="preserve"> MIN(L458*L454,K461)</f>
        <v>0</v>
      </c>
      <c r="M459" s="52">
        <f t="shared" ca="1" si="699"/>
        <v>0</v>
      </c>
      <c r="N459" s="52">
        <f t="shared" ca="1" si="699"/>
        <v>0</v>
      </c>
      <c r="O459" s="52">
        <f t="shared" ca="1" si="699"/>
        <v>0</v>
      </c>
      <c r="P459" s="52">
        <f t="shared" ca="1" si="699"/>
        <v>0</v>
      </c>
      <c r="Q459" s="52">
        <f t="shared" ca="1" si="699"/>
        <v>0</v>
      </c>
      <c r="R459" s="52">
        <f t="shared" ca="1" si="699"/>
        <v>0</v>
      </c>
      <c r="S459" s="52">
        <f t="shared" ca="1" si="699"/>
        <v>0</v>
      </c>
      <c r="T459" s="52">
        <f t="shared" ca="1" si="699"/>
        <v>0</v>
      </c>
      <c r="U459" s="52">
        <f t="shared" ca="1" si="699"/>
        <v>0</v>
      </c>
      <c r="V459" s="52">
        <f t="shared" ca="1" si="699"/>
        <v>0</v>
      </c>
      <c r="W459" s="52">
        <f t="shared" ca="1" si="699"/>
        <v>0</v>
      </c>
      <c r="X459" s="52">
        <f t="shared" ca="1" si="699"/>
        <v>0</v>
      </c>
      <c r="Y459" s="52">
        <f t="shared" ca="1" si="699"/>
        <v>0</v>
      </c>
      <c r="Z459" s="52">
        <f t="shared" ca="1" si="699"/>
        <v>0</v>
      </c>
      <c r="AA459" s="52">
        <f t="shared" ca="1" si="699"/>
        <v>0</v>
      </c>
      <c r="AB459" s="52">
        <f t="shared" ca="1" si="699"/>
        <v>0</v>
      </c>
      <c r="AC459" s="52">
        <f t="shared" ca="1" si="699"/>
        <v>0</v>
      </c>
      <c r="AD459" s="52">
        <f t="shared" ca="1" si="699"/>
        <v>0</v>
      </c>
      <c r="AE459" s="52">
        <f t="shared" ca="1" si="699"/>
        <v>0</v>
      </c>
      <c r="AF459" s="52">
        <f t="shared" ca="1" si="699"/>
        <v>0</v>
      </c>
      <c r="AG459" s="52">
        <f t="shared" ca="1" si="699"/>
        <v>0</v>
      </c>
      <c r="AH459" s="52">
        <f t="shared" ca="1" si="699"/>
        <v>0</v>
      </c>
      <c r="AI459" s="52">
        <f t="shared" ca="1" si="699"/>
        <v>0</v>
      </c>
      <c r="AJ459" s="52">
        <f t="shared" ca="1" si="699"/>
        <v>0</v>
      </c>
      <c r="AK459" s="52">
        <f t="shared" ca="1" si="699"/>
        <v>0</v>
      </c>
      <c r="AL459" s="52">
        <f t="shared" ca="1" si="699"/>
        <v>0</v>
      </c>
      <c r="AM459" s="52">
        <f t="shared" ca="1" si="699"/>
        <v>0</v>
      </c>
      <c r="AN459" s="52">
        <f t="shared" ca="1" si="699"/>
        <v>0</v>
      </c>
      <c r="AO459" s="52">
        <f t="shared" ca="1" si="699"/>
        <v>0</v>
      </c>
      <c r="AP459" s="52">
        <f t="shared" ca="1" si="699"/>
        <v>0</v>
      </c>
      <c r="AQ459" s="52">
        <f t="shared" ca="1" si="699"/>
        <v>0</v>
      </c>
      <c r="AR459" s="52">
        <f t="shared" ref="AR459:BW459" ca="1" si="700" xml:space="preserve"> MIN(AR458*AR454,AQ461)</f>
        <v>0</v>
      </c>
      <c r="AS459" s="52">
        <f t="shared" ca="1" si="700"/>
        <v>0</v>
      </c>
      <c r="AT459" s="52">
        <f t="shared" ca="1" si="700"/>
        <v>0</v>
      </c>
      <c r="AU459" s="52">
        <f t="shared" ca="1" si="700"/>
        <v>0</v>
      </c>
      <c r="AV459" s="52">
        <f t="shared" ca="1" si="700"/>
        <v>0</v>
      </c>
      <c r="AW459" s="52">
        <f t="shared" ca="1" si="700"/>
        <v>0</v>
      </c>
      <c r="AX459" s="52">
        <f t="shared" ca="1" si="700"/>
        <v>0</v>
      </c>
      <c r="AY459" s="52">
        <f t="shared" ca="1" si="700"/>
        <v>0</v>
      </c>
      <c r="AZ459" s="52">
        <f t="shared" ca="1" si="700"/>
        <v>0</v>
      </c>
      <c r="BA459" s="52">
        <f t="shared" ca="1" si="700"/>
        <v>0</v>
      </c>
      <c r="BB459" s="52">
        <f t="shared" ca="1" si="700"/>
        <v>0</v>
      </c>
      <c r="BC459" s="52">
        <f t="shared" ca="1" si="700"/>
        <v>0</v>
      </c>
      <c r="BD459" s="52">
        <f t="shared" ca="1" si="700"/>
        <v>0</v>
      </c>
      <c r="BE459" s="52">
        <f t="shared" ca="1" si="700"/>
        <v>0</v>
      </c>
      <c r="BF459" s="52">
        <f t="shared" ca="1" si="700"/>
        <v>0</v>
      </c>
      <c r="BG459" s="52">
        <f t="shared" ca="1" si="700"/>
        <v>0</v>
      </c>
      <c r="BH459" s="52">
        <f t="shared" ca="1" si="700"/>
        <v>0</v>
      </c>
      <c r="BI459" s="52">
        <f t="shared" ca="1" si="700"/>
        <v>0</v>
      </c>
      <c r="BJ459" s="52">
        <f t="shared" ca="1" si="700"/>
        <v>0</v>
      </c>
      <c r="BK459" s="52">
        <f t="shared" ca="1" si="700"/>
        <v>0</v>
      </c>
      <c r="BL459" s="52">
        <f t="shared" ca="1" si="700"/>
        <v>0</v>
      </c>
      <c r="BM459" s="52">
        <f t="shared" ca="1" si="700"/>
        <v>0</v>
      </c>
      <c r="BN459" s="52">
        <f t="shared" ca="1" si="700"/>
        <v>0</v>
      </c>
      <c r="BO459" s="52">
        <f t="shared" ca="1" si="700"/>
        <v>0</v>
      </c>
      <c r="BP459" s="52">
        <f t="shared" ca="1" si="700"/>
        <v>0</v>
      </c>
      <c r="BQ459" s="52">
        <f t="shared" ca="1" si="700"/>
        <v>0</v>
      </c>
      <c r="BR459" s="52">
        <f t="shared" ca="1" si="700"/>
        <v>0</v>
      </c>
      <c r="BS459" s="52">
        <f t="shared" ca="1" si="700"/>
        <v>0</v>
      </c>
      <c r="BT459" s="52">
        <f t="shared" ca="1" si="700"/>
        <v>0</v>
      </c>
      <c r="BU459" s="52">
        <f t="shared" ca="1" si="700"/>
        <v>0</v>
      </c>
      <c r="BV459" s="52">
        <f t="shared" ca="1" si="700"/>
        <v>0</v>
      </c>
      <c r="BW459" s="52">
        <f t="shared" ca="1" si="700"/>
        <v>0</v>
      </c>
      <c r="BX459" s="52">
        <f t="shared" ref="BX459:CO459" ca="1" si="701" xml:space="preserve"> MIN(BX458*BX454,BW461)</f>
        <v>0</v>
      </c>
      <c r="BY459" s="52">
        <f t="shared" ca="1" si="701"/>
        <v>0</v>
      </c>
      <c r="BZ459" s="52">
        <f t="shared" ca="1" si="701"/>
        <v>0</v>
      </c>
      <c r="CA459" s="52">
        <f t="shared" ca="1" si="701"/>
        <v>0</v>
      </c>
      <c r="CB459" s="52">
        <f t="shared" ca="1" si="701"/>
        <v>0</v>
      </c>
      <c r="CC459" s="52">
        <f t="shared" ca="1" si="701"/>
        <v>0</v>
      </c>
      <c r="CD459" s="52">
        <f t="shared" ca="1" si="701"/>
        <v>0</v>
      </c>
      <c r="CE459" s="52">
        <f t="shared" ca="1" si="701"/>
        <v>0</v>
      </c>
      <c r="CF459" s="52">
        <f t="shared" ca="1" si="701"/>
        <v>0</v>
      </c>
      <c r="CG459" s="52">
        <f t="shared" ca="1" si="701"/>
        <v>0</v>
      </c>
      <c r="CH459" s="52">
        <f t="shared" ca="1" si="701"/>
        <v>0</v>
      </c>
      <c r="CI459" s="52">
        <f t="shared" ca="1" si="701"/>
        <v>0</v>
      </c>
      <c r="CJ459" s="52">
        <f t="shared" ca="1" si="701"/>
        <v>0</v>
      </c>
      <c r="CK459" s="52">
        <f t="shared" ca="1" si="701"/>
        <v>0</v>
      </c>
      <c r="CL459" s="52">
        <f t="shared" ca="1" si="701"/>
        <v>0</v>
      </c>
      <c r="CM459" s="52">
        <f t="shared" ca="1" si="701"/>
        <v>0</v>
      </c>
      <c r="CN459" s="52">
        <f t="shared" ca="1" si="701"/>
        <v>0</v>
      </c>
      <c r="CO459" s="52">
        <f t="shared" ca="1" si="701"/>
        <v>0</v>
      </c>
    </row>
    <row r="460" spans="1:93">
      <c r="A460" s="10"/>
      <c r="B460" s="10"/>
      <c r="C460" s="17" t="s">
        <v>127</v>
      </c>
      <c r="D460" s="10"/>
      <c r="E460" s="62"/>
      <c r="F460" s="11"/>
      <c r="G460" s="134" t="str">
        <f t="shared" si="688"/>
        <v>тыс. руб.</v>
      </c>
      <c r="H460" s="10"/>
      <c r="I460" s="10"/>
      <c r="J460" s="10"/>
      <c r="K460" s="10"/>
      <c r="L460" s="52">
        <f t="shared" ref="L460:AQ460" ca="1" si="702" xml:space="preserve"> SUM(K460,-L459)</f>
        <v>0</v>
      </c>
      <c r="M460" s="52">
        <f t="shared" ca="1" si="702"/>
        <v>0</v>
      </c>
      <c r="N460" s="52">
        <f t="shared" ca="1" si="702"/>
        <v>0</v>
      </c>
      <c r="O460" s="52">
        <f t="shared" ca="1" si="702"/>
        <v>0</v>
      </c>
      <c r="P460" s="52">
        <f t="shared" ca="1" si="702"/>
        <v>0</v>
      </c>
      <c r="Q460" s="52">
        <f t="shared" ca="1" si="702"/>
        <v>0</v>
      </c>
      <c r="R460" s="52">
        <f t="shared" ca="1" si="702"/>
        <v>0</v>
      </c>
      <c r="S460" s="52">
        <f t="shared" ca="1" si="702"/>
        <v>0</v>
      </c>
      <c r="T460" s="52">
        <f t="shared" ca="1" si="702"/>
        <v>0</v>
      </c>
      <c r="U460" s="52">
        <f t="shared" ca="1" si="702"/>
        <v>0</v>
      </c>
      <c r="V460" s="52">
        <f t="shared" ca="1" si="702"/>
        <v>0</v>
      </c>
      <c r="W460" s="52">
        <f t="shared" ca="1" si="702"/>
        <v>0</v>
      </c>
      <c r="X460" s="52">
        <f t="shared" ca="1" si="702"/>
        <v>0</v>
      </c>
      <c r="Y460" s="52">
        <f t="shared" ca="1" si="702"/>
        <v>0</v>
      </c>
      <c r="Z460" s="52">
        <f t="shared" ca="1" si="702"/>
        <v>0</v>
      </c>
      <c r="AA460" s="52">
        <f t="shared" ca="1" si="702"/>
        <v>0</v>
      </c>
      <c r="AB460" s="52">
        <f t="shared" ca="1" si="702"/>
        <v>0</v>
      </c>
      <c r="AC460" s="52">
        <f t="shared" ca="1" si="702"/>
        <v>0</v>
      </c>
      <c r="AD460" s="52">
        <f t="shared" ca="1" si="702"/>
        <v>0</v>
      </c>
      <c r="AE460" s="52">
        <f t="shared" ca="1" si="702"/>
        <v>0</v>
      </c>
      <c r="AF460" s="52">
        <f t="shared" ca="1" si="702"/>
        <v>0</v>
      </c>
      <c r="AG460" s="52">
        <f t="shared" ca="1" si="702"/>
        <v>0</v>
      </c>
      <c r="AH460" s="52">
        <f t="shared" ca="1" si="702"/>
        <v>0</v>
      </c>
      <c r="AI460" s="52">
        <f t="shared" ca="1" si="702"/>
        <v>0</v>
      </c>
      <c r="AJ460" s="52">
        <f t="shared" ca="1" si="702"/>
        <v>0</v>
      </c>
      <c r="AK460" s="52">
        <f t="shared" ca="1" si="702"/>
        <v>0</v>
      </c>
      <c r="AL460" s="52">
        <f t="shared" ca="1" si="702"/>
        <v>0</v>
      </c>
      <c r="AM460" s="52">
        <f t="shared" ca="1" si="702"/>
        <v>0</v>
      </c>
      <c r="AN460" s="52">
        <f t="shared" ca="1" si="702"/>
        <v>0</v>
      </c>
      <c r="AO460" s="52">
        <f t="shared" ca="1" si="702"/>
        <v>0</v>
      </c>
      <c r="AP460" s="52">
        <f t="shared" ca="1" si="702"/>
        <v>0</v>
      </c>
      <c r="AQ460" s="52">
        <f t="shared" ca="1" si="702"/>
        <v>0</v>
      </c>
      <c r="AR460" s="52">
        <f t="shared" ref="AR460:BW460" ca="1" si="703" xml:space="preserve"> SUM(AQ460,-AR459)</f>
        <v>0</v>
      </c>
      <c r="AS460" s="52">
        <f t="shared" ca="1" si="703"/>
        <v>0</v>
      </c>
      <c r="AT460" s="52">
        <f t="shared" ca="1" si="703"/>
        <v>0</v>
      </c>
      <c r="AU460" s="52">
        <f t="shared" ca="1" si="703"/>
        <v>0</v>
      </c>
      <c r="AV460" s="52">
        <f t="shared" ca="1" si="703"/>
        <v>0</v>
      </c>
      <c r="AW460" s="52">
        <f t="shared" ca="1" si="703"/>
        <v>0</v>
      </c>
      <c r="AX460" s="52">
        <f t="shared" ca="1" si="703"/>
        <v>0</v>
      </c>
      <c r="AY460" s="52">
        <f t="shared" ca="1" si="703"/>
        <v>0</v>
      </c>
      <c r="AZ460" s="52">
        <f t="shared" ca="1" si="703"/>
        <v>0</v>
      </c>
      <c r="BA460" s="52">
        <f t="shared" ca="1" si="703"/>
        <v>0</v>
      </c>
      <c r="BB460" s="52">
        <f t="shared" ca="1" si="703"/>
        <v>0</v>
      </c>
      <c r="BC460" s="52">
        <f t="shared" ca="1" si="703"/>
        <v>0</v>
      </c>
      <c r="BD460" s="52">
        <f t="shared" ca="1" si="703"/>
        <v>0</v>
      </c>
      <c r="BE460" s="52">
        <f t="shared" ca="1" si="703"/>
        <v>0</v>
      </c>
      <c r="BF460" s="52">
        <f t="shared" ca="1" si="703"/>
        <v>0</v>
      </c>
      <c r="BG460" s="52">
        <f t="shared" ca="1" si="703"/>
        <v>0</v>
      </c>
      <c r="BH460" s="52">
        <f t="shared" ca="1" si="703"/>
        <v>0</v>
      </c>
      <c r="BI460" s="52">
        <f t="shared" ca="1" si="703"/>
        <v>0</v>
      </c>
      <c r="BJ460" s="52">
        <f t="shared" ca="1" si="703"/>
        <v>0</v>
      </c>
      <c r="BK460" s="52">
        <f t="shared" ca="1" si="703"/>
        <v>0</v>
      </c>
      <c r="BL460" s="52">
        <f t="shared" ca="1" si="703"/>
        <v>0</v>
      </c>
      <c r="BM460" s="52">
        <f t="shared" ca="1" si="703"/>
        <v>0</v>
      </c>
      <c r="BN460" s="52">
        <f t="shared" ca="1" si="703"/>
        <v>0</v>
      </c>
      <c r="BO460" s="52">
        <f t="shared" ca="1" si="703"/>
        <v>0</v>
      </c>
      <c r="BP460" s="52">
        <f t="shared" ca="1" si="703"/>
        <v>0</v>
      </c>
      <c r="BQ460" s="52">
        <f t="shared" ca="1" si="703"/>
        <v>0</v>
      </c>
      <c r="BR460" s="52">
        <f t="shared" ca="1" si="703"/>
        <v>0</v>
      </c>
      <c r="BS460" s="52">
        <f t="shared" ca="1" si="703"/>
        <v>0</v>
      </c>
      <c r="BT460" s="52">
        <f t="shared" ca="1" si="703"/>
        <v>0</v>
      </c>
      <c r="BU460" s="52">
        <f t="shared" ca="1" si="703"/>
        <v>0</v>
      </c>
      <c r="BV460" s="52">
        <f t="shared" ca="1" si="703"/>
        <v>0</v>
      </c>
      <c r="BW460" s="52">
        <f t="shared" ca="1" si="703"/>
        <v>0</v>
      </c>
      <c r="BX460" s="52">
        <f t="shared" ref="BX460:CO460" ca="1" si="704" xml:space="preserve"> SUM(BW460,-BX459)</f>
        <v>0</v>
      </c>
      <c r="BY460" s="52">
        <f t="shared" ca="1" si="704"/>
        <v>0</v>
      </c>
      <c r="BZ460" s="52">
        <f t="shared" ca="1" si="704"/>
        <v>0</v>
      </c>
      <c r="CA460" s="52">
        <f t="shared" ca="1" si="704"/>
        <v>0</v>
      </c>
      <c r="CB460" s="52">
        <f t="shared" ca="1" si="704"/>
        <v>0</v>
      </c>
      <c r="CC460" s="52">
        <f t="shared" ca="1" si="704"/>
        <v>0</v>
      </c>
      <c r="CD460" s="52">
        <f t="shared" ca="1" si="704"/>
        <v>0</v>
      </c>
      <c r="CE460" s="52">
        <f t="shared" ca="1" si="704"/>
        <v>0</v>
      </c>
      <c r="CF460" s="52">
        <f t="shared" ca="1" si="704"/>
        <v>0</v>
      </c>
      <c r="CG460" s="52">
        <f t="shared" ca="1" si="704"/>
        <v>0</v>
      </c>
      <c r="CH460" s="52">
        <f t="shared" ca="1" si="704"/>
        <v>0</v>
      </c>
      <c r="CI460" s="52">
        <f t="shared" ca="1" si="704"/>
        <v>0</v>
      </c>
      <c r="CJ460" s="52">
        <f t="shared" ca="1" si="704"/>
        <v>0</v>
      </c>
      <c r="CK460" s="52">
        <f t="shared" ca="1" si="704"/>
        <v>0</v>
      </c>
      <c r="CL460" s="52">
        <f t="shared" ca="1" si="704"/>
        <v>0</v>
      </c>
      <c r="CM460" s="52">
        <f t="shared" ca="1" si="704"/>
        <v>0</v>
      </c>
      <c r="CN460" s="52">
        <f t="shared" ca="1" si="704"/>
        <v>0</v>
      </c>
      <c r="CO460" s="52">
        <f t="shared" ca="1" si="704"/>
        <v>0</v>
      </c>
    </row>
    <row r="461" spans="1:93">
      <c r="A461" s="10"/>
      <c r="B461" s="10"/>
      <c r="C461" s="17" t="s">
        <v>128</v>
      </c>
      <c r="D461" s="42"/>
      <c r="E461" s="62"/>
      <c r="F461" s="11"/>
      <c r="G461" s="134" t="str">
        <f t="shared" si="688"/>
        <v>тыс. руб.</v>
      </c>
      <c r="H461" s="10"/>
      <c r="I461" s="10"/>
      <c r="J461" s="10"/>
      <c r="K461" s="10"/>
      <c r="L461" s="52">
        <f t="shared" ref="L461:AQ461" ca="1" si="705" xml:space="preserve"> SUM(L458,L460)</f>
        <v>0</v>
      </c>
      <c r="M461" s="52">
        <f t="shared" ca="1" si="705"/>
        <v>0</v>
      </c>
      <c r="N461" s="52">
        <f t="shared" ca="1" si="705"/>
        <v>0</v>
      </c>
      <c r="O461" s="52">
        <f t="shared" ca="1" si="705"/>
        <v>0</v>
      </c>
      <c r="P461" s="52">
        <f t="shared" ca="1" si="705"/>
        <v>0</v>
      </c>
      <c r="Q461" s="52">
        <f t="shared" ca="1" si="705"/>
        <v>0</v>
      </c>
      <c r="R461" s="52">
        <f t="shared" ca="1" si="705"/>
        <v>0</v>
      </c>
      <c r="S461" s="52">
        <f t="shared" ca="1" si="705"/>
        <v>0</v>
      </c>
      <c r="T461" s="52">
        <f t="shared" ca="1" si="705"/>
        <v>0</v>
      </c>
      <c r="U461" s="52">
        <f t="shared" ca="1" si="705"/>
        <v>0</v>
      </c>
      <c r="V461" s="52">
        <f t="shared" ca="1" si="705"/>
        <v>0</v>
      </c>
      <c r="W461" s="52">
        <f t="shared" ca="1" si="705"/>
        <v>0</v>
      </c>
      <c r="X461" s="52">
        <f t="shared" ca="1" si="705"/>
        <v>0</v>
      </c>
      <c r="Y461" s="52">
        <f t="shared" ca="1" si="705"/>
        <v>0</v>
      </c>
      <c r="Z461" s="52">
        <f t="shared" ca="1" si="705"/>
        <v>0</v>
      </c>
      <c r="AA461" s="52">
        <f t="shared" ca="1" si="705"/>
        <v>0</v>
      </c>
      <c r="AB461" s="52">
        <f t="shared" ca="1" si="705"/>
        <v>0</v>
      </c>
      <c r="AC461" s="52">
        <f t="shared" ca="1" si="705"/>
        <v>0</v>
      </c>
      <c r="AD461" s="52">
        <f t="shared" ca="1" si="705"/>
        <v>0</v>
      </c>
      <c r="AE461" s="52">
        <f t="shared" ca="1" si="705"/>
        <v>0</v>
      </c>
      <c r="AF461" s="52">
        <f t="shared" ca="1" si="705"/>
        <v>0</v>
      </c>
      <c r="AG461" s="52">
        <f t="shared" ca="1" si="705"/>
        <v>0</v>
      </c>
      <c r="AH461" s="52">
        <f t="shared" ca="1" si="705"/>
        <v>0</v>
      </c>
      <c r="AI461" s="52">
        <f t="shared" ca="1" si="705"/>
        <v>0</v>
      </c>
      <c r="AJ461" s="52">
        <f t="shared" ca="1" si="705"/>
        <v>0</v>
      </c>
      <c r="AK461" s="52">
        <f t="shared" ca="1" si="705"/>
        <v>0</v>
      </c>
      <c r="AL461" s="52">
        <f t="shared" ca="1" si="705"/>
        <v>0</v>
      </c>
      <c r="AM461" s="52">
        <f t="shared" ca="1" si="705"/>
        <v>0</v>
      </c>
      <c r="AN461" s="52">
        <f t="shared" ca="1" si="705"/>
        <v>0</v>
      </c>
      <c r="AO461" s="52">
        <f t="shared" ca="1" si="705"/>
        <v>0</v>
      </c>
      <c r="AP461" s="52">
        <f t="shared" ca="1" si="705"/>
        <v>0</v>
      </c>
      <c r="AQ461" s="52">
        <f t="shared" ca="1" si="705"/>
        <v>0</v>
      </c>
      <c r="AR461" s="52">
        <f t="shared" ref="AR461:BW461" ca="1" si="706" xml:space="preserve"> SUM(AR458,AR460)</f>
        <v>0</v>
      </c>
      <c r="AS461" s="52">
        <f t="shared" ca="1" si="706"/>
        <v>0</v>
      </c>
      <c r="AT461" s="52">
        <f t="shared" ca="1" si="706"/>
        <v>0</v>
      </c>
      <c r="AU461" s="52">
        <f t="shared" ca="1" si="706"/>
        <v>0</v>
      </c>
      <c r="AV461" s="52">
        <f t="shared" ca="1" si="706"/>
        <v>0</v>
      </c>
      <c r="AW461" s="52">
        <f t="shared" ca="1" si="706"/>
        <v>0</v>
      </c>
      <c r="AX461" s="52">
        <f t="shared" ca="1" si="706"/>
        <v>0</v>
      </c>
      <c r="AY461" s="52">
        <f t="shared" ca="1" si="706"/>
        <v>0</v>
      </c>
      <c r="AZ461" s="52">
        <f t="shared" ca="1" si="706"/>
        <v>0</v>
      </c>
      <c r="BA461" s="52">
        <f t="shared" ca="1" si="706"/>
        <v>0</v>
      </c>
      <c r="BB461" s="52">
        <f t="shared" ca="1" si="706"/>
        <v>0</v>
      </c>
      <c r="BC461" s="52">
        <f t="shared" ca="1" si="706"/>
        <v>0</v>
      </c>
      <c r="BD461" s="52">
        <f t="shared" ca="1" si="706"/>
        <v>0</v>
      </c>
      <c r="BE461" s="52">
        <f t="shared" ca="1" si="706"/>
        <v>0</v>
      </c>
      <c r="BF461" s="52">
        <f t="shared" ca="1" si="706"/>
        <v>0</v>
      </c>
      <c r="BG461" s="52">
        <f t="shared" ca="1" si="706"/>
        <v>0</v>
      </c>
      <c r="BH461" s="52">
        <f t="shared" ca="1" si="706"/>
        <v>0</v>
      </c>
      <c r="BI461" s="52">
        <f t="shared" ca="1" si="706"/>
        <v>0</v>
      </c>
      <c r="BJ461" s="52">
        <f t="shared" ca="1" si="706"/>
        <v>0</v>
      </c>
      <c r="BK461" s="52">
        <f t="shared" ca="1" si="706"/>
        <v>0</v>
      </c>
      <c r="BL461" s="52">
        <f t="shared" ca="1" si="706"/>
        <v>0</v>
      </c>
      <c r="BM461" s="52">
        <f t="shared" ca="1" si="706"/>
        <v>0</v>
      </c>
      <c r="BN461" s="52">
        <f t="shared" ca="1" si="706"/>
        <v>0</v>
      </c>
      <c r="BO461" s="52">
        <f t="shared" ca="1" si="706"/>
        <v>0</v>
      </c>
      <c r="BP461" s="52">
        <f t="shared" ca="1" si="706"/>
        <v>0</v>
      </c>
      <c r="BQ461" s="52">
        <f t="shared" ca="1" si="706"/>
        <v>0</v>
      </c>
      <c r="BR461" s="52">
        <f t="shared" ca="1" si="706"/>
        <v>0</v>
      </c>
      <c r="BS461" s="52">
        <f t="shared" ca="1" si="706"/>
        <v>0</v>
      </c>
      <c r="BT461" s="52">
        <f t="shared" ca="1" si="706"/>
        <v>0</v>
      </c>
      <c r="BU461" s="52">
        <f t="shared" ca="1" si="706"/>
        <v>0</v>
      </c>
      <c r="BV461" s="52">
        <f t="shared" ca="1" si="706"/>
        <v>0</v>
      </c>
      <c r="BW461" s="52">
        <f t="shared" ca="1" si="706"/>
        <v>0</v>
      </c>
      <c r="BX461" s="52">
        <f t="shared" ref="BX461:CO461" ca="1" si="707" xml:space="preserve"> SUM(BX458,BX460)</f>
        <v>0</v>
      </c>
      <c r="BY461" s="52">
        <f t="shared" ca="1" si="707"/>
        <v>0</v>
      </c>
      <c r="BZ461" s="52">
        <f t="shared" ca="1" si="707"/>
        <v>0</v>
      </c>
      <c r="CA461" s="52">
        <f t="shared" ca="1" si="707"/>
        <v>0</v>
      </c>
      <c r="CB461" s="52">
        <f t="shared" ca="1" si="707"/>
        <v>0</v>
      </c>
      <c r="CC461" s="52">
        <f t="shared" ca="1" si="707"/>
        <v>0</v>
      </c>
      <c r="CD461" s="52">
        <f t="shared" ca="1" si="707"/>
        <v>0</v>
      </c>
      <c r="CE461" s="52">
        <f t="shared" ca="1" si="707"/>
        <v>0</v>
      </c>
      <c r="CF461" s="52">
        <f t="shared" ca="1" si="707"/>
        <v>0</v>
      </c>
      <c r="CG461" s="52">
        <f t="shared" ca="1" si="707"/>
        <v>0</v>
      </c>
      <c r="CH461" s="52">
        <f t="shared" ca="1" si="707"/>
        <v>0</v>
      </c>
      <c r="CI461" s="52">
        <f t="shared" ca="1" si="707"/>
        <v>0</v>
      </c>
      <c r="CJ461" s="52">
        <f t="shared" ca="1" si="707"/>
        <v>0</v>
      </c>
      <c r="CK461" s="52">
        <f t="shared" ca="1" si="707"/>
        <v>0</v>
      </c>
      <c r="CL461" s="52">
        <f t="shared" ca="1" si="707"/>
        <v>0</v>
      </c>
      <c r="CM461" s="52">
        <f t="shared" ca="1" si="707"/>
        <v>0</v>
      </c>
      <c r="CN461" s="52">
        <f t="shared" ca="1" si="707"/>
        <v>0</v>
      </c>
      <c r="CO461" s="52">
        <f t="shared" ca="1" si="707"/>
        <v>0</v>
      </c>
    </row>
    <row r="462" spans="1:93">
      <c r="A462" s="10"/>
      <c r="B462" s="10"/>
      <c r="C462" s="21"/>
      <c r="D462" s="42"/>
      <c r="E462" s="62"/>
      <c r="F462" s="11"/>
      <c r="G462" s="11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  <c r="BA462" s="10"/>
      <c r="BB462" s="10"/>
      <c r="BC462" s="10"/>
      <c r="BD462" s="10"/>
      <c r="BE462" s="10"/>
      <c r="BF462" s="10"/>
      <c r="BG462" s="10"/>
      <c r="BH462" s="10"/>
      <c r="BI462" s="10"/>
      <c r="BJ462" s="10"/>
      <c r="BK462" s="10"/>
      <c r="BL462" s="10"/>
      <c r="BM462" s="10"/>
      <c r="BN462" s="10"/>
      <c r="BO462" s="10"/>
      <c r="BP462" s="10"/>
      <c r="BQ462" s="10"/>
      <c r="BR462" s="10"/>
      <c r="BS462" s="10"/>
      <c r="BT462" s="10"/>
      <c r="BU462" s="10"/>
      <c r="BV462" s="10"/>
      <c r="BW462" s="10"/>
      <c r="BX462" s="10"/>
      <c r="BY462" s="10"/>
      <c r="BZ462" s="10"/>
      <c r="CA462" s="10"/>
      <c r="CB462" s="10"/>
      <c r="CC462" s="10"/>
      <c r="CD462" s="10"/>
      <c r="CE462" s="10"/>
      <c r="CF462" s="10"/>
      <c r="CG462" s="10"/>
      <c r="CH462" s="10"/>
      <c r="CI462" s="10"/>
      <c r="CJ462" s="10"/>
      <c r="CK462" s="10"/>
      <c r="CL462" s="10"/>
      <c r="CM462" s="10"/>
      <c r="CN462" s="10"/>
      <c r="CO462" s="10"/>
    </row>
    <row r="463" spans="1:93">
      <c r="A463" s="10"/>
      <c r="B463" s="10"/>
      <c r="C463" s="87" t="s">
        <v>1063</v>
      </c>
      <c r="D463" s="10"/>
      <c r="E463" s="62"/>
      <c r="F463" s="11"/>
      <c r="G463" s="11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  <c r="BA463" s="10"/>
      <c r="BB463" s="10"/>
      <c r="BC463" s="10"/>
      <c r="BD463" s="10"/>
      <c r="BE463" s="10"/>
      <c r="BF463" s="10"/>
      <c r="BG463" s="10"/>
      <c r="BH463" s="10"/>
      <c r="BI463" s="10"/>
      <c r="BJ463" s="10"/>
      <c r="BK463" s="10"/>
      <c r="BL463" s="10"/>
      <c r="BM463" s="10"/>
      <c r="BN463" s="10"/>
      <c r="BO463" s="10"/>
      <c r="BP463" s="10"/>
      <c r="BQ463" s="10"/>
      <c r="BR463" s="10"/>
      <c r="BS463" s="10"/>
      <c r="BT463" s="10"/>
      <c r="BU463" s="10"/>
      <c r="BV463" s="10"/>
      <c r="BW463" s="10"/>
      <c r="BX463" s="10"/>
      <c r="BY463" s="10"/>
      <c r="BZ463" s="10"/>
      <c r="CA463" s="10"/>
      <c r="CB463" s="10"/>
      <c r="CC463" s="10"/>
      <c r="CD463" s="10"/>
      <c r="CE463" s="10"/>
      <c r="CF463" s="10"/>
      <c r="CG463" s="10"/>
      <c r="CH463" s="10"/>
      <c r="CI463" s="10"/>
      <c r="CJ463" s="10"/>
      <c r="CK463" s="10"/>
      <c r="CL463" s="10"/>
      <c r="CM463" s="10"/>
      <c r="CN463" s="10"/>
      <c r="CO463" s="10"/>
    </row>
    <row r="464" spans="1:93">
      <c r="A464" s="10"/>
      <c r="B464" s="10"/>
      <c r="C464" s="17" t="s">
        <v>386</v>
      </c>
      <c r="D464" s="10"/>
      <c r="E464" s="184">
        <f xml:space="preserve"> Предпосылки!E371</f>
        <v>30</v>
      </c>
      <c r="F464" s="11"/>
      <c r="G464" s="11" t="s">
        <v>123</v>
      </c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0"/>
      <c r="CE464" s="10"/>
      <c r="CF464" s="10"/>
      <c r="CG464" s="10"/>
      <c r="CH464" s="10"/>
      <c r="CI464" s="10"/>
      <c r="CJ464" s="10"/>
      <c r="CK464" s="10"/>
      <c r="CL464" s="10"/>
      <c r="CM464" s="10"/>
      <c r="CN464" s="10"/>
      <c r="CO464" s="10"/>
    </row>
    <row r="465" spans="1:93">
      <c r="A465" s="10"/>
      <c r="B465" s="10"/>
      <c r="C465" s="17" t="s">
        <v>387</v>
      </c>
      <c r="D465" s="10"/>
      <c r="E465" s="182"/>
      <c r="F465" s="42"/>
      <c r="G465" s="11" t="s">
        <v>28</v>
      </c>
      <c r="H465" s="10"/>
      <c r="I465" s="10"/>
      <c r="J465" s="10"/>
      <c r="K465" s="10"/>
      <c r="L465" s="157">
        <f t="shared" ref="L465:AQ465" si="708" xml:space="preserve"> IF($E464&lt;&gt;0,1/$E464,0)/Periods_in_Year</f>
        <v>8.3333333333333332E-3</v>
      </c>
      <c r="M465" s="157">
        <f t="shared" si="708"/>
        <v>8.3333333333333332E-3</v>
      </c>
      <c r="N465" s="157">
        <f t="shared" si="708"/>
        <v>8.3333333333333332E-3</v>
      </c>
      <c r="O465" s="157">
        <f t="shared" si="708"/>
        <v>8.3333333333333332E-3</v>
      </c>
      <c r="P465" s="157">
        <f t="shared" si="708"/>
        <v>8.3333333333333332E-3</v>
      </c>
      <c r="Q465" s="157">
        <f t="shared" si="708"/>
        <v>8.3333333333333332E-3</v>
      </c>
      <c r="R465" s="157">
        <f t="shared" si="708"/>
        <v>8.3333333333333332E-3</v>
      </c>
      <c r="S465" s="157">
        <f t="shared" si="708"/>
        <v>8.3333333333333332E-3</v>
      </c>
      <c r="T465" s="157">
        <f t="shared" si="708"/>
        <v>8.3333333333333332E-3</v>
      </c>
      <c r="U465" s="157">
        <f t="shared" si="708"/>
        <v>8.3333333333333332E-3</v>
      </c>
      <c r="V465" s="157">
        <f t="shared" si="708"/>
        <v>8.3333333333333332E-3</v>
      </c>
      <c r="W465" s="157">
        <f t="shared" si="708"/>
        <v>8.3333333333333332E-3</v>
      </c>
      <c r="X465" s="157">
        <f t="shared" si="708"/>
        <v>8.3333333333333332E-3</v>
      </c>
      <c r="Y465" s="157">
        <f t="shared" si="708"/>
        <v>8.3333333333333332E-3</v>
      </c>
      <c r="Z465" s="157">
        <f t="shared" si="708"/>
        <v>8.3333333333333332E-3</v>
      </c>
      <c r="AA465" s="157">
        <f t="shared" si="708"/>
        <v>8.3333333333333332E-3</v>
      </c>
      <c r="AB465" s="157">
        <f t="shared" si="708"/>
        <v>8.3333333333333332E-3</v>
      </c>
      <c r="AC465" s="157">
        <f t="shared" si="708"/>
        <v>8.3333333333333332E-3</v>
      </c>
      <c r="AD465" s="157">
        <f t="shared" si="708"/>
        <v>8.3333333333333332E-3</v>
      </c>
      <c r="AE465" s="157">
        <f t="shared" si="708"/>
        <v>8.3333333333333332E-3</v>
      </c>
      <c r="AF465" s="157">
        <f t="shared" si="708"/>
        <v>8.3333333333333332E-3</v>
      </c>
      <c r="AG465" s="157">
        <f t="shared" si="708"/>
        <v>8.3333333333333332E-3</v>
      </c>
      <c r="AH465" s="157">
        <f t="shared" si="708"/>
        <v>8.3333333333333332E-3</v>
      </c>
      <c r="AI465" s="157">
        <f t="shared" si="708"/>
        <v>8.3333333333333332E-3</v>
      </c>
      <c r="AJ465" s="157">
        <f t="shared" si="708"/>
        <v>8.3333333333333332E-3</v>
      </c>
      <c r="AK465" s="157">
        <f t="shared" si="708"/>
        <v>8.3333333333333332E-3</v>
      </c>
      <c r="AL465" s="157">
        <f t="shared" si="708"/>
        <v>8.3333333333333332E-3</v>
      </c>
      <c r="AM465" s="157">
        <f t="shared" si="708"/>
        <v>8.3333333333333332E-3</v>
      </c>
      <c r="AN465" s="157">
        <f t="shared" si="708"/>
        <v>8.3333333333333332E-3</v>
      </c>
      <c r="AO465" s="157">
        <f t="shared" si="708"/>
        <v>8.3333333333333332E-3</v>
      </c>
      <c r="AP465" s="157">
        <f t="shared" si="708"/>
        <v>8.3333333333333332E-3</v>
      </c>
      <c r="AQ465" s="157">
        <f t="shared" si="708"/>
        <v>8.3333333333333332E-3</v>
      </c>
      <c r="AR465" s="157">
        <f t="shared" ref="AR465:BW465" si="709" xml:space="preserve"> IF($E464&lt;&gt;0,1/$E464,0)/Periods_in_Year</f>
        <v>8.3333333333333332E-3</v>
      </c>
      <c r="AS465" s="157">
        <f t="shared" si="709"/>
        <v>8.3333333333333332E-3</v>
      </c>
      <c r="AT465" s="157">
        <f t="shared" si="709"/>
        <v>8.3333333333333332E-3</v>
      </c>
      <c r="AU465" s="157">
        <f t="shared" si="709"/>
        <v>8.3333333333333332E-3</v>
      </c>
      <c r="AV465" s="157">
        <f t="shared" si="709"/>
        <v>8.3333333333333332E-3</v>
      </c>
      <c r="AW465" s="157">
        <f t="shared" si="709"/>
        <v>8.3333333333333332E-3</v>
      </c>
      <c r="AX465" s="157">
        <f t="shared" si="709"/>
        <v>8.3333333333333332E-3</v>
      </c>
      <c r="AY465" s="157">
        <f t="shared" si="709"/>
        <v>8.3333333333333332E-3</v>
      </c>
      <c r="AZ465" s="157">
        <f t="shared" si="709"/>
        <v>8.3333333333333332E-3</v>
      </c>
      <c r="BA465" s="157">
        <f t="shared" si="709"/>
        <v>8.3333333333333332E-3</v>
      </c>
      <c r="BB465" s="157">
        <f t="shared" si="709"/>
        <v>8.3333333333333332E-3</v>
      </c>
      <c r="BC465" s="157">
        <f t="shared" si="709"/>
        <v>8.3333333333333332E-3</v>
      </c>
      <c r="BD465" s="157">
        <f t="shared" si="709"/>
        <v>8.3333333333333332E-3</v>
      </c>
      <c r="BE465" s="157">
        <f t="shared" si="709"/>
        <v>8.3333333333333332E-3</v>
      </c>
      <c r="BF465" s="157">
        <f t="shared" si="709"/>
        <v>8.3333333333333332E-3</v>
      </c>
      <c r="BG465" s="157">
        <f t="shared" si="709"/>
        <v>8.3333333333333332E-3</v>
      </c>
      <c r="BH465" s="157">
        <f t="shared" si="709"/>
        <v>8.3333333333333332E-3</v>
      </c>
      <c r="BI465" s="157">
        <f t="shared" si="709"/>
        <v>8.3333333333333332E-3</v>
      </c>
      <c r="BJ465" s="157">
        <f t="shared" si="709"/>
        <v>8.3333333333333332E-3</v>
      </c>
      <c r="BK465" s="157">
        <f t="shared" si="709"/>
        <v>8.3333333333333332E-3</v>
      </c>
      <c r="BL465" s="157">
        <f t="shared" si="709"/>
        <v>8.3333333333333332E-3</v>
      </c>
      <c r="BM465" s="157">
        <f t="shared" si="709"/>
        <v>8.3333333333333332E-3</v>
      </c>
      <c r="BN465" s="157">
        <f t="shared" si="709"/>
        <v>8.3333333333333332E-3</v>
      </c>
      <c r="BO465" s="157">
        <f t="shared" si="709"/>
        <v>8.3333333333333332E-3</v>
      </c>
      <c r="BP465" s="157">
        <f t="shared" si="709"/>
        <v>8.3333333333333332E-3</v>
      </c>
      <c r="BQ465" s="157">
        <f t="shared" si="709"/>
        <v>8.3333333333333332E-3</v>
      </c>
      <c r="BR465" s="157">
        <f t="shared" si="709"/>
        <v>8.3333333333333332E-3</v>
      </c>
      <c r="BS465" s="157">
        <f t="shared" si="709"/>
        <v>8.3333333333333332E-3</v>
      </c>
      <c r="BT465" s="157">
        <f t="shared" si="709"/>
        <v>8.3333333333333332E-3</v>
      </c>
      <c r="BU465" s="157">
        <f t="shared" si="709"/>
        <v>8.3333333333333332E-3</v>
      </c>
      <c r="BV465" s="157">
        <f t="shared" si="709"/>
        <v>8.3333333333333332E-3</v>
      </c>
      <c r="BW465" s="157">
        <f t="shared" si="709"/>
        <v>8.3333333333333332E-3</v>
      </c>
      <c r="BX465" s="157">
        <f t="shared" ref="BX465:CO465" si="710" xml:space="preserve"> IF($E464&lt;&gt;0,1/$E464,0)/Periods_in_Year</f>
        <v>8.3333333333333332E-3</v>
      </c>
      <c r="BY465" s="157">
        <f t="shared" si="710"/>
        <v>8.3333333333333332E-3</v>
      </c>
      <c r="BZ465" s="157">
        <f t="shared" si="710"/>
        <v>8.3333333333333332E-3</v>
      </c>
      <c r="CA465" s="157">
        <f t="shared" si="710"/>
        <v>8.3333333333333332E-3</v>
      </c>
      <c r="CB465" s="157">
        <f t="shared" si="710"/>
        <v>8.3333333333333332E-3</v>
      </c>
      <c r="CC465" s="157">
        <f t="shared" si="710"/>
        <v>8.3333333333333332E-3</v>
      </c>
      <c r="CD465" s="157">
        <f t="shared" si="710"/>
        <v>8.3333333333333332E-3</v>
      </c>
      <c r="CE465" s="157">
        <f t="shared" si="710"/>
        <v>8.3333333333333332E-3</v>
      </c>
      <c r="CF465" s="157">
        <f t="shared" si="710"/>
        <v>8.3333333333333332E-3</v>
      </c>
      <c r="CG465" s="157">
        <f t="shared" si="710"/>
        <v>8.3333333333333332E-3</v>
      </c>
      <c r="CH465" s="157">
        <f t="shared" si="710"/>
        <v>8.3333333333333332E-3</v>
      </c>
      <c r="CI465" s="157">
        <f t="shared" si="710"/>
        <v>8.3333333333333332E-3</v>
      </c>
      <c r="CJ465" s="157">
        <f t="shared" si="710"/>
        <v>8.3333333333333332E-3</v>
      </c>
      <c r="CK465" s="157">
        <f t="shared" si="710"/>
        <v>8.3333333333333332E-3</v>
      </c>
      <c r="CL465" s="157">
        <f t="shared" si="710"/>
        <v>8.3333333333333332E-3</v>
      </c>
      <c r="CM465" s="157">
        <f t="shared" si="710"/>
        <v>8.3333333333333332E-3</v>
      </c>
      <c r="CN465" s="157">
        <f t="shared" si="710"/>
        <v>8.3333333333333332E-3</v>
      </c>
      <c r="CO465" s="157">
        <f t="shared" si="710"/>
        <v>8.3333333333333332E-3</v>
      </c>
    </row>
    <row r="466" spans="1:93">
      <c r="A466" s="10"/>
      <c r="B466" s="10"/>
      <c r="C466" s="17" t="s">
        <v>125</v>
      </c>
      <c r="D466" s="10"/>
      <c r="E466" s="62"/>
      <c r="F466" s="11"/>
      <c r="G466" s="134" t="str">
        <f t="shared" ref="G466:G472" si="711">Monetary_Unit</f>
        <v>тыс. руб.</v>
      </c>
      <c r="H466" s="10"/>
      <c r="I466" s="10"/>
      <c r="J466" s="10"/>
      <c r="K466" s="10"/>
      <c r="L466" s="52">
        <f t="shared" ref="L466:R466" si="712" xml:space="preserve"> K472</f>
        <v>0</v>
      </c>
      <c r="M466" s="52">
        <f t="shared" ca="1" si="712"/>
        <v>0</v>
      </c>
      <c r="N466" s="52">
        <f t="shared" ca="1" si="712"/>
        <v>0</v>
      </c>
      <c r="O466" s="52">
        <f t="shared" ca="1" si="712"/>
        <v>0</v>
      </c>
      <c r="P466" s="52">
        <f t="shared" ca="1" si="712"/>
        <v>0</v>
      </c>
      <c r="Q466" s="52">
        <f t="shared" ca="1" si="712"/>
        <v>0</v>
      </c>
      <c r="R466" s="52">
        <f t="shared" ca="1" si="712"/>
        <v>0</v>
      </c>
      <c r="S466" s="52">
        <f ca="1" xml:space="preserve"> R472</f>
        <v>0</v>
      </c>
      <c r="T466" s="52">
        <f t="shared" ref="T466:CE466" ca="1" si="713" xml:space="preserve"> S472</f>
        <v>0</v>
      </c>
      <c r="U466" s="52">
        <f t="shared" ca="1" si="713"/>
        <v>0</v>
      </c>
      <c r="V466" s="52">
        <f t="shared" ca="1" si="713"/>
        <v>0</v>
      </c>
      <c r="W466" s="52">
        <f t="shared" ca="1" si="713"/>
        <v>0</v>
      </c>
      <c r="X466" s="52">
        <f t="shared" ca="1" si="713"/>
        <v>0</v>
      </c>
      <c r="Y466" s="52">
        <f t="shared" ca="1" si="713"/>
        <v>0</v>
      </c>
      <c r="Z466" s="52">
        <f t="shared" ca="1" si="713"/>
        <v>0</v>
      </c>
      <c r="AA466" s="52">
        <f t="shared" ca="1" si="713"/>
        <v>0</v>
      </c>
      <c r="AB466" s="52">
        <f t="shared" ca="1" si="713"/>
        <v>0</v>
      </c>
      <c r="AC466" s="52">
        <f t="shared" ca="1" si="713"/>
        <v>0</v>
      </c>
      <c r="AD466" s="52">
        <f t="shared" ca="1" si="713"/>
        <v>0</v>
      </c>
      <c r="AE466" s="52">
        <f t="shared" ca="1" si="713"/>
        <v>0</v>
      </c>
      <c r="AF466" s="52">
        <f t="shared" ca="1" si="713"/>
        <v>0</v>
      </c>
      <c r="AG466" s="52">
        <f t="shared" ca="1" si="713"/>
        <v>0</v>
      </c>
      <c r="AH466" s="52">
        <f t="shared" ca="1" si="713"/>
        <v>0</v>
      </c>
      <c r="AI466" s="52">
        <f t="shared" ca="1" si="713"/>
        <v>0</v>
      </c>
      <c r="AJ466" s="52">
        <f t="shared" ca="1" si="713"/>
        <v>0</v>
      </c>
      <c r="AK466" s="52">
        <f t="shared" ca="1" si="713"/>
        <v>0</v>
      </c>
      <c r="AL466" s="52">
        <f t="shared" ca="1" si="713"/>
        <v>0</v>
      </c>
      <c r="AM466" s="52">
        <f t="shared" ca="1" si="713"/>
        <v>0</v>
      </c>
      <c r="AN466" s="52">
        <f t="shared" ca="1" si="713"/>
        <v>0</v>
      </c>
      <c r="AO466" s="52">
        <f t="shared" ca="1" si="713"/>
        <v>0</v>
      </c>
      <c r="AP466" s="52">
        <f t="shared" ca="1" si="713"/>
        <v>0</v>
      </c>
      <c r="AQ466" s="52">
        <f t="shared" ca="1" si="713"/>
        <v>0</v>
      </c>
      <c r="AR466" s="52">
        <f t="shared" ca="1" si="713"/>
        <v>0</v>
      </c>
      <c r="AS466" s="52">
        <f t="shared" ca="1" si="713"/>
        <v>0</v>
      </c>
      <c r="AT466" s="52">
        <f t="shared" ca="1" si="713"/>
        <v>0</v>
      </c>
      <c r="AU466" s="52">
        <f t="shared" ca="1" si="713"/>
        <v>0</v>
      </c>
      <c r="AV466" s="52">
        <f t="shared" ca="1" si="713"/>
        <v>0</v>
      </c>
      <c r="AW466" s="52">
        <f t="shared" ca="1" si="713"/>
        <v>0</v>
      </c>
      <c r="AX466" s="52">
        <f t="shared" ca="1" si="713"/>
        <v>0</v>
      </c>
      <c r="AY466" s="52">
        <f t="shared" ca="1" si="713"/>
        <v>0</v>
      </c>
      <c r="AZ466" s="52">
        <f t="shared" ca="1" si="713"/>
        <v>0</v>
      </c>
      <c r="BA466" s="52">
        <f t="shared" ca="1" si="713"/>
        <v>0</v>
      </c>
      <c r="BB466" s="52">
        <f t="shared" ca="1" si="713"/>
        <v>0</v>
      </c>
      <c r="BC466" s="52">
        <f t="shared" ca="1" si="713"/>
        <v>0</v>
      </c>
      <c r="BD466" s="52">
        <f t="shared" ca="1" si="713"/>
        <v>0</v>
      </c>
      <c r="BE466" s="52">
        <f t="shared" ca="1" si="713"/>
        <v>0</v>
      </c>
      <c r="BF466" s="52">
        <f t="shared" ca="1" si="713"/>
        <v>0</v>
      </c>
      <c r="BG466" s="52">
        <f t="shared" ca="1" si="713"/>
        <v>0</v>
      </c>
      <c r="BH466" s="52">
        <f t="shared" ca="1" si="713"/>
        <v>0</v>
      </c>
      <c r="BI466" s="52">
        <f t="shared" ca="1" si="713"/>
        <v>0</v>
      </c>
      <c r="BJ466" s="52">
        <f t="shared" ca="1" si="713"/>
        <v>0</v>
      </c>
      <c r="BK466" s="52">
        <f t="shared" ca="1" si="713"/>
        <v>0</v>
      </c>
      <c r="BL466" s="52">
        <f t="shared" ca="1" si="713"/>
        <v>0</v>
      </c>
      <c r="BM466" s="52">
        <f t="shared" ca="1" si="713"/>
        <v>0</v>
      </c>
      <c r="BN466" s="52">
        <f t="shared" ca="1" si="713"/>
        <v>0</v>
      </c>
      <c r="BO466" s="52">
        <f t="shared" ca="1" si="713"/>
        <v>0</v>
      </c>
      <c r="BP466" s="52">
        <f t="shared" ca="1" si="713"/>
        <v>0</v>
      </c>
      <c r="BQ466" s="52">
        <f t="shared" ca="1" si="713"/>
        <v>0</v>
      </c>
      <c r="BR466" s="52">
        <f t="shared" ca="1" si="713"/>
        <v>0</v>
      </c>
      <c r="BS466" s="52">
        <f t="shared" ca="1" si="713"/>
        <v>0</v>
      </c>
      <c r="BT466" s="52">
        <f t="shared" ca="1" si="713"/>
        <v>0</v>
      </c>
      <c r="BU466" s="52">
        <f t="shared" ca="1" si="713"/>
        <v>0</v>
      </c>
      <c r="BV466" s="52">
        <f t="shared" ca="1" si="713"/>
        <v>0</v>
      </c>
      <c r="BW466" s="52">
        <f t="shared" ca="1" si="713"/>
        <v>0</v>
      </c>
      <c r="BX466" s="52">
        <f t="shared" ca="1" si="713"/>
        <v>0</v>
      </c>
      <c r="BY466" s="52">
        <f t="shared" ca="1" si="713"/>
        <v>0</v>
      </c>
      <c r="BZ466" s="52">
        <f t="shared" ca="1" si="713"/>
        <v>0</v>
      </c>
      <c r="CA466" s="52">
        <f t="shared" ca="1" si="713"/>
        <v>0</v>
      </c>
      <c r="CB466" s="52">
        <f t="shared" ca="1" si="713"/>
        <v>0</v>
      </c>
      <c r="CC466" s="52">
        <f t="shared" ca="1" si="713"/>
        <v>0</v>
      </c>
      <c r="CD466" s="52">
        <f t="shared" ca="1" si="713"/>
        <v>0</v>
      </c>
      <c r="CE466" s="52">
        <f t="shared" ca="1" si="713"/>
        <v>0</v>
      </c>
      <c r="CF466" s="52">
        <f t="shared" ref="CF466:CO466" ca="1" si="714" xml:space="preserve"> CE472</f>
        <v>0</v>
      </c>
      <c r="CG466" s="52">
        <f t="shared" ca="1" si="714"/>
        <v>0</v>
      </c>
      <c r="CH466" s="52">
        <f t="shared" ca="1" si="714"/>
        <v>0</v>
      </c>
      <c r="CI466" s="52">
        <f t="shared" ca="1" si="714"/>
        <v>0</v>
      </c>
      <c r="CJ466" s="52">
        <f t="shared" ca="1" si="714"/>
        <v>0</v>
      </c>
      <c r="CK466" s="52">
        <f t="shared" ca="1" si="714"/>
        <v>0</v>
      </c>
      <c r="CL466" s="52">
        <f t="shared" ca="1" si="714"/>
        <v>0</v>
      </c>
      <c r="CM466" s="52">
        <f t="shared" ca="1" si="714"/>
        <v>0</v>
      </c>
      <c r="CN466" s="52">
        <f t="shared" ca="1" si="714"/>
        <v>0</v>
      </c>
      <c r="CO466" s="52">
        <f t="shared" ca="1" si="714"/>
        <v>0</v>
      </c>
    </row>
    <row r="467" spans="1:93">
      <c r="A467" s="10"/>
      <c r="B467" s="10"/>
      <c r="C467" s="17" t="s">
        <v>126</v>
      </c>
      <c r="D467" s="10"/>
      <c r="E467" s="62"/>
      <c r="F467" s="11"/>
      <c r="G467" s="134" t="str">
        <f t="shared" si="711"/>
        <v>тыс. руб.</v>
      </c>
      <c r="H467" s="10"/>
      <c r="I467" s="23">
        <f ca="1">SUM(L467:CO467)</f>
        <v>0</v>
      </c>
      <c r="J467" s="10"/>
      <c r="K467" s="10"/>
      <c r="L467" s="52">
        <f ca="1" xml:space="preserve"> SUM(L$328,L$330) * $E346 + L468</f>
        <v>0</v>
      </c>
      <c r="M467" s="52">
        <f t="shared" ref="M467:BX467" ca="1" si="715" xml:space="preserve"> SUM(M$328,M$330) * $E346 + M468</f>
        <v>0</v>
      </c>
      <c r="N467" s="52">
        <f t="shared" ca="1" si="715"/>
        <v>0</v>
      </c>
      <c r="O467" s="52">
        <f t="shared" ca="1" si="715"/>
        <v>0</v>
      </c>
      <c r="P467" s="52">
        <f t="shared" ca="1" si="715"/>
        <v>0</v>
      </c>
      <c r="Q467" s="52">
        <f t="shared" ca="1" si="715"/>
        <v>0</v>
      </c>
      <c r="R467" s="52">
        <f t="shared" ca="1" si="715"/>
        <v>0</v>
      </c>
      <c r="S467" s="52">
        <f t="shared" ca="1" si="715"/>
        <v>0</v>
      </c>
      <c r="T467" s="52">
        <f t="shared" ca="1" si="715"/>
        <v>0</v>
      </c>
      <c r="U467" s="52">
        <f t="shared" ca="1" si="715"/>
        <v>0</v>
      </c>
      <c r="V467" s="52">
        <f t="shared" ca="1" si="715"/>
        <v>0</v>
      </c>
      <c r="W467" s="52">
        <f t="shared" ca="1" si="715"/>
        <v>0</v>
      </c>
      <c r="X467" s="52">
        <f t="shared" ca="1" si="715"/>
        <v>0</v>
      </c>
      <c r="Y467" s="52">
        <f t="shared" ca="1" si="715"/>
        <v>0</v>
      </c>
      <c r="Z467" s="52">
        <f t="shared" ca="1" si="715"/>
        <v>0</v>
      </c>
      <c r="AA467" s="52">
        <f t="shared" ca="1" si="715"/>
        <v>0</v>
      </c>
      <c r="AB467" s="52">
        <f t="shared" ca="1" si="715"/>
        <v>0</v>
      </c>
      <c r="AC467" s="52">
        <f t="shared" ca="1" si="715"/>
        <v>0</v>
      </c>
      <c r="AD467" s="52">
        <f t="shared" ca="1" si="715"/>
        <v>0</v>
      </c>
      <c r="AE467" s="52">
        <f t="shared" ca="1" si="715"/>
        <v>0</v>
      </c>
      <c r="AF467" s="52">
        <f t="shared" ca="1" si="715"/>
        <v>0</v>
      </c>
      <c r="AG467" s="52">
        <f t="shared" ca="1" si="715"/>
        <v>0</v>
      </c>
      <c r="AH467" s="52">
        <f t="shared" ca="1" si="715"/>
        <v>0</v>
      </c>
      <c r="AI467" s="52">
        <f t="shared" ca="1" si="715"/>
        <v>0</v>
      </c>
      <c r="AJ467" s="52">
        <f t="shared" ca="1" si="715"/>
        <v>0</v>
      </c>
      <c r="AK467" s="52">
        <f t="shared" ca="1" si="715"/>
        <v>0</v>
      </c>
      <c r="AL467" s="52">
        <f t="shared" ca="1" si="715"/>
        <v>0</v>
      </c>
      <c r="AM467" s="52">
        <f t="shared" ca="1" si="715"/>
        <v>0</v>
      </c>
      <c r="AN467" s="52">
        <f t="shared" ca="1" si="715"/>
        <v>0</v>
      </c>
      <c r="AO467" s="52">
        <f t="shared" ca="1" si="715"/>
        <v>0</v>
      </c>
      <c r="AP467" s="52">
        <f t="shared" ca="1" si="715"/>
        <v>0</v>
      </c>
      <c r="AQ467" s="52">
        <f t="shared" ca="1" si="715"/>
        <v>0</v>
      </c>
      <c r="AR467" s="52">
        <f t="shared" ca="1" si="715"/>
        <v>0</v>
      </c>
      <c r="AS467" s="52">
        <f t="shared" ca="1" si="715"/>
        <v>0</v>
      </c>
      <c r="AT467" s="52">
        <f t="shared" ca="1" si="715"/>
        <v>0</v>
      </c>
      <c r="AU467" s="52">
        <f t="shared" ca="1" si="715"/>
        <v>0</v>
      </c>
      <c r="AV467" s="52">
        <f t="shared" ca="1" si="715"/>
        <v>0</v>
      </c>
      <c r="AW467" s="52">
        <f t="shared" ca="1" si="715"/>
        <v>0</v>
      </c>
      <c r="AX467" s="52">
        <f t="shared" ca="1" si="715"/>
        <v>0</v>
      </c>
      <c r="AY467" s="52">
        <f t="shared" ca="1" si="715"/>
        <v>0</v>
      </c>
      <c r="AZ467" s="52">
        <f t="shared" ca="1" si="715"/>
        <v>0</v>
      </c>
      <c r="BA467" s="52">
        <f t="shared" ca="1" si="715"/>
        <v>0</v>
      </c>
      <c r="BB467" s="52">
        <f t="shared" ca="1" si="715"/>
        <v>0</v>
      </c>
      <c r="BC467" s="52">
        <f t="shared" ca="1" si="715"/>
        <v>0</v>
      </c>
      <c r="BD467" s="52">
        <f t="shared" ca="1" si="715"/>
        <v>0</v>
      </c>
      <c r="BE467" s="52">
        <f t="shared" ca="1" si="715"/>
        <v>0</v>
      </c>
      <c r="BF467" s="52">
        <f t="shared" ca="1" si="715"/>
        <v>0</v>
      </c>
      <c r="BG467" s="52">
        <f t="shared" ca="1" si="715"/>
        <v>0</v>
      </c>
      <c r="BH467" s="52">
        <f t="shared" ca="1" si="715"/>
        <v>0</v>
      </c>
      <c r="BI467" s="52">
        <f t="shared" ca="1" si="715"/>
        <v>0</v>
      </c>
      <c r="BJ467" s="52">
        <f t="shared" ca="1" si="715"/>
        <v>0</v>
      </c>
      <c r="BK467" s="52">
        <f t="shared" ca="1" si="715"/>
        <v>0</v>
      </c>
      <c r="BL467" s="52">
        <f t="shared" ca="1" si="715"/>
        <v>0</v>
      </c>
      <c r="BM467" s="52">
        <f t="shared" ca="1" si="715"/>
        <v>0</v>
      </c>
      <c r="BN467" s="52">
        <f t="shared" ca="1" si="715"/>
        <v>0</v>
      </c>
      <c r="BO467" s="52">
        <f t="shared" ca="1" si="715"/>
        <v>0</v>
      </c>
      <c r="BP467" s="52">
        <f t="shared" ca="1" si="715"/>
        <v>0</v>
      </c>
      <c r="BQ467" s="52">
        <f t="shared" ca="1" si="715"/>
        <v>0</v>
      </c>
      <c r="BR467" s="52">
        <f t="shared" ca="1" si="715"/>
        <v>0</v>
      </c>
      <c r="BS467" s="52">
        <f t="shared" ca="1" si="715"/>
        <v>0</v>
      </c>
      <c r="BT467" s="52">
        <f t="shared" ca="1" si="715"/>
        <v>0</v>
      </c>
      <c r="BU467" s="52">
        <f t="shared" ca="1" si="715"/>
        <v>0</v>
      </c>
      <c r="BV467" s="52">
        <f t="shared" ca="1" si="715"/>
        <v>0</v>
      </c>
      <c r="BW467" s="52">
        <f t="shared" ca="1" si="715"/>
        <v>0</v>
      </c>
      <c r="BX467" s="52">
        <f t="shared" ca="1" si="715"/>
        <v>0</v>
      </c>
      <c r="BY467" s="52">
        <f t="shared" ref="BY467:CO467" ca="1" si="716" xml:space="preserve"> SUM(BY$328,BY$330) * $E346 + BY468</f>
        <v>0</v>
      </c>
      <c r="BZ467" s="52">
        <f t="shared" ca="1" si="716"/>
        <v>0</v>
      </c>
      <c r="CA467" s="52">
        <f t="shared" ca="1" si="716"/>
        <v>0</v>
      </c>
      <c r="CB467" s="52">
        <f t="shared" ca="1" si="716"/>
        <v>0</v>
      </c>
      <c r="CC467" s="52">
        <f t="shared" ca="1" si="716"/>
        <v>0</v>
      </c>
      <c r="CD467" s="52">
        <f t="shared" ca="1" si="716"/>
        <v>0</v>
      </c>
      <c r="CE467" s="52">
        <f t="shared" ca="1" si="716"/>
        <v>0</v>
      </c>
      <c r="CF467" s="52">
        <f t="shared" ca="1" si="716"/>
        <v>0</v>
      </c>
      <c r="CG467" s="52">
        <f t="shared" ca="1" si="716"/>
        <v>0</v>
      </c>
      <c r="CH467" s="52">
        <f t="shared" ca="1" si="716"/>
        <v>0</v>
      </c>
      <c r="CI467" s="52">
        <f t="shared" ca="1" si="716"/>
        <v>0</v>
      </c>
      <c r="CJ467" s="52">
        <f t="shared" ca="1" si="716"/>
        <v>0</v>
      </c>
      <c r="CK467" s="52">
        <f t="shared" ca="1" si="716"/>
        <v>0</v>
      </c>
      <c r="CL467" s="52">
        <f t="shared" ca="1" si="716"/>
        <v>0</v>
      </c>
      <c r="CM467" s="52">
        <f t="shared" ca="1" si="716"/>
        <v>0</v>
      </c>
      <c r="CN467" s="52">
        <f t="shared" ca="1" si="716"/>
        <v>0</v>
      </c>
      <c r="CO467" s="52">
        <f t="shared" ca="1" si="716"/>
        <v>0</v>
      </c>
    </row>
    <row r="468" spans="1:93">
      <c r="A468" s="10"/>
      <c r="B468" s="10"/>
      <c r="C468" s="17" t="s">
        <v>129</v>
      </c>
      <c r="D468" s="10"/>
      <c r="E468" s="178">
        <f>Предпосылки!E376</f>
        <v>0.1</v>
      </c>
      <c r="F468" s="11"/>
      <c r="G468" s="134" t="str">
        <f t="shared" si="711"/>
        <v>тыс. руб.</v>
      </c>
      <c r="H468" s="10"/>
      <c r="I468" s="23">
        <f ca="1">SUM(L468:CO468)</f>
        <v>0</v>
      </c>
      <c r="J468" s="10"/>
      <c r="K468" s="10"/>
      <c r="L468" s="52">
        <f ca="1" xml:space="preserve"> - SUM(K$328,K$330) * $E346 *$E468</f>
        <v>0</v>
      </c>
      <c r="M468" s="52">
        <f t="shared" ref="M468:BX468" ca="1" si="717" xml:space="preserve"> - SUM(L$328,L$330) * $E346 *$E468</f>
        <v>0</v>
      </c>
      <c r="N468" s="52">
        <f t="shared" ca="1" si="717"/>
        <v>0</v>
      </c>
      <c r="O468" s="52">
        <f t="shared" ca="1" si="717"/>
        <v>0</v>
      </c>
      <c r="P468" s="52">
        <f t="shared" ca="1" si="717"/>
        <v>0</v>
      </c>
      <c r="Q468" s="52">
        <f t="shared" ca="1" si="717"/>
        <v>0</v>
      </c>
      <c r="R468" s="52">
        <f t="shared" ca="1" si="717"/>
        <v>0</v>
      </c>
      <c r="S468" s="52">
        <f t="shared" ca="1" si="717"/>
        <v>0</v>
      </c>
      <c r="T468" s="52">
        <f t="shared" ca="1" si="717"/>
        <v>0</v>
      </c>
      <c r="U468" s="52">
        <f t="shared" ca="1" si="717"/>
        <v>0</v>
      </c>
      <c r="V468" s="52">
        <f t="shared" ca="1" si="717"/>
        <v>0</v>
      </c>
      <c r="W468" s="52">
        <f t="shared" ca="1" si="717"/>
        <v>0</v>
      </c>
      <c r="X468" s="52">
        <f t="shared" ca="1" si="717"/>
        <v>0</v>
      </c>
      <c r="Y468" s="52">
        <f t="shared" ca="1" si="717"/>
        <v>0</v>
      </c>
      <c r="Z468" s="52">
        <f t="shared" ca="1" si="717"/>
        <v>0</v>
      </c>
      <c r="AA468" s="52">
        <f t="shared" ca="1" si="717"/>
        <v>0</v>
      </c>
      <c r="AB468" s="52">
        <f t="shared" ca="1" si="717"/>
        <v>0</v>
      </c>
      <c r="AC468" s="52">
        <f t="shared" ca="1" si="717"/>
        <v>0</v>
      </c>
      <c r="AD468" s="52">
        <f t="shared" ca="1" si="717"/>
        <v>0</v>
      </c>
      <c r="AE468" s="52">
        <f t="shared" ca="1" si="717"/>
        <v>0</v>
      </c>
      <c r="AF468" s="52">
        <f t="shared" ca="1" si="717"/>
        <v>0</v>
      </c>
      <c r="AG468" s="52">
        <f t="shared" ca="1" si="717"/>
        <v>0</v>
      </c>
      <c r="AH468" s="52">
        <f t="shared" ca="1" si="717"/>
        <v>0</v>
      </c>
      <c r="AI468" s="52">
        <f t="shared" ca="1" si="717"/>
        <v>0</v>
      </c>
      <c r="AJ468" s="52">
        <f t="shared" ca="1" si="717"/>
        <v>0</v>
      </c>
      <c r="AK468" s="52">
        <f t="shared" ca="1" si="717"/>
        <v>0</v>
      </c>
      <c r="AL468" s="52">
        <f t="shared" ca="1" si="717"/>
        <v>0</v>
      </c>
      <c r="AM468" s="52">
        <f t="shared" ca="1" si="717"/>
        <v>0</v>
      </c>
      <c r="AN468" s="52">
        <f t="shared" ca="1" si="717"/>
        <v>0</v>
      </c>
      <c r="AO468" s="52">
        <f t="shared" ca="1" si="717"/>
        <v>0</v>
      </c>
      <c r="AP468" s="52">
        <f t="shared" ca="1" si="717"/>
        <v>0</v>
      </c>
      <c r="AQ468" s="52">
        <f t="shared" ca="1" si="717"/>
        <v>0</v>
      </c>
      <c r="AR468" s="52">
        <f t="shared" ca="1" si="717"/>
        <v>0</v>
      </c>
      <c r="AS468" s="52">
        <f t="shared" ca="1" si="717"/>
        <v>0</v>
      </c>
      <c r="AT468" s="52">
        <f t="shared" ca="1" si="717"/>
        <v>0</v>
      </c>
      <c r="AU468" s="52">
        <f t="shared" ca="1" si="717"/>
        <v>0</v>
      </c>
      <c r="AV468" s="52">
        <f t="shared" ca="1" si="717"/>
        <v>0</v>
      </c>
      <c r="AW468" s="52">
        <f t="shared" ca="1" si="717"/>
        <v>0</v>
      </c>
      <c r="AX468" s="52">
        <f t="shared" ca="1" si="717"/>
        <v>0</v>
      </c>
      <c r="AY468" s="52">
        <f t="shared" ca="1" si="717"/>
        <v>0</v>
      </c>
      <c r="AZ468" s="52">
        <f t="shared" ca="1" si="717"/>
        <v>0</v>
      </c>
      <c r="BA468" s="52">
        <f t="shared" ca="1" si="717"/>
        <v>0</v>
      </c>
      <c r="BB468" s="52">
        <f t="shared" ca="1" si="717"/>
        <v>0</v>
      </c>
      <c r="BC468" s="52">
        <f t="shared" ca="1" si="717"/>
        <v>0</v>
      </c>
      <c r="BD468" s="52">
        <f t="shared" ca="1" si="717"/>
        <v>0</v>
      </c>
      <c r="BE468" s="52">
        <f t="shared" ca="1" si="717"/>
        <v>0</v>
      </c>
      <c r="BF468" s="52">
        <f t="shared" ca="1" si="717"/>
        <v>0</v>
      </c>
      <c r="BG468" s="52">
        <f t="shared" ca="1" si="717"/>
        <v>0</v>
      </c>
      <c r="BH468" s="52">
        <f t="shared" ca="1" si="717"/>
        <v>0</v>
      </c>
      <c r="BI468" s="52">
        <f t="shared" ca="1" si="717"/>
        <v>0</v>
      </c>
      <c r="BJ468" s="52">
        <f t="shared" ca="1" si="717"/>
        <v>0</v>
      </c>
      <c r="BK468" s="52">
        <f t="shared" ca="1" si="717"/>
        <v>0</v>
      </c>
      <c r="BL468" s="52">
        <f t="shared" ca="1" si="717"/>
        <v>0</v>
      </c>
      <c r="BM468" s="52">
        <f t="shared" ca="1" si="717"/>
        <v>0</v>
      </c>
      <c r="BN468" s="52">
        <f t="shared" ca="1" si="717"/>
        <v>0</v>
      </c>
      <c r="BO468" s="52">
        <f t="shared" ca="1" si="717"/>
        <v>0</v>
      </c>
      <c r="BP468" s="52">
        <f t="shared" ca="1" si="717"/>
        <v>0</v>
      </c>
      <c r="BQ468" s="52">
        <f t="shared" ca="1" si="717"/>
        <v>0</v>
      </c>
      <c r="BR468" s="52">
        <f t="shared" ca="1" si="717"/>
        <v>0</v>
      </c>
      <c r="BS468" s="52">
        <f t="shared" ca="1" si="717"/>
        <v>0</v>
      </c>
      <c r="BT468" s="52">
        <f t="shared" ca="1" si="717"/>
        <v>0</v>
      </c>
      <c r="BU468" s="52">
        <f t="shared" ca="1" si="717"/>
        <v>0</v>
      </c>
      <c r="BV468" s="52">
        <f t="shared" ca="1" si="717"/>
        <v>0</v>
      </c>
      <c r="BW468" s="52">
        <f t="shared" ca="1" si="717"/>
        <v>0</v>
      </c>
      <c r="BX468" s="52">
        <f t="shared" ca="1" si="717"/>
        <v>0</v>
      </c>
      <c r="BY468" s="52">
        <f t="shared" ref="BY468:CO468" ca="1" si="718" xml:space="preserve"> - SUM(BX$328,BX$330) * $E346 *$E468</f>
        <v>0</v>
      </c>
      <c r="BZ468" s="52">
        <f t="shared" ca="1" si="718"/>
        <v>0</v>
      </c>
      <c r="CA468" s="52">
        <f t="shared" ca="1" si="718"/>
        <v>0</v>
      </c>
      <c r="CB468" s="52">
        <f t="shared" ca="1" si="718"/>
        <v>0</v>
      </c>
      <c r="CC468" s="52">
        <f t="shared" ca="1" si="718"/>
        <v>0</v>
      </c>
      <c r="CD468" s="52">
        <f t="shared" ca="1" si="718"/>
        <v>0</v>
      </c>
      <c r="CE468" s="52">
        <f t="shared" ca="1" si="718"/>
        <v>0</v>
      </c>
      <c r="CF468" s="52">
        <f t="shared" ca="1" si="718"/>
        <v>0</v>
      </c>
      <c r="CG468" s="52">
        <f t="shared" ca="1" si="718"/>
        <v>0</v>
      </c>
      <c r="CH468" s="52">
        <f t="shared" ca="1" si="718"/>
        <v>0</v>
      </c>
      <c r="CI468" s="52">
        <f t="shared" ca="1" si="718"/>
        <v>0</v>
      </c>
      <c r="CJ468" s="52">
        <f t="shared" ca="1" si="718"/>
        <v>0</v>
      </c>
      <c r="CK468" s="52">
        <f t="shared" ca="1" si="718"/>
        <v>0</v>
      </c>
      <c r="CL468" s="52">
        <f t="shared" ca="1" si="718"/>
        <v>0</v>
      </c>
      <c r="CM468" s="52">
        <f t="shared" ca="1" si="718"/>
        <v>0</v>
      </c>
      <c r="CN468" s="52">
        <f t="shared" ca="1" si="718"/>
        <v>0</v>
      </c>
      <c r="CO468" s="52">
        <f t="shared" ca="1" si="718"/>
        <v>0</v>
      </c>
    </row>
    <row r="469" spans="1:93">
      <c r="A469" s="10"/>
      <c r="B469" s="10"/>
      <c r="C469" s="17" t="s">
        <v>388</v>
      </c>
      <c r="D469" s="10"/>
      <c r="E469" s="62"/>
      <c r="F469" s="11"/>
      <c r="G469" s="134" t="str">
        <f t="shared" si="711"/>
        <v>тыс. руб.</v>
      </c>
      <c r="H469" s="10"/>
      <c r="I469" s="10"/>
      <c r="J469" s="10"/>
      <c r="K469" s="10"/>
      <c r="L469" s="52">
        <f t="shared" ref="L469:R469" ca="1" si="719" xml:space="preserve"> L467 + K469</f>
        <v>0</v>
      </c>
      <c r="M469" s="52">
        <f t="shared" ca="1" si="719"/>
        <v>0</v>
      </c>
      <c r="N469" s="52">
        <f t="shared" ca="1" si="719"/>
        <v>0</v>
      </c>
      <c r="O469" s="52">
        <f t="shared" ca="1" si="719"/>
        <v>0</v>
      </c>
      <c r="P469" s="52">
        <f t="shared" ca="1" si="719"/>
        <v>0</v>
      </c>
      <c r="Q469" s="52">
        <f t="shared" ca="1" si="719"/>
        <v>0</v>
      </c>
      <c r="R469" s="52">
        <f t="shared" ca="1" si="719"/>
        <v>0</v>
      </c>
      <c r="S469" s="52">
        <f ca="1" xml:space="preserve"> S467 + R469</f>
        <v>0</v>
      </c>
      <c r="T469" s="52">
        <f t="shared" ref="T469:CE469" ca="1" si="720" xml:space="preserve"> T467 + S469</f>
        <v>0</v>
      </c>
      <c r="U469" s="52">
        <f t="shared" ca="1" si="720"/>
        <v>0</v>
      </c>
      <c r="V469" s="52">
        <f t="shared" ca="1" si="720"/>
        <v>0</v>
      </c>
      <c r="W469" s="52">
        <f t="shared" ca="1" si="720"/>
        <v>0</v>
      </c>
      <c r="X469" s="52">
        <f t="shared" ca="1" si="720"/>
        <v>0</v>
      </c>
      <c r="Y469" s="52">
        <f t="shared" ca="1" si="720"/>
        <v>0</v>
      </c>
      <c r="Z469" s="52">
        <f t="shared" ca="1" si="720"/>
        <v>0</v>
      </c>
      <c r="AA469" s="52">
        <f t="shared" ca="1" si="720"/>
        <v>0</v>
      </c>
      <c r="AB469" s="52">
        <f t="shared" ca="1" si="720"/>
        <v>0</v>
      </c>
      <c r="AC469" s="52">
        <f t="shared" ca="1" si="720"/>
        <v>0</v>
      </c>
      <c r="AD469" s="52">
        <f t="shared" ca="1" si="720"/>
        <v>0</v>
      </c>
      <c r="AE469" s="52">
        <f t="shared" ca="1" si="720"/>
        <v>0</v>
      </c>
      <c r="AF469" s="52">
        <f t="shared" ca="1" si="720"/>
        <v>0</v>
      </c>
      <c r="AG469" s="52">
        <f t="shared" ca="1" si="720"/>
        <v>0</v>
      </c>
      <c r="AH469" s="52">
        <f t="shared" ca="1" si="720"/>
        <v>0</v>
      </c>
      <c r="AI469" s="52">
        <f t="shared" ca="1" si="720"/>
        <v>0</v>
      </c>
      <c r="AJ469" s="52">
        <f t="shared" ca="1" si="720"/>
        <v>0</v>
      </c>
      <c r="AK469" s="52">
        <f t="shared" ca="1" si="720"/>
        <v>0</v>
      </c>
      <c r="AL469" s="52">
        <f t="shared" ca="1" si="720"/>
        <v>0</v>
      </c>
      <c r="AM469" s="52">
        <f t="shared" ca="1" si="720"/>
        <v>0</v>
      </c>
      <c r="AN469" s="52">
        <f t="shared" ca="1" si="720"/>
        <v>0</v>
      </c>
      <c r="AO469" s="52">
        <f t="shared" ca="1" si="720"/>
        <v>0</v>
      </c>
      <c r="AP469" s="52">
        <f t="shared" ca="1" si="720"/>
        <v>0</v>
      </c>
      <c r="AQ469" s="52">
        <f t="shared" ca="1" si="720"/>
        <v>0</v>
      </c>
      <c r="AR469" s="52">
        <f t="shared" ca="1" si="720"/>
        <v>0</v>
      </c>
      <c r="AS469" s="52">
        <f t="shared" ca="1" si="720"/>
        <v>0</v>
      </c>
      <c r="AT469" s="52">
        <f t="shared" ca="1" si="720"/>
        <v>0</v>
      </c>
      <c r="AU469" s="52">
        <f t="shared" ca="1" si="720"/>
        <v>0</v>
      </c>
      <c r="AV469" s="52">
        <f t="shared" ca="1" si="720"/>
        <v>0</v>
      </c>
      <c r="AW469" s="52">
        <f t="shared" ca="1" si="720"/>
        <v>0</v>
      </c>
      <c r="AX469" s="52">
        <f t="shared" ca="1" si="720"/>
        <v>0</v>
      </c>
      <c r="AY469" s="52">
        <f t="shared" ca="1" si="720"/>
        <v>0</v>
      </c>
      <c r="AZ469" s="52">
        <f t="shared" ca="1" si="720"/>
        <v>0</v>
      </c>
      <c r="BA469" s="52">
        <f t="shared" ca="1" si="720"/>
        <v>0</v>
      </c>
      <c r="BB469" s="52">
        <f t="shared" ca="1" si="720"/>
        <v>0</v>
      </c>
      <c r="BC469" s="52">
        <f t="shared" ca="1" si="720"/>
        <v>0</v>
      </c>
      <c r="BD469" s="52">
        <f t="shared" ca="1" si="720"/>
        <v>0</v>
      </c>
      <c r="BE469" s="52">
        <f t="shared" ca="1" si="720"/>
        <v>0</v>
      </c>
      <c r="BF469" s="52">
        <f t="shared" ca="1" si="720"/>
        <v>0</v>
      </c>
      <c r="BG469" s="52">
        <f t="shared" ca="1" si="720"/>
        <v>0</v>
      </c>
      <c r="BH469" s="52">
        <f t="shared" ca="1" si="720"/>
        <v>0</v>
      </c>
      <c r="BI469" s="52">
        <f t="shared" ca="1" si="720"/>
        <v>0</v>
      </c>
      <c r="BJ469" s="52">
        <f t="shared" ca="1" si="720"/>
        <v>0</v>
      </c>
      <c r="BK469" s="52">
        <f t="shared" ca="1" si="720"/>
        <v>0</v>
      </c>
      <c r="BL469" s="52">
        <f t="shared" ca="1" si="720"/>
        <v>0</v>
      </c>
      <c r="BM469" s="52">
        <f t="shared" ca="1" si="720"/>
        <v>0</v>
      </c>
      <c r="BN469" s="52">
        <f t="shared" ca="1" si="720"/>
        <v>0</v>
      </c>
      <c r="BO469" s="52">
        <f t="shared" ca="1" si="720"/>
        <v>0</v>
      </c>
      <c r="BP469" s="52">
        <f t="shared" ca="1" si="720"/>
        <v>0</v>
      </c>
      <c r="BQ469" s="52">
        <f t="shared" ca="1" si="720"/>
        <v>0</v>
      </c>
      <c r="BR469" s="52">
        <f t="shared" ca="1" si="720"/>
        <v>0</v>
      </c>
      <c r="BS469" s="52">
        <f t="shared" ca="1" si="720"/>
        <v>0</v>
      </c>
      <c r="BT469" s="52">
        <f t="shared" ca="1" si="720"/>
        <v>0</v>
      </c>
      <c r="BU469" s="52">
        <f t="shared" ca="1" si="720"/>
        <v>0</v>
      </c>
      <c r="BV469" s="52">
        <f t="shared" ca="1" si="720"/>
        <v>0</v>
      </c>
      <c r="BW469" s="52">
        <f t="shared" ca="1" si="720"/>
        <v>0</v>
      </c>
      <c r="BX469" s="52">
        <f t="shared" ca="1" si="720"/>
        <v>0</v>
      </c>
      <c r="BY469" s="52">
        <f t="shared" ca="1" si="720"/>
        <v>0</v>
      </c>
      <c r="BZ469" s="52">
        <f t="shared" ca="1" si="720"/>
        <v>0</v>
      </c>
      <c r="CA469" s="52">
        <f t="shared" ca="1" si="720"/>
        <v>0</v>
      </c>
      <c r="CB469" s="52">
        <f t="shared" ca="1" si="720"/>
        <v>0</v>
      </c>
      <c r="CC469" s="52">
        <f t="shared" ca="1" si="720"/>
        <v>0</v>
      </c>
      <c r="CD469" s="52">
        <f t="shared" ca="1" si="720"/>
        <v>0</v>
      </c>
      <c r="CE469" s="52">
        <f t="shared" ca="1" si="720"/>
        <v>0</v>
      </c>
      <c r="CF469" s="52">
        <f t="shared" ref="CF469:CO469" ca="1" si="721" xml:space="preserve"> CF467 + CE469</f>
        <v>0</v>
      </c>
      <c r="CG469" s="52">
        <f t="shared" ca="1" si="721"/>
        <v>0</v>
      </c>
      <c r="CH469" s="52">
        <f t="shared" ca="1" si="721"/>
        <v>0</v>
      </c>
      <c r="CI469" s="52">
        <f t="shared" ca="1" si="721"/>
        <v>0</v>
      </c>
      <c r="CJ469" s="52">
        <f t="shared" ca="1" si="721"/>
        <v>0</v>
      </c>
      <c r="CK469" s="52">
        <f t="shared" ca="1" si="721"/>
        <v>0</v>
      </c>
      <c r="CL469" s="52">
        <f t="shared" ca="1" si="721"/>
        <v>0</v>
      </c>
      <c r="CM469" s="52">
        <f t="shared" ca="1" si="721"/>
        <v>0</v>
      </c>
      <c r="CN469" s="52">
        <f t="shared" ca="1" si="721"/>
        <v>0</v>
      </c>
      <c r="CO469" s="52">
        <f t="shared" ca="1" si="721"/>
        <v>0</v>
      </c>
    </row>
    <row r="470" spans="1:93">
      <c r="A470" s="10"/>
      <c r="B470" s="10"/>
      <c r="C470" s="17" t="s">
        <v>389</v>
      </c>
      <c r="D470" s="10"/>
      <c r="E470" s="62"/>
      <c r="F470" s="11"/>
      <c r="G470" s="134" t="str">
        <f t="shared" si="711"/>
        <v>тыс. руб.</v>
      </c>
      <c r="H470" s="10"/>
      <c r="I470" s="23">
        <f ca="1">SUM(L470:CO470)</f>
        <v>0</v>
      </c>
      <c r="J470" s="10"/>
      <c r="K470" s="10"/>
      <c r="L470" s="52">
        <f t="shared" ref="L470:AQ470" ca="1" si="722" xml:space="preserve"> MIN(L469*L465,K472)</f>
        <v>0</v>
      </c>
      <c r="M470" s="52">
        <f t="shared" ca="1" si="722"/>
        <v>0</v>
      </c>
      <c r="N470" s="52">
        <f t="shared" ca="1" si="722"/>
        <v>0</v>
      </c>
      <c r="O470" s="52">
        <f t="shared" ca="1" si="722"/>
        <v>0</v>
      </c>
      <c r="P470" s="52">
        <f t="shared" ca="1" si="722"/>
        <v>0</v>
      </c>
      <c r="Q470" s="52">
        <f t="shared" ca="1" si="722"/>
        <v>0</v>
      </c>
      <c r="R470" s="52">
        <f t="shared" ca="1" si="722"/>
        <v>0</v>
      </c>
      <c r="S470" s="52">
        <f t="shared" ca="1" si="722"/>
        <v>0</v>
      </c>
      <c r="T470" s="52">
        <f t="shared" ca="1" si="722"/>
        <v>0</v>
      </c>
      <c r="U470" s="52">
        <f t="shared" ca="1" si="722"/>
        <v>0</v>
      </c>
      <c r="V470" s="52">
        <f t="shared" ca="1" si="722"/>
        <v>0</v>
      </c>
      <c r="W470" s="52">
        <f t="shared" ca="1" si="722"/>
        <v>0</v>
      </c>
      <c r="X470" s="52">
        <f t="shared" ca="1" si="722"/>
        <v>0</v>
      </c>
      <c r="Y470" s="52">
        <f t="shared" ca="1" si="722"/>
        <v>0</v>
      </c>
      <c r="Z470" s="52">
        <f t="shared" ca="1" si="722"/>
        <v>0</v>
      </c>
      <c r="AA470" s="52">
        <f t="shared" ca="1" si="722"/>
        <v>0</v>
      </c>
      <c r="AB470" s="52">
        <f t="shared" ca="1" si="722"/>
        <v>0</v>
      </c>
      <c r="AC470" s="52">
        <f t="shared" ca="1" si="722"/>
        <v>0</v>
      </c>
      <c r="AD470" s="52">
        <f t="shared" ca="1" si="722"/>
        <v>0</v>
      </c>
      <c r="AE470" s="52">
        <f t="shared" ca="1" si="722"/>
        <v>0</v>
      </c>
      <c r="AF470" s="52">
        <f t="shared" ca="1" si="722"/>
        <v>0</v>
      </c>
      <c r="AG470" s="52">
        <f t="shared" ca="1" si="722"/>
        <v>0</v>
      </c>
      <c r="AH470" s="52">
        <f t="shared" ca="1" si="722"/>
        <v>0</v>
      </c>
      <c r="AI470" s="52">
        <f t="shared" ca="1" si="722"/>
        <v>0</v>
      </c>
      <c r="AJ470" s="52">
        <f t="shared" ca="1" si="722"/>
        <v>0</v>
      </c>
      <c r="AK470" s="52">
        <f t="shared" ca="1" si="722"/>
        <v>0</v>
      </c>
      <c r="AL470" s="52">
        <f t="shared" ca="1" si="722"/>
        <v>0</v>
      </c>
      <c r="AM470" s="52">
        <f t="shared" ca="1" si="722"/>
        <v>0</v>
      </c>
      <c r="AN470" s="52">
        <f t="shared" ca="1" si="722"/>
        <v>0</v>
      </c>
      <c r="AO470" s="52">
        <f t="shared" ca="1" si="722"/>
        <v>0</v>
      </c>
      <c r="AP470" s="52">
        <f t="shared" ca="1" si="722"/>
        <v>0</v>
      </c>
      <c r="AQ470" s="52">
        <f t="shared" ca="1" si="722"/>
        <v>0</v>
      </c>
      <c r="AR470" s="52">
        <f t="shared" ref="AR470:BW470" ca="1" si="723" xml:space="preserve"> MIN(AR469*AR465,AQ472)</f>
        <v>0</v>
      </c>
      <c r="AS470" s="52">
        <f t="shared" ca="1" si="723"/>
        <v>0</v>
      </c>
      <c r="AT470" s="52">
        <f t="shared" ca="1" si="723"/>
        <v>0</v>
      </c>
      <c r="AU470" s="52">
        <f t="shared" ca="1" si="723"/>
        <v>0</v>
      </c>
      <c r="AV470" s="52">
        <f t="shared" ca="1" si="723"/>
        <v>0</v>
      </c>
      <c r="AW470" s="52">
        <f t="shared" ca="1" si="723"/>
        <v>0</v>
      </c>
      <c r="AX470" s="52">
        <f t="shared" ca="1" si="723"/>
        <v>0</v>
      </c>
      <c r="AY470" s="52">
        <f t="shared" ca="1" si="723"/>
        <v>0</v>
      </c>
      <c r="AZ470" s="52">
        <f t="shared" ca="1" si="723"/>
        <v>0</v>
      </c>
      <c r="BA470" s="52">
        <f t="shared" ca="1" si="723"/>
        <v>0</v>
      </c>
      <c r="BB470" s="52">
        <f t="shared" ca="1" si="723"/>
        <v>0</v>
      </c>
      <c r="BC470" s="52">
        <f t="shared" ca="1" si="723"/>
        <v>0</v>
      </c>
      <c r="BD470" s="52">
        <f t="shared" ca="1" si="723"/>
        <v>0</v>
      </c>
      <c r="BE470" s="52">
        <f t="shared" ca="1" si="723"/>
        <v>0</v>
      </c>
      <c r="BF470" s="52">
        <f t="shared" ca="1" si="723"/>
        <v>0</v>
      </c>
      <c r="BG470" s="52">
        <f t="shared" ca="1" si="723"/>
        <v>0</v>
      </c>
      <c r="BH470" s="52">
        <f t="shared" ca="1" si="723"/>
        <v>0</v>
      </c>
      <c r="BI470" s="52">
        <f t="shared" ca="1" si="723"/>
        <v>0</v>
      </c>
      <c r="BJ470" s="52">
        <f t="shared" ca="1" si="723"/>
        <v>0</v>
      </c>
      <c r="BK470" s="52">
        <f t="shared" ca="1" si="723"/>
        <v>0</v>
      </c>
      <c r="BL470" s="52">
        <f t="shared" ca="1" si="723"/>
        <v>0</v>
      </c>
      <c r="BM470" s="52">
        <f t="shared" ca="1" si="723"/>
        <v>0</v>
      </c>
      <c r="BN470" s="52">
        <f t="shared" ca="1" si="723"/>
        <v>0</v>
      </c>
      <c r="BO470" s="52">
        <f t="shared" ca="1" si="723"/>
        <v>0</v>
      </c>
      <c r="BP470" s="52">
        <f t="shared" ca="1" si="723"/>
        <v>0</v>
      </c>
      <c r="BQ470" s="52">
        <f t="shared" ca="1" si="723"/>
        <v>0</v>
      </c>
      <c r="BR470" s="52">
        <f t="shared" ca="1" si="723"/>
        <v>0</v>
      </c>
      <c r="BS470" s="52">
        <f t="shared" ca="1" si="723"/>
        <v>0</v>
      </c>
      <c r="BT470" s="52">
        <f t="shared" ca="1" si="723"/>
        <v>0</v>
      </c>
      <c r="BU470" s="52">
        <f t="shared" ca="1" si="723"/>
        <v>0</v>
      </c>
      <c r="BV470" s="52">
        <f t="shared" ca="1" si="723"/>
        <v>0</v>
      </c>
      <c r="BW470" s="52">
        <f t="shared" ca="1" si="723"/>
        <v>0</v>
      </c>
      <c r="BX470" s="52">
        <f t="shared" ref="BX470:CO470" ca="1" si="724" xml:space="preserve"> MIN(BX469*BX465,BW472)</f>
        <v>0</v>
      </c>
      <c r="BY470" s="52">
        <f t="shared" ca="1" si="724"/>
        <v>0</v>
      </c>
      <c r="BZ470" s="52">
        <f t="shared" ca="1" si="724"/>
        <v>0</v>
      </c>
      <c r="CA470" s="52">
        <f t="shared" ca="1" si="724"/>
        <v>0</v>
      </c>
      <c r="CB470" s="52">
        <f t="shared" ca="1" si="724"/>
        <v>0</v>
      </c>
      <c r="CC470" s="52">
        <f t="shared" ca="1" si="724"/>
        <v>0</v>
      </c>
      <c r="CD470" s="52">
        <f t="shared" ca="1" si="724"/>
        <v>0</v>
      </c>
      <c r="CE470" s="52">
        <f t="shared" ca="1" si="724"/>
        <v>0</v>
      </c>
      <c r="CF470" s="52">
        <f t="shared" ca="1" si="724"/>
        <v>0</v>
      </c>
      <c r="CG470" s="52">
        <f t="shared" ca="1" si="724"/>
        <v>0</v>
      </c>
      <c r="CH470" s="52">
        <f t="shared" ca="1" si="724"/>
        <v>0</v>
      </c>
      <c r="CI470" s="52">
        <f t="shared" ca="1" si="724"/>
        <v>0</v>
      </c>
      <c r="CJ470" s="52">
        <f t="shared" ca="1" si="724"/>
        <v>0</v>
      </c>
      <c r="CK470" s="52">
        <f t="shared" ca="1" si="724"/>
        <v>0</v>
      </c>
      <c r="CL470" s="52">
        <f t="shared" ca="1" si="724"/>
        <v>0</v>
      </c>
      <c r="CM470" s="52">
        <f t="shared" ca="1" si="724"/>
        <v>0</v>
      </c>
      <c r="CN470" s="52">
        <f t="shared" ca="1" si="724"/>
        <v>0</v>
      </c>
      <c r="CO470" s="52">
        <f t="shared" ca="1" si="724"/>
        <v>0</v>
      </c>
    </row>
    <row r="471" spans="1:93">
      <c r="A471" s="10"/>
      <c r="B471" s="10"/>
      <c r="C471" s="17" t="s">
        <v>127</v>
      </c>
      <c r="D471" s="10"/>
      <c r="E471" s="62"/>
      <c r="F471" s="11"/>
      <c r="G471" s="134" t="str">
        <f t="shared" si="711"/>
        <v>тыс. руб.</v>
      </c>
      <c r="H471" s="10"/>
      <c r="I471" s="10"/>
      <c r="J471" s="10"/>
      <c r="K471" s="10"/>
      <c r="L471" s="52">
        <f t="shared" ref="L471:AQ471" ca="1" si="725" xml:space="preserve"> SUM(K471,-L470)</f>
        <v>0</v>
      </c>
      <c r="M471" s="52">
        <f t="shared" ca="1" si="725"/>
        <v>0</v>
      </c>
      <c r="N471" s="52">
        <f t="shared" ca="1" si="725"/>
        <v>0</v>
      </c>
      <c r="O471" s="52">
        <f t="shared" ca="1" si="725"/>
        <v>0</v>
      </c>
      <c r="P471" s="52">
        <f t="shared" ca="1" si="725"/>
        <v>0</v>
      </c>
      <c r="Q471" s="52">
        <f t="shared" ca="1" si="725"/>
        <v>0</v>
      </c>
      <c r="R471" s="52">
        <f t="shared" ca="1" si="725"/>
        <v>0</v>
      </c>
      <c r="S471" s="52">
        <f t="shared" ca="1" si="725"/>
        <v>0</v>
      </c>
      <c r="T471" s="52">
        <f t="shared" ca="1" si="725"/>
        <v>0</v>
      </c>
      <c r="U471" s="52">
        <f t="shared" ca="1" si="725"/>
        <v>0</v>
      </c>
      <c r="V471" s="52">
        <f t="shared" ca="1" si="725"/>
        <v>0</v>
      </c>
      <c r="W471" s="52">
        <f t="shared" ca="1" si="725"/>
        <v>0</v>
      </c>
      <c r="X471" s="52">
        <f t="shared" ca="1" si="725"/>
        <v>0</v>
      </c>
      <c r="Y471" s="52">
        <f t="shared" ca="1" si="725"/>
        <v>0</v>
      </c>
      <c r="Z471" s="52">
        <f t="shared" ca="1" si="725"/>
        <v>0</v>
      </c>
      <c r="AA471" s="52">
        <f t="shared" ca="1" si="725"/>
        <v>0</v>
      </c>
      <c r="AB471" s="52">
        <f t="shared" ca="1" si="725"/>
        <v>0</v>
      </c>
      <c r="AC471" s="52">
        <f t="shared" ca="1" si="725"/>
        <v>0</v>
      </c>
      <c r="AD471" s="52">
        <f t="shared" ca="1" si="725"/>
        <v>0</v>
      </c>
      <c r="AE471" s="52">
        <f t="shared" ca="1" si="725"/>
        <v>0</v>
      </c>
      <c r="AF471" s="52">
        <f t="shared" ca="1" si="725"/>
        <v>0</v>
      </c>
      <c r="AG471" s="52">
        <f t="shared" ca="1" si="725"/>
        <v>0</v>
      </c>
      <c r="AH471" s="52">
        <f t="shared" ca="1" si="725"/>
        <v>0</v>
      </c>
      <c r="AI471" s="52">
        <f t="shared" ca="1" si="725"/>
        <v>0</v>
      </c>
      <c r="AJ471" s="52">
        <f t="shared" ca="1" si="725"/>
        <v>0</v>
      </c>
      <c r="AK471" s="52">
        <f t="shared" ca="1" si="725"/>
        <v>0</v>
      </c>
      <c r="AL471" s="52">
        <f t="shared" ca="1" si="725"/>
        <v>0</v>
      </c>
      <c r="AM471" s="52">
        <f t="shared" ca="1" si="725"/>
        <v>0</v>
      </c>
      <c r="AN471" s="52">
        <f t="shared" ca="1" si="725"/>
        <v>0</v>
      </c>
      <c r="AO471" s="52">
        <f t="shared" ca="1" si="725"/>
        <v>0</v>
      </c>
      <c r="AP471" s="52">
        <f t="shared" ca="1" si="725"/>
        <v>0</v>
      </c>
      <c r="AQ471" s="52">
        <f t="shared" ca="1" si="725"/>
        <v>0</v>
      </c>
      <c r="AR471" s="52">
        <f t="shared" ref="AR471:BW471" ca="1" si="726" xml:space="preserve"> SUM(AQ471,-AR470)</f>
        <v>0</v>
      </c>
      <c r="AS471" s="52">
        <f t="shared" ca="1" si="726"/>
        <v>0</v>
      </c>
      <c r="AT471" s="52">
        <f t="shared" ca="1" si="726"/>
        <v>0</v>
      </c>
      <c r="AU471" s="52">
        <f t="shared" ca="1" si="726"/>
        <v>0</v>
      </c>
      <c r="AV471" s="52">
        <f t="shared" ca="1" si="726"/>
        <v>0</v>
      </c>
      <c r="AW471" s="52">
        <f t="shared" ca="1" si="726"/>
        <v>0</v>
      </c>
      <c r="AX471" s="52">
        <f t="shared" ca="1" si="726"/>
        <v>0</v>
      </c>
      <c r="AY471" s="52">
        <f t="shared" ca="1" si="726"/>
        <v>0</v>
      </c>
      <c r="AZ471" s="52">
        <f t="shared" ca="1" si="726"/>
        <v>0</v>
      </c>
      <c r="BA471" s="52">
        <f t="shared" ca="1" si="726"/>
        <v>0</v>
      </c>
      <c r="BB471" s="52">
        <f t="shared" ca="1" si="726"/>
        <v>0</v>
      </c>
      <c r="BC471" s="52">
        <f t="shared" ca="1" si="726"/>
        <v>0</v>
      </c>
      <c r="BD471" s="52">
        <f t="shared" ca="1" si="726"/>
        <v>0</v>
      </c>
      <c r="BE471" s="52">
        <f t="shared" ca="1" si="726"/>
        <v>0</v>
      </c>
      <c r="BF471" s="52">
        <f t="shared" ca="1" si="726"/>
        <v>0</v>
      </c>
      <c r="BG471" s="52">
        <f t="shared" ca="1" si="726"/>
        <v>0</v>
      </c>
      <c r="BH471" s="52">
        <f t="shared" ca="1" si="726"/>
        <v>0</v>
      </c>
      <c r="BI471" s="52">
        <f t="shared" ca="1" si="726"/>
        <v>0</v>
      </c>
      <c r="BJ471" s="52">
        <f t="shared" ca="1" si="726"/>
        <v>0</v>
      </c>
      <c r="BK471" s="52">
        <f t="shared" ca="1" si="726"/>
        <v>0</v>
      </c>
      <c r="BL471" s="52">
        <f t="shared" ca="1" si="726"/>
        <v>0</v>
      </c>
      <c r="BM471" s="52">
        <f t="shared" ca="1" si="726"/>
        <v>0</v>
      </c>
      <c r="BN471" s="52">
        <f t="shared" ca="1" si="726"/>
        <v>0</v>
      </c>
      <c r="BO471" s="52">
        <f t="shared" ca="1" si="726"/>
        <v>0</v>
      </c>
      <c r="BP471" s="52">
        <f t="shared" ca="1" si="726"/>
        <v>0</v>
      </c>
      <c r="BQ471" s="52">
        <f t="shared" ca="1" si="726"/>
        <v>0</v>
      </c>
      <c r="BR471" s="52">
        <f t="shared" ca="1" si="726"/>
        <v>0</v>
      </c>
      <c r="BS471" s="52">
        <f t="shared" ca="1" si="726"/>
        <v>0</v>
      </c>
      <c r="BT471" s="52">
        <f t="shared" ca="1" si="726"/>
        <v>0</v>
      </c>
      <c r="BU471" s="52">
        <f t="shared" ca="1" si="726"/>
        <v>0</v>
      </c>
      <c r="BV471" s="52">
        <f t="shared" ca="1" si="726"/>
        <v>0</v>
      </c>
      <c r="BW471" s="52">
        <f t="shared" ca="1" si="726"/>
        <v>0</v>
      </c>
      <c r="BX471" s="52">
        <f t="shared" ref="BX471:CO471" ca="1" si="727" xml:space="preserve"> SUM(BW471,-BX470)</f>
        <v>0</v>
      </c>
      <c r="BY471" s="52">
        <f t="shared" ca="1" si="727"/>
        <v>0</v>
      </c>
      <c r="BZ471" s="52">
        <f t="shared" ca="1" si="727"/>
        <v>0</v>
      </c>
      <c r="CA471" s="52">
        <f t="shared" ca="1" si="727"/>
        <v>0</v>
      </c>
      <c r="CB471" s="52">
        <f t="shared" ca="1" si="727"/>
        <v>0</v>
      </c>
      <c r="CC471" s="52">
        <f t="shared" ca="1" si="727"/>
        <v>0</v>
      </c>
      <c r="CD471" s="52">
        <f t="shared" ca="1" si="727"/>
        <v>0</v>
      </c>
      <c r="CE471" s="52">
        <f t="shared" ca="1" si="727"/>
        <v>0</v>
      </c>
      <c r="CF471" s="52">
        <f t="shared" ca="1" si="727"/>
        <v>0</v>
      </c>
      <c r="CG471" s="52">
        <f t="shared" ca="1" si="727"/>
        <v>0</v>
      </c>
      <c r="CH471" s="52">
        <f t="shared" ca="1" si="727"/>
        <v>0</v>
      </c>
      <c r="CI471" s="52">
        <f t="shared" ca="1" si="727"/>
        <v>0</v>
      </c>
      <c r="CJ471" s="52">
        <f t="shared" ca="1" si="727"/>
        <v>0</v>
      </c>
      <c r="CK471" s="52">
        <f t="shared" ca="1" si="727"/>
        <v>0</v>
      </c>
      <c r="CL471" s="52">
        <f t="shared" ca="1" si="727"/>
        <v>0</v>
      </c>
      <c r="CM471" s="52">
        <f t="shared" ca="1" si="727"/>
        <v>0</v>
      </c>
      <c r="CN471" s="52">
        <f t="shared" ca="1" si="727"/>
        <v>0</v>
      </c>
      <c r="CO471" s="52">
        <f t="shared" ca="1" si="727"/>
        <v>0</v>
      </c>
    </row>
    <row r="472" spans="1:93">
      <c r="A472" s="10"/>
      <c r="B472" s="10"/>
      <c r="C472" s="17" t="s">
        <v>128</v>
      </c>
      <c r="D472" s="42"/>
      <c r="E472" s="62"/>
      <c r="F472" s="11"/>
      <c r="G472" s="134" t="str">
        <f t="shared" si="711"/>
        <v>тыс. руб.</v>
      </c>
      <c r="H472" s="10"/>
      <c r="I472" s="10"/>
      <c r="J472" s="10"/>
      <c r="K472" s="10"/>
      <c r="L472" s="52">
        <f t="shared" ref="L472:AQ472" ca="1" si="728" xml:space="preserve"> SUM(L469,L471)</f>
        <v>0</v>
      </c>
      <c r="M472" s="52">
        <f t="shared" ca="1" si="728"/>
        <v>0</v>
      </c>
      <c r="N472" s="52">
        <f t="shared" ca="1" si="728"/>
        <v>0</v>
      </c>
      <c r="O472" s="52">
        <f t="shared" ca="1" si="728"/>
        <v>0</v>
      </c>
      <c r="P472" s="52">
        <f t="shared" ca="1" si="728"/>
        <v>0</v>
      </c>
      <c r="Q472" s="52">
        <f t="shared" ca="1" si="728"/>
        <v>0</v>
      </c>
      <c r="R472" s="52">
        <f t="shared" ca="1" si="728"/>
        <v>0</v>
      </c>
      <c r="S472" s="52">
        <f t="shared" ca="1" si="728"/>
        <v>0</v>
      </c>
      <c r="T472" s="52">
        <f t="shared" ca="1" si="728"/>
        <v>0</v>
      </c>
      <c r="U472" s="52">
        <f t="shared" ca="1" si="728"/>
        <v>0</v>
      </c>
      <c r="V472" s="52">
        <f t="shared" ca="1" si="728"/>
        <v>0</v>
      </c>
      <c r="W472" s="52">
        <f t="shared" ca="1" si="728"/>
        <v>0</v>
      </c>
      <c r="X472" s="52">
        <f t="shared" ca="1" si="728"/>
        <v>0</v>
      </c>
      <c r="Y472" s="52">
        <f t="shared" ca="1" si="728"/>
        <v>0</v>
      </c>
      <c r="Z472" s="52">
        <f t="shared" ca="1" si="728"/>
        <v>0</v>
      </c>
      <c r="AA472" s="52">
        <f t="shared" ca="1" si="728"/>
        <v>0</v>
      </c>
      <c r="AB472" s="52">
        <f t="shared" ca="1" si="728"/>
        <v>0</v>
      </c>
      <c r="AC472" s="52">
        <f t="shared" ca="1" si="728"/>
        <v>0</v>
      </c>
      <c r="AD472" s="52">
        <f t="shared" ca="1" si="728"/>
        <v>0</v>
      </c>
      <c r="AE472" s="52">
        <f t="shared" ca="1" si="728"/>
        <v>0</v>
      </c>
      <c r="AF472" s="52">
        <f t="shared" ca="1" si="728"/>
        <v>0</v>
      </c>
      <c r="AG472" s="52">
        <f t="shared" ca="1" si="728"/>
        <v>0</v>
      </c>
      <c r="AH472" s="52">
        <f t="shared" ca="1" si="728"/>
        <v>0</v>
      </c>
      <c r="AI472" s="52">
        <f t="shared" ca="1" si="728"/>
        <v>0</v>
      </c>
      <c r="AJ472" s="52">
        <f t="shared" ca="1" si="728"/>
        <v>0</v>
      </c>
      <c r="AK472" s="52">
        <f t="shared" ca="1" si="728"/>
        <v>0</v>
      </c>
      <c r="AL472" s="52">
        <f t="shared" ca="1" si="728"/>
        <v>0</v>
      </c>
      <c r="AM472" s="52">
        <f t="shared" ca="1" si="728"/>
        <v>0</v>
      </c>
      <c r="AN472" s="52">
        <f t="shared" ca="1" si="728"/>
        <v>0</v>
      </c>
      <c r="AO472" s="52">
        <f t="shared" ca="1" si="728"/>
        <v>0</v>
      </c>
      <c r="AP472" s="52">
        <f t="shared" ca="1" si="728"/>
        <v>0</v>
      </c>
      <c r="AQ472" s="52">
        <f t="shared" ca="1" si="728"/>
        <v>0</v>
      </c>
      <c r="AR472" s="52">
        <f t="shared" ref="AR472:BW472" ca="1" si="729" xml:space="preserve"> SUM(AR469,AR471)</f>
        <v>0</v>
      </c>
      <c r="AS472" s="52">
        <f t="shared" ca="1" si="729"/>
        <v>0</v>
      </c>
      <c r="AT472" s="52">
        <f t="shared" ca="1" si="729"/>
        <v>0</v>
      </c>
      <c r="AU472" s="52">
        <f t="shared" ca="1" si="729"/>
        <v>0</v>
      </c>
      <c r="AV472" s="52">
        <f t="shared" ca="1" si="729"/>
        <v>0</v>
      </c>
      <c r="AW472" s="52">
        <f t="shared" ca="1" si="729"/>
        <v>0</v>
      </c>
      <c r="AX472" s="52">
        <f t="shared" ca="1" si="729"/>
        <v>0</v>
      </c>
      <c r="AY472" s="52">
        <f t="shared" ca="1" si="729"/>
        <v>0</v>
      </c>
      <c r="AZ472" s="52">
        <f t="shared" ca="1" si="729"/>
        <v>0</v>
      </c>
      <c r="BA472" s="52">
        <f t="shared" ca="1" si="729"/>
        <v>0</v>
      </c>
      <c r="BB472" s="52">
        <f t="shared" ca="1" si="729"/>
        <v>0</v>
      </c>
      <c r="BC472" s="52">
        <f t="shared" ca="1" si="729"/>
        <v>0</v>
      </c>
      <c r="BD472" s="52">
        <f t="shared" ca="1" si="729"/>
        <v>0</v>
      </c>
      <c r="BE472" s="52">
        <f t="shared" ca="1" si="729"/>
        <v>0</v>
      </c>
      <c r="BF472" s="52">
        <f t="shared" ca="1" si="729"/>
        <v>0</v>
      </c>
      <c r="BG472" s="52">
        <f t="shared" ca="1" si="729"/>
        <v>0</v>
      </c>
      <c r="BH472" s="52">
        <f t="shared" ca="1" si="729"/>
        <v>0</v>
      </c>
      <c r="BI472" s="52">
        <f t="shared" ca="1" si="729"/>
        <v>0</v>
      </c>
      <c r="BJ472" s="52">
        <f t="shared" ca="1" si="729"/>
        <v>0</v>
      </c>
      <c r="BK472" s="52">
        <f t="shared" ca="1" si="729"/>
        <v>0</v>
      </c>
      <c r="BL472" s="52">
        <f t="shared" ca="1" si="729"/>
        <v>0</v>
      </c>
      <c r="BM472" s="52">
        <f t="shared" ca="1" si="729"/>
        <v>0</v>
      </c>
      <c r="BN472" s="52">
        <f t="shared" ca="1" si="729"/>
        <v>0</v>
      </c>
      <c r="BO472" s="52">
        <f t="shared" ca="1" si="729"/>
        <v>0</v>
      </c>
      <c r="BP472" s="52">
        <f t="shared" ca="1" si="729"/>
        <v>0</v>
      </c>
      <c r="BQ472" s="52">
        <f t="shared" ca="1" si="729"/>
        <v>0</v>
      </c>
      <c r="BR472" s="52">
        <f t="shared" ca="1" si="729"/>
        <v>0</v>
      </c>
      <c r="BS472" s="52">
        <f t="shared" ca="1" si="729"/>
        <v>0</v>
      </c>
      <c r="BT472" s="52">
        <f t="shared" ca="1" si="729"/>
        <v>0</v>
      </c>
      <c r="BU472" s="52">
        <f t="shared" ca="1" si="729"/>
        <v>0</v>
      </c>
      <c r="BV472" s="52">
        <f t="shared" ca="1" si="729"/>
        <v>0</v>
      </c>
      <c r="BW472" s="52">
        <f t="shared" ca="1" si="729"/>
        <v>0</v>
      </c>
      <c r="BX472" s="52">
        <f t="shared" ref="BX472:CO472" ca="1" si="730" xml:space="preserve"> SUM(BX469,BX471)</f>
        <v>0</v>
      </c>
      <c r="BY472" s="52">
        <f t="shared" ca="1" si="730"/>
        <v>0</v>
      </c>
      <c r="BZ472" s="52">
        <f t="shared" ca="1" si="730"/>
        <v>0</v>
      </c>
      <c r="CA472" s="52">
        <f t="shared" ca="1" si="730"/>
        <v>0</v>
      </c>
      <c r="CB472" s="52">
        <f t="shared" ca="1" si="730"/>
        <v>0</v>
      </c>
      <c r="CC472" s="52">
        <f t="shared" ca="1" si="730"/>
        <v>0</v>
      </c>
      <c r="CD472" s="52">
        <f t="shared" ca="1" si="730"/>
        <v>0</v>
      </c>
      <c r="CE472" s="52">
        <f t="shared" ca="1" si="730"/>
        <v>0</v>
      </c>
      <c r="CF472" s="52">
        <f t="shared" ca="1" si="730"/>
        <v>0</v>
      </c>
      <c r="CG472" s="52">
        <f t="shared" ca="1" si="730"/>
        <v>0</v>
      </c>
      <c r="CH472" s="52">
        <f t="shared" ca="1" si="730"/>
        <v>0</v>
      </c>
      <c r="CI472" s="52">
        <f t="shared" ca="1" si="730"/>
        <v>0</v>
      </c>
      <c r="CJ472" s="52">
        <f t="shared" ca="1" si="730"/>
        <v>0</v>
      </c>
      <c r="CK472" s="52">
        <f t="shared" ca="1" si="730"/>
        <v>0</v>
      </c>
      <c r="CL472" s="52">
        <f t="shared" ca="1" si="730"/>
        <v>0</v>
      </c>
      <c r="CM472" s="52">
        <f t="shared" ca="1" si="730"/>
        <v>0</v>
      </c>
      <c r="CN472" s="52">
        <f t="shared" ca="1" si="730"/>
        <v>0</v>
      </c>
      <c r="CO472" s="52">
        <f t="shared" ca="1" si="730"/>
        <v>0</v>
      </c>
    </row>
    <row r="473" spans="1:93">
      <c r="A473" s="10"/>
      <c r="B473" s="10"/>
      <c r="C473" s="21"/>
      <c r="D473" s="42"/>
      <c r="E473" s="62"/>
      <c r="F473" s="11"/>
      <c r="G473" s="11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  <c r="BA473" s="10"/>
      <c r="BB473" s="10"/>
      <c r="BC473" s="10"/>
      <c r="BD473" s="10"/>
      <c r="BE473" s="10"/>
      <c r="BF473" s="10"/>
      <c r="BG473" s="10"/>
      <c r="BH473" s="10"/>
      <c r="BI473" s="10"/>
      <c r="BJ473" s="10"/>
      <c r="BK473" s="10"/>
      <c r="BL473" s="10"/>
      <c r="BM473" s="10"/>
      <c r="BN473" s="10"/>
      <c r="BO473" s="10"/>
      <c r="BP473" s="10"/>
      <c r="BQ473" s="10"/>
      <c r="BR473" s="10"/>
      <c r="BS473" s="10"/>
      <c r="BT473" s="10"/>
      <c r="BU473" s="10"/>
      <c r="BV473" s="10"/>
      <c r="BW473" s="10"/>
      <c r="BX473" s="10"/>
      <c r="BY473" s="10"/>
      <c r="BZ473" s="10"/>
      <c r="CA473" s="10"/>
      <c r="CB473" s="10"/>
      <c r="CC473" s="10"/>
      <c r="CD473" s="10"/>
      <c r="CE473" s="10"/>
      <c r="CF473" s="10"/>
      <c r="CG473" s="10"/>
      <c r="CH473" s="10"/>
      <c r="CI473" s="10"/>
      <c r="CJ473" s="10"/>
      <c r="CK473" s="10"/>
      <c r="CL473" s="10"/>
      <c r="CM473" s="10"/>
      <c r="CN473" s="10"/>
      <c r="CO473" s="10"/>
    </row>
    <row r="474" spans="1:93">
      <c r="A474" s="10"/>
      <c r="B474" s="10"/>
      <c r="C474" s="87" t="s">
        <v>1064</v>
      </c>
      <c r="D474" s="10"/>
      <c r="E474" s="62"/>
      <c r="F474" s="11"/>
      <c r="G474" s="11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  <c r="CD474" s="10"/>
      <c r="CE474" s="10"/>
      <c r="CF474" s="10"/>
      <c r="CG474" s="10"/>
      <c r="CH474" s="10"/>
      <c r="CI474" s="10"/>
      <c r="CJ474" s="10"/>
      <c r="CK474" s="10"/>
      <c r="CL474" s="10"/>
      <c r="CM474" s="10"/>
      <c r="CN474" s="10"/>
      <c r="CO474" s="10"/>
    </row>
    <row r="475" spans="1:93">
      <c r="A475" s="10"/>
      <c r="B475" s="10"/>
      <c r="C475" s="17" t="s">
        <v>386</v>
      </c>
      <c r="D475" s="10"/>
      <c r="E475" s="184">
        <f xml:space="preserve"> Предпосылки!E372</f>
        <v>7</v>
      </c>
      <c r="F475" s="11"/>
      <c r="G475" s="11" t="s">
        <v>123</v>
      </c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  <c r="BA475" s="10"/>
      <c r="BB475" s="10"/>
      <c r="BC475" s="10"/>
      <c r="BD475" s="10"/>
      <c r="BE475" s="10"/>
      <c r="BF475" s="10"/>
      <c r="BG475" s="10"/>
      <c r="BH475" s="10"/>
      <c r="BI475" s="10"/>
      <c r="BJ475" s="10"/>
      <c r="BK475" s="10"/>
      <c r="BL475" s="10"/>
      <c r="BM475" s="10"/>
      <c r="BN475" s="10"/>
      <c r="BO475" s="10"/>
      <c r="BP475" s="10"/>
      <c r="BQ475" s="10"/>
      <c r="BR475" s="10"/>
      <c r="BS475" s="10"/>
      <c r="BT475" s="10"/>
      <c r="BU475" s="10"/>
      <c r="BV475" s="10"/>
      <c r="BW475" s="10"/>
      <c r="BX475" s="10"/>
      <c r="BY475" s="10"/>
      <c r="BZ475" s="10"/>
      <c r="CA475" s="10"/>
      <c r="CB475" s="10"/>
      <c r="CC475" s="10"/>
      <c r="CD475" s="10"/>
      <c r="CE475" s="10"/>
      <c r="CF475" s="10"/>
      <c r="CG475" s="10"/>
      <c r="CH475" s="10"/>
      <c r="CI475" s="10"/>
      <c r="CJ475" s="10"/>
      <c r="CK475" s="10"/>
      <c r="CL475" s="10"/>
      <c r="CM475" s="10"/>
      <c r="CN475" s="10"/>
      <c r="CO475" s="10"/>
    </row>
    <row r="476" spans="1:93">
      <c r="A476" s="10"/>
      <c r="B476" s="10"/>
      <c r="C476" s="17" t="s">
        <v>387</v>
      </c>
      <c r="D476" s="10"/>
      <c r="E476" s="182"/>
      <c r="F476" s="42"/>
      <c r="G476" s="11" t="s">
        <v>28</v>
      </c>
      <c r="H476" s="10"/>
      <c r="I476" s="10"/>
      <c r="J476" s="10"/>
      <c r="K476" s="10"/>
      <c r="L476" s="157">
        <f t="shared" ref="L476:AQ476" si="731" xml:space="preserve"> IF($E475&lt;&gt;0,1/$E475,0)/Periods_in_Year</f>
        <v>3.5714285714285712E-2</v>
      </c>
      <c r="M476" s="157">
        <f t="shared" si="731"/>
        <v>3.5714285714285712E-2</v>
      </c>
      <c r="N476" s="157">
        <f t="shared" si="731"/>
        <v>3.5714285714285712E-2</v>
      </c>
      <c r="O476" s="157">
        <f t="shared" si="731"/>
        <v>3.5714285714285712E-2</v>
      </c>
      <c r="P476" s="157">
        <f t="shared" si="731"/>
        <v>3.5714285714285712E-2</v>
      </c>
      <c r="Q476" s="157">
        <f t="shared" si="731"/>
        <v>3.5714285714285712E-2</v>
      </c>
      <c r="R476" s="157">
        <f t="shared" si="731"/>
        <v>3.5714285714285712E-2</v>
      </c>
      <c r="S476" s="157">
        <f t="shared" si="731"/>
        <v>3.5714285714285712E-2</v>
      </c>
      <c r="T476" s="157">
        <f t="shared" si="731"/>
        <v>3.5714285714285712E-2</v>
      </c>
      <c r="U476" s="157">
        <f t="shared" si="731"/>
        <v>3.5714285714285712E-2</v>
      </c>
      <c r="V476" s="157">
        <f t="shared" si="731"/>
        <v>3.5714285714285712E-2</v>
      </c>
      <c r="W476" s="157">
        <f t="shared" si="731"/>
        <v>3.5714285714285712E-2</v>
      </c>
      <c r="X476" s="157">
        <f t="shared" si="731"/>
        <v>3.5714285714285712E-2</v>
      </c>
      <c r="Y476" s="157">
        <f t="shared" si="731"/>
        <v>3.5714285714285712E-2</v>
      </c>
      <c r="Z476" s="157">
        <f t="shared" si="731"/>
        <v>3.5714285714285712E-2</v>
      </c>
      <c r="AA476" s="157">
        <f t="shared" si="731"/>
        <v>3.5714285714285712E-2</v>
      </c>
      <c r="AB476" s="157">
        <f t="shared" si="731"/>
        <v>3.5714285714285712E-2</v>
      </c>
      <c r="AC476" s="157">
        <f t="shared" si="731"/>
        <v>3.5714285714285712E-2</v>
      </c>
      <c r="AD476" s="157">
        <f t="shared" si="731"/>
        <v>3.5714285714285712E-2</v>
      </c>
      <c r="AE476" s="157">
        <f t="shared" si="731"/>
        <v>3.5714285714285712E-2</v>
      </c>
      <c r="AF476" s="157">
        <f t="shared" si="731"/>
        <v>3.5714285714285712E-2</v>
      </c>
      <c r="AG476" s="157">
        <f t="shared" si="731"/>
        <v>3.5714285714285712E-2</v>
      </c>
      <c r="AH476" s="157">
        <f t="shared" si="731"/>
        <v>3.5714285714285712E-2</v>
      </c>
      <c r="AI476" s="157">
        <f t="shared" si="731"/>
        <v>3.5714285714285712E-2</v>
      </c>
      <c r="AJ476" s="157">
        <f t="shared" si="731"/>
        <v>3.5714285714285712E-2</v>
      </c>
      <c r="AK476" s="157">
        <f t="shared" si="731"/>
        <v>3.5714285714285712E-2</v>
      </c>
      <c r="AL476" s="157">
        <f t="shared" si="731"/>
        <v>3.5714285714285712E-2</v>
      </c>
      <c r="AM476" s="157">
        <f t="shared" si="731"/>
        <v>3.5714285714285712E-2</v>
      </c>
      <c r="AN476" s="157">
        <f t="shared" si="731"/>
        <v>3.5714285714285712E-2</v>
      </c>
      <c r="AO476" s="157">
        <f t="shared" si="731"/>
        <v>3.5714285714285712E-2</v>
      </c>
      <c r="AP476" s="157">
        <f t="shared" si="731"/>
        <v>3.5714285714285712E-2</v>
      </c>
      <c r="AQ476" s="157">
        <f t="shared" si="731"/>
        <v>3.5714285714285712E-2</v>
      </c>
      <c r="AR476" s="157">
        <f t="shared" ref="AR476:BW476" si="732" xml:space="preserve"> IF($E475&lt;&gt;0,1/$E475,0)/Periods_in_Year</f>
        <v>3.5714285714285712E-2</v>
      </c>
      <c r="AS476" s="157">
        <f t="shared" si="732"/>
        <v>3.5714285714285712E-2</v>
      </c>
      <c r="AT476" s="157">
        <f t="shared" si="732"/>
        <v>3.5714285714285712E-2</v>
      </c>
      <c r="AU476" s="157">
        <f t="shared" si="732"/>
        <v>3.5714285714285712E-2</v>
      </c>
      <c r="AV476" s="157">
        <f t="shared" si="732"/>
        <v>3.5714285714285712E-2</v>
      </c>
      <c r="AW476" s="157">
        <f t="shared" si="732"/>
        <v>3.5714285714285712E-2</v>
      </c>
      <c r="AX476" s="157">
        <f t="shared" si="732"/>
        <v>3.5714285714285712E-2</v>
      </c>
      <c r="AY476" s="157">
        <f t="shared" si="732"/>
        <v>3.5714285714285712E-2</v>
      </c>
      <c r="AZ476" s="157">
        <f t="shared" si="732"/>
        <v>3.5714285714285712E-2</v>
      </c>
      <c r="BA476" s="157">
        <f t="shared" si="732"/>
        <v>3.5714285714285712E-2</v>
      </c>
      <c r="BB476" s="157">
        <f t="shared" si="732"/>
        <v>3.5714285714285712E-2</v>
      </c>
      <c r="BC476" s="157">
        <f t="shared" si="732"/>
        <v>3.5714285714285712E-2</v>
      </c>
      <c r="BD476" s="157">
        <f t="shared" si="732"/>
        <v>3.5714285714285712E-2</v>
      </c>
      <c r="BE476" s="157">
        <f t="shared" si="732"/>
        <v>3.5714285714285712E-2</v>
      </c>
      <c r="BF476" s="157">
        <f t="shared" si="732"/>
        <v>3.5714285714285712E-2</v>
      </c>
      <c r="BG476" s="157">
        <f t="shared" si="732"/>
        <v>3.5714285714285712E-2</v>
      </c>
      <c r="BH476" s="157">
        <f t="shared" si="732"/>
        <v>3.5714285714285712E-2</v>
      </c>
      <c r="BI476" s="157">
        <f t="shared" si="732"/>
        <v>3.5714285714285712E-2</v>
      </c>
      <c r="BJ476" s="157">
        <f t="shared" si="732"/>
        <v>3.5714285714285712E-2</v>
      </c>
      <c r="BK476" s="157">
        <f t="shared" si="732"/>
        <v>3.5714285714285712E-2</v>
      </c>
      <c r="BL476" s="157">
        <f t="shared" si="732"/>
        <v>3.5714285714285712E-2</v>
      </c>
      <c r="BM476" s="157">
        <f t="shared" si="732"/>
        <v>3.5714285714285712E-2</v>
      </c>
      <c r="BN476" s="157">
        <f t="shared" si="732"/>
        <v>3.5714285714285712E-2</v>
      </c>
      <c r="BO476" s="157">
        <f t="shared" si="732"/>
        <v>3.5714285714285712E-2</v>
      </c>
      <c r="BP476" s="157">
        <f t="shared" si="732"/>
        <v>3.5714285714285712E-2</v>
      </c>
      <c r="BQ476" s="157">
        <f t="shared" si="732"/>
        <v>3.5714285714285712E-2</v>
      </c>
      <c r="BR476" s="157">
        <f t="shared" si="732"/>
        <v>3.5714285714285712E-2</v>
      </c>
      <c r="BS476" s="157">
        <f t="shared" si="732"/>
        <v>3.5714285714285712E-2</v>
      </c>
      <c r="BT476" s="157">
        <f t="shared" si="732"/>
        <v>3.5714285714285712E-2</v>
      </c>
      <c r="BU476" s="157">
        <f t="shared" si="732"/>
        <v>3.5714285714285712E-2</v>
      </c>
      <c r="BV476" s="157">
        <f t="shared" si="732"/>
        <v>3.5714285714285712E-2</v>
      </c>
      <c r="BW476" s="157">
        <f t="shared" si="732"/>
        <v>3.5714285714285712E-2</v>
      </c>
      <c r="BX476" s="157">
        <f t="shared" ref="BX476:CO476" si="733" xml:space="preserve"> IF($E475&lt;&gt;0,1/$E475,0)/Periods_in_Year</f>
        <v>3.5714285714285712E-2</v>
      </c>
      <c r="BY476" s="157">
        <f t="shared" si="733"/>
        <v>3.5714285714285712E-2</v>
      </c>
      <c r="BZ476" s="157">
        <f t="shared" si="733"/>
        <v>3.5714285714285712E-2</v>
      </c>
      <c r="CA476" s="157">
        <f t="shared" si="733"/>
        <v>3.5714285714285712E-2</v>
      </c>
      <c r="CB476" s="157">
        <f t="shared" si="733"/>
        <v>3.5714285714285712E-2</v>
      </c>
      <c r="CC476" s="157">
        <f t="shared" si="733"/>
        <v>3.5714285714285712E-2</v>
      </c>
      <c r="CD476" s="157">
        <f t="shared" si="733"/>
        <v>3.5714285714285712E-2</v>
      </c>
      <c r="CE476" s="157">
        <f t="shared" si="733"/>
        <v>3.5714285714285712E-2</v>
      </c>
      <c r="CF476" s="157">
        <f t="shared" si="733"/>
        <v>3.5714285714285712E-2</v>
      </c>
      <c r="CG476" s="157">
        <f t="shared" si="733"/>
        <v>3.5714285714285712E-2</v>
      </c>
      <c r="CH476" s="157">
        <f t="shared" si="733"/>
        <v>3.5714285714285712E-2</v>
      </c>
      <c r="CI476" s="157">
        <f t="shared" si="733"/>
        <v>3.5714285714285712E-2</v>
      </c>
      <c r="CJ476" s="157">
        <f t="shared" si="733"/>
        <v>3.5714285714285712E-2</v>
      </c>
      <c r="CK476" s="157">
        <f t="shared" si="733"/>
        <v>3.5714285714285712E-2</v>
      </c>
      <c r="CL476" s="157">
        <f t="shared" si="733"/>
        <v>3.5714285714285712E-2</v>
      </c>
      <c r="CM476" s="157">
        <f t="shared" si="733"/>
        <v>3.5714285714285712E-2</v>
      </c>
      <c r="CN476" s="157">
        <f t="shared" si="733"/>
        <v>3.5714285714285712E-2</v>
      </c>
      <c r="CO476" s="157">
        <f t="shared" si="733"/>
        <v>3.5714285714285712E-2</v>
      </c>
    </row>
    <row r="477" spans="1:93">
      <c r="A477" s="10"/>
      <c r="B477" s="10"/>
      <c r="C477" s="17" t="s">
        <v>125</v>
      </c>
      <c r="D477" s="10"/>
      <c r="E477" s="62"/>
      <c r="F477" s="11"/>
      <c r="G477" s="134" t="str">
        <f t="shared" ref="G477:G483" si="734">Monetary_Unit</f>
        <v>тыс. руб.</v>
      </c>
      <c r="H477" s="10"/>
      <c r="I477" s="10"/>
      <c r="J477" s="10"/>
      <c r="K477" s="10"/>
      <c r="L477" s="52">
        <f t="shared" ref="L477:R477" si="735" xml:space="preserve"> K483</f>
        <v>0</v>
      </c>
      <c r="M477" s="52">
        <f t="shared" ca="1" si="735"/>
        <v>0</v>
      </c>
      <c r="N477" s="52">
        <f t="shared" ca="1" si="735"/>
        <v>0</v>
      </c>
      <c r="O477" s="52">
        <f t="shared" ca="1" si="735"/>
        <v>0</v>
      </c>
      <c r="P477" s="52">
        <f t="shared" ca="1" si="735"/>
        <v>0</v>
      </c>
      <c r="Q477" s="52">
        <f t="shared" ca="1" si="735"/>
        <v>0</v>
      </c>
      <c r="R477" s="52">
        <f t="shared" ca="1" si="735"/>
        <v>0</v>
      </c>
      <c r="S477" s="52">
        <f ca="1" xml:space="preserve"> R483</f>
        <v>0</v>
      </c>
      <c r="T477" s="52">
        <f t="shared" ref="T477:CE477" ca="1" si="736" xml:space="preserve"> S483</f>
        <v>0</v>
      </c>
      <c r="U477" s="52">
        <f t="shared" ca="1" si="736"/>
        <v>0</v>
      </c>
      <c r="V477" s="52">
        <f t="shared" ca="1" si="736"/>
        <v>0</v>
      </c>
      <c r="W477" s="52">
        <f t="shared" ca="1" si="736"/>
        <v>0</v>
      </c>
      <c r="X477" s="52">
        <f t="shared" ca="1" si="736"/>
        <v>0</v>
      </c>
      <c r="Y477" s="52">
        <f t="shared" ca="1" si="736"/>
        <v>0</v>
      </c>
      <c r="Z477" s="52">
        <f t="shared" ca="1" si="736"/>
        <v>0</v>
      </c>
      <c r="AA477" s="52">
        <f t="shared" ca="1" si="736"/>
        <v>0</v>
      </c>
      <c r="AB477" s="52">
        <f t="shared" ca="1" si="736"/>
        <v>0</v>
      </c>
      <c r="AC477" s="52">
        <f t="shared" ca="1" si="736"/>
        <v>0</v>
      </c>
      <c r="AD477" s="52">
        <f t="shared" ca="1" si="736"/>
        <v>0</v>
      </c>
      <c r="AE477" s="52">
        <f t="shared" ca="1" si="736"/>
        <v>0</v>
      </c>
      <c r="AF477" s="52">
        <f t="shared" ca="1" si="736"/>
        <v>0</v>
      </c>
      <c r="AG477" s="52">
        <f t="shared" ca="1" si="736"/>
        <v>0</v>
      </c>
      <c r="AH477" s="52">
        <f t="shared" ca="1" si="736"/>
        <v>0</v>
      </c>
      <c r="AI477" s="52">
        <f t="shared" ca="1" si="736"/>
        <v>0</v>
      </c>
      <c r="AJ477" s="52">
        <f t="shared" ca="1" si="736"/>
        <v>0</v>
      </c>
      <c r="AK477" s="52">
        <f t="shared" ca="1" si="736"/>
        <v>0</v>
      </c>
      <c r="AL477" s="52">
        <f t="shared" ca="1" si="736"/>
        <v>0</v>
      </c>
      <c r="AM477" s="52">
        <f t="shared" ca="1" si="736"/>
        <v>0</v>
      </c>
      <c r="AN477" s="52">
        <f t="shared" ca="1" si="736"/>
        <v>0</v>
      </c>
      <c r="AO477" s="52">
        <f t="shared" ca="1" si="736"/>
        <v>0</v>
      </c>
      <c r="AP477" s="52">
        <f t="shared" ca="1" si="736"/>
        <v>0</v>
      </c>
      <c r="AQ477" s="52">
        <f t="shared" ca="1" si="736"/>
        <v>0</v>
      </c>
      <c r="AR477" s="52">
        <f t="shared" ca="1" si="736"/>
        <v>0</v>
      </c>
      <c r="AS477" s="52">
        <f t="shared" ca="1" si="736"/>
        <v>0</v>
      </c>
      <c r="AT477" s="52">
        <f t="shared" ca="1" si="736"/>
        <v>0</v>
      </c>
      <c r="AU477" s="52">
        <f t="shared" ca="1" si="736"/>
        <v>0</v>
      </c>
      <c r="AV477" s="52">
        <f t="shared" ca="1" si="736"/>
        <v>0</v>
      </c>
      <c r="AW477" s="52">
        <f t="shared" ca="1" si="736"/>
        <v>0</v>
      </c>
      <c r="AX477" s="52">
        <f t="shared" ca="1" si="736"/>
        <v>0</v>
      </c>
      <c r="AY477" s="52">
        <f t="shared" ca="1" si="736"/>
        <v>0</v>
      </c>
      <c r="AZ477" s="52">
        <f t="shared" ca="1" si="736"/>
        <v>0</v>
      </c>
      <c r="BA477" s="52">
        <f t="shared" ca="1" si="736"/>
        <v>0</v>
      </c>
      <c r="BB477" s="52">
        <f t="shared" ca="1" si="736"/>
        <v>0</v>
      </c>
      <c r="BC477" s="52">
        <f t="shared" ca="1" si="736"/>
        <v>0</v>
      </c>
      <c r="BD477" s="52">
        <f t="shared" ca="1" si="736"/>
        <v>0</v>
      </c>
      <c r="BE477" s="52">
        <f t="shared" ca="1" si="736"/>
        <v>0</v>
      </c>
      <c r="BF477" s="52">
        <f t="shared" ca="1" si="736"/>
        <v>0</v>
      </c>
      <c r="BG477" s="52">
        <f t="shared" ca="1" si="736"/>
        <v>0</v>
      </c>
      <c r="BH477" s="52">
        <f t="shared" ca="1" si="736"/>
        <v>0</v>
      </c>
      <c r="BI477" s="52">
        <f t="shared" ca="1" si="736"/>
        <v>0</v>
      </c>
      <c r="BJ477" s="52">
        <f t="shared" ca="1" si="736"/>
        <v>0</v>
      </c>
      <c r="BK477" s="52">
        <f t="shared" ca="1" si="736"/>
        <v>0</v>
      </c>
      <c r="BL477" s="52">
        <f t="shared" ca="1" si="736"/>
        <v>0</v>
      </c>
      <c r="BM477" s="52">
        <f t="shared" ca="1" si="736"/>
        <v>0</v>
      </c>
      <c r="BN477" s="52">
        <f t="shared" ca="1" si="736"/>
        <v>0</v>
      </c>
      <c r="BO477" s="52">
        <f t="shared" ca="1" si="736"/>
        <v>0</v>
      </c>
      <c r="BP477" s="52">
        <f t="shared" ca="1" si="736"/>
        <v>0</v>
      </c>
      <c r="BQ477" s="52">
        <f t="shared" ca="1" si="736"/>
        <v>0</v>
      </c>
      <c r="BR477" s="52">
        <f t="shared" ca="1" si="736"/>
        <v>0</v>
      </c>
      <c r="BS477" s="52">
        <f t="shared" ca="1" si="736"/>
        <v>0</v>
      </c>
      <c r="BT477" s="52">
        <f t="shared" ca="1" si="736"/>
        <v>0</v>
      </c>
      <c r="BU477" s="52">
        <f t="shared" ca="1" si="736"/>
        <v>0</v>
      </c>
      <c r="BV477" s="52">
        <f t="shared" ca="1" si="736"/>
        <v>0</v>
      </c>
      <c r="BW477" s="52">
        <f t="shared" ca="1" si="736"/>
        <v>0</v>
      </c>
      <c r="BX477" s="52">
        <f t="shared" ca="1" si="736"/>
        <v>0</v>
      </c>
      <c r="BY477" s="52">
        <f t="shared" ca="1" si="736"/>
        <v>0</v>
      </c>
      <c r="BZ477" s="52">
        <f t="shared" ca="1" si="736"/>
        <v>0</v>
      </c>
      <c r="CA477" s="52">
        <f t="shared" ca="1" si="736"/>
        <v>0</v>
      </c>
      <c r="CB477" s="52">
        <f t="shared" ca="1" si="736"/>
        <v>0</v>
      </c>
      <c r="CC477" s="52">
        <f t="shared" ca="1" si="736"/>
        <v>0</v>
      </c>
      <c r="CD477" s="52">
        <f t="shared" ca="1" si="736"/>
        <v>0</v>
      </c>
      <c r="CE477" s="52">
        <f t="shared" ca="1" si="736"/>
        <v>0</v>
      </c>
      <c r="CF477" s="52">
        <f t="shared" ref="CF477:CO477" ca="1" si="737" xml:space="preserve"> CE483</f>
        <v>0</v>
      </c>
      <c r="CG477" s="52">
        <f t="shared" ca="1" si="737"/>
        <v>0</v>
      </c>
      <c r="CH477" s="52">
        <f t="shared" ca="1" si="737"/>
        <v>0</v>
      </c>
      <c r="CI477" s="52">
        <f t="shared" ca="1" si="737"/>
        <v>0</v>
      </c>
      <c r="CJ477" s="52">
        <f t="shared" ca="1" si="737"/>
        <v>0</v>
      </c>
      <c r="CK477" s="52">
        <f t="shared" ca="1" si="737"/>
        <v>0</v>
      </c>
      <c r="CL477" s="52">
        <f t="shared" ca="1" si="737"/>
        <v>0</v>
      </c>
      <c r="CM477" s="52">
        <f t="shared" ca="1" si="737"/>
        <v>0</v>
      </c>
      <c r="CN477" s="52">
        <f t="shared" ca="1" si="737"/>
        <v>0</v>
      </c>
      <c r="CO477" s="52">
        <f t="shared" ca="1" si="737"/>
        <v>0</v>
      </c>
    </row>
    <row r="478" spans="1:93">
      <c r="A478" s="10"/>
      <c r="B478" s="10"/>
      <c r="C478" s="17" t="s">
        <v>126</v>
      </c>
      <c r="D478" s="10"/>
      <c r="E478" s="62"/>
      <c r="F478" s="11"/>
      <c r="G478" s="134" t="str">
        <f t="shared" si="734"/>
        <v>тыс. руб.</v>
      </c>
      <c r="H478" s="10"/>
      <c r="I478" s="23">
        <f ca="1">SUM(L478:CO478)</f>
        <v>0</v>
      </c>
      <c r="J478" s="10"/>
      <c r="K478" s="10"/>
      <c r="L478" s="52">
        <f ca="1" xml:space="preserve"> SUM(L$328,L$330) * $E347 + L479</f>
        <v>0</v>
      </c>
      <c r="M478" s="52">
        <f t="shared" ref="M478:BX478" ca="1" si="738" xml:space="preserve"> SUM(M$328,M$330) * $E347 + M479</f>
        <v>0</v>
      </c>
      <c r="N478" s="52">
        <f t="shared" ca="1" si="738"/>
        <v>0</v>
      </c>
      <c r="O478" s="52">
        <f t="shared" ca="1" si="738"/>
        <v>0</v>
      </c>
      <c r="P478" s="52">
        <f t="shared" ca="1" si="738"/>
        <v>0</v>
      </c>
      <c r="Q478" s="52">
        <f t="shared" ca="1" si="738"/>
        <v>0</v>
      </c>
      <c r="R478" s="52">
        <f t="shared" ca="1" si="738"/>
        <v>0</v>
      </c>
      <c r="S478" s="52">
        <f t="shared" ca="1" si="738"/>
        <v>0</v>
      </c>
      <c r="T478" s="52">
        <f t="shared" ca="1" si="738"/>
        <v>0</v>
      </c>
      <c r="U478" s="52">
        <f t="shared" ca="1" si="738"/>
        <v>0</v>
      </c>
      <c r="V478" s="52">
        <f t="shared" ca="1" si="738"/>
        <v>0</v>
      </c>
      <c r="W478" s="52">
        <f t="shared" ca="1" si="738"/>
        <v>0</v>
      </c>
      <c r="X478" s="52">
        <f t="shared" ca="1" si="738"/>
        <v>0</v>
      </c>
      <c r="Y478" s="52">
        <f t="shared" ca="1" si="738"/>
        <v>0</v>
      </c>
      <c r="Z478" s="52">
        <f t="shared" ca="1" si="738"/>
        <v>0</v>
      </c>
      <c r="AA478" s="52">
        <f t="shared" ca="1" si="738"/>
        <v>0</v>
      </c>
      <c r="AB478" s="52">
        <f t="shared" ca="1" si="738"/>
        <v>0</v>
      </c>
      <c r="AC478" s="52">
        <f t="shared" ca="1" si="738"/>
        <v>0</v>
      </c>
      <c r="AD478" s="52">
        <f t="shared" ca="1" si="738"/>
        <v>0</v>
      </c>
      <c r="AE478" s="52">
        <f t="shared" ca="1" si="738"/>
        <v>0</v>
      </c>
      <c r="AF478" s="52">
        <f t="shared" ca="1" si="738"/>
        <v>0</v>
      </c>
      <c r="AG478" s="52">
        <f t="shared" ca="1" si="738"/>
        <v>0</v>
      </c>
      <c r="AH478" s="52">
        <f t="shared" ca="1" si="738"/>
        <v>0</v>
      </c>
      <c r="AI478" s="52">
        <f t="shared" ca="1" si="738"/>
        <v>0</v>
      </c>
      <c r="AJ478" s="52">
        <f t="shared" ca="1" si="738"/>
        <v>0</v>
      </c>
      <c r="AK478" s="52">
        <f t="shared" ca="1" si="738"/>
        <v>0</v>
      </c>
      <c r="AL478" s="52">
        <f t="shared" ca="1" si="738"/>
        <v>0</v>
      </c>
      <c r="AM478" s="52">
        <f t="shared" ca="1" si="738"/>
        <v>0</v>
      </c>
      <c r="AN478" s="52">
        <f t="shared" ca="1" si="738"/>
        <v>0</v>
      </c>
      <c r="AO478" s="52">
        <f t="shared" ca="1" si="738"/>
        <v>0</v>
      </c>
      <c r="AP478" s="52">
        <f t="shared" ca="1" si="738"/>
        <v>0</v>
      </c>
      <c r="AQ478" s="52">
        <f t="shared" ca="1" si="738"/>
        <v>0</v>
      </c>
      <c r="AR478" s="52">
        <f t="shared" ca="1" si="738"/>
        <v>0</v>
      </c>
      <c r="AS478" s="52">
        <f t="shared" ca="1" si="738"/>
        <v>0</v>
      </c>
      <c r="AT478" s="52">
        <f t="shared" ca="1" si="738"/>
        <v>0</v>
      </c>
      <c r="AU478" s="52">
        <f t="shared" ca="1" si="738"/>
        <v>0</v>
      </c>
      <c r="AV478" s="52">
        <f t="shared" ca="1" si="738"/>
        <v>0</v>
      </c>
      <c r="AW478" s="52">
        <f t="shared" ca="1" si="738"/>
        <v>0</v>
      </c>
      <c r="AX478" s="52">
        <f t="shared" ca="1" si="738"/>
        <v>0</v>
      </c>
      <c r="AY478" s="52">
        <f t="shared" ca="1" si="738"/>
        <v>0</v>
      </c>
      <c r="AZ478" s="52">
        <f t="shared" ca="1" si="738"/>
        <v>0</v>
      </c>
      <c r="BA478" s="52">
        <f t="shared" ca="1" si="738"/>
        <v>0</v>
      </c>
      <c r="BB478" s="52">
        <f t="shared" ca="1" si="738"/>
        <v>0</v>
      </c>
      <c r="BC478" s="52">
        <f t="shared" ca="1" si="738"/>
        <v>0</v>
      </c>
      <c r="BD478" s="52">
        <f t="shared" ca="1" si="738"/>
        <v>0</v>
      </c>
      <c r="BE478" s="52">
        <f t="shared" ca="1" si="738"/>
        <v>0</v>
      </c>
      <c r="BF478" s="52">
        <f t="shared" ca="1" si="738"/>
        <v>0</v>
      </c>
      <c r="BG478" s="52">
        <f t="shared" ca="1" si="738"/>
        <v>0</v>
      </c>
      <c r="BH478" s="52">
        <f t="shared" ca="1" si="738"/>
        <v>0</v>
      </c>
      <c r="BI478" s="52">
        <f t="shared" ca="1" si="738"/>
        <v>0</v>
      </c>
      <c r="BJ478" s="52">
        <f t="shared" ca="1" si="738"/>
        <v>0</v>
      </c>
      <c r="BK478" s="52">
        <f t="shared" ca="1" si="738"/>
        <v>0</v>
      </c>
      <c r="BL478" s="52">
        <f t="shared" ca="1" si="738"/>
        <v>0</v>
      </c>
      <c r="BM478" s="52">
        <f t="shared" ca="1" si="738"/>
        <v>0</v>
      </c>
      <c r="BN478" s="52">
        <f t="shared" ca="1" si="738"/>
        <v>0</v>
      </c>
      <c r="BO478" s="52">
        <f t="shared" ca="1" si="738"/>
        <v>0</v>
      </c>
      <c r="BP478" s="52">
        <f t="shared" ca="1" si="738"/>
        <v>0</v>
      </c>
      <c r="BQ478" s="52">
        <f t="shared" ca="1" si="738"/>
        <v>0</v>
      </c>
      <c r="BR478" s="52">
        <f t="shared" ca="1" si="738"/>
        <v>0</v>
      </c>
      <c r="BS478" s="52">
        <f t="shared" ca="1" si="738"/>
        <v>0</v>
      </c>
      <c r="BT478" s="52">
        <f t="shared" ca="1" si="738"/>
        <v>0</v>
      </c>
      <c r="BU478" s="52">
        <f t="shared" ca="1" si="738"/>
        <v>0</v>
      </c>
      <c r="BV478" s="52">
        <f t="shared" ca="1" si="738"/>
        <v>0</v>
      </c>
      <c r="BW478" s="52">
        <f t="shared" ca="1" si="738"/>
        <v>0</v>
      </c>
      <c r="BX478" s="52">
        <f t="shared" ca="1" si="738"/>
        <v>0</v>
      </c>
      <c r="BY478" s="52">
        <f t="shared" ref="BY478:CO478" ca="1" si="739" xml:space="preserve"> SUM(BY$328,BY$330) * $E347 + BY479</f>
        <v>0</v>
      </c>
      <c r="BZ478" s="52">
        <f t="shared" ca="1" si="739"/>
        <v>0</v>
      </c>
      <c r="CA478" s="52">
        <f t="shared" ca="1" si="739"/>
        <v>0</v>
      </c>
      <c r="CB478" s="52">
        <f t="shared" ca="1" si="739"/>
        <v>0</v>
      </c>
      <c r="CC478" s="52">
        <f t="shared" ca="1" si="739"/>
        <v>0</v>
      </c>
      <c r="CD478" s="52">
        <f t="shared" ca="1" si="739"/>
        <v>0</v>
      </c>
      <c r="CE478" s="52">
        <f t="shared" ca="1" si="739"/>
        <v>0</v>
      </c>
      <c r="CF478" s="52">
        <f t="shared" ca="1" si="739"/>
        <v>0</v>
      </c>
      <c r="CG478" s="52">
        <f t="shared" ca="1" si="739"/>
        <v>0</v>
      </c>
      <c r="CH478" s="52">
        <f t="shared" ca="1" si="739"/>
        <v>0</v>
      </c>
      <c r="CI478" s="52">
        <f t="shared" ca="1" si="739"/>
        <v>0</v>
      </c>
      <c r="CJ478" s="52">
        <f t="shared" ca="1" si="739"/>
        <v>0</v>
      </c>
      <c r="CK478" s="52">
        <f t="shared" ca="1" si="739"/>
        <v>0</v>
      </c>
      <c r="CL478" s="52">
        <f t="shared" ca="1" si="739"/>
        <v>0</v>
      </c>
      <c r="CM478" s="52">
        <f t="shared" ca="1" si="739"/>
        <v>0</v>
      </c>
      <c r="CN478" s="52">
        <f t="shared" ca="1" si="739"/>
        <v>0</v>
      </c>
      <c r="CO478" s="52">
        <f t="shared" ca="1" si="739"/>
        <v>0</v>
      </c>
    </row>
    <row r="479" spans="1:93">
      <c r="A479" s="10"/>
      <c r="B479" s="10"/>
      <c r="C479" s="17" t="s">
        <v>129</v>
      </c>
      <c r="D479" s="10"/>
      <c r="E479" s="178">
        <f>Предпосылки!E377</f>
        <v>0.3</v>
      </c>
      <c r="F479" s="11"/>
      <c r="G479" s="134" t="str">
        <f t="shared" si="734"/>
        <v>тыс. руб.</v>
      </c>
      <c r="H479" s="10"/>
      <c r="I479" s="23">
        <f ca="1">SUM(L479:CO479)</f>
        <v>0</v>
      </c>
      <c r="J479" s="10"/>
      <c r="K479" s="10"/>
      <c r="L479" s="52">
        <f ca="1" xml:space="preserve"> - SUM(K$328,K$330) * $E347 * $E479</f>
        <v>0</v>
      </c>
      <c r="M479" s="52">
        <f t="shared" ref="M479:BX479" ca="1" si="740" xml:space="preserve"> - SUM(L$328,L$330) * $E347 * $E479</f>
        <v>0</v>
      </c>
      <c r="N479" s="52">
        <f t="shared" ca="1" si="740"/>
        <v>0</v>
      </c>
      <c r="O479" s="52">
        <f t="shared" ca="1" si="740"/>
        <v>0</v>
      </c>
      <c r="P479" s="52">
        <f t="shared" ca="1" si="740"/>
        <v>0</v>
      </c>
      <c r="Q479" s="52">
        <f t="shared" ca="1" si="740"/>
        <v>0</v>
      </c>
      <c r="R479" s="52">
        <f t="shared" ca="1" si="740"/>
        <v>0</v>
      </c>
      <c r="S479" s="52">
        <f t="shared" ca="1" si="740"/>
        <v>0</v>
      </c>
      <c r="T479" s="52">
        <f t="shared" ca="1" si="740"/>
        <v>0</v>
      </c>
      <c r="U479" s="52">
        <f t="shared" ca="1" si="740"/>
        <v>0</v>
      </c>
      <c r="V479" s="52">
        <f t="shared" ca="1" si="740"/>
        <v>0</v>
      </c>
      <c r="W479" s="52">
        <f t="shared" ca="1" si="740"/>
        <v>0</v>
      </c>
      <c r="X479" s="52">
        <f t="shared" ca="1" si="740"/>
        <v>0</v>
      </c>
      <c r="Y479" s="52">
        <f t="shared" ca="1" si="740"/>
        <v>0</v>
      </c>
      <c r="Z479" s="52">
        <f t="shared" ca="1" si="740"/>
        <v>0</v>
      </c>
      <c r="AA479" s="52">
        <f t="shared" ca="1" si="740"/>
        <v>0</v>
      </c>
      <c r="AB479" s="52">
        <f t="shared" ca="1" si="740"/>
        <v>0</v>
      </c>
      <c r="AC479" s="52">
        <f t="shared" ca="1" si="740"/>
        <v>0</v>
      </c>
      <c r="AD479" s="52">
        <f t="shared" ca="1" si="740"/>
        <v>0</v>
      </c>
      <c r="AE479" s="52">
        <f t="shared" ca="1" si="740"/>
        <v>0</v>
      </c>
      <c r="AF479" s="52">
        <f t="shared" ca="1" si="740"/>
        <v>0</v>
      </c>
      <c r="AG479" s="52">
        <f t="shared" ca="1" si="740"/>
        <v>0</v>
      </c>
      <c r="AH479" s="52">
        <f t="shared" ca="1" si="740"/>
        <v>0</v>
      </c>
      <c r="AI479" s="52">
        <f t="shared" ca="1" si="740"/>
        <v>0</v>
      </c>
      <c r="AJ479" s="52">
        <f t="shared" ca="1" si="740"/>
        <v>0</v>
      </c>
      <c r="AK479" s="52">
        <f t="shared" ca="1" si="740"/>
        <v>0</v>
      </c>
      <c r="AL479" s="52">
        <f t="shared" ca="1" si="740"/>
        <v>0</v>
      </c>
      <c r="AM479" s="52">
        <f t="shared" ca="1" si="740"/>
        <v>0</v>
      </c>
      <c r="AN479" s="52">
        <f t="shared" ca="1" si="740"/>
        <v>0</v>
      </c>
      <c r="AO479" s="52">
        <f t="shared" ca="1" si="740"/>
        <v>0</v>
      </c>
      <c r="AP479" s="52">
        <f t="shared" ca="1" si="740"/>
        <v>0</v>
      </c>
      <c r="AQ479" s="52">
        <f t="shared" ca="1" si="740"/>
        <v>0</v>
      </c>
      <c r="AR479" s="52">
        <f t="shared" ca="1" si="740"/>
        <v>0</v>
      </c>
      <c r="AS479" s="52">
        <f t="shared" ca="1" si="740"/>
        <v>0</v>
      </c>
      <c r="AT479" s="52">
        <f t="shared" ca="1" si="740"/>
        <v>0</v>
      </c>
      <c r="AU479" s="52">
        <f t="shared" ca="1" si="740"/>
        <v>0</v>
      </c>
      <c r="AV479" s="52">
        <f t="shared" ca="1" si="740"/>
        <v>0</v>
      </c>
      <c r="AW479" s="52">
        <f t="shared" ca="1" si="740"/>
        <v>0</v>
      </c>
      <c r="AX479" s="52">
        <f t="shared" ca="1" si="740"/>
        <v>0</v>
      </c>
      <c r="AY479" s="52">
        <f t="shared" ca="1" si="740"/>
        <v>0</v>
      </c>
      <c r="AZ479" s="52">
        <f t="shared" ca="1" si="740"/>
        <v>0</v>
      </c>
      <c r="BA479" s="52">
        <f t="shared" ca="1" si="740"/>
        <v>0</v>
      </c>
      <c r="BB479" s="52">
        <f t="shared" ca="1" si="740"/>
        <v>0</v>
      </c>
      <c r="BC479" s="52">
        <f t="shared" ca="1" si="740"/>
        <v>0</v>
      </c>
      <c r="BD479" s="52">
        <f t="shared" ca="1" si="740"/>
        <v>0</v>
      </c>
      <c r="BE479" s="52">
        <f t="shared" ca="1" si="740"/>
        <v>0</v>
      </c>
      <c r="BF479" s="52">
        <f t="shared" ca="1" si="740"/>
        <v>0</v>
      </c>
      <c r="BG479" s="52">
        <f t="shared" ca="1" si="740"/>
        <v>0</v>
      </c>
      <c r="BH479" s="52">
        <f t="shared" ca="1" si="740"/>
        <v>0</v>
      </c>
      <c r="BI479" s="52">
        <f t="shared" ca="1" si="740"/>
        <v>0</v>
      </c>
      <c r="BJ479" s="52">
        <f t="shared" ca="1" si="740"/>
        <v>0</v>
      </c>
      <c r="BK479" s="52">
        <f t="shared" ca="1" si="740"/>
        <v>0</v>
      </c>
      <c r="BL479" s="52">
        <f t="shared" ca="1" si="740"/>
        <v>0</v>
      </c>
      <c r="BM479" s="52">
        <f t="shared" ca="1" si="740"/>
        <v>0</v>
      </c>
      <c r="BN479" s="52">
        <f t="shared" ca="1" si="740"/>
        <v>0</v>
      </c>
      <c r="BO479" s="52">
        <f t="shared" ca="1" si="740"/>
        <v>0</v>
      </c>
      <c r="BP479" s="52">
        <f t="shared" ca="1" si="740"/>
        <v>0</v>
      </c>
      <c r="BQ479" s="52">
        <f t="shared" ca="1" si="740"/>
        <v>0</v>
      </c>
      <c r="BR479" s="52">
        <f t="shared" ca="1" si="740"/>
        <v>0</v>
      </c>
      <c r="BS479" s="52">
        <f t="shared" ca="1" si="740"/>
        <v>0</v>
      </c>
      <c r="BT479" s="52">
        <f t="shared" ca="1" si="740"/>
        <v>0</v>
      </c>
      <c r="BU479" s="52">
        <f t="shared" ca="1" si="740"/>
        <v>0</v>
      </c>
      <c r="BV479" s="52">
        <f t="shared" ca="1" si="740"/>
        <v>0</v>
      </c>
      <c r="BW479" s="52">
        <f t="shared" ca="1" si="740"/>
        <v>0</v>
      </c>
      <c r="BX479" s="52">
        <f t="shared" ca="1" si="740"/>
        <v>0</v>
      </c>
      <c r="BY479" s="52">
        <f t="shared" ref="BY479:CO479" ca="1" si="741" xml:space="preserve"> - SUM(BX$328,BX$330) * $E347 * $E479</f>
        <v>0</v>
      </c>
      <c r="BZ479" s="52">
        <f t="shared" ca="1" si="741"/>
        <v>0</v>
      </c>
      <c r="CA479" s="52">
        <f t="shared" ca="1" si="741"/>
        <v>0</v>
      </c>
      <c r="CB479" s="52">
        <f t="shared" ca="1" si="741"/>
        <v>0</v>
      </c>
      <c r="CC479" s="52">
        <f t="shared" ca="1" si="741"/>
        <v>0</v>
      </c>
      <c r="CD479" s="52">
        <f t="shared" ca="1" si="741"/>
        <v>0</v>
      </c>
      <c r="CE479" s="52">
        <f t="shared" ca="1" si="741"/>
        <v>0</v>
      </c>
      <c r="CF479" s="52">
        <f t="shared" ca="1" si="741"/>
        <v>0</v>
      </c>
      <c r="CG479" s="52">
        <f t="shared" ca="1" si="741"/>
        <v>0</v>
      </c>
      <c r="CH479" s="52">
        <f t="shared" ca="1" si="741"/>
        <v>0</v>
      </c>
      <c r="CI479" s="52">
        <f t="shared" ca="1" si="741"/>
        <v>0</v>
      </c>
      <c r="CJ479" s="52">
        <f t="shared" ca="1" si="741"/>
        <v>0</v>
      </c>
      <c r="CK479" s="52">
        <f t="shared" ca="1" si="741"/>
        <v>0</v>
      </c>
      <c r="CL479" s="52">
        <f t="shared" ca="1" si="741"/>
        <v>0</v>
      </c>
      <c r="CM479" s="52">
        <f t="shared" ca="1" si="741"/>
        <v>0</v>
      </c>
      <c r="CN479" s="52">
        <f t="shared" ca="1" si="741"/>
        <v>0</v>
      </c>
      <c r="CO479" s="52">
        <f t="shared" ca="1" si="741"/>
        <v>0</v>
      </c>
    </row>
    <row r="480" spans="1:93">
      <c r="A480" s="10"/>
      <c r="B480" s="10"/>
      <c r="C480" s="17" t="s">
        <v>388</v>
      </c>
      <c r="D480" s="10"/>
      <c r="E480" s="62"/>
      <c r="F480" s="11"/>
      <c r="G480" s="134" t="str">
        <f t="shared" si="734"/>
        <v>тыс. руб.</v>
      </c>
      <c r="H480" s="10"/>
      <c r="I480" s="10"/>
      <c r="J480" s="10"/>
      <c r="K480" s="10"/>
      <c r="L480" s="52">
        <f t="shared" ref="L480:R480" ca="1" si="742" xml:space="preserve"> L478 + K480</f>
        <v>0</v>
      </c>
      <c r="M480" s="52">
        <f t="shared" ca="1" si="742"/>
        <v>0</v>
      </c>
      <c r="N480" s="52">
        <f t="shared" ca="1" si="742"/>
        <v>0</v>
      </c>
      <c r="O480" s="52">
        <f t="shared" ca="1" si="742"/>
        <v>0</v>
      </c>
      <c r="P480" s="52">
        <f t="shared" ca="1" si="742"/>
        <v>0</v>
      </c>
      <c r="Q480" s="52">
        <f t="shared" ca="1" si="742"/>
        <v>0</v>
      </c>
      <c r="R480" s="52">
        <f t="shared" ca="1" si="742"/>
        <v>0</v>
      </c>
      <c r="S480" s="52">
        <f ca="1" xml:space="preserve"> S478 + R480</f>
        <v>0</v>
      </c>
      <c r="T480" s="52">
        <f t="shared" ref="T480:CE480" ca="1" si="743" xml:space="preserve"> T478 + S480</f>
        <v>0</v>
      </c>
      <c r="U480" s="52">
        <f t="shared" ca="1" si="743"/>
        <v>0</v>
      </c>
      <c r="V480" s="52">
        <f t="shared" ca="1" si="743"/>
        <v>0</v>
      </c>
      <c r="W480" s="52">
        <f t="shared" ca="1" si="743"/>
        <v>0</v>
      </c>
      <c r="X480" s="52">
        <f t="shared" ca="1" si="743"/>
        <v>0</v>
      </c>
      <c r="Y480" s="52">
        <f t="shared" ca="1" si="743"/>
        <v>0</v>
      </c>
      <c r="Z480" s="52">
        <f t="shared" ca="1" si="743"/>
        <v>0</v>
      </c>
      <c r="AA480" s="52">
        <f t="shared" ca="1" si="743"/>
        <v>0</v>
      </c>
      <c r="AB480" s="52">
        <f t="shared" ca="1" si="743"/>
        <v>0</v>
      </c>
      <c r="AC480" s="52">
        <f t="shared" ca="1" si="743"/>
        <v>0</v>
      </c>
      <c r="AD480" s="52">
        <f t="shared" ca="1" si="743"/>
        <v>0</v>
      </c>
      <c r="AE480" s="52">
        <f t="shared" ca="1" si="743"/>
        <v>0</v>
      </c>
      <c r="AF480" s="52">
        <f t="shared" ca="1" si="743"/>
        <v>0</v>
      </c>
      <c r="AG480" s="52">
        <f t="shared" ca="1" si="743"/>
        <v>0</v>
      </c>
      <c r="AH480" s="52">
        <f t="shared" ca="1" si="743"/>
        <v>0</v>
      </c>
      <c r="AI480" s="52">
        <f t="shared" ca="1" si="743"/>
        <v>0</v>
      </c>
      <c r="AJ480" s="52">
        <f t="shared" ca="1" si="743"/>
        <v>0</v>
      </c>
      <c r="AK480" s="52">
        <f t="shared" ca="1" si="743"/>
        <v>0</v>
      </c>
      <c r="AL480" s="52">
        <f t="shared" ca="1" si="743"/>
        <v>0</v>
      </c>
      <c r="AM480" s="52">
        <f t="shared" ca="1" si="743"/>
        <v>0</v>
      </c>
      <c r="AN480" s="52">
        <f t="shared" ca="1" si="743"/>
        <v>0</v>
      </c>
      <c r="AO480" s="52">
        <f t="shared" ca="1" si="743"/>
        <v>0</v>
      </c>
      <c r="AP480" s="52">
        <f t="shared" ca="1" si="743"/>
        <v>0</v>
      </c>
      <c r="AQ480" s="52">
        <f t="shared" ca="1" si="743"/>
        <v>0</v>
      </c>
      <c r="AR480" s="52">
        <f t="shared" ca="1" si="743"/>
        <v>0</v>
      </c>
      <c r="AS480" s="52">
        <f t="shared" ca="1" si="743"/>
        <v>0</v>
      </c>
      <c r="AT480" s="52">
        <f t="shared" ca="1" si="743"/>
        <v>0</v>
      </c>
      <c r="AU480" s="52">
        <f t="shared" ca="1" si="743"/>
        <v>0</v>
      </c>
      <c r="AV480" s="52">
        <f t="shared" ca="1" si="743"/>
        <v>0</v>
      </c>
      <c r="AW480" s="52">
        <f t="shared" ca="1" si="743"/>
        <v>0</v>
      </c>
      <c r="AX480" s="52">
        <f t="shared" ca="1" si="743"/>
        <v>0</v>
      </c>
      <c r="AY480" s="52">
        <f t="shared" ca="1" si="743"/>
        <v>0</v>
      </c>
      <c r="AZ480" s="52">
        <f t="shared" ca="1" si="743"/>
        <v>0</v>
      </c>
      <c r="BA480" s="52">
        <f t="shared" ca="1" si="743"/>
        <v>0</v>
      </c>
      <c r="BB480" s="52">
        <f t="shared" ca="1" si="743"/>
        <v>0</v>
      </c>
      <c r="BC480" s="52">
        <f t="shared" ca="1" si="743"/>
        <v>0</v>
      </c>
      <c r="BD480" s="52">
        <f t="shared" ca="1" si="743"/>
        <v>0</v>
      </c>
      <c r="BE480" s="52">
        <f t="shared" ca="1" si="743"/>
        <v>0</v>
      </c>
      <c r="BF480" s="52">
        <f t="shared" ca="1" si="743"/>
        <v>0</v>
      </c>
      <c r="BG480" s="52">
        <f t="shared" ca="1" si="743"/>
        <v>0</v>
      </c>
      <c r="BH480" s="52">
        <f t="shared" ca="1" si="743"/>
        <v>0</v>
      </c>
      <c r="BI480" s="52">
        <f t="shared" ca="1" si="743"/>
        <v>0</v>
      </c>
      <c r="BJ480" s="52">
        <f t="shared" ca="1" si="743"/>
        <v>0</v>
      </c>
      <c r="BK480" s="52">
        <f t="shared" ca="1" si="743"/>
        <v>0</v>
      </c>
      <c r="BL480" s="52">
        <f t="shared" ca="1" si="743"/>
        <v>0</v>
      </c>
      <c r="BM480" s="52">
        <f t="shared" ca="1" si="743"/>
        <v>0</v>
      </c>
      <c r="BN480" s="52">
        <f t="shared" ca="1" si="743"/>
        <v>0</v>
      </c>
      <c r="BO480" s="52">
        <f t="shared" ca="1" si="743"/>
        <v>0</v>
      </c>
      <c r="BP480" s="52">
        <f t="shared" ca="1" si="743"/>
        <v>0</v>
      </c>
      <c r="BQ480" s="52">
        <f t="shared" ca="1" si="743"/>
        <v>0</v>
      </c>
      <c r="BR480" s="52">
        <f t="shared" ca="1" si="743"/>
        <v>0</v>
      </c>
      <c r="BS480" s="52">
        <f t="shared" ca="1" si="743"/>
        <v>0</v>
      </c>
      <c r="BT480" s="52">
        <f t="shared" ca="1" si="743"/>
        <v>0</v>
      </c>
      <c r="BU480" s="52">
        <f t="shared" ca="1" si="743"/>
        <v>0</v>
      </c>
      <c r="BV480" s="52">
        <f t="shared" ca="1" si="743"/>
        <v>0</v>
      </c>
      <c r="BW480" s="52">
        <f t="shared" ca="1" si="743"/>
        <v>0</v>
      </c>
      <c r="BX480" s="52">
        <f t="shared" ca="1" si="743"/>
        <v>0</v>
      </c>
      <c r="BY480" s="52">
        <f t="shared" ca="1" si="743"/>
        <v>0</v>
      </c>
      <c r="BZ480" s="52">
        <f t="shared" ca="1" si="743"/>
        <v>0</v>
      </c>
      <c r="CA480" s="52">
        <f t="shared" ca="1" si="743"/>
        <v>0</v>
      </c>
      <c r="CB480" s="52">
        <f t="shared" ca="1" si="743"/>
        <v>0</v>
      </c>
      <c r="CC480" s="52">
        <f t="shared" ca="1" si="743"/>
        <v>0</v>
      </c>
      <c r="CD480" s="52">
        <f t="shared" ca="1" si="743"/>
        <v>0</v>
      </c>
      <c r="CE480" s="52">
        <f t="shared" ca="1" si="743"/>
        <v>0</v>
      </c>
      <c r="CF480" s="52">
        <f t="shared" ref="CF480:CO480" ca="1" si="744" xml:space="preserve"> CF478 + CE480</f>
        <v>0</v>
      </c>
      <c r="CG480" s="52">
        <f t="shared" ca="1" si="744"/>
        <v>0</v>
      </c>
      <c r="CH480" s="52">
        <f t="shared" ca="1" si="744"/>
        <v>0</v>
      </c>
      <c r="CI480" s="52">
        <f t="shared" ca="1" si="744"/>
        <v>0</v>
      </c>
      <c r="CJ480" s="52">
        <f t="shared" ca="1" si="744"/>
        <v>0</v>
      </c>
      <c r="CK480" s="52">
        <f t="shared" ca="1" si="744"/>
        <v>0</v>
      </c>
      <c r="CL480" s="52">
        <f t="shared" ca="1" si="744"/>
        <v>0</v>
      </c>
      <c r="CM480" s="52">
        <f t="shared" ca="1" si="744"/>
        <v>0</v>
      </c>
      <c r="CN480" s="52">
        <f t="shared" ca="1" si="744"/>
        <v>0</v>
      </c>
      <c r="CO480" s="52">
        <f t="shared" ca="1" si="744"/>
        <v>0</v>
      </c>
    </row>
    <row r="481" spans="1:93">
      <c r="A481" s="10"/>
      <c r="B481" s="10"/>
      <c r="C481" s="17" t="s">
        <v>389</v>
      </c>
      <c r="D481" s="10"/>
      <c r="E481" s="62"/>
      <c r="F481" s="11"/>
      <c r="G481" s="134" t="str">
        <f t="shared" si="734"/>
        <v>тыс. руб.</v>
      </c>
      <c r="H481" s="10"/>
      <c r="I481" s="23">
        <f ca="1">SUM(L481:CO481)</f>
        <v>0</v>
      </c>
      <c r="J481" s="10"/>
      <c r="K481" s="10"/>
      <c r="L481" s="52">
        <f t="shared" ref="L481:AQ481" ca="1" si="745" xml:space="preserve"> MIN(L480*L476,K483)</f>
        <v>0</v>
      </c>
      <c r="M481" s="52">
        <f t="shared" ca="1" si="745"/>
        <v>0</v>
      </c>
      <c r="N481" s="52">
        <f t="shared" ca="1" si="745"/>
        <v>0</v>
      </c>
      <c r="O481" s="52">
        <f t="shared" ca="1" si="745"/>
        <v>0</v>
      </c>
      <c r="P481" s="52">
        <f t="shared" ca="1" si="745"/>
        <v>0</v>
      </c>
      <c r="Q481" s="52">
        <f t="shared" ca="1" si="745"/>
        <v>0</v>
      </c>
      <c r="R481" s="52">
        <f t="shared" ca="1" si="745"/>
        <v>0</v>
      </c>
      <c r="S481" s="52">
        <f t="shared" ca="1" si="745"/>
        <v>0</v>
      </c>
      <c r="T481" s="52">
        <f t="shared" ca="1" si="745"/>
        <v>0</v>
      </c>
      <c r="U481" s="52">
        <f t="shared" ca="1" si="745"/>
        <v>0</v>
      </c>
      <c r="V481" s="52">
        <f t="shared" ca="1" si="745"/>
        <v>0</v>
      </c>
      <c r="W481" s="52">
        <f t="shared" ca="1" si="745"/>
        <v>0</v>
      </c>
      <c r="X481" s="52">
        <f t="shared" ca="1" si="745"/>
        <v>0</v>
      </c>
      <c r="Y481" s="52">
        <f t="shared" ca="1" si="745"/>
        <v>0</v>
      </c>
      <c r="Z481" s="52">
        <f t="shared" ca="1" si="745"/>
        <v>0</v>
      </c>
      <c r="AA481" s="52">
        <f t="shared" ca="1" si="745"/>
        <v>0</v>
      </c>
      <c r="AB481" s="52">
        <f t="shared" ca="1" si="745"/>
        <v>0</v>
      </c>
      <c r="AC481" s="52">
        <f t="shared" ca="1" si="745"/>
        <v>0</v>
      </c>
      <c r="AD481" s="52">
        <f t="shared" ca="1" si="745"/>
        <v>0</v>
      </c>
      <c r="AE481" s="52">
        <f t="shared" ca="1" si="745"/>
        <v>0</v>
      </c>
      <c r="AF481" s="52">
        <f t="shared" ca="1" si="745"/>
        <v>0</v>
      </c>
      <c r="AG481" s="52">
        <f t="shared" ca="1" si="745"/>
        <v>0</v>
      </c>
      <c r="AH481" s="52">
        <f t="shared" ca="1" si="745"/>
        <v>0</v>
      </c>
      <c r="AI481" s="52">
        <f t="shared" ca="1" si="745"/>
        <v>0</v>
      </c>
      <c r="AJ481" s="52">
        <f t="shared" ca="1" si="745"/>
        <v>0</v>
      </c>
      <c r="AK481" s="52">
        <f t="shared" ca="1" si="745"/>
        <v>0</v>
      </c>
      <c r="AL481" s="52">
        <f t="shared" ca="1" si="745"/>
        <v>0</v>
      </c>
      <c r="AM481" s="52">
        <f t="shared" ca="1" si="745"/>
        <v>0</v>
      </c>
      <c r="AN481" s="52">
        <f t="shared" ca="1" si="745"/>
        <v>0</v>
      </c>
      <c r="AO481" s="52">
        <f t="shared" ca="1" si="745"/>
        <v>0</v>
      </c>
      <c r="AP481" s="52">
        <f t="shared" ca="1" si="745"/>
        <v>0</v>
      </c>
      <c r="AQ481" s="52">
        <f t="shared" ca="1" si="745"/>
        <v>0</v>
      </c>
      <c r="AR481" s="52">
        <f t="shared" ref="AR481:BW481" ca="1" si="746" xml:space="preserve"> MIN(AR480*AR476,AQ483)</f>
        <v>0</v>
      </c>
      <c r="AS481" s="52">
        <f t="shared" ca="1" si="746"/>
        <v>0</v>
      </c>
      <c r="AT481" s="52">
        <f t="shared" ca="1" si="746"/>
        <v>0</v>
      </c>
      <c r="AU481" s="52">
        <f t="shared" ca="1" si="746"/>
        <v>0</v>
      </c>
      <c r="AV481" s="52">
        <f t="shared" ca="1" si="746"/>
        <v>0</v>
      </c>
      <c r="AW481" s="52">
        <f t="shared" ca="1" si="746"/>
        <v>0</v>
      </c>
      <c r="AX481" s="52">
        <f t="shared" ca="1" si="746"/>
        <v>0</v>
      </c>
      <c r="AY481" s="52">
        <f t="shared" ca="1" si="746"/>
        <v>0</v>
      </c>
      <c r="AZ481" s="52">
        <f t="shared" ca="1" si="746"/>
        <v>0</v>
      </c>
      <c r="BA481" s="52">
        <f t="shared" ca="1" si="746"/>
        <v>0</v>
      </c>
      <c r="BB481" s="52">
        <f t="shared" ca="1" si="746"/>
        <v>0</v>
      </c>
      <c r="BC481" s="52">
        <f t="shared" ca="1" si="746"/>
        <v>0</v>
      </c>
      <c r="BD481" s="52">
        <f t="shared" ca="1" si="746"/>
        <v>0</v>
      </c>
      <c r="BE481" s="52">
        <f t="shared" ca="1" si="746"/>
        <v>0</v>
      </c>
      <c r="BF481" s="52">
        <f t="shared" ca="1" si="746"/>
        <v>0</v>
      </c>
      <c r="BG481" s="52">
        <f t="shared" ca="1" si="746"/>
        <v>0</v>
      </c>
      <c r="BH481" s="52">
        <f t="shared" ca="1" si="746"/>
        <v>0</v>
      </c>
      <c r="BI481" s="52">
        <f t="shared" ca="1" si="746"/>
        <v>0</v>
      </c>
      <c r="BJ481" s="52">
        <f t="shared" ca="1" si="746"/>
        <v>0</v>
      </c>
      <c r="BK481" s="52">
        <f t="shared" ca="1" si="746"/>
        <v>0</v>
      </c>
      <c r="BL481" s="52">
        <f t="shared" ca="1" si="746"/>
        <v>0</v>
      </c>
      <c r="BM481" s="52">
        <f t="shared" ca="1" si="746"/>
        <v>0</v>
      </c>
      <c r="BN481" s="52">
        <f t="shared" ca="1" si="746"/>
        <v>0</v>
      </c>
      <c r="BO481" s="52">
        <f t="shared" ca="1" si="746"/>
        <v>0</v>
      </c>
      <c r="BP481" s="52">
        <f t="shared" ca="1" si="746"/>
        <v>0</v>
      </c>
      <c r="BQ481" s="52">
        <f t="shared" ca="1" si="746"/>
        <v>0</v>
      </c>
      <c r="BR481" s="52">
        <f t="shared" ca="1" si="746"/>
        <v>0</v>
      </c>
      <c r="BS481" s="52">
        <f t="shared" ca="1" si="746"/>
        <v>0</v>
      </c>
      <c r="BT481" s="52">
        <f t="shared" ca="1" si="746"/>
        <v>0</v>
      </c>
      <c r="BU481" s="52">
        <f t="shared" ca="1" si="746"/>
        <v>0</v>
      </c>
      <c r="BV481" s="52">
        <f t="shared" ca="1" si="746"/>
        <v>0</v>
      </c>
      <c r="BW481" s="52">
        <f t="shared" ca="1" si="746"/>
        <v>0</v>
      </c>
      <c r="BX481" s="52">
        <f t="shared" ref="BX481:CO481" ca="1" si="747" xml:space="preserve"> MIN(BX480*BX476,BW483)</f>
        <v>0</v>
      </c>
      <c r="BY481" s="52">
        <f t="shared" ca="1" si="747"/>
        <v>0</v>
      </c>
      <c r="BZ481" s="52">
        <f t="shared" ca="1" si="747"/>
        <v>0</v>
      </c>
      <c r="CA481" s="52">
        <f t="shared" ca="1" si="747"/>
        <v>0</v>
      </c>
      <c r="CB481" s="52">
        <f t="shared" ca="1" si="747"/>
        <v>0</v>
      </c>
      <c r="CC481" s="52">
        <f t="shared" ca="1" si="747"/>
        <v>0</v>
      </c>
      <c r="CD481" s="52">
        <f t="shared" ca="1" si="747"/>
        <v>0</v>
      </c>
      <c r="CE481" s="52">
        <f t="shared" ca="1" si="747"/>
        <v>0</v>
      </c>
      <c r="CF481" s="52">
        <f t="shared" ca="1" si="747"/>
        <v>0</v>
      </c>
      <c r="CG481" s="52">
        <f t="shared" ca="1" si="747"/>
        <v>0</v>
      </c>
      <c r="CH481" s="52">
        <f t="shared" ca="1" si="747"/>
        <v>0</v>
      </c>
      <c r="CI481" s="52">
        <f t="shared" ca="1" si="747"/>
        <v>0</v>
      </c>
      <c r="CJ481" s="52">
        <f t="shared" ca="1" si="747"/>
        <v>0</v>
      </c>
      <c r="CK481" s="52">
        <f t="shared" ca="1" si="747"/>
        <v>0</v>
      </c>
      <c r="CL481" s="52">
        <f t="shared" ca="1" si="747"/>
        <v>0</v>
      </c>
      <c r="CM481" s="52">
        <f t="shared" ca="1" si="747"/>
        <v>0</v>
      </c>
      <c r="CN481" s="52">
        <f t="shared" ca="1" si="747"/>
        <v>0</v>
      </c>
      <c r="CO481" s="52">
        <f t="shared" ca="1" si="747"/>
        <v>0</v>
      </c>
    </row>
    <row r="482" spans="1:93">
      <c r="A482" s="10"/>
      <c r="B482" s="10"/>
      <c r="C482" s="17" t="s">
        <v>127</v>
      </c>
      <c r="D482" s="10"/>
      <c r="E482" s="62"/>
      <c r="F482" s="11"/>
      <c r="G482" s="134" t="str">
        <f t="shared" si="734"/>
        <v>тыс. руб.</v>
      </c>
      <c r="H482" s="10"/>
      <c r="I482" s="10"/>
      <c r="J482" s="10"/>
      <c r="K482" s="10"/>
      <c r="L482" s="52">
        <f t="shared" ref="L482:AQ482" ca="1" si="748" xml:space="preserve"> SUM(K482,-L481)</f>
        <v>0</v>
      </c>
      <c r="M482" s="52">
        <f t="shared" ca="1" si="748"/>
        <v>0</v>
      </c>
      <c r="N482" s="52">
        <f t="shared" ca="1" si="748"/>
        <v>0</v>
      </c>
      <c r="O482" s="52">
        <f t="shared" ca="1" si="748"/>
        <v>0</v>
      </c>
      <c r="P482" s="52">
        <f t="shared" ca="1" si="748"/>
        <v>0</v>
      </c>
      <c r="Q482" s="52">
        <f t="shared" ca="1" si="748"/>
        <v>0</v>
      </c>
      <c r="R482" s="52">
        <f t="shared" ca="1" si="748"/>
        <v>0</v>
      </c>
      <c r="S482" s="52">
        <f t="shared" ca="1" si="748"/>
        <v>0</v>
      </c>
      <c r="T482" s="52">
        <f t="shared" ca="1" si="748"/>
        <v>0</v>
      </c>
      <c r="U482" s="52">
        <f t="shared" ca="1" si="748"/>
        <v>0</v>
      </c>
      <c r="V482" s="52">
        <f t="shared" ca="1" si="748"/>
        <v>0</v>
      </c>
      <c r="W482" s="52">
        <f t="shared" ca="1" si="748"/>
        <v>0</v>
      </c>
      <c r="X482" s="52">
        <f t="shared" ca="1" si="748"/>
        <v>0</v>
      </c>
      <c r="Y482" s="52">
        <f t="shared" ca="1" si="748"/>
        <v>0</v>
      </c>
      <c r="Z482" s="52">
        <f t="shared" ca="1" si="748"/>
        <v>0</v>
      </c>
      <c r="AA482" s="52">
        <f t="shared" ca="1" si="748"/>
        <v>0</v>
      </c>
      <c r="AB482" s="52">
        <f t="shared" ca="1" si="748"/>
        <v>0</v>
      </c>
      <c r="AC482" s="52">
        <f t="shared" ca="1" si="748"/>
        <v>0</v>
      </c>
      <c r="AD482" s="52">
        <f t="shared" ca="1" si="748"/>
        <v>0</v>
      </c>
      <c r="AE482" s="52">
        <f t="shared" ca="1" si="748"/>
        <v>0</v>
      </c>
      <c r="AF482" s="52">
        <f t="shared" ca="1" si="748"/>
        <v>0</v>
      </c>
      <c r="AG482" s="52">
        <f t="shared" ca="1" si="748"/>
        <v>0</v>
      </c>
      <c r="AH482" s="52">
        <f t="shared" ca="1" si="748"/>
        <v>0</v>
      </c>
      <c r="AI482" s="52">
        <f t="shared" ca="1" si="748"/>
        <v>0</v>
      </c>
      <c r="AJ482" s="52">
        <f t="shared" ca="1" si="748"/>
        <v>0</v>
      </c>
      <c r="AK482" s="52">
        <f t="shared" ca="1" si="748"/>
        <v>0</v>
      </c>
      <c r="AL482" s="52">
        <f t="shared" ca="1" si="748"/>
        <v>0</v>
      </c>
      <c r="AM482" s="52">
        <f t="shared" ca="1" si="748"/>
        <v>0</v>
      </c>
      <c r="AN482" s="52">
        <f t="shared" ca="1" si="748"/>
        <v>0</v>
      </c>
      <c r="AO482" s="52">
        <f t="shared" ca="1" si="748"/>
        <v>0</v>
      </c>
      <c r="AP482" s="52">
        <f t="shared" ca="1" si="748"/>
        <v>0</v>
      </c>
      <c r="AQ482" s="52">
        <f t="shared" ca="1" si="748"/>
        <v>0</v>
      </c>
      <c r="AR482" s="52">
        <f t="shared" ref="AR482:BW482" ca="1" si="749" xml:space="preserve"> SUM(AQ482,-AR481)</f>
        <v>0</v>
      </c>
      <c r="AS482" s="52">
        <f t="shared" ca="1" si="749"/>
        <v>0</v>
      </c>
      <c r="AT482" s="52">
        <f t="shared" ca="1" si="749"/>
        <v>0</v>
      </c>
      <c r="AU482" s="52">
        <f t="shared" ca="1" si="749"/>
        <v>0</v>
      </c>
      <c r="AV482" s="52">
        <f t="shared" ca="1" si="749"/>
        <v>0</v>
      </c>
      <c r="AW482" s="52">
        <f t="shared" ca="1" si="749"/>
        <v>0</v>
      </c>
      <c r="AX482" s="52">
        <f t="shared" ca="1" si="749"/>
        <v>0</v>
      </c>
      <c r="AY482" s="52">
        <f t="shared" ca="1" si="749"/>
        <v>0</v>
      </c>
      <c r="AZ482" s="52">
        <f t="shared" ca="1" si="749"/>
        <v>0</v>
      </c>
      <c r="BA482" s="52">
        <f t="shared" ca="1" si="749"/>
        <v>0</v>
      </c>
      <c r="BB482" s="52">
        <f t="shared" ca="1" si="749"/>
        <v>0</v>
      </c>
      <c r="BC482" s="52">
        <f t="shared" ca="1" si="749"/>
        <v>0</v>
      </c>
      <c r="BD482" s="52">
        <f t="shared" ca="1" si="749"/>
        <v>0</v>
      </c>
      <c r="BE482" s="52">
        <f t="shared" ca="1" si="749"/>
        <v>0</v>
      </c>
      <c r="BF482" s="52">
        <f t="shared" ca="1" si="749"/>
        <v>0</v>
      </c>
      <c r="BG482" s="52">
        <f t="shared" ca="1" si="749"/>
        <v>0</v>
      </c>
      <c r="BH482" s="52">
        <f t="shared" ca="1" si="749"/>
        <v>0</v>
      </c>
      <c r="BI482" s="52">
        <f t="shared" ca="1" si="749"/>
        <v>0</v>
      </c>
      <c r="BJ482" s="52">
        <f t="shared" ca="1" si="749"/>
        <v>0</v>
      </c>
      <c r="BK482" s="52">
        <f t="shared" ca="1" si="749"/>
        <v>0</v>
      </c>
      <c r="BL482" s="52">
        <f t="shared" ca="1" si="749"/>
        <v>0</v>
      </c>
      <c r="BM482" s="52">
        <f t="shared" ca="1" si="749"/>
        <v>0</v>
      </c>
      <c r="BN482" s="52">
        <f t="shared" ca="1" si="749"/>
        <v>0</v>
      </c>
      <c r="BO482" s="52">
        <f t="shared" ca="1" si="749"/>
        <v>0</v>
      </c>
      <c r="BP482" s="52">
        <f t="shared" ca="1" si="749"/>
        <v>0</v>
      </c>
      <c r="BQ482" s="52">
        <f t="shared" ca="1" si="749"/>
        <v>0</v>
      </c>
      <c r="BR482" s="52">
        <f t="shared" ca="1" si="749"/>
        <v>0</v>
      </c>
      <c r="BS482" s="52">
        <f t="shared" ca="1" si="749"/>
        <v>0</v>
      </c>
      <c r="BT482" s="52">
        <f t="shared" ca="1" si="749"/>
        <v>0</v>
      </c>
      <c r="BU482" s="52">
        <f t="shared" ca="1" si="749"/>
        <v>0</v>
      </c>
      <c r="BV482" s="52">
        <f t="shared" ca="1" si="749"/>
        <v>0</v>
      </c>
      <c r="BW482" s="52">
        <f t="shared" ca="1" si="749"/>
        <v>0</v>
      </c>
      <c r="BX482" s="52">
        <f t="shared" ref="BX482:CO482" ca="1" si="750" xml:space="preserve"> SUM(BW482,-BX481)</f>
        <v>0</v>
      </c>
      <c r="BY482" s="52">
        <f t="shared" ca="1" si="750"/>
        <v>0</v>
      </c>
      <c r="BZ482" s="52">
        <f t="shared" ca="1" si="750"/>
        <v>0</v>
      </c>
      <c r="CA482" s="52">
        <f t="shared" ca="1" si="750"/>
        <v>0</v>
      </c>
      <c r="CB482" s="52">
        <f t="shared" ca="1" si="750"/>
        <v>0</v>
      </c>
      <c r="CC482" s="52">
        <f t="shared" ca="1" si="750"/>
        <v>0</v>
      </c>
      <c r="CD482" s="52">
        <f t="shared" ca="1" si="750"/>
        <v>0</v>
      </c>
      <c r="CE482" s="52">
        <f t="shared" ca="1" si="750"/>
        <v>0</v>
      </c>
      <c r="CF482" s="52">
        <f t="shared" ca="1" si="750"/>
        <v>0</v>
      </c>
      <c r="CG482" s="52">
        <f t="shared" ca="1" si="750"/>
        <v>0</v>
      </c>
      <c r="CH482" s="52">
        <f t="shared" ca="1" si="750"/>
        <v>0</v>
      </c>
      <c r="CI482" s="52">
        <f t="shared" ca="1" si="750"/>
        <v>0</v>
      </c>
      <c r="CJ482" s="52">
        <f t="shared" ca="1" si="750"/>
        <v>0</v>
      </c>
      <c r="CK482" s="52">
        <f t="shared" ca="1" si="750"/>
        <v>0</v>
      </c>
      <c r="CL482" s="52">
        <f t="shared" ca="1" si="750"/>
        <v>0</v>
      </c>
      <c r="CM482" s="52">
        <f t="shared" ca="1" si="750"/>
        <v>0</v>
      </c>
      <c r="CN482" s="52">
        <f t="shared" ca="1" si="750"/>
        <v>0</v>
      </c>
      <c r="CO482" s="52">
        <f t="shared" ca="1" si="750"/>
        <v>0</v>
      </c>
    </row>
    <row r="483" spans="1:93">
      <c r="A483" s="10"/>
      <c r="B483" s="10"/>
      <c r="C483" s="17" t="s">
        <v>128</v>
      </c>
      <c r="D483" s="42"/>
      <c r="E483" s="62"/>
      <c r="F483" s="11"/>
      <c r="G483" s="134" t="str">
        <f t="shared" si="734"/>
        <v>тыс. руб.</v>
      </c>
      <c r="H483" s="10"/>
      <c r="I483" s="10"/>
      <c r="J483" s="10"/>
      <c r="K483" s="10"/>
      <c r="L483" s="52">
        <f t="shared" ref="L483:AQ483" ca="1" si="751" xml:space="preserve"> SUM(L480,L482)</f>
        <v>0</v>
      </c>
      <c r="M483" s="52">
        <f t="shared" ca="1" si="751"/>
        <v>0</v>
      </c>
      <c r="N483" s="52">
        <f t="shared" ca="1" si="751"/>
        <v>0</v>
      </c>
      <c r="O483" s="52">
        <f t="shared" ca="1" si="751"/>
        <v>0</v>
      </c>
      <c r="P483" s="52">
        <f t="shared" ca="1" si="751"/>
        <v>0</v>
      </c>
      <c r="Q483" s="52">
        <f t="shared" ca="1" si="751"/>
        <v>0</v>
      </c>
      <c r="R483" s="52">
        <f t="shared" ca="1" si="751"/>
        <v>0</v>
      </c>
      <c r="S483" s="52">
        <f t="shared" ca="1" si="751"/>
        <v>0</v>
      </c>
      <c r="T483" s="52">
        <f t="shared" ca="1" si="751"/>
        <v>0</v>
      </c>
      <c r="U483" s="52">
        <f t="shared" ca="1" si="751"/>
        <v>0</v>
      </c>
      <c r="V483" s="52">
        <f t="shared" ca="1" si="751"/>
        <v>0</v>
      </c>
      <c r="W483" s="52">
        <f t="shared" ca="1" si="751"/>
        <v>0</v>
      </c>
      <c r="X483" s="52">
        <f t="shared" ca="1" si="751"/>
        <v>0</v>
      </c>
      <c r="Y483" s="52">
        <f t="shared" ca="1" si="751"/>
        <v>0</v>
      </c>
      <c r="Z483" s="52">
        <f t="shared" ca="1" si="751"/>
        <v>0</v>
      </c>
      <c r="AA483" s="52">
        <f t="shared" ca="1" si="751"/>
        <v>0</v>
      </c>
      <c r="AB483" s="52">
        <f t="shared" ca="1" si="751"/>
        <v>0</v>
      </c>
      <c r="AC483" s="52">
        <f t="shared" ca="1" si="751"/>
        <v>0</v>
      </c>
      <c r="AD483" s="52">
        <f t="shared" ca="1" si="751"/>
        <v>0</v>
      </c>
      <c r="AE483" s="52">
        <f t="shared" ca="1" si="751"/>
        <v>0</v>
      </c>
      <c r="AF483" s="52">
        <f t="shared" ca="1" si="751"/>
        <v>0</v>
      </c>
      <c r="AG483" s="52">
        <f t="shared" ca="1" si="751"/>
        <v>0</v>
      </c>
      <c r="AH483" s="52">
        <f t="shared" ca="1" si="751"/>
        <v>0</v>
      </c>
      <c r="AI483" s="52">
        <f t="shared" ca="1" si="751"/>
        <v>0</v>
      </c>
      <c r="AJ483" s="52">
        <f t="shared" ca="1" si="751"/>
        <v>0</v>
      </c>
      <c r="AK483" s="52">
        <f t="shared" ca="1" si="751"/>
        <v>0</v>
      </c>
      <c r="AL483" s="52">
        <f t="shared" ca="1" si="751"/>
        <v>0</v>
      </c>
      <c r="AM483" s="52">
        <f t="shared" ca="1" si="751"/>
        <v>0</v>
      </c>
      <c r="AN483" s="52">
        <f t="shared" ca="1" si="751"/>
        <v>0</v>
      </c>
      <c r="AO483" s="52">
        <f t="shared" ca="1" si="751"/>
        <v>0</v>
      </c>
      <c r="AP483" s="52">
        <f t="shared" ca="1" si="751"/>
        <v>0</v>
      </c>
      <c r="AQ483" s="52">
        <f t="shared" ca="1" si="751"/>
        <v>0</v>
      </c>
      <c r="AR483" s="52">
        <f t="shared" ref="AR483:BW483" ca="1" si="752" xml:space="preserve"> SUM(AR480,AR482)</f>
        <v>0</v>
      </c>
      <c r="AS483" s="52">
        <f t="shared" ca="1" si="752"/>
        <v>0</v>
      </c>
      <c r="AT483" s="52">
        <f t="shared" ca="1" si="752"/>
        <v>0</v>
      </c>
      <c r="AU483" s="52">
        <f t="shared" ca="1" si="752"/>
        <v>0</v>
      </c>
      <c r="AV483" s="52">
        <f t="shared" ca="1" si="752"/>
        <v>0</v>
      </c>
      <c r="AW483" s="52">
        <f t="shared" ca="1" si="752"/>
        <v>0</v>
      </c>
      <c r="AX483" s="52">
        <f t="shared" ca="1" si="752"/>
        <v>0</v>
      </c>
      <c r="AY483" s="52">
        <f t="shared" ca="1" si="752"/>
        <v>0</v>
      </c>
      <c r="AZ483" s="52">
        <f t="shared" ca="1" si="752"/>
        <v>0</v>
      </c>
      <c r="BA483" s="52">
        <f t="shared" ca="1" si="752"/>
        <v>0</v>
      </c>
      <c r="BB483" s="52">
        <f t="shared" ca="1" si="752"/>
        <v>0</v>
      </c>
      <c r="BC483" s="52">
        <f t="shared" ca="1" si="752"/>
        <v>0</v>
      </c>
      <c r="BD483" s="52">
        <f t="shared" ca="1" si="752"/>
        <v>0</v>
      </c>
      <c r="BE483" s="52">
        <f t="shared" ca="1" si="752"/>
        <v>0</v>
      </c>
      <c r="BF483" s="52">
        <f t="shared" ca="1" si="752"/>
        <v>0</v>
      </c>
      <c r="BG483" s="52">
        <f t="shared" ca="1" si="752"/>
        <v>0</v>
      </c>
      <c r="BH483" s="52">
        <f t="shared" ca="1" si="752"/>
        <v>0</v>
      </c>
      <c r="BI483" s="52">
        <f t="shared" ca="1" si="752"/>
        <v>0</v>
      </c>
      <c r="BJ483" s="52">
        <f t="shared" ca="1" si="752"/>
        <v>0</v>
      </c>
      <c r="BK483" s="52">
        <f t="shared" ca="1" si="752"/>
        <v>0</v>
      </c>
      <c r="BL483" s="52">
        <f t="shared" ca="1" si="752"/>
        <v>0</v>
      </c>
      <c r="BM483" s="52">
        <f t="shared" ca="1" si="752"/>
        <v>0</v>
      </c>
      <c r="BN483" s="52">
        <f t="shared" ca="1" si="752"/>
        <v>0</v>
      </c>
      <c r="BO483" s="52">
        <f t="shared" ca="1" si="752"/>
        <v>0</v>
      </c>
      <c r="BP483" s="52">
        <f t="shared" ca="1" si="752"/>
        <v>0</v>
      </c>
      <c r="BQ483" s="52">
        <f t="shared" ca="1" si="752"/>
        <v>0</v>
      </c>
      <c r="BR483" s="52">
        <f t="shared" ca="1" si="752"/>
        <v>0</v>
      </c>
      <c r="BS483" s="52">
        <f t="shared" ca="1" si="752"/>
        <v>0</v>
      </c>
      <c r="BT483" s="52">
        <f t="shared" ca="1" si="752"/>
        <v>0</v>
      </c>
      <c r="BU483" s="52">
        <f t="shared" ca="1" si="752"/>
        <v>0</v>
      </c>
      <c r="BV483" s="52">
        <f t="shared" ca="1" si="752"/>
        <v>0</v>
      </c>
      <c r="BW483" s="52">
        <f t="shared" ca="1" si="752"/>
        <v>0</v>
      </c>
      <c r="BX483" s="52">
        <f t="shared" ref="BX483:CO483" ca="1" si="753" xml:space="preserve"> SUM(BX480,BX482)</f>
        <v>0</v>
      </c>
      <c r="BY483" s="52">
        <f t="shared" ca="1" si="753"/>
        <v>0</v>
      </c>
      <c r="BZ483" s="52">
        <f t="shared" ca="1" si="753"/>
        <v>0</v>
      </c>
      <c r="CA483" s="52">
        <f t="shared" ca="1" si="753"/>
        <v>0</v>
      </c>
      <c r="CB483" s="52">
        <f t="shared" ca="1" si="753"/>
        <v>0</v>
      </c>
      <c r="CC483" s="52">
        <f t="shared" ca="1" si="753"/>
        <v>0</v>
      </c>
      <c r="CD483" s="52">
        <f t="shared" ca="1" si="753"/>
        <v>0</v>
      </c>
      <c r="CE483" s="52">
        <f t="shared" ca="1" si="753"/>
        <v>0</v>
      </c>
      <c r="CF483" s="52">
        <f t="shared" ca="1" si="753"/>
        <v>0</v>
      </c>
      <c r="CG483" s="52">
        <f t="shared" ca="1" si="753"/>
        <v>0</v>
      </c>
      <c r="CH483" s="52">
        <f t="shared" ca="1" si="753"/>
        <v>0</v>
      </c>
      <c r="CI483" s="52">
        <f t="shared" ca="1" si="753"/>
        <v>0</v>
      </c>
      <c r="CJ483" s="52">
        <f t="shared" ca="1" si="753"/>
        <v>0</v>
      </c>
      <c r="CK483" s="52">
        <f t="shared" ca="1" si="753"/>
        <v>0</v>
      </c>
      <c r="CL483" s="52">
        <f t="shared" ca="1" si="753"/>
        <v>0</v>
      </c>
      <c r="CM483" s="52">
        <f t="shared" ca="1" si="753"/>
        <v>0</v>
      </c>
      <c r="CN483" s="52">
        <f t="shared" ca="1" si="753"/>
        <v>0</v>
      </c>
      <c r="CO483" s="52">
        <f t="shared" ca="1" si="753"/>
        <v>0</v>
      </c>
    </row>
    <row r="484" spans="1:93">
      <c r="A484" s="10"/>
      <c r="B484" s="10"/>
      <c r="C484" s="21"/>
      <c r="D484" s="42"/>
      <c r="E484" s="62"/>
      <c r="F484" s="11"/>
      <c r="G484" s="11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  <c r="CD484" s="10"/>
      <c r="CE484" s="10"/>
      <c r="CF484" s="10"/>
      <c r="CG484" s="10"/>
      <c r="CH484" s="10"/>
      <c r="CI484" s="10"/>
      <c r="CJ484" s="10"/>
      <c r="CK484" s="10"/>
      <c r="CL484" s="10"/>
      <c r="CM484" s="10"/>
      <c r="CN484" s="10"/>
      <c r="CO484" s="10"/>
    </row>
    <row r="485" spans="1:93" ht="16.5" thickBot="1">
      <c r="A485" s="10"/>
      <c r="B485" s="10"/>
      <c r="C485" s="12" t="s">
        <v>318</v>
      </c>
      <c r="D485" s="12"/>
      <c r="E485" s="12"/>
      <c r="F485" s="12"/>
      <c r="G485" s="360"/>
      <c r="H485" s="12"/>
      <c r="I485" s="12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  <c r="BA485" s="10"/>
      <c r="BB485" s="10"/>
      <c r="BC485" s="10"/>
      <c r="BD485" s="10"/>
      <c r="BE485" s="10"/>
      <c r="BF485" s="10"/>
      <c r="BG485" s="10"/>
      <c r="BH485" s="10"/>
      <c r="BI485" s="10"/>
      <c r="BJ485" s="10"/>
      <c r="BK485" s="10"/>
      <c r="BL485" s="10"/>
      <c r="BM485" s="10"/>
      <c r="BN485" s="10"/>
      <c r="BO485" s="10"/>
      <c r="BP485" s="10"/>
      <c r="BQ485" s="10"/>
      <c r="BR485" s="10"/>
      <c r="BS485" s="10"/>
      <c r="BT485" s="10"/>
      <c r="BU485" s="10"/>
      <c r="BV485" s="10"/>
      <c r="BW485" s="10"/>
      <c r="BX485" s="10"/>
      <c r="BY485" s="10"/>
      <c r="BZ485" s="10"/>
      <c r="CA485" s="10"/>
      <c r="CB485" s="10"/>
      <c r="CC485" s="10"/>
      <c r="CD485" s="10"/>
      <c r="CE485" s="10"/>
      <c r="CF485" s="10"/>
      <c r="CG485" s="10"/>
      <c r="CH485" s="10"/>
      <c r="CI485" s="10"/>
      <c r="CJ485" s="10"/>
      <c r="CK485" s="10"/>
      <c r="CL485" s="10"/>
      <c r="CM485" s="10"/>
      <c r="CN485" s="10"/>
      <c r="CO485" s="10"/>
    </row>
    <row r="486" spans="1:93">
      <c r="A486" s="10"/>
      <c r="B486" s="10"/>
      <c r="C486" s="10"/>
      <c r="D486" s="10"/>
      <c r="E486" s="10"/>
      <c r="F486" s="10"/>
      <c r="G486" s="142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  <c r="BA486" s="10"/>
      <c r="BB486" s="10"/>
      <c r="BC486" s="10"/>
      <c r="BD486" s="10"/>
      <c r="BE486" s="10"/>
      <c r="BF486" s="10"/>
      <c r="BG486" s="10"/>
      <c r="BH486" s="10"/>
      <c r="BI486" s="10"/>
      <c r="BJ486" s="10"/>
      <c r="BK486" s="10"/>
      <c r="BL486" s="10"/>
      <c r="BM486" s="10"/>
      <c r="BN486" s="10"/>
      <c r="BO486" s="10"/>
      <c r="BP486" s="10"/>
      <c r="BQ486" s="10"/>
      <c r="BR486" s="10"/>
      <c r="BS486" s="10"/>
      <c r="BT486" s="10"/>
      <c r="BU486" s="10"/>
      <c r="BV486" s="10"/>
      <c r="BW486" s="10"/>
      <c r="BX486" s="10"/>
      <c r="BY486" s="10"/>
      <c r="BZ486" s="10"/>
      <c r="CA486" s="10"/>
      <c r="CB486" s="10"/>
      <c r="CC486" s="10"/>
      <c r="CD486" s="10"/>
      <c r="CE486" s="10"/>
      <c r="CF486" s="10"/>
      <c r="CG486" s="10"/>
      <c r="CH486" s="10"/>
      <c r="CI486" s="10"/>
      <c r="CJ486" s="10"/>
      <c r="CK486" s="10"/>
      <c r="CL486" s="10"/>
      <c r="CM486" s="10"/>
      <c r="CN486" s="10"/>
      <c r="CO486" s="10"/>
    </row>
    <row r="487" spans="1:93">
      <c r="A487" s="10"/>
      <c r="B487" s="10"/>
      <c r="C487" s="87" t="s">
        <v>390</v>
      </c>
      <c r="D487" s="10"/>
      <c r="E487" s="10"/>
      <c r="F487" s="10"/>
      <c r="G487" s="142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  <c r="BA487" s="10"/>
      <c r="BB487" s="10"/>
      <c r="BC487" s="10"/>
      <c r="BD487" s="10"/>
      <c r="BE487" s="10"/>
      <c r="BF487" s="10"/>
      <c r="BG487" s="10"/>
      <c r="BH487" s="10"/>
      <c r="BI487" s="10"/>
      <c r="BJ487" s="10"/>
      <c r="BK487" s="10"/>
      <c r="BL487" s="10"/>
      <c r="BM487" s="10"/>
      <c r="BN487" s="10"/>
      <c r="BO487" s="10"/>
      <c r="BP487" s="10"/>
      <c r="BQ487" s="10"/>
      <c r="BR487" s="10"/>
      <c r="BS487" s="10"/>
      <c r="BT487" s="10"/>
      <c r="BU487" s="10"/>
      <c r="BV487" s="10"/>
      <c r="BW487" s="10"/>
      <c r="BX487" s="10"/>
      <c r="BY487" s="10"/>
      <c r="BZ487" s="10"/>
      <c r="CA487" s="10"/>
      <c r="CB487" s="10"/>
      <c r="CC487" s="10"/>
      <c r="CD487" s="10"/>
      <c r="CE487" s="10"/>
      <c r="CF487" s="10"/>
      <c r="CG487" s="10"/>
      <c r="CH487" s="10"/>
      <c r="CI487" s="10"/>
      <c r="CJ487" s="10"/>
      <c r="CK487" s="10"/>
      <c r="CL487" s="10"/>
      <c r="CM487" s="10"/>
      <c r="CN487" s="10"/>
      <c r="CO487" s="10"/>
    </row>
    <row r="488" spans="1:93">
      <c r="A488" s="10"/>
      <c r="B488" s="10"/>
      <c r="C488" s="17" t="s">
        <v>125</v>
      </c>
      <c r="D488" s="10"/>
      <c r="E488" s="62"/>
      <c r="F488" s="11"/>
      <c r="G488" s="143" t="str">
        <f>Monetary_Unit</f>
        <v>тыс. руб.</v>
      </c>
      <c r="H488" s="10"/>
      <c r="I488" s="10"/>
      <c r="J488" s="10"/>
      <c r="K488" s="10"/>
      <c r="L488" s="52">
        <f t="shared" ref="L488:AQ488" si="754">K491*Flag_Forecast</f>
        <v>0</v>
      </c>
      <c r="M488" s="52">
        <f t="shared" ca="1" si="754"/>
        <v>0</v>
      </c>
      <c r="N488" s="52">
        <f t="shared" ca="1" si="754"/>
        <v>0</v>
      </c>
      <c r="O488" s="52">
        <f t="shared" ca="1" si="754"/>
        <v>0</v>
      </c>
      <c r="P488" s="52">
        <f t="shared" ca="1" si="754"/>
        <v>0</v>
      </c>
      <c r="Q488" s="52">
        <f t="shared" ca="1" si="754"/>
        <v>0</v>
      </c>
      <c r="R488" s="52">
        <f t="shared" ca="1" si="754"/>
        <v>0</v>
      </c>
      <c r="S488" s="52">
        <f t="shared" ca="1" si="754"/>
        <v>0</v>
      </c>
      <c r="T488" s="52">
        <f t="shared" ca="1" si="754"/>
        <v>0</v>
      </c>
      <c r="U488" s="52">
        <f t="shared" ca="1" si="754"/>
        <v>0</v>
      </c>
      <c r="V488" s="52">
        <f t="shared" ca="1" si="754"/>
        <v>0</v>
      </c>
      <c r="W488" s="52">
        <f t="shared" ca="1" si="754"/>
        <v>0</v>
      </c>
      <c r="X488" s="52">
        <f t="shared" ca="1" si="754"/>
        <v>0</v>
      </c>
      <c r="Y488" s="52">
        <f t="shared" ca="1" si="754"/>
        <v>0</v>
      </c>
      <c r="Z488" s="52">
        <f t="shared" ca="1" si="754"/>
        <v>0</v>
      </c>
      <c r="AA488" s="52">
        <f t="shared" ca="1" si="754"/>
        <v>0</v>
      </c>
      <c r="AB488" s="52">
        <f t="shared" ca="1" si="754"/>
        <v>0</v>
      </c>
      <c r="AC488" s="52">
        <f t="shared" ca="1" si="754"/>
        <v>3445673.1177906296</v>
      </c>
      <c r="AD488" s="52">
        <f t="shared" ca="1" si="754"/>
        <v>3398805.3945659217</v>
      </c>
      <c r="AE488" s="52">
        <f t="shared" ca="1" si="754"/>
        <v>3351937.6713412139</v>
      </c>
      <c r="AF488" s="52">
        <f t="shared" ca="1" si="754"/>
        <v>3305069.948116506</v>
      </c>
      <c r="AG488" s="52">
        <f t="shared" ca="1" si="754"/>
        <v>3258202.2248917981</v>
      </c>
      <c r="AH488" s="52">
        <f t="shared" ca="1" si="754"/>
        <v>3211334.5016670902</v>
      </c>
      <c r="AI488" s="52">
        <f t="shared" ca="1" si="754"/>
        <v>3164466.7784423823</v>
      </c>
      <c r="AJ488" s="52">
        <f t="shared" ca="1" si="754"/>
        <v>3117599.0552176745</v>
      </c>
      <c r="AK488" s="52">
        <f t="shared" ca="1" si="754"/>
        <v>3070731.3319929666</v>
      </c>
      <c r="AL488" s="52">
        <f t="shared" ca="1" si="754"/>
        <v>3023863.6087682587</v>
      </c>
      <c r="AM488" s="52">
        <f t="shared" ca="1" si="754"/>
        <v>2976995.8855435508</v>
      </c>
      <c r="AN488" s="52">
        <f t="shared" ca="1" si="754"/>
        <v>2930128.162318843</v>
      </c>
      <c r="AO488" s="52">
        <f t="shared" ca="1" si="754"/>
        <v>2883260.4390941351</v>
      </c>
      <c r="AP488" s="52">
        <f t="shared" ca="1" si="754"/>
        <v>2836392.7158694272</v>
      </c>
      <c r="AQ488" s="52">
        <f t="shared" ca="1" si="754"/>
        <v>2789524.9926447193</v>
      </c>
      <c r="AR488" s="52">
        <f t="shared" ref="AR488:BW488" ca="1" si="755">AQ491*Flag_Forecast</f>
        <v>2742657.2694200114</v>
      </c>
      <c r="AS488" s="52">
        <f t="shared" ca="1" si="755"/>
        <v>2695789.5461953036</v>
      </c>
      <c r="AT488" s="52">
        <f t="shared" ca="1" si="755"/>
        <v>2648921.8229705957</v>
      </c>
      <c r="AU488" s="52">
        <f t="shared" ca="1" si="755"/>
        <v>2602054.0997458878</v>
      </c>
      <c r="AV488" s="52">
        <f t="shared" ca="1" si="755"/>
        <v>2555186.3765211799</v>
      </c>
      <c r="AW488" s="52">
        <f t="shared" ca="1" si="755"/>
        <v>2508318.653296472</v>
      </c>
      <c r="AX488" s="52">
        <f t="shared" ca="1" si="755"/>
        <v>2461450.9300717642</v>
      </c>
      <c r="AY488" s="52">
        <f t="shared" ca="1" si="755"/>
        <v>2414583.2068470563</v>
      </c>
      <c r="AZ488" s="52">
        <f t="shared" ca="1" si="755"/>
        <v>2367715.4836223484</v>
      </c>
      <c r="BA488" s="52">
        <f t="shared" ca="1" si="755"/>
        <v>2320847.7603976405</v>
      </c>
      <c r="BB488" s="52">
        <f t="shared" ca="1" si="755"/>
        <v>2273980.0371729326</v>
      </c>
      <c r="BC488" s="52">
        <f t="shared" ca="1" si="755"/>
        <v>2227112.3139482248</v>
      </c>
      <c r="BD488" s="52">
        <f t="shared" ca="1" si="755"/>
        <v>2180244.5907235169</v>
      </c>
      <c r="BE488" s="52">
        <f t="shared" ca="1" si="755"/>
        <v>2133376.867498809</v>
      </c>
      <c r="BF488" s="52">
        <f t="shared" ca="1" si="755"/>
        <v>2110187.9885042566</v>
      </c>
      <c r="BG488" s="52">
        <f t="shared" ca="1" si="755"/>
        <v>2086999.1095097044</v>
      </c>
      <c r="BH488" s="52">
        <f t="shared" ca="1" si="755"/>
        <v>2063810.2305151522</v>
      </c>
      <c r="BI488" s="52">
        <f t="shared" ca="1" si="755"/>
        <v>2040621.3515206</v>
      </c>
      <c r="BJ488" s="52">
        <f t="shared" ca="1" si="755"/>
        <v>2017432.4725260478</v>
      </c>
      <c r="BK488" s="52">
        <f t="shared" ca="1" si="755"/>
        <v>1994243.5935314957</v>
      </c>
      <c r="BL488" s="52">
        <f t="shared" ca="1" si="755"/>
        <v>1971054.7145369435</v>
      </c>
      <c r="BM488" s="52">
        <f t="shared" ca="1" si="755"/>
        <v>1947865.8355423913</v>
      </c>
      <c r="BN488" s="52">
        <f t="shared" ca="1" si="755"/>
        <v>1924676.9565478391</v>
      </c>
      <c r="BO488" s="52">
        <f t="shared" ca="1" si="755"/>
        <v>1901488.0775532869</v>
      </c>
      <c r="BP488" s="52">
        <f t="shared" ca="1" si="755"/>
        <v>1878299.1985587347</v>
      </c>
      <c r="BQ488" s="52">
        <f t="shared" ca="1" si="755"/>
        <v>1855110.3195641825</v>
      </c>
      <c r="BR488" s="52">
        <f t="shared" ca="1" si="755"/>
        <v>1831921.4405696304</v>
      </c>
      <c r="BS488" s="52">
        <f t="shared" ca="1" si="755"/>
        <v>1808732.5615750782</v>
      </c>
      <c r="BT488" s="52">
        <f t="shared" ca="1" si="755"/>
        <v>1785543.682580526</v>
      </c>
      <c r="BU488" s="52">
        <f t="shared" ca="1" si="755"/>
        <v>1762354.8035859738</v>
      </c>
      <c r="BV488" s="52">
        <f t="shared" ca="1" si="755"/>
        <v>1739165.9245914216</v>
      </c>
      <c r="BW488" s="52">
        <f t="shared" ca="1" si="755"/>
        <v>1715977.0455968694</v>
      </c>
      <c r="BX488" s="52">
        <f t="shared" ref="BX488:CO488" ca="1" si="756">BW491*Flag_Forecast</f>
        <v>1692788.1666023172</v>
      </c>
      <c r="BY488" s="52">
        <f t="shared" ca="1" si="756"/>
        <v>1669599.2876077651</v>
      </c>
      <c r="BZ488" s="52">
        <f t="shared" ca="1" si="756"/>
        <v>1646410.4086132129</v>
      </c>
      <c r="CA488" s="52">
        <f t="shared" ca="1" si="756"/>
        <v>1623221.5296186607</v>
      </c>
      <c r="CB488" s="52">
        <f t="shared" ca="1" si="756"/>
        <v>1600032.6506241085</v>
      </c>
      <c r="CC488" s="52">
        <f t="shared" ca="1" si="756"/>
        <v>1576843.7716295563</v>
      </c>
      <c r="CD488" s="52">
        <f t="shared" ca="1" si="756"/>
        <v>1553654.8926350041</v>
      </c>
      <c r="CE488" s="52">
        <f t="shared" ca="1" si="756"/>
        <v>1530466.0136404519</v>
      </c>
      <c r="CF488" s="52">
        <f t="shared" ca="1" si="756"/>
        <v>1507277.1346458998</v>
      </c>
      <c r="CG488" s="52">
        <f t="shared" ca="1" si="756"/>
        <v>1484088.2556513476</v>
      </c>
      <c r="CH488" s="52">
        <f t="shared" ca="1" si="756"/>
        <v>1460899.3766567954</v>
      </c>
      <c r="CI488" s="52">
        <f t="shared" ca="1" si="756"/>
        <v>1437710.4976622432</v>
      </c>
      <c r="CJ488" s="52">
        <f t="shared" ca="1" si="756"/>
        <v>1414521.618667691</v>
      </c>
      <c r="CK488" s="52">
        <f t="shared" ca="1" si="756"/>
        <v>1391332.7396731388</v>
      </c>
      <c r="CL488" s="52">
        <f t="shared" ca="1" si="756"/>
        <v>1368143.8606785866</v>
      </c>
      <c r="CM488" s="52">
        <f t="shared" ca="1" si="756"/>
        <v>1344954.9816840345</v>
      </c>
      <c r="CN488" s="52">
        <f t="shared" ca="1" si="756"/>
        <v>1321766.1026894823</v>
      </c>
      <c r="CO488" s="52">
        <f t="shared" ca="1" si="756"/>
        <v>1298577.2236949301</v>
      </c>
    </row>
    <row r="489" spans="1:93">
      <c r="A489" s="10"/>
      <c r="B489" s="10"/>
      <c r="C489" s="17" t="s">
        <v>126</v>
      </c>
      <c r="D489" s="10"/>
      <c r="E489" s="62"/>
      <c r="F489" s="11"/>
      <c r="G489" s="143" t="str">
        <f>Monetary_Unit</f>
        <v>тыс. руб.</v>
      </c>
      <c r="H489" s="10"/>
      <c r="I489" s="23">
        <f ca="1">SUM(L489:CO489)</f>
        <v>3445673.1177906296</v>
      </c>
      <c r="J489" s="10"/>
      <c r="K489" s="10"/>
      <c r="L489" s="52">
        <f t="shared" ref="L489:R489" ca="1" si="757">SUM(L355,L365,L375,L385,L395,L405,L414)</f>
        <v>0</v>
      </c>
      <c r="M489" s="52">
        <f t="shared" ca="1" si="757"/>
        <v>0</v>
      </c>
      <c r="N489" s="52">
        <f t="shared" ca="1" si="757"/>
        <v>0</v>
      </c>
      <c r="O489" s="52">
        <f t="shared" ca="1" si="757"/>
        <v>0</v>
      </c>
      <c r="P489" s="52">
        <f t="shared" ca="1" si="757"/>
        <v>0</v>
      </c>
      <c r="Q489" s="52">
        <f t="shared" ca="1" si="757"/>
        <v>0</v>
      </c>
      <c r="R489" s="52">
        <f t="shared" ca="1" si="757"/>
        <v>0</v>
      </c>
      <c r="S489" s="52">
        <f ca="1">SUM(S355,S365,S375,S385,S395,S405,S414)</f>
        <v>0</v>
      </c>
      <c r="T489" s="52">
        <f t="shared" ref="T489:CE489" ca="1" si="758">SUM(T355,T365,T375,T385,T395,T405,T414)</f>
        <v>0</v>
      </c>
      <c r="U489" s="52">
        <f t="shared" ca="1" si="758"/>
        <v>0</v>
      </c>
      <c r="V489" s="52">
        <f t="shared" ca="1" si="758"/>
        <v>0</v>
      </c>
      <c r="W489" s="52">
        <f t="shared" ca="1" si="758"/>
        <v>0</v>
      </c>
      <c r="X489" s="52">
        <f t="shared" ca="1" si="758"/>
        <v>0</v>
      </c>
      <c r="Y489" s="52">
        <f t="shared" ca="1" si="758"/>
        <v>0</v>
      </c>
      <c r="Z489" s="52">
        <f t="shared" ca="1" si="758"/>
        <v>0</v>
      </c>
      <c r="AA489" s="52">
        <f t="shared" ca="1" si="758"/>
        <v>0</v>
      </c>
      <c r="AB489" s="52">
        <f t="shared" ca="1" si="758"/>
        <v>3445673.1177906296</v>
      </c>
      <c r="AC489" s="52">
        <f t="shared" ca="1" si="758"/>
        <v>0</v>
      </c>
      <c r="AD489" s="52">
        <f t="shared" ca="1" si="758"/>
        <v>0</v>
      </c>
      <c r="AE489" s="52">
        <f t="shared" ca="1" si="758"/>
        <v>0</v>
      </c>
      <c r="AF489" s="52">
        <f t="shared" ca="1" si="758"/>
        <v>0</v>
      </c>
      <c r="AG489" s="52">
        <f t="shared" ca="1" si="758"/>
        <v>0</v>
      </c>
      <c r="AH489" s="52">
        <f t="shared" ca="1" si="758"/>
        <v>0</v>
      </c>
      <c r="AI489" s="52">
        <f t="shared" ca="1" si="758"/>
        <v>0</v>
      </c>
      <c r="AJ489" s="52">
        <f t="shared" ca="1" si="758"/>
        <v>0</v>
      </c>
      <c r="AK489" s="52">
        <f t="shared" ca="1" si="758"/>
        <v>0</v>
      </c>
      <c r="AL489" s="52">
        <f t="shared" ca="1" si="758"/>
        <v>0</v>
      </c>
      <c r="AM489" s="52">
        <f t="shared" ca="1" si="758"/>
        <v>0</v>
      </c>
      <c r="AN489" s="52">
        <f t="shared" ca="1" si="758"/>
        <v>0</v>
      </c>
      <c r="AO489" s="52">
        <f t="shared" ca="1" si="758"/>
        <v>0</v>
      </c>
      <c r="AP489" s="52">
        <f t="shared" ca="1" si="758"/>
        <v>0</v>
      </c>
      <c r="AQ489" s="52">
        <f t="shared" ca="1" si="758"/>
        <v>0</v>
      </c>
      <c r="AR489" s="52">
        <f t="shared" ca="1" si="758"/>
        <v>0</v>
      </c>
      <c r="AS489" s="52">
        <f t="shared" ca="1" si="758"/>
        <v>0</v>
      </c>
      <c r="AT489" s="52">
        <f t="shared" ca="1" si="758"/>
        <v>0</v>
      </c>
      <c r="AU489" s="52">
        <f t="shared" ca="1" si="758"/>
        <v>0</v>
      </c>
      <c r="AV489" s="52">
        <f t="shared" ca="1" si="758"/>
        <v>0</v>
      </c>
      <c r="AW489" s="52">
        <f t="shared" ca="1" si="758"/>
        <v>0</v>
      </c>
      <c r="AX489" s="52">
        <f t="shared" ca="1" si="758"/>
        <v>0</v>
      </c>
      <c r="AY489" s="52">
        <f t="shared" ca="1" si="758"/>
        <v>0</v>
      </c>
      <c r="AZ489" s="52">
        <f t="shared" ca="1" si="758"/>
        <v>0</v>
      </c>
      <c r="BA489" s="52">
        <f t="shared" ca="1" si="758"/>
        <v>0</v>
      </c>
      <c r="BB489" s="52">
        <f t="shared" ca="1" si="758"/>
        <v>0</v>
      </c>
      <c r="BC489" s="52">
        <f t="shared" ca="1" si="758"/>
        <v>0</v>
      </c>
      <c r="BD489" s="52">
        <f t="shared" ca="1" si="758"/>
        <v>0</v>
      </c>
      <c r="BE489" s="52">
        <f t="shared" ca="1" si="758"/>
        <v>0</v>
      </c>
      <c r="BF489" s="52">
        <f t="shared" ca="1" si="758"/>
        <v>0</v>
      </c>
      <c r="BG489" s="52">
        <f t="shared" ca="1" si="758"/>
        <v>0</v>
      </c>
      <c r="BH489" s="52">
        <f t="shared" ca="1" si="758"/>
        <v>0</v>
      </c>
      <c r="BI489" s="52">
        <f t="shared" ca="1" si="758"/>
        <v>0</v>
      </c>
      <c r="BJ489" s="52">
        <f t="shared" ca="1" si="758"/>
        <v>0</v>
      </c>
      <c r="BK489" s="52">
        <f t="shared" ca="1" si="758"/>
        <v>0</v>
      </c>
      <c r="BL489" s="52">
        <f t="shared" ca="1" si="758"/>
        <v>0</v>
      </c>
      <c r="BM489" s="52">
        <f t="shared" ca="1" si="758"/>
        <v>0</v>
      </c>
      <c r="BN489" s="52">
        <f t="shared" ca="1" si="758"/>
        <v>0</v>
      </c>
      <c r="BO489" s="52">
        <f t="shared" ca="1" si="758"/>
        <v>0</v>
      </c>
      <c r="BP489" s="52">
        <f t="shared" ca="1" si="758"/>
        <v>0</v>
      </c>
      <c r="BQ489" s="52">
        <f t="shared" ca="1" si="758"/>
        <v>0</v>
      </c>
      <c r="BR489" s="52">
        <f t="shared" ca="1" si="758"/>
        <v>0</v>
      </c>
      <c r="BS489" s="52">
        <f t="shared" ca="1" si="758"/>
        <v>0</v>
      </c>
      <c r="BT489" s="52">
        <f t="shared" ca="1" si="758"/>
        <v>0</v>
      </c>
      <c r="BU489" s="52">
        <f t="shared" ca="1" si="758"/>
        <v>0</v>
      </c>
      <c r="BV489" s="52">
        <f t="shared" ca="1" si="758"/>
        <v>0</v>
      </c>
      <c r="BW489" s="52">
        <f t="shared" ca="1" si="758"/>
        <v>0</v>
      </c>
      <c r="BX489" s="52">
        <f t="shared" ca="1" si="758"/>
        <v>0</v>
      </c>
      <c r="BY489" s="52">
        <f t="shared" ca="1" si="758"/>
        <v>0</v>
      </c>
      <c r="BZ489" s="52">
        <f t="shared" ca="1" si="758"/>
        <v>0</v>
      </c>
      <c r="CA489" s="52">
        <f t="shared" ca="1" si="758"/>
        <v>0</v>
      </c>
      <c r="CB489" s="52">
        <f t="shared" ca="1" si="758"/>
        <v>0</v>
      </c>
      <c r="CC489" s="52">
        <f t="shared" ca="1" si="758"/>
        <v>0</v>
      </c>
      <c r="CD489" s="52">
        <f t="shared" ca="1" si="758"/>
        <v>0</v>
      </c>
      <c r="CE489" s="52">
        <f t="shared" ca="1" si="758"/>
        <v>0</v>
      </c>
      <c r="CF489" s="52">
        <f t="shared" ref="CF489:CO489" ca="1" si="759">SUM(CF355,CF365,CF375,CF385,CF395,CF405,CF414)</f>
        <v>0</v>
      </c>
      <c r="CG489" s="52">
        <f t="shared" ca="1" si="759"/>
        <v>0</v>
      </c>
      <c r="CH489" s="52">
        <f t="shared" ca="1" si="759"/>
        <v>0</v>
      </c>
      <c r="CI489" s="52">
        <f t="shared" ca="1" si="759"/>
        <v>0</v>
      </c>
      <c r="CJ489" s="52">
        <f t="shared" ca="1" si="759"/>
        <v>0</v>
      </c>
      <c r="CK489" s="52">
        <f t="shared" ca="1" si="759"/>
        <v>0</v>
      </c>
      <c r="CL489" s="52">
        <f t="shared" ca="1" si="759"/>
        <v>0</v>
      </c>
      <c r="CM489" s="52">
        <f t="shared" ca="1" si="759"/>
        <v>0</v>
      </c>
      <c r="CN489" s="52">
        <f t="shared" ca="1" si="759"/>
        <v>0</v>
      </c>
      <c r="CO489" s="52">
        <f t="shared" ca="1" si="759"/>
        <v>0</v>
      </c>
    </row>
    <row r="490" spans="1:93">
      <c r="A490" s="10"/>
      <c r="B490" s="10"/>
      <c r="C490" s="17" t="s">
        <v>389</v>
      </c>
      <c r="D490" s="10"/>
      <c r="E490" s="62"/>
      <c r="F490" s="11"/>
      <c r="G490" s="143" t="str">
        <f>Monetary_Unit</f>
        <v>тыс. руб.</v>
      </c>
      <c r="H490" s="10"/>
      <c r="I490" s="23">
        <f ca="1">SUM(L490:CO490)</f>
        <v>-2170284.7730902564</v>
      </c>
      <c r="J490" s="10"/>
      <c r="K490" s="10"/>
      <c r="L490" s="52">
        <f t="shared" ref="L490:AQ490" ca="1" si="760">-SUM(L357,L367,L377,L387,L397,L407)*Flag_Forecast</f>
        <v>0</v>
      </c>
      <c r="M490" s="52">
        <f t="shared" ca="1" si="760"/>
        <v>0</v>
      </c>
      <c r="N490" s="52">
        <f t="shared" ca="1" si="760"/>
        <v>0</v>
      </c>
      <c r="O490" s="52">
        <f t="shared" ca="1" si="760"/>
        <v>0</v>
      </c>
      <c r="P490" s="52">
        <f t="shared" ca="1" si="760"/>
        <v>0</v>
      </c>
      <c r="Q490" s="52">
        <f t="shared" ca="1" si="760"/>
        <v>0</v>
      </c>
      <c r="R490" s="52">
        <f t="shared" ca="1" si="760"/>
        <v>0</v>
      </c>
      <c r="S490" s="52">
        <f t="shared" ca="1" si="760"/>
        <v>0</v>
      </c>
      <c r="T490" s="52">
        <f t="shared" ca="1" si="760"/>
        <v>0</v>
      </c>
      <c r="U490" s="52">
        <f t="shared" ca="1" si="760"/>
        <v>0</v>
      </c>
      <c r="V490" s="52">
        <f t="shared" ca="1" si="760"/>
        <v>0</v>
      </c>
      <c r="W490" s="52">
        <f t="shared" ca="1" si="760"/>
        <v>0</v>
      </c>
      <c r="X490" s="52">
        <f t="shared" ca="1" si="760"/>
        <v>0</v>
      </c>
      <c r="Y490" s="52">
        <f t="shared" ca="1" si="760"/>
        <v>0</v>
      </c>
      <c r="Z490" s="52">
        <f t="shared" ca="1" si="760"/>
        <v>0</v>
      </c>
      <c r="AA490" s="52">
        <f t="shared" ca="1" si="760"/>
        <v>0</v>
      </c>
      <c r="AB490" s="52">
        <f t="shared" ca="1" si="760"/>
        <v>0</v>
      </c>
      <c r="AC490" s="52">
        <f t="shared" ca="1" si="760"/>
        <v>-46867.723224708025</v>
      </c>
      <c r="AD490" s="52">
        <f t="shared" ca="1" si="760"/>
        <v>-46867.723224708025</v>
      </c>
      <c r="AE490" s="52">
        <f t="shared" ca="1" si="760"/>
        <v>-46867.723224708025</v>
      </c>
      <c r="AF490" s="52">
        <f t="shared" ca="1" si="760"/>
        <v>-46867.723224708025</v>
      </c>
      <c r="AG490" s="52">
        <f t="shared" ca="1" si="760"/>
        <v>-46867.723224708025</v>
      </c>
      <c r="AH490" s="52">
        <f t="shared" ca="1" si="760"/>
        <v>-46867.723224708025</v>
      </c>
      <c r="AI490" s="52">
        <f t="shared" ca="1" si="760"/>
        <v>-46867.723224708025</v>
      </c>
      <c r="AJ490" s="52">
        <f t="shared" ca="1" si="760"/>
        <v>-46867.723224708025</v>
      </c>
      <c r="AK490" s="52">
        <f t="shared" ca="1" si="760"/>
        <v>-46867.723224708025</v>
      </c>
      <c r="AL490" s="52">
        <f t="shared" ca="1" si="760"/>
        <v>-46867.723224708025</v>
      </c>
      <c r="AM490" s="52">
        <f t="shared" ca="1" si="760"/>
        <v>-46867.723224708025</v>
      </c>
      <c r="AN490" s="52">
        <f t="shared" ca="1" si="760"/>
        <v>-46867.723224708025</v>
      </c>
      <c r="AO490" s="52">
        <f t="shared" ca="1" si="760"/>
        <v>-46867.723224708025</v>
      </c>
      <c r="AP490" s="52">
        <f t="shared" ca="1" si="760"/>
        <v>-46867.723224708025</v>
      </c>
      <c r="AQ490" s="52">
        <f t="shared" ca="1" si="760"/>
        <v>-46867.723224708025</v>
      </c>
      <c r="AR490" s="52">
        <f t="shared" ref="AR490:BW490" ca="1" si="761">-SUM(AR357,AR367,AR377,AR387,AR397,AR407)*Flag_Forecast</f>
        <v>-46867.723224708025</v>
      </c>
      <c r="AS490" s="52">
        <f t="shared" ca="1" si="761"/>
        <v>-46867.723224708025</v>
      </c>
      <c r="AT490" s="52">
        <f t="shared" ca="1" si="761"/>
        <v>-46867.723224708025</v>
      </c>
      <c r="AU490" s="52">
        <f t="shared" ca="1" si="761"/>
        <v>-46867.723224708025</v>
      </c>
      <c r="AV490" s="52">
        <f t="shared" ca="1" si="761"/>
        <v>-46867.723224708025</v>
      </c>
      <c r="AW490" s="52">
        <f t="shared" ca="1" si="761"/>
        <v>-46867.723224708025</v>
      </c>
      <c r="AX490" s="52">
        <f t="shared" ca="1" si="761"/>
        <v>-46867.723224708025</v>
      </c>
      <c r="AY490" s="52">
        <f t="shared" ca="1" si="761"/>
        <v>-46867.723224708025</v>
      </c>
      <c r="AZ490" s="52">
        <f t="shared" ca="1" si="761"/>
        <v>-46867.723224708025</v>
      </c>
      <c r="BA490" s="52">
        <f t="shared" ca="1" si="761"/>
        <v>-46867.723224708025</v>
      </c>
      <c r="BB490" s="52">
        <f t="shared" ca="1" si="761"/>
        <v>-46867.723224708025</v>
      </c>
      <c r="BC490" s="52">
        <f t="shared" ca="1" si="761"/>
        <v>-46867.723224708025</v>
      </c>
      <c r="BD490" s="52">
        <f t="shared" ca="1" si="761"/>
        <v>-46867.723224708003</v>
      </c>
      <c r="BE490" s="52">
        <f t="shared" ca="1" si="761"/>
        <v>-23188.87899455224</v>
      </c>
      <c r="BF490" s="52">
        <f t="shared" ca="1" si="761"/>
        <v>-23188.87899455224</v>
      </c>
      <c r="BG490" s="52">
        <f t="shared" ca="1" si="761"/>
        <v>-23188.87899455224</v>
      </c>
      <c r="BH490" s="52">
        <f t="shared" ca="1" si="761"/>
        <v>-23188.87899455224</v>
      </c>
      <c r="BI490" s="52">
        <f t="shared" ca="1" si="761"/>
        <v>-23188.87899455224</v>
      </c>
      <c r="BJ490" s="52">
        <f t="shared" ca="1" si="761"/>
        <v>-23188.87899455224</v>
      </c>
      <c r="BK490" s="52">
        <f t="shared" ca="1" si="761"/>
        <v>-23188.87899455224</v>
      </c>
      <c r="BL490" s="52">
        <f t="shared" ca="1" si="761"/>
        <v>-23188.87899455224</v>
      </c>
      <c r="BM490" s="52">
        <f t="shared" ca="1" si="761"/>
        <v>-23188.87899455224</v>
      </c>
      <c r="BN490" s="52">
        <f t="shared" ca="1" si="761"/>
        <v>-23188.87899455224</v>
      </c>
      <c r="BO490" s="52">
        <f t="shared" ca="1" si="761"/>
        <v>-23188.87899455224</v>
      </c>
      <c r="BP490" s="52">
        <f t="shared" ca="1" si="761"/>
        <v>-23188.87899455224</v>
      </c>
      <c r="BQ490" s="52">
        <f t="shared" ca="1" si="761"/>
        <v>-23188.87899455224</v>
      </c>
      <c r="BR490" s="52">
        <f t="shared" ca="1" si="761"/>
        <v>-23188.87899455224</v>
      </c>
      <c r="BS490" s="52">
        <f t="shared" ca="1" si="761"/>
        <v>-23188.87899455224</v>
      </c>
      <c r="BT490" s="52">
        <f t="shared" ca="1" si="761"/>
        <v>-23188.87899455224</v>
      </c>
      <c r="BU490" s="52">
        <f t="shared" ca="1" si="761"/>
        <v>-23188.87899455224</v>
      </c>
      <c r="BV490" s="52">
        <f t="shared" ca="1" si="761"/>
        <v>-23188.87899455224</v>
      </c>
      <c r="BW490" s="52">
        <f t="shared" ca="1" si="761"/>
        <v>-23188.87899455224</v>
      </c>
      <c r="BX490" s="52">
        <f t="shared" ref="BX490:CO490" ca="1" si="762">-SUM(BX357,BX367,BX377,BX387,BX397,BX407)*Flag_Forecast</f>
        <v>-23188.87899455224</v>
      </c>
      <c r="BY490" s="52">
        <f t="shared" ca="1" si="762"/>
        <v>-23188.87899455224</v>
      </c>
      <c r="BZ490" s="52">
        <f t="shared" ca="1" si="762"/>
        <v>-23188.87899455224</v>
      </c>
      <c r="CA490" s="52">
        <f t="shared" ca="1" si="762"/>
        <v>-23188.87899455224</v>
      </c>
      <c r="CB490" s="52">
        <f t="shared" ca="1" si="762"/>
        <v>-23188.87899455224</v>
      </c>
      <c r="CC490" s="52">
        <f t="shared" ca="1" si="762"/>
        <v>-23188.87899455224</v>
      </c>
      <c r="CD490" s="52">
        <f t="shared" ca="1" si="762"/>
        <v>-23188.87899455224</v>
      </c>
      <c r="CE490" s="52">
        <f t="shared" ca="1" si="762"/>
        <v>-23188.87899455224</v>
      </c>
      <c r="CF490" s="52">
        <f t="shared" ca="1" si="762"/>
        <v>-23188.87899455224</v>
      </c>
      <c r="CG490" s="52">
        <f t="shared" ca="1" si="762"/>
        <v>-23188.87899455224</v>
      </c>
      <c r="CH490" s="52">
        <f t="shared" ca="1" si="762"/>
        <v>-23188.87899455224</v>
      </c>
      <c r="CI490" s="52">
        <f t="shared" ca="1" si="762"/>
        <v>-23188.87899455224</v>
      </c>
      <c r="CJ490" s="52">
        <f t="shared" ca="1" si="762"/>
        <v>-23188.87899455224</v>
      </c>
      <c r="CK490" s="52">
        <f t="shared" ca="1" si="762"/>
        <v>-23188.87899455224</v>
      </c>
      <c r="CL490" s="52">
        <f t="shared" ca="1" si="762"/>
        <v>-23188.87899455224</v>
      </c>
      <c r="CM490" s="52">
        <f t="shared" ca="1" si="762"/>
        <v>-23188.87899455224</v>
      </c>
      <c r="CN490" s="52">
        <f t="shared" ca="1" si="762"/>
        <v>-23188.87899455224</v>
      </c>
      <c r="CO490" s="52">
        <f t="shared" ca="1" si="762"/>
        <v>-23188.87899455224</v>
      </c>
    </row>
    <row r="491" spans="1:93">
      <c r="A491" s="10"/>
      <c r="B491" s="10"/>
      <c r="C491" s="17" t="s">
        <v>128</v>
      </c>
      <c r="D491" s="10"/>
      <c r="E491" s="62"/>
      <c r="F491" s="11"/>
      <c r="G491" s="143" t="str">
        <f>Monetary_Unit</f>
        <v>тыс. руб.</v>
      </c>
      <c r="H491" s="10"/>
      <c r="I491" s="10"/>
      <c r="J491" s="10"/>
      <c r="K491" s="10"/>
      <c r="L491" s="52">
        <f t="shared" ref="L491:R491" ca="1" si="763">SUM(L488:L490)*(ABS(SUM(L488:L490)&gt;Accuracy))*Flag_Forecast</f>
        <v>0</v>
      </c>
      <c r="M491" s="52">
        <f t="shared" ca="1" si="763"/>
        <v>0</v>
      </c>
      <c r="N491" s="52">
        <f t="shared" ca="1" si="763"/>
        <v>0</v>
      </c>
      <c r="O491" s="52">
        <f t="shared" ca="1" si="763"/>
        <v>0</v>
      </c>
      <c r="P491" s="52">
        <f t="shared" ca="1" si="763"/>
        <v>0</v>
      </c>
      <c r="Q491" s="52">
        <f t="shared" ca="1" si="763"/>
        <v>0</v>
      </c>
      <c r="R491" s="52">
        <f t="shared" ca="1" si="763"/>
        <v>0</v>
      </c>
      <c r="S491" s="52">
        <f ca="1">SUM(S488:S490)*(ABS(SUM(S488:S490)&gt;Accuracy))*Flag_Forecast</f>
        <v>0</v>
      </c>
      <c r="T491" s="52">
        <f t="shared" ref="T491:CE491" ca="1" si="764">SUM(T488:T490)*(ABS(SUM(T488:T490)&gt;Accuracy))*Flag_Forecast</f>
        <v>0</v>
      </c>
      <c r="U491" s="52">
        <f t="shared" ca="1" si="764"/>
        <v>0</v>
      </c>
      <c r="V491" s="52">
        <f t="shared" ca="1" si="764"/>
        <v>0</v>
      </c>
      <c r="W491" s="52">
        <f t="shared" ca="1" si="764"/>
        <v>0</v>
      </c>
      <c r="X491" s="52">
        <f t="shared" ca="1" si="764"/>
        <v>0</v>
      </c>
      <c r="Y491" s="52">
        <f t="shared" ca="1" si="764"/>
        <v>0</v>
      </c>
      <c r="Z491" s="52">
        <f t="shared" ca="1" si="764"/>
        <v>0</v>
      </c>
      <c r="AA491" s="52">
        <f t="shared" ca="1" si="764"/>
        <v>0</v>
      </c>
      <c r="AB491" s="52">
        <f t="shared" ca="1" si="764"/>
        <v>3445673.1177906296</v>
      </c>
      <c r="AC491" s="52">
        <f t="shared" ca="1" si="764"/>
        <v>3398805.3945659217</v>
      </c>
      <c r="AD491" s="52">
        <f t="shared" ca="1" si="764"/>
        <v>3351937.6713412139</v>
      </c>
      <c r="AE491" s="52">
        <f t="shared" ca="1" si="764"/>
        <v>3305069.948116506</v>
      </c>
      <c r="AF491" s="52">
        <f t="shared" ca="1" si="764"/>
        <v>3258202.2248917981</v>
      </c>
      <c r="AG491" s="52">
        <f t="shared" ca="1" si="764"/>
        <v>3211334.5016670902</v>
      </c>
      <c r="AH491" s="52">
        <f t="shared" ca="1" si="764"/>
        <v>3164466.7784423823</v>
      </c>
      <c r="AI491" s="52">
        <f t="shared" ca="1" si="764"/>
        <v>3117599.0552176745</v>
      </c>
      <c r="AJ491" s="52">
        <f t="shared" ca="1" si="764"/>
        <v>3070731.3319929666</v>
      </c>
      <c r="AK491" s="52">
        <f t="shared" ca="1" si="764"/>
        <v>3023863.6087682587</v>
      </c>
      <c r="AL491" s="52">
        <f t="shared" ca="1" si="764"/>
        <v>2976995.8855435508</v>
      </c>
      <c r="AM491" s="52">
        <f t="shared" ca="1" si="764"/>
        <v>2930128.162318843</v>
      </c>
      <c r="AN491" s="52">
        <f t="shared" ca="1" si="764"/>
        <v>2883260.4390941351</v>
      </c>
      <c r="AO491" s="52">
        <f t="shared" ca="1" si="764"/>
        <v>2836392.7158694272</v>
      </c>
      <c r="AP491" s="52">
        <f t="shared" ca="1" si="764"/>
        <v>2789524.9926447193</v>
      </c>
      <c r="AQ491" s="52">
        <f t="shared" ca="1" si="764"/>
        <v>2742657.2694200114</v>
      </c>
      <c r="AR491" s="52">
        <f t="shared" ca="1" si="764"/>
        <v>2695789.5461953036</v>
      </c>
      <c r="AS491" s="52">
        <f t="shared" ca="1" si="764"/>
        <v>2648921.8229705957</v>
      </c>
      <c r="AT491" s="52">
        <f t="shared" ca="1" si="764"/>
        <v>2602054.0997458878</v>
      </c>
      <c r="AU491" s="52">
        <f t="shared" ca="1" si="764"/>
        <v>2555186.3765211799</v>
      </c>
      <c r="AV491" s="52">
        <f t="shared" ca="1" si="764"/>
        <v>2508318.653296472</v>
      </c>
      <c r="AW491" s="52">
        <f t="shared" ca="1" si="764"/>
        <v>2461450.9300717642</v>
      </c>
      <c r="AX491" s="52">
        <f t="shared" ca="1" si="764"/>
        <v>2414583.2068470563</v>
      </c>
      <c r="AY491" s="52">
        <f t="shared" ca="1" si="764"/>
        <v>2367715.4836223484</v>
      </c>
      <c r="AZ491" s="52">
        <f t="shared" ca="1" si="764"/>
        <v>2320847.7603976405</v>
      </c>
      <c r="BA491" s="52">
        <f t="shared" ca="1" si="764"/>
        <v>2273980.0371729326</v>
      </c>
      <c r="BB491" s="52">
        <f t="shared" ca="1" si="764"/>
        <v>2227112.3139482248</v>
      </c>
      <c r="BC491" s="52">
        <f t="shared" ca="1" si="764"/>
        <v>2180244.5907235169</v>
      </c>
      <c r="BD491" s="52">
        <f t="shared" ca="1" si="764"/>
        <v>2133376.867498809</v>
      </c>
      <c r="BE491" s="52">
        <f t="shared" ca="1" si="764"/>
        <v>2110187.9885042566</v>
      </c>
      <c r="BF491" s="52">
        <f t="shared" ca="1" si="764"/>
        <v>2086999.1095097044</v>
      </c>
      <c r="BG491" s="52">
        <f t="shared" ca="1" si="764"/>
        <v>2063810.2305151522</v>
      </c>
      <c r="BH491" s="52">
        <f t="shared" ca="1" si="764"/>
        <v>2040621.3515206</v>
      </c>
      <c r="BI491" s="52">
        <f t="shared" ca="1" si="764"/>
        <v>2017432.4725260478</v>
      </c>
      <c r="BJ491" s="52">
        <f t="shared" ca="1" si="764"/>
        <v>1994243.5935314957</v>
      </c>
      <c r="BK491" s="52">
        <f t="shared" ca="1" si="764"/>
        <v>1971054.7145369435</v>
      </c>
      <c r="BL491" s="52">
        <f t="shared" ca="1" si="764"/>
        <v>1947865.8355423913</v>
      </c>
      <c r="BM491" s="52">
        <f t="shared" ca="1" si="764"/>
        <v>1924676.9565478391</v>
      </c>
      <c r="BN491" s="52">
        <f t="shared" ca="1" si="764"/>
        <v>1901488.0775532869</v>
      </c>
      <c r="BO491" s="52">
        <f t="shared" ca="1" si="764"/>
        <v>1878299.1985587347</v>
      </c>
      <c r="BP491" s="52">
        <f t="shared" ca="1" si="764"/>
        <v>1855110.3195641825</v>
      </c>
      <c r="BQ491" s="52">
        <f t="shared" ca="1" si="764"/>
        <v>1831921.4405696304</v>
      </c>
      <c r="BR491" s="52">
        <f t="shared" ca="1" si="764"/>
        <v>1808732.5615750782</v>
      </c>
      <c r="BS491" s="52">
        <f t="shared" ca="1" si="764"/>
        <v>1785543.682580526</v>
      </c>
      <c r="BT491" s="52">
        <f t="shared" ca="1" si="764"/>
        <v>1762354.8035859738</v>
      </c>
      <c r="BU491" s="52">
        <f t="shared" ca="1" si="764"/>
        <v>1739165.9245914216</v>
      </c>
      <c r="BV491" s="52">
        <f t="shared" ca="1" si="764"/>
        <v>1715977.0455968694</v>
      </c>
      <c r="BW491" s="52">
        <f t="shared" ca="1" si="764"/>
        <v>1692788.1666023172</v>
      </c>
      <c r="BX491" s="52">
        <f t="shared" ca="1" si="764"/>
        <v>1669599.2876077651</v>
      </c>
      <c r="BY491" s="52">
        <f t="shared" ca="1" si="764"/>
        <v>1646410.4086132129</v>
      </c>
      <c r="BZ491" s="52">
        <f t="shared" ca="1" si="764"/>
        <v>1623221.5296186607</v>
      </c>
      <c r="CA491" s="52">
        <f t="shared" ca="1" si="764"/>
        <v>1600032.6506241085</v>
      </c>
      <c r="CB491" s="52">
        <f t="shared" ca="1" si="764"/>
        <v>1576843.7716295563</v>
      </c>
      <c r="CC491" s="52">
        <f t="shared" ca="1" si="764"/>
        <v>1553654.8926350041</v>
      </c>
      <c r="CD491" s="52">
        <f t="shared" ca="1" si="764"/>
        <v>1530466.0136404519</v>
      </c>
      <c r="CE491" s="52">
        <f t="shared" ca="1" si="764"/>
        <v>1507277.1346458998</v>
      </c>
      <c r="CF491" s="52">
        <f t="shared" ref="CF491:CO491" ca="1" si="765">SUM(CF488:CF490)*(ABS(SUM(CF488:CF490)&gt;Accuracy))*Flag_Forecast</f>
        <v>1484088.2556513476</v>
      </c>
      <c r="CG491" s="52">
        <f t="shared" ca="1" si="765"/>
        <v>1460899.3766567954</v>
      </c>
      <c r="CH491" s="52">
        <f t="shared" ca="1" si="765"/>
        <v>1437710.4976622432</v>
      </c>
      <c r="CI491" s="52">
        <f t="shared" ca="1" si="765"/>
        <v>1414521.618667691</v>
      </c>
      <c r="CJ491" s="52">
        <f t="shared" ca="1" si="765"/>
        <v>1391332.7396731388</v>
      </c>
      <c r="CK491" s="52">
        <f t="shared" ca="1" si="765"/>
        <v>1368143.8606785866</v>
      </c>
      <c r="CL491" s="52">
        <f t="shared" ca="1" si="765"/>
        <v>1344954.9816840345</v>
      </c>
      <c r="CM491" s="52">
        <f t="shared" ca="1" si="765"/>
        <v>1321766.1026894823</v>
      </c>
      <c r="CN491" s="52">
        <f t="shared" ca="1" si="765"/>
        <v>1298577.2236949301</v>
      </c>
      <c r="CO491" s="52">
        <f t="shared" ca="1" si="765"/>
        <v>1275388.3447003779</v>
      </c>
    </row>
    <row r="492" spans="1:93">
      <c r="A492" s="10"/>
      <c r="B492" s="10"/>
      <c r="C492" s="17"/>
      <c r="D492" s="10"/>
      <c r="E492" s="10"/>
      <c r="F492" s="10"/>
      <c r="G492" s="142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  <c r="BA492" s="10"/>
      <c r="BB492" s="10"/>
      <c r="BC492" s="10"/>
      <c r="BD492" s="10"/>
      <c r="BE492" s="10"/>
      <c r="BF492" s="10"/>
      <c r="BG492" s="10"/>
      <c r="BH492" s="10"/>
      <c r="BI492" s="10"/>
      <c r="BJ492" s="10"/>
      <c r="BK492" s="10"/>
      <c r="BL492" s="10"/>
      <c r="BM492" s="10"/>
      <c r="BN492" s="10"/>
      <c r="BO492" s="10"/>
      <c r="BP492" s="10"/>
      <c r="BQ492" s="10"/>
      <c r="BR492" s="10"/>
      <c r="BS492" s="10"/>
      <c r="BT492" s="10"/>
      <c r="BU492" s="10"/>
      <c r="BV492" s="10"/>
      <c r="BW492" s="10"/>
      <c r="BX492" s="10"/>
      <c r="BY492" s="10"/>
      <c r="BZ492" s="10"/>
      <c r="CA492" s="10"/>
      <c r="CB492" s="10"/>
      <c r="CC492" s="10"/>
      <c r="CD492" s="10"/>
      <c r="CE492" s="10"/>
      <c r="CF492" s="10"/>
      <c r="CG492" s="10"/>
      <c r="CH492" s="10"/>
      <c r="CI492" s="10"/>
      <c r="CJ492" s="10"/>
      <c r="CK492" s="10"/>
      <c r="CL492" s="10"/>
      <c r="CM492" s="10"/>
      <c r="CN492" s="10"/>
      <c r="CO492" s="10"/>
    </row>
    <row r="493" spans="1:93">
      <c r="A493" s="10"/>
      <c r="B493" s="10"/>
      <c r="C493" s="87" t="s">
        <v>391</v>
      </c>
      <c r="D493" s="10"/>
      <c r="E493" s="10"/>
      <c r="F493" s="10"/>
      <c r="G493" s="142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  <c r="BA493" s="10"/>
      <c r="BB493" s="10"/>
      <c r="BC493" s="10"/>
      <c r="BD493" s="10"/>
      <c r="BE493" s="10"/>
      <c r="BF493" s="10"/>
      <c r="BG493" s="10"/>
      <c r="BH493" s="10"/>
      <c r="BI493" s="10"/>
      <c r="BJ493" s="10"/>
      <c r="BK493" s="10"/>
      <c r="BL493" s="10"/>
      <c r="BM493" s="10"/>
      <c r="BN493" s="10"/>
      <c r="BO493" s="10"/>
      <c r="BP493" s="10"/>
      <c r="BQ493" s="10"/>
      <c r="BR493" s="10"/>
      <c r="BS493" s="10"/>
      <c r="BT493" s="10"/>
      <c r="BU493" s="10"/>
      <c r="BV493" s="10"/>
      <c r="BW493" s="10"/>
      <c r="BX493" s="10"/>
      <c r="BY493" s="10"/>
      <c r="BZ493" s="10"/>
      <c r="CA493" s="10"/>
      <c r="CB493" s="10"/>
      <c r="CC493" s="10"/>
      <c r="CD493" s="10"/>
      <c r="CE493" s="10"/>
      <c r="CF493" s="10"/>
      <c r="CG493" s="10"/>
      <c r="CH493" s="10"/>
      <c r="CI493" s="10"/>
      <c r="CJ493" s="10"/>
      <c r="CK493" s="10"/>
      <c r="CL493" s="10"/>
      <c r="CM493" s="10"/>
      <c r="CN493" s="10"/>
      <c r="CO493" s="10"/>
    </row>
    <row r="494" spans="1:93">
      <c r="A494" s="10"/>
      <c r="B494" s="10"/>
      <c r="C494" s="17" t="s">
        <v>389</v>
      </c>
      <c r="D494" s="10"/>
      <c r="E494" s="10"/>
      <c r="F494" s="10"/>
      <c r="G494" s="143" t="str">
        <f>Monetary_Unit</f>
        <v>тыс. руб.</v>
      </c>
      <c r="H494" s="10"/>
      <c r="I494" s="23">
        <f ca="1">SUM(L494:CO494)</f>
        <v>-1633341.3302682433</v>
      </c>
      <c r="J494" s="10"/>
      <c r="K494" s="10"/>
      <c r="L494" s="52">
        <f t="shared" ref="L494:R494" ca="1" si="766">-SUM(L426,L437,L448,L459,L470,L481)*Flag_Forecast</f>
        <v>0</v>
      </c>
      <c r="M494" s="52">
        <f t="shared" ca="1" si="766"/>
        <v>0</v>
      </c>
      <c r="N494" s="52">
        <f t="shared" ca="1" si="766"/>
        <v>0</v>
      </c>
      <c r="O494" s="52">
        <f t="shared" ca="1" si="766"/>
        <v>0</v>
      </c>
      <c r="P494" s="52">
        <f t="shared" ca="1" si="766"/>
        <v>0</v>
      </c>
      <c r="Q494" s="52">
        <f t="shared" ca="1" si="766"/>
        <v>0</v>
      </c>
      <c r="R494" s="52">
        <f t="shared" ca="1" si="766"/>
        <v>0</v>
      </c>
      <c r="S494" s="52">
        <f ca="1">-SUM(S426,S437,S448,S459,S470,S481)*Flag_Forecast</f>
        <v>0</v>
      </c>
      <c r="T494" s="52">
        <f t="shared" ref="T494:CE494" ca="1" si="767">-SUM(T426,T437,T448,T459,T470,T481)*Flag_Forecast</f>
        <v>0</v>
      </c>
      <c r="U494" s="52">
        <f t="shared" ca="1" si="767"/>
        <v>0</v>
      </c>
      <c r="V494" s="52">
        <f t="shared" ca="1" si="767"/>
        <v>0</v>
      </c>
      <c r="W494" s="52">
        <f t="shared" ca="1" si="767"/>
        <v>0</v>
      </c>
      <c r="X494" s="52">
        <f t="shared" ca="1" si="767"/>
        <v>0</v>
      </c>
      <c r="Y494" s="52">
        <f t="shared" ca="1" si="767"/>
        <v>0</v>
      </c>
      <c r="Z494" s="52">
        <f t="shared" ca="1" si="767"/>
        <v>0</v>
      </c>
      <c r="AA494" s="52">
        <f t="shared" ca="1" si="767"/>
        <v>0</v>
      </c>
      <c r="AB494" s="52">
        <f t="shared" ca="1" si="767"/>
        <v>0</v>
      </c>
      <c r="AC494" s="52">
        <f t="shared" ca="1" si="767"/>
        <v>-35605.026509158808</v>
      </c>
      <c r="AD494" s="52">
        <f t="shared" ca="1" si="767"/>
        <v>-33550.473954695182</v>
      </c>
      <c r="AE494" s="52">
        <f t="shared" ca="1" si="767"/>
        <v>-33550.473954695182</v>
      </c>
      <c r="AF494" s="52">
        <f t="shared" ca="1" si="767"/>
        <v>-33550.473954695182</v>
      </c>
      <c r="AG494" s="52">
        <f t="shared" ca="1" si="767"/>
        <v>-33550.473954695182</v>
      </c>
      <c r="AH494" s="52">
        <f t="shared" ca="1" si="767"/>
        <v>-33550.473954695182</v>
      </c>
      <c r="AI494" s="52">
        <f t="shared" ca="1" si="767"/>
        <v>-33550.473954695182</v>
      </c>
      <c r="AJ494" s="52">
        <f t="shared" ca="1" si="767"/>
        <v>-33550.473954695182</v>
      </c>
      <c r="AK494" s="52">
        <f t="shared" ca="1" si="767"/>
        <v>-33550.473954695182</v>
      </c>
      <c r="AL494" s="52">
        <f t="shared" ca="1" si="767"/>
        <v>-33550.473954695182</v>
      </c>
      <c r="AM494" s="52">
        <f t="shared" ca="1" si="767"/>
        <v>-33550.473954695182</v>
      </c>
      <c r="AN494" s="52">
        <f t="shared" ca="1" si="767"/>
        <v>-33550.473954695182</v>
      </c>
      <c r="AO494" s="52">
        <f t="shared" ca="1" si="767"/>
        <v>-33550.473954695182</v>
      </c>
      <c r="AP494" s="52">
        <f t="shared" ca="1" si="767"/>
        <v>-33550.473954695182</v>
      </c>
      <c r="AQ494" s="52">
        <f t="shared" ca="1" si="767"/>
        <v>-33550.473954695182</v>
      </c>
      <c r="AR494" s="52">
        <f t="shared" ca="1" si="767"/>
        <v>-33550.473954695182</v>
      </c>
      <c r="AS494" s="52">
        <f t="shared" ca="1" si="767"/>
        <v>-33550.473954695182</v>
      </c>
      <c r="AT494" s="52">
        <f t="shared" ca="1" si="767"/>
        <v>-33550.473954695182</v>
      </c>
      <c r="AU494" s="52">
        <f t="shared" ca="1" si="767"/>
        <v>-33550.473954695182</v>
      </c>
      <c r="AV494" s="52">
        <f t="shared" ca="1" si="767"/>
        <v>-33550.473954695182</v>
      </c>
      <c r="AW494" s="52">
        <f t="shared" ca="1" si="767"/>
        <v>-33550.473954695182</v>
      </c>
      <c r="AX494" s="52">
        <f t="shared" ca="1" si="767"/>
        <v>-33550.473954695182</v>
      </c>
      <c r="AY494" s="52">
        <f t="shared" ca="1" si="767"/>
        <v>-33550.473954695182</v>
      </c>
      <c r="AZ494" s="52">
        <f t="shared" ca="1" si="767"/>
        <v>-33550.473954695182</v>
      </c>
      <c r="BA494" s="52">
        <f t="shared" ca="1" si="767"/>
        <v>-33550.473954695182</v>
      </c>
      <c r="BB494" s="52">
        <f t="shared" ca="1" si="767"/>
        <v>-33550.473954695182</v>
      </c>
      <c r="BC494" s="52">
        <f t="shared" ca="1" si="767"/>
        <v>-33550.473954695182</v>
      </c>
      <c r="BD494" s="52">
        <f t="shared" ca="1" si="767"/>
        <v>-33550.473954694964</v>
      </c>
      <c r="BE494" s="52">
        <f t="shared" ca="1" si="767"/>
        <v>-18699.283972495039</v>
      </c>
      <c r="BF494" s="52">
        <f t="shared" ca="1" si="767"/>
        <v>-18699.283972495039</v>
      </c>
      <c r="BG494" s="52">
        <f t="shared" ca="1" si="767"/>
        <v>-18699.283972495039</v>
      </c>
      <c r="BH494" s="52">
        <f t="shared" ca="1" si="767"/>
        <v>-18699.283972495039</v>
      </c>
      <c r="BI494" s="52">
        <f t="shared" ca="1" si="767"/>
        <v>-18699.283972495039</v>
      </c>
      <c r="BJ494" s="52">
        <f t="shared" ca="1" si="767"/>
        <v>-18699.283972495039</v>
      </c>
      <c r="BK494" s="52">
        <f t="shared" ca="1" si="767"/>
        <v>-18699.283972495039</v>
      </c>
      <c r="BL494" s="52">
        <f t="shared" ca="1" si="767"/>
        <v>-18699.283972495039</v>
      </c>
      <c r="BM494" s="52">
        <f t="shared" ca="1" si="767"/>
        <v>-18699.283972495039</v>
      </c>
      <c r="BN494" s="52">
        <f t="shared" ca="1" si="767"/>
        <v>-18699.283972495039</v>
      </c>
      <c r="BO494" s="52">
        <f t="shared" ca="1" si="767"/>
        <v>-18699.283972495039</v>
      </c>
      <c r="BP494" s="52">
        <f t="shared" ca="1" si="767"/>
        <v>-18699.283972495039</v>
      </c>
      <c r="BQ494" s="52">
        <f t="shared" ca="1" si="767"/>
        <v>-18699.283972495039</v>
      </c>
      <c r="BR494" s="52">
        <f t="shared" ca="1" si="767"/>
        <v>-18699.283972495039</v>
      </c>
      <c r="BS494" s="52">
        <f t="shared" ca="1" si="767"/>
        <v>-18699.283972495039</v>
      </c>
      <c r="BT494" s="52">
        <f t="shared" ca="1" si="767"/>
        <v>-18699.283972495039</v>
      </c>
      <c r="BU494" s="52">
        <f t="shared" ca="1" si="767"/>
        <v>-18699.283972495039</v>
      </c>
      <c r="BV494" s="52">
        <f t="shared" ca="1" si="767"/>
        <v>-18699.283972495039</v>
      </c>
      <c r="BW494" s="52">
        <f t="shared" ca="1" si="767"/>
        <v>-18699.283972495039</v>
      </c>
      <c r="BX494" s="52">
        <f t="shared" ca="1" si="767"/>
        <v>-18699.283972495039</v>
      </c>
      <c r="BY494" s="52">
        <f t="shared" ca="1" si="767"/>
        <v>-18699.283972495039</v>
      </c>
      <c r="BZ494" s="52">
        <f t="shared" ca="1" si="767"/>
        <v>-18699.283972495039</v>
      </c>
      <c r="CA494" s="52">
        <f t="shared" ca="1" si="767"/>
        <v>-18699.283972495039</v>
      </c>
      <c r="CB494" s="52">
        <f t="shared" ca="1" si="767"/>
        <v>-18699.283972495039</v>
      </c>
      <c r="CC494" s="52">
        <f t="shared" ca="1" si="767"/>
        <v>-18699.283972495039</v>
      </c>
      <c r="CD494" s="52">
        <f t="shared" ca="1" si="767"/>
        <v>-18699.283972495039</v>
      </c>
      <c r="CE494" s="52">
        <f t="shared" ca="1" si="767"/>
        <v>-18699.283972495039</v>
      </c>
      <c r="CF494" s="52">
        <f t="shared" ref="CF494:CO494" ca="1" si="768">-SUM(CF426,CF437,CF448,CF459,CF470,CF481)*Flag_Forecast</f>
        <v>-18699.283972495039</v>
      </c>
      <c r="CG494" s="52">
        <f t="shared" ca="1" si="768"/>
        <v>-18699.283972495039</v>
      </c>
      <c r="CH494" s="52">
        <f t="shared" ca="1" si="768"/>
        <v>-18699.283972495039</v>
      </c>
      <c r="CI494" s="52">
        <f t="shared" ca="1" si="768"/>
        <v>-18699.283972495039</v>
      </c>
      <c r="CJ494" s="52">
        <f t="shared" ca="1" si="768"/>
        <v>-18699.283972495039</v>
      </c>
      <c r="CK494" s="52">
        <f t="shared" ca="1" si="768"/>
        <v>-18699.283972495039</v>
      </c>
      <c r="CL494" s="52">
        <f t="shared" ca="1" si="768"/>
        <v>-18699.283972495039</v>
      </c>
      <c r="CM494" s="52">
        <f t="shared" ca="1" si="768"/>
        <v>-18699.283972495039</v>
      </c>
      <c r="CN494" s="52">
        <f t="shared" ca="1" si="768"/>
        <v>-18699.283972495039</v>
      </c>
      <c r="CO494" s="52">
        <f t="shared" ca="1" si="768"/>
        <v>-18699.283972495039</v>
      </c>
    </row>
    <row r="495" spans="1:93">
      <c r="A495" s="10"/>
      <c r="B495" s="10"/>
      <c r="C495" s="17" t="s">
        <v>129</v>
      </c>
      <c r="D495" s="10"/>
      <c r="E495" s="10"/>
      <c r="F495" s="10"/>
      <c r="G495" s="143" t="str">
        <f>Monetary_Unit</f>
        <v>тыс. руб.</v>
      </c>
      <c r="H495" s="10"/>
      <c r="I495" s="23">
        <f ca="1">SUM(L495:CO495)</f>
        <v>-427538.06608633557</v>
      </c>
      <c r="J495" s="10"/>
      <c r="K495" s="10"/>
      <c r="L495" s="52">
        <f t="shared" ref="L495:R495" ca="1" si="769">SUM(L424,L435,L446,L457,L468,L479)</f>
        <v>0</v>
      </c>
      <c r="M495" s="52">
        <f t="shared" ca="1" si="769"/>
        <v>0</v>
      </c>
      <c r="N495" s="52">
        <f t="shared" ca="1" si="769"/>
        <v>0</v>
      </c>
      <c r="O495" s="52">
        <f t="shared" ca="1" si="769"/>
        <v>0</v>
      </c>
      <c r="P495" s="52">
        <f t="shared" ca="1" si="769"/>
        <v>0</v>
      </c>
      <c r="Q495" s="52">
        <f t="shared" ca="1" si="769"/>
        <v>0</v>
      </c>
      <c r="R495" s="52">
        <f t="shared" ca="1" si="769"/>
        <v>0</v>
      </c>
      <c r="S495" s="52">
        <f ca="1">SUM(S424,S435,S446,S457,S468,S479)</f>
        <v>0</v>
      </c>
      <c r="T495" s="52">
        <f t="shared" ref="T495:CE495" ca="1" si="770">SUM(T424,T435,T446,T457,T468,T479)</f>
        <v>0</v>
      </c>
      <c r="U495" s="52">
        <f t="shared" ca="1" si="770"/>
        <v>0</v>
      </c>
      <c r="V495" s="52">
        <f t="shared" ca="1" si="770"/>
        <v>0</v>
      </c>
      <c r="W495" s="52">
        <f t="shared" ca="1" si="770"/>
        <v>0</v>
      </c>
      <c r="X495" s="52">
        <f t="shared" ca="1" si="770"/>
        <v>0</v>
      </c>
      <c r="Y495" s="52">
        <f t="shared" ca="1" si="770"/>
        <v>0</v>
      </c>
      <c r="Z495" s="52">
        <f t="shared" ca="1" si="770"/>
        <v>0</v>
      </c>
      <c r="AA495" s="52">
        <f t="shared" ca="1" si="770"/>
        <v>0</v>
      </c>
      <c r="AB495" s="52">
        <f t="shared" ca="1" si="770"/>
        <v>0</v>
      </c>
      <c r="AC495" s="52">
        <f t="shared" ca="1" si="770"/>
        <v>-427538.06608633557</v>
      </c>
      <c r="AD495" s="52">
        <f t="shared" ca="1" si="770"/>
        <v>0</v>
      </c>
      <c r="AE495" s="52">
        <f t="shared" ca="1" si="770"/>
        <v>0</v>
      </c>
      <c r="AF495" s="52">
        <f t="shared" ca="1" si="770"/>
        <v>0</v>
      </c>
      <c r="AG495" s="52">
        <f t="shared" ca="1" si="770"/>
        <v>0</v>
      </c>
      <c r="AH495" s="52">
        <f t="shared" ca="1" si="770"/>
        <v>0</v>
      </c>
      <c r="AI495" s="52">
        <f t="shared" ca="1" si="770"/>
        <v>0</v>
      </c>
      <c r="AJ495" s="52">
        <f t="shared" ca="1" si="770"/>
        <v>0</v>
      </c>
      <c r="AK495" s="52">
        <f t="shared" ca="1" si="770"/>
        <v>0</v>
      </c>
      <c r="AL495" s="52">
        <f t="shared" ca="1" si="770"/>
        <v>0</v>
      </c>
      <c r="AM495" s="52">
        <f t="shared" ca="1" si="770"/>
        <v>0</v>
      </c>
      <c r="AN495" s="52">
        <f t="shared" ca="1" si="770"/>
        <v>0</v>
      </c>
      <c r="AO495" s="52">
        <f t="shared" ca="1" si="770"/>
        <v>0</v>
      </c>
      <c r="AP495" s="52">
        <f t="shared" ca="1" si="770"/>
        <v>0</v>
      </c>
      <c r="AQ495" s="52">
        <f t="shared" ca="1" si="770"/>
        <v>0</v>
      </c>
      <c r="AR495" s="52">
        <f t="shared" ca="1" si="770"/>
        <v>0</v>
      </c>
      <c r="AS495" s="52">
        <f t="shared" ca="1" si="770"/>
        <v>0</v>
      </c>
      <c r="AT495" s="52">
        <f t="shared" ca="1" si="770"/>
        <v>0</v>
      </c>
      <c r="AU495" s="52">
        <f t="shared" ca="1" si="770"/>
        <v>0</v>
      </c>
      <c r="AV495" s="52">
        <f t="shared" ca="1" si="770"/>
        <v>0</v>
      </c>
      <c r="AW495" s="52">
        <f t="shared" ca="1" si="770"/>
        <v>0</v>
      </c>
      <c r="AX495" s="52">
        <f t="shared" ca="1" si="770"/>
        <v>0</v>
      </c>
      <c r="AY495" s="52">
        <f t="shared" ca="1" si="770"/>
        <v>0</v>
      </c>
      <c r="AZ495" s="52">
        <f t="shared" ca="1" si="770"/>
        <v>0</v>
      </c>
      <c r="BA495" s="52">
        <f t="shared" ca="1" si="770"/>
        <v>0</v>
      </c>
      <c r="BB495" s="52">
        <f t="shared" ca="1" si="770"/>
        <v>0</v>
      </c>
      <c r="BC495" s="52">
        <f t="shared" ca="1" si="770"/>
        <v>0</v>
      </c>
      <c r="BD495" s="52">
        <f t="shared" ca="1" si="770"/>
        <v>0</v>
      </c>
      <c r="BE495" s="52">
        <f t="shared" ca="1" si="770"/>
        <v>0</v>
      </c>
      <c r="BF495" s="52">
        <f t="shared" ca="1" si="770"/>
        <v>0</v>
      </c>
      <c r="BG495" s="52">
        <f t="shared" ca="1" si="770"/>
        <v>0</v>
      </c>
      <c r="BH495" s="52">
        <f t="shared" ca="1" si="770"/>
        <v>0</v>
      </c>
      <c r="BI495" s="52">
        <f t="shared" ca="1" si="770"/>
        <v>0</v>
      </c>
      <c r="BJ495" s="52">
        <f t="shared" ca="1" si="770"/>
        <v>0</v>
      </c>
      <c r="BK495" s="52">
        <f t="shared" ca="1" si="770"/>
        <v>0</v>
      </c>
      <c r="BL495" s="52">
        <f t="shared" ca="1" si="770"/>
        <v>0</v>
      </c>
      <c r="BM495" s="52">
        <f t="shared" ca="1" si="770"/>
        <v>0</v>
      </c>
      <c r="BN495" s="52">
        <f t="shared" ca="1" si="770"/>
        <v>0</v>
      </c>
      <c r="BO495" s="52">
        <f t="shared" ca="1" si="770"/>
        <v>0</v>
      </c>
      <c r="BP495" s="52">
        <f t="shared" ca="1" si="770"/>
        <v>0</v>
      </c>
      <c r="BQ495" s="52">
        <f t="shared" ca="1" si="770"/>
        <v>0</v>
      </c>
      <c r="BR495" s="52">
        <f t="shared" ca="1" si="770"/>
        <v>0</v>
      </c>
      <c r="BS495" s="52">
        <f t="shared" ca="1" si="770"/>
        <v>0</v>
      </c>
      <c r="BT495" s="52">
        <f t="shared" ca="1" si="770"/>
        <v>0</v>
      </c>
      <c r="BU495" s="52">
        <f t="shared" ca="1" si="770"/>
        <v>0</v>
      </c>
      <c r="BV495" s="52">
        <f t="shared" ca="1" si="770"/>
        <v>0</v>
      </c>
      <c r="BW495" s="52">
        <f t="shared" ca="1" si="770"/>
        <v>0</v>
      </c>
      <c r="BX495" s="52">
        <f t="shared" ca="1" si="770"/>
        <v>0</v>
      </c>
      <c r="BY495" s="52">
        <f t="shared" ca="1" si="770"/>
        <v>0</v>
      </c>
      <c r="BZ495" s="52">
        <f t="shared" ca="1" si="770"/>
        <v>0</v>
      </c>
      <c r="CA495" s="52">
        <f t="shared" ca="1" si="770"/>
        <v>0</v>
      </c>
      <c r="CB495" s="52">
        <f t="shared" ca="1" si="770"/>
        <v>0</v>
      </c>
      <c r="CC495" s="52">
        <f t="shared" ca="1" si="770"/>
        <v>0</v>
      </c>
      <c r="CD495" s="52">
        <f t="shared" ca="1" si="770"/>
        <v>0</v>
      </c>
      <c r="CE495" s="52">
        <f t="shared" ca="1" si="770"/>
        <v>0</v>
      </c>
      <c r="CF495" s="52">
        <f t="shared" ref="CF495:CO495" ca="1" si="771">SUM(CF424,CF435,CF446,CF457,CF468,CF479)</f>
        <v>0</v>
      </c>
      <c r="CG495" s="52">
        <f t="shared" ca="1" si="771"/>
        <v>0</v>
      </c>
      <c r="CH495" s="52">
        <f t="shared" ca="1" si="771"/>
        <v>0</v>
      </c>
      <c r="CI495" s="52">
        <f t="shared" ca="1" si="771"/>
        <v>0</v>
      </c>
      <c r="CJ495" s="52">
        <f t="shared" ca="1" si="771"/>
        <v>0</v>
      </c>
      <c r="CK495" s="52">
        <f t="shared" ca="1" si="771"/>
        <v>0</v>
      </c>
      <c r="CL495" s="52">
        <f t="shared" ca="1" si="771"/>
        <v>0</v>
      </c>
      <c r="CM495" s="52">
        <f t="shared" ca="1" si="771"/>
        <v>0</v>
      </c>
      <c r="CN495" s="52">
        <f t="shared" ca="1" si="771"/>
        <v>0</v>
      </c>
      <c r="CO495" s="52">
        <f t="shared" ca="1" si="771"/>
        <v>0</v>
      </c>
    </row>
    <row r="496" spans="1:93">
      <c r="A496" s="10"/>
      <c r="B496" s="10"/>
      <c r="C496" s="17"/>
      <c r="D496" s="10"/>
      <c r="E496" s="10"/>
      <c r="F496" s="10"/>
      <c r="G496" s="142"/>
      <c r="H496" s="11"/>
      <c r="I496" s="11"/>
      <c r="J496" s="11"/>
      <c r="K496" s="10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1"/>
      <c r="BO496" s="11"/>
      <c r="BP496" s="11"/>
      <c r="BQ496" s="11"/>
      <c r="BR496" s="11"/>
      <c r="BS496" s="11"/>
      <c r="BT496" s="11"/>
      <c r="BU496" s="11"/>
      <c r="BV496" s="11"/>
      <c r="BW496" s="11"/>
      <c r="BX496" s="11"/>
      <c r="BY496" s="11"/>
      <c r="BZ496" s="11"/>
      <c r="CA496" s="11"/>
      <c r="CB496" s="11"/>
      <c r="CC496" s="11"/>
      <c r="CD496" s="11"/>
      <c r="CE496" s="11"/>
      <c r="CF496" s="11"/>
      <c r="CG496" s="11"/>
      <c r="CH496" s="11"/>
      <c r="CI496" s="11"/>
      <c r="CJ496" s="11"/>
      <c r="CK496" s="11"/>
      <c r="CL496" s="11"/>
      <c r="CM496" s="11"/>
      <c r="CN496" s="11"/>
      <c r="CO496" s="11"/>
    </row>
    <row r="497" spans="1:93" ht="16.5" thickBot="1">
      <c r="A497" s="10"/>
      <c r="B497" s="10"/>
      <c r="C497" s="12" t="s">
        <v>319</v>
      </c>
      <c r="D497" s="12"/>
      <c r="E497" s="12"/>
      <c r="F497" s="12"/>
      <c r="G497" s="360"/>
      <c r="H497" s="12"/>
      <c r="I497" s="12"/>
      <c r="J497" s="11"/>
      <c r="K497" s="10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1"/>
      <c r="BO497" s="11"/>
      <c r="BP497" s="11"/>
      <c r="BQ497" s="11"/>
      <c r="BR497" s="11"/>
      <c r="BS497" s="11"/>
      <c r="BT497" s="11"/>
      <c r="BU497" s="11"/>
      <c r="BV497" s="11"/>
      <c r="BW497" s="11"/>
      <c r="BX497" s="11"/>
      <c r="BY497" s="11"/>
      <c r="BZ497" s="11"/>
      <c r="CA497" s="11"/>
      <c r="CB497" s="11"/>
      <c r="CC497" s="11"/>
      <c r="CD497" s="11"/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</row>
    <row r="498" spans="1:93">
      <c r="A498" s="10"/>
      <c r="B498" s="10"/>
      <c r="C498" s="21"/>
      <c r="D498" s="10"/>
      <c r="E498" s="10"/>
      <c r="F498" s="10"/>
      <c r="G498" s="142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  <c r="BA498" s="10"/>
      <c r="BB498" s="10"/>
      <c r="BC498" s="10"/>
      <c r="BD498" s="10"/>
      <c r="BE498" s="10"/>
      <c r="BF498" s="10"/>
      <c r="BG498" s="10"/>
      <c r="BH498" s="10"/>
      <c r="BI498" s="10"/>
      <c r="BJ498" s="10"/>
      <c r="BK498" s="10"/>
      <c r="BL498" s="10"/>
      <c r="BM498" s="10"/>
      <c r="BN498" s="10"/>
      <c r="BO498" s="10"/>
      <c r="BP498" s="10"/>
      <c r="BQ498" s="10"/>
      <c r="BR498" s="10"/>
      <c r="BS498" s="10"/>
      <c r="BT498" s="10"/>
      <c r="BU498" s="10"/>
      <c r="BV498" s="10"/>
      <c r="BW498" s="10"/>
      <c r="BX498" s="10"/>
      <c r="BY498" s="10"/>
      <c r="BZ498" s="10"/>
      <c r="CA498" s="10"/>
      <c r="CB498" s="10"/>
      <c r="CC498" s="10"/>
      <c r="CD498" s="10"/>
      <c r="CE498" s="10"/>
      <c r="CF498" s="10"/>
      <c r="CG498" s="10"/>
      <c r="CH498" s="10"/>
      <c r="CI498" s="10"/>
      <c r="CJ498" s="10"/>
      <c r="CK498" s="10"/>
      <c r="CL498" s="10"/>
      <c r="CM498" s="10"/>
      <c r="CN498" s="10"/>
      <c r="CO498" s="10"/>
    </row>
    <row r="499" spans="1:93">
      <c r="A499" s="10"/>
      <c r="B499" s="10"/>
      <c r="C499" s="17" t="s">
        <v>392</v>
      </c>
      <c r="D499" s="10"/>
      <c r="E499" s="10"/>
      <c r="F499" s="10"/>
      <c r="G499" s="143" t="str">
        <f>Monetary_Unit</f>
        <v>тыс. руб.</v>
      </c>
      <c r="H499" s="10"/>
      <c r="I499" s="11"/>
      <c r="J499" s="10"/>
      <c r="K499" s="10"/>
      <c r="L499" s="52">
        <f t="shared" ref="L499:AQ499" si="772">K502*Flag_Forecast</f>
        <v>0</v>
      </c>
      <c r="M499" s="52">
        <f t="shared" ca="1" si="772"/>
        <v>0</v>
      </c>
      <c r="N499" s="52">
        <f t="shared" ca="1" si="772"/>
        <v>0</v>
      </c>
      <c r="O499" s="52">
        <f t="shared" ca="1" si="772"/>
        <v>0</v>
      </c>
      <c r="P499" s="52">
        <f t="shared" ca="1" si="772"/>
        <v>0</v>
      </c>
      <c r="Q499" s="52">
        <f t="shared" ca="1" si="772"/>
        <v>0</v>
      </c>
      <c r="R499" s="52">
        <f t="shared" ca="1" si="772"/>
        <v>0</v>
      </c>
      <c r="S499" s="52">
        <f t="shared" ca="1" si="772"/>
        <v>0</v>
      </c>
      <c r="T499" s="52">
        <f t="shared" ca="1" si="772"/>
        <v>0</v>
      </c>
      <c r="U499" s="52">
        <f t="shared" ca="1" si="772"/>
        <v>0</v>
      </c>
      <c r="V499" s="52">
        <f t="shared" ca="1" si="772"/>
        <v>0</v>
      </c>
      <c r="W499" s="52">
        <f t="shared" ca="1" si="772"/>
        <v>0</v>
      </c>
      <c r="X499" s="52">
        <f t="shared" ca="1" si="772"/>
        <v>0</v>
      </c>
      <c r="Y499" s="52">
        <f t="shared" ca="1" si="772"/>
        <v>0</v>
      </c>
      <c r="Z499" s="52">
        <f t="shared" ca="1" si="772"/>
        <v>0</v>
      </c>
      <c r="AA499" s="52">
        <f t="shared" ca="1" si="772"/>
        <v>0</v>
      </c>
      <c r="AB499" s="52">
        <f t="shared" ca="1" si="772"/>
        <v>0</v>
      </c>
      <c r="AC499" s="52">
        <f t="shared" ca="1" si="772"/>
        <v>2782665.4793462679</v>
      </c>
      <c r="AD499" s="52">
        <f t="shared" ca="1" si="772"/>
        <v>2759476.6003517155</v>
      </c>
      <c r="AE499" s="52">
        <f t="shared" ca="1" si="772"/>
        <v>2736287.721357163</v>
      </c>
      <c r="AF499" s="52">
        <f t="shared" ca="1" si="772"/>
        <v>2713098.8423626106</v>
      </c>
      <c r="AG499" s="52">
        <f t="shared" ca="1" si="772"/>
        <v>2689909.9633680582</v>
      </c>
      <c r="AH499" s="52">
        <f t="shared" ca="1" si="772"/>
        <v>2666721.0843735058</v>
      </c>
      <c r="AI499" s="52">
        <f t="shared" ca="1" si="772"/>
        <v>2643532.2053789534</v>
      </c>
      <c r="AJ499" s="52">
        <f t="shared" ca="1" si="772"/>
        <v>2620343.3263844009</v>
      </c>
      <c r="AK499" s="52">
        <f t="shared" ca="1" si="772"/>
        <v>2597154.4473898485</v>
      </c>
      <c r="AL499" s="52">
        <f t="shared" ca="1" si="772"/>
        <v>2573965.5683952961</v>
      </c>
      <c r="AM499" s="52">
        <f t="shared" ca="1" si="772"/>
        <v>2550776.6894007437</v>
      </c>
      <c r="AN499" s="52">
        <f t="shared" ca="1" si="772"/>
        <v>2527587.8104061913</v>
      </c>
      <c r="AO499" s="52">
        <f t="shared" ca="1" si="772"/>
        <v>2504398.9314116389</v>
      </c>
      <c r="AP499" s="52">
        <f t="shared" ca="1" si="772"/>
        <v>2481210.0524170864</v>
      </c>
      <c r="AQ499" s="52">
        <f t="shared" ca="1" si="772"/>
        <v>2458021.173422534</v>
      </c>
      <c r="AR499" s="52">
        <f t="shared" ref="AR499:BW499" ca="1" si="773">AQ502*Flag_Forecast</f>
        <v>2434832.2944279816</v>
      </c>
      <c r="AS499" s="52">
        <f t="shared" ca="1" si="773"/>
        <v>2411643.4154334292</v>
      </c>
      <c r="AT499" s="52">
        <f t="shared" ca="1" si="773"/>
        <v>2388454.5364388768</v>
      </c>
      <c r="AU499" s="52">
        <f t="shared" ca="1" si="773"/>
        <v>2365265.6574443243</v>
      </c>
      <c r="AV499" s="52">
        <f t="shared" ca="1" si="773"/>
        <v>2342076.7784497719</v>
      </c>
      <c r="AW499" s="52">
        <f t="shared" ca="1" si="773"/>
        <v>2318887.8994552195</v>
      </c>
      <c r="AX499" s="52">
        <f t="shared" ca="1" si="773"/>
        <v>2295699.0204606671</v>
      </c>
      <c r="AY499" s="52">
        <f t="shared" ca="1" si="773"/>
        <v>2272510.1414661147</v>
      </c>
      <c r="AZ499" s="52">
        <f t="shared" ca="1" si="773"/>
        <v>2249321.2624715623</v>
      </c>
      <c r="BA499" s="52">
        <f t="shared" ca="1" si="773"/>
        <v>2226132.3834770098</v>
      </c>
      <c r="BB499" s="52">
        <f t="shared" ca="1" si="773"/>
        <v>2202943.5044824574</v>
      </c>
      <c r="BC499" s="52">
        <f t="shared" ca="1" si="773"/>
        <v>2179754.625487905</v>
      </c>
      <c r="BD499" s="52">
        <f t="shared" ca="1" si="773"/>
        <v>2156565.7464933526</v>
      </c>
      <c r="BE499" s="52">
        <f t="shared" ca="1" si="773"/>
        <v>2133376.8674988002</v>
      </c>
      <c r="BF499" s="52">
        <f t="shared" ca="1" si="773"/>
        <v>2110187.9885042477</v>
      </c>
      <c r="BG499" s="52">
        <f t="shared" ca="1" si="773"/>
        <v>2086999.1095096956</v>
      </c>
      <c r="BH499" s="52">
        <f t="shared" ca="1" si="773"/>
        <v>2063810.2305151434</v>
      </c>
      <c r="BI499" s="52">
        <f t="shared" ca="1" si="773"/>
        <v>2040621.3515205912</v>
      </c>
      <c r="BJ499" s="52">
        <f t="shared" ca="1" si="773"/>
        <v>2017432.472526039</v>
      </c>
      <c r="BK499" s="52">
        <f t="shared" ca="1" si="773"/>
        <v>1994243.5935314868</v>
      </c>
      <c r="BL499" s="52">
        <f t="shared" ca="1" si="773"/>
        <v>1971054.7145369346</v>
      </c>
      <c r="BM499" s="52">
        <f t="shared" ca="1" si="773"/>
        <v>1947865.8355423824</v>
      </c>
      <c r="BN499" s="52">
        <f t="shared" ca="1" si="773"/>
        <v>1924676.9565478303</v>
      </c>
      <c r="BO499" s="52">
        <f t="shared" ca="1" si="773"/>
        <v>1901488.0775532781</v>
      </c>
      <c r="BP499" s="52">
        <f t="shared" ca="1" si="773"/>
        <v>1878299.1985587259</v>
      </c>
      <c r="BQ499" s="52">
        <f t="shared" ca="1" si="773"/>
        <v>1855110.3195641737</v>
      </c>
      <c r="BR499" s="52">
        <f t="shared" ca="1" si="773"/>
        <v>1831921.4405696215</v>
      </c>
      <c r="BS499" s="52">
        <f t="shared" ca="1" si="773"/>
        <v>1808732.5615750693</v>
      </c>
      <c r="BT499" s="52">
        <f t="shared" ca="1" si="773"/>
        <v>1785543.6825805171</v>
      </c>
      <c r="BU499" s="52">
        <f t="shared" ca="1" si="773"/>
        <v>1762354.803585965</v>
      </c>
      <c r="BV499" s="52">
        <f t="shared" ca="1" si="773"/>
        <v>1739165.9245914128</v>
      </c>
      <c r="BW499" s="52">
        <f t="shared" ca="1" si="773"/>
        <v>1715977.0455968606</v>
      </c>
      <c r="BX499" s="52">
        <f t="shared" ref="BX499:CO499" ca="1" si="774">BW502*Flag_Forecast</f>
        <v>1692788.1666023084</v>
      </c>
      <c r="BY499" s="52">
        <f t="shared" ca="1" si="774"/>
        <v>1669599.2876077562</v>
      </c>
      <c r="BZ499" s="52">
        <f t="shared" ca="1" si="774"/>
        <v>1646410.408613204</v>
      </c>
      <c r="CA499" s="52">
        <f t="shared" ca="1" si="774"/>
        <v>1623221.5296186518</v>
      </c>
      <c r="CB499" s="52">
        <f t="shared" ca="1" si="774"/>
        <v>1600032.6506240997</v>
      </c>
      <c r="CC499" s="52">
        <f t="shared" ca="1" si="774"/>
        <v>1576843.7716295475</v>
      </c>
      <c r="CD499" s="52">
        <f t="shared" ca="1" si="774"/>
        <v>1553654.8926349953</v>
      </c>
      <c r="CE499" s="52">
        <f t="shared" ca="1" si="774"/>
        <v>1530466.0136404431</v>
      </c>
      <c r="CF499" s="52">
        <f t="shared" ca="1" si="774"/>
        <v>1507277.1346458909</v>
      </c>
      <c r="CG499" s="52">
        <f t="shared" ca="1" si="774"/>
        <v>1484088.2556513387</v>
      </c>
      <c r="CH499" s="52">
        <f t="shared" ca="1" si="774"/>
        <v>1460899.3766567865</v>
      </c>
      <c r="CI499" s="52">
        <f t="shared" ca="1" si="774"/>
        <v>1437710.4976622344</v>
      </c>
      <c r="CJ499" s="52">
        <f t="shared" ca="1" si="774"/>
        <v>1414521.6186676822</v>
      </c>
      <c r="CK499" s="52">
        <f t="shared" ca="1" si="774"/>
        <v>1391332.73967313</v>
      </c>
      <c r="CL499" s="52">
        <f t="shared" ca="1" si="774"/>
        <v>1368143.8606785778</v>
      </c>
      <c r="CM499" s="52">
        <f t="shared" ca="1" si="774"/>
        <v>1344954.9816840256</v>
      </c>
      <c r="CN499" s="52">
        <f t="shared" ca="1" si="774"/>
        <v>1321766.1026894734</v>
      </c>
      <c r="CO499" s="52">
        <f t="shared" ca="1" si="774"/>
        <v>1298577.2236949212</v>
      </c>
    </row>
    <row r="500" spans="1:93">
      <c r="A500" s="10"/>
      <c r="B500" s="10"/>
      <c r="C500" s="17" t="s">
        <v>131</v>
      </c>
      <c r="D500" s="10"/>
      <c r="E500" s="10"/>
      <c r="F500" s="10"/>
      <c r="G500" s="143" t="str">
        <f>Monetary_Unit</f>
        <v>тыс. руб.</v>
      </c>
      <c r="H500" s="10"/>
      <c r="I500" s="23">
        <f ca="1">SUM(L500:CO500)</f>
        <v>2782665.4793462679</v>
      </c>
      <c r="J500" s="10"/>
      <c r="K500" s="10"/>
      <c r="L500" s="52">
        <f ca="1">SUM(L355,L365,L385,L395)</f>
        <v>0</v>
      </c>
      <c r="M500" s="52">
        <f t="shared" ref="M500:BX500" ca="1" si="775">SUM(M355,M365,M385,M395)</f>
        <v>0</v>
      </c>
      <c r="N500" s="52">
        <f t="shared" ca="1" si="775"/>
        <v>0</v>
      </c>
      <c r="O500" s="52">
        <f t="shared" ca="1" si="775"/>
        <v>0</v>
      </c>
      <c r="P500" s="52">
        <f t="shared" ca="1" si="775"/>
        <v>0</v>
      </c>
      <c r="Q500" s="52">
        <f t="shared" ca="1" si="775"/>
        <v>0</v>
      </c>
      <c r="R500" s="52">
        <f t="shared" ca="1" si="775"/>
        <v>0</v>
      </c>
      <c r="S500" s="52">
        <f t="shared" ca="1" si="775"/>
        <v>0</v>
      </c>
      <c r="T500" s="52">
        <f t="shared" ca="1" si="775"/>
        <v>0</v>
      </c>
      <c r="U500" s="52">
        <f t="shared" ca="1" si="775"/>
        <v>0</v>
      </c>
      <c r="V500" s="52">
        <f t="shared" ca="1" si="775"/>
        <v>0</v>
      </c>
      <c r="W500" s="52">
        <f t="shared" ca="1" si="775"/>
        <v>0</v>
      </c>
      <c r="X500" s="52">
        <f t="shared" ca="1" si="775"/>
        <v>0</v>
      </c>
      <c r="Y500" s="52">
        <f t="shared" ca="1" si="775"/>
        <v>0</v>
      </c>
      <c r="Z500" s="52">
        <f t="shared" ca="1" si="775"/>
        <v>0</v>
      </c>
      <c r="AA500" s="52">
        <f t="shared" ca="1" si="775"/>
        <v>0</v>
      </c>
      <c r="AB500" s="52">
        <f t="shared" ca="1" si="775"/>
        <v>2782665.4793462679</v>
      </c>
      <c r="AC500" s="52">
        <f t="shared" ca="1" si="775"/>
        <v>0</v>
      </c>
      <c r="AD500" s="52">
        <f t="shared" ca="1" si="775"/>
        <v>0</v>
      </c>
      <c r="AE500" s="52">
        <f t="shared" ca="1" si="775"/>
        <v>0</v>
      </c>
      <c r="AF500" s="52">
        <f t="shared" ca="1" si="775"/>
        <v>0</v>
      </c>
      <c r="AG500" s="52">
        <f t="shared" ca="1" si="775"/>
        <v>0</v>
      </c>
      <c r="AH500" s="52">
        <f t="shared" ca="1" si="775"/>
        <v>0</v>
      </c>
      <c r="AI500" s="52">
        <f t="shared" ca="1" si="775"/>
        <v>0</v>
      </c>
      <c r="AJ500" s="52">
        <f t="shared" ca="1" si="775"/>
        <v>0</v>
      </c>
      <c r="AK500" s="52">
        <f t="shared" ca="1" si="775"/>
        <v>0</v>
      </c>
      <c r="AL500" s="52">
        <f t="shared" ca="1" si="775"/>
        <v>0</v>
      </c>
      <c r="AM500" s="52">
        <f t="shared" ca="1" si="775"/>
        <v>0</v>
      </c>
      <c r="AN500" s="52">
        <f t="shared" ca="1" si="775"/>
        <v>0</v>
      </c>
      <c r="AO500" s="52">
        <f t="shared" ca="1" si="775"/>
        <v>0</v>
      </c>
      <c r="AP500" s="52">
        <f t="shared" ca="1" si="775"/>
        <v>0</v>
      </c>
      <c r="AQ500" s="52">
        <f t="shared" ca="1" si="775"/>
        <v>0</v>
      </c>
      <c r="AR500" s="52">
        <f t="shared" ca="1" si="775"/>
        <v>0</v>
      </c>
      <c r="AS500" s="52">
        <f t="shared" ca="1" si="775"/>
        <v>0</v>
      </c>
      <c r="AT500" s="52">
        <f t="shared" ca="1" si="775"/>
        <v>0</v>
      </c>
      <c r="AU500" s="52">
        <f t="shared" ca="1" si="775"/>
        <v>0</v>
      </c>
      <c r="AV500" s="52">
        <f t="shared" ca="1" si="775"/>
        <v>0</v>
      </c>
      <c r="AW500" s="52">
        <f t="shared" ca="1" si="775"/>
        <v>0</v>
      </c>
      <c r="AX500" s="52">
        <f t="shared" ca="1" si="775"/>
        <v>0</v>
      </c>
      <c r="AY500" s="52">
        <f t="shared" ca="1" si="775"/>
        <v>0</v>
      </c>
      <c r="AZ500" s="52">
        <f t="shared" ca="1" si="775"/>
        <v>0</v>
      </c>
      <c r="BA500" s="52">
        <f t="shared" ca="1" si="775"/>
        <v>0</v>
      </c>
      <c r="BB500" s="52">
        <f t="shared" ca="1" si="775"/>
        <v>0</v>
      </c>
      <c r="BC500" s="52">
        <f t="shared" ca="1" si="775"/>
        <v>0</v>
      </c>
      <c r="BD500" s="52">
        <f t="shared" ca="1" si="775"/>
        <v>0</v>
      </c>
      <c r="BE500" s="52">
        <f t="shared" ca="1" si="775"/>
        <v>0</v>
      </c>
      <c r="BF500" s="52">
        <f t="shared" ca="1" si="775"/>
        <v>0</v>
      </c>
      <c r="BG500" s="52">
        <f t="shared" ca="1" si="775"/>
        <v>0</v>
      </c>
      <c r="BH500" s="52">
        <f t="shared" ca="1" si="775"/>
        <v>0</v>
      </c>
      <c r="BI500" s="52">
        <f t="shared" ca="1" si="775"/>
        <v>0</v>
      </c>
      <c r="BJ500" s="52">
        <f t="shared" ca="1" si="775"/>
        <v>0</v>
      </c>
      <c r="BK500" s="52">
        <f t="shared" ca="1" si="775"/>
        <v>0</v>
      </c>
      <c r="BL500" s="52">
        <f t="shared" ca="1" si="775"/>
        <v>0</v>
      </c>
      <c r="BM500" s="52">
        <f t="shared" ca="1" si="775"/>
        <v>0</v>
      </c>
      <c r="BN500" s="52">
        <f t="shared" ca="1" si="775"/>
        <v>0</v>
      </c>
      <c r="BO500" s="52">
        <f t="shared" ca="1" si="775"/>
        <v>0</v>
      </c>
      <c r="BP500" s="52">
        <f t="shared" ca="1" si="775"/>
        <v>0</v>
      </c>
      <c r="BQ500" s="52">
        <f t="shared" ca="1" si="775"/>
        <v>0</v>
      </c>
      <c r="BR500" s="52">
        <f t="shared" ca="1" si="775"/>
        <v>0</v>
      </c>
      <c r="BS500" s="52">
        <f t="shared" ca="1" si="775"/>
        <v>0</v>
      </c>
      <c r="BT500" s="52">
        <f t="shared" ca="1" si="775"/>
        <v>0</v>
      </c>
      <c r="BU500" s="52">
        <f t="shared" ca="1" si="775"/>
        <v>0</v>
      </c>
      <c r="BV500" s="52">
        <f t="shared" ca="1" si="775"/>
        <v>0</v>
      </c>
      <c r="BW500" s="52">
        <f t="shared" ca="1" si="775"/>
        <v>0</v>
      </c>
      <c r="BX500" s="52">
        <f t="shared" ca="1" si="775"/>
        <v>0</v>
      </c>
      <c r="BY500" s="52">
        <f t="shared" ref="BY500:CO500" ca="1" si="776">SUM(BY355,BY365,BY385,BY395)</f>
        <v>0</v>
      </c>
      <c r="BZ500" s="52">
        <f t="shared" ca="1" si="776"/>
        <v>0</v>
      </c>
      <c r="CA500" s="52">
        <f t="shared" ca="1" si="776"/>
        <v>0</v>
      </c>
      <c r="CB500" s="52">
        <f t="shared" ca="1" si="776"/>
        <v>0</v>
      </c>
      <c r="CC500" s="52">
        <f t="shared" ca="1" si="776"/>
        <v>0</v>
      </c>
      <c r="CD500" s="52">
        <f t="shared" ca="1" si="776"/>
        <v>0</v>
      </c>
      <c r="CE500" s="52">
        <f t="shared" ca="1" si="776"/>
        <v>0</v>
      </c>
      <c r="CF500" s="52">
        <f t="shared" ca="1" si="776"/>
        <v>0</v>
      </c>
      <c r="CG500" s="52">
        <f t="shared" ca="1" si="776"/>
        <v>0</v>
      </c>
      <c r="CH500" s="52">
        <f t="shared" ca="1" si="776"/>
        <v>0</v>
      </c>
      <c r="CI500" s="52">
        <f t="shared" ca="1" si="776"/>
        <v>0</v>
      </c>
      <c r="CJ500" s="52">
        <f t="shared" ca="1" si="776"/>
        <v>0</v>
      </c>
      <c r="CK500" s="52">
        <f t="shared" ca="1" si="776"/>
        <v>0</v>
      </c>
      <c r="CL500" s="52">
        <f t="shared" ca="1" si="776"/>
        <v>0</v>
      </c>
      <c r="CM500" s="52">
        <f t="shared" ca="1" si="776"/>
        <v>0</v>
      </c>
      <c r="CN500" s="52">
        <f t="shared" ca="1" si="776"/>
        <v>0</v>
      </c>
      <c r="CO500" s="52">
        <f t="shared" ca="1" si="776"/>
        <v>0</v>
      </c>
    </row>
    <row r="501" spans="1:93">
      <c r="A501" s="10"/>
      <c r="B501" s="10"/>
      <c r="C501" s="17" t="s">
        <v>393</v>
      </c>
      <c r="D501" s="10"/>
      <c r="E501" s="10"/>
      <c r="F501" s="10"/>
      <c r="G501" s="143" t="str">
        <f>Monetary_Unit</f>
        <v>тыс. руб.</v>
      </c>
      <c r="H501" s="10"/>
      <c r="I501" s="23">
        <f ca="1">SUM(L501:CO501)</f>
        <v>-1507277.1346458935</v>
      </c>
      <c r="J501" s="10"/>
      <c r="K501" s="10"/>
      <c r="L501" s="52">
        <f t="shared" ref="L501:AQ501" ca="1" si="777" xml:space="preserve"> - SUM(L357,L367,L387,L397) * Flag_Operations</f>
        <v>0</v>
      </c>
      <c r="M501" s="52">
        <f t="shared" ca="1" si="777"/>
        <v>0</v>
      </c>
      <c r="N501" s="52">
        <f t="shared" ca="1" si="777"/>
        <v>0</v>
      </c>
      <c r="O501" s="52">
        <f t="shared" ca="1" si="777"/>
        <v>0</v>
      </c>
      <c r="P501" s="52">
        <f t="shared" ca="1" si="777"/>
        <v>0</v>
      </c>
      <c r="Q501" s="52">
        <f t="shared" ca="1" si="777"/>
        <v>0</v>
      </c>
      <c r="R501" s="52">
        <f t="shared" ca="1" si="777"/>
        <v>0</v>
      </c>
      <c r="S501" s="52">
        <f t="shared" ca="1" si="777"/>
        <v>0</v>
      </c>
      <c r="T501" s="52">
        <f t="shared" ca="1" si="777"/>
        <v>0</v>
      </c>
      <c r="U501" s="52">
        <f t="shared" ca="1" si="777"/>
        <v>0</v>
      </c>
      <c r="V501" s="52">
        <f t="shared" ca="1" si="777"/>
        <v>0</v>
      </c>
      <c r="W501" s="52">
        <f t="shared" ca="1" si="777"/>
        <v>0</v>
      </c>
      <c r="X501" s="52">
        <f t="shared" ca="1" si="777"/>
        <v>0</v>
      </c>
      <c r="Y501" s="52">
        <f t="shared" ca="1" si="777"/>
        <v>0</v>
      </c>
      <c r="Z501" s="52">
        <f t="shared" ca="1" si="777"/>
        <v>0</v>
      </c>
      <c r="AA501" s="52">
        <f t="shared" ca="1" si="777"/>
        <v>0</v>
      </c>
      <c r="AB501" s="52">
        <f t="shared" ca="1" si="777"/>
        <v>0</v>
      </c>
      <c r="AC501" s="52">
        <f t="shared" ca="1" si="777"/>
        <v>-23188.87899455224</v>
      </c>
      <c r="AD501" s="52">
        <f t="shared" ca="1" si="777"/>
        <v>-23188.87899455224</v>
      </c>
      <c r="AE501" s="52">
        <f t="shared" ca="1" si="777"/>
        <v>-23188.87899455224</v>
      </c>
      <c r="AF501" s="52">
        <f t="shared" ca="1" si="777"/>
        <v>-23188.87899455224</v>
      </c>
      <c r="AG501" s="52">
        <f t="shared" ca="1" si="777"/>
        <v>-23188.87899455224</v>
      </c>
      <c r="AH501" s="52">
        <f t="shared" ca="1" si="777"/>
        <v>-23188.87899455224</v>
      </c>
      <c r="AI501" s="52">
        <f t="shared" ca="1" si="777"/>
        <v>-23188.87899455224</v>
      </c>
      <c r="AJ501" s="52">
        <f t="shared" ca="1" si="777"/>
        <v>-23188.87899455224</v>
      </c>
      <c r="AK501" s="52">
        <f t="shared" ca="1" si="777"/>
        <v>-23188.87899455224</v>
      </c>
      <c r="AL501" s="52">
        <f t="shared" ca="1" si="777"/>
        <v>-23188.87899455224</v>
      </c>
      <c r="AM501" s="52">
        <f t="shared" ca="1" si="777"/>
        <v>-23188.87899455224</v>
      </c>
      <c r="AN501" s="52">
        <f t="shared" ca="1" si="777"/>
        <v>-23188.87899455224</v>
      </c>
      <c r="AO501" s="52">
        <f t="shared" ca="1" si="777"/>
        <v>-23188.87899455224</v>
      </c>
      <c r="AP501" s="52">
        <f t="shared" ca="1" si="777"/>
        <v>-23188.87899455224</v>
      </c>
      <c r="AQ501" s="52">
        <f t="shared" ca="1" si="777"/>
        <v>-23188.87899455224</v>
      </c>
      <c r="AR501" s="52">
        <f t="shared" ref="AR501:BW501" ca="1" si="778" xml:space="preserve"> - SUM(AR357,AR367,AR387,AR397) * Flag_Operations</f>
        <v>-23188.87899455224</v>
      </c>
      <c r="AS501" s="52">
        <f t="shared" ca="1" si="778"/>
        <v>-23188.87899455224</v>
      </c>
      <c r="AT501" s="52">
        <f t="shared" ca="1" si="778"/>
        <v>-23188.87899455224</v>
      </c>
      <c r="AU501" s="52">
        <f t="shared" ca="1" si="778"/>
        <v>-23188.87899455224</v>
      </c>
      <c r="AV501" s="52">
        <f t="shared" ca="1" si="778"/>
        <v>-23188.87899455224</v>
      </c>
      <c r="AW501" s="52">
        <f t="shared" ca="1" si="778"/>
        <v>-23188.87899455224</v>
      </c>
      <c r="AX501" s="52">
        <f t="shared" ca="1" si="778"/>
        <v>-23188.87899455224</v>
      </c>
      <c r="AY501" s="52">
        <f t="shared" ca="1" si="778"/>
        <v>-23188.87899455224</v>
      </c>
      <c r="AZ501" s="52">
        <f t="shared" ca="1" si="778"/>
        <v>-23188.87899455224</v>
      </c>
      <c r="BA501" s="52">
        <f t="shared" ca="1" si="778"/>
        <v>-23188.87899455224</v>
      </c>
      <c r="BB501" s="52">
        <f t="shared" ca="1" si="778"/>
        <v>-23188.87899455224</v>
      </c>
      <c r="BC501" s="52">
        <f t="shared" ca="1" si="778"/>
        <v>-23188.87899455224</v>
      </c>
      <c r="BD501" s="52">
        <f t="shared" ca="1" si="778"/>
        <v>-23188.87899455224</v>
      </c>
      <c r="BE501" s="52">
        <f t="shared" ca="1" si="778"/>
        <v>-23188.87899455224</v>
      </c>
      <c r="BF501" s="52">
        <f t="shared" ca="1" si="778"/>
        <v>-23188.87899455224</v>
      </c>
      <c r="BG501" s="52">
        <f t="shared" ca="1" si="778"/>
        <v>-23188.87899455224</v>
      </c>
      <c r="BH501" s="52">
        <f t="shared" ca="1" si="778"/>
        <v>-23188.87899455224</v>
      </c>
      <c r="BI501" s="52">
        <f t="shared" ca="1" si="778"/>
        <v>-23188.87899455224</v>
      </c>
      <c r="BJ501" s="52">
        <f t="shared" ca="1" si="778"/>
        <v>-23188.87899455224</v>
      </c>
      <c r="BK501" s="52">
        <f t="shared" ca="1" si="778"/>
        <v>-23188.87899455224</v>
      </c>
      <c r="BL501" s="52">
        <f t="shared" ca="1" si="778"/>
        <v>-23188.87899455224</v>
      </c>
      <c r="BM501" s="52">
        <f t="shared" ca="1" si="778"/>
        <v>-23188.87899455224</v>
      </c>
      <c r="BN501" s="52">
        <f t="shared" ca="1" si="778"/>
        <v>-23188.87899455224</v>
      </c>
      <c r="BO501" s="52">
        <f t="shared" ca="1" si="778"/>
        <v>-23188.87899455224</v>
      </c>
      <c r="BP501" s="52">
        <f t="shared" ca="1" si="778"/>
        <v>-23188.87899455224</v>
      </c>
      <c r="BQ501" s="52">
        <f t="shared" ca="1" si="778"/>
        <v>-23188.87899455224</v>
      </c>
      <c r="BR501" s="52">
        <f t="shared" ca="1" si="778"/>
        <v>-23188.87899455224</v>
      </c>
      <c r="BS501" s="52">
        <f t="shared" ca="1" si="778"/>
        <v>-23188.87899455224</v>
      </c>
      <c r="BT501" s="52">
        <f t="shared" ca="1" si="778"/>
        <v>-23188.87899455224</v>
      </c>
      <c r="BU501" s="52">
        <f t="shared" ca="1" si="778"/>
        <v>-23188.87899455224</v>
      </c>
      <c r="BV501" s="52">
        <f t="shared" ca="1" si="778"/>
        <v>-23188.87899455224</v>
      </c>
      <c r="BW501" s="52">
        <f t="shared" ca="1" si="778"/>
        <v>-23188.87899455224</v>
      </c>
      <c r="BX501" s="52">
        <f t="shared" ref="BX501:CO501" ca="1" si="779" xml:space="preserve"> - SUM(BX357,BX367,BX387,BX397) * Flag_Operations</f>
        <v>-23188.87899455224</v>
      </c>
      <c r="BY501" s="52">
        <f t="shared" ca="1" si="779"/>
        <v>-23188.87899455224</v>
      </c>
      <c r="BZ501" s="52">
        <f t="shared" ca="1" si="779"/>
        <v>-23188.87899455224</v>
      </c>
      <c r="CA501" s="52">
        <f t="shared" ca="1" si="779"/>
        <v>-23188.87899455224</v>
      </c>
      <c r="CB501" s="52">
        <f t="shared" ca="1" si="779"/>
        <v>-23188.87899455224</v>
      </c>
      <c r="CC501" s="52">
        <f t="shared" ca="1" si="779"/>
        <v>-23188.87899455224</v>
      </c>
      <c r="CD501" s="52">
        <f t="shared" ca="1" si="779"/>
        <v>-23188.87899455224</v>
      </c>
      <c r="CE501" s="52">
        <f t="shared" ca="1" si="779"/>
        <v>-23188.87899455224</v>
      </c>
      <c r="CF501" s="52">
        <f t="shared" ca="1" si="779"/>
        <v>-23188.87899455224</v>
      </c>
      <c r="CG501" s="52">
        <f t="shared" ca="1" si="779"/>
        <v>-23188.87899455224</v>
      </c>
      <c r="CH501" s="52">
        <f t="shared" ca="1" si="779"/>
        <v>-23188.87899455224</v>
      </c>
      <c r="CI501" s="52">
        <f t="shared" ca="1" si="779"/>
        <v>-23188.87899455224</v>
      </c>
      <c r="CJ501" s="52">
        <f t="shared" ca="1" si="779"/>
        <v>-23188.87899455224</v>
      </c>
      <c r="CK501" s="52">
        <f t="shared" ca="1" si="779"/>
        <v>-23188.87899455224</v>
      </c>
      <c r="CL501" s="52">
        <f t="shared" ca="1" si="779"/>
        <v>-23188.87899455224</v>
      </c>
      <c r="CM501" s="52">
        <f t="shared" ca="1" si="779"/>
        <v>-23188.87899455224</v>
      </c>
      <c r="CN501" s="52">
        <f t="shared" ca="1" si="779"/>
        <v>-23188.87899455224</v>
      </c>
      <c r="CO501" s="52">
        <f t="shared" ca="1" si="779"/>
        <v>-23188.87899455224</v>
      </c>
    </row>
    <row r="502" spans="1:93">
      <c r="A502" s="10"/>
      <c r="B502" s="10"/>
      <c r="C502" s="17" t="s">
        <v>394</v>
      </c>
      <c r="D502" s="10"/>
      <c r="E502" s="10"/>
      <c r="F502" s="10"/>
      <c r="G502" s="143" t="str">
        <f>Monetary_Unit</f>
        <v>тыс. руб.</v>
      </c>
      <c r="H502" s="10"/>
      <c r="I502" s="10"/>
      <c r="J502" s="10"/>
      <c r="K502" s="10"/>
      <c r="L502" s="52">
        <f t="shared" ref="L502:AQ502" ca="1" si="780">SUM(L499:L501)*ABS(SUM(L499:L501)&gt;Accuracy)*Flag_Forecast</f>
        <v>0</v>
      </c>
      <c r="M502" s="52">
        <f t="shared" ca="1" si="780"/>
        <v>0</v>
      </c>
      <c r="N502" s="52">
        <f t="shared" ca="1" si="780"/>
        <v>0</v>
      </c>
      <c r="O502" s="52">
        <f t="shared" ca="1" si="780"/>
        <v>0</v>
      </c>
      <c r="P502" s="52">
        <f t="shared" ca="1" si="780"/>
        <v>0</v>
      </c>
      <c r="Q502" s="52">
        <f t="shared" ca="1" si="780"/>
        <v>0</v>
      </c>
      <c r="R502" s="52">
        <f t="shared" ca="1" si="780"/>
        <v>0</v>
      </c>
      <c r="S502" s="52">
        <f t="shared" ca="1" si="780"/>
        <v>0</v>
      </c>
      <c r="T502" s="52">
        <f t="shared" ca="1" si="780"/>
        <v>0</v>
      </c>
      <c r="U502" s="52">
        <f t="shared" ca="1" si="780"/>
        <v>0</v>
      </c>
      <c r="V502" s="52">
        <f t="shared" ca="1" si="780"/>
        <v>0</v>
      </c>
      <c r="W502" s="52">
        <f t="shared" ca="1" si="780"/>
        <v>0</v>
      </c>
      <c r="X502" s="52">
        <f t="shared" ca="1" si="780"/>
        <v>0</v>
      </c>
      <c r="Y502" s="52">
        <f t="shared" ca="1" si="780"/>
        <v>0</v>
      </c>
      <c r="Z502" s="52">
        <f t="shared" ca="1" si="780"/>
        <v>0</v>
      </c>
      <c r="AA502" s="52">
        <f t="shared" ca="1" si="780"/>
        <v>0</v>
      </c>
      <c r="AB502" s="52">
        <f t="shared" ca="1" si="780"/>
        <v>2782665.4793462679</v>
      </c>
      <c r="AC502" s="52">
        <f t="shared" ca="1" si="780"/>
        <v>2759476.6003517155</v>
      </c>
      <c r="AD502" s="52">
        <f t="shared" ca="1" si="780"/>
        <v>2736287.721357163</v>
      </c>
      <c r="AE502" s="52">
        <f t="shared" ca="1" si="780"/>
        <v>2713098.8423626106</v>
      </c>
      <c r="AF502" s="52">
        <f t="shared" ca="1" si="780"/>
        <v>2689909.9633680582</v>
      </c>
      <c r="AG502" s="52">
        <f t="shared" ca="1" si="780"/>
        <v>2666721.0843735058</v>
      </c>
      <c r="AH502" s="52">
        <f t="shared" ca="1" si="780"/>
        <v>2643532.2053789534</v>
      </c>
      <c r="AI502" s="52">
        <f t="shared" ca="1" si="780"/>
        <v>2620343.3263844009</v>
      </c>
      <c r="AJ502" s="52">
        <f t="shared" ca="1" si="780"/>
        <v>2597154.4473898485</v>
      </c>
      <c r="AK502" s="52">
        <f t="shared" ca="1" si="780"/>
        <v>2573965.5683952961</v>
      </c>
      <c r="AL502" s="52">
        <f t="shared" ca="1" si="780"/>
        <v>2550776.6894007437</v>
      </c>
      <c r="AM502" s="52">
        <f t="shared" ca="1" si="780"/>
        <v>2527587.8104061913</v>
      </c>
      <c r="AN502" s="52">
        <f t="shared" ca="1" si="780"/>
        <v>2504398.9314116389</v>
      </c>
      <c r="AO502" s="52">
        <f t="shared" ca="1" si="780"/>
        <v>2481210.0524170864</v>
      </c>
      <c r="AP502" s="52">
        <f t="shared" ca="1" si="780"/>
        <v>2458021.173422534</v>
      </c>
      <c r="AQ502" s="52">
        <f t="shared" ca="1" si="780"/>
        <v>2434832.2944279816</v>
      </c>
      <c r="AR502" s="52">
        <f t="shared" ref="AR502:BW502" ca="1" si="781">SUM(AR499:AR501)*ABS(SUM(AR499:AR501)&gt;Accuracy)*Flag_Forecast</f>
        <v>2411643.4154334292</v>
      </c>
      <c r="AS502" s="52">
        <f t="shared" ca="1" si="781"/>
        <v>2388454.5364388768</v>
      </c>
      <c r="AT502" s="52">
        <f t="shared" ca="1" si="781"/>
        <v>2365265.6574443243</v>
      </c>
      <c r="AU502" s="52">
        <f t="shared" ca="1" si="781"/>
        <v>2342076.7784497719</v>
      </c>
      <c r="AV502" s="52">
        <f t="shared" ca="1" si="781"/>
        <v>2318887.8994552195</v>
      </c>
      <c r="AW502" s="52">
        <f t="shared" ca="1" si="781"/>
        <v>2295699.0204606671</v>
      </c>
      <c r="AX502" s="52">
        <f t="shared" ca="1" si="781"/>
        <v>2272510.1414661147</v>
      </c>
      <c r="AY502" s="52">
        <f t="shared" ca="1" si="781"/>
        <v>2249321.2624715623</v>
      </c>
      <c r="AZ502" s="52">
        <f t="shared" ca="1" si="781"/>
        <v>2226132.3834770098</v>
      </c>
      <c r="BA502" s="52">
        <f t="shared" ca="1" si="781"/>
        <v>2202943.5044824574</v>
      </c>
      <c r="BB502" s="52">
        <f t="shared" ca="1" si="781"/>
        <v>2179754.625487905</v>
      </c>
      <c r="BC502" s="52">
        <f t="shared" ca="1" si="781"/>
        <v>2156565.7464933526</v>
      </c>
      <c r="BD502" s="52">
        <f t="shared" ca="1" si="781"/>
        <v>2133376.8674988002</v>
      </c>
      <c r="BE502" s="52">
        <f t="shared" ca="1" si="781"/>
        <v>2110187.9885042477</v>
      </c>
      <c r="BF502" s="52">
        <f t="shared" ca="1" si="781"/>
        <v>2086999.1095096956</v>
      </c>
      <c r="BG502" s="52">
        <f t="shared" ca="1" si="781"/>
        <v>2063810.2305151434</v>
      </c>
      <c r="BH502" s="52">
        <f t="shared" ca="1" si="781"/>
        <v>2040621.3515205912</v>
      </c>
      <c r="BI502" s="52">
        <f t="shared" ca="1" si="781"/>
        <v>2017432.472526039</v>
      </c>
      <c r="BJ502" s="52">
        <f t="shared" ca="1" si="781"/>
        <v>1994243.5935314868</v>
      </c>
      <c r="BK502" s="52">
        <f t="shared" ca="1" si="781"/>
        <v>1971054.7145369346</v>
      </c>
      <c r="BL502" s="52">
        <f t="shared" ca="1" si="781"/>
        <v>1947865.8355423824</v>
      </c>
      <c r="BM502" s="52">
        <f t="shared" ca="1" si="781"/>
        <v>1924676.9565478303</v>
      </c>
      <c r="BN502" s="52">
        <f t="shared" ca="1" si="781"/>
        <v>1901488.0775532781</v>
      </c>
      <c r="BO502" s="52">
        <f t="shared" ca="1" si="781"/>
        <v>1878299.1985587259</v>
      </c>
      <c r="BP502" s="52">
        <f t="shared" ca="1" si="781"/>
        <v>1855110.3195641737</v>
      </c>
      <c r="BQ502" s="52">
        <f t="shared" ca="1" si="781"/>
        <v>1831921.4405696215</v>
      </c>
      <c r="BR502" s="52">
        <f t="shared" ca="1" si="781"/>
        <v>1808732.5615750693</v>
      </c>
      <c r="BS502" s="52">
        <f t="shared" ca="1" si="781"/>
        <v>1785543.6825805171</v>
      </c>
      <c r="BT502" s="52">
        <f t="shared" ca="1" si="781"/>
        <v>1762354.803585965</v>
      </c>
      <c r="BU502" s="52">
        <f t="shared" ca="1" si="781"/>
        <v>1739165.9245914128</v>
      </c>
      <c r="BV502" s="52">
        <f t="shared" ca="1" si="781"/>
        <v>1715977.0455968606</v>
      </c>
      <c r="BW502" s="52">
        <f t="shared" ca="1" si="781"/>
        <v>1692788.1666023084</v>
      </c>
      <c r="BX502" s="52">
        <f t="shared" ref="BX502:CO502" ca="1" si="782">SUM(BX499:BX501)*ABS(SUM(BX499:BX501)&gt;Accuracy)*Flag_Forecast</f>
        <v>1669599.2876077562</v>
      </c>
      <c r="BY502" s="52">
        <f t="shared" ca="1" si="782"/>
        <v>1646410.408613204</v>
      </c>
      <c r="BZ502" s="52">
        <f t="shared" ca="1" si="782"/>
        <v>1623221.5296186518</v>
      </c>
      <c r="CA502" s="52">
        <f t="shared" ca="1" si="782"/>
        <v>1600032.6506240997</v>
      </c>
      <c r="CB502" s="52">
        <f t="shared" ca="1" si="782"/>
        <v>1576843.7716295475</v>
      </c>
      <c r="CC502" s="52">
        <f t="shared" ca="1" si="782"/>
        <v>1553654.8926349953</v>
      </c>
      <c r="CD502" s="52">
        <f t="shared" ca="1" si="782"/>
        <v>1530466.0136404431</v>
      </c>
      <c r="CE502" s="52">
        <f t="shared" ca="1" si="782"/>
        <v>1507277.1346458909</v>
      </c>
      <c r="CF502" s="52">
        <f t="shared" ca="1" si="782"/>
        <v>1484088.2556513387</v>
      </c>
      <c r="CG502" s="52">
        <f t="shared" ca="1" si="782"/>
        <v>1460899.3766567865</v>
      </c>
      <c r="CH502" s="52">
        <f t="shared" ca="1" si="782"/>
        <v>1437710.4976622344</v>
      </c>
      <c r="CI502" s="52">
        <f t="shared" ca="1" si="782"/>
        <v>1414521.6186676822</v>
      </c>
      <c r="CJ502" s="52">
        <f t="shared" ca="1" si="782"/>
        <v>1391332.73967313</v>
      </c>
      <c r="CK502" s="52">
        <f t="shared" ca="1" si="782"/>
        <v>1368143.8606785778</v>
      </c>
      <c r="CL502" s="52">
        <f t="shared" ca="1" si="782"/>
        <v>1344954.9816840256</v>
      </c>
      <c r="CM502" s="52">
        <f t="shared" ca="1" si="782"/>
        <v>1321766.1026894734</v>
      </c>
      <c r="CN502" s="52">
        <f t="shared" ca="1" si="782"/>
        <v>1298577.2236949212</v>
      </c>
      <c r="CO502" s="52">
        <f t="shared" ca="1" si="782"/>
        <v>1275388.3447003691</v>
      </c>
    </row>
    <row r="503" spans="1:93">
      <c r="A503" s="10"/>
      <c r="B503" s="10"/>
      <c r="C503" s="21"/>
      <c r="D503" s="10"/>
      <c r="E503" s="62"/>
      <c r="F503" s="11"/>
      <c r="G503" s="142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  <c r="BA503" s="10"/>
      <c r="BB503" s="10"/>
      <c r="BC503" s="10"/>
      <c r="BD503" s="10"/>
      <c r="BE503" s="10"/>
      <c r="BF503" s="10"/>
      <c r="BG503" s="10"/>
      <c r="BH503" s="10"/>
      <c r="BI503" s="10"/>
      <c r="BJ503" s="10"/>
      <c r="BK503" s="10"/>
      <c r="BL503" s="10"/>
      <c r="BM503" s="10"/>
      <c r="BN503" s="10"/>
      <c r="BO503" s="10"/>
      <c r="BP503" s="10"/>
      <c r="BQ503" s="10"/>
      <c r="BR503" s="10"/>
      <c r="BS503" s="10"/>
      <c r="BT503" s="10"/>
      <c r="BU503" s="10"/>
      <c r="BV503" s="10"/>
      <c r="BW503" s="10"/>
      <c r="BX503" s="10"/>
      <c r="BY503" s="10"/>
      <c r="BZ503" s="10"/>
      <c r="CA503" s="10"/>
      <c r="CB503" s="10"/>
      <c r="CC503" s="10"/>
      <c r="CD503" s="10"/>
      <c r="CE503" s="10"/>
      <c r="CF503" s="10"/>
      <c r="CG503" s="10"/>
      <c r="CH503" s="10"/>
      <c r="CI503" s="10"/>
      <c r="CJ503" s="10"/>
      <c r="CK503" s="10"/>
      <c r="CL503" s="10"/>
      <c r="CM503" s="10"/>
      <c r="CN503" s="10"/>
      <c r="CO503" s="10"/>
    </row>
    <row r="504" spans="1:93" ht="22.5" customHeight="1">
      <c r="A504" s="77"/>
      <c r="B504" s="5" t="s">
        <v>96</v>
      </c>
      <c r="C504" s="5"/>
      <c r="D504" s="15"/>
      <c r="E504" s="15"/>
      <c r="F504" s="31"/>
      <c r="G504" s="18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  <c r="CJ504" s="31"/>
      <c r="CK504" s="31"/>
      <c r="CL504" s="31"/>
      <c r="CM504" s="31"/>
      <c r="CN504" s="31"/>
      <c r="CO504" s="31"/>
    </row>
    <row r="505" spans="1:93">
      <c r="A505" s="10"/>
      <c r="B505" s="101"/>
      <c r="C505" s="102"/>
      <c r="D505" s="69"/>
      <c r="E505" s="62"/>
      <c r="F505" s="70"/>
      <c r="G505" s="11"/>
      <c r="H505" s="69"/>
      <c r="I505" s="69"/>
      <c r="J505" s="69"/>
      <c r="K505" s="69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  <c r="AA505" s="103"/>
      <c r="AB505" s="103"/>
      <c r="AC505" s="103"/>
      <c r="AD505" s="103"/>
      <c r="AE505" s="103"/>
      <c r="AF505" s="103"/>
      <c r="AG505" s="103"/>
      <c r="AH505" s="103"/>
      <c r="AI505" s="103"/>
      <c r="AJ505" s="103"/>
      <c r="AK505" s="103"/>
      <c r="AL505" s="103"/>
      <c r="AM505" s="103"/>
      <c r="AN505" s="103"/>
      <c r="AO505" s="103"/>
      <c r="AP505" s="103"/>
      <c r="AQ505" s="103"/>
      <c r="AR505" s="103"/>
      <c r="AS505" s="103"/>
      <c r="AT505" s="103"/>
      <c r="AU505" s="103"/>
      <c r="AV505" s="103"/>
      <c r="AW505" s="103"/>
      <c r="AX505" s="103"/>
      <c r="AY505" s="103"/>
      <c r="AZ505" s="103"/>
      <c r="BA505" s="103"/>
      <c r="BB505" s="103"/>
      <c r="BC505" s="103"/>
      <c r="BD505" s="103"/>
      <c r="BE505" s="103"/>
      <c r="BF505" s="103"/>
      <c r="BG505" s="103"/>
      <c r="BH505" s="103"/>
      <c r="BI505" s="103"/>
      <c r="BJ505" s="103"/>
      <c r="BK505" s="103"/>
      <c r="BL505" s="103"/>
      <c r="BM505" s="103"/>
      <c r="BN505" s="103"/>
      <c r="BO505" s="103"/>
      <c r="BP505" s="103"/>
      <c r="BQ505" s="103"/>
      <c r="BR505" s="103"/>
      <c r="BS505" s="103"/>
      <c r="BT505" s="103"/>
      <c r="BU505" s="103"/>
      <c r="BV505" s="103"/>
      <c r="BW505" s="103"/>
      <c r="BX505" s="103"/>
      <c r="BY505" s="103"/>
      <c r="BZ505" s="103"/>
      <c r="CA505" s="103"/>
      <c r="CB505" s="103"/>
      <c r="CC505" s="103"/>
      <c r="CD505" s="103"/>
      <c r="CE505" s="103"/>
      <c r="CF505" s="103"/>
      <c r="CG505" s="103"/>
      <c r="CH505" s="103"/>
      <c r="CI505" s="103"/>
      <c r="CJ505" s="103"/>
      <c r="CK505" s="103"/>
      <c r="CL505" s="103"/>
      <c r="CM505" s="103"/>
      <c r="CN505" s="103"/>
      <c r="CO505" s="103"/>
    </row>
    <row r="506" spans="1:93" ht="16.5" thickBot="1">
      <c r="A506" s="10"/>
      <c r="B506" s="101"/>
      <c r="C506" s="12" t="s">
        <v>861</v>
      </c>
      <c r="D506" s="12"/>
      <c r="E506" s="12"/>
      <c r="F506" s="12"/>
      <c r="G506" s="360"/>
      <c r="H506" s="12"/>
      <c r="I506" s="12"/>
      <c r="J506" s="69"/>
      <c r="K506" s="69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  <c r="AA506" s="103"/>
      <c r="AB506" s="103"/>
      <c r="AC506" s="103"/>
      <c r="AD506" s="103"/>
      <c r="AE506" s="103"/>
      <c r="AF506" s="103"/>
      <c r="AG506" s="103"/>
      <c r="AH506" s="103"/>
      <c r="AI506" s="103"/>
      <c r="AJ506" s="103"/>
      <c r="AK506" s="103"/>
      <c r="AL506" s="103"/>
      <c r="AM506" s="103"/>
      <c r="AN506" s="103"/>
      <c r="AO506" s="103"/>
      <c r="AP506" s="103"/>
      <c r="AQ506" s="103"/>
      <c r="AR506" s="103"/>
      <c r="AS506" s="103"/>
      <c r="AT506" s="103"/>
      <c r="AU506" s="103"/>
      <c r="AV506" s="103"/>
      <c r="AW506" s="103"/>
      <c r="AX506" s="103"/>
      <c r="AY506" s="103"/>
      <c r="AZ506" s="103"/>
      <c r="BA506" s="103"/>
      <c r="BB506" s="103"/>
      <c r="BC506" s="103"/>
      <c r="BD506" s="103"/>
      <c r="BE506" s="103"/>
      <c r="BF506" s="103"/>
      <c r="BG506" s="103"/>
      <c r="BH506" s="103"/>
      <c r="BI506" s="103"/>
      <c r="BJ506" s="103"/>
      <c r="BK506" s="103"/>
      <c r="BL506" s="103"/>
      <c r="BM506" s="103"/>
      <c r="BN506" s="103"/>
      <c r="BO506" s="103"/>
      <c r="BP506" s="103"/>
      <c r="BQ506" s="103"/>
      <c r="BR506" s="103"/>
      <c r="BS506" s="103"/>
      <c r="BT506" s="103"/>
      <c r="BU506" s="103"/>
      <c r="BV506" s="103"/>
      <c r="BW506" s="103"/>
      <c r="BX506" s="103"/>
      <c r="BY506" s="103"/>
      <c r="BZ506" s="103"/>
      <c r="CA506" s="103"/>
      <c r="CB506" s="103"/>
      <c r="CC506" s="103"/>
      <c r="CD506" s="103"/>
      <c r="CE506" s="103"/>
      <c r="CF506" s="103"/>
      <c r="CG506" s="103"/>
      <c r="CH506" s="103"/>
      <c r="CI506" s="103"/>
      <c r="CJ506" s="103"/>
      <c r="CK506" s="103"/>
      <c r="CL506" s="103"/>
      <c r="CM506" s="103"/>
      <c r="CN506" s="103"/>
      <c r="CO506" s="103"/>
    </row>
    <row r="507" spans="1:93" s="133" customFormat="1" ht="14.65" customHeight="1">
      <c r="A507" s="10"/>
      <c r="B507" s="10"/>
      <c r="C507" s="21"/>
      <c r="D507" s="10"/>
      <c r="E507" s="10"/>
      <c r="F507" s="10"/>
      <c r="G507" s="11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  <c r="BA507" s="10"/>
      <c r="BB507" s="10"/>
      <c r="BC507" s="10"/>
      <c r="BD507" s="10"/>
      <c r="BE507" s="10"/>
      <c r="BF507" s="10"/>
      <c r="BG507" s="10"/>
      <c r="BH507" s="10"/>
      <c r="BI507" s="10"/>
      <c r="BJ507" s="10"/>
      <c r="BK507" s="10"/>
      <c r="BL507" s="10"/>
      <c r="BM507" s="10"/>
      <c r="BN507" s="10"/>
      <c r="BO507" s="10"/>
      <c r="BP507" s="10"/>
      <c r="BQ507" s="10"/>
      <c r="BR507" s="10"/>
      <c r="BS507" s="10"/>
      <c r="BT507" s="10"/>
      <c r="BU507" s="10"/>
      <c r="BV507" s="10"/>
      <c r="BW507" s="10"/>
      <c r="BX507" s="10"/>
      <c r="BY507" s="10"/>
      <c r="BZ507" s="10"/>
      <c r="CA507" s="10"/>
      <c r="CB507" s="10"/>
      <c r="CC507" s="10"/>
      <c r="CD507" s="10"/>
      <c r="CE507" s="10"/>
      <c r="CF507" s="10"/>
      <c r="CG507" s="10"/>
      <c r="CH507" s="10"/>
      <c r="CI507" s="10"/>
      <c r="CJ507" s="10"/>
      <c r="CK507" s="10"/>
      <c r="CL507" s="10"/>
      <c r="CM507" s="10"/>
      <c r="CN507" s="10"/>
      <c r="CO507" s="10"/>
    </row>
    <row r="508" spans="1:93" s="133" customFormat="1" ht="14.65" customHeight="1">
      <c r="A508" s="9"/>
      <c r="B508" s="10"/>
      <c r="C508" s="87" t="s">
        <v>836</v>
      </c>
      <c r="D508" s="10"/>
      <c r="E508" s="10"/>
      <c r="F508" s="10"/>
      <c r="G508" s="11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  <c r="BA508" s="10"/>
      <c r="BB508" s="10"/>
      <c r="BC508" s="10"/>
      <c r="BD508" s="10"/>
      <c r="BE508" s="10"/>
      <c r="BF508" s="10"/>
      <c r="BG508" s="10"/>
      <c r="BH508" s="10"/>
      <c r="BI508" s="10"/>
      <c r="BJ508" s="10"/>
      <c r="BK508" s="10"/>
      <c r="BL508" s="10"/>
      <c r="BM508" s="10"/>
      <c r="BN508" s="10"/>
      <c r="BO508" s="10"/>
      <c r="BP508" s="10"/>
      <c r="BQ508" s="10"/>
      <c r="BR508" s="10"/>
      <c r="BS508" s="10"/>
      <c r="BT508" s="10"/>
      <c r="BU508" s="10"/>
      <c r="BV508" s="10"/>
      <c r="BW508" s="10"/>
      <c r="BX508" s="10"/>
      <c r="BY508" s="10"/>
      <c r="BZ508" s="10"/>
      <c r="CA508" s="10"/>
      <c r="CB508" s="10"/>
      <c r="CC508" s="10"/>
      <c r="CD508" s="10"/>
      <c r="CE508" s="10"/>
      <c r="CF508" s="10"/>
      <c r="CG508" s="10"/>
      <c r="CH508" s="10"/>
      <c r="CI508" s="10"/>
      <c r="CJ508" s="10"/>
      <c r="CK508" s="10"/>
      <c r="CL508" s="10"/>
      <c r="CM508" s="10"/>
      <c r="CN508" s="10"/>
      <c r="CO508" s="10"/>
    </row>
    <row r="509" spans="1:93" s="133" customFormat="1" ht="14.65" customHeight="1">
      <c r="A509" s="9"/>
      <c r="B509" s="10"/>
      <c r="C509" s="21" t="str">
        <f>C95</f>
        <v>Сегмент 1: Объект размещения (отель)</v>
      </c>
      <c r="D509" s="10"/>
      <c r="E509" s="309" t="str">
        <f xml:space="preserve"> E95</f>
        <v>в проекте</v>
      </c>
      <c r="F509" s="10"/>
      <c r="G509" s="207"/>
      <c r="H509" s="10"/>
      <c r="I509" s="294">
        <f xml:space="preserve"> (E509 = "в проекте") * 1</f>
        <v>1</v>
      </c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  <c r="CD509" s="10"/>
      <c r="CE509" s="10"/>
      <c r="CF509" s="10"/>
      <c r="CG509" s="10"/>
      <c r="CH509" s="10"/>
      <c r="CI509" s="10"/>
      <c r="CJ509" s="10"/>
      <c r="CK509" s="10"/>
      <c r="CL509" s="10"/>
      <c r="CM509" s="10"/>
      <c r="CN509" s="10"/>
      <c r="CO509" s="10"/>
    </row>
    <row r="510" spans="1:93" s="133" customFormat="1" ht="14.65" customHeight="1">
      <c r="A510" s="9"/>
      <c r="B510" s="10"/>
      <c r="C510" s="21" t="str">
        <f>C96</f>
        <v>Сегмент 2: Развлекательный комплекс</v>
      </c>
      <c r="D510" s="10"/>
      <c r="E510" s="309" t="str">
        <f xml:space="preserve"> E96</f>
        <v>в проекте</v>
      </c>
      <c r="F510" s="10"/>
      <c r="G510" s="207"/>
      <c r="H510" s="10"/>
      <c r="I510" s="294">
        <f xml:space="preserve"> (E510 = "в проекте") * 1</f>
        <v>1</v>
      </c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  <c r="BA510" s="10"/>
      <c r="BB510" s="10"/>
      <c r="BC510" s="10"/>
      <c r="BD510" s="10"/>
      <c r="BE510" s="10"/>
      <c r="BF510" s="10"/>
      <c r="BG510" s="10"/>
      <c r="BH510" s="10"/>
      <c r="BI510" s="10"/>
      <c r="BJ510" s="10"/>
      <c r="BK510" s="10"/>
      <c r="BL510" s="10"/>
      <c r="BM510" s="10"/>
      <c r="BN510" s="10"/>
      <c r="BO510" s="10"/>
      <c r="BP510" s="10"/>
      <c r="BQ510" s="10"/>
      <c r="BR510" s="10"/>
      <c r="BS510" s="10"/>
      <c r="BT510" s="10"/>
      <c r="BU510" s="10"/>
      <c r="BV510" s="10"/>
      <c r="BW510" s="10"/>
      <c r="BX510" s="10"/>
      <c r="BY510" s="10"/>
      <c r="BZ510" s="10"/>
      <c r="CA510" s="10"/>
      <c r="CB510" s="10"/>
      <c r="CC510" s="10"/>
      <c r="CD510" s="10"/>
      <c r="CE510" s="10"/>
      <c r="CF510" s="10"/>
      <c r="CG510" s="10"/>
      <c r="CH510" s="10"/>
      <c r="CI510" s="10"/>
      <c r="CJ510" s="10"/>
      <c r="CK510" s="10"/>
      <c r="CL510" s="10"/>
      <c r="CM510" s="10"/>
      <c r="CN510" s="10"/>
      <c r="CO510" s="10"/>
    </row>
    <row r="511" spans="1:93" s="133" customFormat="1" ht="14.65" customHeight="1">
      <c r="A511" s="9"/>
      <c r="B511" s="10"/>
      <c r="C511" s="21" t="str">
        <f>C97</f>
        <v>Сегмент 3: Крытый парк развлечений</v>
      </c>
      <c r="D511" s="10"/>
      <c r="E511" s="309" t="str">
        <f xml:space="preserve"> E97</f>
        <v>в проекте</v>
      </c>
      <c r="F511" s="10"/>
      <c r="G511" s="207"/>
      <c r="H511" s="10"/>
      <c r="I511" s="294">
        <f xml:space="preserve"> (E511 = "в проекте") * 1</f>
        <v>1</v>
      </c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  <c r="BA511" s="10"/>
      <c r="BB511" s="10"/>
      <c r="BC511" s="10"/>
      <c r="BD511" s="10"/>
      <c r="BE511" s="10"/>
      <c r="BF511" s="10"/>
      <c r="BG511" s="10"/>
      <c r="BH511" s="10"/>
      <c r="BI511" s="10"/>
      <c r="BJ511" s="10"/>
      <c r="BK511" s="10"/>
      <c r="BL511" s="10"/>
      <c r="BM511" s="10"/>
      <c r="BN511" s="10"/>
      <c r="BO511" s="10"/>
      <c r="BP511" s="10"/>
      <c r="BQ511" s="10"/>
      <c r="BR511" s="10"/>
      <c r="BS511" s="10"/>
      <c r="BT511" s="10"/>
      <c r="BU511" s="10"/>
      <c r="BV511" s="10"/>
      <c r="BW511" s="10"/>
      <c r="BX511" s="10"/>
      <c r="BY511" s="10"/>
      <c r="BZ511" s="10"/>
      <c r="CA511" s="10"/>
      <c r="CB511" s="10"/>
      <c r="CC511" s="10"/>
      <c r="CD511" s="10"/>
      <c r="CE511" s="10"/>
      <c r="CF511" s="10"/>
      <c r="CG511" s="10"/>
      <c r="CH511" s="10"/>
      <c r="CI511" s="10"/>
      <c r="CJ511" s="10"/>
      <c r="CK511" s="10"/>
      <c r="CL511" s="10"/>
      <c r="CM511" s="10"/>
      <c r="CN511" s="10"/>
      <c r="CO511" s="10"/>
    </row>
    <row r="512" spans="1:93" s="133" customFormat="1" ht="14.65" customHeight="1">
      <c r="A512" s="10"/>
      <c r="B512" s="10"/>
      <c r="C512" s="21"/>
      <c r="D512" s="10"/>
      <c r="E512" s="10"/>
      <c r="F512" s="10"/>
      <c r="G512" s="11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  <c r="BA512" s="10"/>
      <c r="BB512" s="10"/>
      <c r="BC512" s="10"/>
      <c r="BD512" s="10"/>
      <c r="BE512" s="10"/>
      <c r="BF512" s="10"/>
      <c r="BG512" s="10"/>
      <c r="BH512" s="10"/>
      <c r="BI512" s="10"/>
      <c r="BJ512" s="10"/>
      <c r="BK512" s="10"/>
      <c r="BL512" s="10"/>
      <c r="BM512" s="10"/>
      <c r="BN512" s="10"/>
      <c r="BO512" s="10"/>
      <c r="BP512" s="10"/>
      <c r="BQ512" s="10"/>
      <c r="BR512" s="10"/>
      <c r="BS512" s="10"/>
      <c r="BT512" s="10"/>
      <c r="BU512" s="10"/>
      <c r="BV512" s="10"/>
      <c r="BW512" s="10"/>
      <c r="BX512" s="10"/>
      <c r="BY512" s="10"/>
      <c r="BZ512" s="10"/>
      <c r="CA512" s="10"/>
      <c r="CB512" s="10"/>
      <c r="CC512" s="10"/>
      <c r="CD512" s="10"/>
      <c r="CE512" s="10"/>
      <c r="CF512" s="10"/>
      <c r="CG512" s="10"/>
      <c r="CH512" s="10"/>
      <c r="CI512" s="10"/>
      <c r="CJ512" s="10"/>
      <c r="CK512" s="10"/>
      <c r="CL512" s="10"/>
      <c r="CM512" s="10"/>
      <c r="CN512" s="10"/>
      <c r="CO512" s="10"/>
    </row>
    <row r="513" spans="1:93" s="141" customFormat="1" ht="14.65" customHeight="1">
      <c r="A513" s="10"/>
      <c r="B513" s="10"/>
      <c r="C513" s="87" t="s">
        <v>862</v>
      </c>
      <c r="D513" s="10"/>
      <c r="E513" s="10"/>
      <c r="F513" s="10"/>
      <c r="G513" s="11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  <c r="BA513" s="10"/>
      <c r="BB513" s="10"/>
      <c r="BC513" s="10"/>
      <c r="BD513" s="10"/>
      <c r="BE513" s="10"/>
      <c r="BF513" s="10"/>
      <c r="BG513" s="10"/>
      <c r="BH513" s="10"/>
      <c r="BI513" s="10"/>
      <c r="BJ513" s="10"/>
      <c r="BK513" s="10"/>
      <c r="BL513" s="10"/>
      <c r="BM513" s="10"/>
      <c r="BN513" s="10"/>
      <c r="BO513" s="10"/>
      <c r="BP513" s="10"/>
      <c r="BQ513" s="10"/>
      <c r="BR513" s="10"/>
      <c r="BS513" s="10"/>
      <c r="BT513" s="10"/>
      <c r="BU513" s="10"/>
      <c r="BV513" s="10"/>
      <c r="BW513" s="10"/>
      <c r="BX513" s="10"/>
      <c r="BY513" s="10"/>
      <c r="BZ513" s="10"/>
      <c r="CA513" s="10"/>
      <c r="CB513" s="10"/>
      <c r="CC513" s="10"/>
      <c r="CD513" s="10"/>
      <c r="CE513" s="10"/>
      <c r="CF513" s="10"/>
      <c r="CG513" s="10"/>
      <c r="CH513" s="10"/>
      <c r="CI513" s="10"/>
      <c r="CJ513" s="10"/>
      <c r="CK513" s="10"/>
      <c r="CL513" s="10"/>
      <c r="CM513" s="10"/>
      <c r="CN513" s="10"/>
      <c r="CO513" s="10"/>
    </row>
    <row r="514" spans="1:93" s="141" customFormat="1" ht="14.65" customHeight="1">
      <c r="A514" s="10"/>
      <c r="B514" s="10"/>
      <c r="C514" s="21" t="str">
        <f>"Выручка " &amp; C35</f>
        <v>Выручка Объект размещения (отель)</v>
      </c>
      <c r="D514" s="10"/>
      <c r="E514" s="308">
        <f xml:space="preserve"> Контр_панель!G48</f>
        <v>0</v>
      </c>
      <c r="F514" s="10"/>
      <c r="G514" s="11"/>
      <c r="H514" s="10"/>
      <c r="I514" s="465">
        <f xml:space="preserve"> (1 + E514) * (1 + Revenue_sens) * I509</f>
        <v>1</v>
      </c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</row>
    <row r="515" spans="1:93" s="141" customFormat="1" ht="14.65" customHeight="1">
      <c r="A515" s="10"/>
      <c r="B515" s="10"/>
      <c r="C515" s="21" t="str">
        <f>"Выручка " &amp; C36</f>
        <v>Выручка Развлекательный комплекс</v>
      </c>
      <c r="D515" s="10"/>
      <c r="E515" s="308">
        <f xml:space="preserve"> Контр_панель!G49</f>
        <v>0</v>
      </c>
      <c r="F515" s="10"/>
      <c r="G515" s="11"/>
      <c r="H515" s="10"/>
      <c r="I515" s="465">
        <f xml:space="preserve"> (1 + E515) * (1 + Revenue_sens) * I510</f>
        <v>1</v>
      </c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  <c r="BA515" s="10"/>
      <c r="BB515" s="10"/>
      <c r="BC515" s="10"/>
      <c r="BD515" s="10"/>
      <c r="BE515" s="10"/>
      <c r="BF515" s="10"/>
      <c r="BG515" s="10"/>
      <c r="BH515" s="10"/>
      <c r="BI515" s="10"/>
      <c r="BJ515" s="10"/>
      <c r="BK515" s="10"/>
      <c r="BL515" s="10"/>
      <c r="BM515" s="10"/>
      <c r="BN515" s="10"/>
      <c r="BO515" s="10"/>
      <c r="BP515" s="10"/>
      <c r="BQ515" s="10"/>
      <c r="BR515" s="10"/>
      <c r="BS515" s="10"/>
      <c r="BT515" s="10"/>
      <c r="BU515" s="10"/>
      <c r="BV515" s="10"/>
      <c r="BW515" s="10"/>
      <c r="BX515" s="10"/>
      <c r="BY515" s="10"/>
      <c r="BZ515" s="10"/>
      <c r="CA515" s="10"/>
      <c r="CB515" s="10"/>
      <c r="CC515" s="10"/>
      <c r="CD515" s="10"/>
      <c r="CE515" s="10"/>
      <c r="CF515" s="10"/>
      <c r="CG515" s="10"/>
      <c r="CH515" s="10"/>
      <c r="CI515" s="10"/>
      <c r="CJ515" s="10"/>
      <c r="CK515" s="10"/>
      <c r="CL515" s="10"/>
      <c r="CM515" s="10"/>
      <c r="CN515" s="10"/>
      <c r="CO515" s="10"/>
    </row>
    <row r="516" spans="1:93" s="141" customFormat="1" ht="14.65" customHeight="1">
      <c r="A516" s="10"/>
      <c r="B516" s="10"/>
      <c r="C516" s="21" t="str">
        <f>"Выручка " &amp; C37</f>
        <v>Выручка Крытый парк развлечений</v>
      </c>
      <c r="D516" s="10"/>
      <c r="E516" s="308">
        <f xml:space="preserve"> Контр_панель!G50</f>
        <v>0</v>
      </c>
      <c r="F516" s="10"/>
      <c r="G516" s="11"/>
      <c r="H516" s="10"/>
      <c r="I516" s="465">
        <f xml:space="preserve"> (1 + E516) * (1 + Revenue_sens) * I511</f>
        <v>1</v>
      </c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  <c r="BA516" s="10"/>
      <c r="BB516" s="10"/>
      <c r="BC516" s="10"/>
      <c r="BD516" s="10"/>
      <c r="BE516" s="10"/>
      <c r="BF516" s="10"/>
      <c r="BG516" s="10"/>
      <c r="BH516" s="10"/>
      <c r="BI516" s="10"/>
      <c r="BJ516" s="10"/>
      <c r="BK516" s="10"/>
      <c r="BL516" s="10"/>
      <c r="BM516" s="10"/>
      <c r="BN516" s="10"/>
      <c r="BO516" s="10"/>
      <c r="BP516" s="10"/>
      <c r="BQ516" s="10"/>
      <c r="BR516" s="10"/>
      <c r="BS516" s="10"/>
      <c r="BT516" s="10"/>
      <c r="BU516" s="10"/>
      <c r="BV516" s="10"/>
      <c r="BW516" s="10"/>
      <c r="BX516" s="10"/>
      <c r="BY516" s="10"/>
      <c r="BZ516" s="10"/>
      <c r="CA516" s="10"/>
      <c r="CB516" s="10"/>
      <c r="CC516" s="10"/>
      <c r="CD516" s="10"/>
      <c r="CE516" s="10"/>
      <c r="CF516" s="10"/>
      <c r="CG516" s="10"/>
      <c r="CH516" s="10"/>
      <c r="CI516" s="10"/>
      <c r="CJ516" s="10"/>
      <c r="CK516" s="10"/>
      <c r="CL516" s="10"/>
      <c r="CM516" s="10"/>
      <c r="CN516" s="10"/>
      <c r="CO516" s="10"/>
    </row>
    <row r="517" spans="1:93" s="141" customFormat="1" ht="14.65" customHeight="1">
      <c r="A517" s="10"/>
      <c r="B517" s="10"/>
      <c r="C517" s="21"/>
      <c r="D517" s="10"/>
      <c r="E517" s="10"/>
      <c r="F517" s="10"/>
      <c r="G517" s="11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  <c r="BA517" s="10"/>
      <c r="BB517" s="10"/>
      <c r="BC517" s="10"/>
      <c r="BD517" s="10"/>
      <c r="BE517" s="10"/>
      <c r="BF517" s="10"/>
      <c r="BG517" s="10"/>
      <c r="BH517" s="10"/>
      <c r="BI517" s="10"/>
      <c r="BJ517" s="10"/>
      <c r="BK517" s="10"/>
      <c r="BL517" s="10"/>
      <c r="BM517" s="10"/>
      <c r="BN517" s="10"/>
      <c r="BO517" s="10"/>
      <c r="BP517" s="10"/>
      <c r="BQ517" s="10"/>
      <c r="BR517" s="10"/>
      <c r="BS517" s="10"/>
      <c r="BT517" s="10"/>
      <c r="BU517" s="10"/>
      <c r="BV517" s="10"/>
      <c r="BW517" s="10"/>
      <c r="BX517" s="10"/>
      <c r="BY517" s="10"/>
      <c r="BZ517" s="10"/>
      <c r="CA517" s="10"/>
      <c r="CB517" s="10"/>
      <c r="CC517" s="10"/>
      <c r="CD517" s="10"/>
      <c r="CE517" s="10"/>
      <c r="CF517" s="10"/>
      <c r="CG517" s="10"/>
      <c r="CH517" s="10"/>
      <c r="CI517" s="10"/>
      <c r="CJ517" s="10"/>
      <c r="CK517" s="10"/>
      <c r="CL517" s="10"/>
      <c r="CM517" s="10"/>
      <c r="CN517" s="10"/>
      <c r="CO517" s="10"/>
    </row>
    <row r="518" spans="1:93" ht="15" customHeight="1">
      <c r="A518" s="10"/>
      <c r="B518" s="3"/>
      <c r="C518" s="382" t="str">
        <f>C509</f>
        <v>Сегмент 1: Объект размещения (отель)</v>
      </c>
      <c r="D518" s="271"/>
      <c r="E518" s="271"/>
      <c r="F518" s="271"/>
      <c r="G518" s="272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  <c r="CA518" s="271"/>
      <c r="CB518" s="271"/>
      <c r="CC518" s="271"/>
      <c r="CD518" s="271"/>
      <c r="CE518" s="271"/>
      <c r="CF518" s="271"/>
      <c r="CG518" s="271"/>
      <c r="CH518" s="271"/>
      <c r="CI518" s="271"/>
      <c r="CJ518" s="271"/>
      <c r="CK518" s="271"/>
      <c r="CL518" s="271"/>
      <c r="CM518" s="271"/>
      <c r="CN518" s="271"/>
      <c r="CO518" s="271"/>
    </row>
    <row r="519" spans="1:93">
      <c r="A519" s="233"/>
      <c r="B519" s="101"/>
      <c r="C519" s="102"/>
      <c r="D519" s="69"/>
      <c r="E519" s="62"/>
      <c r="F519" s="70"/>
      <c r="G519" s="11"/>
      <c r="H519" s="69"/>
      <c r="I519" s="69"/>
      <c r="J519" s="69"/>
      <c r="K519" s="69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  <c r="AA519" s="103"/>
      <c r="AB519" s="103"/>
      <c r="AC519" s="103"/>
      <c r="AD519" s="103"/>
      <c r="AE519" s="103"/>
      <c r="AF519" s="103"/>
      <c r="AG519" s="103"/>
      <c r="AH519" s="103"/>
      <c r="AI519" s="103"/>
      <c r="AJ519" s="103"/>
      <c r="AK519" s="103"/>
      <c r="AL519" s="103"/>
      <c r="AM519" s="103"/>
      <c r="AN519" s="103"/>
      <c r="AO519" s="103"/>
      <c r="AP519" s="103"/>
      <c r="AQ519" s="103"/>
      <c r="AR519" s="103"/>
      <c r="AS519" s="103"/>
      <c r="AT519" s="103"/>
      <c r="AU519" s="103"/>
      <c r="AV519" s="103"/>
      <c r="AW519" s="103"/>
      <c r="AX519" s="103"/>
      <c r="AY519" s="103"/>
      <c r="AZ519" s="103"/>
      <c r="BA519" s="103"/>
      <c r="BB519" s="103"/>
      <c r="BC519" s="103"/>
      <c r="BD519" s="103"/>
      <c r="BE519" s="103"/>
      <c r="BF519" s="103"/>
      <c r="BG519" s="103"/>
      <c r="BH519" s="103"/>
      <c r="BI519" s="103"/>
      <c r="BJ519" s="103"/>
      <c r="BK519" s="103"/>
      <c r="BL519" s="103"/>
      <c r="BM519" s="103"/>
      <c r="BN519" s="103"/>
      <c r="BO519" s="103"/>
      <c r="BP519" s="103"/>
      <c r="BQ519" s="103"/>
      <c r="BR519" s="103"/>
      <c r="BS519" s="103"/>
      <c r="BT519" s="103"/>
      <c r="BU519" s="103"/>
      <c r="BV519" s="103"/>
      <c r="BW519" s="103"/>
      <c r="BX519" s="103"/>
      <c r="BY519" s="103"/>
      <c r="BZ519" s="103"/>
      <c r="CA519" s="103"/>
      <c r="CB519" s="103"/>
      <c r="CC519" s="103"/>
      <c r="CD519" s="103"/>
      <c r="CE519" s="103"/>
      <c r="CF519" s="103"/>
      <c r="CG519" s="103"/>
      <c r="CH519" s="103"/>
      <c r="CI519" s="103"/>
      <c r="CJ519" s="103"/>
      <c r="CK519" s="103"/>
      <c r="CL519" s="103"/>
      <c r="CM519" s="103"/>
      <c r="CN519" s="103"/>
      <c r="CO519" s="103"/>
    </row>
    <row r="520" spans="1:93" ht="16.5" thickBot="1">
      <c r="A520" s="233"/>
      <c r="B520" s="10"/>
      <c r="C520" s="12" t="s">
        <v>695</v>
      </c>
      <c r="D520" s="12"/>
      <c r="E520" s="12"/>
      <c r="F520" s="12"/>
      <c r="G520" s="360"/>
      <c r="H520" s="12"/>
      <c r="I520" s="12"/>
      <c r="J520" s="69"/>
      <c r="K520" s="69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  <c r="AA520" s="103"/>
      <c r="AB520" s="103"/>
      <c r="AC520" s="103"/>
      <c r="AD520" s="103"/>
      <c r="AE520" s="103"/>
      <c r="AF520" s="103"/>
      <c r="AG520" s="103"/>
      <c r="AH520" s="103"/>
      <c r="AI520" s="103"/>
      <c r="AJ520" s="103"/>
      <c r="AK520" s="103"/>
      <c r="AL520" s="103"/>
      <c r="AM520" s="103"/>
      <c r="AN520" s="103"/>
      <c r="AO520" s="103"/>
      <c r="AP520" s="103"/>
      <c r="AQ520" s="103"/>
      <c r="AR520" s="103"/>
      <c r="AS520" s="103"/>
      <c r="AT520" s="103"/>
      <c r="AU520" s="103"/>
      <c r="AV520" s="103"/>
      <c r="AW520" s="103"/>
      <c r="AX520" s="103"/>
      <c r="AY520" s="103"/>
      <c r="AZ520" s="103"/>
      <c r="BA520" s="103"/>
      <c r="BB520" s="103"/>
      <c r="BC520" s="103"/>
      <c r="BD520" s="103"/>
      <c r="BE520" s="103"/>
      <c r="BF520" s="103"/>
      <c r="BG520" s="103"/>
      <c r="BH520" s="103"/>
      <c r="BI520" s="103"/>
      <c r="BJ520" s="103"/>
      <c r="BK520" s="103"/>
      <c r="BL520" s="103"/>
      <c r="BM520" s="103"/>
      <c r="BN520" s="103"/>
      <c r="BO520" s="103"/>
      <c r="BP520" s="103"/>
      <c r="BQ520" s="103"/>
      <c r="BR520" s="103"/>
      <c r="BS520" s="103"/>
      <c r="BT520" s="103"/>
      <c r="BU520" s="103"/>
      <c r="BV520" s="103"/>
      <c r="BW520" s="103"/>
      <c r="BX520" s="103"/>
      <c r="BY520" s="103"/>
      <c r="BZ520" s="103"/>
      <c r="CA520" s="103"/>
      <c r="CB520" s="103"/>
      <c r="CC520" s="103"/>
      <c r="CD520" s="103"/>
      <c r="CE520" s="103"/>
      <c r="CF520" s="103"/>
      <c r="CG520" s="103"/>
      <c r="CH520" s="103"/>
      <c r="CI520" s="103"/>
      <c r="CJ520" s="103"/>
      <c r="CK520" s="103"/>
      <c r="CL520" s="103"/>
      <c r="CM520" s="103"/>
      <c r="CN520" s="103"/>
      <c r="CO520" s="103"/>
    </row>
    <row r="521" spans="1:93">
      <c r="A521" s="233"/>
      <c r="B521" s="101"/>
      <c r="C521" s="169"/>
      <c r="D521" s="69"/>
      <c r="E521" s="62"/>
      <c r="F521" s="70"/>
      <c r="G521" s="11"/>
      <c r="H521" s="69"/>
      <c r="I521" s="69"/>
      <c r="J521" s="69"/>
      <c r="K521" s="69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  <c r="AA521" s="103"/>
      <c r="AB521" s="103"/>
      <c r="AC521" s="103"/>
      <c r="AD521" s="103"/>
      <c r="AE521" s="103"/>
      <c r="AF521" s="103"/>
      <c r="AG521" s="103"/>
      <c r="AH521" s="103"/>
      <c r="AI521" s="103"/>
      <c r="AJ521" s="103"/>
      <c r="AK521" s="103"/>
      <c r="AL521" s="103"/>
      <c r="AM521" s="103"/>
      <c r="AN521" s="103"/>
      <c r="AO521" s="103"/>
      <c r="AP521" s="103"/>
      <c r="AQ521" s="103"/>
      <c r="AR521" s="103"/>
      <c r="AS521" s="103"/>
      <c r="AT521" s="103"/>
      <c r="AU521" s="103"/>
      <c r="AV521" s="103"/>
      <c r="AW521" s="103"/>
      <c r="AX521" s="103"/>
      <c r="AY521" s="103"/>
      <c r="AZ521" s="103"/>
      <c r="BA521" s="103"/>
      <c r="BB521" s="103"/>
      <c r="BC521" s="103"/>
      <c r="BD521" s="103"/>
      <c r="BE521" s="103"/>
      <c r="BF521" s="103"/>
      <c r="BG521" s="103"/>
      <c r="BH521" s="103"/>
      <c r="BI521" s="103"/>
      <c r="BJ521" s="103"/>
      <c r="BK521" s="103"/>
      <c r="BL521" s="103"/>
      <c r="BM521" s="103"/>
      <c r="BN521" s="103"/>
      <c r="BO521" s="103"/>
      <c r="BP521" s="103"/>
      <c r="BQ521" s="103"/>
      <c r="BR521" s="103"/>
      <c r="BS521" s="103"/>
      <c r="BT521" s="103"/>
      <c r="BU521" s="103"/>
      <c r="BV521" s="103"/>
      <c r="BW521" s="103"/>
      <c r="BX521" s="103"/>
      <c r="BY521" s="103"/>
      <c r="BZ521" s="103"/>
      <c r="CA521" s="103"/>
      <c r="CB521" s="103"/>
      <c r="CC521" s="103"/>
      <c r="CD521" s="103"/>
      <c r="CE521" s="103"/>
      <c r="CF521" s="103"/>
      <c r="CG521" s="103"/>
      <c r="CH521" s="103"/>
      <c r="CI521" s="103"/>
      <c r="CJ521" s="103"/>
      <c r="CK521" s="103"/>
      <c r="CL521" s="103"/>
      <c r="CM521" s="103"/>
      <c r="CN521" s="103"/>
      <c r="CO521" s="103"/>
    </row>
    <row r="522" spans="1:93">
      <c r="A522" s="233"/>
      <c r="B522" s="101"/>
      <c r="C522" s="17" t="s">
        <v>653</v>
      </c>
      <c r="D522" s="69"/>
      <c r="E522" s="196">
        <f xml:space="preserve"> Предпосылки!E385</f>
        <v>0.61416666666666664</v>
      </c>
      <c r="F522" s="70"/>
      <c r="G522" s="11" t="s">
        <v>28</v>
      </c>
      <c r="H522" s="69"/>
      <c r="I522" s="69"/>
      <c r="J522" s="69"/>
      <c r="K522" s="69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  <c r="AA522" s="103"/>
      <c r="AB522" s="103"/>
      <c r="AC522" s="103"/>
      <c r="AD522" s="103"/>
      <c r="AE522" s="103"/>
      <c r="AF522" s="103"/>
      <c r="AG522" s="103"/>
      <c r="AH522" s="103"/>
      <c r="AI522" s="103"/>
      <c r="AJ522" s="103"/>
      <c r="AK522" s="103"/>
      <c r="AL522" s="103"/>
      <c r="AM522" s="103"/>
      <c r="AN522" s="103"/>
      <c r="AO522" s="103"/>
      <c r="AP522" s="103"/>
      <c r="AQ522" s="103"/>
      <c r="AR522" s="103"/>
      <c r="AS522" s="103"/>
      <c r="AT522" s="103"/>
      <c r="AU522" s="103"/>
      <c r="AV522" s="103"/>
      <c r="AW522" s="103"/>
      <c r="AX522" s="103"/>
      <c r="AY522" s="103"/>
      <c r="AZ522" s="103"/>
      <c r="BA522" s="103"/>
      <c r="BB522" s="103"/>
      <c r="BC522" s="103"/>
      <c r="BD522" s="103"/>
      <c r="BE522" s="103"/>
      <c r="BF522" s="103"/>
      <c r="BG522" s="103"/>
      <c r="BH522" s="103"/>
      <c r="BI522" s="103"/>
      <c r="BJ522" s="103"/>
      <c r="BK522" s="103"/>
      <c r="BL522" s="103"/>
      <c r="BM522" s="103"/>
      <c r="BN522" s="103"/>
      <c r="BO522" s="103"/>
      <c r="BP522" s="103"/>
      <c r="BQ522" s="103"/>
      <c r="BR522" s="103"/>
      <c r="BS522" s="103"/>
      <c r="BT522" s="103"/>
      <c r="BU522" s="103"/>
      <c r="BV522" s="103"/>
      <c r="BW522" s="103"/>
      <c r="BX522" s="103"/>
      <c r="BY522" s="103"/>
      <c r="BZ522" s="103"/>
      <c r="CA522" s="103"/>
      <c r="CB522" s="103"/>
      <c r="CC522" s="103"/>
      <c r="CD522" s="103"/>
      <c r="CE522" s="103"/>
      <c r="CF522" s="103"/>
      <c r="CG522" s="103"/>
      <c r="CH522" s="103"/>
      <c r="CI522" s="103"/>
      <c r="CJ522" s="103"/>
      <c r="CK522" s="103"/>
      <c r="CL522" s="103"/>
      <c r="CM522" s="103"/>
      <c r="CN522" s="103"/>
      <c r="CO522" s="103"/>
    </row>
    <row r="523" spans="1:93">
      <c r="A523" s="233"/>
      <c r="B523" s="101"/>
      <c r="C523" s="17" t="s">
        <v>652</v>
      </c>
      <c r="D523" s="69"/>
      <c r="E523" s="196">
        <f xml:space="preserve"> Предпосылки!E386</f>
        <v>0.45</v>
      </c>
      <c r="F523" s="70"/>
      <c r="G523" s="11" t="s">
        <v>28</v>
      </c>
      <c r="H523" s="69"/>
      <c r="I523" s="69"/>
      <c r="J523" s="69"/>
      <c r="K523" s="69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  <c r="AA523" s="103"/>
      <c r="AB523" s="103"/>
      <c r="AC523" s="103"/>
      <c r="AD523" s="103"/>
      <c r="AE523" s="103"/>
      <c r="AF523" s="103"/>
      <c r="AG523" s="103"/>
      <c r="AH523" s="103"/>
      <c r="AI523" s="103"/>
      <c r="AJ523" s="103"/>
      <c r="AK523" s="103"/>
      <c r="AL523" s="103"/>
      <c r="AM523" s="103"/>
      <c r="AN523" s="103"/>
      <c r="AO523" s="103"/>
      <c r="AP523" s="103"/>
      <c r="AQ523" s="103"/>
      <c r="AR523" s="103"/>
      <c r="AS523" s="103"/>
      <c r="AT523" s="103"/>
      <c r="AU523" s="103"/>
      <c r="AV523" s="103"/>
      <c r="AW523" s="103"/>
      <c r="AX523" s="103"/>
      <c r="AY523" s="103"/>
      <c r="AZ523" s="103"/>
      <c r="BA523" s="103"/>
      <c r="BB523" s="103"/>
      <c r="BC523" s="103"/>
      <c r="BD523" s="103"/>
      <c r="BE523" s="103"/>
      <c r="BF523" s="103"/>
      <c r="BG523" s="103"/>
      <c r="BH523" s="103"/>
      <c r="BI523" s="103"/>
      <c r="BJ523" s="103"/>
      <c r="BK523" s="103"/>
      <c r="BL523" s="103"/>
      <c r="BM523" s="103"/>
      <c r="BN523" s="103"/>
      <c r="BO523" s="103"/>
      <c r="BP523" s="103"/>
      <c r="BQ523" s="103"/>
      <c r="BR523" s="103"/>
      <c r="BS523" s="103"/>
      <c r="BT523" s="103"/>
      <c r="BU523" s="103"/>
      <c r="BV523" s="103"/>
      <c r="BW523" s="103"/>
      <c r="BX523" s="103"/>
      <c r="BY523" s="103"/>
      <c r="BZ523" s="103"/>
      <c r="CA523" s="103"/>
      <c r="CB523" s="103"/>
      <c r="CC523" s="103"/>
      <c r="CD523" s="103"/>
      <c r="CE523" s="103"/>
      <c r="CF523" s="103"/>
      <c r="CG523" s="103"/>
      <c r="CH523" s="103"/>
      <c r="CI523" s="103"/>
      <c r="CJ523" s="103"/>
      <c r="CK523" s="103"/>
      <c r="CL523" s="103"/>
      <c r="CM523" s="103"/>
      <c r="CN523" s="103"/>
      <c r="CO523" s="103"/>
    </row>
    <row r="524" spans="1:93">
      <c r="A524" s="233"/>
      <c r="B524" s="101"/>
      <c r="C524" s="17" t="s">
        <v>655</v>
      </c>
      <c r="D524" s="69"/>
      <c r="E524" s="184">
        <f xml:space="preserve"> Предпосылки!E387</f>
        <v>12</v>
      </c>
      <c r="F524" s="70"/>
      <c r="G524" s="11" t="s">
        <v>656</v>
      </c>
      <c r="H524" s="69"/>
      <c r="I524" s="69"/>
      <c r="J524" s="69"/>
      <c r="K524" s="69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  <c r="AA524" s="103"/>
      <c r="AB524" s="103"/>
      <c r="AC524" s="103"/>
      <c r="AD524" s="103"/>
      <c r="AE524" s="103"/>
      <c r="AF524" s="103"/>
      <c r="AG524" s="103"/>
      <c r="AH524" s="103"/>
      <c r="AI524" s="103"/>
      <c r="AJ524" s="103"/>
      <c r="AK524" s="103"/>
      <c r="AL524" s="103"/>
      <c r="AM524" s="103"/>
      <c r="AN524" s="103"/>
      <c r="AO524" s="103"/>
      <c r="AP524" s="103"/>
      <c r="AQ524" s="103"/>
      <c r="AR524" s="103"/>
      <c r="AS524" s="103"/>
      <c r="AT524" s="103"/>
      <c r="AU524" s="103"/>
      <c r="AV524" s="103"/>
      <c r="AW524" s="103"/>
      <c r="AX524" s="103"/>
      <c r="AY524" s="103"/>
      <c r="AZ524" s="103"/>
      <c r="BA524" s="103"/>
      <c r="BB524" s="103"/>
      <c r="BC524" s="103"/>
      <c r="BD524" s="103"/>
      <c r="BE524" s="103"/>
      <c r="BF524" s="103"/>
      <c r="BG524" s="103"/>
      <c r="BH524" s="103"/>
      <c r="BI524" s="103"/>
      <c r="BJ524" s="103"/>
      <c r="BK524" s="103"/>
      <c r="BL524" s="103"/>
      <c r="BM524" s="103"/>
      <c r="BN524" s="103"/>
      <c r="BO524" s="103"/>
      <c r="BP524" s="103"/>
      <c r="BQ524" s="103"/>
      <c r="BR524" s="103"/>
      <c r="BS524" s="103"/>
      <c r="BT524" s="103"/>
      <c r="BU524" s="103"/>
      <c r="BV524" s="103"/>
      <c r="BW524" s="103"/>
      <c r="BX524" s="103"/>
      <c r="BY524" s="103"/>
      <c r="BZ524" s="103"/>
      <c r="CA524" s="103"/>
      <c r="CB524" s="103"/>
      <c r="CC524" s="103"/>
      <c r="CD524" s="103"/>
      <c r="CE524" s="103"/>
      <c r="CF524" s="103"/>
      <c r="CG524" s="103"/>
      <c r="CH524" s="103"/>
      <c r="CI524" s="103"/>
      <c r="CJ524" s="103"/>
      <c r="CK524" s="103"/>
      <c r="CL524" s="103"/>
      <c r="CM524" s="103"/>
      <c r="CN524" s="103"/>
      <c r="CO524" s="103"/>
    </row>
    <row r="525" spans="1:93">
      <c r="A525" s="233"/>
      <c r="B525" s="101"/>
      <c r="C525" s="169"/>
      <c r="D525" s="69"/>
      <c r="E525" s="62"/>
      <c r="F525" s="70"/>
      <c r="G525" s="11"/>
      <c r="H525" s="69"/>
      <c r="I525" s="69"/>
      <c r="J525" s="69"/>
      <c r="K525" s="69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  <c r="AA525" s="103"/>
      <c r="AB525" s="103"/>
      <c r="AC525" s="103"/>
      <c r="AD525" s="103"/>
      <c r="AE525" s="103"/>
      <c r="AF525" s="103"/>
      <c r="AG525" s="103"/>
      <c r="AH525" s="103"/>
      <c r="AI525" s="103"/>
      <c r="AJ525" s="103"/>
      <c r="AK525" s="103"/>
      <c r="AL525" s="103"/>
      <c r="AM525" s="103"/>
      <c r="AN525" s="103"/>
      <c r="AO525" s="103"/>
      <c r="AP525" s="103"/>
      <c r="AQ525" s="103"/>
      <c r="AR525" s="103"/>
      <c r="AS525" s="103"/>
      <c r="AT525" s="103"/>
      <c r="AU525" s="103"/>
      <c r="AV525" s="103"/>
      <c r="AW525" s="103"/>
      <c r="AX525" s="103"/>
      <c r="AY525" s="103"/>
      <c r="AZ525" s="103"/>
      <c r="BA525" s="103"/>
      <c r="BB525" s="103"/>
      <c r="BC525" s="103"/>
      <c r="BD525" s="103"/>
      <c r="BE525" s="103"/>
      <c r="BF525" s="103"/>
      <c r="BG525" s="103"/>
      <c r="BH525" s="103"/>
      <c r="BI525" s="103"/>
      <c r="BJ525" s="103"/>
      <c r="BK525" s="103"/>
      <c r="BL525" s="103"/>
      <c r="BM525" s="103"/>
      <c r="BN525" s="103"/>
      <c r="BO525" s="103"/>
      <c r="BP525" s="103"/>
      <c r="BQ525" s="103"/>
      <c r="BR525" s="103"/>
      <c r="BS525" s="103"/>
      <c r="BT525" s="103"/>
      <c r="BU525" s="103"/>
      <c r="BV525" s="103"/>
      <c r="BW525" s="103"/>
      <c r="BX525" s="103"/>
      <c r="BY525" s="103"/>
      <c r="BZ525" s="103"/>
      <c r="CA525" s="103"/>
      <c r="CB525" s="103"/>
      <c r="CC525" s="103"/>
      <c r="CD525" s="103"/>
      <c r="CE525" s="103"/>
      <c r="CF525" s="103"/>
      <c r="CG525" s="103"/>
      <c r="CH525" s="103"/>
      <c r="CI525" s="103"/>
      <c r="CJ525" s="103"/>
      <c r="CK525" s="103"/>
      <c r="CL525" s="103"/>
      <c r="CM525" s="103"/>
      <c r="CN525" s="103"/>
      <c r="CO525" s="103"/>
    </row>
    <row r="526" spans="1:93">
      <c r="A526" s="233"/>
      <c r="B526" s="101"/>
      <c r="C526" s="17" t="s">
        <v>654</v>
      </c>
      <c r="D526" s="69"/>
      <c r="E526" s="107">
        <f xml:space="preserve"> (E522 - E523) / E524</f>
        <v>1.3680555555555552E-2</v>
      </c>
      <c r="F526" s="70"/>
      <c r="G526" s="11" t="s">
        <v>28</v>
      </c>
      <c r="H526" s="69"/>
      <c r="I526" s="69"/>
      <c r="J526" s="69"/>
      <c r="K526" s="69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  <c r="AA526" s="103"/>
      <c r="AB526" s="103"/>
      <c r="AC526" s="103"/>
      <c r="AD526" s="103"/>
      <c r="AE526" s="103"/>
      <c r="AF526" s="103"/>
      <c r="AG526" s="103"/>
      <c r="AH526" s="103"/>
      <c r="AI526" s="103"/>
      <c r="AJ526" s="103"/>
      <c r="AK526" s="103"/>
      <c r="AL526" s="103"/>
      <c r="AM526" s="103"/>
      <c r="AN526" s="103"/>
      <c r="AO526" s="103"/>
      <c r="AP526" s="103"/>
      <c r="AQ526" s="103"/>
      <c r="AR526" s="103"/>
      <c r="AS526" s="103"/>
      <c r="AT526" s="103"/>
      <c r="AU526" s="103"/>
      <c r="AV526" s="103"/>
      <c r="AW526" s="103"/>
      <c r="AX526" s="103"/>
      <c r="AY526" s="103"/>
      <c r="AZ526" s="103"/>
      <c r="BA526" s="103"/>
      <c r="BB526" s="103"/>
      <c r="BC526" s="103"/>
      <c r="BD526" s="103"/>
      <c r="BE526" s="103"/>
      <c r="BF526" s="103"/>
      <c r="BG526" s="103"/>
      <c r="BH526" s="103"/>
      <c r="BI526" s="103"/>
      <c r="BJ526" s="103"/>
      <c r="BK526" s="103"/>
      <c r="BL526" s="103"/>
      <c r="BM526" s="103"/>
      <c r="BN526" s="103"/>
      <c r="BO526" s="103"/>
      <c r="BP526" s="103"/>
      <c r="BQ526" s="103"/>
      <c r="BR526" s="103"/>
      <c r="BS526" s="103"/>
      <c r="BT526" s="103"/>
      <c r="BU526" s="103"/>
      <c r="BV526" s="103"/>
      <c r="BW526" s="103"/>
      <c r="BX526" s="103"/>
      <c r="BY526" s="103"/>
      <c r="BZ526" s="103"/>
      <c r="CA526" s="103"/>
      <c r="CB526" s="103"/>
      <c r="CC526" s="103"/>
      <c r="CD526" s="103"/>
      <c r="CE526" s="103"/>
      <c r="CF526" s="103"/>
      <c r="CG526" s="103"/>
      <c r="CH526" s="103"/>
      <c r="CI526" s="103"/>
      <c r="CJ526" s="103"/>
      <c r="CK526" s="103"/>
      <c r="CL526" s="103"/>
      <c r="CM526" s="103"/>
      <c r="CN526" s="103"/>
      <c r="CO526" s="103"/>
    </row>
    <row r="527" spans="1:93">
      <c r="A527" s="233"/>
      <c r="B527" s="101"/>
      <c r="C527" s="169"/>
      <c r="D527" s="69"/>
      <c r="E527" s="62"/>
      <c r="F527" s="70"/>
      <c r="G527" s="11"/>
      <c r="H527" s="69"/>
      <c r="I527" s="69"/>
      <c r="J527" s="69"/>
      <c r="K527" s="69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  <c r="AA527" s="103"/>
      <c r="AB527" s="103"/>
      <c r="AC527" s="103"/>
      <c r="AD527" s="103"/>
      <c r="AE527" s="103"/>
      <c r="AF527" s="103"/>
      <c r="AG527" s="103"/>
      <c r="AH527" s="103"/>
      <c r="AI527" s="103"/>
      <c r="AJ527" s="103"/>
      <c r="AK527" s="103"/>
      <c r="AL527" s="103"/>
      <c r="AM527" s="103"/>
      <c r="AN527" s="103"/>
      <c r="AO527" s="103"/>
      <c r="AP527" s="103"/>
      <c r="AQ527" s="103"/>
      <c r="AR527" s="103"/>
      <c r="AS527" s="103"/>
      <c r="AT527" s="103"/>
      <c r="AU527" s="103"/>
      <c r="AV527" s="103"/>
      <c r="AW527" s="103"/>
      <c r="AX527" s="103"/>
      <c r="AY527" s="103"/>
      <c r="AZ527" s="103"/>
      <c r="BA527" s="103"/>
      <c r="BB527" s="103"/>
      <c r="BC527" s="103"/>
      <c r="BD527" s="103"/>
      <c r="BE527" s="103"/>
      <c r="BF527" s="103"/>
      <c r="BG527" s="103"/>
      <c r="BH527" s="103"/>
      <c r="BI527" s="103"/>
      <c r="BJ527" s="103"/>
      <c r="BK527" s="103"/>
      <c r="BL527" s="103"/>
      <c r="BM527" s="103"/>
      <c r="BN527" s="103"/>
      <c r="BO527" s="103"/>
      <c r="BP527" s="103"/>
      <c r="BQ527" s="103"/>
      <c r="BR527" s="103"/>
      <c r="BS527" s="103"/>
      <c r="BT527" s="103"/>
      <c r="BU527" s="103"/>
      <c r="BV527" s="103"/>
      <c r="BW527" s="103"/>
      <c r="BX527" s="103"/>
      <c r="BY527" s="103"/>
      <c r="BZ527" s="103"/>
      <c r="CA527" s="103"/>
      <c r="CB527" s="103"/>
      <c r="CC527" s="103"/>
      <c r="CD527" s="103"/>
      <c r="CE527" s="103"/>
      <c r="CF527" s="103"/>
      <c r="CG527" s="103"/>
      <c r="CH527" s="103"/>
      <c r="CI527" s="103"/>
      <c r="CJ527" s="103"/>
      <c r="CK527" s="103"/>
      <c r="CL527" s="103"/>
      <c r="CM527" s="103"/>
      <c r="CN527" s="103"/>
      <c r="CO527" s="103"/>
    </row>
    <row r="528" spans="1:93">
      <c r="A528" s="233"/>
      <c r="B528" s="101"/>
      <c r="C528" s="17" t="s">
        <v>1148</v>
      </c>
      <c r="D528" s="69"/>
      <c r="E528" s="62"/>
      <c r="F528" s="70"/>
      <c r="G528" s="11" t="s">
        <v>28</v>
      </c>
      <c r="H528" s="69"/>
      <c r="I528" s="69"/>
      <c r="J528" s="69"/>
      <c r="K528" s="69"/>
      <c r="L528" s="144">
        <f t="shared" ref="L528:AQ528" si="783">MIN((Flag_First_Operations*$E$523+(Flag_First_Operations&lt;&gt;1)*(K528+$E$526))*Flag_Operations,$E$522)</f>
        <v>0</v>
      </c>
      <c r="M528" s="144">
        <f t="shared" si="783"/>
        <v>0</v>
      </c>
      <c r="N528" s="144">
        <f t="shared" si="783"/>
        <v>0</v>
      </c>
      <c r="O528" s="144">
        <f t="shared" si="783"/>
        <v>0</v>
      </c>
      <c r="P528" s="144">
        <f t="shared" si="783"/>
        <v>0</v>
      </c>
      <c r="Q528" s="144">
        <f t="shared" si="783"/>
        <v>0</v>
      </c>
      <c r="R528" s="144">
        <f t="shared" si="783"/>
        <v>0</v>
      </c>
      <c r="S528" s="144">
        <f t="shared" si="783"/>
        <v>0</v>
      </c>
      <c r="T528" s="144">
        <f t="shared" si="783"/>
        <v>0</v>
      </c>
      <c r="U528" s="144">
        <f t="shared" si="783"/>
        <v>0</v>
      </c>
      <c r="V528" s="144">
        <f t="shared" si="783"/>
        <v>0</v>
      </c>
      <c r="W528" s="144">
        <f t="shared" si="783"/>
        <v>0</v>
      </c>
      <c r="X528" s="144">
        <f t="shared" si="783"/>
        <v>0</v>
      </c>
      <c r="Y528" s="144">
        <f t="shared" si="783"/>
        <v>0</v>
      </c>
      <c r="Z528" s="144">
        <f t="shared" si="783"/>
        <v>0</v>
      </c>
      <c r="AA528" s="144">
        <f t="shared" si="783"/>
        <v>0</v>
      </c>
      <c r="AB528" s="144">
        <f t="shared" si="783"/>
        <v>0</v>
      </c>
      <c r="AC528" s="144">
        <f t="shared" si="783"/>
        <v>0.45</v>
      </c>
      <c r="AD528" s="144">
        <f t="shared" si="783"/>
        <v>0.46368055555555554</v>
      </c>
      <c r="AE528" s="144">
        <f t="shared" si="783"/>
        <v>0.47736111111111107</v>
      </c>
      <c r="AF528" s="144">
        <f t="shared" si="783"/>
        <v>0.4910416666666666</v>
      </c>
      <c r="AG528" s="144">
        <f t="shared" si="783"/>
        <v>0.50472222222222218</v>
      </c>
      <c r="AH528" s="144">
        <f t="shared" si="783"/>
        <v>0.51840277777777777</v>
      </c>
      <c r="AI528" s="144">
        <f t="shared" si="783"/>
        <v>0.53208333333333335</v>
      </c>
      <c r="AJ528" s="144">
        <f t="shared" si="783"/>
        <v>0.54576388888888894</v>
      </c>
      <c r="AK528" s="144">
        <f t="shared" si="783"/>
        <v>0.55944444444444452</v>
      </c>
      <c r="AL528" s="144">
        <f t="shared" si="783"/>
        <v>0.57312500000000011</v>
      </c>
      <c r="AM528" s="144">
        <f t="shared" si="783"/>
        <v>0.58680555555555569</v>
      </c>
      <c r="AN528" s="144">
        <f t="shared" si="783"/>
        <v>0.60048611111111128</v>
      </c>
      <c r="AO528" s="144">
        <f t="shared" si="783"/>
        <v>0.61416666666666664</v>
      </c>
      <c r="AP528" s="144">
        <f t="shared" si="783"/>
        <v>0.61416666666666664</v>
      </c>
      <c r="AQ528" s="144">
        <f t="shared" si="783"/>
        <v>0.61416666666666664</v>
      </c>
      <c r="AR528" s="144">
        <f t="shared" ref="AR528:BW528" si="784">MIN((Flag_First_Operations*$E$523+(Flag_First_Operations&lt;&gt;1)*(AQ528+$E$526))*Flag_Operations,$E$522)</f>
        <v>0.61416666666666664</v>
      </c>
      <c r="AS528" s="144">
        <f t="shared" si="784"/>
        <v>0.61416666666666664</v>
      </c>
      <c r="AT528" s="144">
        <f t="shared" si="784"/>
        <v>0.61416666666666664</v>
      </c>
      <c r="AU528" s="144">
        <f t="shared" si="784"/>
        <v>0.61416666666666664</v>
      </c>
      <c r="AV528" s="144">
        <f t="shared" si="784"/>
        <v>0.61416666666666664</v>
      </c>
      <c r="AW528" s="144">
        <f t="shared" si="784"/>
        <v>0.61416666666666664</v>
      </c>
      <c r="AX528" s="144">
        <f t="shared" si="784"/>
        <v>0.61416666666666664</v>
      </c>
      <c r="AY528" s="144">
        <f t="shared" si="784"/>
        <v>0.61416666666666664</v>
      </c>
      <c r="AZ528" s="144">
        <f t="shared" si="784"/>
        <v>0.61416666666666664</v>
      </c>
      <c r="BA528" s="144">
        <f t="shared" si="784"/>
        <v>0.61416666666666664</v>
      </c>
      <c r="BB528" s="144">
        <f t="shared" si="784"/>
        <v>0.61416666666666664</v>
      </c>
      <c r="BC528" s="144">
        <f t="shared" si="784"/>
        <v>0.61416666666666664</v>
      </c>
      <c r="BD528" s="144">
        <f t="shared" si="784"/>
        <v>0.61416666666666664</v>
      </c>
      <c r="BE528" s="144">
        <f t="shared" si="784"/>
        <v>0.61416666666666664</v>
      </c>
      <c r="BF528" s="144">
        <f t="shared" si="784"/>
        <v>0.61416666666666664</v>
      </c>
      <c r="BG528" s="144">
        <f t="shared" si="784"/>
        <v>0.61416666666666664</v>
      </c>
      <c r="BH528" s="144">
        <f t="shared" si="784"/>
        <v>0.61416666666666664</v>
      </c>
      <c r="BI528" s="144">
        <f t="shared" si="784"/>
        <v>0.61416666666666664</v>
      </c>
      <c r="BJ528" s="144">
        <f t="shared" si="784"/>
        <v>0.61416666666666664</v>
      </c>
      <c r="BK528" s="144">
        <f t="shared" si="784"/>
        <v>0.61416666666666664</v>
      </c>
      <c r="BL528" s="144">
        <f t="shared" si="784"/>
        <v>0.61416666666666664</v>
      </c>
      <c r="BM528" s="144">
        <f t="shared" si="784"/>
        <v>0.61416666666666664</v>
      </c>
      <c r="BN528" s="144">
        <f t="shared" si="784"/>
        <v>0.61416666666666664</v>
      </c>
      <c r="BO528" s="144">
        <f t="shared" si="784"/>
        <v>0.61416666666666664</v>
      </c>
      <c r="BP528" s="144">
        <f t="shared" si="784"/>
        <v>0.61416666666666664</v>
      </c>
      <c r="BQ528" s="144">
        <f t="shared" si="784"/>
        <v>0.61416666666666664</v>
      </c>
      <c r="BR528" s="144">
        <f t="shared" si="784"/>
        <v>0.61416666666666664</v>
      </c>
      <c r="BS528" s="144">
        <f t="shared" si="784"/>
        <v>0.61416666666666664</v>
      </c>
      <c r="BT528" s="144">
        <f t="shared" si="784"/>
        <v>0.61416666666666664</v>
      </c>
      <c r="BU528" s="144">
        <f t="shared" si="784"/>
        <v>0.61416666666666664</v>
      </c>
      <c r="BV528" s="144">
        <f t="shared" si="784"/>
        <v>0.61416666666666664</v>
      </c>
      <c r="BW528" s="144">
        <f t="shared" si="784"/>
        <v>0.61416666666666664</v>
      </c>
      <c r="BX528" s="144">
        <f t="shared" ref="BX528:CO528" si="785">MIN((Flag_First_Operations*$E$523+(Flag_First_Operations&lt;&gt;1)*(BW528+$E$526))*Flag_Operations,$E$522)</f>
        <v>0.61416666666666664</v>
      </c>
      <c r="BY528" s="144">
        <f t="shared" si="785"/>
        <v>0.61416666666666664</v>
      </c>
      <c r="BZ528" s="144">
        <f t="shared" si="785"/>
        <v>0.61416666666666664</v>
      </c>
      <c r="CA528" s="144">
        <f t="shared" si="785"/>
        <v>0.61416666666666664</v>
      </c>
      <c r="CB528" s="144">
        <f t="shared" si="785"/>
        <v>0.61416666666666664</v>
      </c>
      <c r="CC528" s="144">
        <f t="shared" si="785"/>
        <v>0.61416666666666664</v>
      </c>
      <c r="CD528" s="144">
        <f t="shared" si="785"/>
        <v>0.61416666666666664</v>
      </c>
      <c r="CE528" s="144">
        <f t="shared" si="785"/>
        <v>0.61416666666666664</v>
      </c>
      <c r="CF528" s="144">
        <f t="shared" si="785"/>
        <v>0.61416666666666664</v>
      </c>
      <c r="CG528" s="144">
        <f t="shared" si="785"/>
        <v>0.61416666666666664</v>
      </c>
      <c r="CH528" s="144">
        <f t="shared" si="785"/>
        <v>0.61416666666666664</v>
      </c>
      <c r="CI528" s="144">
        <f t="shared" si="785"/>
        <v>0.61416666666666664</v>
      </c>
      <c r="CJ528" s="144">
        <f t="shared" si="785"/>
        <v>0.61416666666666664</v>
      </c>
      <c r="CK528" s="144">
        <f t="shared" si="785"/>
        <v>0.61416666666666664</v>
      </c>
      <c r="CL528" s="144">
        <f t="shared" si="785"/>
        <v>0.61416666666666664</v>
      </c>
      <c r="CM528" s="144">
        <f t="shared" si="785"/>
        <v>0.61416666666666664</v>
      </c>
      <c r="CN528" s="144">
        <f t="shared" si="785"/>
        <v>0.61416666666666664</v>
      </c>
      <c r="CO528" s="144">
        <f t="shared" si="785"/>
        <v>0.61416666666666664</v>
      </c>
    </row>
    <row r="529" spans="1:94">
      <c r="A529" s="233"/>
      <c r="B529" s="101"/>
      <c r="C529" s="17" t="s">
        <v>1147</v>
      </c>
      <c r="D529" s="69"/>
      <c r="E529" s="62"/>
      <c r="F529" s="70"/>
      <c r="G529" s="11" t="s">
        <v>28</v>
      </c>
      <c r="H529" s="69"/>
      <c r="I529" s="69"/>
      <c r="J529" s="69"/>
      <c r="K529" s="69"/>
      <c r="L529" s="144">
        <f>SUMIF(Предпосылки!$L$388:$O$388,MONTH(End_of_period)/3,Предпосылки!$L$389:$O$389)*Periods_in_Year/Предпосылки!$H$389*Flag_Operations</f>
        <v>0</v>
      </c>
      <c r="M529" s="144">
        <f>SUMIF(Предпосылки!$L$388:$O$388,MONTH(End_of_period)/3,Предпосылки!$L$389:$O$389)*Periods_in_Year/Предпосылки!$H$389*Flag_Operations</f>
        <v>0</v>
      </c>
      <c r="N529" s="144">
        <f>SUMIF(Предпосылки!$L$388:$O$388,MONTH(End_of_period)/3,Предпосылки!$L$389:$O$389)*Periods_in_Year/Предпосылки!$H$389*Flag_Operations</f>
        <v>0</v>
      </c>
      <c r="O529" s="144">
        <f>SUMIF(Предпосылки!$L$388:$O$388,MONTH(End_of_period)/3,Предпосылки!$L$389:$O$389)*Periods_in_Year/Предпосылки!$H$389*Flag_Operations</f>
        <v>0</v>
      </c>
      <c r="P529" s="144">
        <f>SUMIF(Предпосылки!$L$388:$O$388,MONTH(End_of_period)/3,Предпосылки!$L$389:$O$389)*Periods_in_Year/Предпосылки!$H$389*Flag_Operations</f>
        <v>0</v>
      </c>
      <c r="Q529" s="144">
        <f>SUMIF(Предпосылки!$L$388:$O$388,MONTH(End_of_period)/3,Предпосылки!$L$389:$O$389)*Periods_in_Year/Предпосылки!$H$389*Flag_Operations</f>
        <v>0</v>
      </c>
      <c r="R529" s="144">
        <f>SUMIF(Предпосылки!$L$388:$O$388,MONTH(End_of_period)/3,Предпосылки!$L$389:$O$389)*Periods_in_Year/Предпосылки!$H$389*Flag_Operations</f>
        <v>0</v>
      </c>
      <c r="S529" s="144">
        <f>SUMIF(Предпосылки!$L$388:$O$388,MONTH(End_of_period)/3,Предпосылки!$L$389:$O$389)*Periods_in_Year/Предпосылки!$H$389*Flag_Operations</f>
        <v>0</v>
      </c>
      <c r="T529" s="144">
        <f>SUMIF(Предпосылки!$L$388:$O$388,MONTH(End_of_period)/3,Предпосылки!$L$389:$O$389)*Periods_in_Year/Предпосылки!$H$389*Flag_Operations</f>
        <v>0</v>
      </c>
      <c r="U529" s="144">
        <f>SUMIF(Предпосылки!$L$388:$O$388,MONTH(End_of_period)/3,Предпосылки!$L$389:$O$389)*Periods_in_Year/Предпосылки!$H$389*Flag_Operations</f>
        <v>0</v>
      </c>
      <c r="V529" s="144">
        <f>SUMIF(Предпосылки!$L$388:$O$388,MONTH(End_of_period)/3,Предпосылки!$L$389:$O$389)*Periods_in_Year/Предпосылки!$H$389*Flag_Operations</f>
        <v>0</v>
      </c>
      <c r="W529" s="144">
        <f>SUMIF(Предпосылки!$L$388:$O$388,MONTH(End_of_period)/3,Предпосылки!$L$389:$O$389)*Periods_in_Year/Предпосылки!$H$389*Flag_Operations</f>
        <v>0</v>
      </c>
      <c r="X529" s="144">
        <f>SUMIF(Предпосылки!$L$388:$O$388,MONTH(End_of_period)/3,Предпосылки!$L$389:$O$389)*Periods_in_Year/Предпосылки!$H$389*Flag_Operations</f>
        <v>0</v>
      </c>
      <c r="Y529" s="144">
        <f>SUMIF(Предпосылки!$L$388:$O$388,MONTH(End_of_period)/3,Предпосылки!$L$389:$O$389)*Periods_in_Year/Предпосылки!$H$389*Flag_Operations</f>
        <v>0</v>
      </c>
      <c r="Z529" s="144">
        <f>SUMIF(Предпосылки!$L$388:$O$388,MONTH(End_of_period)/3,Предпосылки!$L$389:$O$389)*Periods_in_Year/Предпосылки!$H$389*Flag_Operations</f>
        <v>0</v>
      </c>
      <c r="AA529" s="144">
        <f>SUMIF(Предпосылки!$L$388:$O$388,MONTH(End_of_period)/3,Предпосылки!$L$389:$O$389)*Periods_in_Year/Предпосылки!$H$389*Flag_Operations</f>
        <v>0</v>
      </c>
      <c r="AB529" s="144">
        <f>SUMIF(Предпосылки!$L$388:$O$388,MONTH(End_of_period)/3,Предпосылки!$L$389:$O$389)*Periods_in_Year/Предпосылки!$H$389*Flag_Operations</f>
        <v>0</v>
      </c>
      <c r="AC529" s="144">
        <f>SUMIF(Предпосылки!$L$388:$O$388,MONTH(End_of_period)/3,Предпосылки!$L$389:$O$389)*Periods_in_Year/Предпосылки!$H$389*Flag_Operations</f>
        <v>1.0444929408096915</v>
      </c>
      <c r="AD529" s="144">
        <f>SUMIF(Предпосылки!$L$388:$O$388,MONTH(End_of_period)/3,Предпосылки!$L$389:$O$389)*Periods_in_Year/Предпосылки!$H$389*Flag_Operations</f>
        <v>1.490936623168396</v>
      </c>
      <c r="AE529" s="144">
        <f>SUMIF(Предпосылки!$L$388:$O$388,MONTH(End_of_period)/3,Предпосылки!$L$389:$O$389)*Periods_in_Year/Предпосылки!$H$389*Flag_Operations</f>
        <v>0.75410858237206613</v>
      </c>
      <c r="AF529" s="144">
        <f>SUMIF(Предпосылки!$L$388:$O$388,MONTH(End_of_period)/3,Предпосылки!$L$389:$O$389)*Periods_in_Year/Предпосылки!$H$389*Flag_Operations</f>
        <v>0.71046185364984638</v>
      </c>
      <c r="AG529" s="144">
        <f>SUMIF(Предпосылки!$L$388:$O$388,MONTH(End_of_period)/3,Предпосылки!$L$389:$O$389)*Periods_in_Year/Предпосылки!$H$389*Flag_Operations</f>
        <v>1.0444929408096915</v>
      </c>
      <c r="AH529" s="144">
        <f>SUMIF(Предпосылки!$L$388:$O$388,MONTH(End_of_period)/3,Предпосылки!$L$389:$O$389)*Periods_in_Year/Предпосылки!$H$389*Flag_Operations</f>
        <v>1.490936623168396</v>
      </c>
      <c r="AI529" s="144">
        <f>SUMIF(Предпосылки!$L$388:$O$388,MONTH(End_of_period)/3,Предпосылки!$L$389:$O$389)*Periods_in_Year/Предпосылки!$H$389*Flag_Operations</f>
        <v>0.75410858237206613</v>
      </c>
      <c r="AJ529" s="144">
        <f>SUMIF(Предпосылки!$L$388:$O$388,MONTH(End_of_period)/3,Предпосылки!$L$389:$O$389)*Periods_in_Year/Предпосылки!$H$389*Flag_Operations</f>
        <v>0.71046185364984638</v>
      </c>
      <c r="AK529" s="144">
        <f>SUMIF(Предпосылки!$L$388:$O$388,MONTH(End_of_period)/3,Предпосылки!$L$389:$O$389)*Periods_in_Year/Предпосылки!$H$389*Flag_Operations</f>
        <v>1.0444929408096915</v>
      </c>
      <c r="AL529" s="144">
        <f>SUMIF(Предпосылки!$L$388:$O$388,MONTH(End_of_period)/3,Предпосылки!$L$389:$O$389)*Periods_in_Year/Предпосылки!$H$389*Flag_Operations</f>
        <v>1.490936623168396</v>
      </c>
      <c r="AM529" s="144">
        <f>SUMIF(Предпосылки!$L$388:$O$388,MONTH(End_of_period)/3,Предпосылки!$L$389:$O$389)*Periods_in_Year/Предпосылки!$H$389*Flag_Operations</f>
        <v>0.75410858237206613</v>
      </c>
      <c r="AN529" s="144">
        <f>SUMIF(Предпосылки!$L$388:$O$388,MONTH(End_of_period)/3,Предпосылки!$L$389:$O$389)*Periods_in_Year/Предпосылки!$H$389*Flag_Operations</f>
        <v>0.71046185364984638</v>
      </c>
      <c r="AO529" s="144">
        <f>SUMIF(Предпосылки!$L$388:$O$388,MONTH(End_of_period)/3,Предпосылки!$L$389:$O$389)*Periods_in_Year/Предпосылки!$H$389*Flag_Operations</f>
        <v>1.0444929408096915</v>
      </c>
      <c r="AP529" s="144">
        <f>SUMIF(Предпосылки!$L$388:$O$388,MONTH(End_of_period)/3,Предпосылки!$L$389:$O$389)*Periods_in_Year/Предпосылки!$H$389*Flag_Operations</f>
        <v>1.490936623168396</v>
      </c>
      <c r="AQ529" s="144">
        <f>SUMIF(Предпосылки!$L$388:$O$388,MONTH(End_of_period)/3,Предпосылки!$L$389:$O$389)*Periods_in_Year/Предпосылки!$H$389*Flag_Operations</f>
        <v>0.75410858237206613</v>
      </c>
      <c r="AR529" s="144">
        <f>SUMIF(Предпосылки!$L$388:$O$388,MONTH(End_of_period)/3,Предпосылки!$L$389:$O$389)*Periods_in_Year/Предпосылки!$H$389*Flag_Operations</f>
        <v>0.71046185364984638</v>
      </c>
      <c r="AS529" s="144">
        <f>SUMIF(Предпосылки!$L$388:$O$388,MONTH(End_of_period)/3,Предпосылки!$L$389:$O$389)*Periods_in_Year/Предпосылки!$H$389*Flag_Operations</f>
        <v>1.0444929408096915</v>
      </c>
      <c r="AT529" s="144">
        <f>SUMIF(Предпосылки!$L$388:$O$388,MONTH(End_of_period)/3,Предпосылки!$L$389:$O$389)*Periods_in_Year/Предпосылки!$H$389*Flag_Operations</f>
        <v>1.490936623168396</v>
      </c>
      <c r="AU529" s="144">
        <f>SUMIF(Предпосылки!$L$388:$O$388,MONTH(End_of_period)/3,Предпосылки!$L$389:$O$389)*Periods_in_Year/Предпосылки!$H$389*Flag_Operations</f>
        <v>0.75410858237206613</v>
      </c>
      <c r="AV529" s="144">
        <f>SUMIF(Предпосылки!$L$388:$O$388,MONTH(End_of_period)/3,Предпосылки!$L$389:$O$389)*Periods_in_Year/Предпосылки!$H$389*Flag_Operations</f>
        <v>0.71046185364984638</v>
      </c>
      <c r="AW529" s="144">
        <f>SUMIF(Предпосылки!$L$388:$O$388,MONTH(End_of_period)/3,Предпосылки!$L$389:$O$389)*Periods_in_Year/Предпосылки!$H$389*Flag_Operations</f>
        <v>1.0444929408096915</v>
      </c>
      <c r="AX529" s="144">
        <f>SUMIF(Предпосылки!$L$388:$O$388,MONTH(End_of_period)/3,Предпосылки!$L$389:$O$389)*Periods_in_Year/Предпосылки!$H$389*Flag_Operations</f>
        <v>1.490936623168396</v>
      </c>
      <c r="AY529" s="144">
        <f>SUMIF(Предпосылки!$L$388:$O$388,MONTH(End_of_period)/3,Предпосылки!$L$389:$O$389)*Periods_in_Year/Предпосылки!$H$389*Flag_Operations</f>
        <v>0.75410858237206613</v>
      </c>
      <c r="AZ529" s="144">
        <f>SUMIF(Предпосылки!$L$388:$O$388,MONTH(End_of_period)/3,Предпосылки!$L$389:$O$389)*Periods_in_Year/Предпосылки!$H$389*Flag_Operations</f>
        <v>0.71046185364984638</v>
      </c>
      <c r="BA529" s="144">
        <f>SUMIF(Предпосылки!$L$388:$O$388,MONTH(End_of_period)/3,Предпосылки!$L$389:$O$389)*Periods_in_Year/Предпосылки!$H$389*Flag_Operations</f>
        <v>1.0444929408096915</v>
      </c>
      <c r="BB529" s="144">
        <f>SUMIF(Предпосылки!$L$388:$O$388,MONTH(End_of_period)/3,Предпосылки!$L$389:$O$389)*Periods_in_Year/Предпосылки!$H$389*Flag_Operations</f>
        <v>1.490936623168396</v>
      </c>
      <c r="BC529" s="144">
        <f>SUMIF(Предпосылки!$L$388:$O$388,MONTH(End_of_period)/3,Предпосылки!$L$389:$O$389)*Periods_in_Year/Предпосылки!$H$389*Flag_Operations</f>
        <v>0.75410858237206613</v>
      </c>
      <c r="BD529" s="144">
        <f>SUMIF(Предпосылки!$L$388:$O$388,MONTH(End_of_period)/3,Предпосылки!$L$389:$O$389)*Periods_in_Year/Предпосылки!$H$389*Flag_Operations</f>
        <v>0.71046185364984638</v>
      </c>
      <c r="BE529" s="144">
        <f>SUMIF(Предпосылки!$L$388:$O$388,MONTH(End_of_period)/3,Предпосылки!$L$389:$O$389)*Periods_in_Year/Предпосылки!$H$389*Flag_Operations</f>
        <v>1.0444929408096915</v>
      </c>
      <c r="BF529" s="144">
        <f>SUMIF(Предпосылки!$L$388:$O$388,MONTH(End_of_period)/3,Предпосылки!$L$389:$O$389)*Periods_in_Year/Предпосылки!$H$389*Flag_Operations</f>
        <v>1.490936623168396</v>
      </c>
      <c r="BG529" s="144">
        <f>SUMIF(Предпосылки!$L$388:$O$388,MONTH(End_of_period)/3,Предпосылки!$L$389:$O$389)*Periods_in_Year/Предпосылки!$H$389*Flag_Operations</f>
        <v>0.75410858237206613</v>
      </c>
      <c r="BH529" s="144">
        <f>SUMIF(Предпосылки!$L$388:$O$388,MONTH(End_of_period)/3,Предпосылки!$L$389:$O$389)*Periods_in_Year/Предпосылки!$H$389*Flag_Operations</f>
        <v>0.71046185364984638</v>
      </c>
      <c r="BI529" s="144">
        <f>SUMIF(Предпосылки!$L$388:$O$388,MONTH(End_of_period)/3,Предпосылки!$L$389:$O$389)*Periods_in_Year/Предпосылки!$H$389*Flag_Operations</f>
        <v>1.0444929408096915</v>
      </c>
      <c r="BJ529" s="144">
        <f>SUMIF(Предпосылки!$L$388:$O$388,MONTH(End_of_period)/3,Предпосылки!$L$389:$O$389)*Periods_in_Year/Предпосылки!$H$389*Flag_Operations</f>
        <v>1.490936623168396</v>
      </c>
      <c r="BK529" s="144">
        <f>SUMIF(Предпосылки!$L$388:$O$388,MONTH(End_of_period)/3,Предпосылки!$L$389:$O$389)*Periods_in_Year/Предпосылки!$H$389*Flag_Operations</f>
        <v>0.75410858237206613</v>
      </c>
      <c r="BL529" s="144">
        <f>SUMIF(Предпосылки!$L$388:$O$388,MONTH(End_of_period)/3,Предпосылки!$L$389:$O$389)*Periods_in_Year/Предпосылки!$H$389*Flag_Operations</f>
        <v>0.71046185364984638</v>
      </c>
      <c r="BM529" s="144">
        <f>SUMIF(Предпосылки!$L$388:$O$388,MONTH(End_of_period)/3,Предпосылки!$L$389:$O$389)*Periods_in_Year/Предпосылки!$H$389*Flag_Operations</f>
        <v>1.0444929408096915</v>
      </c>
      <c r="BN529" s="144">
        <f>SUMIF(Предпосылки!$L$388:$O$388,MONTH(End_of_period)/3,Предпосылки!$L$389:$O$389)*Periods_in_Year/Предпосылки!$H$389*Flag_Operations</f>
        <v>1.490936623168396</v>
      </c>
      <c r="BO529" s="144">
        <f>SUMIF(Предпосылки!$L$388:$O$388,MONTH(End_of_period)/3,Предпосылки!$L$389:$O$389)*Periods_in_Year/Предпосылки!$H$389*Flag_Operations</f>
        <v>0.75410858237206613</v>
      </c>
      <c r="BP529" s="144">
        <f>SUMIF(Предпосылки!$L$388:$O$388,MONTH(End_of_period)/3,Предпосылки!$L$389:$O$389)*Periods_in_Year/Предпосылки!$H$389*Flag_Operations</f>
        <v>0.71046185364984638</v>
      </c>
      <c r="BQ529" s="144">
        <f>SUMIF(Предпосылки!$L$388:$O$388,MONTH(End_of_period)/3,Предпосылки!$L$389:$O$389)*Periods_in_Year/Предпосылки!$H$389*Flag_Operations</f>
        <v>1.0444929408096915</v>
      </c>
      <c r="BR529" s="144">
        <f>SUMIF(Предпосылки!$L$388:$O$388,MONTH(End_of_period)/3,Предпосылки!$L$389:$O$389)*Periods_in_Year/Предпосылки!$H$389*Flag_Operations</f>
        <v>1.490936623168396</v>
      </c>
      <c r="BS529" s="144">
        <f>SUMIF(Предпосылки!$L$388:$O$388,MONTH(End_of_period)/3,Предпосылки!$L$389:$O$389)*Periods_in_Year/Предпосылки!$H$389*Flag_Operations</f>
        <v>0.75410858237206613</v>
      </c>
      <c r="BT529" s="144">
        <f>SUMIF(Предпосылки!$L$388:$O$388,MONTH(End_of_period)/3,Предпосылки!$L$389:$O$389)*Periods_in_Year/Предпосылки!$H$389*Flag_Operations</f>
        <v>0.71046185364984638</v>
      </c>
      <c r="BU529" s="144">
        <f>SUMIF(Предпосылки!$L$388:$O$388,MONTH(End_of_period)/3,Предпосылки!$L$389:$O$389)*Periods_in_Year/Предпосылки!$H$389*Flag_Operations</f>
        <v>1.0444929408096915</v>
      </c>
      <c r="BV529" s="144">
        <f>SUMIF(Предпосылки!$L$388:$O$388,MONTH(End_of_period)/3,Предпосылки!$L$389:$O$389)*Periods_in_Year/Предпосылки!$H$389*Flag_Operations</f>
        <v>1.490936623168396</v>
      </c>
      <c r="BW529" s="144">
        <f>SUMIF(Предпосылки!$L$388:$O$388,MONTH(End_of_period)/3,Предпосылки!$L$389:$O$389)*Periods_in_Year/Предпосылки!$H$389*Flag_Operations</f>
        <v>0.75410858237206613</v>
      </c>
      <c r="BX529" s="144">
        <f>SUMIF(Предпосылки!$L$388:$O$388,MONTH(End_of_period)/3,Предпосылки!$L$389:$O$389)*Periods_in_Year/Предпосылки!$H$389*Flag_Operations</f>
        <v>0.71046185364984638</v>
      </c>
      <c r="BY529" s="144">
        <f>SUMIF(Предпосылки!$L$388:$O$388,MONTH(End_of_period)/3,Предпосылки!$L$389:$O$389)*Periods_in_Year/Предпосылки!$H$389*Flag_Operations</f>
        <v>1.0444929408096915</v>
      </c>
      <c r="BZ529" s="144">
        <f>SUMIF(Предпосылки!$L$388:$O$388,MONTH(End_of_period)/3,Предпосылки!$L$389:$O$389)*Periods_in_Year/Предпосылки!$H$389*Flag_Operations</f>
        <v>1.490936623168396</v>
      </c>
      <c r="CA529" s="144">
        <f>SUMIF(Предпосылки!$L$388:$O$388,MONTH(End_of_period)/3,Предпосылки!$L$389:$O$389)*Periods_in_Year/Предпосылки!$H$389*Flag_Operations</f>
        <v>0.75410858237206613</v>
      </c>
      <c r="CB529" s="144">
        <f>SUMIF(Предпосылки!$L$388:$O$388,MONTH(End_of_period)/3,Предпосылки!$L$389:$O$389)*Periods_in_Year/Предпосылки!$H$389*Flag_Operations</f>
        <v>0.71046185364984638</v>
      </c>
      <c r="CC529" s="144">
        <f>SUMIF(Предпосылки!$L$388:$O$388,MONTH(End_of_period)/3,Предпосылки!$L$389:$O$389)*Periods_in_Year/Предпосылки!$H$389*Flag_Operations</f>
        <v>1.0444929408096915</v>
      </c>
      <c r="CD529" s="144">
        <f>SUMIF(Предпосылки!$L$388:$O$388,MONTH(End_of_period)/3,Предпосылки!$L$389:$O$389)*Periods_in_Year/Предпосылки!$H$389*Flag_Operations</f>
        <v>1.490936623168396</v>
      </c>
      <c r="CE529" s="144">
        <f>SUMIF(Предпосылки!$L$388:$O$388,MONTH(End_of_period)/3,Предпосылки!$L$389:$O$389)*Periods_in_Year/Предпосылки!$H$389*Flag_Operations</f>
        <v>0.75410858237206613</v>
      </c>
      <c r="CF529" s="144">
        <f>SUMIF(Предпосылки!$L$388:$O$388,MONTH(End_of_period)/3,Предпосылки!$L$389:$O$389)*Periods_in_Year/Предпосылки!$H$389*Flag_Operations</f>
        <v>0.71046185364984638</v>
      </c>
      <c r="CG529" s="144">
        <f>SUMIF(Предпосылки!$L$388:$O$388,MONTH(End_of_period)/3,Предпосылки!$L$389:$O$389)*Periods_in_Year/Предпосылки!$H$389*Flag_Operations</f>
        <v>1.0444929408096915</v>
      </c>
      <c r="CH529" s="144">
        <f>SUMIF(Предпосылки!$L$388:$O$388,MONTH(End_of_period)/3,Предпосылки!$L$389:$O$389)*Periods_in_Year/Предпосылки!$H$389*Flag_Operations</f>
        <v>1.490936623168396</v>
      </c>
      <c r="CI529" s="144">
        <f>SUMIF(Предпосылки!$L$388:$O$388,MONTH(End_of_period)/3,Предпосылки!$L$389:$O$389)*Periods_in_Year/Предпосылки!$H$389*Flag_Operations</f>
        <v>0.75410858237206613</v>
      </c>
      <c r="CJ529" s="144">
        <f>SUMIF(Предпосылки!$L$388:$O$388,MONTH(End_of_period)/3,Предпосылки!$L$389:$O$389)*Periods_in_Year/Предпосылки!$H$389*Flag_Operations</f>
        <v>0.71046185364984638</v>
      </c>
      <c r="CK529" s="144">
        <f>SUMIF(Предпосылки!$L$388:$O$388,MONTH(End_of_period)/3,Предпосылки!$L$389:$O$389)*Periods_in_Year/Предпосылки!$H$389*Flag_Operations</f>
        <v>1.0444929408096915</v>
      </c>
      <c r="CL529" s="144">
        <f>SUMIF(Предпосылки!$L$388:$O$388,MONTH(End_of_period)/3,Предпосылки!$L$389:$O$389)*Periods_in_Year/Предпосылки!$H$389*Flag_Operations</f>
        <v>1.490936623168396</v>
      </c>
      <c r="CM529" s="144">
        <f>SUMIF(Предпосылки!$L$388:$O$388,MONTH(End_of_period)/3,Предпосылки!$L$389:$O$389)*Periods_in_Year/Предпосылки!$H$389*Flag_Operations</f>
        <v>0.75410858237206613</v>
      </c>
      <c r="CN529" s="144">
        <f>SUMIF(Предпосылки!$L$388:$O$388,MONTH(End_of_period)/3,Предпосылки!$L$389:$O$389)*Periods_in_Year/Предпосылки!$H$389*Flag_Operations</f>
        <v>0.71046185364984638</v>
      </c>
      <c r="CO529" s="144">
        <f>SUMIF(Предпосылки!$L$388:$O$388,MONTH(End_of_period)/3,Предпосылки!$L$389:$O$389)*Periods_in_Year/Предпосылки!$H$389*Flag_Operations</f>
        <v>1.0444929408096915</v>
      </c>
      <c r="CP529" s="144"/>
    </row>
    <row r="530" spans="1:94">
      <c r="A530" s="233"/>
      <c r="B530" s="101"/>
      <c r="C530" s="17" t="s">
        <v>660</v>
      </c>
      <c r="D530" s="69"/>
      <c r="E530" s="184">
        <f xml:space="preserve"> Предпосылки!E111</f>
        <v>120</v>
      </c>
      <c r="F530" s="70"/>
      <c r="G530" s="11" t="s">
        <v>641</v>
      </c>
      <c r="H530" s="69"/>
      <c r="I530" s="69"/>
      <c r="J530" s="69"/>
      <c r="K530" s="69"/>
      <c r="L530" s="10">
        <f t="shared" ref="L530:BW530" si="786" xml:space="preserve"> $E$530 * (Flag_Operations)</f>
        <v>0</v>
      </c>
      <c r="M530" s="10">
        <f t="shared" si="786"/>
        <v>0</v>
      </c>
      <c r="N530" s="10">
        <f t="shared" si="786"/>
        <v>0</v>
      </c>
      <c r="O530" s="10">
        <f t="shared" si="786"/>
        <v>0</v>
      </c>
      <c r="P530" s="10">
        <f t="shared" si="786"/>
        <v>0</v>
      </c>
      <c r="Q530" s="10">
        <f t="shared" si="786"/>
        <v>0</v>
      </c>
      <c r="R530" s="10">
        <f t="shared" si="786"/>
        <v>0</v>
      </c>
      <c r="S530" s="10">
        <f t="shared" si="786"/>
        <v>0</v>
      </c>
      <c r="T530" s="10">
        <f t="shared" si="786"/>
        <v>0</v>
      </c>
      <c r="U530" s="10">
        <f t="shared" si="786"/>
        <v>0</v>
      </c>
      <c r="V530" s="10">
        <f t="shared" si="786"/>
        <v>0</v>
      </c>
      <c r="W530" s="10">
        <f t="shared" si="786"/>
        <v>0</v>
      </c>
      <c r="X530" s="10">
        <f t="shared" si="786"/>
        <v>0</v>
      </c>
      <c r="Y530" s="10">
        <f t="shared" si="786"/>
        <v>0</v>
      </c>
      <c r="Z530" s="10">
        <f t="shared" si="786"/>
        <v>0</v>
      </c>
      <c r="AA530" s="10">
        <f t="shared" si="786"/>
        <v>0</v>
      </c>
      <c r="AB530" s="10">
        <f t="shared" si="786"/>
        <v>0</v>
      </c>
      <c r="AC530" s="10">
        <f t="shared" si="786"/>
        <v>120</v>
      </c>
      <c r="AD530" s="10">
        <f t="shared" si="786"/>
        <v>120</v>
      </c>
      <c r="AE530" s="10">
        <f t="shared" si="786"/>
        <v>120</v>
      </c>
      <c r="AF530" s="10">
        <f t="shared" si="786"/>
        <v>120</v>
      </c>
      <c r="AG530" s="10">
        <f t="shared" si="786"/>
        <v>120</v>
      </c>
      <c r="AH530" s="10">
        <f t="shared" si="786"/>
        <v>120</v>
      </c>
      <c r="AI530" s="10">
        <f t="shared" si="786"/>
        <v>120</v>
      </c>
      <c r="AJ530" s="10">
        <f t="shared" si="786"/>
        <v>120</v>
      </c>
      <c r="AK530" s="10">
        <f t="shared" si="786"/>
        <v>120</v>
      </c>
      <c r="AL530" s="10">
        <f t="shared" si="786"/>
        <v>120</v>
      </c>
      <c r="AM530" s="10">
        <f t="shared" si="786"/>
        <v>120</v>
      </c>
      <c r="AN530" s="10">
        <f t="shared" si="786"/>
        <v>120</v>
      </c>
      <c r="AO530" s="10">
        <f t="shared" si="786"/>
        <v>120</v>
      </c>
      <c r="AP530" s="10">
        <f t="shared" si="786"/>
        <v>120</v>
      </c>
      <c r="AQ530" s="10">
        <f t="shared" si="786"/>
        <v>120</v>
      </c>
      <c r="AR530" s="10">
        <f t="shared" si="786"/>
        <v>120</v>
      </c>
      <c r="AS530" s="10">
        <f t="shared" si="786"/>
        <v>120</v>
      </c>
      <c r="AT530" s="10">
        <f t="shared" si="786"/>
        <v>120</v>
      </c>
      <c r="AU530" s="10">
        <f t="shared" si="786"/>
        <v>120</v>
      </c>
      <c r="AV530" s="10">
        <f t="shared" si="786"/>
        <v>120</v>
      </c>
      <c r="AW530" s="10">
        <f t="shared" si="786"/>
        <v>120</v>
      </c>
      <c r="AX530" s="10">
        <f t="shared" si="786"/>
        <v>120</v>
      </c>
      <c r="AY530" s="10">
        <f t="shared" si="786"/>
        <v>120</v>
      </c>
      <c r="AZ530" s="10">
        <f t="shared" si="786"/>
        <v>120</v>
      </c>
      <c r="BA530" s="10">
        <f t="shared" si="786"/>
        <v>120</v>
      </c>
      <c r="BB530" s="10">
        <f t="shared" si="786"/>
        <v>120</v>
      </c>
      <c r="BC530" s="10">
        <f t="shared" si="786"/>
        <v>120</v>
      </c>
      <c r="BD530" s="10">
        <f t="shared" si="786"/>
        <v>120</v>
      </c>
      <c r="BE530" s="10">
        <f t="shared" si="786"/>
        <v>120</v>
      </c>
      <c r="BF530" s="10">
        <f t="shared" si="786"/>
        <v>120</v>
      </c>
      <c r="BG530" s="10">
        <f t="shared" si="786"/>
        <v>120</v>
      </c>
      <c r="BH530" s="10">
        <f t="shared" si="786"/>
        <v>120</v>
      </c>
      <c r="BI530" s="10">
        <f t="shared" si="786"/>
        <v>120</v>
      </c>
      <c r="BJ530" s="10">
        <f t="shared" si="786"/>
        <v>120</v>
      </c>
      <c r="BK530" s="10">
        <f t="shared" si="786"/>
        <v>120</v>
      </c>
      <c r="BL530" s="10">
        <f t="shared" si="786"/>
        <v>120</v>
      </c>
      <c r="BM530" s="10">
        <f t="shared" si="786"/>
        <v>120</v>
      </c>
      <c r="BN530" s="10">
        <f t="shared" si="786"/>
        <v>120</v>
      </c>
      <c r="BO530" s="10">
        <f t="shared" si="786"/>
        <v>120</v>
      </c>
      <c r="BP530" s="10">
        <f t="shared" si="786"/>
        <v>120</v>
      </c>
      <c r="BQ530" s="10">
        <f t="shared" si="786"/>
        <v>120</v>
      </c>
      <c r="BR530" s="10">
        <f t="shared" si="786"/>
        <v>120</v>
      </c>
      <c r="BS530" s="10">
        <f t="shared" si="786"/>
        <v>120</v>
      </c>
      <c r="BT530" s="10">
        <f t="shared" si="786"/>
        <v>120</v>
      </c>
      <c r="BU530" s="10">
        <f t="shared" si="786"/>
        <v>120</v>
      </c>
      <c r="BV530" s="10">
        <f t="shared" si="786"/>
        <v>120</v>
      </c>
      <c r="BW530" s="10">
        <f t="shared" si="786"/>
        <v>120</v>
      </c>
      <c r="BX530" s="10">
        <f t="shared" ref="BX530:CO530" si="787" xml:space="preserve"> $E$530 * (Flag_Operations)</f>
        <v>120</v>
      </c>
      <c r="BY530" s="10">
        <f t="shared" si="787"/>
        <v>120</v>
      </c>
      <c r="BZ530" s="10">
        <f t="shared" si="787"/>
        <v>120</v>
      </c>
      <c r="CA530" s="10">
        <f t="shared" si="787"/>
        <v>120</v>
      </c>
      <c r="CB530" s="10">
        <f t="shared" si="787"/>
        <v>120</v>
      </c>
      <c r="CC530" s="10">
        <f t="shared" si="787"/>
        <v>120</v>
      </c>
      <c r="CD530" s="10">
        <f t="shared" si="787"/>
        <v>120</v>
      </c>
      <c r="CE530" s="10">
        <f t="shared" si="787"/>
        <v>120</v>
      </c>
      <c r="CF530" s="10">
        <f t="shared" si="787"/>
        <v>120</v>
      </c>
      <c r="CG530" s="10">
        <f t="shared" si="787"/>
        <v>120</v>
      </c>
      <c r="CH530" s="10">
        <f t="shared" si="787"/>
        <v>120</v>
      </c>
      <c r="CI530" s="10">
        <f t="shared" si="787"/>
        <v>120</v>
      </c>
      <c r="CJ530" s="10">
        <f t="shared" si="787"/>
        <v>120</v>
      </c>
      <c r="CK530" s="10">
        <f t="shared" si="787"/>
        <v>120</v>
      </c>
      <c r="CL530" s="10">
        <f t="shared" si="787"/>
        <v>120</v>
      </c>
      <c r="CM530" s="10">
        <f t="shared" si="787"/>
        <v>120</v>
      </c>
      <c r="CN530" s="10">
        <f t="shared" si="787"/>
        <v>120</v>
      </c>
      <c r="CO530" s="10">
        <f t="shared" si="787"/>
        <v>120</v>
      </c>
    </row>
    <row r="531" spans="1:94">
      <c r="A531" s="233"/>
      <c r="B531" s="101"/>
      <c r="C531" s="21" t="s">
        <v>752</v>
      </c>
      <c r="D531" s="69"/>
      <c r="E531" s="184">
        <f xml:space="preserve"> Предпосылки!E112</f>
        <v>104</v>
      </c>
      <c r="F531" s="70"/>
      <c r="G531" s="11" t="s">
        <v>641</v>
      </c>
      <c r="H531" s="69"/>
      <c r="I531" s="69"/>
      <c r="J531" s="69"/>
      <c r="K531" s="69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  <c r="BA531" s="10"/>
      <c r="BB531" s="10"/>
      <c r="BC531" s="10"/>
      <c r="BD531" s="10"/>
      <c r="BE531" s="10"/>
      <c r="BF531" s="10"/>
      <c r="BG531" s="10"/>
      <c r="BH531" s="10"/>
      <c r="BI531" s="10"/>
      <c r="BJ531" s="10"/>
      <c r="BK531" s="10"/>
      <c r="BL531" s="10"/>
      <c r="BM531" s="10"/>
      <c r="BN531" s="10"/>
      <c r="BO531" s="10"/>
      <c r="BP531" s="10"/>
      <c r="BQ531" s="10"/>
      <c r="BR531" s="10"/>
      <c r="BS531" s="10"/>
      <c r="BT531" s="10"/>
      <c r="BU531" s="10"/>
      <c r="BV531" s="10"/>
      <c r="BW531" s="10"/>
      <c r="BX531" s="10"/>
      <c r="BY531" s="10"/>
      <c r="BZ531" s="10"/>
      <c r="CA531" s="10"/>
      <c r="CB531" s="10"/>
      <c r="CC531" s="10"/>
      <c r="CD531" s="10"/>
      <c r="CE531" s="10"/>
      <c r="CF531" s="10"/>
      <c r="CG531" s="10"/>
      <c r="CH531" s="10"/>
      <c r="CI531" s="10"/>
      <c r="CJ531" s="10"/>
      <c r="CK531" s="10"/>
      <c r="CL531" s="10"/>
      <c r="CM531" s="10"/>
      <c r="CN531" s="10"/>
      <c r="CO531" s="10"/>
    </row>
    <row r="532" spans="1:94">
      <c r="A532" s="233"/>
      <c r="B532" s="101"/>
      <c r="C532" s="21" t="s">
        <v>1223</v>
      </c>
      <c r="D532" s="69"/>
      <c r="E532" s="184">
        <f xml:space="preserve"> Предпосылки!E113</f>
        <v>10</v>
      </c>
      <c r="F532" s="70"/>
      <c r="G532" s="11" t="s">
        <v>641</v>
      </c>
      <c r="H532" s="69"/>
      <c r="I532" s="69"/>
      <c r="J532" s="69"/>
      <c r="K532" s="69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  <c r="BA532" s="10"/>
      <c r="BB532" s="10"/>
      <c r="BC532" s="10"/>
      <c r="BD532" s="10"/>
      <c r="BE532" s="10"/>
      <c r="BF532" s="10"/>
      <c r="BG532" s="10"/>
      <c r="BH532" s="10"/>
      <c r="BI532" s="10"/>
      <c r="BJ532" s="10"/>
      <c r="BK532" s="10"/>
      <c r="BL532" s="10"/>
      <c r="BM532" s="10"/>
      <c r="BN532" s="10"/>
      <c r="BO532" s="10"/>
      <c r="BP532" s="10"/>
      <c r="BQ532" s="10"/>
      <c r="BR532" s="10"/>
      <c r="BS532" s="10"/>
      <c r="BT532" s="10"/>
      <c r="BU532" s="10"/>
      <c r="BV532" s="10"/>
      <c r="BW532" s="10"/>
      <c r="BX532" s="10"/>
      <c r="BY532" s="10"/>
      <c r="BZ532" s="10"/>
      <c r="CA532" s="10"/>
      <c r="CB532" s="10"/>
      <c r="CC532" s="10"/>
      <c r="CD532" s="10"/>
      <c r="CE532" s="10"/>
      <c r="CF532" s="10"/>
      <c r="CG532" s="10"/>
      <c r="CH532" s="10"/>
      <c r="CI532" s="10"/>
      <c r="CJ532" s="10"/>
      <c r="CK532" s="10"/>
      <c r="CL532" s="10"/>
      <c r="CM532" s="10"/>
      <c r="CN532" s="10"/>
      <c r="CO532" s="10"/>
    </row>
    <row r="533" spans="1:94">
      <c r="A533" s="233"/>
      <c r="B533" s="101"/>
      <c r="C533" s="21" t="s">
        <v>1224</v>
      </c>
      <c r="D533" s="69"/>
      <c r="E533" s="184">
        <f xml:space="preserve"> Предпосылки!E114</f>
        <v>6</v>
      </c>
      <c r="F533" s="70"/>
      <c r="G533" s="11" t="s">
        <v>641</v>
      </c>
      <c r="H533" s="69"/>
      <c r="I533" s="69"/>
      <c r="J533" s="69"/>
      <c r="K533" s="69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  <c r="BA533" s="10"/>
      <c r="BB533" s="10"/>
      <c r="BC533" s="10"/>
      <c r="BD533" s="10"/>
      <c r="BE533" s="10"/>
      <c r="BF533" s="10"/>
      <c r="BG533" s="10"/>
      <c r="BH533" s="10"/>
      <c r="BI533" s="10"/>
      <c r="BJ533" s="10"/>
      <c r="BK533" s="10"/>
      <c r="BL533" s="10"/>
      <c r="BM533" s="10"/>
      <c r="BN533" s="10"/>
      <c r="BO533" s="10"/>
      <c r="BP533" s="10"/>
      <c r="BQ533" s="10"/>
      <c r="BR533" s="10"/>
      <c r="BS533" s="10"/>
      <c r="BT533" s="10"/>
      <c r="BU533" s="10"/>
      <c r="BV533" s="10"/>
      <c r="BW533" s="10"/>
      <c r="BX533" s="10"/>
      <c r="BY533" s="10"/>
      <c r="BZ533" s="10"/>
      <c r="CA533" s="10"/>
      <c r="CB533" s="10"/>
      <c r="CC533" s="10"/>
      <c r="CD533" s="10"/>
      <c r="CE533" s="10"/>
      <c r="CF533" s="10"/>
      <c r="CG533" s="10"/>
      <c r="CH533" s="10"/>
      <c r="CI533" s="10"/>
      <c r="CJ533" s="10"/>
      <c r="CK533" s="10"/>
      <c r="CL533" s="10"/>
      <c r="CM533" s="10"/>
      <c r="CN533" s="10"/>
      <c r="CO533" s="10"/>
    </row>
    <row r="534" spans="1:94">
      <c r="A534" s="233"/>
      <c r="B534" s="101"/>
      <c r="C534" s="21" t="s">
        <v>1225</v>
      </c>
      <c r="D534" s="69"/>
      <c r="E534" s="184">
        <f xml:space="preserve"> Предпосылки!E115</f>
        <v>0</v>
      </c>
      <c r="F534" s="70"/>
      <c r="G534" s="11" t="s">
        <v>641</v>
      </c>
      <c r="H534" s="69"/>
      <c r="I534" s="69"/>
      <c r="J534" s="69"/>
      <c r="K534" s="69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</row>
    <row r="535" spans="1:94">
      <c r="A535" s="233"/>
      <c r="B535" s="101"/>
      <c r="C535" s="21" t="s">
        <v>1213</v>
      </c>
      <c r="D535" s="69"/>
      <c r="E535" s="184">
        <f xml:space="preserve"> Предпосылки!E116</f>
        <v>0</v>
      </c>
      <c r="F535" s="70"/>
      <c r="G535" s="11" t="s">
        <v>641</v>
      </c>
      <c r="H535" s="69"/>
      <c r="I535" s="69"/>
      <c r="J535" s="69"/>
      <c r="K535" s="69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  <c r="BA535" s="10"/>
      <c r="BB535" s="10"/>
      <c r="BC535" s="10"/>
      <c r="BD535" s="10"/>
      <c r="BE535" s="10"/>
      <c r="BF535" s="10"/>
      <c r="BG535" s="10"/>
      <c r="BH535" s="10"/>
      <c r="BI535" s="10"/>
      <c r="BJ535" s="10"/>
      <c r="BK535" s="10"/>
      <c r="BL535" s="10"/>
      <c r="BM535" s="10"/>
      <c r="BN535" s="10"/>
      <c r="BO535" s="10"/>
      <c r="BP535" s="10"/>
      <c r="BQ535" s="10"/>
      <c r="BR535" s="10"/>
      <c r="BS535" s="10"/>
      <c r="BT535" s="10"/>
      <c r="BU535" s="10"/>
      <c r="BV535" s="10"/>
      <c r="BW535" s="10"/>
      <c r="BX535" s="10"/>
      <c r="BY535" s="10"/>
      <c r="BZ535" s="10"/>
      <c r="CA535" s="10"/>
      <c r="CB535" s="10"/>
      <c r="CC535" s="10"/>
      <c r="CD535" s="10"/>
      <c r="CE535" s="10"/>
      <c r="CF535" s="10"/>
      <c r="CG535" s="10"/>
      <c r="CH535" s="10"/>
      <c r="CI535" s="10"/>
      <c r="CJ535" s="10"/>
      <c r="CK535" s="10"/>
      <c r="CL535" s="10"/>
      <c r="CM535" s="10"/>
      <c r="CN535" s="10"/>
      <c r="CO535" s="10"/>
    </row>
    <row r="536" spans="1:94">
      <c r="A536" s="233"/>
      <c r="B536" s="101"/>
      <c r="C536" s="21" t="s">
        <v>1296</v>
      </c>
      <c r="D536" s="69"/>
      <c r="E536" s="184">
        <f xml:space="preserve"> Предпосылки!E117</f>
        <v>0</v>
      </c>
      <c r="F536" s="70"/>
      <c r="G536" s="11" t="s">
        <v>641</v>
      </c>
      <c r="H536" s="69"/>
      <c r="I536" s="69"/>
      <c r="J536" s="69"/>
      <c r="K536" s="69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  <c r="BA536" s="10"/>
      <c r="BB536" s="10"/>
      <c r="BC536" s="10"/>
      <c r="BD536" s="10"/>
      <c r="BE536" s="10"/>
      <c r="BF536" s="10"/>
      <c r="BG536" s="10"/>
      <c r="BH536" s="10"/>
      <c r="BI536" s="10"/>
      <c r="BJ536" s="10"/>
      <c r="BK536" s="10"/>
      <c r="BL536" s="10"/>
      <c r="BM536" s="10"/>
      <c r="BN536" s="10"/>
      <c r="BO536" s="10"/>
      <c r="BP536" s="10"/>
      <c r="BQ536" s="10"/>
      <c r="BR536" s="10"/>
      <c r="BS536" s="10"/>
      <c r="BT536" s="10"/>
      <c r="BU536" s="10"/>
      <c r="BV536" s="10"/>
      <c r="BW536" s="10"/>
      <c r="BX536" s="10"/>
      <c r="BY536" s="10"/>
      <c r="BZ536" s="10"/>
      <c r="CA536" s="10"/>
      <c r="CB536" s="10"/>
      <c r="CC536" s="10"/>
      <c r="CD536" s="10"/>
      <c r="CE536" s="10"/>
      <c r="CF536" s="10"/>
      <c r="CG536" s="10"/>
      <c r="CH536" s="10"/>
      <c r="CI536" s="10"/>
      <c r="CJ536" s="10"/>
      <c r="CK536" s="10"/>
      <c r="CL536" s="10"/>
      <c r="CM536" s="10"/>
      <c r="CN536" s="10"/>
      <c r="CO536" s="10"/>
    </row>
    <row r="537" spans="1:94">
      <c r="A537" s="233"/>
      <c r="B537" s="101"/>
      <c r="C537" s="21" t="s">
        <v>1226</v>
      </c>
      <c r="D537" s="69"/>
      <c r="E537" s="184">
        <f xml:space="preserve"> Предпосылки!E118</f>
        <v>0</v>
      </c>
      <c r="F537" s="70"/>
      <c r="G537" s="11" t="s">
        <v>641</v>
      </c>
      <c r="H537" s="69"/>
      <c r="I537" s="69"/>
      <c r="J537" s="69"/>
      <c r="K537" s="69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  <c r="BA537" s="10"/>
      <c r="BB537" s="10"/>
      <c r="BC537" s="10"/>
      <c r="BD537" s="10"/>
      <c r="BE537" s="10"/>
      <c r="BF537" s="10"/>
      <c r="BG537" s="10"/>
      <c r="BH537" s="10"/>
      <c r="BI537" s="10"/>
      <c r="BJ537" s="10"/>
      <c r="BK537" s="10"/>
      <c r="BL537" s="10"/>
      <c r="BM537" s="10"/>
      <c r="BN537" s="10"/>
      <c r="BO537" s="10"/>
      <c r="BP537" s="10"/>
      <c r="BQ537" s="10"/>
      <c r="BR537" s="10"/>
      <c r="BS537" s="10"/>
      <c r="BT537" s="10"/>
      <c r="BU537" s="10"/>
      <c r="BV537" s="10"/>
      <c r="BW537" s="10"/>
      <c r="BX537" s="10"/>
      <c r="BY537" s="10"/>
      <c r="BZ537" s="10"/>
      <c r="CA537" s="10"/>
      <c r="CB537" s="10"/>
      <c r="CC537" s="10"/>
      <c r="CD537" s="10"/>
      <c r="CE537" s="10"/>
      <c r="CF537" s="10"/>
      <c r="CG537" s="10"/>
      <c r="CH537" s="10"/>
      <c r="CI537" s="10"/>
      <c r="CJ537" s="10"/>
      <c r="CK537" s="10"/>
      <c r="CL537" s="10"/>
      <c r="CM537" s="10"/>
      <c r="CN537" s="10"/>
      <c r="CO537" s="10"/>
    </row>
    <row r="538" spans="1:94">
      <c r="A538" s="233"/>
      <c r="B538" s="101"/>
      <c r="C538" s="21" t="s">
        <v>1227</v>
      </c>
      <c r="D538" s="69"/>
      <c r="E538" s="184">
        <f xml:space="preserve"> Предпосылки!E119</f>
        <v>0</v>
      </c>
      <c r="F538" s="70"/>
      <c r="G538" s="11" t="s">
        <v>641</v>
      </c>
      <c r="H538" s="69"/>
      <c r="I538" s="69"/>
      <c r="J538" s="69"/>
      <c r="K538" s="69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  <c r="BA538" s="10"/>
      <c r="BB538" s="10"/>
      <c r="BC538" s="10"/>
      <c r="BD538" s="10"/>
      <c r="BE538" s="10"/>
      <c r="BF538" s="10"/>
      <c r="BG538" s="10"/>
      <c r="BH538" s="10"/>
      <c r="BI538" s="10"/>
      <c r="BJ538" s="10"/>
      <c r="BK538" s="10"/>
      <c r="BL538" s="10"/>
      <c r="BM538" s="10"/>
      <c r="BN538" s="10"/>
      <c r="BO538" s="10"/>
      <c r="BP538" s="10"/>
      <c r="BQ538" s="10"/>
      <c r="BR538" s="10"/>
      <c r="BS538" s="10"/>
      <c r="BT538" s="10"/>
      <c r="BU538" s="10"/>
      <c r="BV538" s="10"/>
      <c r="BW538" s="10"/>
      <c r="BX538" s="10"/>
      <c r="BY538" s="10"/>
      <c r="BZ538" s="10"/>
      <c r="CA538" s="10"/>
      <c r="CB538" s="10"/>
      <c r="CC538" s="10"/>
      <c r="CD538" s="10"/>
      <c r="CE538" s="10"/>
      <c r="CF538" s="10"/>
      <c r="CG538" s="10"/>
      <c r="CH538" s="10"/>
      <c r="CI538" s="10"/>
      <c r="CJ538" s="10"/>
      <c r="CK538" s="10"/>
      <c r="CL538" s="10"/>
      <c r="CM538" s="10"/>
      <c r="CN538" s="10"/>
      <c r="CO538" s="10"/>
    </row>
    <row r="539" spans="1:94">
      <c r="A539" s="233"/>
      <c r="B539" s="101"/>
      <c r="C539" s="21" t="s">
        <v>1294</v>
      </c>
      <c r="D539" s="69"/>
      <c r="E539" s="184">
        <f xml:space="preserve"> Предпосылки!E120</f>
        <v>0</v>
      </c>
      <c r="F539" s="70"/>
      <c r="G539" s="11" t="s">
        <v>641</v>
      </c>
      <c r="H539" s="69"/>
      <c r="I539" s="69"/>
      <c r="J539" s="69"/>
      <c r="K539" s="69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</row>
    <row r="540" spans="1:94">
      <c r="A540" s="233"/>
      <c r="B540" s="101"/>
      <c r="C540" s="17" t="s">
        <v>911</v>
      </c>
      <c r="D540" s="69"/>
      <c r="E540" s="62"/>
      <c r="F540" s="70"/>
      <c r="G540" s="11" t="s">
        <v>641</v>
      </c>
      <c r="H540" s="69"/>
      <c r="I540" s="69"/>
      <c r="J540" s="69"/>
      <c r="K540" s="69"/>
      <c r="L540" s="10">
        <f t="shared" ref="L540:R540" si="788" xml:space="preserve"> L530 * Days_In_Period</f>
        <v>0</v>
      </c>
      <c r="M540" s="10">
        <f t="shared" si="788"/>
        <v>0</v>
      </c>
      <c r="N540" s="10">
        <f t="shared" si="788"/>
        <v>0</v>
      </c>
      <c r="O540" s="10">
        <f t="shared" si="788"/>
        <v>0</v>
      </c>
      <c r="P540" s="10">
        <f t="shared" si="788"/>
        <v>0</v>
      </c>
      <c r="Q540" s="10">
        <f t="shared" si="788"/>
        <v>0</v>
      </c>
      <c r="R540" s="10">
        <f t="shared" si="788"/>
        <v>0</v>
      </c>
      <c r="S540" s="10">
        <f xml:space="preserve"> S530 * Days_In_Period</f>
        <v>0</v>
      </c>
      <c r="T540" s="10">
        <f t="shared" ref="T540:CE540" si="789" xml:space="preserve"> T530 * Days_In_Period</f>
        <v>0</v>
      </c>
      <c r="U540" s="10">
        <f t="shared" si="789"/>
        <v>0</v>
      </c>
      <c r="V540" s="10">
        <f t="shared" si="789"/>
        <v>0</v>
      </c>
      <c r="W540" s="10">
        <f t="shared" si="789"/>
        <v>0</v>
      </c>
      <c r="X540" s="10">
        <f t="shared" si="789"/>
        <v>0</v>
      </c>
      <c r="Y540" s="10">
        <f t="shared" si="789"/>
        <v>0</v>
      </c>
      <c r="Z540" s="10">
        <f t="shared" si="789"/>
        <v>0</v>
      </c>
      <c r="AA540" s="10">
        <f t="shared" si="789"/>
        <v>0</v>
      </c>
      <c r="AB540" s="10">
        <f t="shared" si="789"/>
        <v>0</v>
      </c>
      <c r="AC540" s="10">
        <f t="shared" si="789"/>
        <v>10920</v>
      </c>
      <c r="AD540" s="10">
        <f t="shared" si="789"/>
        <v>11040</v>
      </c>
      <c r="AE540" s="10">
        <f t="shared" si="789"/>
        <v>11040</v>
      </c>
      <c r="AF540" s="10">
        <f t="shared" si="789"/>
        <v>10800</v>
      </c>
      <c r="AG540" s="10">
        <f t="shared" si="789"/>
        <v>10920</v>
      </c>
      <c r="AH540" s="10">
        <f t="shared" si="789"/>
        <v>11040</v>
      </c>
      <c r="AI540" s="10">
        <f t="shared" si="789"/>
        <v>11040</v>
      </c>
      <c r="AJ540" s="10">
        <f t="shared" si="789"/>
        <v>10800</v>
      </c>
      <c r="AK540" s="10">
        <f t="shared" si="789"/>
        <v>10920</v>
      </c>
      <c r="AL540" s="10">
        <f t="shared" si="789"/>
        <v>11040</v>
      </c>
      <c r="AM540" s="10">
        <f t="shared" si="789"/>
        <v>11040</v>
      </c>
      <c r="AN540" s="10">
        <f t="shared" si="789"/>
        <v>10920</v>
      </c>
      <c r="AO540" s="10">
        <f t="shared" si="789"/>
        <v>10920</v>
      </c>
      <c r="AP540" s="10">
        <f t="shared" si="789"/>
        <v>11040</v>
      </c>
      <c r="AQ540" s="10">
        <f t="shared" si="789"/>
        <v>11040</v>
      </c>
      <c r="AR540" s="10">
        <f t="shared" si="789"/>
        <v>10800</v>
      </c>
      <c r="AS540" s="10">
        <f t="shared" si="789"/>
        <v>10920</v>
      </c>
      <c r="AT540" s="10">
        <f t="shared" si="789"/>
        <v>11040</v>
      </c>
      <c r="AU540" s="10">
        <f t="shared" si="789"/>
        <v>11040</v>
      </c>
      <c r="AV540" s="10">
        <f t="shared" si="789"/>
        <v>10800</v>
      </c>
      <c r="AW540" s="10">
        <f t="shared" si="789"/>
        <v>10920</v>
      </c>
      <c r="AX540" s="10">
        <f t="shared" si="789"/>
        <v>11040</v>
      </c>
      <c r="AY540" s="10">
        <f t="shared" si="789"/>
        <v>11040</v>
      </c>
      <c r="AZ540" s="10">
        <f t="shared" si="789"/>
        <v>10800</v>
      </c>
      <c r="BA540" s="10">
        <f t="shared" si="789"/>
        <v>10920</v>
      </c>
      <c r="BB540" s="10">
        <f t="shared" si="789"/>
        <v>11040</v>
      </c>
      <c r="BC540" s="10">
        <f t="shared" si="789"/>
        <v>11040</v>
      </c>
      <c r="BD540" s="10">
        <f t="shared" si="789"/>
        <v>10920</v>
      </c>
      <c r="BE540" s="10">
        <f t="shared" si="789"/>
        <v>10920</v>
      </c>
      <c r="BF540" s="10">
        <f t="shared" si="789"/>
        <v>11040</v>
      </c>
      <c r="BG540" s="10">
        <f t="shared" si="789"/>
        <v>11040</v>
      </c>
      <c r="BH540" s="10">
        <f t="shared" si="789"/>
        <v>10800</v>
      </c>
      <c r="BI540" s="10">
        <f t="shared" si="789"/>
        <v>10920</v>
      </c>
      <c r="BJ540" s="10">
        <f t="shared" si="789"/>
        <v>11040</v>
      </c>
      <c r="BK540" s="10">
        <f t="shared" si="789"/>
        <v>11040</v>
      </c>
      <c r="BL540" s="10">
        <f t="shared" si="789"/>
        <v>10800</v>
      </c>
      <c r="BM540" s="10">
        <f t="shared" si="789"/>
        <v>10920</v>
      </c>
      <c r="BN540" s="10">
        <f t="shared" si="789"/>
        <v>11040</v>
      </c>
      <c r="BO540" s="10">
        <f t="shared" si="789"/>
        <v>11040</v>
      </c>
      <c r="BP540" s="10">
        <f t="shared" si="789"/>
        <v>10800</v>
      </c>
      <c r="BQ540" s="10">
        <f t="shared" si="789"/>
        <v>10920</v>
      </c>
      <c r="BR540" s="10">
        <f t="shared" si="789"/>
        <v>11040</v>
      </c>
      <c r="BS540" s="10">
        <f t="shared" si="789"/>
        <v>11040</v>
      </c>
      <c r="BT540" s="10">
        <f t="shared" si="789"/>
        <v>10920</v>
      </c>
      <c r="BU540" s="10">
        <f t="shared" si="789"/>
        <v>10920</v>
      </c>
      <c r="BV540" s="10">
        <f t="shared" si="789"/>
        <v>11040</v>
      </c>
      <c r="BW540" s="10">
        <f t="shared" si="789"/>
        <v>11040</v>
      </c>
      <c r="BX540" s="10">
        <f t="shared" si="789"/>
        <v>10800</v>
      </c>
      <c r="BY540" s="10">
        <f t="shared" si="789"/>
        <v>10920</v>
      </c>
      <c r="BZ540" s="10">
        <f t="shared" si="789"/>
        <v>11040</v>
      </c>
      <c r="CA540" s="10">
        <f t="shared" si="789"/>
        <v>11040</v>
      </c>
      <c r="CB540" s="10">
        <f t="shared" si="789"/>
        <v>10800</v>
      </c>
      <c r="CC540" s="10">
        <f t="shared" si="789"/>
        <v>10920</v>
      </c>
      <c r="CD540" s="10">
        <f t="shared" si="789"/>
        <v>11040</v>
      </c>
      <c r="CE540" s="10">
        <f t="shared" si="789"/>
        <v>11040</v>
      </c>
      <c r="CF540" s="10">
        <f t="shared" ref="CF540:CO540" si="790" xml:space="preserve"> CF530 * Days_In_Period</f>
        <v>10800</v>
      </c>
      <c r="CG540" s="10">
        <f t="shared" si="790"/>
        <v>10920</v>
      </c>
      <c r="CH540" s="10">
        <f t="shared" si="790"/>
        <v>11040</v>
      </c>
      <c r="CI540" s="10">
        <f t="shared" si="790"/>
        <v>11040</v>
      </c>
      <c r="CJ540" s="10">
        <f t="shared" si="790"/>
        <v>10920</v>
      </c>
      <c r="CK540" s="10">
        <f t="shared" si="790"/>
        <v>10920</v>
      </c>
      <c r="CL540" s="10">
        <f t="shared" si="790"/>
        <v>11040</v>
      </c>
      <c r="CM540" s="10">
        <f t="shared" si="790"/>
        <v>11040</v>
      </c>
      <c r="CN540" s="10">
        <f t="shared" si="790"/>
        <v>10800</v>
      </c>
      <c r="CO540" s="10">
        <f t="shared" si="790"/>
        <v>10920</v>
      </c>
    </row>
    <row r="541" spans="1:94">
      <c r="A541" s="233"/>
      <c r="B541" s="101"/>
      <c r="C541" s="169"/>
      <c r="D541" s="69"/>
      <c r="E541" s="62"/>
      <c r="F541" s="70"/>
      <c r="G541" s="11"/>
      <c r="H541" s="69"/>
      <c r="I541" s="69"/>
      <c r="J541" s="69"/>
      <c r="K541" s="69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  <c r="AA541" s="103"/>
      <c r="AB541" s="103"/>
      <c r="AC541" s="103"/>
      <c r="AD541" s="103"/>
      <c r="AE541" s="103"/>
      <c r="AF541" s="103"/>
      <c r="AG541" s="103"/>
      <c r="AH541" s="103"/>
      <c r="AI541" s="103"/>
      <c r="AJ541" s="103"/>
      <c r="AK541" s="103"/>
      <c r="AL541" s="103"/>
      <c r="AM541" s="103"/>
      <c r="AN541" s="103"/>
      <c r="AO541" s="103"/>
      <c r="AP541" s="103"/>
      <c r="AQ541" s="103"/>
      <c r="AR541" s="103"/>
      <c r="AS541" s="103"/>
      <c r="AT541" s="103"/>
      <c r="AU541" s="103"/>
      <c r="AV541" s="103"/>
      <c r="AW541" s="103"/>
      <c r="AX541" s="103"/>
      <c r="AY541" s="103"/>
      <c r="AZ541" s="103"/>
      <c r="BA541" s="103"/>
      <c r="BB541" s="103"/>
      <c r="BC541" s="103"/>
      <c r="BD541" s="103"/>
      <c r="BE541" s="103"/>
      <c r="BF541" s="103"/>
      <c r="BG541" s="103"/>
      <c r="BH541" s="103"/>
      <c r="BI541" s="103"/>
      <c r="BJ541" s="103"/>
      <c r="BK541" s="103"/>
      <c r="BL541" s="103"/>
      <c r="BM541" s="103"/>
      <c r="BN541" s="103"/>
      <c r="BO541" s="103"/>
      <c r="BP541" s="103"/>
      <c r="BQ541" s="103"/>
      <c r="BR541" s="103"/>
      <c r="BS541" s="103"/>
      <c r="BT541" s="103"/>
      <c r="BU541" s="103"/>
      <c r="BV541" s="103"/>
      <c r="BW541" s="103"/>
      <c r="BX541" s="103"/>
      <c r="BY541" s="103"/>
      <c r="BZ541" s="103"/>
      <c r="CA541" s="103"/>
      <c r="CB541" s="103"/>
      <c r="CC541" s="103"/>
      <c r="CD541" s="103"/>
      <c r="CE541" s="103"/>
      <c r="CF541" s="103"/>
      <c r="CG541" s="103"/>
      <c r="CH541" s="103"/>
      <c r="CI541" s="103"/>
      <c r="CJ541" s="103"/>
      <c r="CK541" s="103"/>
      <c r="CL541" s="103"/>
      <c r="CM541" s="103"/>
      <c r="CN541" s="103"/>
      <c r="CO541" s="103"/>
    </row>
    <row r="542" spans="1:94">
      <c r="A542" s="233"/>
      <c r="B542" s="101"/>
      <c r="C542" s="17" t="s">
        <v>657</v>
      </c>
      <c r="D542" s="69"/>
      <c r="E542" s="62"/>
      <c r="F542" s="70"/>
      <c r="G542" s="11" t="s">
        <v>641</v>
      </c>
      <c r="H542" s="69"/>
      <c r="I542" s="69"/>
      <c r="J542" s="69"/>
      <c r="K542" s="69"/>
      <c r="L542" s="10">
        <f xml:space="preserve"> L540 * L528 * L529</f>
        <v>0</v>
      </c>
      <c r="M542" s="10">
        <f t="shared" ref="M542:BX542" si="791" xml:space="preserve"> M540 * M528 * M529</f>
        <v>0</v>
      </c>
      <c r="N542" s="10">
        <f t="shared" si="791"/>
        <v>0</v>
      </c>
      <c r="O542" s="10">
        <f t="shared" si="791"/>
        <v>0</v>
      </c>
      <c r="P542" s="10">
        <f t="shared" si="791"/>
        <v>0</v>
      </c>
      <c r="Q542" s="10">
        <f t="shared" si="791"/>
        <v>0</v>
      </c>
      <c r="R542" s="10">
        <f t="shared" si="791"/>
        <v>0</v>
      </c>
      <c r="S542" s="10">
        <f t="shared" si="791"/>
        <v>0</v>
      </c>
      <c r="T542" s="10">
        <f t="shared" si="791"/>
        <v>0</v>
      </c>
      <c r="U542" s="10">
        <f t="shared" si="791"/>
        <v>0</v>
      </c>
      <c r="V542" s="10">
        <f t="shared" si="791"/>
        <v>0</v>
      </c>
      <c r="W542" s="10">
        <f t="shared" si="791"/>
        <v>0</v>
      </c>
      <c r="X542" s="10">
        <f t="shared" si="791"/>
        <v>0</v>
      </c>
      <c r="Y542" s="10">
        <f t="shared" si="791"/>
        <v>0</v>
      </c>
      <c r="Z542" s="10">
        <f t="shared" si="791"/>
        <v>0</v>
      </c>
      <c r="AA542" s="10">
        <f t="shared" si="791"/>
        <v>0</v>
      </c>
      <c r="AB542" s="10">
        <f t="shared" si="791"/>
        <v>0</v>
      </c>
      <c r="AC542" s="10">
        <f t="shared" si="791"/>
        <v>5132.6383111388241</v>
      </c>
      <c r="AD542" s="10">
        <f t="shared" si="791"/>
        <v>7632.1542718864575</v>
      </c>
      <c r="AE542" s="10">
        <f t="shared" si="791"/>
        <v>3974.20250300628</v>
      </c>
      <c r="AF542" s="10">
        <f t="shared" si="791"/>
        <v>3767.7568253685472</v>
      </c>
      <c r="AG542" s="10">
        <f t="shared" si="791"/>
        <v>5756.7924761353352</v>
      </c>
      <c r="AH542" s="10">
        <f t="shared" si="791"/>
        <v>8532.8787838299249</v>
      </c>
      <c r="AI542" s="10">
        <f t="shared" si="791"/>
        <v>4429.7846345699909</v>
      </c>
      <c r="AJ542" s="10">
        <f t="shared" si="791"/>
        <v>4187.6397808756074</v>
      </c>
      <c r="AK542" s="10">
        <f t="shared" si="791"/>
        <v>6380.9466411318472</v>
      </c>
      <c r="AL542" s="10">
        <f t="shared" si="791"/>
        <v>9433.6032957733933</v>
      </c>
      <c r="AM542" s="10">
        <f t="shared" si="791"/>
        <v>4885.3667661337031</v>
      </c>
      <c r="AN542" s="10">
        <f t="shared" si="791"/>
        <v>4658.7174334535857</v>
      </c>
      <c r="AO542" s="10">
        <f t="shared" si="791"/>
        <v>7005.1008061283574</v>
      </c>
      <c r="AP542" s="10">
        <f t="shared" si="791"/>
        <v>10109.146679730991</v>
      </c>
      <c r="AQ542" s="10">
        <f t="shared" si="791"/>
        <v>5113.1578319155569</v>
      </c>
      <c r="AR542" s="10">
        <f t="shared" si="791"/>
        <v>4712.4934752594309</v>
      </c>
      <c r="AS542" s="10">
        <f t="shared" si="791"/>
        <v>7005.1008061283574</v>
      </c>
      <c r="AT542" s="10">
        <f t="shared" si="791"/>
        <v>10109.146679730991</v>
      </c>
      <c r="AU542" s="10">
        <f t="shared" si="791"/>
        <v>5113.1578319155569</v>
      </c>
      <c r="AV542" s="10">
        <f t="shared" si="791"/>
        <v>4712.4934752594309</v>
      </c>
      <c r="AW542" s="10">
        <f t="shared" si="791"/>
        <v>7005.1008061283574</v>
      </c>
      <c r="AX542" s="10">
        <f t="shared" si="791"/>
        <v>10109.146679730991</v>
      </c>
      <c r="AY542" s="10">
        <f t="shared" si="791"/>
        <v>5113.1578319155569</v>
      </c>
      <c r="AZ542" s="10">
        <f t="shared" si="791"/>
        <v>4712.4934752594309</v>
      </c>
      <c r="BA542" s="10">
        <f t="shared" si="791"/>
        <v>7005.1008061283574</v>
      </c>
      <c r="BB542" s="10">
        <f t="shared" si="791"/>
        <v>10109.146679730991</v>
      </c>
      <c r="BC542" s="10">
        <f t="shared" si="791"/>
        <v>5113.1578319155569</v>
      </c>
      <c r="BD542" s="10">
        <f t="shared" si="791"/>
        <v>4764.8545138734244</v>
      </c>
      <c r="BE542" s="10">
        <f t="shared" si="791"/>
        <v>7005.1008061283574</v>
      </c>
      <c r="BF542" s="10">
        <f t="shared" si="791"/>
        <v>10109.146679730991</v>
      </c>
      <c r="BG542" s="10">
        <f t="shared" si="791"/>
        <v>5113.1578319155569</v>
      </c>
      <c r="BH542" s="10">
        <f t="shared" si="791"/>
        <v>4712.4934752594309</v>
      </c>
      <c r="BI542" s="10">
        <f t="shared" si="791"/>
        <v>7005.1008061283574</v>
      </c>
      <c r="BJ542" s="10">
        <f t="shared" si="791"/>
        <v>10109.146679730991</v>
      </c>
      <c r="BK542" s="10">
        <f t="shared" si="791"/>
        <v>5113.1578319155569</v>
      </c>
      <c r="BL542" s="10">
        <f t="shared" si="791"/>
        <v>4712.4934752594309</v>
      </c>
      <c r="BM542" s="10">
        <f t="shared" si="791"/>
        <v>7005.1008061283574</v>
      </c>
      <c r="BN542" s="10">
        <f t="shared" si="791"/>
        <v>10109.146679730991</v>
      </c>
      <c r="BO542" s="10">
        <f t="shared" si="791"/>
        <v>5113.1578319155569</v>
      </c>
      <c r="BP542" s="10">
        <f t="shared" si="791"/>
        <v>4712.4934752594309</v>
      </c>
      <c r="BQ542" s="10">
        <f t="shared" si="791"/>
        <v>7005.1008061283574</v>
      </c>
      <c r="BR542" s="10">
        <f t="shared" si="791"/>
        <v>10109.146679730991</v>
      </c>
      <c r="BS542" s="10">
        <f t="shared" si="791"/>
        <v>5113.1578319155569</v>
      </c>
      <c r="BT542" s="10">
        <f t="shared" si="791"/>
        <v>4764.8545138734244</v>
      </c>
      <c r="BU542" s="10">
        <f t="shared" si="791"/>
        <v>7005.1008061283574</v>
      </c>
      <c r="BV542" s="10">
        <f t="shared" si="791"/>
        <v>10109.146679730991</v>
      </c>
      <c r="BW542" s="10">
        <f t="shared" si="791"/>
        <v>5113.1578319155569</v>
      </c>
      <c r="BX542" s="10">
        <f t="shared" si="791"/>
        <v>4712.4934752594309</v>
      </c>
      <c r="BY542" s="10">
        <f t="shared" ref="BY542:CO542" si="792" xml:space="preserve"> BY540 * BY528 * BY529</f>
        <v>7005.1008061283574</v>
      </c>
      <c r="BZ542" s="10">
        <f t="shared" si="792"/>
        <v>10109.146679730991</v>
      </c>
      <c r="CA542" s="10">
        <f t="shared" si="792"/>
        <v>5113.1578319155569</v>
      </c>
      <c r="CB542" s="10">
        <f t="shared" si="792"/>
        <v>4712.4934752594309</v>
      </c>
      <c r="CC542" s="10">
        <f t="shared" si="792"/>
        <v>7005.1008061283574</v>
      </c>
      <c r="CD542" s="10">
        <f t="shared" si="792"/>
        <v>10109.146679730991</v>
      </c>
      <c r="CE542" s="10">
        <f t="shared" si="792"/>
        <v>5113.1578319155569</v>
      </c>
      <c r="CF542" s="10">
        <f t="shared" si="792"/>
        <v>4712.4934752594309</v>
      </c>
      <c r="CG542" s="10">
        <f t="shared" si="792"/>
        <v>7005.1008061283574</v>
      </c>
      <c r="CH542" s="10">
        <f t="shared" si="792"/>
        <v>10109.146679730991</v>
      </c>
      <c r="CI542" s="10">
        <f t="shared" si="792"/>
        <v>5113.1578319155569</v>
      </c>
      <c r="CJ542" s="10">
        <f t="shared" si="792"/>
        <v>4764.8545138734244</v>
      </c>
      <c r="CK542" s="10">
        <f t="shared" si="792"/>
        <v>7005.1008061283574</v>
      </c>
      <c r="CL542" s="10">
        <f t="shared" si="792"/>
        <v>10109.146679730991</v>
      </c>
      <c r="CM542" s="10">
        <f t="shared" si="792"/>
        <v>5113.1578319155569</v>
      </c>
      <c r="CN542" s="10">
        <f t="shared" si="792"/>
        <v>4712.4934752594309</v>
      </c>
      <c r="CO542" s="10">
        <f t="shared" si="792"/>
        <v>7005.1008061283574</v>
      </c>
    </row>
    <row r="543" spans="1:94">
      <c r="A543" s="233"/>
      <c r="B543" s="101"/>
      <c r="C543" s="17" t="s">
        <v>1195</v>
      </c>
      <c r="D543" s="69"/>
      <c r="E543" s="185">
        <f xml:space="preserve"> Предпосылки!E391</f>
        <v>1.9106000000000001</v>
      </c>
      <c r="F543" s="70"/>
      <c r="G543" s="11" t="s">
        <v>658</v>
      </c>
      <c r="H543" s="69"/>
      <c r="I543" s="69"/>
      <c r="J543" s="69"/>
      <c r="K543" s="69"/>
      <c r="L543" s="151">
        <f t="shared" ref="L543:BW543" si="793" xml:space="preserve"> $E$543 * (Flag_Operations)</f>
        <v>0</v>
      </c>
      <c r="M543" s="151">
        <f t="shared" si="793"/>
        <v>0</v>
      </c>
      <c r="N543" s="151">
        <f t="shared" si="793"/>
        <v>0</v>
      </c>
      <c r="O543" s="151">
        <f t="shared" si="793"/>
        <v>0</v>
      </c>
      <c r="P543" s="151">
        <f t="shared" si="793"/>
        <v>0</v>
      </c>
      <c r="Q543" s="151">
        <f t="shared" si="793"/>
        <v>0</v>
      </c>
      <c r="R543" s="151">
        <f t="shared" si="793"/>
        <v>0</v>
      </c>
      <c r="S543" s="151">
        <f t="shared" si="793"/>
        <v>0</v>
      </c>
      <c r="T543" s="151">
        <f t="shared" si="793"/>
        <v>0</v>
      </c>
      <c r="U543" s="151">
        <f t="shared" si="793"/>
        <v>0</v>
      </c>
      <c r="V543" s="151">
        <f t="shared" si="793"/>
        <v>0</v>
      </c>
      <c r="W543" s="151">
        <f t="shared" si="793"/>
        <v>0</v>
      </c>
      <c r="X543" s="151">
        <f t="shared" si="793"/>
        <v>0</v>
      </c>
      <c r="Y543" s="151">
        <f t="shared" si="793"/>
        <v>0</v>
      </c>
      <c r="Z543" s="151">
        <f t="shared" si="793"/>
        <v>0</v>
      </c>
      <c r="AA543" s="151">
        <f t="shared" si="793"/>
        <v>0</v>
      </c>
      <c r="AB543" s="151">
        <f t="shared" si="793"/>
        <v>0</v>
      </c>
      <c r="AC543" s="151">
        <f t="shared" si="793"/>
        <v>1.9106000000000001</v>
      </c>
      <c r="AD543" s="151">
        <f t="shared" si="793"/>
        <v>1.9106000000000001</v>
      </c>
      <c r="AE543" s="151">
        <f t="shared" si="793"/>
        <v>1.9106000000000001</v>
      </c>
      <c r="AF543" s="151">
        <f t="shared" si="793"/>
        <v>1.9106000000000001</v>
      </c>
      <c r="AG543" s="151">
        <f t="shared" si="793"/>
        <v>1.9106000000000001</v>
      </c>
      <c r="AH543" s="151">
        <f t="shared" si="793"/>
        <v>1.9106000000000001</v>
      </c>
      <c r="AI543" s="151">
        <f t="shared" si="793"/>
        <v>1.9106000000000001</v>
      </c>
      <c r="AJ543" s="151">
        <f t="shared" si="793"/>
        <v>1.9106000000000001</v>
      </c>
      <c r="AK543" s="151">
        <f t="shared" si="793"/>
        <v>1.9106000000000001</v>
      </c>
      <c r="AL543" s="151">
        <f t="shared" si="793"/>
        <v>1.9106000000000001</v>
      </c>
      <c r="AM543" s="151">
        <f t="shared" si="793"/>
        <v>1.9106000000000001</v>
      </c>
      <c r="AN543" s="151">
        <f t="shared" si="793"/>
        <v>1.9106000000000001</v>
      </c>
      <c r="AO543" s="151">
        <f t="shared" si="793"/>
        <v>1.9106000000000001</v>
      </c>
      <c r="AP543" s="151">
        <f t="shared" si="793"/>
        <v>1.9106000000000001</v>
      </c>
      <c r="AQ543" s="151">
        <f t="shared" si="793"/>
        <v>1.9106000000000001</v>
      </c>
      <c r="AR543" s="151">
        <f t="shared" si="793"/>
        <v>1.9106000000000001</v>
      </c>
      <c r="AS543" s="151">
        <f t="shared" si="793"/>
        <v>1.9106000000000001</v>
      </c>
      <c r="AT543" s="151">
        <f t="shared" si="793"/>
        <v>1.9106000000000001</v>
      </c>
      <c r="AU543" s="151">
        <f t="shared" si="793"/>
        <v>1.9106000000000001</v>
      </c>
      <c r="AV543" s="151">
        <f t="shared" si="793"/>
        <v>1.9106000000000001</v>
      </c>
      <c r="AW543" s="151">
        <f t="shared" si="793"/>
        <v>1.9106000000000001</v>
      </c>
      <c r="AX543" s="151">
        <f t="shared" si="793"/>
        <v>1.9106000000000001</v>
      </c>
      <c r="AY543" s="151">
        <f t="shared" si="793"/>
        <v>1.9106000000000001</v>
      </c>
      <c r="AZ543" s="151">
        <f t="shared" si="793"/>
        <v>1.9106000000000001</v>
      </c>
      <c r="BA543" s="151">
        <f t="shared" si="793"/>
        <v>1.9106000000000001</v>
      </c>
      <c r="BB543" s="151">
        <f t="shared" si="793"/>
        <v>1.9106000000000001</v>
      </c>
      <c r="BC543" s="151">
        <f t="shared" si="793"/>
        <v>1.9106000000000001</v>
      </c>
      <c r="BD543" s="151">
        <f t="shared" si="793"/>
        <v>1.9106000000000001</v>
      </c>
      <c r="BE543" s="151">
        <f t="shared" si="793"/>
        <v>1.9106000000000001</v>
      </c>
      <c r="BF543" s="151">
        <f t="shared" si="793"/>
        <v>1.9106000000000001</v>
      </c>
      <c r="BG543" s="151">
        <f t="shared" si="793"/>
        <v>1.9106000000000001</v>
      </c>
      <c r="BH543" s="151">
        <f t="shared" si="793"/>
        <v>1.9106000000000001</v>
      </c>
      <c r="BI543" s="151">
        <f t="shared" si="793"/>
        <v>1.9106000000000001</v>
      </c>
      <c r="BJ543" s="151">
        <f t="shared" si="793"/>
        <v>1.9106000000000001</v>
      </c>
      <c r="BK543" s="151">
        <f t="shared" si="793"/>
        <v>1.9106000000000001</v>
      </c>
      <c r="BL543" s="151">
        <f t="shared" si="793"/>
        <v>1.9106000000000001</v>
      </c>
      <c r="BM543" s="151">
        <f t="shared" si="793"/>
        <v>1.9106000000000001</v>
      </c>
      <c r="BN543" s="151">
        <f t="shared" si="793"/>
        <v>1.9106000000000001</v>
      </c>
      <c r="BO543" s="151">
        <f t="shared" si="793"/>
        <v>1.9106000000000001</v>
      </c>
      <c r="BP543" s="151">
        <f t="shared" si="793"/>
        <v>1.9106000000000001</v>
      </c>
      <c r="BQ543" s="151">
        <f t="shared" si="793"/>
        <v>1.9106000000000001</v>
      </c>
      <c r="BR543" s="151">
        <f t="shared" si="793"/>
        <v>1.9106000000000001</v>
      </c>
      <c r="BS543" s="151">
        <f t="shared" si="793"/>
        <v>1.9106000000000001</v>
      </c>
      <c r="BT543" s="151">
        <f t="shared" si="793"/>
        <v>1.9106000000000001</v>
      </c>
      <c r="BU543" s="151">
        <f t="shared" si="793"/>
        <v>1.9106000000000001</v>
      </c>
      <c r="BV543" s="151">
        <f t="shared" si="793"/>
        <v>1.9106000000000001</v>
      </c>
      <c r="BW543" s="151">
        <f t="shared" si="793"/>
        <v>1.9106000000000001</v>
      </c>
      <c r="BX543" s="151">
        <f t="shared" ref="BX543:CO543" si="794" xml:space="preserve"> $E$543 * (Flag_Operations)</f>
        <v>1.9106000000000001</v>
      </c>
      <c r="BY543" s="151">
        <f t="shared" si="794"/>
        <v>1.9106000000000001</v>
      </c>
      <c r="BZ543" s="151">
        <f t="shared" si="794"/>
        <v>1.9106000000000001</v>
      </c>
      <c r="CA543" s="151">
        <f t="shared" si="794"/>
        <v>1.9106000000000001</v>
      </c>
      <c r="CB543" s="151">
        <f t="shared" si="794"/>
        <v>1.9106000000000001</v>
      </c>
      <c r="CC543" s="151">
        <f t="shared" si="794"/>
        <v>1.9106000000000001</v>
      </c>
      <c r="CD543" s="151">
        <f t="shared" si="794"/>
        <v>1.9106000000000001</v>
      </c>
      <c r="CE543" s="151">
        <f t="shared" si="794"/>
        <v>1.9106000000000001</v>
      </c>
      <c r="CF543" s="151">
        <f t="shared" si="794"/>
        <v>1.9106000000000001</v>
      </c>
      <c r="CG543" s="151">
        <f t="shared" si="794"/>
        <v>1.9106000000000001</v>
      </c>
      <c r="CH543" s="151">
        <f t="shared" si="794"/>
        <v>1.9106000000000001</v>
      </c>
      <c r="CI543" s="151">
        <f t="shared" si="794"/>
        <v>1.9106000000000001</v>
      </c>
      <c r="CJ543" s="151">
        <f t="shared" si="794"/>
        <v>1.9106000000000001</v>
      </c>
      <c r="CK543" s="151">
        <f t="shared" si="794"/>
        <v>1.9106000000000001</v>
      </c>
      <c r="CL543" s="151">
        <f t="shared" si="794"/>
        <v>1.9106000000000001</v>
      </c>
      <c r="CM543" s="151">
        <f t="shared" si="794"/>
        <v>1.9106000000000001</v>
      </c>
      <c r="CN543" s="151">
        <f t="shared" si="794"/>
        <v>1.9106000000000001</v>
      </c>
      <c r="CO543" s="151">
        <f t="shared" si="794"/>
        <v>1.9106000000000001</v>
      </c>
    </row>
    <row r="544" spans="1:94">
      <c r="A544" s="233"/>
      <c r="B544" s="101"/>
      <c r="C544" s="17" t="s">
        <v>912</v>
      </c>
      <c r="D544" s="69"/>
      <c r="E544" s="62"/>
      <c r="F544" s="70"/>
      <c r="G544" s="11" t="s">
        <v>659</v>
      </c>
      <c r="H544" s="69"/>
      <c r="I544" s="69"/>
      <c r="J544" s="69"/>
      <c r="K544" s="69"/>
      <c r="L544" s="10">
        <f t="shared" ref="L544:R544" si="795" xml:space="preserve"> L542 * L543</f>
        <v>0</v>
      </c>
      <c r="M544" s="10">
        <f t="shared" si="795"/>
        <v>0</v>
      </c>
      <c r="N544" s="10">
        <f t="shared" si="795"/>
        <v>0</v>
      </c>
      <c r="O544" s="10">
        <f t="shared" si="795"/>
        <v>0</v>
      </c>
      <c r="P544" s="10">
        <f t="shared" si="795"/>
        <v>0</v>
      </c>
      <c r="Q544" s="10">
        <f t="shared" si="795"/>
        <v>0</v>
      </c>
      <c r="R544" s="10">
        <f t="shared" si="795"/>
        <v>0</v>
      </c>
      <c r="S544" s="10">
        <f xml:space="preserve"> S542 * S543</f>
        <v>0</v>
      </c>
      <c r="T544" s="10">
        <f t="shared" ref="T544:CE544" si="796" xml:space="preserve"> T542 * T543</f>
        <v>0</v>
      </c>
      <c r="U544" s="10">
        <f t="shared" si="796"/>
        <v>0</v>
      </c>
      <c r="V544" s="10">
        <f t="shared" si="796"/>
        <v>0</v>
      </c>
      <c r="W544" s="10">
        <f t="shared" si="796"/>
        <v>0</v>
      </c>
      <c r="X544" s="10">
        <f t="shared" si="796"/>
        <v>0</v>
      </c>
      <c r="Y544" s="10">
        <f t="shared" si="796"/>
        <v>0</v>
      </c>
      <c r="Z544" s="10">
        <f t="shared" si="796"/>
        <v>0</v>
      </c>
      <c r="AA544" s="10">
        <f t="shared" si="796"/>
        <v>0</v>
      </c>
      <c r="AB544" s="10">
        <f t="shared" si="796"/>
        <v>0</v>
      </c>
      <c r="AC544" s="10">
        <f t="shared" si="796"/>
        <v>9806.4187572618375</v>
      </c>
      <c r="AD544" s="10">
        <f t="shared" si="796"/>
        <v>14581.993951866267</v>
      </c>
      <c r="AE544" s="10">
        <f t="shared" si="796"/>
        <v>7593.1113022437994</v>
      </c>
      <c r="AF544" s="10">
        <f t="shared" si="796"/>
        <v>7198.6761905491467</v>
      </c>
      <c r="AG544" s="10">
        <f t="shared" si="796"/>
        <v>10998.927704904172</v>
      </c>
      <c r="AH544" s="10">
        <f t="shared" si="796"/>
        <v>16302.918204385454</v>
      </c>
      <c r="AI544" s="10">
        <f t="shared" si="796"/>
        <v>8463.5465228094254</v>
      </c>
      <c r="AJ544" s="10">
        <f t="shared" si="796"/>
        <v>8000.9045653409357</v>
      </c>
      <c r="AK544" s="10">
        <f t="shared" si="796"/>
        <v>12191.436652546508</v>
      </c>
      <c r="AL544" s="10">
        <f t="shared" si="796"/>
        <v>18023.842456904647</v>
      </c>
      <c r="AM544" s="10">
        <f t="shared" si="796"/>
        <v>9333.9817433750541</v>
      </c>
      <c r="AN544" s="10">
        <f t="shared" si="796"/>
        <v>8900.9455283564221</v>
      </c>
      <c r="AO544" s="10">
        <f t="shared" si="796"/>
        <v>13383.945600188839</v>
      </c>
      <c r="AP544" s="10">
        <f t="shared" si="796"/>
        <v>19314.535646294033</v>
      </c>
      <c r="AQ544" s="10">
        <f t="shared" si="796"/>
        <v>9769.199353657863</v>
      </c>
      <c r="AR544" s="10">
        <f t="shared" si="796"/>
        <v>9003.6900338306696</v>
      </c>
      <c r="AS544" s="10">
        <f t="shared" si="796"/>
        <v>13383.945600188839</v>
      </c>
      <c r="AT544" s="10">
        <f t="shared" si="796"/>
        <v>19314.535646294033</v>
      </c>
      <c r="AU544" s="10">
        <f t="shared" si="796"/>
        <v>9769.199353657863</v>
      </c>
      <c r="AV544" s="10">
        <f t="shared" si="796"/>
        <v>9003.6900338306696</v>
      </c>
      <c r="AW544" s="10">
        <f t="shared" si="796"/>
        <v>13383.945600188839</v>
      </c>
      <c r="AX544" s="10">
        <f t="shared" si="796"/>
        <v>19314.535646294033</v>
      </c>
      <c r="AY544" s="10">
        <f t="shared" si="796"/>
        <v>9769.199353657863</v>
      </c>
      <c r="AZ544" s="10">
        <f t="shared" si="796"/>
        <v>9003.6900338306696</v>
      </c>
      <c r="BA544" s="10">
        <f t="shared" si="796"/>
        <v>13383.945600188839</v>
      </c>
      <c r="BB544" s="10">
        <f t="shared" si="796"/>
        <v>19314.535646294033</v>
      </c>
      <c r="BC544" s="10">
        <f t="shared" si="796"/>
        <v>9769.199353657863</v>
      </c>
      <c r="BD544" s="10">
        <f t="shared" si="796"/>
        <v>9103.7310342065648</v>
      </c>
      <c r="BE544" s="10">
        <f t="shared" si="796"/>
        <v>13383.945600188839</v>
      </c>
      <c r="BF544" s="10">
        <f t="shared" si="796"/>
        <v>19314.535646294033</v>
      </c>
      <c r="BG544" s="10">
        <f t="shared" si="796"/>
        <v>9769.199353657863</v>
      </c>
      <c r="BH544" s="10">
        <f t="shared" si="796"/>
        <v>9003.6900338306696</v>
      </c>
      <c r="BI544" s="10">
        <f t="shared" si="796"/>
        <v>13383.945600188839</v>
      </c>
      <c r="BJ544" s="10">
        <f t="shared" si="796"/>
        <v>19314.535646294033</v>
      </c>
      <c r="BK544" s="10">
        <f t="shared" si="796"/>
        <v>9769.199353657863</v>
      </c>
      <c r="BL544" s="10">
        <f t="shared" si="796"/>
        <v>9003.6900338306696</v>
      </c>
      <c r="BM544" s="10">
        <f t="shared" si="796"/>
        <v>13383.945600188839</v>
      </c>
      <c r="BN544" s="10">
        <f t="shared" si="796"/>
        <v>19314.535646294033</v>
      </c>
      <c r="BO544" s="10">
        <f t="shared" si="796"/>
        <v>9769.199353657863</v>
      </c>
      <c r="BP544" s="10">
        <f t="shared" si="796"/>
        <v>9003.6900338306696</v>
      </c>
      <c r="BQ544" s="10">
        <f t="shared" si="796"/>
        <v>13383.945600188839</v>
      </c>
      <c r="BR544" s="10">
        <f t="shared" si="796"/>
        <v>19314.535646294033</v>
      </c>
      <c r="BS544" s="10">
        <f t="shared" si="796"/>
        <v>9769.199353657863</v>
      </c>
      <c r="BT544" s="10">
        <f t="shared" si="796"/>
        <v>9103.7310342065648</v>
      </c>
      <c r="BU544" s="10">
        <f t="shared" si="796"/>
        <v>13383.945600188839</v>
      </c>
      <c r="BV544" s="10">
        <f t="shared" si="796"/>
        <v>19314.535646294033</v>
      </c>
      <c r="BW544" s="10">
        <f t="shared" si="796"/>
        <v>9769.199353657863</v>
      </c>
      <c r="BX544" s="10">
        <f t="shared" si="796"/>
        <v>9003.6900338306696</v>
      </c>
      <c r="BY544" s="10">
        <f t="shared" si="796"/>
        <v>13383.945600188839</v>
      </c>
      <c r="BZ544" s="10">
        <f t="shared" si="796"/>
        <v>19314.535646294033</v>
      </c>
      <c r="CA544" s="10">
        <f t="shared" si="796"/>
        <v>9769.199353657863</v>
      </c>
      <c r="CB544" s="10">
        <f t="shared" si="796"/>
        <v>9003.6900338306696</v>
      </c>
      <c r="CC544" s="10">
        <f t="shared" si="796"/>
        <v>13383.945600188839</v>
      </c>
      <c r="CD544" s="10">
        <f t="shared" si="796"/>
        <v>19314.535646294033</v>
      </c>
      <c r="CE544" s="10">
        <f t="shared" si="796"/>
        <v>9769.199353657863</v>
      </c>
      <c r="CF544" s="10">
        <f t="shared" ref="CF544:CO544" si="797" xml:space="preserve"> CF542 * CF543</f>
        <v>9003.6900338306696</v>
      </c>
      <c r="CG544" s="10">
        <f t="shared" si="797"/>
        <v>13383.945600188839</v>
      </c>
      <c r="CH544" s="10">
        <f t="shared" si="797"/>
        <v>19314.535646294033</v>
      </c>
      <c r="CI544" s="10">
        <f t="shared" si="797"/>
        <v>9769.199353657863</v>
      </c>
      <c r="CJ544" s="10">
        <f t="shared" si="797"/>
        <v>9103.7310342065648</v>
      </c>
      <c r="CK544" s="10">
        <f t="shared" si="797"/>
        <v>13383.945600188839</v>
      </c>
      <c r="CL544" s="10">
        <f t="shared" si="797"/>
        <v>19314.535646294033</v>
      </c>
      <c r="CM544" s="10">
        <f t="shared" si="797"/>
        <v>9769.199353657863</v>
      </c>
      <c r="CN544" s="10">
        <f t="shared" si="797"/>
        <v>9003.6900338306696</v>
      </c>
      <c r="CO544" s="10">
        <f t="shared" si="797"/>
        <v>13383.945600188839</v>
      </c>
    </row>
    <row r="545" spans="1:93">
      <c r="A545" s="233"/>
      <c r="B545" s="101"/>
      <c r="C545" s="169"/>
      <c r="D545" s="69"/>
      <c r="E545" s="62"/>
      <c r="F545" s="70"/>
      <c r="G545" s="11"/>
      <c r="H545" s="69"/>
      <c r="I545" s="69"/>
      <c r="J545" s="69"/>
      <c r="K545" s="69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  <c r="AA545" s="103"/>
      <c r="AB545" s="103"/>
      <c r="AC545" s="103"/>
      <c r="AD545" s="103"/>
      <c r="AE545" s="103"/>
      <c r="AF545" s="103"/>
      <c r="AG545" s="103"/>
      <c r="AH545" s="103"/>
      <c r="AI545" s="103"/>
      <c r="AJ545" s="103"/>
      <c r="AK545" s="103"/>
      <c r="AL545" s="103"/>
      <c r="AM545" s="103"/>
      <c r="AN545" s="103"/>
      <c r="AO545" s="103"/>
      <c r="AP545" s="103"/>
      <c r="AQ545" s="103"/>
      <c r="AR545" s="103"/>
      <c r="AS545" s="103"/>
      <c r="AT545" s="103"/>
      <c r="AU545" s="103"/>
      <c r="AV545" s="103"/>
      <c r="AW545" s="103"/>
      <c r="AX545" s="103"/>
      <c r="AY545" s="103"/>
      <c r="AZ545" s="103"/>
      <c r="BA545" s="103"/>
      <c r="BB545" s="103"/>
      <c r="BC545" s="103"/>
      <c r="BD545" s="103"/>
      <c r="BE545" s="103"/>
      <c r="BF545" s="103"/>
      <c r="BG545" s="103"/>
      <c r="BH545" s="103"/>
      <c r="BI545" s="103"/>
      <c r="BJ545" s="103"/>
      <c r="BK545" s="103"/>
      <c r="BL545" s="103"/>
      <c r="BM545" s="103"/>
      <c r="BN545" s="103"/>
      <c r="BO545" s="103"/>
      <c r="BP545" s="103"/>
      <c r="BQ545" s="103"/>
      <c r="BR545" s="103"/>
      <c r="BS545" s="103"/>
      <c r="BT545" s="103"/>
      <c r="BU545" s="103"/>
      <c r="BV545" s="103"/>
      <c r="BW545" s="103"/>
      <c r="BX545" s="103"/>
      <c r="BY545" s="103"/>
      <c r="BZ545" s="103"/>
      <c r="CA545" s="103"/>
      <c r="CB545" s="103"/>
      <c r="CC545" s="103"/>
      <c r="CD545" s="103"/>
      <c r="CE545" s="103"/>
      <c r="CF545" s="103"/>
      <c r="CG545" s="103"/>
      <c r="CH545" s="103"/>
      <c r="CI545" s="103"/>
      <c r="CJ545" s="103"/>
      <c r="CK545" s="103"/>
      <c r="CL545" s="103"/>
      <c r="CM545" s="103"/>
      <c r="CN545" s="103"/>
      <c r="CO545" s="103"/>
    </row>
    <row r="546" spans="1:93">
      <c r="A546" s="233"/>
      <c r="B546" s="101"/>
      <c r="C546" s="17"/>
      <c r="D546" s="69"/>
      <c r="E546" s="62"/>
      <c r="F546" s="70"/>
      <c r="G546" s="11"/>
      <c r="H546" s="69"/>
      <c r="I546" s="69"/>
      <c r="J546" s="69"/>
      <c r="K546" s="69"/>
      <c r="L546" s="574" t="s">
        <v>1458</v>
      </c>
      <c r="M546" s="574" t="s">
        <v>1459</v>
      </c>
      <c r="N546" s="574" t="s">
        <v>1460</v>
      </c>
      <c r="O546" s="574" t="s">
        <v>1461</v>
      </c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  <c r="AA546" s="103"/>
      <c r="AB546" s="103"/>
      <c r="AC546" s="103"/>
      <c r="AD546" s="103"/>
      <c r="AE546" s="103"/>
      <c r="AF546" s="103"/>
      <c r="AG546" s="103"/>
      <c r="AH546" s="103"/>
      <c r="AI546" s="103"/>
      <c r="AJ546" s="103"/>
      <c r="AK546" s="103"/>
      <c r="AL546" s="103"/>
      <c r="AM546" s="103"/>
      <c r="AN546" s="103"/>
      <c r="AO546" s="103"/>
      <c r="AP546" s="103"/>
      <c r="AQ546" s="103"/>
      <c r="AR546" s="103"/>
      <c r="AS546" s="103"/>
      <c r="AT546" s="103"/>
      <c r="AU546" s="103"/>
      <c r="AV546" s="103"/>
      <c r="AW546" s="103"/>
      <c r="AX546" s="103"/>
      <c r="AY546" s="103"/>
      <c r="AZ546" s="103"/>
      <c r="BA546" s="103"/>
      <c r="BB546" s="103"/>
      <c r="BC546" s="103"/>
      <c r="BD546" s="103"/>
      <c r="BE546" s="103"/>
      <c r="BF546" s="103"/>
      <c r="BG546" s="103"/>
      <c r="BH546" s="103"/>
      <c r="BI546" s="103"/>
      <c r="BJ546" s="103"/>
      <c r="BK546" s="103"/>
      <c r="BL546" s="103"/>
      <c r="BM546" s="103"/>
      <c r="BN546" s="103"/>
      <c r="BO546" s="103"/>
      <c r="BP546" s="103"/>
      <c r="BQ546" s="103"/>
      <c r="BR546" s="103"/>
      <c r="BS546" s="103"/>
      <c r="BT546" s="103"/>
      <c r="BU546" s="103"/>
      <c r="BV546" s="103"/>
      <c r="BW546" s="103"/>
      <c r="BX546" s="103"/>
      <c r="BY546" s="103"/>
      <c r="BZ546" s="103"/>
      <c r="CA546" s="103"/>
      <c r="CB546" s="103"/>
      <c r="CC546" s="103"/>
      <c r="CD546" s="103"/>
      <c r="CE546" s="103"/>
      <c r="CF546" s="103"/>
      <c r="CG546" s="103"/>
      <c r="CH546" s="103"/>
      <c r="CI546" s="103"/>
      <c r="CJ546" s="103"/>
      <c r="CK546" s="103"/>
      <c r="CL546" s="103"/>
      <c r="CM546" s="103"/>
      <c r="CN546" s="103"/>
      <c r="CO546" s="103"/>
    </row>
    <row r="547" spans="1:93">
      <c r="A547" s="233"/>
      <c r="B547" s="101"/>
      <c r="C547" s="17" t="s">
        <v>668</v>
      </c>
      <c r="D547" s="69"/>
      <c r="E547" s="62">
        <f>'ADR квартал'!G29</f>
        <v>28400.83315877194</v>
      </c>
      <c r="F547" s="70"/>
      <c r="G547" s="11" t="s">
        <v>661</v>
      </c>
      <c r="H547" s="69"/>
      <c r="I547" s="69"/>
      <c r="J547" s="69"/>
      <c r="K547" s="69"/>
      <c r="L547" s="581">
        <f>'ADR квартал'!H27</f>
        <v>20951.591828243047</v>
      </c>
      <c r="M547" s="581">
        <f>'ADR квартал'!I27</f>
        <v>26414.539396696739</v>
      </c>
      <c r="N547" s="581">
        <f>'ADR квартал'!J27</f>
        <v>36139.581958272851</v>
      </c>
      <c r="O547" s="581">
        <f>'ADR квартал'!K27</f>
        <v>22687.444585133577</v>
      </c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  <c r="AA547" s="103"/>
      <c r="AB547" s="103"/>
      <c r="AC547" s="103"/>
      <c r="AD547" s="103"/>
      <c r="AE547" s="103"/>
      <c r="AF547" s="103"/>
      <c r="AG547" s="103"/>
      <c r="AH547" s="103"/>
      <c r="AI547" s="103"/>
      <c r="AJ547" s="103"/>
      <c r="AK547" s="103"/>
      <c r="AL547" s="103"/>
      <c r="AM547" s="103"/>
      <c r="AN547" s="103"/>
      <c r="AO547" s="103"/>
      <c r="AP547" s="103"/>
      <c r="AQ547" s="103"/>
      <c r="AR547" s="103"/>
      <c r="AS547" s="103"/>
      <c r="AT547" s="103"/>
      <c r="AU547" s="103"/>
      <c r="AV547" s="103"/>
      <c r="AW547" s="103"/>
      <c r="AX547" s="103"/>
      <c r="AY547" s="103"/>
      <c r="AZ547" s="103"/>
      <c r="BA547" s="103"/>
      <c r="BB547" s="103"/>
      <c r="BC547" s="103"/>
      <c r="BD547" s="103"/>
      <c r="BE547" s="103"/>
      <c r="BF547" s="103"/>
      <c r="BG547" s="103"/>
      <c r="BH547" s="103"/>
      <c r="BI547" s="103"/>
      <c r="BJ547" s="103"/>
      <c r="BK547" s="103"/>
      <c r="BL547" s="103"/>
      <c r="BM547" s="103"/>
      <c r="BN547" s="103"/>
      <c r="BO547" s="103"/>
      <c r="BP547" s="103"/>
      <c r="BQ547" s="103"/>
      <c r="BR547" s="103"/>
      <c r="BS547" s="103"/>
      <c r="BT547" s="103"/>
      <c r="BU547" s="103"/>
      <c r="BV547" s="103"/>
      <c r="BW547" s="103"/>
      <c r="BX547" s="103"/>
      <c r="BY547" s="103"/>
      <c r="BZ547" s="103"/>
      <c r="CA547" s="103"/>
      <c r="CB547" s="103"/>
      <c r="CC547" s="103"/>
      <c r="CD547" s="103"/>
      <c r="CE547" s="103"/>
      <c r="CF547" s="103"/>
      <c r="CG547" s="103"/>
      <c r="CH547" s="103"/>
      <c r="CI547" s="103"/>
      <c r="CJ547" s="103"/>
      <c r="CK547" s="103"/>
      <c r="CL547" s="103"/>
      <c r="CM547" s="103"/>
      <c r="CN547" s="103"/>
      <c r="CO547" s="103"/>
    </row>
    <row r="548" spans="1:93">
      <c r="A548" s="233"/>
      <c r="B548" s="101"/>
      <c r="C548" s="169"/>
      <c r="D548" s="69"/>
      <c r="E548" s="62"/>
      <c r="F548" s="70"/>
      <c r="G548" s="11"/>
      <c r="H548" s="69"/>
      <c r="I548" s="69"/>
      <c r="J548" s="69"/>
      <c r="K548" s="69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  <c r="AA548" s="103"/>
      <c r="AB548" s="103"/>
      <c r="AC548" s="103"/>
      <c r="AD548" s="103"/>
      <c r="AE548" s="103"/>
      <c r="AF548" s="103"/>
      <c r="AG548" s="103"/>
      <c r="AH548" s="103"/>
      <c r="AI548" s="103"/>
      <c r="AJ548" s="103"/>
      <c r="AK548" s="103"/>
      <c r="AL548" s="103"/>
      <c r="AM548" s="103"/>
      <c r="AN548" s="103"/>
      <c r="AO548" s="103"/>
      <c r="AP548" s="103"/>
      <c r="AQ548" s="103"/>
      <c r="AR548" s="103"/>
      <c r="AS548" s="103"/>
      <c r="AT548" s="103"/>
      <c r="AU548" s="103"/>
      <c r="AV548" s="103"/>
      <c r="AW548" s="103"/>
      <c r="AX548" s="103"/>
      <c r="AY548" s="103"/>
      <c r="AZ548" s="103"/>
      <c r="BA548" s="103"/>
      <c r="BB548" s="103"/>
      <c r="BC548" s="103"/>
      <c r="BD548" s="103"/>
      <c r="BE548" s="103"/>
      <c r="BF548" s="103"/>
      <c r="BG548" s="103"/>
      <c r="BH548" s="103"/>
      <c r="BI548" s="103"/>
      <c r="BJ548" s="103"/>
      <c r="BK548" s="103"/>
      <c r="BL548" s="103"/>
      <c r="BM548" s="103"/>
      <c r="BN548" s="103"/>
      <c r="BO548" s="103"/>
      <c r="BP548" s="103"/>
      <c r="BQ548" s="103"/>
      <c r="BR548" s="103"/>
      <c r="BS548" s="103"/>
      <c r="BT548" s="103"/>
      <c r="BU548" s="103"/>
      <c r="BV548" s="103"/>
      <c r="BW548" s="103"/>
      <c r="BX548" s="103"/>
      <c r="BY548" s="103"/>
      <c r="BZ548" s="103"/>
      <c r="CA548" s="103"/>
      <c r="CB548" s="103"/>
      <c r="CC548" s="103"/>
      <c r="CD548" s="103"/>
      <c r="CE548" s="103"/>
      <c r="CF548" s="103"/>
      <c r="CG548" s="103"/>
      <c r="CH548" s="103"/>
      <c r="CI548" s="103"/>
      <c r="CJ548" s="103"/>
      <c r="CK548" s="103"/>
      <c r="CL548" s="103"/>
      <c r="CM548" s="103"/>
      <c r="CN548" s="103"/>
      <c r="CO548" s="103"/>
    </row>
    <row r="549" spans="1:93" ht="16.5" thickBot="1">
      <c r="A549" s="233"/>
      <c r="B549" s="101"/>
      <c r="C549" s="12" t="s">
        <v>719</v>
      </c>
      <c r="D549" s="12"/>
      <c r="E549" s="12"/>
      <c r="F549" s="12"/>
      <c r="G549" s="360"/>
      <c r="H549" s="12"/>
      <c r="I549" s="12"/>
      <c r="J549" s="69"/>
      <c r="K549" s="69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  <c r="AA549" s="103"/>
      <c r="AB549" s="103"/>
      <c r="AC549" s="103"/>
      <c r="AD549" s="103"/>
      <c r="AE549" s="103"/>
      <c r="AF549" s="103"/>
      <c r="AG549" s="103"/>
      <c r="AH549" s="103"/>
      <c r="AI549" s="103"/>
      <c r="AJ549" s="103"/>
      <c r="AK549" s="103"/>
      <c r="AL549" s="103"/>
      <c r="AM549" s="103"/>
      <c r="AN549" s="103"/>
      <c r="AO549" s="103"/>
      <c r="AP549" s="103"/>
      <c r="AQ549" s="103"/>
      <c r="AR549" s="103"/>
      <c r="AS549" s="103"/>
      <c r="AT549" s="103"/>
      <c r="AU549" s="103"/>
      <c r="AV549" s="103"/>
      <c r="AW549" s="103"/>
      <c r="AX549" s="103"/>
      <c r="AY549" s="103"/>
      <c r="AZ549" s="103"/>
      <c r="BA549" s="103"/>
      <c r="BB549" s="103"/>
      <c r="BC549" s="103"/>
      <c r="BD549" s="103"/>
      <c r="BE549" s="103"/>
      <c r="BF549" s="103"/>
      <c r="BG549" s="103"/>
      <c r="BH549" s="103"/>
      <c r="BI549" s="103"/>
      <c r="BJ549" s="103"/>
      <c r="BK549" s="103"/>
      <c r="BL549" s="103"/>
      <c r="BM549" s="103"/>
      <c r="BN549" s="103"/>
      <c r="BO549" s="103"/>
      <c r="BP549" s="103"/>
      <c r="BQ549" s="103"/>
      <c r="BR549" s="103"/>
      <c r="BS549" s="103"/>
      <c r="BT549" s="103"/>
      <c r="BU549" s="103"/>
      <c r="BV549" s="103"/>
      <c r="BW549" s="103"/>
      <c r="BX549" s="103"/>
      <c r="BY549" s="103"/>
      <c r="BZ549" s="103"/>
      <c r="CA549" s="103"/>
      <c r="CB549" s="103"/>
      <c r="CC549" s="103"/>
      <c r="CD549" s="103"/>
      <c r="CE549" s="103"/>
      <c r="CF549" s="103"/>
      <c r="CG549" s="103"/>
      <c r="CH549" s="103"/>
      <c r="CI549" s="103"/>
      <c r="CJ549" s="103"/>
      <c r="CK549" s="103"/>
      <c r="CL549" s="103"/>
      <c r="CM549" s="103"/>
      <c r="CN549" s="103"/>
      <c r="CO549" s="103"/>
    </row>
    <row r="550" spans="1:93">
      <c r="A550" s="233"/>
      <c r="B550" s="101"/>
      <c r="C550" s="169"/>
      <c r="D550" s="69"/>
      <c r="E550" s="62"/>
      <c r="F550" s="70"/>
      <c r="G550" s="11"/>
      <c r="H550" s="69"/>
      <c r="I550" s="69"/>
      <c r="J550" s="69"/>
      <c r="K550" s="69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  <c r="AA550" s="103"/>
      <c r="AB550" s="103"/>
      <c r="AC550" s="103"/>
      <c r="AD550" s="103"/>
      <c r="AE550" s="103"/>
      <c r="AF550" s="103"/>
      <c r="AG550" s="103"/>
      <c r="AH550" s="103"/>
      <c r="AI550" s="103"/>
      <c r="AJ550" s="103"/>
      <c r="AK550" s="103"/>
      <c r="AL550" s="103"/>
      <c r="AM550" s="103"/>
      <c r="AN550" s="103"/>
      <c r="AO550" s="103"/>
      <c r="AP550" s="103"/>
      <c r="AQ550" s="103"/>
      <c r="AR550" s="103"/>
      <c r="AS550" s="103"/>
      <c r="AT550" s="103"/>
      <c r="AU550" s="103"/>
      <c r="AV550" s="103"/>
      <c r="AW550" s="103"/>
      <c r="AX550" s="103"/>
      <c r="AY550" s="103"/>
      <c r="AZ550" s="103"/>
      <c r="BA550" s="103"/>
      <c r="BB550" s="103"/>
      <c r="BC550" s="103"/>
      <c r="BD550" s="103"/>
      <c r="BE550" s="103"/>
      <c r="BF550" s="103"/>
      <c r="BG550" s="103"/>
      <c r="BH550" s="103"/>
      <c r="BI550" s="103"/>
      <c r="BJ550" s="103"/>
      <c r="BK550" s="103"/>
      <c r="BL550" s="103"/>
      <c r="BM550" s="103"/>
      <c r="BN550" s="103"/>
      <c r="BO550" s="103"/>
      <c r="BP550" s="103"/>
      <c r="BQ550" s="103"/>
      <c r="BR550" s="103"/>
      <c r="BS550" s="103"/>
      <c r="BT550" s="103"/>
      <c r="BU550" s="103"/>
      <c r="BV550" s="103"/>
      <c r="BW550" s="103"/>
      <c r="BX550" s="103"/>
      <c r="BY550" s="103"/>
      <c r="BZ550" s="103"/>
      <c r="CA550" s="103"/>
      <c r="CB550" s="103"/>
      <c r="CC550" s="103"/>
      <c r="CD550" s="103"/>
      <c r="CE550" s="103"/>
      <c r="CF550" s="103"/>
      <c r="CG550" s="103"/>
      <c r="CH550" s="103"/>
      <c r="CI550" s="103"/>
      <c r="CJ550" s="103"/>
      <c r="CK550" s="103"/>
      <c r="CL550" s="103"/>
      <c r="CM550" s="103"/>
      <c r="CN550" s="103"/>
      <c r="CO550" s="103"/>
    </row>
    <row r="551" spans="1:93">
      <c r="A551" s="233"/>
      <c r="B551" s="13"/>
      <c r="C551" s="41" t="s">
        <v>671</v>
      </c>
      <c r="D551" s="10"/>
      <c r="E551" s="62"/>
      <c r="F551" s="11"/>
      <c r="G551" s="11"/>
      <c r="H551" s="10"/>
      <c r="I551" s="10"/>
      <c r="J551" s="10"/>
      <c r="K551" s="10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  <c r="AA551" s="78"/>
      <c r="AB551" s="78"/>
      <c r="AC551" s="78"/>
      <c r="AD551" s="78"/>
      <c r="AE551" s="78"/>
      <c r="AF551" s="78"/>
      <c r="AG551" s="78"/>
      <c r="AH551" s="78"/>
      <c r="AI551" s="78"/>
      <c r="AJ551" s="78"/>
      <c r="AK551" s="78"/>
      <c r="AL551" s="78"/>
      <c r="AM551" s="78"/>
      <c r="AN551" s="78"/>
      <c r="AO551" s="78"/>
      <c r="AP551" s="78"/>
      <c r="AQ551" s="78"/>
      <c r="AR551" s="78"/>
      <c r="AS551" s="78"/>
      <c r="AT551" s="78"/>
      <c r="AU551" s="78"/>
      <c r="AV551" s="78"/>
      <c r="AW551" s="78"/>
      <c r="AX551" s="78"/>
      <c r="AY551" s="78"/>
      <c r="AZ551" s="78"/>
      <c r="BA551" s="78"/>
      <c r="BB551" s="78"/>
      <c r="BC551" s="78"/>
      <c r="BD551" s="78"/>
      <c r="BE551" s="78"/>
      <c r="BF551" s="78"/>
      <c r="BG551" s="78"/>
      <c r="BH551" s="78"/>
      <c r="BI551" s="78"/>
      <c r="BJ551" s="78"/>
      <c r="BK551" s="78"/>
      <c r="BL551" s="78"/>
      <c r="BM551" s="78"/>
      <c r="BN551" s="78"/>
      <c r="BO551" s="78"/>
      <c r="BP551" s="78"/>
      <c r="BQ551" s="78"/>
      <c r="BR551" s="78"/>
      <c r="BS551" s="78"/>
      <c r="BT551" s="78"/>
      <c r="BU551" s="78"/>
      <c r="BV551" s="78"/>
      <c r="BW551" s="78"/>
      <c r="BX551" s="78"/>
      <c r="BY551" s="78"/>
      <c r="BZ551" s="78"/>
      <c r="CA551" s="78"/>
      <c r="CB551" s="78"/>
      <c r="CC551" s="78"/>
      <c r="CD551" s="78"/>
      <c r="CE551" s="78"/>
      <c r="CF551" s="78"/>
      <c r="CG551" s="78"/>
      <c r="CH551" s="78"/>
      <c r="CI551" s="78"/>
      <c r="CJ551" s="78"/>
      <c r="CK551" s="78"/>
      <c r="CL551" s="78"/>
      <c r="CM551" s="78"/>
      <c r="CN551" s="78"/>
      <c r="CO551" s="78"/>
    </row>
    <row r="552" spans="1:93">
      <c r="A552" s="233"/>
      <c r="B552" s="13"/>
      <c r="C552" s="21" t="s">
        <v>617</v>
      </c>
      <c r="D552" s="10"/>
      <c r="E552" s="62">
        <f xml:space="preserve"> $E$530</f>
        <v>120</v>
      </c>
      <c r="F552" s="11"/>
      <c r="G552" s="11" t="s">
        <v>666</v>
      </c>
      <c r="H552" s="10"/>
      <c r="I552" s="10"/>
      <c r="J552" s="10"/>
      <c r="K552" s="10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  <c r="AA552" s="78"/>
      <c r="AB552" s="78"/>
      <c r="AC552" s="78"/>
      <c r="AD552" s="78"/>
      <c r="AE552" s="78"/>
      <c r="AF552" s="78"/>
      <c r="AG552" s="78"/>
      <c r="AH552" s="78"/>
      <c r="AI552" s="78"/>
      <c r="AJ552" s="78"/>
      <c r="AK552" s="78"/>
      <c r="AL552" s="78"/>
      <c r="AM552" s="78"/>
      <c r="AN552" s="78"/>
      <c r="AO552" s="78"/>
      <c r="AP552" s="78"/>
      <c r="AQ552" s="78"/>
      <c r="AR552" s="78"/>
      <c r="AS552" s="78"/>
      <c r="AT552" s="78"/>
      <c r="AU552" s="78"/>
      <c r="AV552" s="78"/>
      <c r="AW552" s="78"/>
      <c r="AX552" s="78"/>
      <c r="AY552" s="78"/>
      <c r="AZ552" s="78"/>
      <c r="BA552" s="78"/>
      <c r="BB552" s="78"/>
      <c r="BC552" s="78"/>
      <c r="BD552" s="78"/>
      <c r="BE552" s="78"/>
      <c r="BF552" s="78"/>
      <c r="BG552" s="78"/>
      <c r="BH552" s="78"/>
      <c r="BI552" s="78"/>
      <c r="BJ552" s="78"/>
      <c r="BK552" s="78"/>
      <c r="BL552" s="78"/>
      <c r="BM552" s="78"/>
      <c r="BN552" s="78"/>
      <c r="BO552" s="78"/>
      <c r="BP552" s="78"/>
      <c r="BQ552" s="78"/>
      <c r="BR552" s="78"/>
      <c r="BS552" s="78"/>
      <c r="BT552" s="78"/>
      <c r="BU552" s="78"/>
      <c r="BV552" s="78"/>
      <c r="BW552" s="78"/>
      <c r="BX552" s="78"/>
      <c r="BY552" s="78"/>
      <c r="BZ552" s="78"/>
      <c r="CA552" s="78"/>
      <c r="CB552" s="78"/>
      <c r="CC552" s="78"/>
      <c r="CD552" s="78"/>
      <c r="CE552" s="78"/>
      <c r="CF552" s="78"/>
      <c r="CG552" s="78"/>
      <c r="CH552" s="78"/>
      <c r="CI552" s="78"/>
      <c r="CJ552" s="78"/>
      <c r="CK552" s="78"/>
      <c r="CL552" s="78"/>
      <c r="CM552" s="78"/>
      <c r="CN552" s="78"/>
      <c r="CO552" s="78"/>
    </row>
    <row r="553" spans="1:93">
      <c r="A553" s="233"/>
      <c r="B553" s="13"/>
      <c r="C553" s="21" t="s">
        <v>651</v>
      </c>
      <c r="D553" s="10"/>
      <c r="E553" s="106">
        <f xml:space="preserve"> $E$522</f>
        <v>0.61416666666666664</v>
      </c>
      <c r="F553" s="11"/>
      <c r="G553" s="11" t="s">
        <v>28</v>
      </c>
      <c r="H553" s="10"/>
      <c r="I553" s="10"/>
      <c r="J553" s="10"/>
      <c r="K553" s="10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  <c r="AA553" s="78"/>
      <c r="AB553" s="78"/>
      <c r="AC553" s="78"/>
      <c r="AD553" s="78"/>
      <c r="AE553" s="78"/>
      <c r="AF553" s="78"/>
      <c r="AG553" s="78"/>
      <c r="AH553" s="78"/>
      <c r="AI553" s="78"/>
      <c r="AJ553" s="78"/>
      <c r="AK553" s="78"/>
      <c r="AL553" s="78"/>
      <c r="AM553" s="78"/>
      <c r="AN553" s="78"/>
      <c r="AO553" s="78"/>
      <c r="AP553" s="78"/>
      <c r="AQ553" s="78"/>
      <c r="AR553" s="78"/>
      <c r="AS553" s="78"/>
      <c r="AT553" s="78"/>
      <c r="AU553" s="78"/>
      <c r="AV553" s="78"/>
      <c r="AW553" s="78"/>
      <c r="AX553" s="78"/>
      <c r="AY553" s="78"/>
      <c r="AZ553" s="78"/>
      <c r="BA553" s="78"/>
      <c r="BB553" s="78"/>
      <c r="BC553" s="78"/>
      <c r="BD553" s="78"/>
      <c r="BE553" s="78"/>
      <c r="BF553" s="78"/>
      <c r="BG553" s="78"/>
      <c r="BH553" s="78"/>
      <c r="BI553" s="78"/>
      <c r="BJ553" s="78"/>
      <c r="BK553" s="78"/>
      <c r="BL553" s="78"/>
      <c r="BM553" s="78"/>
      <c r="BN553" s="78"/>
      <c r="BO553" s="78"/>
      <c r="BP553" s="78"/>
      <c r="BQ553" s="78"/>
      <c r="BR553" s="78"/>
      <c r="BS553" s="78"/>
      <c r="BT553" s="78"/>
      <c r="BU553" s="78"/>
      <c r="BV553" s="78"/>
      <c r="BW553" s="78"/>
      <c r="BX553" s="78"/>
      <c r="BY553" s="78"/>
      <c r="BZ553" s="78"/>
      <c r="CA553" s="78"/>
      <c r="CB553" s="78"/>
      <c r="CC553" s="78"/>
      <c r="CD553" s="78"/>
      <c r="CE553" s="78"/>
      <c r="CF553" s="78"/>
      <c r="CG553" s="78"/>
      <c r="CH553" s="78"/>
      <c r="CI553" s="78"/>
      <c r="CJ553" s="78"/>
      <c r="CK553" s="78"/>
      <c r="CL553" s="78"/>
      <c r="CM553" s="78"/>
      <c r="CN553" s="78"/>
      <c r="CO553" s="78"/>
    </row>
    <row r="554" spans="1:93">
      <c r="A554" s="233"/>
      <c r="B554" s="13"/>
      <c r="C554" s="21" t="s">
        <v>762</v>
      </c>
      <c r="D554" s="10"/>
      <c r="E554" s="62">
        <f xml:space="preserve"> E552 * E553 * E543</f>
        <v>140.81122000000002</v>
      </c>
      <c r="F554" s="11"/>
      <c r="G554" s="11" t="s">
        <v>672</v>
      </c>
      <c r="H554" s="10"/>
      <c r="I554" s="10"/>
      <c r="J554" s="10"/>
      <c r="K554" s="10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  <c r="AA554" s="78"/>
      <c r="AB554" s="78"/>
      <c r="AC554" s="78"/>
      <c r="AD554" s="78"/>
      <c r="AE554" s="78"/>
      <c r="AF554" s="78"/>
      <c r="AG554" s="78"/>
      <c r="AH554" s="78"/>
      <c r="AI554" s="78"/>
      <c r="AJ554" s="78"/>
      <c r="AK554" s="78"/>
      <c r="AL554" s="78"/>
      <c r="AM554" s="78"/>
      <c r="AN554" s="78"/>
      <c r="AO554" s="78"/>
      <c r="AP554" s="78"/>
      <c r="AQ554" s="78"/>
      <c r="AR554" s="78"/>
      <c r="AS554" s="78"/>
      <c r="AT554" s="78"/>
      <c r="AU554" s="78"/>
      <c r="AV554" s="78"/>
      <c r="AW554" s="78"/>
      <c r="AX554" s="78"/>
      <c r="AY554" s="78"/>
      <c r="AZ554" s="78"/>
      <c r="BA554" s="78"/>
      <c r="BB554" s="78"/>
      <c r="BC554" s="78"/>
      <c r="BD554" s="78"/>
      <c r="BE554" s="78"/>
      <c r="BF554" s="78"/>
      <c r="BG554" s="78"/>
      <c r="BH554" s="78"/>
      <c r="BI554" s="78"/>
      <c r="BJ554" s="78"/>
      <c r="BK554" s="78"/>
      <c r="BL554" s="78"/>
      <c r="BM554" s="78"/>
      <c r="BN554" s="78"/>
      <c r="BO554" s="78"/>
      <c r="BP554" s="78"/>
      <c r="BQ554" s="78"/>
      <c r="BR554" s="78"/>
      <c r="BS554" s="78"/>
      <c r="BT554" s="78"/>
      <c r="BU554" s="78"/>
      <c r="BV554" s="78"/>
      <c r="BW554" s="78"/>
      <c r="BX554" s="78"/>
      <c r="BY554" s="78"/>
      <c r="BZ554" s="78"/>
      <c r="CA554" s="78"/>
      <c r="CB554" s="78"/>
      <c r="CC554" s="78"/>
      <c r="CD554" s="78"/>
      <c r="CE554" s="78"/>
      <c r="CF554" s="78"/>
      <c r="CG554" s="78"/>
      <c r="CH554" s="78"/>
      <c r="CI554" s="78"/>
      <c r="CJ554" s="78"/>
      <c r="CK554" s="78"/>
      <c r="CL554" s="78"/>
      <c r="CM554" s="78"/>
      <c r="CN554" s="78"/>
      <c r="CO554" s="78"/>
    </row>
    <row r="555" spans="1:93">
      <c r="A555" s="233"/>
      <c r="B555" s="13"/>
      <c r="C555" s="21" t="s">
        <v>670</v>
      </c>
      <c r="D555" s="10"/>
      <c r="E555" s="184"/>
      <c r="F555" s="11"/>
      <c r="G555" s="11" t="s">
        <v>669</v>
      </c>
      <c r="H555" s="10"/>
      <c r="I555" s="10"/>
      <c r="J555" s="10"/>
      <c r="K555" s="10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  <c r="AA555" s="78"/>
      <c r="AB555" s="78"/>
      <c r="AC555" s="78"/>
      <c r="AD555" s="78"/>
      <c r="AE555" s="78"/>
      <c r="AF555" s="78"/>
      <c r="AG555" s="78"/>
      <c r="AH555" s="78"/>
      <c r="AI555" s="78"/>
      <c r="AJ555" s="78"/>
      <c r="AK555" s="78"/>
      <c r="AL555" s="78"/>
      <c r="AM555" s="78"/>
      <c r="AN555" s="78"/>
      <c r="AO555" s="78"/>
      <c r="AP555" s="78"/>
      <c r="AQ555" s="78"/>
      <c r="AR555" s="78"/>
      <c r="AS555" s="78"/>
      <c r="AT555" s="78"/>
      <c r="AU555" s="78"/>
      <c r="AV555" s="78"/>
      <c r="AW555" s="78"/>
      <c r="AX555" s="78"/>
      <c r="AY555" s="78"/>
      <c r="AZ555" s="78"/>
      <c r="BA555" s="78"/>
      <c r="BB555" s="78"/>
      <c r="BC555" s="78"/>
      <c r="BD555" s="78"/>
      <c r="BE555" s="78"/>
      <c r="BF555" s="78"/>
      <c r="BG555" s="78"/>
      <c r="BH555" s="78"/>
      <c r="BI555" s="78"/>
      <c r="BJ555" s="78"/>
      <c r="BK555" s="78"/>
      <c r="BL555" s="78"/>
      <c r="BM555" s="78"/>
      <c r="BN555" s="78"/>
      <c r="BO555" s="78"/>
      <c r="BP555" s="78"/>
      <c r="BQ555" s="78"/>
      <c r="BR555" s="78"/>
      <c r="BS555" s="78"/>
      <c r="BT555" s="78"/>
      <c r="BU555" s="78"/>
      <c r="BV555" s="78"/>
      <c r="BW555" s="78"/>
      <c r="BX555" s="78"/>
      <c r="BY555" s="78"/>
      <c r="BZ555" s="78"/>
      <c r="CA555" s="78"/>
      <c r="CB555" s="78"/>
      <c r="CC555" s="78"/>
      <c r="CD555" s="78"/>
      <c r="CE555" s="78"/>
      <c r="CF555" s="78"/>
      <c r="CG555" s="78"/>
      <c r="CH555" s="78"/>
      <c r="CI555" s="78"/>
      <c r="CJ555" s="78"/>
      <c r="CK555" s="78"/>
      <c r="CL555" s="78"/>
      <c r="CM555" s="78"/>
      <c r="CN555" s="78"/>
      <c r="CO555" s="78"/>
    </row>
    <row r="556" spans="1:93">
      <c r="A556" s="233"/>
      <c r="B556" s="101"/>
      <c r="C556" s="169"/>
      <c r="D556" s="69"/>
      <c r="E556" s="62"/>
      <c r="F556" s="70"/>
      <c r="G556" s="11"/>
      <c r="H556" s="69"/>
      <c r="I556" s="69"/>
      <c r="J556" s="69"/>
      <c r="K556" s="69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  <c r="AA556" s="103"/>
      <c r="AB556" s="103"/>
      <c r="AC556" s="103"/>
      <c r="AD556" s="103"/>
      <c r="AE556" s="103"/>
      <c r="AF556" s="103"/>
      <c r="AG556" s="103"/>
      <c r="AH556" s="103"/>
      <c r="AI556" s="103"/>
      <c r="AJ556" s="103"/>
      <c r="AK556" s="103"/>
      <c r="AL556" s="103"/>
      <c r="AM556" s="103"/>
      <c r="AN556" s="103"/>
      <c r="AO556" s="103"/>
      <c r="AP556" s="103"/>
      <c r="AQ556" s="103"/>
      <c r="AR556" s="103"/>
      <c r="AS556" s="103"/>
      <c r="AT556" s="103"/>
      <c r="AU556" s="103"/>
      <c r="AV556" s="103"/>
      <c r="AW556" s="103"/>
      <c r="AX556" s="103"/>
      <c r="AY556" s="103"/>
      <c r="AZ556" s="103"/>
      <c r="BA556" s="103"/>
      <c r="BB556" s="103"/>
      <c r="BC556" s="103"/>
      <c r="BD556" s="103"/>
      <c r="BE556" s="103"/>
      <c r="BF556" s="103"/>
      <c r="BG556" s="103"/>
      <c r="BH556" s="103"/>
      <c r="BI556" s="103"/>
      <c r="BJ556" s="103"/>
      <c r="BK556" s="103"/>
      <c r="BL556" s="103"/>
      <c r="BM556" s="103"/>
      <c r="BN556" s="103"/>
      <c r="BO556" s="103"/>
      <c r="BP556" s="103"/>
      <c r="BQ556" s="103"/>
      <c r="BR556" s="103"/>
      <c r="BS556" s="103"/>
      <c r="BT556" s="103"/>
      <c r="BU556" s="103"/>
      <c r="BV556" s="103"/>
      <c r="BW556" s="103"/>
      <c r="BX556" s="103"/>
      <c r="BY556" s="103"/>
      <c r="BZ556" s="103"/>
      <c r="CA556" s="103"/>
      <c r="CB556" s="103"/>
      <c r="CC556" s="103"/>
      <c r="CD556" s="103"/>
      <c r="CE556" s="103"/>
      <c r="CF556" s="103"/>
      <c r="CG556" s="103"/>
      <c r="CH556" s="103"/>
      <c r="CI556" s="103"/>
      <c r="CJ556" s="103"/>
      <c r="CK556" s="103"/>
      <c r="CL556" s="103"/>
      <c r="CM556" s="103"/>
      <c r="CN556" s="103"/>
      <c r="CO556" s="103"/>
    </row>
    <row r="557" spans="1:93">
      <c r="A557" s="233"/>
      <c r="B557" s="101"/>
      <c r="C557" s="21" t="s">
        <v>1551</v>
      </c>
      <c r="D557" s="69"/>
      <c r="E557" s="196">
        <f xml:space="preserve"> Предпосылки!E396</f>
        <v>1</v>
      </c>
      <c r="F557" s="70"/>
      <c r="G557" s="11" t="s">
        <v>28</v>
      </c>
      <c r="H557" s="69"/>
      <c r="I557" s="69"/>
      <c r="J557" s="69"/>
      <c r="K557" s="69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  <c r="AA557" s="103"/>
      <c r="AB557" s="103"/>
      <c r="AC557" s="103"/>
      <c r="AD557" s="103"/>
      <c r="AE557" s="103"/>
      <c r="AF557" s="103"/>
      <c r="AG557" s="103"/>
      <c r="AH557" s="103"/>
      <c r="AI557" s="103"/>
      <c r="AJ557" s="103"/>
      <c r="AK557" s="103"/>
      <c r="AL557" s="103"/>
      <c r="AM557" s="103"/>
      <c r="AN557" s="103"/>
      <c r="AO557" s="103"/>
      <c r="AP557" s="103"/>
      <c r="AQ557" s="103"/>
      <c r="AR557" s="103"/>
      <c r="AS557" s="103"/>
      <c r="AT557" s="103"/>
      <c r="AU557" s="103"/>
      <c r="AV557" s="103"/>
      <c r="AW557" s="103"/>
      <c r="AX557" s="103"/>
      <c r="AY557" s="103"/>
      <c r="AZ557" s="103"/>
      <c r="BA557" s="103"/>
      <c r="BB557" s="103"/>
      <c r="BC557" s="103"/>
      <c r="BD557" s="103"/>
      <c r="BE557" s="103"/>
      <c r="BF557" s="103"/>
      <c r="BG557" s="103"/>
      <c r="BH557" s="103"/>
      <c r="BI557" s="103"/>
      <c r="BJ557" s="103"/>
      <c r="BK557" s="103"/>
      <c r="BL557" s="103"/>
      <c r="BM557" s="103"/>
      <c r="BN557" s="103"/>
      <c r="BO557" s="103"/>
      <c r="BP557" s="103"/>
      <c r="BQ557" s="103"/>
      <c r="BR557" s="103"/>
      <c r="BS557" s="103"/>
      <c r="BT557" s="103"/>
      <c r="BU557" s="103"/>
      <c r="BV557" s="103"/>
      <c r="BW557" s="103"/>
      <c r="BX557" s="103"/>
      <c r="BY557" s="103"/>
      <c r="BZ557" s="103"/>
      <c r="CA557" s="103"/>
      <c r="CB557" s="103"/>
      <c r="CC557" s="103"/>
      <c r="CD557" s="103"/>
      <c r="CE557" s="103"/>
      <c r="CF557" s="103"/>
      <c r="CG557" s="103"/>
      <c r="CH557" s="103"/>
      <c r="CI557" s="103"/>
      <c r="CJ557" s="103"/>
      <c r="CK557" s="103"/>
      <c r="CL557" s="103"/>
      <c r="CM557" s="103"/>
      <c r="CN557" s="103"/>
      <c r="CO557" s="103"/>
    </row>
    <row r="558" spans="1:93">
      <c r="A558" s="233"/>
      <c r="B558" s="101"/>
      <c r="C558" s="21" t="s">
        <v>764</v>
      </c>
      <c r="D558" s="69"/>
      <c r="E558" s="196">
        <f xml:space="preserve"> Предпосылки!E397</f>
        <v>0.5</v>
      </c>
      <c r="F558" s="70"/>
      <c r="G558" s="11" t="s">
        <v>28</v>
      </c>
      <c r="H558" s="69"/>
      <c r="I558" s="69"/>
      <c r="J558" s="69"/>
      <c r="K558" s="69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  <c r="AA558" s="103"/>
      <c r="AB558" s="103"/>
      <c r="AC558" s="103"/>
      <c r="AD558" s="103"/>
      <c r="AE558" s="103"/>
      <c r="AF558" s="103"/>
      <c r="AG558" s="103"/>
      <c r="AH558" s="103"/>
      <c r="AI558" s="103"/>
      <c r="AJ558" s="103"/>
      <c r="AK558" s="103"/>
      <c r="AL558" s="103"/>
      <c r="AM558" s="103"/>
      <c r="AN558" s="103"/>
      <c r="AO558" s="103"/>
      <c r="AP558" s="103"/>
      <c r="AQ558" s="103"/>
      <c r="AR558" s="103"/>
      <c r="AS558" s="103"/>
      <c r="AT558" s="103"/>
      <c r="AU558" s="103"/>
      <c r="AV558" s="103"/>
      <c r="AW558" s="103"/>
      <c r="AX558" s="103"/>
      <c r="AY558" s="103"/>
      <c r="AZ558" s="103"/>
      <c r="BA558" s="103"/>
      <c r="BB558" s="103"/>
      <c r="BC558" s="103"/>
      <c r="BD558" s="103"/>
      <c r="BE558" s="103"/>
      <c r="BF558" s="103"/>
      <c r="BG558" s="103"/>
      <c r="BH558" s="103"/>
      <c r="BI558" s="103"/>
      <c r="BJ558" s="103"/>
      <c r="BK558" s="103"/>
      <c r="BL558" s="103"/>
      <c r="BM558" s="103"/>
      <c r="BN558" s="103"/>
      <c r="BO558" s="103"/>
      <c r="BP558" s="103"/>
      <c r="BQ558" s="103"/>
      <c r="BR558" s="103"/>
      <c r="BS558" s="103"/>
      <c r="BT558" s="103"/>
      <c r="BU558" s="103"/>
      <c r="BV558" s="103"/>
      <c r="BW558" s="103"/>
      <c r="BX558" s="103"/>
      <c r="BY558" s="103"/>
      <c r="BZ558" s="103"/>
      <c r="CA558" s="103"/>
      <c r="CB558" s="103"/>
      <c r="CC558" s="103"/>
      <c r="CD558" s="103"/>
      <c r="CE558" s="103"/>
      <c r="CF558" s="103"/>
      <c r="CG558" s="103"/>
      <c r="CH558" s="103"/>
      <c r="CI558" s="103"/>
      <c r="CJ558" s="103"/>
      <c r="CK558" s="103"/>
      <c r="CL558" s="103"/>
      <c r="CM558" s="103"/>
      <c r="CN558" s="103"/>
      <c r="CO558" s="103"/>
    </row>
    <row r="559" spans="1:93">
      <c r="A559" s="233"/>
      <c r="B559" s="101"/>
      <c r="C559" s="21" t="s">
        <v>765</v>
      </c>
      <c r="D559" s="69"/>
      <c r="E559" s="196">
        <f xml:space="preserve"> Предпосылки!E398</f>
        <v>0.6</v>
      </c>
      <c r="F559" s="70"/>
      <c r="G559" s="11" t="s">
        <v>28</v>
      </c>
      <c r="H559" s="69"/>
      <c r="I559" s="69"/>
      <c r="J559" s="69"/>
      <c r="K559" s="69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  <c r="AA559" s="103"/>
      <c r="AB559" s="103"/>
      <c r="AC559" s="103"/>
      <c r="AD559" s="103"/>
      <c r="AE559" s="103"/>
      <c r="AF559" s="103"/>
      <c r="AG559" s="103"/>
      <c r="AH559" s="103"/>
      <c r="AI559" s="103"/>
      <c r="AJ559" s="103"/>
      <c r="AK559" s="103"/>
      <c r="AL559" s="103"/>
      <c r="AM559" s="103"/>
      <c r="AN559" s="103"/>
      <c r="AO559" s="103"/>
      <c r="AP559" s="103"/>
      <c r="AQ559" s="103"/>
      <c r="AR559" s="103"/>
      <c r="AS559" s="103"/>
      <c r="AT559" s="103"/>
      <c r="AU559" s="103"/>
      <c r="AV559" s="103"/>
      <c r="AW559" s="103"/>
      <c r="AX559" s="103"/>
      <c r="AY559" s="103"/>
      <c r="AZ559" s="103"/>
      <c r="BA559" s="103"/>
      <c r="BB559" s="103"/>
      <c r="BC559" s="103"/>
      <c r="BD559" s="103"/>
      <c r="BE559" s="103"/>
      <c r="BF559" s="103"/>
      <c r="BG559" s="103"/>
      <c r="BH559" s="103"/>
      <c r="BI559" s="103"/>
      <c r="BJ559" s="103"/>
      <c r="BK559" s="103"/>
      <c r="BL559" s="103"/>
      <c r="BM559" s="103"/>
      <c r="BN559" s="103"/>
      <c r="BO559" s="103"/>
      <c r="BP559" s="103"/>
      <c r="BQ559" s="103"/>
      <c r="BR559" s="103"/>
      <c r="BS559" s="103"/>
      <c r="BT559" s="103"/>
      <c r="BU559" s="103"/>
      <c r="BV559" s="103"/>
      <c r="BW559" s="103"/>
      <c r="BX559" s="103"/>
      <c r="BY559" s="103"/>
      <c r="BZ559" s="103"/>
      <c r="CA559" s="103"/>
      <c r="CB559" s="103"/>
      <c r="CC559" s="103"/>
      <c r="CD559" s="103"/>
      <c r="CE559" s="103"/>
      <c r="CF559" s="103"/>
      <c r="CG559" s="103"/>
      <c r="CH559" s="103"/>
      <c r="CI559" s="103"/>
      <c r="CJ559" s="103"/>
      <c r="CK559" s="103"/>
      <c r="CL559" s="103"/>
      <c r="CM559" s="103"/>
      <c r="CN559" s="103"/>
      <c r="CO559" s="103"/>
    </row>
    <row r="560" spans="1:93">
      <c r="A560" s="233"/>
      <c r="B560" s="101"/>
      <c r="C560" s="21" t="s">
        <v>766</v>
      </c>
      <c r="D560" s="69"/>
      <c r="E560" s="196">
        <f xml:space="preserve"> Предпосылки!E399</f>
        <v>0.2</v>
      </c>
      <c r="F560" s="70"/>
      <c r="G560" s="11"/>
      <c r="H560" s="69"/>
      <c r="I560" s="69"/>
      <c r="J560" s="69"/>
      <c r="K560" s="69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  <c r="AA560" s="103"/>
      <c r="AB560" s="103"/>
      <c r="AC560" s="103"/>
      <c r="AD560" s="103"/>
      <c r="AE560" s="103"/>
      <c r="AF560" s="103"/>
      <c r="AG560" s="103"/>
      <c r="AH560" s="103"/>
      <c r="AI560" s="103"/>
      <c r="AJ560" s="103"/>
      <c r="AK560" s="103"/>
      <c r="AL560" s="103"/>
      <c r="AM560" s="103"/>
      <c r="AN560" s="103"/>
      <c r="AO560" s="103"/>
      <c r="AP560" s="103"/>
      <c r="AQ560" s="103"/>
      <c r="AR560" s="103"/>
      <c r="AS560" s="103"/>
      <c r="AT560" s="103"/>
      <c r="AU560" s="103"/>
      <c r="AV560" s="103"/>
      <c r="AW560" s="103"/>
      <c r="AX560" s="103"/>
      <c r="AY560" s="103"/>
      <c r="AZ560" s="103"/>
      <c r="BA560" s="103"/>
      <c r="BB560" s="103"/>
      <c r="BC560" s="103"/>
      <c r="BD560" s="103"/>
      <c r="BE560" s="103"/>
      <c r="BF560" s="103"/>
      <c r="BG560" s="103"/>
      <c r="BH560" s="103"/>
      <c r="BI560" s="103"/>
      <c r="BJ560" s="103"/>
      <c r="BK560" s="103"/>
      <c r="BL560" s="103"/>
      <c r="BM560" s="103"/>
      <c r="BN560" s="103"/>
      <c r="BO560" s="103"/>
      <c r="BP560" s="103"/>
      <c r="BQ560" s="103"/>
      <c r="BR560" s="103"/>
      <c r="BS560" s="103"/>
      <c r="BT560" s="103"/>
      <c r="BU560" s="103"/>
      <c r="BV560" s="103"/>
      <c r="BW560" s="103"/>
      <c r="BX560" s="103"/>
      <c r="BY560" s="103"/>
      <c r="BZ560" s="103"/>
      <c r="CA560" s="103"/>
      <c r="CB560" s="103"/>
      <c r="CC560" s="103"/>
      <c r="CD560" s="103"/>
      <c r="CE560" s="103"/>
      <c r="CF560" s="103"/>
      <c r="CG560" s="103"/>
      <c r="CH560" s="103"/>
      <c r="CI560" s="103"/>
      <c r="CJ560" s="103"/>
      <c r="CK560" s="103"/>
      <c r="CL560" s="103"/>
      <c r="CM560" s="103"/>
      <c r="CN560" s="103"/>
      <c r="CO560" s="103"/>
    </row>
    <row r="561" spans="1:93">
      <c r="A561" s="233"/>
      <c r="B561" s="101"/>
      <c r="C561" s="21"/>
      <c r="D561" s="69"/>
      <c r="E561" s="62"/>
      <c r="F561" s="70"/>
      <c r="G561" s="11"/>
      <c r="H561" s="69"/>
      <c r="I561" s="69"/>
      <c r="J561" s="69"/>
      <c r="K561" s="69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  <c r="AA561" s="103"/>
      <c r="AB561" s="103"/>
      <c r="AC561" s="103"/>
      <c r="AD561" s="103"/>
      <c r="AE561" s="103"/>
      <c r="AF561" s="103"/>
      <c r="AG561" s="103"/>
      <c r="AH561" s="103"/>
      <c r="AI561" s="103"/>
      <c r="AJ561" s="103"/>
      <c r="AK561" s="103"/>
      <c r="AL561" s="103"/>
      <c r="AM561" s="103"/>
      <c r="AN561" s="103"/>
      <c r="AO561" s="103"/>
      <c r="AP561" s="103"/>
      <c r="AQ561" s="103"/>
      <c r="AR561" s="103"/>
      <c r="AS561" s="103"/>
      <c r="AT561" s="103"/>
      <c r="AU561" s="103"/>
      <c r="AV561" s="103"/>
      <c r="AW561" s="103"/>
      <c r="AX561" s="103"/>
      <c r="AY561" s="103"/>
      <c r="AZ561" s="103"/>
      <c r="BA561" s="103"/>
      <c r="BB561" s="103"/>
      <c r="BC561" s="103"/>
      <c r="BD561" s="103"/>
      <c r="BE561" s="103"/>
      <c r="BF561" s="103"/>
      <c r="BG561" s="103"/>
      <c r="BH561" s="103"/>
      <c r="BI561" s="103"/>
      <c r="BJ561" s="103"/>
      <c r="BK561" s="103"/>
      <c r="BL561" s="103"/>
      <c r="BM561" s="103"/>
      <c r="BN561" s="103"/>
      <c r="BO561" s="103"/>
      <c r="BP561" s="103"/>
      <c r="BQ561" s="103"/>
      <c r="BR561" s="103"/>
      <c r="BS561" s="103"/>
      <c r="BT561" s="103"/>
      <c r="BU561" s="103"/>
      <c r="BV561" s="103"/>
      <c r="BW561" s="103"/>
      <c r="BX561" s="103"/>
      <c r="BY561" s="103"/>
      <c r="BZ561" s="103"/>
      <c r="CA561" s="103"/>
      <c r="CB561" s="103"/>
      <c r="CC561" s="103"/>
      <c r="CD561" s="103"/>
      <c r="CE561" s="103"/>
      <c r="CF561" s="103"/>
      <c r="CG561" s="103"/>
      <c r="CH561" s="103"/>
      <c r="CI561" s="103"/>
      <c r="CJ561" s="103"/>
      <c r="CK561" s="103"/>
      <c r="CL561" s="103"/>
      <c r="CM561" s="103"/>
      <c r="CN561" s="103"/>
      <c r="CO561" s="103"/>
    </row>
    <row r="562" spans="1:93">
      <c r="A562" s="233"/>
      <c r="B562" s="101"/>
      <c r="C562" s="21" t="s">
        <v>673</v>
      </c>
      <c r="D562" s="69"/>
      <c r="E562" s="184">
        <f xml:space="preserve"> Предпосылки!E401</f>
        <v>0</v>
      </c>
      <c r="F562" s="11"/>
      <c r="G562" s="11" t="s">
        <v>672</v>
      </c>
      <c r="H562" s="69"/>
      <c r="I562" s="69"/>
      <c r="J562" s="69"/>
      <c r="K562" s="69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  <c r="AA562" s="103"/>
      <c r="AB562" s="103"/>
      <c r="AC562" s="103"/>
      <c r="AD562" s="103"/>
      <c r="AE562" s="103"/>
      <c r="AF562" s="103"/>
      <c r="AG562" s="103"/>
      <c r="AH562" s="103"/>
      <c r="AI562" s="103"/>
      <c r="AJ562" s="103"/>
      <c r="AK562" s="103"/>
      <c r="AL562" s="103"/>
      <c r="AM562" s="103"/>
      <c r="AN562" s="103"/>
      <c r="AO562" s="103"/>
      <c r="AP562" s="103"/>
      <c r="AQ562" s="103"/>
      <c r="AR562" s="103"/>
      <c r="AS562" s="103"/>
      <c r="AT562" s="103"/>
      <c r="AU562" s="103"/>
      <c r="AV562" s="103"/>
      <c r="AW562" s="103"/>
      <c r="AX562" s="103"/>
      <c r="AY562" s="103"/>
      <c r="AZ562" s="103"/>
      <c r="BA562" s="103"/>
      <c r="BB562" s="103"/>
      <c r="BC562" s="103"/>
      <c r="BD562" s="103"/>
      <c r="BE562" s="103"/>
      <c r="BF562" s="103"/>
      <c r="BG562" s="103"/>
      <c r="BH562" s="103"/>
      <c r="BI562" s="103"/>
      <c r="BJ562" s="103"/>
      <c r="BK562" s="103"/>
      <c r="BL562" s="103"/>
      <c r="BM562" s="103"/>
      <c r="BN562" s="103"/>
      <c r="BO562" s="103"/>
      <c r="BP562" s="103"/>
      <c r="BQ562" s="103"/>
      <c r="BR562" s="103"/>
      <c r="BS562" s="103"/>
      <c r="BT562" s="103"/>
      <c r="BU562" s="103"/>
      <c r="BV562" s="103"/>
      <c r="BW562" s="103"/>
      <c r="BX562" s="103"/>
      <c r="BY562" s="103"/>
      <c r="BZ562" s="103"/>
      <c r="CA562" s="103"/>
      <c r="CB562" s="103"/>
      <c r="CC562" s="103"/>
      <c r="CD562" s="103"/>
      <c r="CE562" s="103"/>
      <c r="CF562" s="103"/>
      <c r="CG562" s="103"/>
      <c r="CH562" s="103"/>
      <c r="CI562" s="103"/>
      <c r="CJ562" s="103"/>
      <c r="CK562" s="103"/>
      <c r="CL562" s="103"/>
      <c r="CM562" s="103"/>
      <c r="CN562" s="103"/>
      <c r="CO562" s="103"/>
    </row>
    <row r="563" spans="1:93">
      <c r="A563" s="233"/>
      <c r="B563" s="101"/>
      <c r="C563" s="21" t="s">
        <v>674</v>
      </c>
      <c r="D563" s="69"/>
      <c r="E563" s="184">
        <f xml:space="preserve"> Предпосылки!E402</f>
        <v>0</v>
      </c>
      <c r="F563" s="11"/>
      <c r="G563" s="11" t="s">
        <v>672</v>
      </c>
      <c r="H563" s="69"/>
      <c r="I563" s="69"/>
      <c r="J563" s="69"/>
      <c r="K563" s="69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  <c r="AA563" s="103"/>
      <c r="AB563" s="103"/>
      <c r="AC563" s="103"/>
      <c r="AD563" s="103"/>
      <c r="AE563" s="103"/>
      <c r="AF563" s="103"/>
      <c r="AG563" s="103"/>
      <c r="AH563" s="103"/>
      <c r="AI563" s="103"/>
      <c r="AJ563" s="103"/>
      <c r="AK563" s="103"/>
      <c r="AL563" s="103"/>
      <c r="AM563" s="103"/>
      <c r="AN563" s="103"/>
      <c r="AO563" s="103"/>
      <c r="AP563" s="103"/>
      <c r="AQ563" s="103"/>
      <c r="AR563" s="103"/>
      <c r="AS563" s="103"/>
      <c r="AT563" s="103"/>
      <c r="AU563" s="103"/>
      <c r="AV563" s="103"/>
      <c r="AW563" s="103"/>
      <c r="AX563" s="103"/>
      <c r="AY563" s="103"/>
      <c r="AZ563" s="103"/>
      <c r="BA563" s="103"/>
      <c r="BB563" s="103"/>
      <c r="BC563" s="103"/>
      <c r="BD563" s="103"/>
      <c r="BE563" s="103"/>
      <c r="BF563" s="103"/>
      <c r="BG563" s="103"/>
      <c r="BH563" s="103"/>
      <c r="BI563" s="103"/>
      <c r="BJ563" s="103"/>
      <c r="BK563" s="103"/>
      <c r="BL563" s="103"/>
      <c r="BM563" s="103"/>
      <c r="BN563" s="103"/>
      <c r="BO563" s="103"/>
      <c r="BP563" s="103"/>
      <c r="BQ563" s="103"/>
      <c r="BR563" s="103"/>
      <c r="BS563" s="103"/>
      <c r="BT563" s="103"/>
      <c r="BU563" s="103"/>
      <c r="BV563" s="103"/>
      <c r="BW563" s="103"/>
      <c r="BX563" s="103"/>
      <c r="BY563" s="103"/>
      <c r="BZ563" s="103"/>
      <c r="CA563" s="103"/>
      <c r="CB563" s="103"/>
      <c r="CC563" s="103"/>
      <c r="CD563" s="103"/>
      <c r="CE563" s="103"/>
      <c r="CF563" s="103"/>
      <c r="CG563" s="103"/>
      <c r="CH563" s="103"/>
      <c r="CI563" s="103"/>
      <c r="CJ563" s="103"/>
      <c r="CK563" s="103"/>
      <c r="CL563" s="103"/>
      <c r="CM563" s="103"/>
      <c r="CN563" s="103"/>
      <c r="CO563" s="103"/>
    </row>
    <row r="564" spans="1:93">
      <c r="A564" s="233"/>
      <c r="B564" s="101"/>
      <c r="C564" s="21" t="s">
        <v>675</v>
      </c>
      <c r="D564" s="69"/>
      <c r="E564" s="184">
        <f xml:space="preserve"> Предпосылки!E403</f>
        <v>0</v>
      </c>
      <c r="F564" s="11"/>
      <c r="G564" s="11" t="s">
        <v>672</v>
      </c>
      <c r="H564" s="69"/>
      <c r="I564" s="69"/>
      <c r="J564" s="69"/>
      <c r="K564" s="69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  <c r="AA564" s="103"/>
      <c r="AB564" s="103"/>
      <c r="AC564" s="103"/>
      <c r="AD564" s="103"/>
      <c r="AE564" s="103"/>
      <c r="AF564" s="103"/>
      <c r="AG564" s="103"/>
      <c r="AH564" s="103"/>
      <c r="AI564" s="103"/>
      <c r="AJ564" s="103"/>
      <c r="AK564" s="103"/>
      <c r="AL564" s="103"/>
      <c r="AM564" s="103"/>
      <c r="AN564" s="103"/>
      <c r="AO564" s="103"/>
      <c r="AP564" s="103"/>
      <c r="AQ564" s="103"/>
      <c r="AR564" s="103"/>
      <c r="AS564" s="103"/>
      <c r="AT564" s="103"/>
      <c r="AU564" s="103"/>
      <c r="AV564" s="103"/>
      <c r="AW564" s="103"/>
      <c r="AX564" s="103"/>
      <c r="AY564" s="103"/>
      <c r="AZ564" s="103"/>
      <c r="BA564" s="103"/>
      <c r="BB564" s="103"/>
      <c r="BC564" s="103"/>
      <c r="BD564" s="103"/>
      <c r="BE564" s="103"/>
      <c r="BF564" s="103"/>
      <c r="BG564" s="103"/>
      <c r="BH564" s="103"/>
      <c r="BI564" s="103"/>
      <c r="BJ564" s="103"/>
      <c r="BK564" s="103"/>
      <c r="BL564" s="103"/>
      <c r="BM564" s="103"/>
      <c r="BN564" s="103"/>
      <c r="BO564" s="103"/>
      <c r="BP564" s="103"/>
      <c r="BQ564" s="103"/>
      <c r="BR564" s="103"/>
      <c r="BS564" s="103"/>
      <c r="BT564" s="103"/>
      <c r="BU564" s="103"/>
      <c r="BV564" s="103"/>
      <c r="BW564" s="103"/>
      <c r="BX564" s="103"/>
      <c r="BY564" s="103"/>
      <c r="BZ564" s="103"/>
      <c r="CA564" s="103"/>
      <c r="CB564" s="103"/>
      <c r="CC564" s="103"/>
      <c r="CD564" s="103"/>
      <c r="CE564" s="103"/>
      <c r="CF564" s="103"/>
      <c r="CG564" s="103"/>
      <c r="CH564" s="103"/>
      <c r="CI564" s="103"/>
      <c r="CJ564" s="103"/>
      <c r="CK564" s="103"/>
      <c r="CL564" s="103"/>
      <c r="CM564" s="103"/>
      <c r="CN564" s="103"/>
      <c r="CO564" s="103"/>
    </row>
    <row r="565" spans="1:93">
      <c r="A565" s="233"/>
      <c r="B565" s="101"/>
      <c r="C565" s="21" t="s">
        <v>679</v>
      </c>
      <c r="D565" s="69"/>
      <c r="E565" s="184">
        <f xml:space="preserve"> Предпосылки!E404</f>
        <v>0</v>
      </c>
      <c r="F565" s="11"/>
      <c r="G565" s="11" t="s">
        <v>672</v>
      </c>
      <c r="H565" s="69"/>
      <c r="I565" s="69"/>
      <c r="J565" s="69"/>
      <c r="K565" s="69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  <c r="AA565" s="103"/>
      <c r="AB565" s="103"/>
      <c r="AC565" s="103"/>
      <c r="AD565" s="103"/>
      <c r="AE565" s="103"/>
      <c r="AF565" s="103"/>
      <c r="AG565" s="103"/>
      <c r="AH565" s="103"/>
      <c r="AI565" s="103"/>
      <c r="AJ565" s="103"/>
      <c r="AK565" s="103"/>
      <c r="AL565" s="103"/>
      <c r="AM565" s="103"/>
      <c r="AN565" s="103"/>
      <c r="AO565" s="103"/>
      <c r="AP565" s="103"/>
      <c r="AQ565" s="103"/>
      <c r="AR565" s="103"/>
      <c r="AS565" s="103"/>
      <c r="AT565" s="103"/>
      <c r="AU565" s="103"/>
      <c r="AV565" s="103"/>
      <c r="AW565" s="103"/>
      <c r="AX565" s="103"/>
      <c r="AY565" s="103"/>
      <c r="AZ565" s="103"/>
      <c r="BA565" s="103"/>
      <c r="BB565" s="103"/>
      <c r="BC565" s="103"/>
      <c r="BD565" s="103"/>
      <c r="BE565" s="103"/>
      <c r="BF565" s="103"/>
      <c r="BG565" s="103"/>
      <c r="BH565" s="103"/>
      <c r="BI565" s="103"/>
      <c r="BJ565" s="103"/>
      <c r="BK565" s="103"/>
      <c r="BL565" s="103"/>
      <c r="BM565" s="103"/>
      <c r="BN565" s="103"/>
      <c r="BO565" s="103"/>
      <c r="BP565" s="103"/>
      <c r="BQ565" s="103"/>
      <c r="BR565" s="103"/>
      <c r="BS565" s="103"/>
      <c r="BT565" s="103"/>
      <c r="BU565" s="103"/>
      <c r="BV565" s="103"/>
      <c r="BW565" s="103"/>
      <c r="BX565" s="103"/>
      <c r="BY565" s="103"/>
      <c r="BZ565" s="103"/>
      <c r="CA565" s="103"/>
      <c r="CB565" s="103"/>
      <c r="CC565" s="103"/>
      <c r="CD565" s="103"/>
      <c r="CE565" s="103"/>
      <c r="CF565" s="103"/>
      <c r="CG565" s="103"/>
      <c r="CH565" s="103"/>
      <c r="CI565" s="103"/>
      <c r="CJ565" s="103"/>
      <c r="CK565" s="103"/>
      <c r="CL565" s="103"/>
      <c r="CM565" s="103"/>
      <c r="CN565" s="103"/>
      <c r="CO565" s="103"/>
    </row>
    <row r="566" spans="1:93">
      <c r="A566" s="233"/>
      <c r="B566" s="101"/>
      <c r="C566" s="21"/>
      <c r="D566" s="69"/>
      <c r="E566" s="62"/>
      <c r="F566" s="70"/>
      <c r="G566" s="11"/>
      <c r="H566" s="69"/>
      <c r="I566" s="69"/>
      <c r="J566" s="69"/>
      <c r="K566" s="69"/>
      <c r="L566" s="574" t="str">
        <f>Предпосылки!L405</f>
        <v>1 квартал</v>
      </c>
      <c r="M566" s="574" t="str">
        <f>Предпосылки!M405</f>
        <v>2 квартал</v>
      </c>
      <c r="N566" s="574" t="str">
        <f>Предпосылки!N405</f>
        <v>3 квартал</v>
      </c>
      <c r="O566" s="574" t="str">
        <f>Предпосылки!O405</f>
        <v>4 квартал</v>
      </c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  <c r="AA566" s="103"/>
      <c r="AB566" s="103"/>
      <c r="AC566" s="103"/>
      <c r="AD566" s="103"/>
      <c r="AE566" s="103"/>
      <c r="AF566" s="103"/>
      <c r="AG566" s="103"/>
      <c r="AH566" s="103"/>
      <c r="AI566" s="103"/>
      <c r="AJ566" s="103"/>
      <c r="AK566" s="103"/>
      <c r="AL566" s="103"/>
      <c r="AM566" s="103"/>
      <c r="AN566" s="103"/>
      <c r="AO566" s="103"/>
      <c r="AP566" s="103"/>
      <c r="AQ566" s="103"/>
      <c r="AR566" s="103"/>
      <c r="AS566" s="103"/>
      <c r="AT566" s="103"/>
      <c r="AU566" s="103"/>
      <c r="AV566" s="103"/>
      <c r="AW566" s="103"/>
      <c r="AX566" s="103"/>
      <c r="AY566" s="103"/>
      <c r="AZ566" s="103"/>
      <c r="BA566" s="103"/>
      <c r="BB566" s="103"/>
      <c r="BC566" s="103"/>
      <c r="BD566" s="103"/>
      <c r="BE566" s="103"/>
      <c r="BF566" s="103"/>
      <c r="BG566" s="103"/>
      <c r="BH566" s="103"/>
      <c r="BI566" s="103"/>
      <c r="BJ566" s="103"/>
      <c r="BK566" s="103"/>
      <c r="BL566" s="103"/>
      <c r="BM566" s="103"/>
      <c r="BN566" s="103"/>
      <c r="BO566" s="103"/>
      <c r="BP566" s="103"/>
      <c r="BQ566" s="103"/>
      <c r="BR566" s="103"/>
      <c r="BS566" s="103"/>
      <c r="BT566" s="103"/>
      <c r="BU566" s="103"/>
      <c r="BV566" s="103"/>
      <c r="BW566" s="103"/>
      <c r="BX566" s="103"/>
      <c r="BY566" s="103"/>
      <c r="BZ566" s="103"/>
      <c r="CA566" s="103"/>
      <c r="CB566" s="103"/>
      <c r="CC566" s="103"/>
      <c r="CD566" s="103"/>
      <c r="CE566" s="103"/>
      <c r="CF566" s="103"/>
      <c r="CG566" s="103"/>
      <c r="CH566" s="103"/>
      <c r="CI566" s="103"/>
      <c r="CJ566" s="103"/>
      <c r="CK566" s="103"/>
      <c r="CL566" s="103"/>
      <c r="CM566" s="103"/>
      <c r="CN566" s="103"/>
      <c r="CO566" s="103"/>
    </row>
    <row r="567" spans="1:93">
      <c r="A567" s="233"/>
      <c r="B567" s="101"/>
      <c r="C567" s="21" t="s">
        <v>1552</v>
      </c>
      <c r="D567" s="69"/>
      <c r="E567" s="184">
        <f xml:space="preserve"> Предпосылки!E406</f>
        <v>2500</v>
      </c>
      <c r="F567" s="11"/>
      <c r="G567" s="11" t="s">
        <v>661</v>
      </c>
      <c r="H567" s="69"/>
      <c r="I567" s="69"/>
      <c r="J567" s="69"/>
      <c r="K567" s="69"/>
      <c r="L567" s="574">
        <v>2500</v>
      </c>
      <c r="M567" s="574">
        <v>2500</v>
      </c>
      <c r="N567" s="574">
        <v>2500</v>
      </c>
      <c r="O567" s="574">
        <v>2500</v>
      </c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  <c r="AA567" s="103"/>
      <c r="AB567" s="103"/>
      <c r="AC567" s="103"/>
      <c r="AD567" s="103"/>
      <c r="AE567" s="103"/>
      <c r="AF567" s="103"/>
      <c r="AG567" s="103"/>
      <c r="AH567" s="103"/>
      <c r="AI567" s="103"/>
      <c r="AJ567" s="103"/>
      <c r="AK567" s="103"/>
      <c r="AL567" s="103"/>
      <c r="AM567" s="103"/>
      <c r="AN567" s="103"/>
      <c r="AO567" s="103"/>
      <c r="AP567" s="103"/>
      <c r="AQ567" s="103"/>
      <c r="AR567" s="103"/>
      <c r="AS567" s="103"/>
      <c r="AT567" s="103"/>
      <c r="AU567" s="103"/>
      <c r="AV567" s="103"/>
      <c r="AW567" s="103"/>
      <c r="AX567" s="103"/>
      <c r="AY567" s="103"/>
      <c r="AZ567" s="103"/>
      <c r="BA567" s="103"/>
      <c r="BB567" s="103"/>
      <c r="BC567" s="103"/>
      <c r="BD567" s="103"/>
      <c r="BE567" s="103"/>
      <c r="BF567" s="103"/>
      <c r="BG567" s="103"/>
      <c r="BH567" s="103"/>
      <c r="BI567" s="103"/>
      <c r="BJ567" s="103"/>
      <c r="BK567" s="103"/>
      <c r="BL567" s="103"/>
      <c r="BM567" s="103"/>
      <c r="BN567" s="103"/>
      <c r="BO567" s="103"/>
      <c r="BP567" s="103"/>
      <c r="BQ567" s="103"/>
      <c r="BR567" s="103"/>
      <c r="BS567" s="103"/>
      <c r="BT567" s="103"/>
      <c r="BU567" s="103"/>
      <c r="BV567" s="103"/>
      <c r="BW567" s="103"/>
      <c r="BX567" s="103"/>
      <c r="BY567" s="103"/>
      <c r="BZ567" s="103"/>
      <c r="CA567" s="103"/>
      <c r="CB567" s="103"/>
      <c r="CC567" s="103"/>
      <c r="CD567" s="103"/>
      <c r="CE567" s="103"/>
      <c r="CF567" s="103"/>
      <c r="CG567" s="103"/>
      <c r="CH567" s="103"/>
      <c r="CI567" s="103"/>
      <c r="CJ567" s="103"/>
      <c r="CK567" s="103"/>
      <c r="CL567" s="103"/>
      <c r="CM567" s="103"/>
      <c r="CN567" s="103"/>
      <c r="CO567" s="103"/>
    </row>
    <row r="568" spans="1:93">
      <c r="A568" s="233"/>
      <c r="B568" s="101"/>
      <c r="C568" s="21" t="s">
        <v>676</v>
      </c>
      <c r="D568" s="69"/>
      <c r="E568" s="184">
        <f xml:space="preserve"> Предпосылки!E407</f>
        <v>2500</v>
      </c>
      <c r="F568" s="11"/>
      <c r="G568" s="11" t="s">
        <v>661</v>
      </c>
      <c r="H568" s="69"/>
      <c r="I568" s="69"/>
      <c r="J568" s="69"/>
      <c r="K568" s="69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  <c r="AA568" s="103"/>
      <c r="AB568" s="103"/>
      <c r="AC568" s="103"/>
      <c r="AD568" s="103"/>
      <c r="AE568" s="103"/>
      <c r="AF568" s="103"/>
      <c r="AG568" s="103"/>
      <c r="AH568" s="103"/>
      <c r="AI568" s="103"/>
      <c r="AJ568" s="103"/>
      <c r="AK568" s="103"/>
      <c r="AL568" s="103"/>
      <c r="AM568" s="103"/>
      <c r="AN568" s="103"/>
      <c r="AO568" s="103"/>
      <c r="AP568" s="103"/>
      <c r="AQ568" s="103"/>
      <c r="AR568" s="103"/>
      <c r="AS568" s="103"/>
      <c r="AT568" s="103"/>
      <c r="AU568" s="103"/>
      <c r="AV568" s="103"/>
      <c r="AW568" s="103"/>
      <c r="AX568" s="103"/>
      <c r="AY568" s="103"/>
      <c r="AZ568" s="103"/>
      <c r="BA568" s="103"/>
      <c r="BB568" s="103"/>
      <c r="BC568" s="103"/>
      <c r="BD568" s="103"/>
      <c r="BE568" s="103"/>
      <c r="BF568" s="103"/>
      <c r="BG568" s="103"/>
      <c r="BH568" s="103"/>
      <c r="BI568" s="103"/>
      <c r="BJ568" s="103"/>
      <c r="BK568" s="103"/>
      <c r="BL568" s="103"/>
      <c r="BM568" s="103"/>
      <c r="BN568" s="103"/>
      <c r="BO568" s="103"/>
      <c r="BP568" s="103"/>
      <c r="BQ568" s="103"/>
      <c r="BR568" s="103"/>
      <c r="BS568" s="103"/>
      <c r="BT568" s="103"/>
      <c r="BU568" s="103"/>
      <c r="BV568" s="103"/>
      <c r="BW568" s="103"/>
      <c r="BX568" s="103"/>
      <c r="BY568" s="103"/>
      <c r="BZ568" s="103"/>
      <c r="CA568" s="103"/>
      <c r="CB568" s="103"/>
      <c r="CC568" s="103"/>
      <c r="CD568" s="103"/>
      <c r="CE568" s="103"/>
      <c r="CF568" s="103"/>
      <c r="CG568" s="103"/>
      <c r="CH568" s="103"/>
      <c r="CI568" s="103"/>
      <c r="CJ568" s="103"/>
      <c r="CK568" s="103"/>
      <c r="CL568" s="103"/>
      <c r="CM568" s="103"/>
      <c r="CN568" s="103"/>
      <c r="CO568" s="103"/>
    </row>
    <row r="569" spans="1:93">
      <c r="A569" s="233"/>
      <c r="B569" s="101"/>
      <c r="C569" s="21" t="s">
        <v>677</v>
      </c>
      <c r="D569" s="69"/>
      <c r="E569" s="184">
        <f xml:space="preserve"> Предпосылки!E408</f>
        <v>2500</v>
      </c>
      <c r="F569" s="11"/>
      <c r="G569" s="11" t="s">
        <v>661</v>
      </c>
      <c r="H569" s="69"/>
      <c r="I569" s="69"/>
      <c r="J569" s="69"/>
      <c r="K569" s="69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  <c r="AA569" s="103"/>
      <c r="AB569" s="103"/>
      <c r="AC569" s="103"/>
      <c r="AD569" s="103"/>
      <c r="AE569" s="103"/>
      <c r="AF569" s="103"/>
      <c r="AG569" s="103"/>
      <c r="AH569" s="103"/>
      <c r="AI569" s="103"/>
      <c r="AJ569" s="103"/>
      <c r="AK569" s="103"/>
      <c r="AL569" s="103"/>
      <c r="AM569" s="103"/>
      <c r="AN569" s="103"/>
      <c r="AO569" s="103"/>
      <c r="AP569" s="103"/>
      <c r="AQ569" s="103"/>
      <c r="AR569" s="103"/>
      <c r="AS569" s="103"/>
      <c r="AT569" s="103"/>
      <c r="AU569" s="103"/>
      <c r="AV569" s="103"/>
      <c r="AW569" s="103"/>
      <c r="AX569" s="103"/>
      <c r="AY569" s="103"/>
      <c r="AZ569" s="103"/>
      <c r="BA569" s="103"/>
      <c r="BB569" s="103"/>
      <c r="BC569" s="103"/>
      <c r="BD569" s="103"/>
      <c r="BE569" s="103"/>
      <c r="BF569" s="103"/>
      <c r="BG569" s="103"/>
      <c r="BH569" s="103"/>
      <c r="BI569" s="103"/>
      <c r="BJ569" s="103"/>
      <c r="BK569" s="103"/>
      <c r="BL569" s="103"/>
      <c r="BM569" s="103"/>
      <c r="BN569" s="103"/>
      <c r="BO569" s="103"/>
      <c r="BP569" s="103"/>
      <c r="BQ569" s="103"/>
      <c r="BR569" s="103"/>
      <c r="BS569" s="103"/>
      <c r="BT569" s="103"/>
      <c r="BU569" s="103"/>
      <c r="BV569" s="103"/>
      <c r="BW569" s="103"/>
      <c r="BX569" s="103"/>
      <c r="BY569" s="103"/>
      <c r="BZ569" s="103"/>
      <c r="CA569" s="103"/>
      <c r="CB569" s="103"/>
      <c r="CC569" s="103"/>
      <c r="CD569" s="103"/>
      <c r="CE569" s="103"/>
      <c r="CF569" s="103"/>
      <c r="CG569" s="103"/>
      <c r="CH569" s="103"/>
      <c r="CI569" s="103"/>
      <c r="CJ569" s="103"/>
      <c r="CK569" s="103"/>
      <c r="CL569" s="103"/>
      <c r="CM569" s="103"/>
      <c r="CN569" s="103"/>
      <c r="CO569" s="103"/>
    </row>
    <row r="570" spans="1:93">
      <c r="A570" s="233"/>
      <c r="B570" s="101"/>
      <c r="C570" s="21" t="s">
        <v>678</v>
      </c>
      <c r="D570" s="69"/>
      <c r="E570" s="184">
        <f xml:space="preserve"> Предпосылки!E409</f>
        <v>1200</v>
      </c>
      <c r="F570" s="11"/>
      <c r="G570" s="11" t="s">
        <v>661</v>
      </c>
      <c r="H570" s="69"/>
      <c r="I570" s="69"/>
      <c r="J570" s="69"/>
      <c r="K570" s="69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  <c r="AA570" s="103"/>
      <c r="AB570" s="103"/>
      <c r="AC570" s="103"/>
      <c r="AD570" s="103"/>
      <c r="AE570" s="103"/>
      <c r="AF570" s="103"/>
      <c r="AG570" s="103"/>
      <c r="AH570" s="103"/>
      <c r="AI570" s="103"/>
      <c r="AJ570" s="103"/>
      <c r="AK570" s="103"/>
      <c r="AL570" s="103"/>
      <c r="AM570" s="103"/>
      <c r="AN570" s="103"/>
      <c r="AO570" s="103"/>
      <c r="AP570" s="103"/>
      <c r="AQ570" s="103"/>
      <c r="AR570" s="103"/>
      <c r="AS570" s="103"/>
      <c r="AT570" s="103"/>
      <c r="AU570" s="103"/>
      <c r="AV570" s="103"/>
      <c r="AW570" s="103"/>
      <c r="AX570" s="103"/>
      <c r="AY570" s="103"/>
      <c r="AZ570" s="103"/>
      <c r="BA570" s="103"/>
      <c r="BB570" s="103"/>
      <c r="BC570" s="103"/>
      <c r="BD570" s="103"/>
      <c r="BE570" s="103"/>
      <c r="BF570" s="103"/>
      <c r="BG570" s="103"/>
      <c r="BH570" s="103"/>
      <c r="BI570" s="103"/>
      <c r="BJ570" s="103"/>
      <c r="BK570" s="103"/>
      <c r="BL570" s="103"/>
      <c r="BM570" s="103"/>
      <c r="BN570" s="103"/>
      <c r="BO570" s="103"/>
      <c r="BP570" s="103"/>
      <c r="BQ570" s="103"/>
      <c r="BR570" s="103"/>
      <c r="BS570" s="103"/>
      <c r="BT570" s="103"/>
      <c r="BU570" s="103"/>
      <c r="BV570" s="103"/>
      <c r="BW570" s="103"/>
      <c r="BX570" s="103"/>
      <c r="BY570" s="103"/>
      <c r="BZ570" s="103"/>
      <c r="CA570" s="103"/>
      <c r="CB570" s="103"/>
      <c r="CC570" s="103"/>
      <c r="CD570" s="103"/>
      <c r="CE570" s="103"/>
      <c r="CF570" s="103"/>
      <c r="CG570" s="103"/>
      <c r="CH570" s="103"/>
      <c r="CI570" s="103"/>
      <c r="CJ570" s="103"/>
      <c r="CK570" s="103"/>
      <c r="CL570" s="103"/>
      <c r="CM570" s="103"/>
      <c r="CN570" s="103"/>
      <c r="CO570" s="103"/>
    </row>
    <row r="571" spans="1:93">
      <c r="A571" s="233"/>
      <c r="B571" s="101"/>
      <c r="C571" s="169"/>
      <c r="D571" s="69"/>
      <c r="E571" s="62"/>
      <c r="F571" s="70"/>
      <c r="G571" s="11"/>
      <c r="H571" s="69"/>
      <c r="I571" s="69"/>
      <c r="J571" s="69"/>
      <c r="K571" s="69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  <c r="AA571" s="103"/>
      <c r="AB571" s="103"/>
      <c r="AC571" s="103"/>
      <c r="AD571" s="103"/>
      <c r="AE571" s="103"/>
      <c r="AF571" s="103"/>
      <c r="AG571" s="103"/>
      <c r="AH571" s="103"/>
      <c r="AI571" s="103"/>
      <c r="AJ571" s="103"/>
      <c r="AK571" s="103"/>
      <c r="AL571" s="103"/>
      <c r="AM571" s="103"/>
      <c r="AN571" s="103"/>
      <c r="AO571" s="103"/>
      <c r="AP571" s="103"/>
      <c r="AQ571" s="103"/>
      <c r="AR571" s="103"/>
      <c r="AS571" s="103"/>
      <c r="AT571" s="103"/>
      <c r="AU571" s="103"/>
      <c r="AV571" s="103"/>
      <c r="AW571" s="103"/>
      <c r="AX571" s="103"/>
      <c r="AY571" s="103"/>
      <c r="AZ571" s="103"/>
      <c r="BA571" s="103"/>
      <c r="BB571" s="103"/>
      <c r="BC571" s="103"/>
      <c r="BD571" s="103"/>
      <c r="BE571" s="103"/>
      <c r="BF571" s="103"/>
      <c r="BG571" s="103"/>
      <c r="BH571" s="103"/>
      <c r="BI571" s="103"/>
      <c r="BJ571" s="103"/>
      <c r="BK571" s="103"/>
      <c r="BL571" s="103"/>
      <c r="BM571" s="103"/>
      <c r="BN571" s="103"/>
      <c r="BO571" s="103"/>
      <c r="BP571" s="103"/>
      <c r="BQ571" s="103"/>
      <c r="BR571" s="103"/>
      <c r="BS571" s="103"/>
      <c r="BT571" s="103"/>
      <c r="BU571" s="103"/>
      <c r="BV571" s="103"/>
      <c r="BW571" s="103"/>
      <c r="BX571" s="103"/>
      <c r="BY571" s="103"/>
      <c r="BZ571" s="103"/>
      <c r="CA571" s="103"/>
      <c r="CB571" s="103"/>
      <c r="CC571" s="103"/>
      <c r="CD571" s="103"/>
      <c r="CE571" s="103"/>
      <c r="CF571" s="103"/>
      <c r="CG571" s="103"/>
      <c r="CH571" s="103"/>
      <c r="CI571" s="103"/>
      <c r="CJ571" s="103"/>
      <c r="CK571" s="103"/>
      <c r="CL571" s="103"/>
      <c r="CM571" s="103"/>
      <c r="CN571" s="103"/>
      <c r="CO571" s="103"/>
    </row>
    <row r="572" spans="1:93" ht="16.5" thickBot="1">
      <c r="A572" s="233"/>
      <c r="B572" s="101"/>
      <c r="C572" s="12" t="s">
        <v>1167</v>
      </c>
      <c r="D572" s="12"/>
      <c r="E572" s="12"/>
      <c r="F572" s="12"/>
      <c r="G572" s="360"/>
      <c r="H572" s="12"/>
      <c r="I572" s="12"/>
      <c r="J572" s="69"/>
      <c r="K572" s="69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  <c r="AA572" s="103"/>
      <c r="AB572" s="103"/>
      <c r="AC572" s="103"/>
      <c r="AD572" s="103"/>
      <c r="AE572" s="103"/>
      <c r="AF572" s="103"/>
      <c r="AG572" s="103"/>
      <c r="AH572" s="103"/>
      <c r="AI572" s="103"/>
      <c r="AJ572" s="103"/>
      <c r="AK572" s="103"/>
      <c r="AL572" s="103"/>
      <c r="AM572" s="103"/>
      <c r="AN572" s="103"/>
      <c r="AO572" s="103"/>
      <c r="AP572" s="103"/>
      <c r="AQ572" s="103"/>
      <c r="AR572" s="103"/>
      <c r="AS572" s="103"/>
      <c r="AT572" s="103"/>
      <c r="AU572" s="103"/>
      <c r="AV572" s="103"/>
      <c r="AW572" s="103"/>
      <c r="AX572" s="103"/>
      <c r="AY572" s="103"/>
      <c r="AZ572" s="103"/>
      <c r="BA572" s="103"/>
      <c r="BB572" s="103"/>
      <c r="BC572" s="103"/>
      <c r="BD572" s="103"/>
      <c r="BE572" s="103"/>
      <c r="BF572" s="103"/>
      <c r="BG572" s="103"/>
      <c r="BH572" s="103"/>
      <c r="BI572" s="103"/>
      <c r="BJ572" s="103"/>
      <c r="BK572" s="103"/>
      <c r="BL572" s="103"/>
      <c r="BM572" s="103"/>
      <c r="BN572" s="103"/>
      <c r="BO572" s="103"/>
      <c r="BP572" s="103"/>
      <c r="BQ572" s="103"/>
      <c r="BR572" s="103"/>
      <c r="BS572" s="103"/>
      <c r="BT572" s="103"/>
      <c r="BU572" s="103"/>
      <c r="BV572" s="103"/>
      <c r="BW572" s="103"/>
      <c r="BX572" s="103"/>
      <c r="BY572" s="103"/>
      <c r="BZ572" s="103"/>
      <c r="CA572" s="103"/>
      <c r="CB572" s="103"/>
      <c r="CC572" s="103"/>
      <c r="CD572" s="103"/>
      <c r="CE572" s="103"/>
      <c r="CF572" s="103"/>
      <c r="CG572" s="103"/>
      <c r="CH572" s="103"/>
      <c r="CI572" s="103"/>
      <c r="CJ572" s="103"/>
      <c r="CK572" s="103"/>
      <c r="CL572" s="103"/>
      <c r="CM572" s="103"/>
      <c r="CN572" s="103"/>
      <c r="CO572" s="103"/>
    </row>
    <row r="573" spans="1:93">
      <c r="A573" s="233"/>
      <c r="B573" s="101"/>
      <c r="C573" s="169"/>
      <c r="D573" s="69"/>
      <c r="E573" s="62"/>
      <c r="F573" s="70"/>
      <c r="G573" s="11"/>
      <c r="H573" s="69"/>
      <c r="I573" s="69"/>
      <c r="J573" s="69"/>
      <c r="K573" s="69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  <c r="AA573" s="103"/>
      <c r="AB573" s="103"/>
      <c r="AC573" s="103"/>
      <c r="AD573" s="103"/>
      <c r="AE573" s="103"/>
      <c r="AF573" s="103"/>
      <c r="AG573" s="103"/>
      <c r="AH573" s="103"/>
      <c r="AI573" s="103"/>
      <c r="AJ573" s="103"/>
      <c r="AK573" s="103"/>
      <c r="AL573" s="103"/>
      <c r="AM573" s="103"/>
      <c r="AN573" s="103"/>
      <c r="AO573" s="103"/>
      <c r="AP573" s="103"/>
      <c r="AQ573" s="103"/>
      <c r="AR573" s="103"/>
      <c r="AS573" s="103"/>
      <c r="AT573" s="103"/>
      <c r="AU573" s="103"/>
      <c r="AV573" s="103"/>
      <c r="AW573" s="103"/>
      <c r="AX573" s="103"/>
      <c r="AY573" s="103"/>
      <c r="AZ573" s="103"/>
      <c r="BA573" s="103"/>
      <c r="BB573" s="103"/>
      <c r="BC573" s="103"/>
      <c r="BD573" s="103"/>
      <c r="BE573" s="103"/>
      <c r="BF573" s="103"/>
      <c r="BG573" s="103"/>
      <c r="BH573" s="103"/>
      <c r="BI573" s="103"/>
      <c r="BJ573" s="103"/>
      <c r="BK573" s="103"/>
      <c r="BL573" s="103"/>
      <c r="BM573" s="103"/>
      <c r="BN573" s="103"/>
      <c r="BO573" s="103"/>
      <c r="BP573" s="103"/>
      <c r="BQ573" s="103"/>
      <c r="BR573" s="103"/>
      <c r="BS573" s="103"/>
      <c r="BT573" s="103"/>
      <c r="BU573" s="103"/>
      <c r="BV573" s="103"/>
      <c r="BW573" s="103"/>
      <c r="BX573" s="103"/>
      <c r="BY573" s="103"/>
      <c r="BZ573" s="103"/>
      <c r="CA573" s="103"/>
      <c r="CB573" s="103"/>
      <c r="CC573" s="103"/>
      <c r="CD573" s="103"/>
      <c r="CE573" s="103"/>
      <c r="CF573" s="103"/>
      <c r="CG573" s="103"/>
      <c r="CH573" s="103"/>
      <c r="CI573" s="103"/>
      <c r="CJ573" s="103"/>
      <c r="CK573" s="103"/>
      <c r="CL573" s="103"/>
      <c r="CM573" s="103"/>
      <c r="CN573" s="103"/>
      <c r="CO573" s="103"/>
    </row>
    <row r="574" spans="1:93">
      <c r="A574" s="233"/>
      <c r="B574" s="101"/>
      <c r="C574" s="21" t="s">
        <v>1168</v>
      </c>
      <c r="D574" s="69"/>
      <c r="E574" s="196">
        <f>Предпосылки!E413</f>
        <v>0.08</v>
      </c>
      <c r="F574" s="70"/>
      <c r="G574" s="11" t="s">
        <v>28</v>
      </c>
      <c r="H574" s="69"/>
      <c r="I574" s="69"/>
      <c r="J574" s="69"/>
      <c r="K574" s="69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  <c r="AA574" s="103"/>
      <c r="AB574" s="103"/>
      <c r="AC574" s="103"/>
      <c r="AD574" s="103"/>
      <c r="AE574" s="103"/>
      <c r="AF574" s="103"/>
      <c r="AG574" s="103"/>
      <c r="AH574" s="103"/>
      <c r="AI574" s="103"/>
      <c r="AJ574" s="103"/>
      <c r="AK574" s="103"/>
      <c r="AL574" s="103"/>
      <c r="AM574" s="103"/>
      <c r="AN574" s="103"/>
      <c r="AO574" s="103"/>
      <c r="AP574" s="103"/>
      <c r="AQ574" s="103"/>
      <c r="AR574" s="103"/>
      <c r="AS574" s="103"/>
      <c r="AT574" s="103"/>
      <c r="AU574" s="103"/>
      <c r="AV574" s="103"/>
      <c r="AW574" s="103"/>
      <c r="AX574" s="103"/>
      <c r="AY574" s="103"/>
      <c r="AZ574" s="103"/>
      <c r="BA574" s="103"/>
      <c r="BB574" s="103"/>
      <c r="BC574" s="103"/>
      <c r="BD574" s="103"/>
      <c r="BE574" s="103"/>
      <c r="BF574" s="103"/>
      <c r="BG574" s="103"/>
      <c r="BH574" s="103"/>
      <c r="BI574" s="103"/>
      <c r="BJ574" s="103"/>
      <c r="BK574" s="103"/>
      <c r="BL574" s="103"/>
      <c r="BM574" s="103"/>
      <c r="BN574" s="103"/>
      <c r="BO574" s="103"/>
      <c r="BP574" s="103"/>
      <c r="BQ574" s="103"/>
      <c r="BR574" s="103"/>
      <c r="BS574" s="103"/>
      <c r="BT574" s="103"/>
      <c r="BU574" s="103"/>
      <c r="BV574" s="103"/>
      <c r="BW574" s="103"/>
      <c r="BX574" s="103"/>
      <c r="BY574" s="103"/>
      <c r="BZ574" s="103"/>
      <c r="CA574" s="103"/>
      <c r="CB574" s="103"/>
      <c r="CC574" s="103"/>
      <c r="CD574" s="103"/>
      <c r="CE574" s="103"/>
      <c r="CF574" s="103"/>
      <c r="CG574" s="103"/>
      <c r="CH574" s="103"/>
      <c r="CI574" s="103"/>
      <c r="CJ574" s="103"/>
      <c r="CK574" s="103"/>
      <c r="CL574" s="103"/>
      <c r="CM574" s="103"/>
      <c r="CN574" s="103"/>
      <c r="CO574" s="103"/>
    </row>
    <row r="575" spans="1:93">
      <c r="A575" s="233"/>
      <c r="B575" s="101"/>
      <c r="C575" s="169"/>
      <c r="D575" s="69"/>
      <c r="E575" s="62"/>
      <c r="F575" s="70"/>
      <c r="G575" s="11"/>
      <c r="H575" s="69"/>
      <c r="I575" s="69"/>
      <c r="J575" s="69"/>
      <c r="K575" s="69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  <c r="AA575" s="103"/>
      <c r="AB575" s="103"/>
      <c r="AC575" s="103"/>
      <c r="AD575" s="103"/>
      <c r="AE575" s="103"/>
      <c r="AF575" s="103"/>
      <c r="AG575" s="103"/>
      <c r="AH575" s="103"/>
      <c r="AI575" s="103"/>
      <c r="AJ575" s="103"/>
      <c r="AK575" s="103"/>
      <c r="AL575" s="103"/>
      <c r="AM575" s="103"/>
      <c r="AN575" s="103"/>
      <c r="AO575" s="103"/>
      <c r="AP575" s="103"/>
      <c r="AQ575" s="103"/>
      <c r="AR575" s="103"/>
      <c r="AS575" s="103"/>
      <c r="AT575" s="103"/>
      <c r="AU575" s="103"/>
      <c r="AV575" s="103"/>
      <c r="AW575" s="103"/>
      <c r="AX575" s="103"/>
      <c r="AY575" s="103"/>
      <c r="AZ575" s="103"/>
      <c r="BA575" s="103"/>
      <c r="BB575" s="103"/>
      <c r="BC575" s="103"/>
      <c r="BD575" s="103"/>
      <c r="BE575" s="103"/>
      <c r="BF575" s="103"/>
      <c r="BG575" s="103"/>
      <c r="BH575" s="103"/>
      <c r="BI575" s="103"/>
      <c r="BJ575" s="103"/>
      <c r="BK575" s="103"/>
      <c r="BL575" s="103"/>
      <c r="BM575" s="103"/>
      <c r="BN575" s="103"/>
      <c r="BO575" s="103"/>
      <c r="BP575" s="103"/>
      <c r="BQ575" s="103"/>
      <c r="BR575" s="103"/>
      <c r="BS575" s="103"/>
      <c r="BT575" s="103"/>
      <c r="BU575" s="103"/>
      <c r="BV575" s="103"/>
      <c r="BW575" s="103"/>
      <c r="BX575" s="103"/>
      <c r="BY575" s="103"/>
      <c r="BZ575" s="103"/>
      <c r="CA575" s="103"/>
      <c r="CB575" s="103"/>
      <c r="CC575" s="103"/>
      <c r="CD575" s="103"/>
      <c r="CE575" s="103"/>
      <c r="CF575" s="103"/>
      <c r="CG575" s="103"/>
      <c r="CH575" s="103"/>
      <c r="CI575" s="103"/>
      <c r="CJ575" s="103"/>
      <c r="CK575" s="103"/>
      <c r="CL575" s="103"/>
      <c r="CM575" s="103"/>
      <c r="CN575" s="103"/>
      <c r="CO575" s="103"/>
    </row>
    <row r="576" spans="1:93" ht="16.5" hidden="1" thickBot="1">
      <c r="A576" s="233"/>
      <c r="B576" s="101"/>
      <c r="C576" s="12" t="s">
        <v>856</v>
      </c>
      <c r="D576" s="12"/>
      <c r="E576" s="12"/>
      <c r="F576" s="12"/>
      <c r="G576" s="360"/>
      <c r="H576" s="12"/>
      <c r="I576" s="12"/>
      <c r="J576" s="69"/>
      <c r="K576" s="69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  <c r="AA576" s="103"/>
      <c r="AB576" s="103"/>
      <c r="AC576" s="103"/>
      <c r="AD576" s="103"/>
      <c r="AE576" s="103"/>
      <c r="AF576" s="103"/>
      <c r="AG576" s="103"/>
      <c r="AH576" s="103"/>
      <c r="AI576" s="103"/>
      <c r="AJ576" s="103"/>
      <c r="AK576" s="103"/>
      <c r="AL576" s="103"/>
      <c r="AM576" s="103"/>
      <c r="AN576" s="103"/>
      <c r="AO576" s="103"/>
      <c r="AP576" s="103"/>
      <c r="AQ576" s="103"/>
      <c r="AR576" s="103"/>
      <c r="AS576" s="103"/>
      <c r="AT576" s="103"/>
      <c r="AU576" s="103"/>
      <c r="AV576" s="103"/>
      <c r="AW576" s="103"/>
      <c r="AX576" s="103"/>
      <c r="AY576" s="103"/>
      <c r="AZ576" s="103"/>
      <c r="BA576" s="103"/>
      <c r="BB576" s="103"/>
      <c r="BC576" s="103"/>
      <c r="BD576" s="103"/>
      <c r="BE576" s="103"/>
      <c r="BF576" s="103"/>
      <c r="BG576" s="103"/>
      <c r="BH576" s="103"/>
      <c r="BI576" s="103"/>
      <c r="BJ576" s="103"/>
      <c r="BK576" s="103"/>
      <c r="BL576" s="103"/>
      <c r="BM576" s="103"/>
      <c r="BN576" s="103"/>
      <c r="BO576" s="103"/>
      <c r="BP576" s="103"/>
      <c r="BQ576" s="103"/>
      <c r="BR576" s="103"/>
      <c r="BS576" s="103"/>
      <c r="BT576" s="103"/>
      <c r="BU576" s="103"/>
      <c r="BV576" s="103"/>
      <c r="BW576" s="103"/>
      <c r="BX576" s="103"/>
      <c r="BY576" s="103"/>
      <c r="BZ576" s="103"/>
      <c r="CA576" s="103"/>
      <c r="CB576" s="103"/>
      <c r="CC576" s="103"/>
      <c r="CD576" s="103"/>
      <c r="CE576" s="103"/>
      <c r="CF576" s="103"/>
      <c r="CG576" s="103"/>
      <c r="CH576" s="103"/>
      <c r="CI576" s="103"/>
      <c r="CJ576" s="103"/>
      <c r="CK576" s="103"/>
      <c r="CL576" s="103"/>
      <c r="CM576" s="103"/>
      <c r="CN576" s="103"/>
      <c r="CO576" s="103"/>
    </row>
    <row r="577" spans="1:93" hidden="1">
      <c r="A577" s="233"/>
      <c r="B577" s="101"/>
      <c r="C577" s="169"/>
      <c r="D577" s="69"/>
      <c r="E577" s="62"/>
      <c r="F577" s="70"/>
      <c r="G577" s="11"/>
      <c r="H577" s="69"/>
      <c r="I577" s="69"/>
      <c r="J577" s="69"/>
      <c r="K577" s="69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  <c r="AA577" s="103"/>
      <c r="AB577" s="103"/>
      <c r="AC577" s="103"/>
      <c r="AD577" s="103"/>
      <c r="AE577" s="103"/>
      <c r="AF577" s="103"/>
      <c r="AG577" s="103"/>
      <c r="AH577" s="103"/>
      <c r="AI577" s="103"/>
      <c r="AJ577" s="103"/>
      <c r="AK577" s="103"/>
      <c r="AL577" s="103"/>
      <c r="AM577" s="103"/>
      <c r="AN577" s="103"/>
      <c r="AO577" s="103"/>
      <c r="AP577" s="103"/>
      <c r="AQ577" s="103"/>
      <c r="AR577" s="103"/>
      <c r="AS577" s="103"/>
      <c r="AT577" s="103"/>
      <c r="AU577" s="103"/>
      <c r="AV577" s="103"/>
      <c r="AW577" s="103"/>
      <c r="AX577" s="103"/>
      <c r="AY577" s="103"/>
      <c r="AZ577" s="103"/>
      <c r="BA577" s="103"/>
      <c r="BB577" s="103"/>
      <c r="BC577" s="103"/>
      <c r="BD577" s="103"/>
      <c r="BE577" s="103"/>
      <c r="BF577" s="103"/>
      <c r="BG577" s="103"/>
      <c r="BH577" s="103"/>
      <c r="BI577" s="103"/>
      <c r="BJ577" s="103"/>
      <c r="BK577" s="103"/>
      <c r="BL577" s="103"/>
      <c r="BM577" s="103"/>
      <c r="BN577" s="103"/>
      <c r="BO577" s="103"/>
      <c r="BP577" s="103"/>
      <c r="BQ577" s="103"/>
      <c r="BR577" s="103"/>
      <c r="BS577" s="103"/>
      <c r="BT577" s="103"/>
      <c r="BU577" s="103"/>
      <c r="BV577" s="103"/>
      <c r="BW577" s="103"/>
      <c r="BX577" s="103"/>
      <c r="BY577" s="103"/>
      <c r="BZ577" s="103"/>
      <c r="CA577" s="103"/>
      <c r="CB577" s="103"/>
      <c r="CC577" s="103"/>
      <c r="CD577" s="103"/>
      <c r="CE577" s="103"/>
      <c r="CF577" s="103"/>
      <c r="CG577" s="103"/>
      <c r="CH577" s="103"/>
      <c r="CI577" s="103"/>
      <c r="CJ577" s="103"/>
      <c r="CK577" s="103"/>
      <c r="CL577" s="103"/>
      <c r="CM577" s="103"/>
      <c r="CN577" s="103"/>
      <c r="CO577" s="103"/>
    </row>
    <row r="578" spans="1:93" hidden="1">
      <c r="A578" s="233"/>
      <c r="B578" s="101"/>
      <c r="C578" s="17" t="s">
        <v>668</v>
      </c>
      <c r="D578" s="69"/>
      <c r="E578" s="62">
        <f xml:space="preserve"> E547</f>
        <v>28400.83315877194</v>
      </c>
      <c r="F578" s="70"/>
      <c r="G578" s="11" t="s">
        <v>661</v>
      </c>
      <c r="H578" s="69"/>
      <c r="I578" s="69"/>
      <c r="J578" s="69"/>
      <c r="K578" s="69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  <c r="AA578" s="103"/>
      <c r="AB578" s="103"/>
      <c r="AC578" s="103"/>
      <c r="AD578" s="103"/>
      <c r="AE578" s="103"/>
      <c r="AF578" s="103"/>
      <c r="AG578" s="103"/>
      <c r="AH578" s="103"/>
      <c r="AI578" s="103"/>
      <c r="AJ578" s="103"/>
      <c r="AK578" s="103"/>
      <c r="AL578" s="103"/>
      <c r="AM578" s="103"/>
      <c r="AN578" s="103"/>
      <c r="AO578" s="103"/>
      <c r="AP578" s="103"/>
      <c r="AQ578" s="103"/>
      <c r="AR578" s="103"/>
      <c r="AS578" s="103"/>
      <c r="AT578" s="103"/>
      <c r="AU578" s="103"/>
      <c r="AV578" s="103"/>
      <c r="AW578" s="103"/>
      <c r="AX578" s="103"/>
      <c r="AY578" s="103"/>
      <c r="AZ578" s="103"/>
      <c r="BA578" s="103"/>
      <c r="BB578" s="103"/>
      <c r="BC578" s="103"/>
      <c r="BD578" s="103"/>
      <c r="BE578" s="103"/>
      <c r="BF578" s="103"/>
      <c r="BG578" s="103"/>
      <c r="BH578" s="103"/>
      <c r="BI578" s="103"/>
      <c r="BJ578" s="103"/>
      <c r="BK578" s="103"/>
      <c r="BL578" s="103"/>
      <c r="BM578" s="103"/>
      <c r="BN578" s="103"/>
      <c r="BO578" s="103"/>
      <c r="BP578" s="103"/>
      <c r="BQ578" s="103"/>
      <c r="BR578" s="103"/>
      <c r="BS578" s="103"/>
      <c r="BT578" s="103"/>
      <c r="BU578" s="103"/>
      <c r="BV578" s="103"/>
      <c r="BW578" s="103"/>
      <c r="BX578" s="103"/>
      <c r="BY578" s="103"/>
      <c r="BZ578" s="103"/>
      <c r="CA578" s="103"/>
      <c r="CB578" s="103"/>
      <c r="CC578" s="103"/>
      <c r="CD578" s="103"/>
      <c r="CE578" s="103"/>
      <c r="CF578" s="103"/>
      <c r="CG578" s="103"/>
      <c r="CH578" s="103"/>
      <c r="CI578" s="103"/>
      <c r="CJ578" s="103"/>
      <c r="CK578" s="103"/>
      <c r="CL578" s="103"/>
      <c r="CM578" s="103"/>
      <c r="CN578" s="103"/>
      <c r="CO578" s="103"/>
    </row>
    <row r="579" spans="1:93" hidden="1">
      <c r="A579" s="233"/>
      <c r="B579" s="101"/>
      <c r="C579" s="17" t="s">
        <v>665</v>
      </c>
      <c r="D579" s="69"/>
      <c r="E579" s="62">
        <v>200</v>
      </c>
      <c r="F579" s="70"/>
      <c r="G579" s="11" t="s">
        <v>641</v>
      </c>
      <c r="H579" s="69"/>
      <c r="I579" s="69"/>
      <c r="J579" s="69"/>
      <c r="K579" s="69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  <c r="AA579" s="103"/>
      <c r="AB579" s="103"/>
      <c r="AC579" s="103"/>
      <c r="AD579" s="103"/>
      <c r="AE579" s="103"/>
      <c r="AF579" s="103"/>
      <c r="AG579" s="103"/>
      <c r="AH579" s="103"/>
      <c r="AI579" s="103"/>
      <c r="AJ579" s="103"/>
      <c r="AK579" s="103"/>
      <c r="AL579" s="103"/>
      <c r="AM579" s="103"/>
      <c r="AN579" s="103"/>
      <c r="AO579" s="103"/>
      <c r="AP579" s="103"/>
      <c r="AQ579" s="103"/>
      <c r="AR579" s="103"/>
      <c r="AS579" s="103"/>
      <c r="AT579" s="103"/>
      <c r="AU579" s="103"/>
      <c r="AV579" s="103"/>
      <c r="AW579" s="103"/>
      <c r="AX579" s="103"/>
      <c r="AY579" s="103"/>
      <c r="AZ579" s="103"/>
      <c r="BA579" s="103"/>
      <c r="BB579" s="103"/>
      <c r="BC579" s="103"/>
      <c r="BD579" s="103"/>
      <c r="BE579" s="103"/>
      <c r="BF579" s="103"/>
      <c r="BG579" s="103"/>
      <c r="BH579" s="103"/>
      <c r="BI579" s="103"/>
      <c r="BJ579" s="103"/>
      <c r="BK579" s="103"/>
      <c r="BL579" s="103"/>
      <c r="BM579" s="103"/>
      <c r="BN579" s="103"/>
      <c r="BO579" s="103"/>
      <c r="BP579" s="103"/>
      <c r="BQ579" s="103"/>
      <c r="BR579" s="103"/>
      <c r="BS579" s="103"/>
      <c r="BT579" s="103"/>
      <c r="BU579" s="103"/>
      <c r="BV579" s="103"/>
      <c r="BW579" s="103"/>
      <c r="BX579" s="103"/>
      <c r="BY579" s="103"/>
      <c r="BZ579" s="103"/>
      <c r="CA579" s="103"/>
      <c r="CB579" s="103"/>
      <c r="CC579" s="103"/>
      <c r="CD579" s="103"/>
      <c r="CE579" s="103"/>
      <c r="CF579" s="103"/>
      <c r="CG579" s="103"/>
      <c r="CH579" s="103"/>
      <c r="CI579" s="103"/>
      <c r="CJ579" s="103"/>
      <c r="CK579" s="103"/>
      <c r="CL579" s="103"/>
      <c r="CM579" s="103"/>
      <c r="CN579" s="103"/>
      <c r="CO579" s="103"/>
    </row>
    <row r="580" spans="1:93" hidden="1">
      <c r="A580" s="233"/>
      <c r="B580" s="101"/>
      <c r="C580" s="17" t="s">
        <v>651</v>
      </c>
      <c r="D580" s="69"/>
      <c r="E580" s="106">
        <f xml:space="preserve"> E522</f>
        <v>0.61416666666666664</v>
      </c>
      <c r="F580" s="70"/>
      <c r="G580" s="11" t="s">
        <v>28</v>
      </c>
      <c r="H580" s="69"/>
      <c r="I580" s="69"/>
      <c r="J580" s="69"/>
      <c r="K580" s="69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  <c r="AA580" s="103"/>
      <c r="AB580" s="103"/>
      <c r="AC580" s="103"/>
      <c r="AD580" s="103"/>
      <c r="AE580" s="103"/>
      <c r="AF580" s="103"/>
      <c r="AG580" s="103"/>
      <c r="AH580" s="103"/>
      <c r="AI580" s="103"/>
      <c r="AJ580" s="103"/>
      <c r="AK580" s="103"/>
      <c r="AL580" s="103"/>
      <c r="AM580" s="103"/>
      <c r="AN580" s="103"/>
      <c r="AO580" s="103"/>
      <c r="AP580" s="103"/>
      <c r="AQ580" s="103"/>
      <c r="AR580" s="103"/>
      <c r="AS580" s="103"/>
      <c r="AT580" s="103"/>
      <c r="AU580" s="103"/>
      <c r="AV580" s="103"/>
      <c r="AW580" s="103"/>
      <c r="AX580" s="103"/>
      <c r="AY580" s="103"/>
      <c r="AZ580" s="103"/>
      <c r="BA580" s="103"/>
      <c r="BB580" s="103"/>
      <c r="BC580" s="103"/>
      <c r="BD580" s="103"/>
      <c r="BE580" s="103"/>
      <c r="BF580" s="103"/>
      <c r="BG580" s="103"/>
      <c r="BH580" s="103"/>
      <c r="BI580" s="103"/>
      <c r="BJ580" s="103"/>
      <c r="BK580" s="103"/>
      <c r="BL580" s="103"/>
      <c r="BM580" s="103"/>
      <c r="BN580" s="103"/>
      <c r="BO580" s="103"/>
      <c r="BP580" s="103"/>
      <c r="BQ580" s="103"/>
      <c r="BR580" s="103"/>
      <c r="BS580" s="103"/>
      <c r="BT580" s="103"/>
      <c r="BU580" s="103"/>
      <c r="BV580" s="103"/>
      <c r="BW580" s="103"/>
      <c r="BX580" s="103"/>
      <c r="BY580" s="103"/>
      <c r="BZ580" s="103"/>
      <c r="CA580" s="103"/>
      <c r="CB580" s="103"/>
      <c r="CC580" s="103"/>
      <c r="CD580" s="103"/>
      <c r="CE580" s="103"/>
      <c r="CF580" s="103"/>
      <c r="CG580" s="103"/>
      <c r="CH580" s="103"/>
      <c r="CI580" s="103"/>
      <c r="CJ580" s="103"/>
      <c r="CK580" s="103"/>
      <c r="CL580" s="103"/>
      <c r="CM580" s="103"/>
      <c r="CN580" s="103"/>
      <c r="CO580" s="103"/>
    </row>
    <row r="581" spans="1:93" hidden="1">
      <c r="A581" s="233"/>
      <c r="B581" s="101"/>
      <c r="C581" s="248" t="s">
        <v>682</v>
      </c>
      <c r="D581" s="234"/>
      <c r="E581" s="235">
        <f xml:space="preserve"> E578 * E579 * E580</f>
        <v>3488569.0063358201</v>
      </c>
      <c r="F581" s="236"/>
      <c r="G581" s="230" t="s">
        <v>661</v>
      </c>
      <c r="H581" s="69"/>
      <c r="I581" s="69"/>
      <c r="J581" s="69"/>
      <c r="K581" s="69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  <c r="AA581" s="103"/>
      <c r="AB581" s="103"/>
      <c r="AC581" s="103"/>
      <c r="AD581" s="103"/>
      <c r="AE581" s="103"/>
      <c r="AF581" s="103"/>
      <c r="AG581" s="103"/>
      <c r="AH581" s="103"/>
      <c r="AI581" s="103"/>
      <c r="AJ581" s="103"/>
      <c r="AK581" s="103"/>
      <c r="AL581" s="103"/>
      <c r="AM581" s="103"/>
      <c r="AN581" s="103"/>
      <c r="AO581" s="103"/>
      <c r="AP581" s="103"/>
      <c r="AQ581" s="103"/>
      <c r="AR581" s="103"/>
      <c r="AS581" s="103"/>
      <c r="AT581" s="103"/>
      <c r="AU581" s="103"/>
      <c r="AV581" s="103"/>
      <c r="AW581" s="103"/>
      <c r="AX581" s="103"/>
      <c r="AY581" s="103"/>
      <c r="AZ581" s="103"/>
      <c r="BA581" s="103"/>
      <c r="BB581" s="103"/>
      <c r="BC581" s="103"/>
      <c r="BD581" s="103"/>
      <c r="BE581" s="103"/>
      <c r="BF581" s="103"/>
      <c r="BG581" s="103"/>
      <c r="BH581" s="103"/>
      <c r="BI581" s="103"/>
      <c r="BJ581" s="103"/>
      <c r="BK581" s="103"/>
      <c r="BL581" s="103"/>
      <c r="BM581" s="103"/>
      <c r="BN581" s="103"/>
      <c r="BO581" s="103"/>
      <c r="BP581" s="103"/>
      <c r="BQ581" s="103"/>
      <c r="BR581" s="103"/>
      <c r="BS581" s="103"/>
      <c r="BT581" s="103"/>
      <c r="BU581" s="103"/>
      <c r="BV581" s="103"/>
      <c r="BW581" s="103"/>
      <c r="BX581" s="103"/>
      <c r="BY581" s="103"/>
      <c r="BZ581" s="103"/>
      <c r="CA581" s="103"/>
      <c r="CB581" s="103"/>
      <c r="CC581" s="103"/>
      <c r="CD581" s="103"/>
      <c r="CE581" s="103"/>
      <c r="CF581" s="103"/>
      <c r="CG581" s="103"/>
      <c r="CH581" s="103"/>
      <c r="CI581" s="103"/>
      <c r="CJ581" s="103"/>
      <c r="CK581" s="103"/>
      <c r="CL581" s="103"/>
      <c r="CM581" s="103"/>
      <c r="CN581" s="103"/>
      <c r="CO581" s="103"/>
    </row>
    <row r="582" spans="1:93" hidden="1">
      <c r="A582" s="233"/>
      <c r="B582" s="101"/>
      <c r="C582" s="169"/>
      <c r="D582" s="69"/>
      <c r="E582" s="106"/>
      <c r="F582" s="70"/>
      <c r="G582" s="11"/>
      <c r="H582" s="69"/>
      <c r="I582" s="69"/>
      <c r="J582" s="69"/>
      <c r="K582" s="69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  <c r="AA582" s="103"/>
      <c r="AB582" s="103"/>
      <c r="AC582" s="103"/>
      <c r="AD582" s="103"/>
      <c r="AE582" s="103"/>
      <c r="AF582" s="103"/>
      <c r="AG582" s="103"/>
      <c r="AH582" s="103"/>
      <c r="AI582" s="103"/>
      <c r="AJ582" s="103"/>
      <c r="AK582" s="103"/>
      <c r="AL582" s="103"/>
      <c r="AM582" s="103"/>
      <c r="AN582" s="103"/>
      <c r="AO582" s="103"/>
      <c r="AP582" s="103"/>
      <c r="AQ582" s="103"/>
      <c r="AR582" s="103"/>
      <c r="AS582" s="103"/>
      <c r="AT582" s="103"/>
      <c r="AU582" s="103"/>
      <c r="AV582" s="103"/>
      <c r="AW582" s="103"/>
      <c r="AX582" s="103"/>
      <c r="AY582" s="103"/>
      <c r="AZ582" s="103"/>
      <c r="BA582" s="103"/>
      <c r="BB582" s="103"/>
      <c r="BC582" s="103"/>
      <c r="BD582" s="103"/>
      <c r="BE582" s="103"/>
      <c r="BF582" s="103"/>
      <c r="BG582" s="103"/>
      <c r="BH582" s="103"/>
      <c r="BI582" s="103"/>
      <c r="BJ582" s="103"/>
      <c r="BK582" s="103"/>
      <c r="BL582" s="103"/>
      <c r="BM582" s="103"/>
      <c r="BN582" s="103"/>
      <c r="BO582" s="103"/>
      <c r="BP582" s="103"/>
      <c r="BQ582" s="103"/>
      <c r="BR582" s="103"/>
      <c r="BS582" s="103"/>
      <c r="BT582" s="103"/>
      <c r="BU582" s="103"/>
      <c r="BV582" s="103"/>
      <c r="BW582" s="103"/>
      <c r="BX582" s="103"/>
      <c r="BY582" s="103"/>
      <c r="BZ582" s="103"/>
      <c r="CA582" s="103"/>
      <c r="CB582" s="103"/>
      <c r="CC582" s="103"/>
      <c r="CD582" s="103"/>
      <c r="CE582" s="103"/>
      <c r="CF582" s="103"/>
      <c r="CG582" s="103"/>
      <c r="CH582" s="103"/>
      <c r="CI582" s="103"/>
      <c r="CJ582" s="103"/>
      <c r="CK582" s="103"/>
      <c r="CL582" s="103"/>
      <c r="CM582" s="103"/>
      <c r="CN582" s="103"/>
      <c r="CO582" s="103"/>
    </row>
    <row r="583" spans="1:93" hidden="1">
      <c r="A583" s="233"/>
      <c r="B583" s="101"/>
      <c r="C583" s="17" t="s">
        <v>683</v>
      </c>
      <c r="D583" s="69"/>
      <c r="E583" s="62">
        <f xml:space="preserve"> E567 * ($E$554 * E557 + E562)</f>
        <v>352028.05000000005</v>
      </c>
      <c r="F583" s="503">
        <f>E583*100/$E$587/100</f>
        <v>0.45537340619307842</v>
      </c>
      <c r="G583" s="11" t="s">
        <v>661</v>
      </c>
      <c r="H583" s="69"/>
      <c r="I583" s="69"/>
      <c r="J583" s="69"/>
      <c r="K583" s="69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  <c r="AA583" s="103"/>
      <c r="AB583" s="103"/>
      <c r="AC583" s="103"/>
      <c r="AD583" s="103"/>
      <c r="AE583" s="103"/>
      <c r="AF583" s="103"/>
      <c r="AG583" s="103"/>
      <c r="AH583" s="103"/>
      <c r="AI583" s="103"/>
      <c r="AJ583" s="103"/>
      <c r="AK583" s="103"/>
      <c r="AL583" s="103"/>
      <c r="AM583" s="103"/>
      <c r="AN583" s="103"/>
      <c r="AO583" s="103"/>
      <c r="AP583" s="103"/>
      <c r="AQ583" s="103"/>
      <c r="AR583" s="103"/>
      <c r="AS583" s="103"/>
      <c r="AT583" s="103"/>
      <c r="AU583" s="103"/>
      <c r="AV583" s="103"/>
      <c r="AW583" s="103"/>
      <c r="AX583" s="103"/>
      <c r="AY583" s="103"/>
      <c r="AZ583" s="103"/>
      <c r="BA583" s="103"/>
      <c r="BB583" s="103"/>
      <c r="BC583" s="103"/>
      <c r="BD583" s="103"/>
      <c r="BE583" s="103"/>
      <c r="BF583" s="103"/>
      <c r="BG583" s="103"/>
      <c r="BH583" s="103"/>
      <c r="BI583" s="103"/>
      <c r="BJ583" s="103"/>
      <c r="BK583" s="103"/>
      <c r="BL583" s="103"/>
      <c r="BM583" s="103"/>
      <c r="BN583" s="103"/>
      <c r="BO583" s="103"/>
      <c r="BP583" s="103"/>
      <c r="BQ583" s="103"/>
      <c r="BR583" s="103"/>
      <c r="BS583" s="103"/>
      <c r="BT583" s="103"/>
      <c r="BU583" s="103"/>
      <c r="BV583" s="103"/>
      <c r="BW583" s="103"/>
      <c r="BX583" s="103"/>
      <c r="BY583" s="103"/>
      <c r="BZ583" s="103"/>
      <c r="CA583" s="103"/>
      <c r="CB583" s="103"/>
      <c r="CC583" s="103"/>
      <c r="CD583" s="103"/>
      <c r="CE583" s="103"/>
      <c r="CF583" s="103"/>
      <c r="CG583" s="103"/>
      <c r="CH583" s="103"/>
      <c r="CI583" s="103"/>
      <c r="CJ583" s="103"/>
      <c r="CK583" s="103"/>
      <c r="CL583" s="103"/>
      <c r="CM583" s="103"/>
      <c r="CN583" s="103"/>
      <c r="CO583" s="103"/>
    </row>
    <row r="584" spans="1:93" hidden="1">
      <c r="A584" s="233"/>
      <c r="B584" s="101"/>
      <c r="C584" s="17" t="s">
        <v>684</v>
      </c>
      <c r="D584" s="69"/>
      <c r="E584" s="62">
        <f xml:space="preserve"> E568 * ($E$554 * E558 + E563)</f>
        <v>176014.02500000002</v>
      </c>
      <c r="F584" s="503">
        <f>E584*100/$E$587/100</f>
        <v>0.22768670309653921</v>
      </c>
      <c r="G584" s="11" t="s">
        <v>661</v>
      </c>
      <c r="H584" s="69"/>
      <c r="I584" s="69"/>
      <c r="J584" s="69"/>
      <c r="K584" s="69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  <c r="AA584" s="103"/>
      <c r="AB584" s="103"/>
      <c r="AC584" s="103"/>
      <c r="AD584" s="103"/>
      <c r="AE584" s="103"/>
      <c r="AF584" s="103"/>
      <c r="AG584" s="103"/>
      <c r="AH584" s="103"/>
      <c r="AI584" s="103"/>
      <c r="AJ584" s="103"/>
      <c r="AK584" s="103"/>
      <c r="AL584" s="103"/>
      <c r="AM584" s="103"/>
      <c r="AN584" s="103"/>
      <c r="AO584" s="103"/>
      <c r="AP584" s="103"/>
      <c r="AQ584" s="103"/>
      <c r="AR584" s="103"/>
      <c r="AS584" s="103"/>
      <c r="AT584" s="103"/>
      <c r="AU584" s="103"/>
      <c r="AV584" s="103"/>
      <c r="AW584" s="103"/>
      <c r="AX584" s="103"/>
      <c r="AY584" s="103"/>
      <c r="AZ584" s="103"/>
      <c r="BA584" s="103"/>
      <c r="BB584" s="103"/>
      <c r="BC584" s="103"/>
      <c r="BD584" s="103"/>
      <c r="BE584" s="103"/>
      <c r="BF584" s="103"/>
      <c r="BG584" s="103"/>
      <c r="BH584" s="103"/>
      <c r="BI584" s="103"/>
      <c r="BJ584" s="103"/>
      <c r="BK584" s="103"/>
      <c r="BL584" s="103"/>
      <c r="BM584" s="103"/>
      <c r="BN584" s="103"/>
      <c r="BO584" s="103"/>
      <c r="BP584" s="103"/>
      <c r="BQ584" s="103"/>
      <c r="BR584" s="103"/>
      <c r="BS584" s="103"/>
      <c r="BT584" s="103"/>
      <c r="BU584" s="103"/>
      <c r="BV584" s="103"/>
      <c r="BW584" s="103"/>
      <c r="BX584" s="103"/>
      <c r="BY584" s="103"/>
      <c r="BZ584" s="103"/>
      <c r="CA584" s="103"/>
      <c r="CB584" s="103"/>
      <c r="CC584" s="103"/>
      <c r="CD584" s="103"/>
      <c r="CE584" s="103"/>
      <c r="CF584" s="103"/>
      <c r="CG584" s="103"/>
      <c r="CH584" s="103"/>
      <c r="CI584" s="103"/>
      <c r="CJ584" s="103"/>
      <c r="CK584" s="103"/>
      <c r="CL584" s="103"/>
      <c r="CM584" s="103"/>
      <c r="CN584" s="103"/>
      <c r="CO584" s="103"/>
    </row>
    <row r="585" spans="1:93" hidden="1">
      <c r="A585" s="233"/>
      <c r="B585" s="101"/>
      <c r="C585" s="17" t="s">
        <v>685</v>
      </c>
      <c r="D585" s="69"/>
      <c r="E585" s="62">
        <f xml:space="preserve"> E569 * ($E$554 * E559 + E564)</f>
        <v>211216.83000000002</v>
      </c>
      <c r="F585" s="503">
        <f>E585*100/$E$587/100</f>
        <v>0.27322404371584702</v>
      </c>
      <c r="G585" s="11" t="s">
        <v>661</v>
      </c>
      <c r="H585" s="69"/>
      <c r="I585" s="69"/>
      <c r="J585" s="69"/>
      <c r="K585" s="69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  <c r="AA585" s="103"/>
      <c r="AB585" s="103"/>
      <c r="AC585" s="103"/>
      <c r="AD585" s="103"/>
      <c r="AE585" s="103"/>
      <c r="AF585" s="103"/>
      <c r="AG585" s="103"/>
      <c r="AH585" s="103"/>
      <c r="AI585" s="103"/>
      <c r="AJ585" s="103"/>
      <c r="AK585" s="103"/>
      <c r="AL585" s="103"/>
      <c r="AM585" s="103"/>
      <c r="AN585" s="103"/>
      <c r="AO585" s="103"/>
      <c r="AP585" s="103"/>
      <c r="AQ585" s="103"/>
      <c r="AR585" s="103"/>
      <c r="AS585" s="103"/>
      <c r="AT585" s="103"/>
      <c r="AU585" s="103"/>
      <c r="AV585" s="103"/>
      <c r="AW585" s="103"/>
      <c r="AX585" s="103"/>
      <c r="AY585" s="103"/>
      <c r="AZ585" s="103"/>
      <c r="BA585" s="103"/>
      <c r="BB585" s="103"/>
      <c r="BC585" s="103"/>
      <c r="BD585" s="103"/>
      <c r="BE585" s="103"/>
      <c r="BF585" s="103"/>
      <c r="BG585" s="103"/>
      <c r="BH585" s="103"/>
      <c r="BI585" s="103"/>
      <c r="BJ585" s="103"/>
      <c r="BK585" s="103"/>
      <c r="BL585" s="103"/>
      <c r="BM585" s="103"/>
      <c r="BN585" s="103"/>
      <c r="BO585" s="103"/>
      <c r="BP585" s="103"/>
      <c r="BQ585" s="103"/>
      <c r="BR585" s="103"/>
      <c r="BS585" s="103"/>
      <c r="BT585" s="103"/>
      <c r="BU585" s="103"/>
      <c r="BV585" s="103"/>
      <c r="BW585" s="103"/>
      <c r="BX585" s="103"/>
      <c r="BY585" s="103"/>
      <c r="BZ585" s="103"/>
      <c r="CA585" s="103"/>
      <c r="CB585" s="103"/>
      <c r="CC585" s="103"/>
      <c r="CD585" s="103"/>
      <c r="CE585" s="103"/>
      <c r="CF585" s="103"/>
      <c r="CG585" s="103"/>
      <c r="CH585" s="103"/>
      <c r="CI585" s="103"/>
      <c r="CJ585" s="103"/>
      <c r="CK585" s="103"/>
      <c r="CL585" s="103"/>
      <c r="CM585" s="103"/>
      <c r="CN585" s="103"/>
      <c r="CO585" s="103"/>
    </row>
    <row r="586" spans="1:93" hidden="1">
      <c r="A586" s="233"/>
      <c r="B586" s="101"/>
      <c r="C586" s="17" t="s">
        <v>686</v>
      </c>
      <c r="D586" s="69"/>
      <c r="E586" s="62">
        <f xml:space="preserve"> E570 * ($E$554 * E560 + E565)</f>
        <v>33794.692800000004</v>
      </c>
      <c r="F586" s="503">
        <f>E586*100/$E$587/100</f>
        <v>4.3715846994535526E-2</v>
      </c>
      <c r="G586" s="11" t="s">
        <v>661</v>
      </c>
      <c r="H586" s="69"/>
      <c r="I586" s="69"/>
      <c r="J586" s="69"/>
      <c r="K586" s="69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  <c r="AA586" s="103"/>
      <c r="AB586" s="103"/>
      <c r="AC586" s="103"/>
      <c r="AD586" s="103"/>
      <c r="AE586" s="103"/>
      <c r="AF586" s="103"/>
      <c r="AG586" s="103"/>
      <c r="AH586" s="103"/>
      <c r="AI586" s="103"/>
      <c r="AJ586" s="103"/>
      <c r="AK586" s="103"/>
      <c r="AL586" s="103"/>
      <c r="AM586" s="103"/>
      <c r="AN586" s="103"/>
      <c r="AO586" s="103"/>
      <c r="AP586" s="103"/>
      <c r="AQ586" s="103"/>
      <c r="AR586" s="103"/>
      <c r="AS586" s="103"/>
      <c r="AT586" s="103"/>
      <c r="AU586" s="103"/>
      <c r="AV586" s="103"/>
      <c r="AW586" s="103"/>
      <c r="AX586" s="103"/>
      <c r="AY586" s="103"/>
      <c r="AZ586" s="103"/>
      <c r="BA586" s="103"/>
      <c r="BB586" s="103"/>
      <c r="BC586" s="103"/>
      <c r="BD586" s="103"/>
      <c r="BE586" s="103"/>
      <c r="BF586" s="103"/>
      <c r="BG586" s="103"/>
      <c r="BH586" s="103"/>
      <c r="BI586" s="103"/>
      <c r="BJ586" s="103"/>
      <c r="BK586" s="103"/>
      <c r="BL586" s="103"/>
      <c r="BM586" s="103"/>
      <c r="BN586" s="103"/>
      <c r="BO586" s="103"/>
      <c r="BP586" s="103"/>
      <c r="BQ586" s="103"/>
      <c r="BR586" s="103"/>
      <c r="BS586" s="103"/>
      <c r="BT586" s="103"/>
      <c r="BU586" s="103"/>
      <c r="BV586" s="103"/>
      <c r="BW586" s="103"/>
      <c r="BX586" s="103"/>
      <c r="BY586" s="103"/>
      <c r="BZ586" s="103"/>
      <c r="CA586" s="103"/>
      <c r="CB586" s="103"/>
      <c r="CC586" s="103"/>
      <c r="CD586" s="103"/>
      <c r="CE586" s="103"/>
      <c r="CF586" s="103"/>
      <c r="CG586" s="103"/>
      <c r="CH586" s="103"/>
      <c r="CI586" s="103"/>
      <c r="CJ586" s="103"/>
      <c r="CK586" s="103"/>
      <c r="CL586" s="103"/>
      <c r="CM586" s="103"/>
      <c r="CN586" s="103"/>
      <c r="CO586" s="103"/>
    </row>
    <row r="587" spans="1:93" hidden="1">
      <c r="A587" s="233"/>
      <c r="B587" s="101"/>
      <c r="C587" s="248" t="s">
        <v>687</v>
      </c>
      <c r="D587" s="234"/>
      <c r="E587" s="235">
        <f>SUM(E583:E586)</f>
        <v>773053.59779999999</v>
      </c>
      <c r="F587" s="236"/>
      <c r="G587" s="230" t="s">
        <v>661</v>
      </c>
      <c r="H587" s="69"/>
      <c r="I587" s="69"/>
      <c r="J587" s="69"/>
      <c r="K587" s="69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  <c r="AA587" s="103"/>
      <c r="AB587" s="103"/>
      <c r="AC587" s="103"/>
      <c r="AD587" s="103"/>
      <c r="AE587" s="103"/>
      <c r="AF587" s="103"/>
      <c r="AG587" s="103"/>
      <c r="AH587" s="103"/>
      <c r="AI587" s="103"/>
      <c r="AJ587" s="103"/>
      <c r="AK587" s="103"/>
      <c r="AL587" s="103"/>
      <c r="AM587" s="103"/>
      <c r="AN587" s="103"/>
      <c r="AO587" s="103"/>
      <c r="AP587" s="103"/>
      <c r="AQ587" s="103"/>
      <c r="AR587" s="103"/>
      <c r="AS587" s="103"/>
      <c r="AT587" s="103"/>
      <c r="AU587" s="103"/>
      <c r="AV587" s="103"/>
      <c r="AW587" s="103"/>
      <c r="AX587" s="103"/>
      <c r="AY587" s="103"/>
      <c r="AZ587" s="103"/>
      <c r="BA587" s="103"/>
      <c r="BB587" s="103"/>
      <c r="BC587" s="103"/>
      <c r="BD587" s="103"/>
      <c r="BE587" s="103"/>
      <c r="BF587" s="103"/>
      <c r="BG587" s="103"/>
      <c r="BH587" s="103"/>
      <c r="BI587" s="103"/>
      <c r="BJ587" s="103"/>
      <c r="BK587" s="103"/>
      <c r="BL587" s="103"/>
      <c r="BM587" s="103"/>
      <c r="BN587" s="103"/>
      <c r="BO587" s="103"/>
      <c r="BP587" s="103"/>
      <c r="BQ587" s="103"/>
      <c r="BR587" s="103"/>
      <c r="BS587" s="103"/>
      <c r="BT587" s="103"/>
      <c r="BU587" s="103"/>
      <c r="BV587" s="103"/>
      <c r="BW587" s="103"/>
      <c r="BX587" s="103"/>
      <c r="BY587" s="103"/>
      <c r="BZ587" s="103"/>
      <c r="CA587" s="103"/>
      <c r="CB587" s="103"/>
      <c r="CC587" s="103"/>
      <c r="CD587" s="103"/>
      <c r="CE587" s="103"/>
      <c r="CF587" s="103"/>
      <c r="CG587" s="103"/>
      <c r="CH587" s="103"/>
      <c r="CI587" s="103"/>
      <c r="CJ587" s="103"/>
      <c r="CK587" s="103"/>
      <c r="CL587" s="103"/>
      <c r="CM587" s="103"/>
      <c r="CN587" s="103"/>
      <c r="CO587" s="103"/>
    </row>
    <row r="588" spans="1:93" hidden="1">
      <c r="A588" s="233"/>
      <c r="B588" s="101"/>
      <c r="C588" s="169"/>
      <c r="D588" s="69"/>
      <c r="E588" s="62"/>
      <c r="F588" s="70"/>
      <c r="G588" s="11"/>
      <c r="H588" s="69"/>
      <c r="I588" s="69"/>
      <c r="J588" s="69"/>
      <c r="K588" s="69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  <c r="AA588" s="103"/>
      <c r="AB588" s="103"/>
      <c r="AC588" s="103"/>
      <c r="AD588" s="103"/>
      <c r="AE588" s="103"/>
      <c r="AF588" s="103"/>
      <c r="AG588" s="103"/>
      <c r="AH588" s="103"/>
      <c r="AI588" s="103"/>
      <c r="AJ588" s="103"/>
      <c r="AK588" s="103"/>
      <c r="AL588" s="103"/>
      <c r="AM588" s="103"/>
      <c r="AN588" s="103"/>
      <c r="AO588" s="103"/>
      <c r="AP588" s="103"/>
      <c r="AQ588" s="103"/>
      <c r="AR588" s="103"/>
      <c r="AS588" s="103"/>
      <c r="AT588" s="103"/>
      <c r="AU588" s="103"/>
      <c r="AV588" s="103"/>
      <c r="AW588" s="103"/>
      <c r="AX588" s="103"/>
      <c r="AY588" s="103"/>
      <c r="AZ588" s="103"/>
      <c r="BA588" s="103"/>
      <c r="BB588" s="103"/>
      <c r="BC588" s="103"/>
      <c r="BD588" s="103"/>
      <c r="BE588" s="103"/>
      <c r="BF588" s="103"/>
      <c r="BG588" s="103"/>
      <c r="BH588" s="103"/>
      <c r="BI588" s="103"/>
      <c r="BJ588" s="103"/>
      <c r="BK588" s="103"/>
      <c r="BL588" s="103"/>
      <c r="BM588" s="103"/>
      <c r="BN588" s="103"/>
      <c r="BO588" s="103"/>
      <c r="BP588" s="103"/>
      <c r="BQ588" s="103"/>
      <c r="BR588" s="103"/>
      <c r="BS588" s="103"/>
      <c r="BT588" s="103"/>
      <c r="BU588" s="103"/>
      <c r="BV588" s="103"/>
      <c r="BW588" s="103"/>
      <c r="BX588" s="103"/>
      <c r="BY588" s="103"/>
      <c r="BZ588" s="103"/>
      <c r="CA588" s="103"/>
      <c r="CB588" s="103"/>
      <c r="CC588" s="103"/>
      <c r="CD588" s="103"/>
      <c r="CE588" s="103"/>
      <c r="CF588" s="103"/>
      <c r="CG588" s="103"/>
      <c r="CH588" s="103"/>
      <c r="CI588" s="103"/>
      <c r="CJ588" s="103"/>
      <c r="CK588" s="103"/>
      <c r="CL588" s="103"/>
      <c r="CM588" s="103"/>
      <c r="CN588" s="103"/>
      <c r="CO588" s="103"/>
    </row>
    <row r="589" spans="1:93" hidden="1">
      <c r="A589" s="233"/>
      <c r="B589" s="101"/>
      <c r="C589" s="41" t="s">
        <v>690</v>
      </c>
      <c r="D589" s="69"/>
      <c r="E589" s="62"/>
      <c r="F589" s="70"/>
      <c r="G589" s="11"/>
      <c r="H589" s="69"/>
      <c r="I589" s="69"/>
      <c r="J589" s="69"/>
      <c r="K589" s="69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  <c r="AA589" s="103"/>
      <c r="AB589" s="103"/>
      <c r="AC589" s="103"/>
      <c r="AD589" s="103"/>
      <c r="AE589" s="103"/>
      <c r="AF589" s="103"/>
      <c r="AG589" s="103"/>
      <c r="AH589" s="103"/>
      <c r="AI589" s="103"/>
      <c r="AJ589" s="103"/>
      <c r="AK589" s="103"/>
      <c r="AL589" s="103"/>
      <c r="AM589" s="103"/>
      <c r="AN589" s="103"/>
      <c r="AO589" s="103"/>
      <c r="AP589" s="103"/>
      <c r="AQ589" s="103"/>
      <c r="AR589" s="103"/>
      <c r="AS589" s="103"/>
      <c r="AT589" s="103"/>
      <c r="AU589" s="103"/>
      <c r="AV589" s="103"/>
      <c r="AW589" s="103"/>
      <c r="AX589" s="103"/>
      <c r="AY589" s="103"/>
      <c r="AZ589" s="103"/>
      <c r="BA589" s="103"/>
      <c r="BB589" s="103"/>
      <c r="BC589" s="103"/>
      <c r="BD589" s="103"/>
      <c r="BE589" s="103"/>
      <c r="BF589" s="103"/>
      <c r="BG589" s="103"/>
      <c r="BH589" s="103"/>
      <c r="BI589" s="103"/>
      <c r="BJ589" s="103"/>
      <c r="BK589" s="103"/>
      <c r="BL589" s="103"/>
      <c r="BM589" s="103"/>
      <c r="BN589" s="103"/>
      <c r="BO589" s="103"/>
      <c r="BP589" s="103"/>
      <c r="BQ589" s="103"/>
      <c r="BR589" s="103"/>
      <c r="BS589" s="103"/>
      <c r="BT589" s="103"/>
      <c r="BU589" s="103"/>
      <c r="BV589" s="103"/>
      <c r="BW589" s="103"/>
      <c r="BX589" s="103"/>
      <c r="BY589" s="103"/>
      <c r="BZ589" s="103"/>
      <c r="CA589" s="103"/>
      <c r="CB589" s="103"/>
      <c r="CC589" s="103"/>
      <c r="CD589" s="103"/>
      <c r="CE589" s="103"/>
      <c r="CF589" s="103"/>
      <c r="CG589" s="103"/>
      <c r="CH589" s="103"/>
      <c r="CI589" s="103"/>
      <c r="CJ589" s="103"/>
      <c r="CK589" s="103"/>
      <c r="CL589" s="103"/>
      <c r="CM589" s="103"/>
      <c r="CN589" s="103"/>
      <c r="CO589" s="103"/>
    </row>
    <row r="590" spans="1:93" hidden="1">
      <c r="A590" s="233"/>
      <c r="B590" s="101"/>
      <c r="C590" s="17" t="s">
        <v>688</v>
      </c>
      <c r="D590" s="69"/>
      <c r="E590" s="62">
        <f xml:space="preserve"> E581</f>
        <v>3488569.0063358201</v>
      </c>
      <c r="F590" s="70"/>
      <c r="G590" s="237" t="s">
        <v>661</v>
      </c>
      <c r="H590" s="69"/>
      <c r="I590" s="69"/>
      <c r="J590" s="69"/>
      <c r="K590" s="69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  <c r="AA590" s="103"/>
      <c r="AB590" s="103"/>
      <c r="AC590" s="103"/>
      <c r="AD590" s="103"/>
      <c r="AE590" s="103"/>
      <c r="AF590" s="103"/>
      <c r="AG590" s="103"/>
      <c r="AH590" s="103"/>
      <c r="AI590" s="103"/>
      <c r="AJ590" s="103"/>
      <c r="AK590" s="103"/>
      <c r="AL590" s="103"/>
      <c r="AM590" s="103"/>
      <c r="AN590" s="103"/>
      <c r="AO590" s="103"/>
      <c r="AP590" s="103"/>
      <c r="AQ590" s="103"/>
      <c r="AR590" s="103"/>
      <c r="AS590" s="103"/>
      <c r="AT590" s="103"/>
      <c r="AU590" s="103"/>
      <c r="AV590" s="103"/>
      <c r="AW590" s="103"/>
      <c r="AX590" s="103"/>
      <c r="AY590" s="103"/>
      <c r="AZ590" s="103"/>
      <c r="BA590" s="103"/>
      <c r="BB590" s="103"/>
      <c r="BC590" s="103"/>
      <c r="BD590" s="103"/>
      <c r="BE590" s="103"/>
      <c r="BF590" s="103"/>
      <c r="BG590" s="103"/>
      <c r="BH590" s="103"/>
      <c r="BI590" s="103"/>
      <c r="BJ590" s="103"/>
      <c r="BK590" s="103"/>
      <c r="BL590" s="103"/>
      <c r="BM590" s="103"/>
      <c r="BN590" s="103"/>
      <c r="BO590" s="103"/>
      <c r="BP590" s="103"/>
      <c r="BQ590" s="103"/>
      <c r="BR590" s="103"/>
      <c r="BS590" s="103"/>
      <c r="BT590" s="103"/>
      <c r="BU590" s="103"/>
      <c r="BV590" s="103"/>
      <c r="BW590" s="103"/>
      <c r="BX590" s="103"/>
      <c r="BY590" s="103"/>
      <c r="BZ590" s="103"/>
      <c r="CA590" s="103"/>
      <c r="CB590" s="103"/>
      <c r="CC590" s="103"/>
      <c r="CD590" s="103"/>
      <c r="CE590" s="103"/>
      <c r="CF590" s="103"/>
      <c r="CG590" s="103"/>
      <c r="CH590" s="103"/>
      <c r="CI590" s="103"/>
      <c r="CJ590" s="103"/>
      <c r="CK590" s="103"/>
      <c r="CL590" s="103"/>
      <c r="CM590" s="103"/>
      <c r="CN590" s="103"/>
      <c r="CO590" s="103"/>
    </row>
    <row r="591" spans="1:93" hidden="1">
      <c r="A591" s="233"/>
      <c r="B591" s="101"/>
      <c r="C591" s="17" t="s">
        <v>689</v>
      </c>
      <c r="D591" s="69"/>
      <c r="E591" s="62">
        <f xml:space="preserve"> E587</f>
        <v>773053.59779999999</v>
      </c>
      <c r="F591" s="70"/>
      <c r="G591" s="237" t="s">
        <v>661</v>
      </c>
      <c r="H591" s="69"/>
      <c r="I591" s="69"/>
      <c r="J591" s="69"/>
      <c r="K591" s="69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  <c r="AA591" s="103"/>
      <c r="AB591" s="103"/>
      <c r="AC591" s="103"/>
      <c r="AD591" s="103"/>
      <c r="AE591" s="103"/>
      <c r="AF591" s="103"/>
      <c r="AG591" s="103"/>
      <c r="AH591" s="103"/>
      <c r="AI591" s="103"/>
      <c r="AJ591" s="103"/>
      <c r="AK591" s="103"/>
      <c r="AL591" s="103"/>
      <c r="AM591" s="103"/>
      <c r="AN591" s="103"/>
      <c r="AO591" s="103"/>
      <c r="AP591" s="103"/>
      <c r="AQ591" s="103"/>
      <c r="AR591" s="103"/>
      <c r="AS591" s="103"/>
      <c r="AT591" s="103"/>
      <c r="AU591" s="103"/>
      <c r="AV591" s="103"/>
      <c r="AW591" s="103"/>
      <c r="AX591" s="103"/>
      <c r="AY591" s="103"/>
      <c r="AZ591" s="103"/>
      <c r="BA591" s="103"/>
      <c r="BB591" s="103"/>
      <c r="BC591" s="103"/>
      <c r="BD591" s="103"/>
      <c r="BE591" s="103"/>
      <c r="BF591" s="103"/>
      <c r="BG591" s="103"/>
      <c r="BH591" s="103"/>
      <c r="BI591" s="103"/>
      <c r="BJ591" s="103"/>
      <c r="BK591" s="103"/>
      <c r="BL591" s="103"/>
      <c r="BM591" s="103"/>
      <c r="BN591" s="103"/>
      <c r="BO591" s="103"/>
      <c r="BP591" s="103"/>
      <c r="BQ591" s="103"/>
      <c r="BR591" s="103"/>
      <c r="BS591" s="103"/>
      <c r="BT591" s="103"/>
      <c r="BU591" s="103"/>
      <c r="BV591" s="103"/>
      <c r="BW591" s="103"/>
      <c r="BX591" s="103"/>
      <c r="BY591" s="103"/>
      <c r="BZ591" s="103"/>
      <c r="CA591" s="103"/>
      <c r="CB591" s="103"/>
      <c r="CC591" s="103"/>
      <c r="CD591" s="103"/>
      <c r="CE591" s="103"/>
      <c r="CF591" s="103"/>
      <c r="CG591" s="103"/>
      <c r="CH591" s="103"/>
      <c r="CI591" s="103"/>
      <c r="CJ591" s="103"/>
      <c r="CK591" s="103"/>
      <c r="CL591" s="103"/>
      <c r="CM591" s="103"/>
      <c r="CN591" s="103"/>
      <c r="CO591" s="103"/>
    </row>
    <row r="592" spans="1:93" hidden="1">
      <c r="A592" s="233"/>
      <c r="B592" s="101"/>
      <c r="C592" s="17" t="s">
        <v>763</v>
      </c>
      <c r="D592" s="69"/>
      <c r="E592" s="62">
        <f xml:space="preserve"> (E590 + E591) * E574</f>
        <v>340929.80833086558</v>
      </c>
      <c r="F592" s="70"/>
      <c r="G592" s="237" t="s">
        <v>661</v>
      </c>
      <c r="H592" s="69"/>
      <c r="I592" s="69"/>
      <c r="J592" s="69"/>
      <c r="K592" s="69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  <c r="AA592" s="103"/>
      <c r="AB592" s="103"/>
      <c r="AC592" s="103"/>
      <c r="AD592" s="103"/>
      <c r="AE592" s="103"/>
      <c r="AF592" s="103"/>
      <c r="AG592" s="103"/>
      <c r="AH592" s="103"/>
      <c r="AI592" s="103"/>
      <c r="AJ592" s="103"/>
      <c r="AK592" s="103"/>
      <c r="AL592" s="103"/>
      <c r="AM592" s="103"/>
      <c r="AN592" s="103"/>
      <c r="AO592" s="103"/>
      <c r="AP592" s="103"/>
      <c r="AQ592" s="103"/>
      <c r="AR592" s="103"/>
      <c r="AS592" s="103"/>
      <c r="AT592" s="103"/>
      <c r="AU592" s="103"/>
      <c r="AV592" s="103"/>
      <c r="AW592" s="103"/>
      <c r="AX592" s="103"/>
      <c r="AY592" s="103"/>
      <c r="AZ592" s="103"/>
      <c r="BA592" s="103"/>
      <c r="BB592" s="103"/>
      <c r="BC592" s="103"/>
      <c r="BD592" s="103"/>
      <c r="BE592" s="103"/>
      <c r="BF592" s="103"/>
      <c r="BG592" s="103"/>
      <c r="BH592" s="103"/>
      <c r="BI592" s="103"/>
      <c r="BJ592" s="103"/>
      <c r="BK592" s="103"/>
      <c r="BL592" s="103"/>
      <c r="BM592" s="103"/>
      <c r="BN592" s="103"/>
      <c r="BO592" s="103"/>
      <c r="BP592" s="103"/>
      <c r="BQ592" s="103"/>
      <c r="BR592" s="103"/>
      <c r="BS592" s="103"/>
      <c r="BT592" s="103"/>
      <c r="BU592" s="103"/>
      <c r="BV592" s="103"/>
      <c r="BW592" s="103"/>
      <c r="BX592" s="103"/>
      <c r="BY592" s="103"/>
      <c r="BZ592" s="103"/>
      <c r="CA592" s="103"/>
      <c r="CB592" s="103"/>
      <c r="CC592" s="103"/>
      <c r="CD592" s="103"/>
      <c r="CE592" s="103"/>
      <c r="CF592" s="103"/>
      <c r="CG592" s="103"/>
      <c r="CH592" s="103"/>
      <c r="CI592" s="103"/>
      <c r="CJ592" s="103"/>
      <c r="CK592" s="103"/>
      <c r="CL592" s="103"/>
      <c r="CM592" s="103"/>
      <c r="CN592" s="103"/>
      <c r="CO592" s="103"/>
    </row>
    <row r="593" spans="1:95" hidden="1">
      <c r="A593" s="233"/>
      <c r="B593" s="101"/>
      <c r="C593" s="248" t="s">
        <v>20</v>
      </c>
      <c r="D593" s="234"/>
      <c r="E593" s="235">
        <f>SUM(E590:E592)</f>
        <v>4602552.4124666853</v>
      </c>
      <c r="F593" s="236"/>
      <c r="G593" s="230" t="s">
        <v>661</v>
      </c>
      <c r="H593" s="69"/>
      <c r="I593" s="69"/>
      <c r="J593" s="69"/>
      <c r="K593" s="69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  <c r="AA593" s="103"/>
      <c r="AB593" s="103"/>
      <c r="AC593" s="103"/>
      <c r="AD593" s="103"/>
      <c r="AE593" s="103"/>
      <c r="AF593" s="103"/>
      <c r="AG593" s="103"/>
      <c r="AH593" s="103"/>
      <c r="AI593" s="103"/>
      <c r="AJ593" s="103"/>
      <c r="AK593" s="103"/>
      <c r="AL593" s="103"/>
      <c r="AM593" s="103"/>
      <c r="AN593" s="103"/>
      <c r="AO593" s="103"/>
      <c r="AP593" s="103"/>
      <c r="AQ593" s="103"/>
      <c r="AR593" s="103"/>
      <c r="AS593" s="103"/>
      <c r="AT593" s="103"/>
      <c r="AU593" s="103"/>
      <c r="AV593" s="103"/>
      <c r="AW593" s="103"/>
      <c r="AX593" s="103"/>
      <c r="AY593" s="103"/>
      <c r="AZ593" s="103"/>
      <c r="BA593" s="103"/>
      <c r="BB593" s="103"/>
      <c r="BC593" s="103"/>
      <c r="BD593" s="103"/>
      <c r="BE593" s="103"/>
      <c r="BF593" s="103"/>
      <c r="BG593" s="103"/>
      <c r="BH593" s="103"/>
      <c r="BI593" s="103"/>
      <c r="BJ593" s="103"/>
      <c r="BK593" s="103"/>
      <c r="BL593" s="103"/>
      <c r="BM593" s="103"/>
      <c r="BN593" s="103"/>
      <c r="BO593" s="103"/>
      <c r="BP593" s="103"/>
      <c r="BQ593" s="103"/>
      <c r="BR593" s="103"/>
      <c r="BS593" s="103"/>
      <c r="BT593" s="103"/>
      <c r="BU593" s="103"/>
      <c r="BV593" s="103"/>
      <c r="BW593" s="103"/>
      <c r="BX593" s="103"/>
      <c r="BY593" s="103"/>
      <c r="BZ593" s="103"/>
      <c r="CA593" s="103"/>
      <c r="CB593" s="103"/>
      <c r="CC593" s="103"/>
      <c r="CD593" s="103"/>
      <c r="CE593" s="103"/>
      <c r="CF593" s="103"/>
      <c r="CG593" s="103"/>
      <c r="CH593" s="103"/>
      <c r="CI593" s="103"/>
      <c r="CJ593" s="103"/>
      <c r="CK593" s="103"/>
      <c r="CL593" s="103"/>
      <c r="CM593" s="103"/>
      <c r="CN593" s="103"/>
      <c r="CO593" s="103"/>
    </row>
    <row r="594" spans="1:95" hidden="1">
      <c r="A594" s="233"/>
      <c r="B594" s="101"/>
      <c r="C594" s="169"/>
      <c r="D594" s="69"/>
      <c r="E594" s="62"/>
      <c r="F594" s="505"/>
      <c r="G594" s="11"/>
      <c r="H594" s="69"/>
      <c r="I594" s="69"/>
      <c r="J594" s="69"/>
      <c r="K594" s="69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  <c r="AA594" s="103"/>
      <c r="AB594" s="103"/>
      <c r="AC594" s="103"/>
      <c r="AD594" s="103"/>
      <c r="AE594" s="103"/>
      <c r="AF594" s="103"/>
      <c r="AG594" s="103"/>
      <c r="AH594" s="103"/>
      <c r="AI594" s="103"/>
      <c r="AJ594" s="103"/>
      <c r="AK594" s="103"/>
      <c r="AL594" s="103"/>
      <c r="AM594" s="103"/>
      <c r="AN594" s="103"/>
      <c r="AO594" s="103"/>
      <c r="AP594" s="103"/>
      <c r="AQ594" s="103"/>
      <c r="AR594" s="103"/>
      <c r="AS594" s="103"/>
      <c r="AT594" s="103"/>
      <c r="AU594" s="103"/>
      <c r="AV594" s="103"/>
      <c r="AW594" s="103"/>
      <c r="AX594" s="103"/>
      <c r="AY594" s="103"/>
      <c r="AZ594" s="103"/>
      <c r="BA594" s="103"/>
      <c r="BB594" s="103"/>
      <c r="BC594" s="103"/>
      <c r="BD594" s="103"/>
      <c r="BE594" s="103"/>
      <c r="BF594" s="103"/>
      <c r="BG594" s="103"/>
      <c r="BH594" s="103"/>
      <c r="BI594" s="103"/>
      <c r="BJ594" s="103"/>
      <c r="BK594" s="103"/>
      <c r="BL594" s="103"/>
      <c r="BM594" s="103"/>
      <c r="BN594" s="103"/>
      <c r="BO594" s="103"/>
      <c r="BP594" s="103"/>
      <c r="BQ594" s="103"/>
      <c r="BR594" s="103"/>
      <c r="BS594" s="103"/>
      <c r="BT594" s="103"/>
      <c r="BU594" s="103"/>
      <c r="BV594" s="103"/>
      <c r="BW594" s="103"/>
      <c r="BX594" s="103"/>
      <c r="BY594" s="103"/>
      <c r="BZ594" s="103"/>
      <c r="CA594" s="103"/>
      <c r="CB594" s="103"/>
      <c r="CC594" s="103"/>
      <c r="CD594" s="103"/>
      <c r="CE594" s="103"/>
      <c r="CF594" s="103"/>
      <c r="CG594" s="103"/>
      <c r="CH594" s="103"/>
      <c r="CI594" s="103"/>
      <c r="CJ594" s="103"/>
      <c r="CK594" s="103"/>
      <c r="CL594" s="103"/>
      <c r="CM594" s="103"/>
      <c r="CN594" s="103"/>
      <c r="CO594" s="103"/>
    </row>
    <row r="595" spans="1:95" hidden="1">
      <c r="A595" s="233"/>
      <c r="B595" s="101"/>
      <c r="C595" s="41" t="s">
        <v>582</v>
      </c>
      <c r="D595" s="69"/>
      <c r="E595" s="62"/>
      <c r="F595" s="70"/>
      <c r="G595" s="11"/>
      <c r="H595" s="69"/>
      <c r="I595" s="69"/>
      <c r="J595" s="69"/>
      <c r="K595" s="69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  <c r="AA595" s="103"/>
      <c r="AB595" s="103"/>
      <c r="AC595" s="103"/>
      <c r="AD595" s="103"/>
      <c r="AE595" s="103"/>
      <c r="AF595" s="103"/>
      <c r="AG595" s="103"/>
      <c r="AH595" s="103"/>
      <c r="AI595" s="103"/>
      <c r="AJ595" s="103"/>
      <c r="AK595" s="103"/>
      <c r="AL595" s="103"/>
      <c r="AM595" s="103"/>
      <c r="AN595" s="103"/>
      <c r="AO595" s="103"/>
      <c r="AP595" s="103"/>
      <c r="AQ595" s="103"/>
      <c r="AR595" s="103"/>
      <c r="AS595" s="103"/>
      <c r="AT595" s="103"/>
      <c r="AU595" s="103"/>
      <c r="AV595" s="103"/>
      <c r="AW595" s="103"/>
      <c r="AX595" s="103"/>
      <c r="AY595" s="103"/>
      <c r="AZ595" s="103"/>
      <c r="BA595" s="103"/>
      <c r="BB595" s="103"/>
      <c r="BC595" s="103"/>
      <c r="BD595" s="103"/>
      <c r="BE595" s="103"/>
      <c r="BF595" s="103"/>
      <c r="BG595" s="103"/>
      <c r="BH595" s="103"/>
      <c r="BI595" s="103"/>
      <c r="BJ595" s="103"/>
      <c r="BK595" s="103"/>
      <c r="BL595" s="103"/>
      <c r="BM595" s="103"/>
      <c r="BN595" s="103"/>
      <c r="BO595" s="103"/>
      <c r="BP595" s="103"/>
      <c r="BQ595" s="103"/>
      <c r="BR595" s="103"/>
      <c r="BS595" s="103"/>
      <c r="BT595" s="103"/>
      <c r="BU595" s="103"/>
      <c r="BV595" s="103"/>
      <c r="BW595" s="103"/>
      <c r="BX595" s="103"/>
      <c r="BY595" s="103"/>
      <c r="BZ595" s="103"/>
      <c r="CA595" s="103"/>
      <c r="CB595" s="103"/>
      <c r="CC595" s="103"/>
      <c r="CD595" s="103"/>
      <c r="CE595" s="103"/>
      <c r="CF595" s="103"/>
      <c r="CG595" s="103"/>
      <c r="CH595" s="103"/>
      <c r="CI595" s="103"/>
      <c r="CJ595" s="103"/>
      <c r="CK595" s="103"/>
      <c r="CL595" s="103"/>
      <c r="CM595" s="103"/>
      <c r="CN595" s="103"/>
      <c r="CO595" s="103"/>
    </row>
    <row r="596" spans="1:95" hidden="1">
      <c r="A596" s="233"/>
      <c r="B596" s="101"/>
      <c r="C596" s="17" t="s">
        <v>688</v>
      </c>
      <c r="D596" s="69"/>
      <c r="E596" s="106">
        <f ca="1">I627/I630</f>
        <v>0.67044485325595982</v>
      </c>
      <c r="F596" s="70"/>
      <c r="G596" s="11" t="s">
        <v>28</v>
      </c>
      <c r="H596" s="69"/>
      <c r="I596" s="69"/>
      <c r="J596" s="69"/>
      <c r="K596" s="69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  <c r="AA596" s="103"/>
      <c r="AB596" s="103"/>
      <c r="AC596" s="103"/>
      <c r="AD596" s="103"/>
      <c r="AE596" s="103"/>
      <c r="AF596" s="103"/>
      <c r="AG596" s="103"/>
      <c r="AH596" s="103"/>
      <c r="AI596" s="103"/>
      <c r="AJ596" s="103"/>
      <c r="AK596" s="103"/>
      <c r="AL596" s="103"/>
      <c r="AM596" s="103"/>
      <c r="AN596" s="103"/>
      <c r="AO596" s="103"/>
      <c r="AP596" s="103"/>
      <c r="AQ596" s="103"/>
      <c r="AR596" s="103"/>
      <c r="AS596" s="103"/>
      <c r="AT596" s="103"/>
      <c r="AU596" s="103"/>
      <c r="AV596" s="103"/>
      <c r="AW596" s="103"/>
      <c r="AX596" s="103"/>
      <c r="AY596" s="103"/>
      <c r="AZ596" s="103"/>
      <c r="BA596" s="103"/>
      <c r="BB596" s="103"/>
      <c r="BC596" s="103"/>
      <c r="BD596" s="103"/>
      <c r="BE596" s="103"/>
      <c r="BF596" s="103"/>
      <c r="BG596" s="103"/>
      <c r="BH596" s="103"/>
      <c r="BI596" s="103"/>
      <c r="BJ596" s="103"/>
      <c r="BK596" s="103"/>
      <c r="BL596" s="103"/>
      <c r="BM596" s="103"/>
      <c r="BN596" s="103"/>
      <c r="BO596" s="103"/>
      <c r="BP596" s="103"/>
      <c r="BQ596" s="103"/>
      <c r="BR596" s="103"/>
      <c r="BS596" s="103"/>
      <c r="BT596" s="103"/>
      <c r="BU596" s="103"/>
      <c r="BV596" s="103"/>
      <c r="BW596" s="103"/>
      <c r="BX596" s="103"/>
      <c r="BY596" s="103"/>
      <c r="BZ596" s="103"/>
      <c r="CA596" s="103"/>
      <c r="CB596" s="103"/>
      <c r="CC596" s="103"/>
      <c r="CD596" s="103"/>
      <c r="CE596" s="103"/>
      <c r="CF596" s="103"/>
      <c r="CG596" s="103"/>
      <c r="CH596" s="103"/>
      <c r="CI596" s="103"/>
      <c r="CJ596" s="103"/>
      <c r="CK596" s="103"/>
      <c r="CL596" s="103"/>
      <c r="CM596" s="103"/>
      <c r="CN596" s="103"/>
      <c r="CO596" s="103"/>
    </row>
    <row r="597" spans="1:95" hidden="1">
      <c r="A597" s="233"/>
      <c r="B597" s="101"/>
      <c r="C597" s="17" t="s">
        <v>689</v>
      </c>
      <c r="D597" s="69"/>
      <c r="E597" s="106">
        <f ca="1">I628/I630</f>
        <v>0.25924037345011858</v>
      </c>
      <c r="F597" s="70"/>
      <c r="G597" s="11" t="s">
        <v>28</v>
      </c>
      <c r="H597" s="69"/>
      <c r="I597" s="69"/>
      <c r="J597" s="69"/>
      <c r="K597" s="69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  <c r="AA597" s="103"/>
      <c r="AB597" s="103"/>
      <c r="AC597" s="103"/>
      <c r="AD597" s="103"/>
      <c r="AE597" s="103"/>
      <c r="AF597" s="103"/>
      <c r="AG597" s="103"/>
      <c r="AH597" s="103"/>
      <c r="AI597" s="103"/>
      <c r="AJ597" s="103"/>
      <c r="AK597" s="103"/>
      <c r="AL597" s="103"/>
      <c r="AM597" s="103"/>
      <c r="AN597" s="103"/>
      <c r="AO597" s="103"/>
      <c r="AP597" s="103"/>
      <c r="AQ597" s="103"/>
      <c r="AR597" s="103"/>
      <c r="AS597" s="103"/>
      <c r="AT597" s="103"/>
      <c r="AU597" s="103"/>
      <c r="AV597" s="103"/>
      <c r="AW597" s="103"/>
      <c r="AX597" s="103"/>
      <c r="AY597" s="103"/>
      <c r="AZ597" s="103"/>
      <c r="BA597" s="103"/>
      <c r="BB597" s="103"/>
      <c r="BC597" s="103"/>
      <c r="BD597" s="103"/>
      <c r="BE597" s="103"/>
      <c r="BF597" s="103"/>
      <c r="BG597" s="103"/>
      <c r="BH597" s="103"/>
      <c r="BI597" s="103"/>
      <c r="BJ597" s="103"/>
      <c r="BK597" s="103"/>
      <c r="BL597" s="103"/>
      <c r="BM597" s="103"/>
      <c r="BN597" s="103"/>
      <c r="BO597" s="103"/>
      <c r="BP597" s="103"/>
      <c r="BQ597" s="103"/>
      <c r="BR597" s="103"/>
      <c r="BS597" s="103"/>
      <c r="BT597" s="103"/>
      <c r="BU597" s="103"/>
      <c r="BV597" s="103"/>
      <c r="BW597" s="103"/>
      <c r="BX597" s="103"/>
      <c r="BY597" s="103"/>
      <c r="BZ597" s="103"/>
      <c r="CA597" s="103"/>
      <c r="CB597" s="103"/>
      <c r="CC597" s="103"/>
      <c r="CD597" s="103"/>
      <c r="CE597" s="103"/>
      <c r="CF597" s="103"/>
      <c r="CG597" s="103"/>
      <c r="CH597" s="103"/>
      <c r="CI597" s="103"/>
      <c r="CJ597" s="103"/>
      <c r="CK597" s="103"/>
      <c r="CL597" s="103"/>
      <c r="CM597" s="103"/>
      <c r="CN597" s="103"/>
      <c r="CO597" s="103"/>
    </row>
    <row r="598" spans="1:95" hidden="1">
      <c r="A598" s="233"/>
      <c r="B598" s="101"/>
      <c r="C598" s="17" t="s">
        <v>763</v>
      </c>
      <c r="D598" s="69"/>
      <c r="E598" s="106">
        <f ca="1">I629/I630</f>
        <v>7.0314773293921787E-2</v>
      </c>
      <c r="F598" s="70"/>
      <c r="G598" s="11" t="s">
        <v>28</v>
      </c>
      <c r="H598" s="69"/>
      <c r="I598" s="69"/>
      <c r="J598" s="69"/>
      <c r="K598" s="69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  <c r="AA598" s="103"/>
      <c r="AB598" s="103"/>
      <c r="AC598" s="103"/>
      <c r="AD598" s="103"/>
      <c r="AE598" s="103"/>
      <c r="AF598" s="103"/>
      <c r="AG598" s="103"/>
      <c r="AH598" s="103"/>
      <c r="AI598" s="103"/>
      <c r="AJ598" s="103"/>
      <c r="AK598" s="103"/>
      <c r="AL598" s="103"/>
      <c r="AM598" s="103"/>
      <c r="AN598" s="103"/>
      <c r="AO598" s="103"/>
      <c r="AP598" s="103"/>
      <c r="AQ598" s="103"/>
      <c r="AR598" s="103"/>
      <c r="AS598" s="103"/>
      <c r="AT598" s="103"/>
      <c r="AU598" s="103"/>
      <c r="AV598" s="103"/>
      <c r="AW598" s="103"/>
      <c r="AX598" s="103"/>
      <c r="AY598" s="103"/>
      <c r="AZ598" s="103"/>
      <c r="BA598" s="103"/>
      <c r="BB598" s="103"/>
      <c r="BC598" s="103"/>
      <c r="BD598" s="103"/>
      <c r="BE598" s="103"/>
      <c r="BF598" s="103"/>
      <c r="BG598" s="103"/>
      <c r="BH598" s="103"/>
      <c r="BI598" s="103"/>
      <c r="BJ598" s="103"/>
      <c r="BK598" s="103"/>
      <c r="BL598" s="103"/>
      <c r="BM598" s="103"/>
      <c r="BN598" s="103"/>
      <c r="BO598" s="103"/>
      <c r="BP598" s="103"/>
      <c r="BQ598" s="103"/>
      <c r="BR598" s="103"/>
      <c r="BS598" s="103"/>
      <c r="BT598" s="103"/>
      <c r="BU598" s="103"/>
      <c r="BV598" s="103"/>
      <c r="BW598" s="103"/>
      <c r="BX598" s="103"/>
      <c r="BY598" s="103"/>
      <c r="BZ598" s="103"/>
      <c r="CA598" s="103"/>
      <c r="CB598" s="103"/>
      <c r="CC598" s="103"/>
      <c r="CD598" s="103"/>
      <c r="CE598" s="103"/>
      <c r="CF598" s="103"/>
      <c r="CG598" s="103"/>
      <c r="CH598" s="103"/>
      <c r="CI598" s="103"/>
      <c r="CJ598" s="103"/>
      <c r="CK598" s="103"/>
      <c r="CL598" s="103"/>
      <c r="CM598" s="103"/>
      <c r="CN598" s="103"/>
      <c r="CO598" s="103"/>
    </row>
    <row r="599" spans="1:95" hidden="1">
      <c r="A599" s="233"/>
      <c r="B599" s="101"/>
      <c r="C599" s="248" t="s">
        <v>20</v>
      </c>
      <c r="D599" s="234"/>
      <c r="E599" s="238">
        <f ca="1">SUM(E596:E598)</f>
        <v>1.0000000000000002</v>
      </c>
      <c r="F599" s="236"/>
      <c r="G599" s="230" t="s">
        <v>28</v>
      </c>
      <c r="H599" s="69"/>
      <c r="I599" s="69"/>
      <c r="J599" s="69"/>
      <c r="K599" s="69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  <c r="AA599" s="103"/>
      <c r="AB599" s="103"/>
      <c r="AC599" s="103"/>
      <c r="AD599" s="103"/>
      <c r="AE599" s="103"/>
      <c r="AF599" s="103"/>
      <c r="AG599" s="103"/>
      <c r="AH599" s="103"/>
      <c r="AI599" s="103"/>
      <c r="AJ599" s="103"/>
      <c r="AK599" s="103"/>
      <c r="AL599" s="103"/>
      <c r="AM599" s="103"/>
      <c r="AN599" s="103"/>
      <c r="AO599" s="103"/>
      <c r="AP599" s="103"/>
      <c r="AQ599" s="103"/>
      <c r="AR599" s="103"/>
      <c r="AS599" s="103"/>
      <c r="AT599" s="103"/>
      <c r="AU599" s="103"/>
      <c r="AV599" s="103"/>
      <c r="AW599" s="103"/>
      <c r="AX599" s="103"/>
      <c r="AY599" s="103"/>
      <c r="AZ599" s="103"/>
      <c r="BA599" s="103"/>
      <c r="BB599" s="103"/>
      <c r="BC599" s="103"/>
      <c r="BD599" s="103"/>
      <c r="BE599" s="103"/>
      <c r="BF599" s="103"/>
      <c r="BG599" s="103"/>
      <c r="BH599" s="103"/>
      <c r="BI599" s="103"/>
      <c r="BJ599" s="103"/>
      <c r="BK599" s="103"/>
      <c r="BL599" s="103"/>
      <c r="BM599" s="103"/>
      <c r="BN599" s="103"/>
      <c r="BO599" s="103"/>
      <c r="BP599" s="103"/>
      <c r="BQ599" s="103"/>
      <c r="BR599" s="103"/>
      <c r="BS599" s="103"/>
      <c r="BT599" s="103"/>
      <c r="BU599" s="103"/>
      <c r="BV599" s="103"/>
      <c r="BW599" s="103"/>
      <c r="BX599" s="103"/>
      <c r="BY599" s="103"/>
      <c r="BZ599" s="103"/>
      <c r="CA599" s="103"/>
      <c r="CB599" s="103"/>
      <c r="CC599" s="103"/>
      <c r="CD599" s="103"/>
      <c r="CE599" s="103"/>
      <c r="CF599" s="103"/>
      <c r="CG599" s="103"/>
      <c r="CH599" s="103"/>
      <c r="CI599" s="103"/>
      <c r="CJ599" s="103"/>
      <c r="CK599" s="103"/>
      <c r="CL599" s="103"/>
      <c r="CM599" s="103"/>
      <c r="CN599" s="103"/>
      <c r="CO599" s="103"/>
    </row>
    <row r="600" spans="1:95" hidden="1">
      <c r="A600" s="233"/>
      <c r="B600" s="101"/>
      <c r="C600" s="169"/>
      <c r="D600" s="69"/>
      <c r="E600" s="62"/>
      <c r="F600" s="70"/>
      <c r="G600" s="11"/>
      <c r="H600" s="69"/>
      <c r="I600" s="69"/>
      <c r="J600" s="69"/>
      <c r="K600" s="69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  <c r="AA600" s="103"/>
      <c r="AB600" s="103"/>
      <c r="AC600" s="103"/>
      <c r="AD600" s="103"/>
      <c r="AE600" s="103"/>
      <c r="AF600" s="103"/>
      <c r="AG600" s="103"/>
      <c r="AH600" s="103"/>
      <c r="AI600" s="103"/>
      <c r="AJ600" s="103"/>
      <c r="AK600" s="103"/>
      <c r="AL600" s="103"/>
      <c r="AM600" s="103"/>
      <c r="AN600" s="103"/>
      <c r="AO600" s="103"/>
      <c r="AP600" s="103"/>
      <c r="AQ600" s="103"/>
      <c r="AR600" s="103"/>
      <c r="AS600" s="103"/>
      <c r="AT600" s="103"/>
      <c r="AU600" s="103"/>
      <c r="AV600" s="103"/>
      <c r="AW600" s="103"/>
      <c r="AX600" s="103"/>
      <c r="AY600" s="103"/>
      <c r="AZ600" s="103"/>
      <c r="BA600" s="103"/>
      <c r="BB600" s="103"/>
      <c r="BC600" s="103"/>
      <c r="BD600" s="103"/>
      <c r="BE600" s="103"/>
      <c r="BF600" s="103"/>
      <c r="BG600" s="103"/>
      <c r="BH600" s="103"/>
      <c r="BI600" s="103"/>
      <c r="BJ600" s="103"/>
      <c r="BK600" s="103"/>
      <c r="BL600" s="103"/>
      <c r="BM600" s="103"/>
      <c r="BN600" s="103"/>
      <c r="BO600" s="103"/>
      <c r="BP600" s="103"/>
      <c r="BQ600" s="103"/>
      <c r="BR600" s="103"/>
      <c r="BS600" s="103"/>
      <c r="BT600" s="103"/>
      <c r="BU600" s="103"/>
      <c r="BV600" s="103"/>
      <c r="BW600" s="103"/>
      <c r="BX600" s="103"/>
      <c r="BY600" s="103"/>
      <c r="BZ600" s="103"/>
      <c r="CA600" s="103"/>
      <c r="CB600" s="103"/>
      <c r="CC600" s="103"/>
      <c r="CD600" s="103"/>
      <c r="CE600" s="103"/>
      <c r="CF600" s="103"/>
      <c r="CG600" s="103"/>
      <c r="CH600" s="103"/>
      <c r="CI600" s="103"/>
      <c r="CJ600" s="103"/>
      <c r="CK600" s="103"/>
      <c r="CL600" s="103"/>
      <c r="CM600" s="103"/>
      <c r="CN600" s="103"/>
      <c r="CO600" s="103"/>
    </row>
    <row r="601" spans="1:95" ht="16.5" thickBot="1">
      <c r="A601" s="233"/>
      <c r="B601" s="10"/>
      <c r="C601" s="12" t="s">
        <v>857</v>
      </c>
      <c r="D601" s="12"/>
      <c r="E601" s="12"/>
      <c r="F601" s="12"/>
      <c r="G601" s="360"/>
      <c r="H601" s="12"/>
      <c r="I601" s="12"/>
      <c r="J601" s="69"/>
      <c r="K601" s="69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  <c r="AA601" s="103"/>
      <c r="AB601" s="103"/>
      <c r="AC601" s="103"/>
      <c r="AD601" s="103"/>
      <c r="AE601" s="103"/>
      <c r="AF601" s="103"/>
      <c r="AG601" s="103"/>
      <c r="AH601" s="103"/>
      <c r="AI601" s="103"/>
      <c r="AJ601" s="103"/>
      <c r="AK601" s="103"/>
      <c r="AL601" s="103"/>
      <c r="AM601" s="103"/>
      <c r="AN601" s="103"/>
      <c r="AO601" s="103"/>
      <c r="AP601" s="103"/>
      <c r="AQ601" s="103"/>
      <c r="AR601" s="103"/>
      <c r="AS601" s="103"/>
      <c r="AT601" s="103"/>
      <c r="AU601" s="103"/>
      <c r="AV601" s="103"/>
      <c r="AW601" s="103"/>
      <c r="AX601" s="103"/>
      <c r="AY601" s="103"/>
      <c r="AZ601" s="103"/>
      <c r="BA601" s="103"/>
      <c r="BB601" s="103"/>
      <c r="BC601" s="103"/>
      <c r="BD601" s="103"/>
      <c r="BE601" s="103"/>
      <c r="BF601" s="103"/>
      <c r="BG601" s="103"/>
      <c r="BH601" s="103"/>
      <c r="BI601" s="103"/>
      <c r="BJ601" s="103"/>
      <c r="BK601" s="103"/>
      <c r="BL601" s="103"/>
      <c r="BM601" s="103"/>
      <c r="BN601" s="103"/>
      <c r="BO601" s="103"/>
      <c r="BP601" s="103"/>
      <c r="BQ601" s="103"/>
      <c r="BR601" s="103"/>
      <c r="BS601" s="103"/>
      <c r="BT601" s="103"/>
      <c r="BU601" s="103"/>
      <c r="BV601" s="103"/>
      <c r="BW601" s="103"/>
      <c r="BX601" s="103"/>
      <c r="BY601" s="103"/>
      <c r="BZ601" s="103"/>
      <c r="CA601" s="103"/>
      <c r="CB601" s="103"/>
      <c r="CC601" s="103"/>
      <c r="CD601" s="103"/>
      <c r="CE601" s="103"/>
      <c r="CF601" s="103"/>
      <c r="CG601" s="103"/>
      <c r="CH601" s="103"/>
      <c r="CI601" s="103"/>
      <c r="CJ601" s="103"/>
      <c r="CK601" s="103"/>
      <c r="CL601" s="103"/>
      <c r="CM601" s="103"/>
      <c r="CN601" s="103"/>
      <c r="CO601" s="103"/>
    </row>
    <row r="602" spans="1:95">
      <c r="A602" s="233"/>
      <c r="B602" s="101"/>
      <c r="C602" s="169"/>
      <c r="D602" s="69"/>
      <c r="E602" s="62"/>
      <c r="F602" s="70"/>
      <c r="G602" s="11"/>
      <c r="H602" s="69"/>
      <c r="I602" s="69"/>
      <c r="J602" s="69"/>
      <c r="K602" s="69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  <c r="AA602" s="103"/>
      <c r="AB602" s="103"/>
      <c r="AC602" s="103"/>
      <c r="AD602" s="103"/>
      <c r="AE602" s="103"/>
      <c r="AF602" s="103"/>
      <c r="AG602" s="103"/>
      <c r="AH602" s="103"/>
      <c r="AI602" s="103"/>
      <c r="AJ602" s="103"/>
      <c r="AK602" s="103"/>
      <c r="AL602" s="103"/>
      <c r="AM602" s="103"/>
      <c r="AN602" s="103"/>
      <c r="AO602" s="103"/>
      <c r="AP602" s="103"/>
      <c r="AQ602" s="103"/>
      <c r="AR602" s="103"/>
      <c r="AS602" s="103"/>
      <c r="AT602" s="103"/>
      <c r="AU602" s="103"/>
      <c r="AV602" s="103"/>
      <c r="AW602" s="103"/>
      <c r="AX602" s="103"/>
      <c r="AY602" s="103"/>
      <c r="AZ602" s="103"/>
      <c r="BA602" s="103"/>
      <c r="BB602" s="103"/>
      <c r="BC602" s="103"/>
      <c r="BD602" s="103"/>
      <c r="BE602" s="103"/>
      <c r="BF602" s="103"/>
      <c r="BG602" s="103"/>
      <c r="BH602" s="103"/>
      <c r="BI602" s="103"/>
      <c r="BJ602" s="103"/>
      <c r="BK602" s="103"/>
      <c r="BL602" s="103"/>
      <c r="BM602" s="103"/>
      <c r="BN602" s="103"/>
      <c r="BO602" s="103"/>
      <c r="BP602" s="103"/>
      <c r="BQ602" s="103"/>
      <c r="BR602" s="103"/>
      <c r="BS602" s="103"/>
      <c r="BT602" s="103"/>
      <c r="BU602" s="103"/>
      <c r="BV602" s="103"/>
      <c r="BW602" s="103"/>
      <c r="BX602" s="103"/>
      <c r="BY602" s="103"/>
      <c r="BZ602" s="103"/>
      <c r="CA602" s="103"/>
      <c r="CB602" s="103"/>
      <c r="CC602" s="103"/>
      <c r="CD602" s="103"/>
      <c r="CE602" s="103"/>
      <c r="CF602" s="103"/>
      <c r="CG602" s="103"/>
      <c r="CH602" s="103"/>
      <c r="CI602" s="103"/>
      <c r="CJ602" s="103"/>
      <c r="CK602" s="103"/>
      <c r="CL602" s="103"/>
      <c r="CM602" s="103"/>
      <c r="CN602" s="103"/>
      <c r="CO602" s="103"/>
    </row>
    <row r="603" spans="1:95">
      <c r="A603" s="233"/>
      <c r="B603" s="101"/>
      <c r="C603" s="41" t="s">
        <v>681</v>
      </c>
      <c r="D603" s="69"/>
      <c r="E603" s="62"/>
      <c r="F603" s="70"/>
      <c r="G603" s="11"/>
      <c r="H603" s="69"/>
      <c r="I603" s="69"/>
      <c r="J603" s="69"/>
      <c r="K603" s="69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  <c r="AA603" s="103"/>
      <c r="AB603" s="103"/>
      <c r="AC603" s="103"/>
      <c r="AD603" s="103"/>
      <c r="AE603" s="103"/>
      <c r="AF603" s="103"/>
      <c r="AG603" s="103"/>
      <c r="AH603" s="103"/>
      <c r="AI603" s="103"/>
      <c r="AJ603" s="103"/>
      <c r="AK603" s="103"/>
      <c r="AL603" s="103"/>
      <c r="AM603" s="103"/>
      <c r="AN603" s="103"/>
      <c r="AO603" s="103"/>
      <c r="AP603" s="103"/>
      <c r="AQ603" s="103"/>
      <c r="AR603" s="103"/>
      <c r="AS603" s="103"/>
      <c r="AT603" s="103"/>
      <c r="AU603" s="103"/>
      <c r="AV603" s="103"/>
      <c r="AW603" s="103"/>
      <c r="AX603" s="103"/>
      <c r="AY603" s="103"/>
      <c r="AZ603" s="103"/>
      <c r="BA603" s="103"/>
      <c r="BB603" s="103"/>
      <c r="BC603" s="103"/>
      <c r="BD603" s="103"/>
      <c r="BE603" s="103"/>
      <c r="BF603" s="103"/>
      <c r="BG603" s="103"/>
      <c r="BH603" s="103"/>
      <c r="BI603" s="103"/>
      <c r="BJ603" s="103"/>
      <c r="BK603" s="103"/>
      <c r="BL603" s="103"/>
      <c r="BM603" s="103"/>
      <c r="BN603" s="103"/>
      <c r="BO603" s="103"/>
      <c r="BP603" s="103"/>
      <c r="BQ603" s="103"/>
      <c r="BR603" s="103"/>
      <c r="BS603" s="103"/>
      <c r="BT603" s="103"/>
      <c r="BU603" s="103"/>
      <c r="BV603" s="103"/>
      <c r="BW603" s="103"/>
      <c r="BX603" s="103"/>
      <c r="BY603" s="103"/>
      <c r="BZ603" s="103"/>
      <c r="CA603" s="103"/>
      <c r="CB603" s="103"/>
      <c r="CC603" s="103"/>
      <c r="CD603" s="103"/>
      <c r="CE603" s="103"/>
      <c r="CF603" s="103"/>
      <c r="CG603" s="103"/>
      <c r="CH603" s="103"/>
      <c r="CI603" s="103"/>
      <c r="CJ603" s="103"/>
      <c r="CK603" s="103"/>
      <c r="CL603" s="103"/>
      <c r="CM603" s="103"/>
      <c r="CN603" s="103"/>
      <c r="CO603" s="103"/>
    </row>
    <row r="604" spans="1:95">
      <c r="A604" s="233"/>
      <c r="B604" s="101"/>
      <c r="C604" s="17" t="s">
        <v>691</v>
      </c>
      <c r="D604" s="69"/>
      <c r="E604" s="240"/>
      <c r="F604" s="70"/>
      <c r="G604" s="11" t="s">
        <v>28</v>
      </c>
      <c r="H604" s="69"/>
      <c r="I604" s="69"/>
      <c r="J604" s="69"/>
      <c r="K604" s="69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  <c r="BL604" s="10"/>
      <c r="BM604" s="10"/>
      <c r="BN604" s="10"/>
      <c r="B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</row>
    <row r="605" spans="1:95">
      <c r="A605" s="233"/>
      <c r="B605" s="101"/>
      <c r="C605" s="403" t="s">
        <v>1107</v>
      </c>
      <c r="D605" s="69"/>
      <c r="E605" s="241"/>
      <c r="F605" s="70"/>
      <c r="G605" s="11" t="s">
        <v>28</v>
      </c>
      <c r="H605" s="69"/>
      <c r="I605" s="69"/>
      <c r="J605" s="69"/>
      <c r="K605" s="69"/>
      <c r="L605" s="449">
        <f t="shared" ref="L605:AQ605" si="798">VAT_Rate_Periods-VAT_Rate_Zero_Periods</f>
        <v>0</v>
      </c>
      <c r="M605" s="449">
        <f t="shared" si="798"/>
        <v>0</v>
      </c>
      <c r="N605" s="449">
        <f t="shared" si="798"/>
        <v>0</v>
      </c>
      <c r="O605" s="449">
        <f t="shared" si="798"/>
        <v>0</v>
      </c>
      <c r="P605" s="449">
        <f t="shared" si="798"/>
        <v>0</v>
      </c>
      <c r="Q605" s="449">
        <f t="shared" si="798"/>
        <v>0</v>
      </c>
      <c r="R605" s="449">
        <f t="shared" si="798"/>
        <v>0</v>
      </c>
      <c r="S605" s="449">
        <f t="shared" si="798"/>
        <v>0</v>
      </c>
      <c r="T605" s="449">
        <f t="shared" si="798"/>
        <v>0</v>
      </c>
      <c r="U605" s="449">
        <f t="shared" si="798"/>
        <v>0</v>
      </c>
      <c r="V605" s="449">
        <f t="shared" si="798"/>
        <v>0</v>
      </c>
      <c r="W605" s="449">
        <f t="shared" si="798"/>
        <v>0</v>
      </c>
      <c r="X605" s="449">
        <f t="shared" si="798"/>
        <v>0</v>
      </c>
      <c r="Y605" s="449">
        <f t="shared" si="798"/>
        <v>0</v>
      </c>
      <c r="Z605" s="449">
        <f t="shared" si="798"/>
        <v>0</v>
      </c>
      <c r="AA605" s="449">
        <f t="shared" si="798"/>
        <v>0</v>
      </c>
      <c r="AB605" s="449">
        <f t="shared" si="798"/>
        <v>0</v>
      </c>
      <c r="AC605" s="449">
        <f t="shared" si="798"/>
        <v>0.2</v>
      </c>
      <c r="AD605" s="449">
        <f t="shared" si="798"/>
        <v>0.2</v>
      </c>
      <c r="AE605" s="449">
        <f t="shared" si="798"/>
        <v>0.2</v>
      </c>
      <c r="AF605" s="449">
        <f t="shared" si="798"/>
        <v>0.2</v>
      </c>
      <c r="AG605" s="449">
        <f t="shared" si="798"/>
        <v>0.2</v>
      </c>
      <c r="AH605" s="449">
        <f t="shared" si="798"/>
        <v>0.2</v>
      </c>
      <c r="AI605" s="449">
        <f t="shared" si="798"/>
        <v>0.2</v>
      </c>
      <c r="AJ605" s="449">
        <f t="shared" si="798"/>
        <v>0.2</v>
      </c>
      <c r="AK605" s="449">
        <f t="shared" si="798"/>
        <v>0.2</v>
      </c>
      <c r="AL605" s="449">
        <f t="shared" si="798"/>
        <v>0.2</v>
      </c>
      <c r="AM605" s="449">
        <f t="shared" si="798"/>
        <v>0.2</v>
      </c>
      <c r="AN605" s="449">
        <f t="shared" si="798"/>
        <v>0.2</v>
      </c>
      <c r="AO605" s="449">
        <f t="shared" si="798"/>
        <v>0.2</v>
      </c>
      <c r="AP605" s="449">
        <f t="shared" si="798"/>
        <v>0.2</v>
      </c>
      <c r="AQ605" s="449">
        <f t="shared" si="798"/>
        <v>0.2</v>
      </c>
      <c r="AR605" s="449">
        <f t="shared" ref="AR605:BW605" si="799">VAT_Rate_Periods-VAT_Rate_Zero_Periods</f>
        <v>0.2</v>
      </c>
      <c r="AS605" s="449">
        <f t="shared" si="799"/>
        <v>0.2</v>
      </c>
      <c r="AT605" s="449">
        <f t="shared" si="799"/>
        <v>0.2</v>
      </c>
      <c r="AU605" s="449">
        <f t="shared" si="799"/>
        <v>0.2</v>
      </c>
      <c r="AV605" s="449">
        <f t="shared" si="799"/>
        <v>0.2</v>
      </c>
      <c r="AW605" s="449">
        <f t="shared" si="799"/>
        <v>0</v>
      </c>
      <c r="AX605" s="449">
        <f t="shared" si="799"/>
        <v>0</v>
      </c>
      <c r="AY605" s="449">
        <f t="shared" si="799"/>
        <v>0</v>
      </c>
      <c r="AZ605" s="449">
        <f t="shared" si="799"/>
        <v>0</v>
      </c>
      <c r="BA605" s="449">
        <f t="shared" si="799"/>
        <v>0</v>
      </c>
      <c r="BB605" s="449">
        <f t="shared" si="799"/>
        <v>0</v>
      </c>
      <c r="BC605" s="449">
        <f t="shared" si="799"/>
        <v>0</v>
      </c>
      <c r="BD605" s="449">
        <f t="shared" si="799"/>
        <v>0</v>
      </c>
      <c r="BE605" s="449">
        <f t="shared" si="799"/>
        <v>0</v>
      </c>
      <c r="BF605" s="449">
        <f t="shared" si="799"/>
        <v>0</v>
      </c>
      <c r="BG605" s="449">
        <f t="shared" si="799"/>
        <v>0</v>
      </c>
      <c r="BH605" s="449">
        <f t="shared" si="799"/>
        <v>0</v>
      </c>
      <c r="BI605" s="449">
        <f t="shared" si="799"/>
        <v>0</v>
      </c>
      <c r="BJ605" s="449">
        <f t="shared" si="799"/>
        <v>0</v>
      </c>
      <c r="BK605" s="449">
        <f t="shared" si="799"/>
        <v>0</v>
      </c>
      <c r="BL605" s="449">
        <f t="shared" si="799"/>
        <v>0</v>
      </c>
      <c r="BM605" s="449">
        <f t="shared" si="799"/>
        <v>0</v>
      </c>
      <c r="BN605" s="449">
        <f t="shared" si="799"/>
        <v>0</v>
      </c>
      <c r="BO605" s="449">
        <f t="shared" si="799"/>
        <v>0</v>
      </c>
      <c r="BP605" s="449">
        <f t="shared" si="799"/>
        <v>0</v>
      </c>
      <c r="BQ605" s="449">
        <f t="shared" si="799"/>
        <v>0</v>
      </c>
      <c r="BR605" s="449">
        <f t="shared" si="799"/>
        <v>0</v>
      </c>
      <c r="BS605" s="449">
        <f t="shared" si="799"/>
        <v>0</v>
      </c>
      <c r="BT605" s="449">
        <f t="shared" si="799"/>
        <v>0</v>
      </c>
      <c r="BU605" s="449">
        <f t="shared" si="799"/>
        <v>0</v>
      </c>
      <c r="BV605" s="449">
        <f t="shared" si="799"/>
        <v>0</v>
      </c>
      <c r="BW605" s="449">
        <f t="shared" si="799"/>
        <v>0</v>
      </c>
      <c r="BX605" s="449">
        <f t="shared" ref="BX605:CO605" si="800">VAT_Rate_Periods-VAT_Rate_Zero_Periods</f>
        <v>0</v>
      </c>
      <c r="BY605" s="449">
        <f t="shared" si="800"/>
        <v>0</v>
      </c>
      <c r="BZ605" s="449">
        <f t="shared" si="800"/>
        <v>0</v>
      </c>
      <c r="CA605" s="449">
        <f t="shared" si="800"/>
        <v>0</v>
      </c>
      <c r="CB605" s="449">
        <f t="shared" si="800"/>
        <v>0</v>
      </c>
      <c r="CC605" s="449">
        <f t="shared" si="800"/>
        <v>0</v>
      </c>
      <c r="CD605" s="449">
        <f t="shared" si="800"/>
        <v>0</v>
      </c>
      <c r="CE605" s="449">
        <f t="shared" si="800"/>
        <v>0</v>
      </c>
      <c r="CF605" s="449">
        <f t="shared" si="800"/>
        <v>0</v>
      </c>
      <c r="CG605" s="449">
        <f t="shared" si="800"/>
        <v>0</v>
      </c>
      <c r="CH605" s="449">
        <f t="shared" si="800"/>
        <v>0</v>
      </c>
      <c r="CI605" s="449">
        <f t="shared" si="800"/>
        <v>0</v>
      </c>
      <c r="CJ605" s="449">
        <f t="shared" si="800"/>
        <v>0</v>
      </c>
      <c r="CK605" s="449">
        <f t="shared" si="800"/>
        <v>0</v>
      </c>
      <c r="CL605" s="449">
        <f t="shared" si="800"/>
        <v>0</v>
      </c>
      <c r="CM605" s="449">
        <f t="shared" si="800"/>
        <v>0</v>
      </c>
      <c r="CN605" s="449">
        <f t="shared" si="800"/>
        <v>0</v>
      </c>
      <c r="CO605" s="449">
        <f t="shared" si="800"/>
        <v>0</v>
      </c>
    </row>
    <row r="606" spans="1:95">
      <c r="A606" s="233"/>
      <c r="B606" s="101"/>
      <c r="C606" s="17" t="s">
        <v>694</v>
      </c>
      <c r="D606" s="69"/>
      <c r="E606" s="62"/>
      <c r="F606" s="70"/>
      <c r="G606" s="11" t="s">
        <v>661</v>
      </c>
      <c r="H606" s="69"/>
      <c r="I606" s="69"/>
      <c r="J606" s="69"/>
      <c r="K606" s="69"/>
      <c r="L606" s="10">
        <f ca="1" xml:space="preserve"> $L$547 * (Flag_Operations) * CPI_Accumulated_From_Date</f>
        <v>0</v>
      </c>
      <c r="M606" s="10">
        <f ca="1" xml:space="preserve"> $M$547 * (Flag_Operations) * CPI_Accumulated_From_Date</f>
        <v>0</v>
      </c>
      <c r="N606" s="10">
        <f ca="1" xml:space="preserve"> $N$547 * (Flag_Operations) * CPI_Accumulated_From_Date</f>
        <v>0</v>
      </c>
      <c r="O606" s="10">
        <f ca="1" xml:space="preserve"> $O$547 * (Flag_Operations) * CPI_Accumulated_From_Date</f>
        <v>0</v>
      </c>
      <c r="P606" s="10">
        <f ca="1" xml:space="preserve"> $L$547 * (Flag_Operations) * CPI_Accumulated_From_Date</f>
        <v>0</v>
      </c>
      <c r="Q606" s="10">
        <f ca="1" xml:space="preserve"> $M$547 * (Flag_Operations) * CPI_Accumulated_From_Date</f>
        <v>0</v>
      </c>
      <c r="R606" s="10">
        <f ca="1" xml:space="preserve"> $N$547 * (Flag_Operations) * CPI_Accumulated_From_Date</f>
        <v>0</v>
      </c>
      <c r="S606" s="10">
        <f ca="1" xml:space="preserve"> $O$547 * (Flag_Operations) * CPI_Accumulated_From_Date</f>
        <v>0</v>
      </c>
      <c r="T606" s="10">
        <f ca="1" xml:space="preserve"> $L$547 * (Flag_Operations) * CPI_Accumulated_From_Date</f>
        <v>0</v>
      </c>
      <c r="U606" s="10">
        <f ca="1" xml:space="preserve"> $M$547 * (Flag_Operations) * CPI_Accumulated_From_Date</f>
        <v>0</v>
      </c>
      <c r="V606" s="10">
        <f ca="1" xml:space="preserve"> $N$547 * (Flag_Operations) * CPI_Accumulated_From_Date</f>
        <v>0</v>
      </c>
      <c r="W606" s="10">
        <f ca="1" xml:space="preserve"> $O$547 * (Flag_Operations) * CPI_Accumulated_From_Date</f>
        <v>0</v>
      </c>
      <c r="X606" s="10">
        <f ca="1" xml:space="preserve"> $L$547 * (Flag_Operations) * CPI_Accumulated_From_Date</f>
        <v>0</v>
      </c>
      <c r="Y606" s="10">
        <f ca="1" xml:space="preserve"> $M$547 * (Flag_Operations) * CPI_Accumulated_From_Date</f>
        <v>0</v>
      </c>
      <c r="Z606" s="10">
        <f ca="1" xml:space="preserve"> $N$547 * (Flag_Operations) * CPI_Accumulated_From_Date</f>
        <v>0</v>
      </c>
      <c r="AA606" s="10">
        <f ca="1" xml:space="preserve"> $O$547 * (Flag_Operations) * CPI_Accumulated_From_Date</f>
        <v>0</v>
      </c>
      <c r="AB606" s="10">
        <f ca="1" xml:space="preserve"> $L$547 * (Flag_Operations) * CPI_Accumulated_From_Date</f>
        <v>0</v>
      </c>
      <c r="AC606" s="10">
        <f ca="1" xml:space="preserve"> $M$547 * (Flag_Operations) * CPI_Accumulated_From_Date</f>
        <v>32058.66234262017</v>
      </c>
      <c r="AD606" s="10">
        <f ca="1" xml:space="preserve"> $N$547 * (Flag_Operations) * CPI_Accumulated_From_Date</f>
        <v>44293.889170975424</v>
      </c>
      <c r="AE606" s="10">
        <f ca="1" xml:space="preserve"> $O$547 * (Flag_Operations) * CPI_Accumulated_From_Date</f>
        <v>28080.485125085892</v>
      </c>
      <c r="AF606" s="10">
        <f ca="1" xml:space="preserve"> $L$547 * (Flag_Operations) * CPI_Accumulated_From_Date</f>
        <v>26187.520750770447</v>
      </c>
      <c r="AG606" s="10">
        <f ca="1" xml:space="preserve"> $M$547 * (Flag_Operations) * CPI_Accumulated_From_Date</f>
        <v>33341.008836324974</v>
      </c>
      <c r="AH606" s="10">
        <f ca="1" xml:space="preserve"> $N$547 * (Flag_Operations) * CPI_Accumulated_From_Date</f>
        <v>46065.644737814444</v>
      </c>
      <c r="AI606" s="10">
        <f ca="1" xml:space="preserve"> $O$547 * (Flag_Operations) * CPI_Accumulated_From_Date</f>
        <v>29203.704530089326</v>
      </c>
      <c r="AJ606" s="10">
        <f ca="1" xml:space="preserve"> $L$547 * (Flag_Operations) * CPI_Accumulated_From_Date</f>
        <v>27235.021580801262</v>
      </c>
      <c r="AK606" s="10">
        <f ca="1" xml:space="preserve"> $M$547 * (Flag_Operations) * CPI_Accumulated_From_Date</f>
        <v>34674.649189777978</v>
      </c>
      <c r="AL606" s="10">
        <f ca="1" xml:space="preserve"> $N$547 * (Flag_Operations) * CPI_Accumulated_From_Date</f>
        <v>47908.270527327018</v>
      </c>
      <c r="AM606" s="10">
        <f ca="1" xml:space="preserve"> $O$547 * (Flag_Operations) * CPI_Accumulated_From_Date</f>
        <v>30371.852711292897</v>
      </c>
      <c r="AN606" s="10">
        <f ca="1" xml:space="preserve"> $L$547 * (Flag_Operations) * CPI_Accumulated_From_Date</f>
        <v>28324.422444033309</v>
      </c>
      <c r="AO606" s="10">
        <f ca="1" xml:space="preserve"> $M$547 * (Flag_Operations) * CPI_Accumulated_From_Date</f>
        <v>36061.635157369092</v>
      </c>
      <c r="AP606" s="10">
        <f ca="1" xml:space="preserve"> $N$547 * (Flag_Operations) * CPI_Accumulated_From_Date</f>
        <v>49824.601348420096</v>
      </c>
      <c r="AQ606" s="10">
        <f ca="1" xml:space="preserve"> $O$547 * (Flag_Operations) * CPI_Accumulated_From_Date</f>
        <v>31586.726819744614</v>
      </c>
      <c r="AR606" s="10">
        <f ca="1" xml:space="preserve"> $L$547 * (Flag_Operations) * CPI_Accumulated_From_Date</f>
        <v>29457.39934179464</v>
      </c>
      <c r="AS606" s="10">
        <f ca="1" xml:space="preserve"> $M$547 * (Flag_Operations) * CPI_Accumulated_From_Date</f>
        <v>37504.100563663851</v>
      </c>
      <c r="AT606" s="10">
        <f ca="1" xml:space="preserve"> $N$547 * (Flag_Operations) * CPI_Accumulated_From_Date</f>
        <v>51817.585402356897</v>
      </c>
      <c r="AU606" s="10">
        <f ca="1" xml:space="preserve"> $O$547 * (Flag_Operations) * CPI_Accumulated_From_Date</f>
        <v>32850.195892534393</v>
      </c>
      <c r="AV606" s="10">
        <f ca="1" xml:space="preserve"> $L$547 * (Flag_Operations) * CPI_Accumulated_From_Date</f>
        <v>30635.695315466422</v>
      </c>
      <c r="AW606" s="10">
        <f ca="1" xml:space="preserve"> $M$547 * (Flag_Operations) * CPI_Accumulated_From_Date</f>
        <v>39004.264586210404</v>
      </c>
      <c r="AX606" s="10">
        <f ca="1" xml:space="preserve"> $N$547 * (Flag_Operations) * CPI_Accumulated_From_Date</f>
        <v>53890.288818451161</v>
      </c>
      <c r="AY606" s="10">
        <f ca="1" xml:space="preserve"> $O$547 * (Flag_Operations) * CPI_Accumulated_From_Date</f>
        <v>34164.203728235763</v>
      </c>
      <c r="AZ606" s="10">
        <f ca="1" xml:space="preserve"> $L$547 * (Flag_Operations) * CPI_Accumulated_From_Date</f>
        <v>31861.123128085073</v>
      </c>
      <c r="BA606" s="10">
        <f ca="1" xml:space="preserve"> $M$547 * (Flag_Operations) * CPI_Accumulated_From_Date</f>
        <v>40564.435169658806</v>
      </c>
      <c r="BB606" s="10">
        <f ca="1" xml:space="preserve"> $N$547 * (Flag_Operations) * CPI_Accumulated_From_Date</f>
        <v>56045.900371189193</v>
      </c>
      <c r="BC606" s="10">
        <f ca="1" xml:space="preserve"> $O$547 * (Flag_Operations) * CPI_Accumulated_From_Date</f>
        <v>35530.771877365187</v>
      </c>
      <c r="BD606" s="10">
        <f ca="1" xml:space="preserve"> $L$547 * (Flag_Operations) * CPI_Accumulated_From_Date</f>
        <v>33135.568053208473</v>
      </c>
      <c r="BE606" s="10">
        <f ca="1" xml:space="preserve"> $M$547 * (Flag_Operations) * CPI_Accumulated_From_Date</f>
        <v>42187.012576445159</v>
      </c>
      <c r="BF606" s="10">
        <f ca="1" xml:space="preserve"> $N$547 * (Flag_Operations) * CPI_Accumulated_From_Date</f>
        <v>58287.736386036755</v>
      </c>
      <c r="BG606" s="10">
        <f ca="1" xml:space="preserve"> $O$547 * (Flag_Operations) * CPI_Accumulated_From_Date</f>
        <v>36952.00275245979</v>
      </c>
      <c r="BH606" s="10">
        <f ca="1" xml:space="preserve"> $L$547 * (Flag_Operations) * CPI_Accumulated_From_Date</f>
        <v>34460.990775336802</v>
      </c>
      <c r="BI606" s="10">
        <f ca="1" xml:space="preserve"> $M$547 * (Flag_Operations) * CPI_Accumulated_From_Date</f>
        <v>43874.49307950295</v>
      </c>
      <c r="BJ606" s="10">
        <f ca="1" xml:space="preserve"> $N$547 * (Flag_Operations) * CPI_Accumulated_From_Date</f>
        <v>60619.245841478216</v>
      </c>
      <c r="BK606" s="10">
        <f ca="1" xml:space="preserve"> $O$547 * (Flag_Operations) * CPI_Accumulated_From_Date</f>
        <v>38430.082862558178</v>
      </c>
      <c r="BL606" s="10">
        <f ca="1" xml:space="preserve"> $L$547 * (Flag_Operations) * CPI_Accumulated_From_Date</f>
        <v>35839.430406350279</v>
      </c>
      <c r="BM606" s="10">
        <f ca="1" xml:space="preserve"> $M$547 * (Flag_Operations) * CPI_Accumulated_From_Date</f>
        <v>45629.472802683071</v>
      </c>
      <c r="BN606" s="10">
        <f ca="1" xml:space="preserve"> $N$547 * (Flag_Operations) * CPI_Accumulated_From_Date</f>
        <v>63044.015675137336</v>
      </c>
      <c r="BO606" s="10">
        <f ca="1" xml:space="preserve"> $O$547 * (Flag_Operations) * CPI_Accumulated_From_Date</f>
        <v>39967.286177060501</v>
      </c>
      <c r="BP606" s="10">
        <f ca="1" xml:space="preserve"> $L$547 * (Flag_Operations) * CPI_Accumulated_From_Date</f>
        <v>37273.00762260428</v>
      </c>
      <c r="BQ606" s="10">
        <f ca="1" xml:space="preserve"> $M$547 * (Flag_Operations) * CPI_Accumulated_From_Date</f>
        <v>47454.651714790387</v>
      </c>
      <c r="BR606" s="10">
        <f ca="1" xml:space="preserve"> $N$547 * (Flag_Operations) * CPI_Accumulated_From_Date</f>
        <v>65565.776302142825</v>
      </c>
      <c r="BS606" s="10">
        <f ca="1" xml:space="preserve"> $O$547 * (Flag_Operations) * CPI_Accumulated_From_Date</f>
        <v>41565.977624142906</v>
      </c>
      <c r="BT606" s="10">
        <f ca="1" xml:space="preserve"> $L$547 * (Flag_Operations) * CPI_Accumulated_From_Date</f>
        <v>38763.927927508441</v>
      </c>
      <c r="BU606" s="10">
        <f ca="1" xml:space="preserve"> $M$547 * (Flag_Operations) * CPI_Accumulated_From_Date</f>
        <v>49352.83778338199</v>
      </c>
      <c r="BV606" s="10">
        <f ca="1" xml:space="preserve"> $N$547 * (Flag_Operations) * CPI_Accumulated_From_Date</f>
        <v>68188.407354228519</v>
      </c>
      <c r="BW606" s="10">
        <f ca="1" xml:space="preserve"> $O$547 * (Flag_Operations) * CPI_Accumulated_From_Date</f>
        <v>43228.616729108617</v>
      </c>
      <c r="BX606" s="10">
        <f ca="1" xml:space="preserve"> $L$547 * (Flag_Operations) * CPI_Accumulated_From_Date</f>
        <v>40314.485044608773</v>
      </c>
      <c r="BY606" s="10">
        <f ca="1" xml:space="preserve"> $M$547 * (Flag_Operations) * CPI_Accumulated_From_Date</f>
        <v>51326.951294717262</v>
      </c>
      <c r="BZ606" s="10">
        <f ca="1" xml:space="preserve"> $N$547 * (Flag_Operations) * CPI_Accumulated_From_Date</f>
        <v>70915.943648397661</v>
      </c>
      <c r="CA606" s="10">
        <f ca="1" xml:space="preserve"> $O$547 * (Flag_Operations) * CPI_Accumulated_From_Date</f>
        <v>44957.76139827296</v>
      </c>
      <c r="CB606" s="10">
        <f ca="1" xml:space="preserve"> $L$547 * (Flag_Operations) * CPI_Accumulated_From_Date</f>
        <v>41927.064446393124</v>
      </c>
      <c r="CC606" s="10">
        <f ca="1" xml:space="preserve"> $M$547 * (Flag_Operations) * CPI_Accumulated_From_Date</f>
        <v>53380.029346505951</v>
      </c>
      <c r="CD606" s="10">
        <f ca="1" xml:space="preserve"> $N$547 * (Flag_Operations) * CPI_Accumulated_From_Date</f>
        <v>73752.581394333552</v>
      </c>
      <c r="CE606" s="10">
        <f ca="1" xml:space="preserve"> $O$547 * (Flag_Operations) * CPI_Accumulated_From_Date</f>
        <v>46756.071854203874</v>
      </c>
      <c r="CF606" s="10">
        <f ca="1" xml:space="preserve"> $L$547 * (Flag_Operations) * CPI_Accumulated_From_Date</f>
        <v>43604.147024248843</v>
      </c>
      <c r="CG606" s="10">
        <f ca="1" xml:space="preserve"> $M$547 * (Flag_Operations) * CPI_Accumulated_From_Date</f>
        <v>55515.230520366182</v>
      </c>
      <c r="CH606" s="10">
        <f ca="1" xml:space="preserve"> $N$547 * (Flag_Operations) * CPI_Accumulated_From_Date</f>
        <v>76702.684650106894</v>
      </c>
      <c r="CI606" s="10">
        <f ca="1" xml:space="preserve"> $O$547 * (Flag_Operations) * CPI_Accumulated_From_Date</f>
        <v>48626.314728372032</v>
      </c>
      <c r="CJ606" s="10">
        <f ca="1" xml:space="preserve"> $L$547 * (Flag_Operations) * CPI_Accumulated_From_Date</f>
        <v>45348.312905218801</v>
      </c>
      <c r="CK606" s="10">
        <f ca="1" xml:space="preserve"> $M$547 * (Flag_Operations) * CPI_Accumulated_From_Date</f>
        <v>57735.839741180833</v>
      </c>
      <c r="CL606" s="10">
        <f ca="1" xml:space="preserve"> $N$547 * (Flag_Operations) * CPI_Accumulated_From_Date</f>
        <v>79770.792036111161</v>
      </c>
      <c r="CM606" s="10">
        <f ca="1" xml:space="preserve"> $O$547 * (Flag_Operations) * CPI_Accumulated_From_Date</f>
        <v>50571.367317506905</v>
      </c>
      <c r="CN606" s="10">
        <f ca="1" xml:space="preserve"> $L$547 * (Flag_Operations) * CPI_Accumulated_From_Date</f>
        <v>47162.245421427542</v>
      </c>
      <c r="CO606" s="10">
        <f ca="1" xml:space="preserve"> $M$547 * (Flag_Operations) * CPI_Accumulated_From_Date</f>
        <v>60045.273330828059</v>
      </c>
      <c r="CP606" s="10" t="e">
        <f xml:space="preserve"> $N$547 * (Flag_Operations) * CPI_Accumulated_From_Date</f>
        <v>#VALUE!</v>
      </c>
      <c r="CQ606" s="10" t="e">
        <f xml:space="preserve"> $O$547 * (Flag_Operations) * CPI_Accumulated_From_Date</f>
        <v>#VALUE!</v>
      </c>
    </row>
    <row r="607" spans="1:95" ht="15.75" thickBot="1">
      <c r="A607" s="233"/>
      <c r="B607" s="101"/>
      <c r="C607" s="17" t="s">
        <v>657</v>
      </c>
      <c r="D607" s="69"/>
      <c r="E607" s="62"/>
      <c r="F607" s="70"/>
      <c r="G607" s="11" t="s">
        <v>666</v>
      </c>
      <c r="H607" s="69"/>
      <c r="I607" s="69"/>
      <c r="J607" s="69"/>
      <c r="K607" s="69"/>
      <c r="L607" s="10">
        <f t="shared" ref="L607:AQ607" si="801" xml:space="preserve"> L542</f>
        <v>0</v>
      </c>
      <c r="M607" s="10">
        <f t="shared" si="801"/>
        <v>0</v>
      </c>
      <c r="N607" s="10">
        <f t="shared" si="801"/>
        <v>0</v>
      </c>
      <c r="O607" s="10">
        <f t="shared" si="801"/>
        <v>0</v>
      </c>
      <c r="P607" s="10">
        <f t="shared" si="801"/>
        <v>0</v>
      </c>
      <c r="Q607" s="10">
        <f t="shared" si="801"/>
        <v>0</v>
      </c>
      <c r="R607" s="10">
        <f t="shared" si="801"/>
        <v>0</v>
      </c>
      <c r="S607" s="10">
        <f t="shared" si="801"/>
        <v>0</v>
      </c>
      <c r="T607" s="10">
        <f t="shared" si="801"/>
        <v>0</v>
      </c>
      <c r="U607" s="10">
        <f t="shared" si="801"/>
        <v>0</v>
      </c>
      <c r="V607" s="10">
        <f t="shared" si="801"/>
        <v>0</v>
      </c>
      <c r="W607" s="10">
        <f t="shared" si="801"/>
        <v>0</v>
      </c>
      <c r="X607" s="10">
        <f t="shared" si="801"/>
        <v>0</v>
      </c>
      <c r="Y607" s="10">
        <f t="shared" si="801"/>
        <v>0</v>
      </c>
      <c r="Z607" s="10">
        <f t="shared" si="801"/>
        <v>0</v>
      </c>
      <c r="AA607" s="10">
        <f t="shared" si="801"/>
        <v>0</v>
      </c>
      <c r="AB607" s="10">
        <f t="shared" si="801"/>
        <v>0</v>
      </c>
      <c r="AC607" s="10">
        <f t="shared" si="801"/>
        <v>5132.6383111388241</v>
      </c>
      <c r="AD607" s="10">
        <f t="shared" si="801"/>
        <v>7632.1542718864575</v>
      </c>
      <c r="AE607" s="10">
        <f t="shared" si="801"/>
        <v>3974.20250300628</v>
      </c>
      <c r="AF607" s="10">
        <f t="shared" si="801"/>
        <v>3767.7568253685472</v>
      </c>
      <c r="AG607" s="10">
        <f t="shared" si="801"/>
        <v>5756.7924761353352</v>
      </c>
      <c r="AH607" s="10">
        <f t="shared" si="801"/>
        <v>8532.8787838299249</v>
      </c>
      <c r="AI607" s="10">
        <f t="shared" si="801"/>
        <v>4429.7846345699909</v>
      </c>
      <c r="AJ607" s="10">
        <f t="shared" si="801"/>
        <v>4187.6397808756074</v>
      </c>
      <c r="AK607" s="10">
        <f t="shared" si="801"/>
        <v>6380.9466411318472</v>
      </c>
      <c r="AL607" s="10">
        <f t="shared" si="801"/>
        <v>9433.6032957733933</v>
      </c>
      <c r="AM607" s="10">
        <f t="shared" si="801"/>
        <v>4885.3667661337031</v>
      </c>
      <c r="AN607" s="10">
        <f t="shared" si="801"/>
        <v>4658.7174334535857</v>
      </c>
      <c r="AO607" s="10">
        <f t="shared" si="801"/>
        <v>7005.1008061283574</v>
      </c>
      <c r="AP607" s="10">
        <f t="shared" si="801"/>
        <v>10109.146679730991</v>
      </c>
      <c r="AQ607" s="10">
        <f t="shared" si="801"/>
        <v>5113.1578319155569</v>
      </c>
      <c r="AR607" s="10">
        <f t="shared" ref="AR607:BW607" si="802" xml:space="preserve"> AR542</f>
        <v>4712.4934752594309</v>
      </c>
      <c r="AS607" s="10">
        <f t="shared" si="802"/>
        <v>7005.1008061283574</v>
      </c>
      <c r="AT607" s="10">
        <f t="shared" si="802"/>
        <v>10109.146679730991</v>
      </c>
      <c r="AU607" s="10">
        <f t="shared" si="802"/>
        <v>5113.1578319155569</v>
      </c>
      <c r="AV607" s="10">
        <f t="shared" si="802"/>
        <v>4712.4934752594309</v>
      </c>
      <c r="AW607" s="10">
        <f t="shared" si="802"/>
        <v>7005.1008061283574</v>
      </c>
      <c r="AX607" s="10">
        <f t="shared" si="802"/>
        <v>10109.146679730991</v>
      </c>
      <c r="AY607" s="10">
        <f t="shared" si="802"/>
        <v>5113.1578319155569</v>
      </c>
      <c r="AZ607" s="10">
        <f t="shared" si="802"/>
        <v>4712.4934752594309</v>
      </c>
      <c r="BA607" s="10">
        <f t="shared" si="802"/>
        <v>7005.1008061283574</v>
      </c>
      <c r="BB607" s="10">
        <f t="shared" si="802"/>
        <v>10109.146679730991</v>
      </c>
      <c r="BC607" s="10">
        <f t="shared" si="802"/>
        <v>5113.1578319155569</v>
      </c>
      <c r="BD607" s="10">
        <f t="shared" si="802"/>
        <v>4764.8545138734244</v>
      </c>
      <c r="BE607" s="10">
        <f t="shared" si="802"/>
        <v>7005.1008061283574</v>
      </c>
      <c r="BF607" s="10">
        <f t="shared" si="802"/>
        <v>10109.146679730991</v>
      </c>
      <c r="BG607" s="10">
        <f t="shared" si="802"/>
        <v>5113.1578319155569</v>
      </c>
      <c r="BH607" s="10">
        <f t="shared" si="802"/>
        <v>4712.4934752594309</v>
      </c>
      <c r="BI607" s="10">
        <f t="shared" si="802"/>
        <v>7005.1008061283574</v>
      </c>
      <c r="BJ607" s="10">
        <f t="shared" si="802"/>
        <v>10109.146679730991</v>
      </c>
      <c r="BK607" s="10">
        <f t="shared" si="802"/>
        <v>5113.1578319155569</v>
      </c>
      <c r="BL607" s="10">
        <f t="shared" si="802"/>
        <v>4712.4934752594309</v>
      </c>
      <c r="BM607" s="10">
        <f t="shared" si="802"/>
        <v>7005.1008061283574</v>
      </c>
      <c r="BN607" s="10">
        <f t="shared" si="802"/>
        <v>10109.146679730991</v>
      </c>
      <c r="BO607" s="10">
        <f t="shared" si="802"/>
        <v>5113.1578319155569</v>
      </c>
      <c r="BP607" s="10">
        <f t="shared" si="802"/>
        <v>4712.4934752594309</v>
      </c>
      <c r="BQ607" s="10">
        <f t="shared" si="802"/>
        <v>7005.1008061283574</v>
      </c>
      <c r="BR607" s="10">
        <f t="shared" si="802"/>
        <v>10109.146679730991</v>
      </c>
      <c r="BS607" s="10">
        <f t="shared" si="802"/>
        <v>5113.1578319155569</v>
      </c>
      <c r="BT607" s="10">
        <f t="shared" si="802"/>
        <v>4764.8545138734244</v>
      </c>
      <c r="BU607" s="10">
        <f t="shared" si="802"/>
        <v>7005.1008061283574</v>
      </c>
      <c r="BV607" s="10">
        <f t="shared" si="802"/>
        <v>10109.146679730991</v>
      </c>
      <c r="BW607" s="10">
        <f t="shared" si="802"/>
        <v>5113.1578319155569</v>
      </c>
      <c r="BX607" s="10">
        <f t="shared" ref="BX607:CO607" si="803" xml:space="preserve"> BX542</f>
        <v>4712.4934752594309</v>
      </c>
      <c r="BY607" s="10">
        <f t="shared" si="803"/>
        <v>7005.1008061283574</v>
      </c>
      <c r="BZ607" s="10">
        <f t="shared" si="803"/>
        <v>10109.146679730991</v>
      </c>
      <c r="CA607" s="10">
        <f t="shared" si="803"/>
        <v>5113.1578319155569</v>
      </c>
      <c r="CB607" s="10">
        <f t="shared" si="803"/>
        <v>4712.4934752594309</v>
      </c>
      <c r="CC607" s="10">
        <f t="shared" si="803"/>
        <v>7005.1008061283574</v>
      </c>
      <c r="CD607" s="10">
        <f t="shared" si="803"/>
        <v>10109.146679730991</v>
      </c>
      <c r="CE607" s="10">
        <f t="shared" si="803"/>
        <v>5113.1578319155569</v>
      </c>
      <c r="CF607" s="10">
        <f t="shared" si="803"/>
        <v>4712.4934752594309</v>
      </c>
      <c r="CG607" s="10">
        <f t="shared" si="803"/>
        <v>7005.1008061283574</v>
      </c>
      <c r="CH607" s="10">
        <f t="shared" si="803"/>
        <v>10109.146679730991</v>
      </c>
      <c r="CI607" s="10">
        <f t="shared" si="803"/>
        <v>5113.1578319155569</v>
      </c>
      <c r="CJ607" s="10">
        <f t="shared" si="803"/>
        <v>4764.8545138734244</v>
      </c>
      <c r="CK607" s="10">
        <f t="shared" si="803"/>
        <v>7005.1008061283574</v>
      </c>
      <c r="CL607" s="10">
        <f t="shared" si="803"/>
        <v>10109.146679730991</v>
      </c>
      <c r="CM607" s="10">
        <f t="shared" si="803"/>
        <v>5113.1578319155569</v>
      </c>
      <c r="CN607" s="10">
        <f t="shared" si="803"/>
        <v>4712.4934752594309</v>
      </c>
      <c r="CO607" s="10">
        <f t="shared" si="803"/>
        <v>7005.1008061283574</v>
      </c>
    </row>
    <row r="608" spans="1:95" ht="15.75" thickTop="1">
      <c r="A608" s="233"/>
      <c r="B608" s="101"/>
      <c r="C608" s="49" t="s">
        <v>667</v>
      </c>
      <c r="D608" s="49"/>
      <c r="E608" s="136"/>
      <c r="F608" s="49"/>
      <c r="G608" s="159" t="str">
        <f>Monetary_Unit</f>
        <v>тыс. руб.</v>
      </c>
      <c r="H608" s="49"/>
      <c r="I608" s="23">
        <f ca="1">SUM(L608:CO608)</f>
        <v>20489933.304055765</v>
      </c>
      <c r="J608" s="49"/>
      <c r="K608" s="49"/>
      <c r="L608" s="49">
        <f t="shared" ref="L608:AQ608" ca="1" si="804" xml:space="preserve"> L606 * L607 / Thousand</f>
        <v>0</v>
      </c>
      <c r="M608" s="49">
        <f t="shared" ca="1" si="804"/>
        <v>0</v>
      </c>
      <c r="N608" s="49">
        <f t="shared" ca="1" si="804"/>
        <v>0</v>
      </c>
      <c r="O608" s="49">
        <f t="shared" ca="1" si="804"/>
        <v>0</v>
      </c>
      <c r="P608" s="49">
        <f t="shared" ca="1" si="804"/>
        <v>0</v>
      </c>
      <c r="Q608" s="49">
        <f t="shared" ca="1" si="804"/>
        <v>0</v>
      </c>
      <c r="R608" s="49">
        <f t="shared" ca="1" si="804"/>
        <v>0</v>
      </c>
      <c r="S608" s="49">
        <f t="shared" ca="1" si="804"/>
        <v>0</v>
      </c>
      <c r="T608" s="49">
        <f t="shared" ca="1" si="804"/>
        <v>0</v>
      </c>
      <c r="U608" s="49">
        <f t="shared" ca="1" si="804"/>
        <v>0</v>
      </c>
      <c r="V608" s="49">
        <f t="shared" ca="1" si="804"/>
        <v>0</v>
      </c>
      <c r="W608" s="49">
        <f t="shared" ca="1" si="804"/>
        <v>0</v>
      </c>
      <c r="X608" s="49">
        <f t="shared" ca="1" si="804"/>
        <v>0</v>
      </c>
      <c r="Y608" s="49">
        <f t="shared" ca="1" si="804"/>
        <v>0</v>
      </c>
      <c r="Z608" s="49">
        <f t="shared" ca="1" si="804"/>
        <v>0</v>
      </c>
      <c r="AA608" s="49">
        <f t="shared" ca="1" si="804"/>
        <v>0</v>
      </c>
      <c r="AB608" s="49">
        <f t="shared" ca="1" si="804"/>
        <v>0</v>
      </c>
      <c r="AC608" s="49">
        <f t="shared" ca="1" si="804"/>
        <v>164545.5185435958</v>
      </c>
      <c r="AD608" s="49">
        <f t="shared" ca="1" si="804"/>
        <v>338057.79545472539</v>
      </c>
      <c r="AE608" s="49">
        <f t="shared" ca="1" si="804"/>
        <v>111597.53426974696</v>
      </c>
      <c r="AF608" s="49">
        <f t="shared" ca="1" si="804"/>
        <v>98668.210048195804</v>
      </c>
      <c r="AG608" s="49">
        <f t="shared" ca="1" si="804"/>
        <v>191937.26881571734</v>
      </c>
      <c r="AH608" s="49">
        <f t="shared" ca="1" si="804"/>
        <v>393072.56264674349</v>
      </c>
      <c r="AI608" s="49">
        <f t="shared" ca="1" si="804"/>
        <v>129366.12159991174</v>
      </c>
      <c r="AJ608" s="49">
        <f t="shared" ca="1" si="804"/>
        <v>114050.45980476904</v>
      </c>
      <c r="AK608" s="49">
        <f t="shared" ca="1" si="804"/>
        <v>221257.0862799389</v>
      </c>
      <c r="AL608" s="49">
        <f t="shared" ca="1" si="804"/>
        <v>451947.61874139548</v>
      </c>
      <c r="AM608" s="49">
        <f t="shared" ca="1" si="804"/>
        <v>148377.63986165813</v>
      </c>
      <c r="AN608" s="49">
        <f t="shared" ca="1" si="804"/>
        <v>131955.480632522</v>
      </c>
      <c r="AO608" s="49">
        <f t="shared" ca="1" si="804"/>
        <v>252615.38951119295</v>
      </c>
      <c r="AP608" s="49">
        <f t="shared" ca="1" si="804"/>
        <v>503684.20329030126</v>
      </c>
      <c r="AQ608" s="49">
        <f t="shared" ca="1" si="804"/>
        <v>161507.91962295433</v>
      </c>
      <c r="AR608" s="49">
        <f t="shared" ref="AR608:BW608" ca="1" si="805" xml:space="preserve"> AR606 * AR607 / Thousand</f>
        <v>138817.80219631869</v>
      </c>
      <c r="AS608" s="49">
        <f t="shared" ca="1" si="805"/>
        <v>262720.00509164063</v>
      </c>
      <c r="AT608" s="49">
        <f t="shared" ca="1" si="805"/>
        <v>523831.57142191334</v>
      </c>
      <c r="AU608" s="49">
        <f t="shared" ca="1" si="805"/>
        <v>167968.23640787249</v>
      </c>
      <c r="AV608" s="49">
        <f t="shared" ca="1" si="805"/>
        <v>144370.51428417143</v>
      </c>
      <c r="AW608" s="49">
        <f t="shared" ca="1" si="805"/>
        <v>273228.80529530626</v>
      </c>
      <c r="AX608" s="49">
        <f t="shared" ca="1" si="805"/>
        <v>544784.83427878981</v>
      </c>
      <c r="AY608" s="49">
        <f t="shared" ca="1" si="805"/>
        <v>174686.96586418737</v>
      </c>
      <c r="AZ608" s="49">
        <f t="shared" ca="1" si="805"/>
        <v>150145.33485553824</v>
      </c>
      <c r="BA608" s="49">
        <f t="shared" ca="1" si="805"/>
        <v>284157.95750711841</v>
      </c>
      <c r="BB608" s="49">
        <f t="shared" ca="1" si="805"/>
        <v>566576.22764994123</v>
      </c>
      <c r="BC608" s="49">
        <f t="shared" ca="1" si="805"/>
        <v>181674.44449875483</v>
      </c>
      <c r="BD608" s="49">
        <f t="shared" ca="1" si="805"/>
        <v>157886.16100809045</v>
      </c>
      <c r="BE608" s="49">
        <f t="shared" ca="1" si="805"/>
        <v>295524.27580740314</v>
      </c>
      <c r="BF608" s="49">
        <f t="shared" ca="1" si="805"/>
        <v>589239.27675593877</v>
      </c>
      <c r="BG608" s="49">
        <f t="shared" ca="1" si="805"/>
        <v>188941.42227870499</v>
      </c>
      <c r="BH608" s="49">
        <f t="shared" ca="1" si="805"/>
        <v>162397.19417975011</v>
      </c>
      <c r="BI608" s="49">
        <f t="shared" ca="1" si="805"/>
        <v>307345.24683969916</v>
      </c>
      <c r="BJ608" s="49">
        <f t="shared" ca="1" si="805"/>
        <v>612808.84782617621</v>
      </c>
      <c r="BK608" s="49">
        <f t="shared" ca="1" si="805"/>
        <v>196499.07916985318</v>
      </c>
      <c r="BL608" s="49">
        <f t="shared" ca="1" si="805"/>
        <v>168893.08194694016</v>
      </c>
      <c r="BM608" s="49">
        <f t="shared" ca="1" si="805"/>
        <v>319639.05671328714</v>
      </c>
      <c r="BN608" s="49">
        <f t="shared" ca="1" si="805"/>
        <v>637321.20173922309</v>
      </c>
      <c r="BO608" s="49">
        <f t="shared" ca="1" si="805"/>
        <v>204359.04233664728</v>
      </c>
      <c r="BP608" s="49">
        <f t="shared" ca="1" si="805"/>
        <v>175648.80522481768</v>
      </c>
      <c r="BQ608" s="49">
        <f t="shared" ca="1" si="805"/>
        <v>332424.61898181855</v>
      </c>
      <c r="BR608" s="49">
        <f t="shared" ca="1" si="805"/>
        <v>662814.04980879207</v>
      </c>
      <c r="BS608" s="49">
        <f t="shared" ca="1" si="805"/>
        <v>212533.4040301131</v>
      </c>
      <c r="BT608" s="49">
        <f t="shared" ca="1" si="805"/>
        <v>184704.47696085268</v>
      </c>
      <c r="BU608" s="49">
        <f t="shared" ca="1" si="805"/>
        <v>345721.60374109127</v>
      </c>
      <c r="BV608" s="49">
        <f t="shared" ca="1" si="805"/>
        <v>689326.6118011435</v>
      </c>
      <c r="BW608" s="49">
        <f t="shared" ca="1" si="805"/>
        <v>221034.7401913176</v>
      </c>
      <c r="BX608" s="49">
        <f t="shared" ref="BX608:CO608" ca="1" si="806" xml:space="preserve"> BX606 * BX607 / Thousand</f>
        <v>189981.74773116276</v>
      </c>
      <c r="BY608" s="49">
        <f t="shared" ca="1" si="806"/>
        <v>359550.46789073484</v>
      </c>
      <c r="BZ608" s="49">
        <f t="shared" ca="1" si="806"/>
        <v>716899.67627318925</v>
      </c>
      <c r="CA608" s="49">
        <f t="shared" ca="1" si="806"/>
        <v>229876.12979897027</v>
      </c>
      <c r="CB608" s="49">
        <f t="shared" ca="1" si="806"/>
        <v>197581.01764040926</v>
      </c>
      <c r="CC608" s="49">
        <f t="shared" ca="1" si="806"/>
        <v>373932.4866063642</v>
      </c>
      <c r="CD608" s="49">
        <f t="shared" ca="1" si="806"/>
        <v>745575.66332411673</v>
      </c>
      <c r="CE608" s="49">
        <f t="shared" ca="1" si="806"/>
        <v>239071.17499092908</v>
      </c>
      <c r="CF608" s="49">
        <f t="shared" ca="1" si="806"/>
        <v>205484.2583460256</v>
      </c>
      <c r="CG608" s="49">
        <f t="shared" ca="1" si="806"/>
        <v>388889.78607061872</v>
      </c>
      <c r="CH608" s="49">
        <f t="shared" ca="1" si="806"/>
        <v>775398.68985708139</v>
      </c>
      <c r="CI608" s="49">
        <f t="shared" ca="1" si="806"/>
        <v>248634.02199056625</v>
      </c>
      <c r="CJ608" s="49">
        <f t="shared" ca="1" si="806"/>
        <v>216078.11344297626</v>
      </c>
      <c r="CK608" s="49">
        <f t="shared" ca="1" si="806"/>
        <v>404445.37751344353</v>
      </c>
      <c r="CL608" s="49">
        <f t="shared" ca="1" si="806"/>
        <v>806414.63745136454</v>
      </c>
      <c r="CM608" s="49">
        <f t="shared" ca="1" si="806"/>
        <v>258579.38287018886</v>
      </c>
      <c r="CN608" s="49">
        <f t="shared" ca="1" si="806"/>
        <v>222251.77382706126</v>
      </c>
      <c r="CO608" s="49">
        <f t="shared" ca="1" si="806"/>
        <v>420623.1926139812</v>
      </c>
    </row>
    <row r="609" spans="1:95">
      <c r="A609" s="233"/>
      <c r="B609" s="233"/>
      <c r="C609" s="17" t="s">
        <v>1149</v>
      </c>
      <c r="D609" s="69"/>
      <c r="E609" s="62"/>
      <c r="F609" s="70"/>
      <c r="G609" s="11"/>
      <c r="H609" s="69"/>
      <c r="I609" s="23">
        <f ca="1">SUM(L609:CO609)</f>
        <v>930069.78770505718</v>
      </c>
      <c r="J609" s="69"/>
      <c r="K609" s="69"/>
      <c r="L609" s="10">
        <f ca="1">L608*L605</f>
        <v>0</v>
      </c>
      <c r="M609" s="10">
        <f t="shared" ref="M609:BX609" ca="1" si="807">M608*M605</f>
        <v>0</v>
      </c>
      <c r="N609" s="10">
        <f t="shared" ca="1" si="807"/>
        <v>0</v>
      </c>
      <c r="O609" s="10">
        <f t="shared" ca="1" si="807"/>
        <v>0</v>
      </c>
      <c r="P609" s="10">
        <f t="shared" ca="1" si="807"/>
        <v>0</v>
      </c>
      <c r="Q609" s="10">
        <f t="shared" ca="1" si="807"/>
        <v>0</v>
      </c>
      <c r="R609" s="10">
        <f t="shared" ca="1" si="807"/>
        <v>0</v>
      </c>
      <c r="S609" s="10">
        <f t="shared" ca="1" si="807"/>
        <v>0</v>
      </c>
      <c r="T609" s="10">
        <f t="shared" ca="1" si="807"/>
        <v>0</v>
      </c>
      <c r="U609" s="10">
        <f t="shared" ca="1" si="807"/>
        <v>0</v>
      </c>
      <c r="V609" s="10">
        <f t="shared" ca="1" si="807"/>
        <v>0</v>
      </c>
      <c r="W609" s="10">
        <f t="shared" ca="1" si="807"/>
        <v>0</v>
      </c>
      <c r="X609" s="10">
        <f t="shared" ca="1" si="807"/>
        <v>0</v>
      </c>
      <c r="Y609" s="10">
        <f t="shared" ca="1" si="807"/>
        <v>0</v>
      </c>
      <c r="Z609" s="10">
        <f t="shared" ca="1" si="807"/>
        <v>0</v>
      </c>
      <c r="AA609" s="10">
        <f t="shared" ca="1" si="807"/>
        <v>0</v>
      </c>
      <c r="AB609" s="10">
        <f t="shared" ca="1" si="807"/>
        <v>0</v>
      </c>
      <c r="AC609" s="10">
        <f t="shared" ca="1" si="807"/>
        <v>32909.103708719158</v>
      </c>
      <c r="AD609" s="10">
        <f t="shared" ca="1" si="807"/>
        <v>67611.559090945084</v>
      </c>
      <c r="AE609" s="10">
        <f t="shared" ca="1" si="807"/>
        <v>22319.506853949395</v>
      </c>
      <c r="AF609" s="10">
        <f t="shared" ca="1" si="807"/>
        <v>19733.642009639163</v>
      </c>
      <c r="AG609" s="10">
        <f t="shared" ca="1" si="807"/>
        <v>38387.453763143472</v>
      </c>
      <c r="AH609" s="10">
        <f t="shared" ca="1" si="807"/>
        <v>78614.512529348707</v>
      </c>
      <c r="AI609" s="10">
        <f t="shared" ca="1" si="807"/>
        <v>25873.22431998235</v>
      </c>
      <c r="AJ609" s="10">
        <f t="shared" ca="1" si="807"/>
        <v>22810.09196095381</v>
      </c>
      <c r="AK609" s="10">
        <f t="shared" ca="1" si="807"/>
        <v>44251.417255987784</v>
      </c>
      <c r="AL609" s="10">
        <f t="shared" ca="1" si="807"/>
        <v>90389.523748279098</v>
      </c>
      <c r="AM609" s="10">
        <f t="shared" ca="1" si="807"/>
        <v>29675.527972331627</v>
      </c>
      <c r="AN609" s="10">
        <f t="shared" ca="1" si="807"/>
        <v>26391.096126504402</v>
      </c>
      <c r="AO609" s="10">
        <f t="shared" ca="1" si="807"/>
        <v>50523.07790223859</v>
      </c>
      <c r="AP609" s="10">
        <f t="shared" ca="1" si="807"/>
        <v>100736.84065806026</v>
      </c>
      <c r="AQ609" s="10">
        <f t="shared" ca="1" si="807"/>
        <v>32301.583924590868</v>
      </c>
      <c r="AR609" s="10">
        <f t="shared" ca="1" si="807"/>
        <v>27763.56043926374</v>
      </c>
      <c r="AS609" s="10">
        <f t="shared" ca="1" si="807"/>
        <v>52544.001018328127</v>
      </c>
      <c r="AT609" s="10">
        <f t="shared" ca="1" si="807"/>
        <v>104766.31428438268</v>
      </c>
      <c r="AU609" s="10">
        <f t="shared" ca="1" si="807"/>
        <v>33593.6472815745</v>
      </c>
      <c r="AV609" s="10">
        <f t="shared" ca="1" si="807"/>
        <v>28874.102856834288</v>
      </c>
      <c r="AW609" s="10">
        <f t="shared" ca="1" si="807"/>
        <v>0</v>
      </c>
      <c r="AX609" s="10">
        <f t="shared" ca="1" si="807"/>
        <v>0</v>
      </c>
      <c r="AY609" s="10">
        <f t="shared" ca="1" si="807"/>
        <v>0</v>
      </c>
      <c r="AZ609" s="10">
        <f t="shared" ca="1" si="807"/>
        <v>0</v>
      </c>
      <c r="BA609" s="10">
        <f t="shared" ca="1" si="807"/>
        <v>0</v>
      </c>
      <c r="BB609" s="10">
        <f t="shared" ca="1" si="807"/>
        <v>0</v>
      </c>
      <c r="BC609" s="10">
        <f t="shared" ca="1" si="807"/>
        <v>0</v>
      </c>
      <c r="BD609" s="10">
        <f t="shared" ca="1" si="807"/>
        <v>0</v>
      </c>
      <c r="BE609" s="10">
        <f t="shared" ca="1" si="807"/>
        <v>0</v>
      </c>
      <c r="BF609" s="10">
        <f t="shared" ca="1" si="807"/>
        <v>0</v>
      </c>
      <c r="BG609" s="10">
        <f t="shared" ca="1" si="807"/>
        <v>0</v>
      </c>
      <c r="BH609" s="10">
        <f t="shared" ca="1" si="807"/>
        <v>0</v>
      </c>
      <c r="BI609" s="10">
        <f t="shared" ca="1" si="807"/>
        <v>0</v>
      </c>
      <c r="BJ609" s="10">
        <f t="shared" ca="1" si="807"/>
        <v>0</v>
      </c>
      <c r="BK609" s="10">
        <f t="shared" ca="1" si="807"/>
        <v>0</v>
      </c>
      <c r="BL609" s="10">
        <f t="shared" ca="1" si="807"/>
        <v>0</v>
      </c>
      <c r="BM609" s="10">
        <f t="shared" ca="1" si="807"/>
        <v>0</v>
      </c>
      <c r="BN609" s="10">
        <f t="shared" ca="1" si="807"/>
        <v>0</v>
      </c>
      <c r="BO609" s="10">
        <f t="shared" ca="1" si="807"/>
        <v>0</v>
      </c>
      <c r="BP609" s="10">
        <f t="shared" ca="1" si="807"/>
        <v>0</v>
      </c>
      <c r="BQ609" s="10">
        <f t="shared" ca="1" si="807"/>
        <v>0</v>
      </c>
      <c r="BR609" s="10">
        <f t="shared" ca="1" si="807"/>
        <v>0</v>
      </c>
      <c r="BS609" s="10">
        <f t="shared" ca="1" si="807"/>
        <v>0</v>
      </c>
      <c r="BT609" s="10">
        <f t="shared" ca="1" si="807"/>
        <v>0</v>
      </c>
      <c r="BU609" s="10">
        <f t="shared" ca="1" si="807"/>
        <v>0</v>
      </c>
      <c r="BV609" s="10">
        <f t="shared" ca="1" si="807"/>
        <v>0</v>
      </c>
      <c r="BW609" s="10">
        <f t="shared" ca="1" si="807"/>
        <v>0</v>
      </c>
      <c r="BX609" s="10">
        <f t="shared" ca="1" si="807"/>
        <v>0</v>
      </c>
      <c r="BY609" s="10">
        <f t="shared" ref="BY609:CO609" ca="1" si="808">BY608*BY605</f>
        <v>0</v>
      </c>
      <c r="BZ609" s="10">
        <f t="shared" ca="1" si="808"/>
        <v>0</v>
      </c>
      <c r="CA609" s="10">
        <f t="shared" ca="1" si="808"/>
        <v>0</v>
      </c>
      <c r="CB609" s="10">
        <f t="shared" ca="1" si="808"/>
        <v>0</v>
      </c>
      <c r="CC609" s="10">
        <f t="shared" ca="1" si="808"/>
        <v>0</v>
      </c>
      <c r="CD609" s="10">
        <f t="shared" ca="1" si="808"/>
        <v>0</v>
      </c>
      <c r="CE609" s="10">
        <f t="shared" ca="1" si="808"/>
        <v>0</v>
      </c>
      <c r="CF609" s="10">
        <f t="shared" ca="1" si="808"/>
        <v>0</v>
      </c>
      <c r="CG609" s="10">
        <f t="shared" ca="1" si="808"/>
        <v>0</v>
      </c>
      <c r="CH609" s="10">
        <f t="shared" ca="1" si="808"/>
        <v>0</v>
      </c>
      <c r="CI609" s="10">
        <f t="shared" ca="1" si="808"/>
        <v>0</v>
      </c>
      <c r="CJ609" s="10">
        <f t="shared" ca="1" si="808"/>
        <v>0</v>
      </c>
      <c r="CK609" s="10">
        <f t="shared" ca="1" si="808"/>
        <v>0</v>
      </c>
      <c r="CL609" s="10">
        <f t="shared" ca="1" si="808"/>
        <v>0</v>
      </c>
      <c r="CM609" s="10">
        <f t="shared" ca="1" si="808"/>
        <v>0</v>
      </c>
      <c r="CN609" s="10">
        <f t="shared" ca="1" si="808"/>
        <v>0</v>
      </c>
      <c r="CO609" s="10">
        <f t="shared" ca="1" si="808"/>
        <v>0</v>
      </c>
    </row>
    <row r="610" spans="1:95">
      <c r="A610" s="233"/>
      <c r="B610" s="233"/>
      <c r="C610" s="370"/>
      <c r="D610" s="69"/>
      <c r="E610" s="62"/>
      <c r="F610" s="70"/>
      <c r="G610" s="11"/>
      <c r="H610" s="69"/>
      <c r="I610" s="69"/>
      <c r="J610" s="69"/>
      <c r="K610" s="69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  <c r="BA610" s="10"/>
      <c r="BB610" s="10"/>
      <c r="BC610" s="10"/>
      <c r="BD610" s="10"/>
      <c r="BE610" s="10"/>
      <c r="BF610" s="10"/>
      <c r="BG610" s="10"/>
      <c r="BH610" s="10"/>
      <c r="BI610" s="10"/>
      <c r="BJ610" s="10"/>
      <c r="BK610" s="10"/>
      <c r="BL610" s="10"/>
      <c r="BM610" s="10"/>
      <c r="BN610" s="10"/>
      <c r="BO610" s="10"/>
      <c r="BP610" s="10"/>
      <c r="BQ610" s="10"/>
      <c r="BR610" s="10"/>
      <c r="BS610" s="10"/>
      <c r="BT610" s="10"/>
      <c r="BU610" s="10"/>
      <c r="BV610" s="10"/>
      <c r="BW610" s="10"/>
      <c r="BX610" s="10"/>
      <c r="BY610" s="10"/>
      <c r="BZ610" s="10"/>
      <c r="CA610" s="10"/>
      <c r="CB610" s="10"/>
      <c r="CC610" s="10"/>
      <c r="CD610" s="10"/>
      <c r="CE610" s="10"/>
      <c r="CF610" s="10"/>
      <c r="CG610" s="10"/>
      <c r="CH610" s="10"/>
      <c r="CI610" s="10"/>
      <c r="CJ610" s="10"/>
      <c r="CK610" s="10"/>
      <c r="CL610" s="10"/>
      <c r="CM610" s="10"/>
      <c r="CN610" s="10"/>
      <c r="CO610" s="10"/>
    </row>
    <row r="611" spans="1:95">
      <c r="A611" s="233"/>
      <c r="B611" s="233"/>
      <c r="C611" s="41" t="s">
        <v>720</v>
      </c>
      <c r="D611" s="69"/>
      <c r="E611" s="62"/>
      <c r="F611" s="70"/>
      <c r="G611" s="11"/>
      <c r="H611" s="69"/>
      <c r="I611" s="69"/>
      <c r="J611" s="69"/>
      <c r="K611" s="69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  <c r="AA611" s="103"/>
      <c r="AB611" s="103"/>
      <c r="AC611" s="103"/>
      <c r="AD611" s="103"/>
      <c r="AE611" s="103"/>
      <c r="AF611" s="103"/>
      <c r="AG611" s="103"/>
      <c r="AH611" s="103"/>
      <c r="AI611" s="103"/>
      <c r="AJ611" s="103"/>
      <c r="AK611" s="103"/>
      <c r="AL611" s="103"/>
      <c r="AM611" s="103"/>
      <c r="AN611" s="103"/>
      <c r="AO611" s="103"/>
      <c r="AP611" s="103"/>
      <c r="AQ611" s="103"/>
      <c r="AR611" s="103"/>
      <c r="AS611" s="103"/>
      <c r="AT611" s="103"/>
      <c r="AU611" s="103"/>
      <c r="AV611" s="103"/>
      <c r="AW611" s="103"/>
      <c r="AX611" s="103"/>
      <c r="AY611" s="103"/>
      <c r="AZ611" s="103"/>
      <c r="BA611" s="103"/>
      <c r="BB611" s="103"/>
      <c r="BC611" s="103"/>
      <c r="BD611" s="103"/>
      <c r="BE611" s="103"/>
      <c r="BF611" s="103"/>
      <c r="BG611" s="103"/>
      <c r="BH611" s="103"/>
      <c r="BI611" s="103"/>
      <c r="BJ611" s="103"/>
      <c r="BK611" s="103"/>
      <c r="BL611" s="103"/>
      <c r="BM611" s="103"/>
      <c r="BN611" s="103"/>
      <c r="BO611" s="103"/>
      <c r="BP611" s="103"/>
      <c r="BQ611" s="103"/>
      <c r="BR611" s="103"/>
      <c r="BS611" s="103"/>
      <c r="BT611" s="103"/>
      <c r="BU611" s="103"/>
      <c r="BV611" s="103"/>
      <c r="BW611" s="103"/>
      <c r="BX611" s="103"/>
      <c r="BY611" s="103"/>
      <c r="BZ611" s="103"/>
      <c r="CA611" s="103"/>
      <c r="CB611" s="103"/>
      <c r="CC611" s="103"/>
      <c r="CD611" s="103"/>
      <c r="CE611" s="103"/>
      <c r="CF611" s="103"/>
      <c r="CG611" s="103"/>
      <c r="CH611" s="103"/>
      <c r="CI611" s="103"/>
      <c r="CJ611" s="103"/>
      <c r="CK611" s="103"/>
      <c r="CL611" s="103"/>
      <c r="CM611" s="103"/>
      <c r="CN611" s="103"/>
      <c r="CO611" s="103"/>
    </row>
    <row r="612" spans="1:95">
      <c r="A612" s="233"/>
      <c r="B612" s="233"/>
      <c r="C612" s="17" t="s">
        <v>1482</v>
      </c>
      <c r="D612" s="69"/>
      <c r="E612" s="62"/>
      <c r="F612" s="70"/>
      <c r="G612" s="11"/>
      <c r="H612" s="69"/>
      <c r="I612" s="69"/>
      <c r="J612" s="69"/>
      <c r="K612" s="69"/>
      <c r="L612" s="587">
        <f t="shared" ref="L612:AQ612" si="809">L544</f>
        <v>0</v>
      </c>
      <c r="M612" s="587">
        <f t="shared" si="809"/>
        <v>0</v>
      </c>
      <c r="N612" s="587">
        <f t="shared" si="809"/>
        <v>0</v>
      </c>
      <c r="O612" s="587">
        <f t="shared" si="809"/>
        <v>0</v>
      </c>
      <c r="P612" s="587">
        <f t="shared" si="809"/>
        <v>0</v>
      </c>
      <c r="Q612" s="587">
        <f t="shared" si="809"/>
        <v>0</v>
      </c>
      <c r="R612" s="587">
        <f t="shared" si="809"/>
        <v>0</v>
      </c>
      <c r="S612" s="587">
        <f t="shared" si="809"/>
        <v>0</v>
      </c>
      <c r="T612" s="587">
        <f t="shared" si="809"/>
        <v>0</v>
      </c>
      <c r="U612" s="587">
        <f t="shared" si="809"/>
        <v>0</v>
      </c>
      <c r="V612" s="587">
        <f t="shared" si="809"/>
        <v>0</v>
      </c>
      <c r="W612" s="587">
        <f t="shared" si="809"/>
        <v>0</v>
      </c>
      <c r="X612" s="587">
        <f t="shared" si="809"/>
        <v>0</v>
      </c>
      <c r="Y612" s="587">
        <f t="shared" si="809"/>
        <v>0</v>
      </c>
      <c r="Z612" s="587">
        <f t="shared" si="809"/>
        <v>0</v>
      </c>
      <c r="AA612" s="587">
        <f t="shared" si="809"/>
        <v>0</v>
      </c>
      <c r="AB612" s="587">
        <f t="shared" si="809"/>
        <v>0</v>
      </c>
      <c r="AC612" s="587">
        <f t="shared" si="809"/>
        <v>9806.4187572618375</v>
      </c>
      <c r="AD612" s="587">
        <f t="shared" si="809"/>
        <v>14581.993951866267</v>
      </c>
      <c r="AE612" s="587">
        <f t="shared" si="809"/>
        <v>7593.1113022437994</v>
      </c>
      <c r="AF612" s="587">
        <f t="shared" si="809"/>
        <v>7198.6761905491467</v>
      </c>
      <c r="AG612" s="587">
        <f t="shared" si="809"/>
        <v>10998.927704904172</v>
      </c>
      <c r="AH612" s="587">
        <f t="shared" si="809"/>
        <v>16302.918204385454</v>
      </c>
      <c r="AI612" s="587">
        <f t="shared" si="809"/>
        <v>8463.5465228094254</v>
      </c>
      <c r="AJ612" s="587">
        <f t="shared" si="809"/>
        <v>8000.9045653409357</v>
      </c>
      <c r="AK612" s="587">
        <f t="shared" si="809"/>
        <v>12191.436652546508</v>
      </c>
      <c r="AL612" s="587">
        <f t="shared" si="809"/>
        <v>18023.842456904647</v>
      </c>
      <c r="AM612" s="587">
        <f t="shared" si="809"/>
        <v>9333.9817433750541</v>
      </c>
      <c r="AN612" s="587">
        <f t="shared" si="809"/>
        <v>8900.9455283564221</v>
      </c>
      <c r="AO612" s="587">
        <f t="shared" si="809"/>
        <v>13383.945600188839</v>
      </c>
      <c r="AP612" s="587">
        <f t="shared" si="809"/>
        <v>19314.535646294033</v>
      </c>
      <c r="AQ612" s="587">
        <f t="shared" si="809"/>
        <v>9769.199353657863</v>
      </c>
      <c r="AR612" s="587">
        <f t="shared" ref="AR612:BW612" si="810">AR544</f>
        <v>9003.6900338306696</v>
      </c>
      <c r="AS612" s="587">
        <f t="shared" si="810"/>
        <v>13383.945600188839</v>
      </c>
      <c r="AT612" s="587">
        <f t="shared" si="810"/>
        <v>19314.535646294033</v>
      </c>
      <c r="AU612" s="587">
        <f t="shared" si="810"/>
        <v>9769.199353657863</v>
      </c>
      <c r="AV612" s="587">
        <f t="shared" si="810"/>
        <v>9003.6900338306696</v>
      </c>
      <c r="AW612" s="587">
        <f t="shared" si="810"/>
        <v>13383.945600188839</v>
      </c>
      <c r="AX612" s="587">
        <f t="shared" si="810"/>
        <v>19314.535646294033</v>
      </c>
      <c r="AY612" s="587">
        <f t="shared" si="810"/>
        <v>9769.199353657863</v>
      </c>
      <c r="AZ612" s="587">
        <f t="shared" si="810"/>
        <v>9003.6900338306696</v>
      </c>
      <c r="BA612" s="587">
        <f t="shared" si="810"/>
        <v>13383.945600188839</v>
      </c>
      <c r="BB612" s="587">
        <f t="shared" si="810"/>
        <v>19314.535646294033</v>
      </c>
      <c r="BC612" s="587">
        <f t="shared" si="810"/>
        <v>9769.199353657863</v>
      </c>
      <c r="BD612" s="587">
        <f t="shared" si="810"/>
        <v>9103.7310342065648</v>
      </c>
      <c r="BE612" s="587">
        <f t="shared" si="810"/>
        <v>13383.945600188839</v>
      </c>
      <c r="BF612" s="587">
        <f t="shared" si="810"/>
        <v>19314.535646294033</v>
      </c>
      <c r="BG612" s="587">
        <f t="shared" si="810"/>
        <v>9769.199353657863</v>
      </c>
      <c r="BH612" s="587">
        <f t="shared" si="810"/>
        <v>9003.6900338306696</v>
      </c>
      <c r="BI612" s="587">
        <f t="shared" si="810"/>
        <v>13383.945600188839</v>
      </c>
      <c r="BJ612" s="587">
        <f t="shared" si="810"/>
        <v>19314.535646294033</v>
      </c>
      <c r="BK612" s="587">
        <f t="shared" si="810"/>
        <v>9769.199353657863</v>
      </c>
      <c r="BL612" s="587">
        <f t="shared" si="810"/>
        <v>9003.6900338306696</v>
      </c>
      <c r="BM612" s="587">
        <f t="shared" si="810"/>
        <v>13383.945600188839</v>
      </c>
      <c r="BN612" s="587">
        <f t="shared" si="810"/>
        <v>19314.535646294033</v>
      </c>
      <c r="BO612" s="587">
        <f t="shared" si="810"/>
        <v>9769.199353657863</v>
      </c>
      <c r="BP612" s="587">
        <f t="shared" si="810"/>
        <v>9003.6900338306696</v>
      </c>
      <c r="BQ612" s="587">
        <f t="shared" si="810"/>
        <v>13383.945600188839</v>
      </c>
      <c r="BR612" s="587">
        <f t="shared" si="810"/>
        <v>19314.535646294033</v>
      </c>
      <c r="BS612" s="587">
        <f t="shared" si="810"/>
        <v>9769.199353657863</v>
      </c>
      <c r="BT612" s="587">
        <f t="shared" si="810"/>
        <v>9103.7310342065648</v>
      </c>
      <c r="BU612" s="587">
        <f t="shared" si="810"/>
        <v>13383.945600188839</v>
      </c>
      <c r="BV612" s="587">
        <f t="shared" si="810"/>
        <v>19314.535646294033</v>
      </c>
      <c r="BW612" s="587">
        <f t="shared" si="810"/>
        <v>9769.199353657863</v>
      </c>
      <c r="BX612" s="587">
        <f t="shared" ref="BX612:CO612" si="811">BX544</f>
        <v>9003.6900338306696</v>
      </c>
      <c r="BY612" s="587">
        <f t="shared" si="811"/>
        <v>13383.945600188839</v>
      </c>
      <c r="BZ612" s="587">
        <f t="shared" si="811"/>
        <v>19314.535646294033</v>
      </c>
      <c r="CA612" s="587">
        <f t="shared" si="811"/>
        <v>9769.199353657863</v>
      </c>
      <c r="CB612" s="587">
        <f t="shared" si="811"/>
        <v>9003.6900338306696</v>
      </c>
      <c r="CC612" s="587">
        <f t="shared" si="811"/>
        <v>13383.945600188839</v>
      </c>
      <c r="CD612" s="587">
        <f t="shared" si="811"/>
        <v>19314.535646294033</v>
      </c>
      <c r="CE612" s="587">
        <f t="shared" si="811"/>
        <v>9769.199353657863</v>
      </c>
      <c r="CF612" s="587">
        <f t="shared" si="811"/>
        <v>9003.6900338306696</v>
      </c>
      <c r="CG612" s="587">
        <f t="shared" si="811"/>
        <v>13383.945600188839</v>
      </c>
      <c r="CH612" s="587">
        <f t="shared" si="811"/>
        <v>19314.535646294033</v>
      </c>
      <c r="CI612" s="587">
        <f t="shared" si="811"/>
        <v>9769.199353657863</v>
      </c>
      <c r="CJ612" s="587">
        <f t="shared" si="811"/>
        <v>9103.7310342065648</v>
      </c>
      <c r="CK612" s="587">
        <f t="shared" si="811"/>
        <v>13383.945600188839</v>
      </c>
      <c r="CL612" s="587">
        <f t="shared" si="811"/>
        <v>19314.535646294033</v>
      </c>
      <c r="CM612" s="587">
        <f t="shared" si="811"/>
        <v>9769.199353657863</v>
      </c>
      <c r="CN612" s="587">
        <f t="shared" si="811"/>
        <v>9003.6900338306696</v>
      </c>
      <c r="CO612" s="587">
        <f t="shared" si="811"/>
        <v>13383.945600188839</v>
      </c>
    </row>
    <row r="613" spans="1:95">
      <c r="A613" s="233"/>
      <c r="B613" s="233"/>
      <c r="C613" s="17" t="s">
        <v>1561</v>
      </c>
      <c r="D613" s="69"/>
      <c r="E613" s="62"/>
      <c r="F613" s="70"/>
      <c r="G613" s="11"/>
      <c r="H613" s="69"/>
      <c r="I613" s="69"/>
      <c r="J613" s="69"/>
      <c r="K613" s="69"/>
      <c r="L613" s="10">
        <f ca="1" xml:space="preserve"> $L$567 * (Flag_Operations) * CPI_Accumulated_From_Date</f>
        <v>0</v>
      </c>
      <c r="M613" s="10">
        <f ca="1" xml:space="preserve"> $M$567 * (Flag_Operations) * CPI_Accumulated_From_Date</f>
        <v>0</v>
      </c>
      <c r="N613" s="10">
        <f ca="1" xml:space="preserve"> $N$567 * (Flag_Operations) * CPI_Accumulated_From_Date</f>
        <v>0</v>
      </c>
      <c r="O613" s="10">
        <f ca="1" xml:space="preserve"> $O$567 * (Flag_Operations) * CPI_Accumulated_From_Date</f>
        <v>0</v>
      </c>
      <c r="P613" s="10">
        <f ca="1" xml:space="preserve"> $L$567 * (Flag_Operations) * CPI_Accumulated_From_Date</f>
        <v>0</v>
      </c>
      <c r="Q613" s="10">
        <f ca="1" xml:space="preserve"> $M$567 * (Flag_Operations) * CPI_Accumulated_From_Date</f>
        <v>0</v>
      </c>
      <c r="R613" s="10">
        <f ca="1" xml:space="preserve"> $N$567 * (Flag_Operations) * CPI_Accumulated_From_Date</f>
        <v>0</v>
      </c>
      <c r="S613" s="10">
        <f ca="1" xml:space="preserve"> $O$567 * (Flag_Operations) * CPI_Accumulated_From_Date</f>
        <v>0</v>
      </c>
      <c r="T613" s="10">
        <f ca="1" xml:space="preserve"> $L$567 * (Flag_Operations) * CPI_Accumulated_From_Date</f>
        <v>0</v>
      </c>
      <c r="U613" s="10">
        <f ca="1" xml:space="preserve"> $M$567 * (Flag_Operations) * CPI_Accumulated_From_Date</f>
        <v>0</v>
      </c>
      <c r="V613" s="10">
        <f ca="1" xml:space="preserve"> $N$567 * (Flag_Operations) * CPI_Accumulated_From_Date</f>
        <v>0</v>
      </c>
      <c r="W613" s="10">
        <f ca="1" xml:space="preserve"> $O$567 * (Flag_Operations) * CPI_Accumulated_From_Date</f>
        <v>0</v>
      </c>
      <c r="X613" s="10">
        <f ca="1" xml:space="preserve"> $L$567 * (Flag_Operations) * CPI_Accumulated_From_Date</f>
        <v>0</v>
      </c>
      <c r="Y613" s="10">
        <f ca="1" xml:space="preserve"> $M$567 * (Flag_Operations) * CPI_Accumulated_From_Date</f>
        <v>0</v>
      </c>
      <c r="Z613" s="10">
        <f ca="1" xml:space="preserve"> $N$567 * (Flag_Operations) * CPI_Accumulated_From_Date</f>
        <v>0</v>
      </c>
      <c r="AA613" s="10">
        <f ca="1" xml:space="preserve"> $O$567 * (Flag_Operations) * CPI_Accumulated_From_Date</f>
        <v>0</v>
      </c>
      <c r="AB613" s="10">
        <f ca="1" xml:space="preserve"> $L$567 * (Flag_Operations) * CPI_Accumulated_From_Date</f>
        <v>0</v>
      </c>
      <c r="AC613" s="10">
        <f ca="1" xml:space="preserve"> $M$567 * (Flag_Operations) * CPI_Accumulated_From_Date</f>
        <v>3034.1871441670164</v>
      </c>
      <c r="AD613" s="10">
        <f ca="1" xml:space="preserve"> $N$567 * (Flag_Operations) * CPI_Accumulated_From_Date</f>
        <v>3064.084223644149</v>
      </c>
      <c r="AE613" s="10">
        <f ca="1" xml:space="preserve"> $O$567 * (Flag_Operations) * CPI_Accumulated_From_Date</f>
        <v>3094.2758911999963</v>
      </c>
      <c r="AF613" s="10">
        <f ca="1" xml:space="preserve"> $L$567 * (Flag_Operations) * CPI_Accumulated_From_Date</f>
        <v>3124.765049530663</v>
      </c>
      <c r="AG613" s="10">
        <f ca="1" xml:space="preserve"> $M$567 * (Flag_Operations) * CPI_Accumulated_From_Date</f>
        <v>3155.5546299336975</v>
      </c>
      <c r="AH613" s="10">
        <f ca="1" xml:space="preserve"> $N$567 * (Flag_Operations) * CPI_Accumulated_From_Date</f>
        <v>3186.6475925899153</v>
      </c>
      <c r="AI613" s="10">
        <f ca="1" xml:space="preserve"> $O$567 * (Flag_Operations) * CPI_Accumulated_From_Date</f>
        <v>3218.046926847996</v>
      </c>
      <c r="AJ613" s="10">
        <f ca="1" xml:space="preserve"> $L$567 * (Flag_Operations) * CPI_Accumulated_From_Date</f>
        <v>3249.755651511889</v>
      </c>
      <c r="AK613" s="10">
        <f ca="1" xml:space="preserve"> $M$567 * (Flag_Operations) * CPI_Accumulated_From_Date</f>
        <v>3281.7768151310452</v>
      </c>
      <c r="AL613" s="10">
        <f ca="1" xml:space="preserve"> $N$567 * (Flag_Operations) * CPI_Accumulated_From_Date</f>
        <v>3314.1134962935116</v>
      </c>
      <c r="AM613" s="10">
        <f ca="1" xml:space="preserve"> $O$567 * (Flag_Operations) * CPI_Accumulated_From_Date</f>
        <v>3346.7688039219156</v>
      </c>
      <c r="AN613" s="10">
        <f ca="1" xml:space="preserve"> $L$567 * (Flag_Operations) * CPI_Accumulated_From_Date</f>
        <v>3379.7458775723644</v>
      </c>
      <c r="AO613" s="10">
        <f ca="1" xml:space="preserve"> $M$567 * (Flag_Operations) * CPI_Accumulated_From_Date</f>
        <v>3413.0478877362862</v>
      </c>
      <c r="AP613" s="10">
        <f ca="1" xml:space="preserve"> $N$567 * (Flag_Operations) * CPI_Accumulated_From_Date</f>
        <v>3446.6780361452516</v>
      </c>
      <c r="AQ613" s="10">
        <f ca="1" xml:space="preserve"> $O$567 * (Flag_Operations) * CPI_Accumulated_From_Date</f>
        <v>3480.6395560787923</v>
      </c>
      <c r="AR613" s="10">
        <f ca="1" xml:space="preserve"> $L$567 * (Flag_Operations) * CPI_Accumulated_From_Date</f>
        <v>3514.9357126752589</v>
      </c>
      <c r="AS613" s="10">
        <f ca="1" xml:space="preserve"> $M$567 * (Flag_Operations) * CPI_Accumulated_From_Date</f>
        <v>3549.5698032457381</v>
      </c>
      <c r="AT613" s="10">
        <f ca="1" xml:space="preserve"> $N$567 * (Flag_Operations) * CPI_Accumulated_From_Date</f>
        <v>3584.5451575910615</v>
      </c>
      <c r="AU613" s="10">
        <f ca="1" xml:space="preserve"> $O$567 * (Flag_Operations) * CPI_Accumulated_From_Date</f>
        <v>3619.865138321944</v>
      </c>
      <c r="AV613" s="10">
        <f ca="1" xml:space="preserve"> $L$567 * (Flag_Operations) * CPI_Accumulated_From_Date</f>
        <v>3655.533141182269</v>
      </c>
      <c r="AW613" s="10">
        <f ca="1" xml:space="preserve"> $M$567 * (Flag_Operations) * CPI_Accumulated_From_Date</f>
        <v>3691.5525953755669</v>
      </c>
      <c r="AX613" s="10">
        <f ca="1" xml:space="preserve"> $N$567 * (Flag_Operations) * CPI_Accumulated_From_Date</f>
        <v>3727.926963894703</v>
      </c>
      <c r="AY613" s="10">
        <f ca="1" xml:space="preserve"> $O$567 * (Flag_Operations) * CPI_Accumulated_From_Date</f>
        <v>3764.6597438548206</v>
      </c>
      <c r="AZ613" s="10">
        <f ca="1" xml:space="preserve"> $L$567 * (Flag_Operations) * CPI_Accumulated_From_Date</f>
        <v>3801.7544668295591</v>
      </c>
      <c r="BA613" s="10">
        <f ca="1" xml:space="preserve"> $M$567 * (Flag_Operations) * CPI_Accumulated_From_Date</f>
        <v>3839.2146991905884</v>
      </c>
      <c r="BB613" s="10">
        <f ca="1" xml:space="preserve"> $N$567 * (Flag_Operations) * CPI_Accumulated_From_Date</f>
        <v>3877.0440424504905</v>
      </c>
      <c r="BC613" s="10">
        <f ca="1" xml:space="preserve"> $O$567 * (Flag_Operations) * CPI_Accumulated_From_Date</f>
        <v>3915.2461336090128</v>
      </c>
      <c r="BD613" s="10">
        <f ca="1" xml:space="preserve"> $L$567 * (Flag_Operations) * CPI_Accumulated_From_Date</f>
        <v>3953.8246455027411</v>
      </c>
      <c r="BE613" s="10">
        <f ca="1" xml:space="preserve"> $M$567 * (Flag_Operations) * CPI_Accumulated_From_Date</f>
        <v>3992.7832871582118</v>
      </c>
      <c r="BF613" s="10">
        <f ca="1" xml:space="preserve"> $N$567 * (Flag_Operations) * CPI_Accumulated_From_Date</f>
        <v>4032.1258041485098</v>
      </c>
      <c r="BG613" s="10">
        <f ca="1" xml:space="preserve"> $O$567 * (Flag_Operations) * CPI_Accumulated_From_Date</f>
        <v>4071.8559789533724</v>
      </c>
      <c r="BH613" s="10">
        <f ca="1" xml:space="preserve"> $L$567 * (Flag_Operations) * CPI_Accumulated_From_Date</f>
        <v>4111.9776313228494</v>
      </c>
      <c r="BI613" s="10">
        <f ca="1" xml:space="preserve"> $M$567 * (Flag_Operations) * CPI_Accumulated_From_Date</f>
        <v>4152.4946186445395</v>
      </c>
      <c r="BJ613" s="10">
        <f ca="1" xml:space="preserve"> $N$567 * (Flag_Operations) * CPI_Accumulated_From_Date</f>
        <v>4193.4108363144496</v>
      </c>
      <c r="BK613" s="10">
        <f ca="1" xml:space="preserve"> $O$567 * (Flag_Operations) * CPI_Accumulated_From_Date</f>
        <v>4234.7302181115074</v>
      </c>
      <c r="BL613" s="10">
        <f ca="1" xml:space="preserve"> $L$567 * (Flag_Operations) * CPI_Accumulated_From_Date</f>
        <v>4276.456736575763</v>
      </c>
      <c r="BM613" s="10">
        <f ca="1" xml:space="preserve"> $M$567 * (Flag_Operations) * CPI_Accumulated_From_Date</f>
        <v>4318.5944033903206</v>
      </c>
      <c r="BN613" s="10">
        <f ca="1" xml:space="preserve"> $N$567 * (Flag_Operations) * CPI_Accumulated_From_Date</f>
        <v>4361.147269767027</v>
      </c>
      <c r="BO613" s="10">
        <f ca="1" xml:space="preserve"> $O$567 * (Flag_Operations) * CPI_Accumulated_From_Date</f>
        <v>4404.1194268359668</v>
      </c>
      <c r="BP613" s="10">
        <f ca="1" xml:space="preserve"> $L$567 * (Flag_Operations) * CPI_Accumulated_From_Date</f>
        <v>4447.5150060387932</v>
      </c>
      <c r="BQ613" s="10">
        <f ca="1" xml:space="preserve"> $M$567 * (Flag_Operations) * CPI_Accumulated_From_Date</f>
        <v>4491.3381795259329</v>
      </c>
      <c r="BR613" s="10">
        <f ca="1" xml:space="preserve"> $N$567 * (Flag_Operations) * CPI_Accumulated_From_Date</f>
        <v>4535.5931605577071</v>
      </c>
      <c r="BS613" s="10">
        <f ca="1" xml:space="preserve"> $O$567 * (Flag_Operations) * CPI_Accumulated_From_Date</f>
        <v>4580.2842039094048</v>
      </c>
      <c r="BT613" s="10">
        <f ca="1" xml:space="preserve"> $L$567 * (Flag_Operations) * CPI_Accumulated_From_Date</f>
        <v>4625.415606280344</v>
      </c>
      <c r="BU613" s="10">
        <f ca="1" xml:space="preserve"> $M$567 * (Flag_Operations) * CPI_Accumulated_From_Date</f>
        <v>4670.9917067069691</v>
      </c>
      <c r="BV613" s="10">
        <f ca="1" xml:space="preserve"> $N$567 * (Flag_Operations) * CPI_Accumulated_From_Date</f>
        <v>4717.0168869800145</v>
      </c>
      <c r="BW613" s="10">
        <f ca="1" xml:space="preserve"> $O$567 * (Flag_Operations) * CPI_Accumulated_From_Date</f>
        <v>4763.4955720657799</v>
      </c>
      <c r="BX613" s="10">
        <f ca="1" xml:space="preserve"> $L$567 * (Flag_Operations) * CPI_Accumulated_From_Date</f>
        <v>4810.4322305315563</v>
      </c>
      <c r="BY613" s="10">
        <f ca="1" xml:space="preserve"> $M$567 * (Flag_Operations) * CPI_Accumulated_From_Date</f>
        <v>4857.8313749752469</v>
      </c>
      <c r="BZ613" s="10">
        <f ca="1" xml:space="preserve"> $N$567 * (Flag_Operations) * CPI_Accumulated_From_Date</f>
        <v>4905.6975624592151</v>
      </c>
      <c r="CA613" s="10">
        <f ca="1" xml:space="preserve"> $O$567 * (Flag_Operations) * CPI_Accumulated_From_Date</f>
        <v>4954.0353949484106</v>
      </c>
      <c r="CB613" s="10">
        <f ca="1" xml:space="preserve"> $L$567 * (Flag_Operations) * CPI_Accumulated_From_Date</f>
        <v>5002.8495197528191</v>
      </c>
      <c r="CC613" s="10">
        <f ca="1" xml:space="preserve"> $M$567 * (Flag_Operations) * CPI_Accumulated_From_Date</f>
        <v>5052.1446299742565</v>
      </c>
      <c r="CD613" s="10">
        <f ca="1" xml:space="preserve"> $N$567 * (Flag_Operations) * CPI_Accumulated_From_Date</f>
        <v>5101.9254649575832</v>
      </c>
      <c r="CE613" s="10">
        <f ca="1" xml:space="preserve"> $O$567 * (Flag_Operations) * CPI_Accumulated_From_Date</f>
        <v>5152.1968107463463</v>
      </c>
      <c r="CF613" s="10">
        <f ca="1" xml:space="preserve"> $L$567 * (Flag_Operations) * CPI_Accumulated_From_Date</f>
        <v>5202.9635005429309</v>
      </c>
      <c r="CG613" s="10">
        <f ca="1" xml:space="preserve"> $M$567 * (Flag_Operations) * CPI_Accumulated_From_Date</f>
        <v>5254.2304151732269</v>
      </c>
      <c r="CH613" s="10">
        <f ca="1" xml:space="preserve"> $N$567 * (Flag_Operations) * CPI_Accumulated_From_Date</f>
        <v>5306.0024835558861</v>
      </c>
      <c r="CI613" s="10">
        <f ca="1" xml:space="preserve"> $O$567 * (Flag_Operations) * CPI_Accumulated_From_Date</f>
        <v>5358.2846831762008</v>
      </c>
      <c r="CJ613" s="10">
        <f ca="1" xml:space="preserve"> $L$567 * (Flag_Operations) * CPI_Accumulated_From_Date</f>
        <v>5411.0820405646491</v>
      </c>
      <c r="CK613" s="10">
        <f ca="1" xml:space="preserve"> $M$567 * (Flag_Operations) * CPI_Accumulated_From_Date</f>
        <v>5464.3996317801557</v>
      </c>
      <c r="CL613" s="10">
        <f ca="1" xml:space="preserve"> $N$567 * (Flag_Operations) * CPI_Accumulated_From_Date</f>
        <v>5518.2425828981204</v>
      </c>
      <c r="CM613" s="10">
        <f ca="1" xml:space="preserve"> $O$567 * (Flag_Operations) * CPI_Accumulated_From_Date</f>
        <v>5572.616070503248</v>
      </c>
      <c r="CN613" s="10">
        <f ca="1" xml:space="preserve"> $L$567 * (Flag_Operations) * CPI_Accumulated_From_Date</f>
        <v>5627.5253221872335</v>
      </c>
      <c r="CO613" s="10">
        <f ca="1" xml:space="preserve"> $M$567 * (Flag_Operations) * CPI_Accumulated_From_Date</f>
        <v>5682.975617051361</v>
      </c>
      <c r="CP613" s="10"/>
      <c r="CQ613" s="10" t="e">
        <f xml:space="preserve"> $O$567 * (Flag_Operations) * CPI_Accumulated_From_Date</f>
        <v>#VALUE!</v>
      </c>
    </row>
    <row r="614" spans="1:95">
      <c r="A614" s="233"/>
      <c r="B614" s="233"/>
      <c r="C614" s="17" t="s">
        <v>1562</v>
      </c>
      <c r="D614" s="69"/>
      <c r="E614" s="62"/>
      <c r="F614" s="70"/>
      <c r="G614" s="11"/>
      <c r="H614" s="69"/>
      <c r="I614" s="69"/>
      <c r="J614" s="69"/>
      <c r="K614" s="69"/>
      <c r="L614" s="587">
        <f ca="1">L612*L613/1000</f>
        <v>0</v>
      </c>
      <c r="M614" s="587">
        <f t="shared" ref="M614:BX614" ca="1" si="812">M612*M613/1000</f>
        <v>0</v>
      </c>
      <c r="N614" s="587">
        <f t="shared" ca="1" si="812"/>
        <v>0</v>
      </c>
      <c r="O614" s="587">
        <f t="shared" ca="1" si="812"/>
        <v>0</v>
      </c>
      <c r="P614" s="587">
        <f t="shared" ca="1" si="812"/>
        <v>0</v>
      </c>
      <c r="Q614" s="587">
        <f t="shared" ca="1" si="812"/>
        <v>0</v>
      </c>
      <c r="R614" s="587">
        <f t="shared" ca="1" si="812"/>
        <v>0</v>
      </c>
      <c r="S614" s="587">
        <f t="shared" ca="1" si="812"/>
        <v>0</v>
      </c>
      <c r="T614" s="587">
        <f t="shared" ca="1" si="812"/>
        <v>0</v>
      </c>
      <c r="U614" s="587">
        <f t="shared" ca="1" si="812"/>
        <v>0</v>
      </c>
      <c r="V614" s="587">
        <f t="shared" ca="1" si="812"/>
        <v>0</v>
      </c>
      <c r="W614" s="587">
        <f t="shared" ca="1" si="812"/>
        <v>0</v>
      </c>
      <c r="X614" s="587">
        <f t="shared" ca="1" si="812"/>
        <v>0</v>
      </c>
      <c r="Y614" s="587">
        <f t="shared" ca="1" si="812"/>
        <v>0</v>
      </c>
      <c r="Z614" s="587">
        <f t="shared" ca="1" si="812"/>
        <v>0</v>
      </c>
      <c r="AA614" s="587">
        <f t="shared" ca="1" si="812"/>
        <v>0</v>
      </c>
      <c r="AB614" s="587">
        <f t="shared" ca="1" si="812"/>
        <v>0</v>
      </c>
      <c r="AC614" s="587">
        <f t="shared" ca="1" si="812"/>
        <v>29754.509723602157</v>
      </c>
      <c r="AD614" s="587">
        <f t="shared" ca="1" si="812"/>
        <v>44680.457617187829</v>
      </c>
      <c r="AE614" s="587">
        <f t="shared" ca="1" si="812"/>
        <v>23495.181241731196</v>
      </c>
      <c r="AF614" s="587">
        <f t="shared" ca="1" si="812"/>
        <v>22494.171763116508</v>
      </c>
      <c r="AG614" s="587">
        <f t="shared" ca="1" si="812"/>
        <v>34707.717243516381</v>
      </c>
      <c r="AH614" s="587">
        <f t="shared" ca="1" si="812"/>
        <v>51951.655048195214</v>
      </c>
      <c r="AI614" s="587">
        <f t="shared" ca="1" si="812"/>
        <v>27236.089877961916</v>
      </c>
      <c r="AJ614" s="587">
        <f t="shared" ca="1" si="812"/>
        <v>26000.984828423982</v>
      </c>
      <c r="AK614" s="587">
        <f t="shared" ca="1" si="812"/>
        <v>40009.574149465974</v>
      </c>
      <c r="AL614" s="587">
        <f t="shared" ca="1" si="812"/>
        <v>59733.059541495699</v>
      </c>
      <c r="AM614" s="587">
        <f t="shared" ca="1" si="812"/>
        <v>31238.678915104327</v>
      </c>
      <c r="AN614" s="587">
        <f t="shared" ca="1" si="812"/>
        <v>30082.933955958786</v>
      </c>
      <c r="AO614" s="587">
        <f t="shared" ca="1" si="812"/>
        <v>45680.047260301879</v>
      </c>
      <c r="AP614" s="587">
        <f t="shared" ca="1" si="812"/>
        <v>66570.985790426173</v>
      </c>
      <c r="AQ614" s="587">
        <f t="shared" ca="1" si="812"/>
        <v>34003.061701560931</v>
      </c>
      <c r="AR614" s="587">
        <f t="shared" ca="1" si="812"/>
        <v>31647.391645769731</v>
      </c>
      <c r="AS614" s="587">
        <f t="shared" ca="1" si="812"/>
        <v>47507.249150713957</v>
      </c>
      <c r="AT614" s="587">
        <f t="shared" ca="1" si="812"/>
        <v>69233.825222043219</v>
      </c>
      <c r="AU614" s="587">
        <f t="shared" ca="1" si="812"/>
        <v>35363.184169623368</v>
      </c>
      <c r="AV614" s="587">
        <f t="shared" ca="1" si="812"/>
        <v>32913.287311600514</v>
      </c>
      <c r="AW614" s="587">
        <f t="shared" ca="1" si="812"/>
        <v>49407.539116742504</v>
      </c>
      <c r="AX614" s="587">
        <f t="shared" ca="1" si="812"/>
        <v>72003.178230924939</v>
      </c>
      <c r="AY614" s="587">
        <f t="shared" ca="1" si="812"/>
        <v>36777.711536408293</v>
      </c>
      <c r="AZ614" s="587">
        <f t="shared" ca="1" si="812"/>
        <v>34229.818804064533</v>
      </c>
      <c r="BA614" s="587">
        <f t="shared" ca="1" si="812"/>
        <v>51383.840681412192</v>
      </c>
      <c r="BB614" s="587">
        <f t="shared" ca="1" si="812"/>
        <v>74883.305360161918</v>
      </c>
      <c r="BC614" s="587">
        <f t="shared" ca="1" si="812"/>
        <v>38248.819997864608</v>
      </c>
      <c r="BD614" s="587">
        <f t="shared" ca="1" si="812"/>
        <v>35994.556129074073</v>
      </c>
      <c r="BE614" s="587">
        <f t="shared" ca="1" si="812"/>
        <v>53439.194308668681</v>
      </c>
      <c r="BF614" s="587">
        <f t="shared" ca="1" si="812"/>
        <v>77878.637574568391</v>
      </c>
      <c r="BG614" s="587">
        <f t="shared" ca="1" si="812"/>
        <v>39778.772797779187</v>
      </c>
      <c r="BH614" s="587">
        <f t="shared" ca="1" si="812"/>
        <v>37022.972018476183</v>
      </c>
      <c r="BI614" s="587">
        <f t="shared" ca="1" si="812"/>
        <v>55576.762081015419</v>
      </c>
      <c r="BJ614" s="587">
        <f t="shared" ca="1" si="812"/>
        <v>80993.78307755111</v>
      </c>
      <c r="BK614" s="587">
        <f t="shared" ca="1" si="812"/>
        <v>41369.92370969036</v>
      </c>
      <c r="BL614" s="587">
        <f t="shared" ca="1" si="812"/>
        <v>38503.890899215228</v>
      </c>
      <c r="BM614" s="587">
        <f t="shared" ca="1" si="812"/>
        <v>57799.83256425603</v>
      </c>
      <c r="BN614" s="587">
        <f t="shared" ca="1" si="812"/>
        <v>84233.534400653138</v>
      </c>
      <c r="BO614" s="587">
        <f t="shared" ca="1" si="812"/>
        <v>43024.72065807796</v>
      </c>
      <c r="BP614" s="587">
        <f t="shared" ca="1" si="812"/>
        <v>40044.046535183836</v>
      </c>
      <c r="BQ614" s="587">
        <f t="shared" ca="1" si="812"/>
        <v>60111.825866826257</v>
      </c>
      <c r="BR614" s="587">
        <f t="shared" ca="1" si="812"/>
        <v>87602.875776679241</v>
      </c>
      <c r="BS614" s="587">
        <f t="shared" ca="1" si="812"/>
        <v>44745.709484401079</v>
      </c>
      <c r="BT614" s="587">
        <f t="shared" ca="1" si="812"/>
        <v>42108.539600997741</v>
      </c>
      <c r="BU614" s="587">
        <f t="shared" ca="1" si="812"/>
        <v>62516.298901499293</v>
      </c>
      <c r="BV614" s="587">
        <f t="shared" ca="1" si="812"/>
        <v>91106.990807746392</v>
      </c>
      <c r="BW614" s="587">
        <f t="shared" ca="1" si="812"/>
        <v>46535.537863777106</v>
      </c>
      <c r="BX614" s="587">
        <f t="shared" ca="1" si="812"/>
        <v>43311.640732454813</v>
      </c>
      <c r="BY614" s="587">
        <f t="shared" ref="BY614:CO614" ca="1" si="813">BY612*BY613/1000</f>
        <v>65016.950857559255</v>
      </c>
      <c r="BZ614" s="587">
        <f t="shared" ca="1" si="813"/>
        <v>94751.270440056251</v>
      </c>
      <c r="CA614" s="587">
        <f t="shared" ca="1" si="813"/>
        <v>48396.959378328189</v>
      </c>
      <c r="CB614" s="587">
        <f t="shared" ca="1" si="813"/>
        <v>45044.106361753009</v>
      </c>
      <c r="CC614" s="587">
        <f t="shared" ca="1" si="813"/>
        <v>67617.628891861619</v>
      </c>
      <c r="CD614" s="587">
        <f t="shared" ca="1" si="813"/>
        <v>98541.321257658492</v>
      </c>
      <c r="CE614" s="587">
        <f t="shared" ca="1" si="813"/>
        <v>50332.83775346131</v>
      </c>
      <c r="CF614" s="587">
        <f t="shared" ca="1" si="813"/>
        <v>46845.870616223117</v>
      </c>
      <c r="CG614" s="587">
        <f t="shared" ca="1" si="813"/>
        <v>70322.334047536089</v>
      </c>
      <c r="CH614" s="587">
        <f t="shared" ca="1" si="813"/>
        <v>102482.97410796482</v>
      </c>
      <c r="CI614" s="587">
        <f t="shared" ca="1" si="813"/>
        <v>52346.151263599771</v>
      </c>
      <c r="CJ614" s="587">
        <f t="shared" ca="1" si="813"/>
        <v>49261.03550132618</v>
      </c>
      <c r="CK614" s="587">
        <f t="shared" ca="1" si="813"/>
        <v>73135.227409437517</v>
      </c>
      <c r="CL614" s="587">
        <f t="shared" ca="1" si="813"/>
        <v>106582.2930722834</v>
      </c>
      <c r="CM614" s="587">
        <f t="shared" ca="1" si="813"/>
        <v>54439.997314143744</v>
      </c>
      <c r="CN614" s="587">
        <f t="shared" ca="1" si="813"/>
        <v>50668.493658506923</v>
      </c>
      <c r="CO614" s="587">
        <f t="shared" ca="1" si="813"/>
        <v>76060.636505815011</v>
      </c>
    </row>
    <row r="615" spans="1:95">
      <c r="A615" s="233"/>
      <c r="B615" s="233"/>
      <c r="C615" s="17" t="s">
        <v>1563</v>
      </c>
      <c r="D615" s="69"/>
      <c r="E615" s="62"/>
      <c r="F615" s="70"/>
      <c r="G615" s="11"/>
      <c r="H615" s="69"/>
      <c r="I615" s="69"/>
      <c r="J615" s="69"/>
      <c r="K615" s="69"/>
      <c r="L615" s="587">
        <f>L612*($E$558+$E$559)</f>
        <v>0</v>
      </c>
      <c r="M615" s="587">
        <f t="shared" ref="M615:BX615" si="814">M612*($E$558+$E$559)</f>
        <v>0</v>
      </c>
      <c r="N615" s="587">
        <f t="shared" si="814"/>
        <v>0</v>
      </c>
      <c r="O615" s="587">
        <f t="shared" si="814"/>
        <v>0</v>
      </c>
      <c r="P615" s="587">
        <f t="shared" si="814"/>
        <v>0</v>
      </c>
      <c r="Q615" s="587">
        <f t="shared" si="814"/>
        <v>0</v>
      </c>
      <c r="R615" s="587">
        <f t="shared" si="814"/>
        <v>0</v>
      </c>
      <c r="S615" s="587">
        <f t="shared" si="814"/>
        <v>0</v>
      </c>
      <c r="T615" s="587">
        <f t="shared" si="814"/>
        <v>0</v>
      </c>
      <c r="U615" s="587">
        <f t="shared" si="814"/>
        <v>0</v>
      </c>
      <c r="V615" s="587">
        <f t="shared" si="814"/>
        <v>0</v>
      </c>
      <c r="W615" s="587">
        <f t="shared" si="814"/>
        <v>0</v>
      </c>
      <c r="X615" s="587">
        <f t="shared" si="814"/>
        <v>0</v>
      </c>
      <c r="Y615" s="587">
        <f t="shared" si="814"/>
        <v>0</v>
      </c>
      <c r="Z615" s="587">
        <f t="shared" si="814"/>
        <v>0</v>
      </c>
      <c r="AA615" s="587">
        <f t="shared" si="814"/>
        <v>0</v>
      </c>
      <c r="AB615" s="587">
        <f t="shared" si="814"/>
        <v>0</v>
      </c>
      <c r="AC615" s="587">
        <f t="shared" si="814"/>
        <v>10787.060632988023</v>
      </c>
      <c r="AD615" s="587">
        <f t="shared" si="814"/>
        <v>16040.193347052895</v>
      </c>
      <c r="AE615" s="587">
        <f t="shared" si="814"/>
        <v>8352.42243246818</v>
      </c>
      <c r="AF615" s="587">
        <f t="shared" si="814"/>
        <v>7918.5438096040616</v>
      </c>
      <c r="AG615" s="587">
        <f t="shared" si="814"/>
        <v>12098.82047539459</v>
      </c>
      <c r="AH615" s="587">
        <f t="shared" si="814"/>
        <v>17933.210024824002</v>
      </c>
      <c r="AI615" s="587">
        <f t="shared" si="814"/>
        <v>9309.9011750903683</v>
      </c>
      <c r="AJ615" s="587">
        <f t="shared" si="814"/>
        <v>8800.9950218750291</v>
      </c>
      <c r="AK615" s="587">
        <f t="shared" si="814"/>
        <v>13410.580317801161</v>
      </c>
      <c r="AL615" s="587">
        <f t="shared" si="814"/>
        <v>19826.226702595115</v>
      </c>
      <c r="AM615" s="587">
        <f t="shared" si="814"/>
        <v>10267.37991771256</v>
      </c>
      <c r="AN615" s="587">
        <f t="shared" si="814"/>
        <v>9791.0400811920645</v>
      </c>
      <c r="AO615" s="587">
        <f t="shared" si="814"/>
        <v>14722.340160207725</v>
      </c>
      <c r="AP615" s="587">
        <f t="shared" si="814"/>
        <v>21245.989210923439</v>
      </c>
      <c r="AQ615" s="587">
        <f t="shared" si="814"/>
        <v>10746.119289023651</v>
      </c>
      <c r="AR615" s="587">
        <f t="shared" si="814"/>
        <v>9904.0590372137376</v>
      </c>
      <c r="AS615" s="587">
        <f t="shared" si="814"/>
        <v>14722.340160207725</v>
      </c>
      <c r="AT615" s="587">
        <f t="shared" si="814"/>
        <v>21245.989210923439</v>
      </c>
      <c r="AU615" s="587">
        <f t="shared" si="814"/>
        <v>10746.119289023651</v>
      </c>
      <c r="AV615" s="587">
        <f t="shared" si="814"/>
        <v>9904.0590372137376</v>
      </c>
      <c r="AW615" s="587">
        <f t="shared" si="814"/>
        <v>14722.340160207725</v>
      </c>
      <c r="AX615" s="587">
        <f t="shared" si="814"/>
        <v>21245.989210923439</v>
      </c>
      <c r="AY615" s="587">
        <f t="shared" si="814"/>
        <v>10746.119289023651</v>
      </c>
      <c r="AZ615" s="587">
        <f t="shared" si="814"/>
        <v>9904.0590372137376</v>
      </c>
      <c r="BA615" s="587">
        <f t="shared" si="814"/>
        <v>14722.340160207725</v>
      </c>
      <c r="BB615" s="587">
        <f t="shared" si="814"/>
        <v>21245.989210923439</v>
      </c>
      <c r="BC615" s="587">
        <f t="shared" si="814"/>
        <v>10746.119289023651</v>
      </c>
      <c r="BD615" s="587">
        <f t="shared" si="814"/>
        <v>10014.104137627222</v>
      </c>
      <c r="BE615" s="587">
        <f t="shared" si="814"/>
        <v>14722.340160207725</v>
      </c>
      <c r="BF615" s="587">
        <f t="shared" si="814"/>
        <v>21245.989210923439</v>
      </c>
      <c r="BG615" s="587">
        <f t="shared" si="814"/>
        <v>10746.119289023651</v>
      </c>
      <c r="BH615" s="587">
        <f t="shared" si="814"/>
        <v>9904.0590372137376</v>
      </c>
      <c r="BI615" s="587">
        <f t="shared" si="814"/>
        <v>14722.340160207725</v>
      </c>
      <c r="BJ615" s="587">
        <f t="shared" si="814"/>
        <v>21245.989210923439</v>
      </c>
      <c r="BK615" s="587">
        <f t="shared" si="814"/>
        <v>10746.119289023651</v>
      </c>
      <c r="BL615" s="587">
        <f t="shared" si="814"/>
        <v>9904.0590372137376</v>
      </c>
      <c r="BM615" s="587">
        <f t="shared" si="814"/>
        <v>14722.340160207725</v>
      </c>
      <c r="BN615" s="587">
        <f t="shared" si="814"/>
        <v>21245.989210923439</v>
      </c>
      <c r="BO615" s="587">
        <f t="shared" si="814"/>
        <v>10746.119289023651</v>
      </c>
      <c r="BP615" s="587">
        <f t="shared" si="814"/>
        <v>9904.0590372137376</v>
      </c>
      <c r="BQ615" s="587">
        <f t="shared" si="814"/>
        <v>14722.340160207725</v>
      </c>
      <c r="BR615" s="587">
        <f t="shared" si="814"/>
        <v>21245.989210923439</v>
      </c>
      <c r="BS615" s="587">
        <f t="shared" si="814"/>
        <v>10746.119289023651</v>
      </c>
      <c r="BT615" s="587">
        <f t="shared" si="814"/>
        <v>10014.104137627222</v>
      </c>
      <c r="BU615" s="587">
        <f t="shared" si="814"/>
        <v>14722.340160207725</v>
      </c>
      <c r="BV615" s="587">
        <f t="shared" si="814"/>
        <v>21245.989210923439</v>
      </c>
      <c r="BW615" s="587">
        <f t="shared" si="814"/>
        <v>10746.119289023651</v>
      </c>
      <c r="BX615" s="587">
        <f t="shared" si="814"/>
        <v>9904.0590372137376</v>
      </c>
      <c r="BY615" s="587">
        <f t="shared" ref="BY615:CO615" si="815">BY612*($E$558+$E$559)</f>
        <v>14722.340160207725</v>
      </c>
      <c r="BZ615" s="587">
        <f t="shared" si="815"/>
        <v>21245.989210923439</v>
      </c>
      <c r="CA615" s="587">
        <f t="shared" si="815"/>
        <v>10746.119289023651</v>
      </c>
      <c r="CB615" s="587">
        <f t="shared" si="815"/>
        <v>9904.0590372137376</v>
      </c>
      <c r="CC615" s="587">
        <f t="shared" si="815"/>
        <v>14722.340160207725</v>
      </c>
      <c r="CD615" s="587">
        <f t="shared" si="815"/>
        <v>21245.989210923439</v>
      </c>
      <c r="CE615" s="587">
        <f t="shared" si="815"/>
        <v>10746.119289023651</v>
      </c>
      <c r="CF615" s="587">
        <f t="shared" si="815"/>
        <v>9904.0590372137376</v>
      </c>
      <c r="CG615" s="587">
        <f t="shared" si="815"/>
        <v>14722.340160207725</v>
      </c>
      <c r="CH615" s="587">
        <f t="shared" si="815"/>
        <v>21245.989210923439</v>
      </c>
      <c r="CI615" s="587">
        <f t="shared" si="815"/>
        <v>10746.119289023651</v>
      </c>
      <c r="CJ615" s="587">
        <f t="shared" si="815"/>
        <v>10014.104137627222</v>
      </c>
      <c r="CK615" s="587">
        <f t="shared" si="815"/>
        <v>14722.340160207725</v>
      </c>
      <c r="CL615" s="587">
        <f t="shared" si="815"/>
        <v>21245.989210923439</v>
      </c>
      <c r="CM615" s="587">
        <f t="shared" si="815"/>
        <v>10746.119289023651</v>
      </c>
      <c r="CN615" s="587">
        <f t="shared" si="815"/>
        <v>9904.0590372137376</v>
      </c>
      <c r="CO615" s="587">
        <f t="shared" si="815"/>
        <v>14722.340160207725</v>
      </c>
    </row>
    <row r="616" spans="1:95">
      <c r="A616" s="233"/>
      <c r="B616" s="233"/>
      <c r="C616" s="169" t="s">
        <v>1565</v>
      </c>
      <c r="D616" s="69"/>
      <c r="E616" s="62"/>
      <c r="F616" s="70"/>
      <c r="G616" s="11"/>
      <c r="H616" s="69"/>
      <c r="I616" s="69"/>
      <c r="J616" s="69"/>
      <c r="K616" s="69"/>
      <c r="L616" s="587">
        <f t="shared" ref="L616:AQ616" ca="1" si="816">L615*AVERAGE($E$568,$E$569)/1000*(Flag_Operations) * CPI_Accumulated_From_Date</f>
        <v>0</v>
      </c>
      <c r="M616" s="587">
        <f t="shared" ca="1" si="816"/>
        <v>0</v>
      </c>
      <c r="N616" s="587">
        <f t="shared" ca="1" si="816"/>
        <v>0</v>
      </c>
      <c r="O616" s="587">
        <f t="shared" ca="1" si="816"/>
        <v>0</v>
      </c>
      <c r="P616" s="587">
        <f t="shared" ca="1" si="816"/>
        <v>0</v>
      </c>
      <c r="Q616" s="587">
        <f t="shared" ca="1" si="816"/>
        <v>0</v>
      </c>
      <c r="R616" s="587">
        <f t="shared" ca="1" si="816"/>
        <v>0</v>
      </c>
      <c r="S616" s="587">
        <f t="shared" ca="1" si="816"/>
        <v>0</v>
      </c>
      <c r="T616" s="587">
        <f t="shared" ca="1" si="816"/>
        <v>0</v>
      </c>
      <c r="U616" s="587">
        <f t="shared" ca="1" si="816"/>
        <v>0</v>
      </c>
      <c r="V616" s="587">
        <f t="shared" ca="1" si="816"/>
        <v>0</v>
      </c>
      <c r="W616" s="587">
        <f t="shared" ca="1" si="816"/>
        <v>0</v>
      </c>
      <c r="X616" s="587">
        <f t="shared" ca="1" si="816"/>
        <v>0</v>
      </c>
      <c r="Y616" s="587">
        <f t="shared" ca="1" si="816"/>
        <v>0</v>
      </c>
      <c r="Z616" s="587">
        <f t="shared" ca="1" si="816"/>
        <v>0</v>
      </c>
      <c r="AA616" s="587">
        <f t="shared" ca="1" si="816"/>
        <v>0</v>
      </c>
      <c r="AB616" s="587">
        <f t="shared" ca="1" si="816"/>
        <v>0</v>
      </c>
      <c r="AC616" s="587">
        <f t="shared" ca="1" si="816"/>
        <v>32729.960695962374</v>
      </c>
      <c r="AD616" s="587">
        <f t="shared" ca="1" si="816"/>
        <v>49148.503378906615</v>
      </c>
      <c r="AE616" s="587">
        <f t="shared" ca="1" si="816"/>
        <v>25844.699365904322</v>
      </c>
      <c r="AF616" s="587">
        <f t="shared" ca="1" si="816"/>
        <v>24743.588939428162</v>
      </c>
      <c r="AG616" s="587">
        <f t="shared" ca="1" si="816"/>
        <v>38178.488967868012</v>
      </c>
      <c r="AH616" s="587">
        <f t="shared" ca="1" si="816"/>
        <v>57146.820553014739</v>
      </c>
      <c r="AI616" s="587">
        <f t="shared" ca="1" si="816"/>
        <v>29959.698865758106</v>
      </c>
      <c r="AJ616" s="587">
        <f t="shared" ca="1" si="816"/>
        <v>28601.083311266379</v>
      </c>
      <c r="AK616" s="587">
        <f t="shared" ca="1" si="816"/>
        <v>44010.531564412573</v>
      </c>
      <c r="AL616" s="587">
        <f t="shared" ca="1" si="816"/>
        <v>65706.365495645281</v>
      </c>
      <c r="AM616" s="587">
        <f t="shared" ca="1" si="816"/>
        <v>34362.546806614766</v>
      </c>
      <c r="AN616" s="587">
        <f t="shared" ca="1" si="816"/>
        <v>33091.227351554669</v>
      </c>
      <c r="AO616" s="587">
        <f t="shared" ca="1" si="816"/>
        <v>50248.051986332073</v>
      </c>
      <c r="AP616" s="587">
        <f t="shared" ca="1" si="816"/>
        <v>73228.084369468794</v>
      </c>
      <c r="AQ616" s="587">
        <f t="shared" ca="1" si="816"/>
        <v>37403.367871717033</v>
      </c>
      <c r="AR616" s="587">
        <f t="shared" ref="AR616:BW616" ca="1" si="817">AR615*AVERAGE($E$568,$E$569)/1000*(Flag_Operations) * CPI_Accumulated_From_Date</f>
        <v>34812.130810346709</v>
      </c>
      <c r="AS616" s="587">
        <f t="shared" ca="1" si="817"/>
        <v>52257.974065785354</v>
      </c>
      <c r="AT616" s="587">
        <f t="shared" ca="1" si="817"/>
        <v>76157.207744247542</v>
      </c>
      <c r="AU616" s="587">
        <f t="shared" ca="1" si="817"/>
        <v>38899.50258658571</v>
      </c>
      <c r="AV616" s="587">
        <f t="shared" ca="1" si="817"/>
        <v>36204.616042760572</v>
      </c>
      <c r="AW616" s="587">
        <f t="shared" ca="1" si="817"/>
        <v>54348.29302841676</v>
      </c>
      <c r="AX616" s="587">
        <f t="shared" ca="1" si="817"/>
        <v>79203.496054017436</v>
      </c>
      <c r="AY616" s="587">
        <f t="shared" ca="1" si="817"/>
        <v>40455.482690049132</v>
      </c>
      <c r="AZ616" s="587">
        <f t="shared" ca="1" si="817"/>
        <v>37652.800684470989</v>
      </c>
      <c r="BA616" s="587">
        <f t="shared" ca="1" si="817"/>
        <v>56522.224749553417</v>
      </c>
      <c r="BB616" s="587">
        <f t="shared" ca="1" si="817"/>
        <v>82371.635896178108</v>
      </c>
      <c r="BC616" s="587">
        <f t="shared" ca="1" si="817"/>
        <v>42073.701997651086</v>
      </c>
      <c r="BD616" s="587">
        <f t="shared" ca="1" si="817"/>
        <v>39594.011741981478</v>
      </c>
      <c r="BE616" s="587">
        <f t="shared" ca="1" si="817"/>
        <v>58783.113739535554</v>
      </c>
      <c r="BF616" s="587">
        <f t="shared" ca="1" si="817"/>
        <v>85666.501332025233</v>
      </c>
      <c r="BG616" s="587">
        <f t="shared" ca="1" si="817"/>
        <v>43756.650077557118</v>
      </c>
      <c r="BH616" s="587">
        <f t="shared" ca="1" si="817"/>
        <v>40725.269220323804</v>
      </c>
      <c r="BI616" s="587">
        <f t="shared" ca="1" si="817"/>
        <v>61134.438289116959</v>
      </c>
      <c r="BJ616" s="587">
        <f t="shared" ca="1" si="817"/>
        <v>89093.16138530623</v>
      </c>
      <c r="BK616" s="587">
        <f t="shared" ca="1" si="817"/>
        <v>45506.916080659401</v>
      </c>
      <c r="BL616" s="587">
        <f t="shared" ca="1" si="817"/>
        <v>42354.279989136754</v>
      </c>
      <c r="BM616" s="587">
        <f t="shared" ca="1" si="817"/>
        <v>63579.81582068163</v>
      </c>
      <c r="BN616" s="587">
        <f t="shared" ca="1" si="817"/>
        <v>92656.887840718453</v>
      </c>
      <c r="BO616" s="587">
        <f t="shared" ca="1" si="817"/>
        <v>47327.192723885775</v>
      </c>
      <c r="BP616" s="587">
        <f t="shared" ca="1" si="817"/>
        <v>44048.451188702216</v>
      </c>
      <c r="BQ616" s="587">
        <f t="shared" ca="1" si="817"/>
        <v>66123.008453508883</v>
      </c>
      <c r="BR616" s="587">
        <f t="shared" ca="1" si="817"/>
        <v>96363.163354347183</v>
      </c>
      <c r="BS616" s="587">
        <f t="shared" ca="1" si="817"/>
        <v>49220.280432841195</v>
      </c>
      <c r="BT616" s="587">
        <f t="shared" ca="1" si="817"/>
        <v>46319.393561097517</v>
      </c>
      <c r="BU616" s="587">
        <f t="shared" ca="1" si="817"/>
        <v>68767.928791649232</v>
      </c>
      <c r="BV616" s="587">
        <f t="shared" ca="1" si="817"/>
        <v>100217.68988852105</v>
      </c>
      <c r="BW616" s="587">
        <f t="shared" ca="1" si="817"/>
        <v>51189.091650154827</v>
      </c>
      <c r="BX616" s="587">
        <f t="shared" ref="BX616:CO616" ca="1" si="818">BX615*AVERAGE($E$568,$E$569)/1000*(Flag_Operations) * CPI_Accumulated_From_Date</f>
        <v>47642.804805700303</v>
      </c>
      <c r="BY616" s="587">
        <f t="shared" ca="1" si="818"/>
        <v>71518.64594331519</v>
      </c>
      <c r="BZ616" s="587">
        <f t="shared" ca="1" si="818"/>
        <v>104226.39748406189</v>
      </c>
      <c r="CA616" s="587">
        <f t="shared" ca="1" si="818"/>
        <v>53236.655316161021</v>
      </c>
      <c r="CB616" s="587">
        <f t="shared" ca="1" si="818"/>
        <v>49548.516997928316</v>
      </c>
      <c r="CC616" s="587">
        <f t="shared" ca="1" si="818"/>
        <v>74379.391781047787</v>
      </c>
      <c r="CD616" s="587">
        <f t="shared" ca="1" si="818"/>
        <v>108395.45338342435</v>
      </c>
      <c r="CE616" s="587">
        <f t="shared" ca="1" si="818"/>
        <v>55366.12152880746</v>
      </c>
      <c r="CF616" s="587">
        <f t="shared" ca="1" si="818"/>
        <v>51530.457677845436</v>
      </c>
      <c r="CG616" s="587">
        <f t="shared" ca="1" si="818"/>
        <v>77354.567452289702</v>
      </c>
      <c r="CH616" s="587">
        <f t="shared" ca="1" si="818"/>
        <v>112731.27151876132</v>
      </c>
      <c r="CI616" s="587">
        <f t="shared" ca="1" si="818"/>
        <v>57580.766389959761</v>
      </c>
      <c r="CJ616" s="587">
        <f t="shared" ca="1" si="818"/>
        <v>54187.139051458798</v>
      </c>
      <c r="CK616" s="587">
        <f t="shared" ca="1" si="818"/>
        <v>80448.750150381282</v>
      </c>
      <c r="CL616" s="587">
        <f t="shared" ca="1" si="818"/>
        <v>117240.52237951176</v>
      </c>
      <c r="CM616" s="587">
        <f t="shared" ca="1" si="818"/>
        <v>59883.997045558142</v>
      </c>
      <c r="CN616" s="587">
        <f t="shared" ca="1" si="818"/>
        <v>55735.343024357622</v>
      </c>
      <c r="CO616" s="587">
        <f t="shared" ca="1" si="818"/>
        <v>83666.700156396531</v>
      </c>
    </row>
    <row r="617" spans="1:95">
      <c r="A617" s="233"/>
      <c r="B617" s="233"/>
      <c r="C617" s="17" t="s">
        <v>1483</v>
      </c>
      <c r="D617" s="69"/>
      <c r="E617" s="62"/>
      <c r="F617" s="70"/>
      <c r="G617" s="11"/>
      <c r="H617" s="69"/>
      <c r="I617" s="69"/>
      <c r="J617" s="69"/>
      <c r="K617" s="69"/>
      <c r="L617" s="587">
        <f>L612*$E$560</f>
        <v>0</v>
      </c>
      <c r="M617" s="587">
        <f t="shared" ref="M617:BX617" si="819">M612*$E$560</f>
        <v>0</v>
      </c>
      <c r="N617" s="587">
        <f t="shared" si="819"/>
        <v>0</v>
      </c>
      <c r="O617" s="587">
        <f t="shared" si="819"/>
        <v>0</v>
      </c>
      <c r="P617" s="587">
        <f t="shared" si="819"/>
        <v>0</v>
      </c>
      <c r="Q617" s="587">
        <f t="shared" si="819"/>
        <v>0</v>
      </c>
      <c r="R617" s="587">
        <f t="shared" si="819"/>
        <v>0</v>
      </c>
      <c r="S617" s="587">
        <f t="shared" si="819"/>
        <v>0</v>
      </c>
      <c r="T617" s="587">
        <f t="shared" si="819"/>
        <v>0</v>
      </c>
      <c r="U617" s="587">
        <f t="shared" si="819"/>
        <v>0</v>
      </c>
      <c r="V617" s="587">
        <f t="shared" si="819"/>
        <v>0</v>
      </c>
      <c r="W617" s="587">
        <f t="shared" si="819"/>
        <v>0</v>
      </c>
      <c r="X617" s="587">
        <f t="shared" si="819"/>
        <v>0</v>
      </c>
      <c r="Y617" s="587">
        <f t="shared" si="819"/>
        <v>0</v>
      </c>
      <c r="Z617" s="587">
        <f t="shared" si="819"/>
        <v>0</v>
      </c>
      <c r="AA617" s="587">
        <f t="shared" si="819"/>
        <v>0</v>
      </c>
      <c r="AB617" s="587">
        <f t="shared" si="819"/>
        <v>0</v>
      </c>
      <c r="AC617" s="587">
        <f t="shared" si="819"/>
        <v>1961.2837514523676</v>
      </c>
      <c r="AD617" s="587">
        <f t="shared" si="819"/>
        <v>2916.3987903732536</v>
      </c>
      <c r="AE617" s="587">
        <f t="shared" si="819"/>
        <v>1518.62226044876</v>
      </c>
      <c r="AF617" s="587">
        <f t="shared" si="819"/>
        <v>1439.7352381098294</v>
      </c>
      <c r="AG617" s="587">
        <f t="shared" si="819"/>
        <v>2199.7855409808344</v>
      </c>
      <c r="AH617" s="587">
        <f t="shared" si="819"/>
        <v>3260.5836408770911</v>
      </c>
      <c r="AI617" s="587">
        <f t="shared" si="819"/>
        <v>1692.7093045618851</v>
      </c>
      <c r="AJ617" s="587">
        <f t="shared" si="819"/>
        <v>1600.1809130681872</v>
      </c>
      <c r="AK617" s="587">
        <f t="shared" si="819"/>
        <v>2438.2873305093017</v>
      </c>
      <c r="AL617" s="587">
        <f t="shared" si="819"/>
        <v>3604.7684913809298</v>
      </c>
      <c r="AM617" s="587">
        <f t="shared" si="819"/>
        <v>1866.7963486750109</v>
      </c>
      <c r="AN617" s="587">
        <f t="shared" si="819"/>
        <v>1780.1891056712846</v>
      </c>
      <c r="AO617" s="587">
        <f t="shared" si="819"/>
        <v>2676.789120037768</v>
      </c>
      <c r="AP617" s="587">
        <f t="shared" si="819"/>
        <v>3862.9071292588069</v>
      </c>
      <c r="AQ617" s="587">
        <f t="shared" si="819"/>
        <v>1953.8398707315728</v>
      </c>
      <c r="AR617" s="587">
        <f t="shared" si="819"/>
        <v>1800.738006766134</v>
      </c>
      <c r="AS617" s="587">
        <f t="shared" si="819"/>
        <v>2676.789120037768</v>
      </c>
      <c r="AT617" s="587">
        <f t="shared" si="819"/>
        <v>3862.9071292588069</v>
      </c>
      <c r="AU617" s="587">
        <f t="shared" si="819"/>
        <v>1953.8398707315728</v>
      </c>
      <c r="AV617" s="587">
        <f t="shared" si="819"/>
        <v>1800.738006766134</v>
      </c>
      <c r="AW617" s="587">
        <f t="shared" si="819"/>
        <v>2676.789120037768</v>
      </c>
      <c r="AX617" s="587">
        <f t="shared" si="819"/>
        <v>3862.9071292588069</v>
      </c>
      <c r="AY617" s="587">
        <f t="shared" si="819"/>
        <v>1953.8398707315728</v>
      </c>
      <c r="AZ617" s="587">
        <f t="shared" si="819"/>
        <v>1800.738006766134</v>
      </c>
      <c r="BA617" s="587">
        <f t="shared" si="819"/>
        <v>2676.789120037768</v>
      </c>
      <c r="BB617" s="587">
        <f t="shared" si="819"/>
        <v>3862.9071292588069</v>
      </c>
      <c r="BC617" s="587">
        <f t="shared" si="819"/>
        <v>1953.8398707315728</v>
      </c>
      <c r="BD617" s="587">
        <f t="shared" si="819"/>
        <v>1820.7462068413131</v>
      </c>
      <c r="BE617" s="587">
        <f t="shared" si="819"/>
        <v>2676.789120037768</v>
      </c>
      <c r="BF617" s="587">
        <f t="shared" si="819"/>
        <v>3862.9071292588069</v>
      </c>
      <c r="BG617" s="587">
        <f t="shared" si="819"/>
        <v>1953.8398707315728</v>
      </c>
      <c r="BH617" s="587">
        <f t="shared" si="819"/>
        <v>1800.738006766134</v>
      </c>
      <c r="BI617" s="587">
        <f t="shared" si="819"/>
        <v>2676.789120037768</v>
      </c>
      <c r="BJ617" s="587">
        <f t="shared" si="819"/>
        <v>3862.9071292588069</v>
      </c>
      <c r="BK617" s="587">
        <f t="shared" si="819"/>
        <v>1953.8398707315728</v>
      </c>
      <c r="BL617" s="587">
        <f t="shared" si="819"/>
        <v>1800.738006766134</v>
      </c>
      <c r="BM617" s="587">
        <f t="shared" si="819"/>
        <v>2676.789120037768</v>
      </c>
      <c r="BN617" s="587">
        <f t="shared" si="819"/>
        <v>3862.9071292588069</v>
      </c>
      <c r="BO617" s="587">
        <f t="shared" si="819"/>
        <v>1953.8398707315728</v>
      </c>
      <c r="BP617" s="587">
        <f t="shared" si="819"/>
        <v>1800.738006766134</v>
      </c>
      <c r="BQ617" s="587">
        <f t="shared" si="819"/>
        <v>2676.789120037768</v>
      </c>
      <c r="BR617" s="587">
        <f t="shared" si="819"/>
        <v>3862.9071292588069</v>
      </c>
      <c r="BS617" s="587">
        <f t="shared" si="819"/>
        <v>1953.8398707315728</v>
      </c>
      <c r="BT617" s="587">
        <f t="shared" si="819"/>
        <v>1820.7462068413131</v>
      </c>
      <c r="BU617" s="587">
        <f t="shared" si="819"/>
        <v>2676.789120037768</v>
      </c>
      <c r="BV617" s="587">
        <f t="shared" si="819"/>
        <v>3862.9071292588069</v>
      </c>
      <c r="BW617" s="587">
        <f t="shared" si="819"/>
        <v>1953.8398707315728</v>
      </c>
      <c r="BX617" s="587">
        <f t="shared" si="819"/>
        <v>1800.738006766134</v>
      </c>
      <c r="BY617" s="587">
        <f t="shared" ref="BY617:CO617" si="820">BY612*$E$560</f>
        <v>2676.789120037768</v>
      </c>
      <c r="BZ617" s="587">
        <f t="shared" si="820"/>
        <v>3862.9071292588069</v>
      </c>
      <c r="CA617" s="587">
        <f t="shared" si="820"/>
        <v>1953.8398707315728</v>
      </c>
      <c r="CB617" s="587">
        <f t="shared" si="820"/>
        <v>1800.738006766134</v>
      </c>
      <c r="CC617" s="587">
        <f t="shared" si="820"/>
        <v>2676.789120037768</v>
      </c>
      <c r="CD617" s="587">
        <f t="shared" si="820"/>
        <v>3862.9071292588069</v>
      </c>
      <c r="CE617" s="587">
        <f t="shared" si="820"/>
        <v>1953.8398707315728</v>
      </c>
      <c r="CF617" s="587">
        <f t="shared" si="820"/>
        <v>1800.738006766134</v>
      </c>
      <c r="CG617" s="587">
        <f t="shared" si="820"/>
        <v>2676.789120037768</v>
      </c>
      <c r="CH617" s="587">
        <f t="shared" si="820"/>
        <v>3862.9071292588069</v>
      </c>
      <c r="CI617" s="587">
        <f t="shared" si="820"/>
        <v>1953.8398707315728</v>
      </c>
      <c r="CJ617" s="587">
        <f t="shared" si="820"/>
        <v>1820.7462068413131</v>
      </c>
      <c r="CK617" s="587">
        <f t="shared" si="820"/>
        <v>2676.789120037768</v>
      </c>
      <c r="CL617" s="587">
        <f t="shared" si="820"/>
        <v>3862.9071292588069</v>
      </c>
      <c r="CM617" s="587">
        <f t="shared" si="820"/>
        <v>1953.8398707315728</v>
      </c>
      <c r="CN617" s="587">
        <f t="shared" si="820"/>
        <v>1800.738006766134</v>
      </c>
      <c r="CO617" s="587">
        <f t="shared" si="820"/>
        <v>2676.789120037768</v>
      </c>
    </row>
    <row r="618" spans="1:95" ht="15.75" thickBot="1">
      <c r="C618" s="169" t="s">
        <v>686</v>
      </c>
      <c r="D618" s="133"/>
      <c r="E618" s="240"/>
      <c r="G618" s="207" t="s">
        <v>28</v>
      </c>
      <c r="L618" s="586">
        <f t="shared" ref="L618:AQ618" ca="1" si="821">L617*$E$570/1000*(Flag_Operations) * CPI_Accumulated_From_Date</f>
        <v>0</v>
      </c>
      <c r="M618" s="586">
        <f t="shared" ca="1" si="821"/>
        <v>0</v>
      </c>
      <c r="N618" s="586">
        <f t="shared" ca="1" si="821"/>
        <v>0</v>
      </c>
      <c r="O618" s="586">
        <f t="shared" ca="1" si="821"/>
        <v>0</v>
      </c>
      <c r="P618" s="586">
        <f t="shared" ca="1" si="821"/>
        <v>0</v>
      </c>
      <c r="Q618" s="586">
        <f t="shared" ca="1" si="821"/>
        <v>0</v>
      </c>
      <c r="R618" s="586">
        <f t="shared" ca="1" si="821"/>
        <v>0</v>
      </c>
      <c r="S618" s="586">
        <f t="shared" ca="1" si="821"/>
        <v>0</v>
      </c>
      <c r="T618" s="586">
        <f t="shared" ca="1" si="821"/>
        <v>0</v>
      </c>
      <c r="U618" s="586">
        <f t="shared" ca="1" si="821"/>
        <v>0</v>
      </c>
      <c r="V618" s="586">
        <f t="shared" ca="1" si="821"/>
        <v>0</v>
      </c>
      <c r="W618" s="586">
        <f t="shared" ca="1" si="821"/>
        <v>0</v>
      </c>
      <c r="X618" s="586">
        <f t="shared" ca="1" si="821"/>
        <v>0</v>
      </c>
      <c r="Y618" s="586">
        <f t="shared" ca="1" si="821"/>
        <v>0</v>
      </c>
      <c r="Z618" s="586">
        <f t="shared" ca="1" si="821"/>
        <v>0</v>
      </c>
      <c r="AA618" s="586">
        <f t="shared" ca="1" si="821"/>
        <v>0</v>
      </c>
      <c r="AB618" s="586">
        <f t="shared" ca="1" si="821"/>
        <v>0</v>
      </c>
      <c r="AC618" s="586">
        <f t="shared" ca="1" si="821"/>
        <v>2856.4329334658073</v>
      </c>
      <c r="AD618" s="586">
        <f t="shared" ca="1" si="821"/>
        <v>4289.3239312500318</v>
      </c>
      <c r="AE618" s="586">
        <f t="shared" ca="1" si="821"/>
        <v>2255.537399206195</v>
      </c>
      <c r="AF618" s="586">
        <f t="shared" ca="1" si="821"/>
        <v>2159.4404892591847</v>
      </c>
      <c r="AG618" s="586">
        <f t="shared" ca="1" si="821"/>
        <v>3331.940855377572</v>
      </c>
      <c r="AH618" s="586">
        <f t="shared" ca="1" si="821"/>
        <v>4987.3588846267403</v>
      </c>
      <c r="AI618" s="586">
        <f t="shared" ca="1" si="821"/>
        <v>2614.664628284344</v>
      </c>
      <c r="AJ618" s="586">
        <f t="shared" ca="1" si="821"/>
        <v>2496.0945435287022</v>
      </c>
      <c r="AK618" s="586">
        <f t="shared" ca="1" si="821"/>
        <v>3840.9191183487328</v>
      </c>
      <c r="AL618" s="586">
        <f t="shared" ca="1" si="821"/>
        <v>5734.3737159835864</v>
      </c>
      <c r="AM618" s="586">
        <f t="shared" ca="1" si="821"/>
        <v>2998.9131758500157</v>
      </c>
      <c r="AN618" s="586">
        <f t="shared" ca="1" si="821"/>
        <v>2887.9616597720442</v>
      </c>
      <c r="AO618" s="586">
        <f t="shared" ca="1" si="821"/>
        <v>4385.284536988981</v>
      </c>
      <c r="AP618" s="586">
        <f t="shared" ca="1" si="821"/>
        <v>6390.8146358809126</v>
      </c>
      <c r="AQ618" s="586">
        <f t="shared" ca="1" si="821"/>
        <v>3264.29392334985</v>
      </c>
      <c r="AR618" s="586">
        <f t="shared" ref="AR618:BW618" ca="1" si="822">AR617*$E$570/1000*(Flag_Operations) * CPI_Accumulated_From_Date</f>
        <v>3038.1495979938941</v>
      </c>
      <c r="AS618" s="586">
        <f t="shared" ca="1" si="822"/>
        <v>4560.6959184685402</v>
      </c>
      <c r="AT618" s="586">
        <f t="shared" ca="1" si="822"/>
        <v>6646.4472213161489</v>
      </c>
      <c r="AU618" s="586">
        <f t="shared" ca="1" si="822"/>
        <v>3394.8656802838436</v>
      </c>
      <c r="AV618" s="586">
        <f t="shared" ca="1" si="822"/>
        <v>3159.6755819136497</v>
      </c>
      <c r="AW618" s="586">
        <f t="shared" ca="1" si="822"/>
        <v>4743.1237552072807</v>
      </c>
      <c r="AX618" s="586">
        <f t="shared" ca="1" si="822"/>
        <v>6912.3051101687943</v>
      </c>
      <c r="AY618" s="586">
        <f t="shared" ca="1" si="822"/>
        <v>3530.6603074951968</v>
      </c>
      <c r="AZ618" s="586">
        <f t="shared" ca="1" si="822"/>
        <v>3286.062605190195</v>
      </c>
      <c r="BA618" s="586">
        <f t="shared" ca="1" si="822"/>
        <v>4932.8487054155712</v>
      </c>
      <c r="BB618" s="586">
        <f t="shared" ca="1" si="822"/>
        <v>7188.7973145755441</v>
      </c>
      <c r="BC618" s="586">
        <f t="shared" ca="1" si="822"/>
        <v>3671.886719795004</v>
      </c>
      <c r="BD618" s="586">
        <f t="shared" ca="1" si="822"/>
        <v>3455.4773883911116</v>
      </c>
      <c r="BE618" s="586">
        <f t="shared" ca="1" si="822"/>
        <v>5130.1626536321937</v>
      </c>
      <c r="BF618" s="586">
        <f t="shared" ca="1" si="822"/>
        <v>7476.3492071585652</v>
      </c>
      <c r="BG618" s="586">
        <f t="shared" ca="1" si="822"/>
        <v>3818.7621885868034</v>
      </c>
      <c r="BH618" s="586">
        <f t="shared" ca="1" si="822"/>
        <v>3554.2053137737139</v>
      </c>
      <c r="BI618" s="586">
        <f t="shared" ca="1" si="822"/>
        <v>5335.3691597774805</v>
      </c>
      <c r="BJ618" s="586">
        <f t="shared" ca="1" si="822"/>
        <v>7775.403175444907</v>
      </c>
      <c r="BK618" s="586">
        <f t="shared" ca="1" si="822"/>
        <v>3971.5126761302749</v>
      </c>
      <c r="BL618" s="586">
        <f t="shared" ca="1" si="822"/>
        <v>3696.3735263246622</v>
      </c>
      <c r="BM618" s="586">
        <f t="shared" ca="1" si="822"/>
        <v>5548.7839261685785</v>
      </c>
      <c r="BN618" s="586">
        <f t="shared" ca="1" si="822"/>
        <v>8086.4193024627011</v>
      </c>
      <c r="BO618" s="586">
        <f t="shared" ca="1" si="822"/>
        <v>4130.3731831754858</v>
      </c>
      <c r="BP618" s="586">
        <f t="shared" ca="1" si="822"/>
        <v>3844.228467377648</v>
      </c>
      <c r="BQ618" s="586">
        <f t="shared" ca="1" si="822"/>
        <v>5770.735283215321</v>
      </c>
      <c r="BR618" s="586">
        <f t="shared" ca="1" si="822"/>
        <v>8409.876074561209</v>
      </c>
      <c r="BS618" s="586">
        <f t="shared" ca="1" si="822"/>
        <v>4295.5881105025037</v>
      </c>
      <c r="BT618" s="586">
        <f t="shared" ca="1" si="822"/>
        <v>4042.4198016957835</v>
      </c>
      <c r="BU618" s="586">
        <f t="shared" ca="1" si="822"/>
        <v>6001.5646945439321</v>
      </c>
      <c r="BV618" s="586">
        <f t="shared" ca="1" si="822"/>
        <v>8746.2711175436543</v>
      </c>
      <c r="BW618" s="586">
        <f t="shared" ca="1" si="822"/>
        <v>4467.4116349226033</v>
      </c>
      <c r="BX618" s="586">
        <f t="shared" ref="BX618:CO618" ca="1" si="823">BX617*$E$570/1000*(Flag_Operations) * CPI_Accumulated_From_Date</f>
        <v>4157.9175103156622</v>
      </c>
      <c r="BY618" s="586">
        <f t="shared" ca="1" si="823"/>
        <v>6241.6272823256895</v>
      </c>
      <c r="BZ618" s="586">
        <f t="shared" ca="1" si="823"/>
        <v>9096.1219622454009</v>
      </c>
      <c r="CA618" s="586">
        <f t="shared" ca="1" si="823"/>
        <v>4646.1081003195068</v>
      </c>
      <c r="CB618" s="586">
        <f t="shared" ca="1" si="823"/>
        <v>4324.2342107282884</v>
      </c>
      <c r="CC618" s="586">
        <f t="shared" ca="1" si="823"/>
        <v>6491.2923736187158</v>
      </c>
      <c r="CD618" s="586">
        <f t="shared" ca="1" si="823"/>
        <v>9459.9668407352165</v>
      </c>
      <c r="CE618" s="586">
        <f t="shared" ca="1" si="823"/>
        <v>4831.9524243322867</v>
      </c>
      <c r="CF618" s="586">
        <f t="shared" ca="1" si="823"/>
        <v>4497.2035791574199</v>
      </c>
      <c r="CG618" s="586">
        <f t="shared" ca="1" si="823"/>
        <v>6750.9440685634645</v>
      </c>
      <c r="CH618" s="586">
        <f t="shared" ca="1" si="823"/>
        <v>9838.3655143646247</v>
      </c>
      <c r="CI618" s="586">
        <f t="shared" ca="1" si="823"/>
        <v>5025.2305213055788</v>
      </c>
      <c r="CJ618" s="586">
        <f t="shared" ca="1" si="823"/>
        <v>4729.0594081273139</v>
      </c>
      <c r="CK618" s="586">
        <f t="shared" ca="1" si="823"/>
        <v>7020.9818313060032</v>
      </c>
      <c r="CL618" s="586">
        <f t="shared" ca="1" si="823"/>
        <v>10231.900134939207</v>
      </c>
      <c r="CM618" s="586">
        <f t="shared" ca="1" si="823"/>
        <v>5226.2397421578007</v>
      </c>
      <c r="CN618" s="586">
        <f t="shared" ca="1" si="823"/>
        <v>4864.175391216665</v>
      </c>
      <c r="CO618" s="586">
        <f t="shared" ca="1" si="823"/>
        <v>7301.821104558242</v>
      </c>
    </row>
    <row r="619" spans="1:95" ht="15.75" thickTop="1">
      <c r="A619" s="233"/>
      <c r="B619" s="101"/>
      <c r="C619" s="49" t="s">
        <v>692</v>
      </c>
      <c r="D619" s="49"/>
      <c r="E619" s="136"/>
      <c r="F619" s="49"/>
      <c r="G619" s="159" t="str">
        <f>Monetary_Unit</f>
        <v>тыс. руб.</v>
      </c>
      <c r="H619" s="49"/>
      <c r="I619" s="23">
        <f ca="1">SUM(L619:CO619)</f>
        <v>7591098.5294688223</v>
      </c>
      <c r="J619" s="49"/>
      <c r="K619" s="49"/>
      <c r="L619" s="49">
        <f t="shared" ref="L619:AB619" ca="1" si="824">L614+L616+L618</f>
        <v>0</v>
      </c>
      <c r="M619" s="49">
        <f t="shared" ca="1" si="824"/>
        <v>0</v>
      </c>
      <c r="N619" s="49">
        <f t="shared" ca="1" si="824"/>
        <v>0</v>
      </c>
      <c r="O619" s="49">
        <f t="shared" ca="1" si="824"/>
        <v>0</v>
      </c>
      <c r="P619" s="49">
        <f t="shared" ca="1" si="824"/>
        <v>0</v>
      </c>
      <c r="Q619" s="49">
        <f t="shared" ca="1" si="824"/>
        <v>0</v>
      </c>
      <c r="R619" s="49">
        <f t="shared" ca="1" si="824"/>
        <v>0</v>
      </c>
      <c r="S619" s="49">
        <f t="shared" ca="1" si="824"/>
        <v>0</v>
      </c>
      <c r="T619" s="49">
        <f t="shared" ca="1" si="824"/>
        <v>0</v>
      </c>
      <c r="U619" s="49">
        <f t="shared" ca="1" si="824"/>
        <v>0</v>
      </c>
      <c r="V619" s="49">
        <f t="shared" ca="1" si="824"/>
        <v>0</v>
      </c>
      <c r="W619" s="49">
        <f t="shared" ca="1" si="824"/>
        <v>0</v>
      </c>
      <c r="X619" s="49">
        <f t="shared" ca="1" si="824"/>
        <v>0</v>
      </c>
      <c r="Y619" s="49">
        <f t="shared" ca="1" si="824"/>
        <v>0</v>
      </c>
      <c r="Z619" s="49">
        <f t="shared" ca="1" si="824"/>
        <v>0</v>
      </c>
      <c r="AA619" s="49">
        <f t="shared" ca="1" si="824"/>
        <v>0</v>
      </c>
      <c r="AB619" s="49">
        <f t="shared" ca="1" si="824"/>
        <v>0</v>
      </c>
      <c r="AC619" s="49">
        <f ca="1">AC614+AC616+AC618</f>
        <v>65340.903353030342</v>
      </c>
      <c r="AD619" s="49">
        <f t="shared" ref="AD619:CO619" ca="1" si="825">AD614+AD616+AD618</f>
        <v>98118.284927344488</v>
      </c>
      <c r="AE619" s="49">
        <f t="shared" ca="1" si="825"/>
        <v>51595.418006841712</v>
      </c>
      <c r="AF619" s="49">
        <f t="shared" ca="1" si="825"/>
        <v>49397.201191803855</v>
      </c>
      <c r="AG619" s="49">
        <f t="shared" ca="1" si="825"/>
        <v>76218.147066761958</v>
      </c>
      <c r="AH619" s="49">
        <f t="shared" ca="1" si="825"/>
        <v>114085.83448583669</v>
      </c>
      <c r="AI619" s="49">
        <f t="shared" ca="1" si="825"/>
        <v>59810.453372004369</v>
      </c>
      <c r="AJ619" s="49">
        <f t="shared" ca="1" si="825"/>
        <v>57098.16268321906</v>
      </c>
      <c r="AK619" s="49">
        <f t="shared" ca="1" si="825"/>
        <v>87861.024832227282</v>
      </c>
      <c r="AL619" s="49">
        <f t="shared" ca="1" si="825"/>
        <v>131173.79875312457</v>
      </c>
      <c r="AM619" s="49">
        <f t="shared" ca="1" si="825"/>
        <v>68600.138897569108</v>
      </c>
      <c r="AN619" s="49">
        <f t="shared" ca="1" si="825"/>
        <v>66062.122967285497</v>
      </c>
      <c r="AO619" s="49">
        <f t="shared" ca="1" si="825"/>
        <v>100313.38378362294</v>
      </c>
      <c r="AP619" s="49">
        <f t="shared" ca="1" si="825"/>
        <v>146189.88479577587</v>
      </c>
      <c r="AQ619" s="49">
        <f t="shared" ca="1" si="825"/>
        <v>74670.723496627819</v>
      </c>
      <c r="AR619" s="49">
        <f t="shared" ca="1" si="825"/>
        <v>69497.672054110328</v>
      </c>
      <c r="AS619" s="49">
        <f t="shared" ca="1" si="825"/>
        <v>104325.91913496786</v>
      </c>
      <c r="AT619" s="49">
        <f t="shared" ca="1" si="825"/>
        <v>152037.48018760691</v>
      </c>
      <c r="AU619" s="49">
        <f t="shared" ca="1" si="825"/>
        <v>77657.552436492915</v>
      </c>
      <c r="AV619" s="49">
        <f t="shared" ca="1" si="825"/>
        <v>72277.578936274731</v>
      </c>
      <c r="AW619" s="49">
        <f t="shared" ca="1" si="825"/>
        <v>108498.95590036655</v>
      </c>
      <c r="AX619" s="49">
        <f t="shared" ca="1" si="825"/>
        <v>158118.97939511118</v>
      </c>
      <c r="AY619" s="49">
        <f t="shared" ca="1" si="825"/>
        <v>80763.854533952617</v>
      </c>
      <c r="AZ619" s="49">
        <f t="shared" ca="1" si="825"/>
        <v>75168.682093725714</v>
      </c>
      <c r="BA619" s="49">
        <f t="shared" ca="1" si="825"/>
        <v>112838.91413638118</v>
      </c>
      <c r="BB619" s="49">
        <f t="shared" ca="1" si="825"/>
        <v>164443.73857091556</v>
      </c>
      <c r="BC619" s="49">
        <f t="shared" ca="1" si="825"/>
        <v>83994.408715310696</v>
      </c>
      <c r="BD619" s="49">
        <f t="shared" ca="1" si="825"/>
        <v>79044.045259446662</v>
      </c>
      <c r="BE619" s="49">
        <f t="shared" ca="1" si="825"/>
        <v>117352.47070183643</v>
      </c>
      <c r="BF619" s="49">
        <f t="shared" ca="1" si="825"/>
        <v>171021.48811375219</v>
      </c>
      <c r="BG619" s="49">
        <f t="shared" ca="1" si="825"/>
        <v>87354.185063923112</v>
      </c>
      <c r="BH619" s="49">
        <f t="shared" ca="1" si="825"/>
        <v>81302.446552573703</v>
      </c>
      <c r="BI619" s="49">
        <f t="shared" ca="1" si="825"/>
        <v>122046.56952990984</v>
      </c>
      <c r="BJ619" s="49">
        <f t="shared" ca="1" si="825"/>
        <v>177862.34763830222</v>
      </c>
      <c r="BK619" s="49">
        <f t="shared" ca="1" si="825"/>
        <v>90848.35246648005</v>
      </c>
      <c r="BL619" s="49">
        <f t="shared" ca="1" si="825"/>
        <v>84554.544414676639</v>
      </c>
      <c r="BM619" s="49">
        <f t="shared" ca="1" si="825"/>
        <v>126928.43231110624</v>
      </c>
      <c r="BN619" s="49">
        <f t="shared" ca="1" si="825"/>
        <v>184976.84154383428</v>
      </c>
      <c r="BO619" s="49">
        <f t="shared" ca="1" si="825"/>
        <v>94482.28656513922</v>
      </c>
      <c r="BP619" s="49">
        <f t="shared" ca="1" si="825"/>
        <v>87936.72619126369</v>
      </c>
      <c r="BQ619" s="49">
        <f t="shared" ca="1" si="825"/>
        <v>132005.56960355045</v>
      </c>
      <c r="BR619" s="49">
        <f t="shared" ca="1" si="825"/>
        <v>192375.91520558763</v>
      </c>
      <c r="BS619" s="49">
        <f t="shared" ca="1" si="825"/>
        <v>98261.578027744778</v>
      </c>
      <c r="BT619" s="49">
        <f t="shared" ca="1" si="825"/>
        <v>92470.35296379104</v>
      </c>
      <c r="BU619" s="49">
        <f t="shared" ca="1" si="825"/>
        <v>137285.79238769246</v>
      </c>
      <c r="BV619" s="49">
        <f t="shared" ca="1" si="825"/>
        <v>200070.95181381112</v>
      </c>
      <c r="BW619" s="49">
        <f t="shared" ca="1" si="825"/>
        <v>102192.04114885454</v>
      </c>
      <c r="BX619" s="49">
        <f t="shared" ca="1" si="825"/>
        <v>95112.363048470783</v>
      </c>
      <c r="BY619" s="49">
        <f t="shared" ca="1" si="825"/>
        <v>142777.22408320016</v>
      </c>
      <c r="BZ619" s="49">
        <f t="shared" ca="1" si="825"/>
        <v>208073.78988636355</v>
      </c>
      <c r="CA619" s="49">
        <f t="shared" ca="1" si="825"/>
        <v>106279.72279480871</v>
      </c>
      <c r="CB619" s="49">
        <f t="shared" ca="1" si="825"/>
        <v>98916.857570409615</v>
      </c>
      <c r="CC619" s="49">
        <f t="shared" ca="1" si="825"/>
        <v>148488.31304652811</v>
      </c>
      <c r="CD619" s="49">
        <f t="shared" ca="1" si="825"/>
        <v>216396.74148181808</v>
      </c>
      <c r="CE619" s="49">
        <f t="shared" ca="1" si="825"/>
        <v>110530.91170660105</v>
      </c>
      <c r="CF619" s="49">
        <f t="shared" ca="1" si="825"/>
        <v>102873.53187322596</v>
      </c>
      <c r="CG619" s="49">
        <f t="shared" ca="1" si="825"/>
        <v>154427.84556838925</v>
      </c>
      <c r="CH619" s="49">
        <f t="shared" ca="1" si="825"/>
        <v>225052.61114109075</v>
      </c>
      <c r="CI619" s="49">
        <f t="shared" ca="1" si="825"/>
        <v>114952.14817486511</v>
      </c>
      <c r="CJ619" s="49">
        <f t="shared" ca="1" si="825"/>
        <v>108177.23396091229</v>
      </c>
      <c r="CK619" s="49">
        <f t="shared" ca="1" si="825"/>
        <v>160604.95939112481</v>
      </c>
      <c r="CL619" s="49">
        <f t="shared" ca="1" si="825"/>
        <v>234054.71558673438</v>
      </c>
      <c r="CM619" s="49">
        <f t="shared" ca="1" si="825"/>
        <v>119550.23410185969</v>
      </c>
      <c r="CN619" s="49">
        <f t="shared" ca="1" si="825"/>
        <v>111268.01207408121</v>
      </c>
      <c r="CO619" s="49">
        <f t="shared" ca="1" si="825"/>
        <v>167029.15776676979</v>
      </c>
    </row>
    <row r="620" spans="1:95">
      <c r="A620" s="233"/>
      <c r="B620" s="233"/>
      <c r="C620" s="17" t="s">
        <v>1149</v>
      </c>
      <c r="D620" s="69"/>
      <c r="E620" s="62"/>
      <c r="F620" s="70"/>
      <c r="G620" s="11"/>
      <c r="H620" s="69"/>
      <c r="I620" s="23">
        <f ca="1">SUM(L620:CO620)</f>
        <v>691356.87882229697</v>
      </c>
      <c r="J620" s="69"/>
      <c r="K620" s="69"/>
      <c r="L620" s="10">
        <f t="shared" ref="L620:AB620" ca="1" si="826">L614*20%</f>
        <v>0</v>
      </c>
      <c r="M620" s="10">
        <f t="shared" ca="1" si="826"/>
        <v>0</v>
      </c>
      <c r="N620" s="10">
        <f t="shared" ca="1" si="826"/>
        <v>0</v>
      </c>
      <c r="O620" s="10">
        <f t="shared" ca="1" si="826"/>
        <v>0</v>
      </c>
      <c r="P620" s="10">
        <f t="shared" ca="1" si="826"/>
        <v>0</v>
      </c>
      <c r="Q620" s="10">
        <f t="shared" ca="1" si="826"/>
        <v>0</v>
      </c>
      <c r="R620" s="10">
        <f t="shared" ca="1" si="826"/>
        <v>0</v>
      </c>
      <c r="S620" s="10">
        <f t="shared" ca="1" si="826"/>
        <v>0</v>
      </c>
      <c r="T620" s="10">
        <f t="shared" ca="1" si="826"/>
        <v>0</v>
      </c>
      <c r="U620" s="10">
        <f t="shared" ca="1" si="826"/>
        <v>0</v>
      </c>
      <c r="V620" s="10">
        <f t="shared" ca="1" si="826"/>
        <v>0</v>
      </c>
      <c r="W620" s="10">
        <f t="shared" ca="1" si="826"/>
        <v>0</v>
      </c>
      <c r="X620" s="10">
        <f t="shared" ca="1" si="826"/>
        <v>0</v>
      </c>
      <c r="Y620" s="10">
        <f t="shared" ca="1" si="826"/>
        <v>0</v>
      </c>
      <c r="Z620" s="10">
        <f t="shared" ca="1" si="826"/>
        <v>0</v>
      </c>
      <c r="AA620" s="10">
        <f t="shared" ca="1" si="826"/>
        <v>0</v>
      </c>
      <c r="AB620" s="10">
        <f t="shared" ca="1" si="826"/>
        <v>0</v>
      </c>
      <c r="AC620" s="10">
        <f ca="1">AC614*20%</f>
        <v>5950.9019447204319</v>
      </c>
      <c r="AD620" s="10">
        <f t="shared" ref="AD620:CO620" ca="1" si="827">AD614*20%</f>
        <v>8936.0915234375661</v>
      </c>
      <c r="AE620" s="10">
        <f t="shared" ca="1" si="827"/>
        <v>4699.0362483462395</v>
      </c>
      <c r="AF620" s="10">
        <f t="shared" ca="1" si="827"/>
        <v>4498.834352623302</v>
      </c>
      <c r="AG620" s="10">
        <f t="shared" ca="1" si="827"/>
        <v>6941.5434487032762</v>
      </c>
      <c r="AH620" s="10">
        <f t="shared" ca="1" si="827"/>
        <v>10390.331009639043</v>
      </c>
      <c r="AI620" s="10">
        <f t="shared" ca="1" si="827"/>
        <v>5447.2179755923835</v>
      </c>
      <c r="AJ620" s="10">
        <f t="shared" ca="1" si="827"/>
        <v>5200.1969656847969</v>
      </c>
      <c r="AK620" s="10">
        <f t="shared" ca="1" si="827"/>
        <v>8001.914829893195</v>
      </c>
      <c r="AL620" s="10">
        <f t="shared" ca="1" si="827"/>
        <v>11946.611908299141</v>
      </c>
      <c r="AM620" s="10">
        <f t="shared" ca="1" si="827"/>
        <v>6247.7357830208657</v>
      </c>
      <c r="AN620" s="10">
        <f t="shared" ca="1" si="827"/>
        <v>6016.5867911917576</v>
      </c>
      <c r="AO620" s="10">
        <f t="shared" ca="1" si="827"/>
        <v>9136.0094520603761</v>
      </c>
      <c r="AP620" s="10">
        <f t="shared" ca="1" si="827"/>
        <v>13314.197158085235</v>
      </c>
      <c r="AQ620" s="10">
        <f t="shared" ca="1" si="827"/>
        <v>6800.6123403121865</v>
      </c>
      <c r="AR620" s="10">
        <f t="shared" ca="1" si="827"/>
        <v>6329.4783291539461</v>
      </c>
      <c r="AS620" s="10">
        <f t="shared" ca="1" si="827"/>
        <v>9501.4498301427921</v>
      </c>
      <c r="AT620" s="10">
        <f t="shared" ca="1" si="827"/>
        <v>13846.765044408645</v>
      </c>
      <c r="AU620" s="10">
        <f t="shared" ca="1" si="827"/>
        <v>7072.6368339246737</v>
      </c>
      <c r="AV620" s="10">
        <f t="shared" ca="1" si="827"/>
        <v>6582.6574623201031</v>
      </c>
      <c r="AW620" s="10">
        <f t="shared" ca="1" si="827"/>
        <v>9881.5078233485019</v>
      </c>
      <c r="AX620" s="10">
        <f t="shared" ca="1" si="827"/>
        <v>14400.635646184988</v>
      </c>
      <c r="AY620" s="10">
        <f t="shared" ca="1" si="827"/>
        <v>7355.5423072816593</v>
      </c>
      <c r="AZ620" s="10">
        <f t="shared" ca="1" si="827"/>
        <v>6845.9637608129069</v>
      </c>
      <c r="BA620" s="10">
        <f t="shared" ca="1" si="827"/>
        <v>10276.768136282439</v>
      </c>
      <c r="BB620" s="10">
        <f t="shared" ca="1" si="827"/>
        <v>14976.661072032384</v>
      </c>
      <c r="BC620" s="10">
        <f t="shared" ca="1" si="827"/>
        <v>7649.7639995729223</v>
      </c>
      <c r="BD620" s="10">
        <f t="shared" ca="1" si="827"/>
        <v>7198.9112258148152</v>
      </c>
      <c r="BE620" s="10">
        <f t="shared" ca="1" si="827"/>
        <v>10687.838861733737</v>
      </c>
      <c r="BF620" s="10">
        <f t="shared" ca="1" si="827"/>
        <v>15575.727514913679</v>
      </c>
      <c r="BG620" s="10">
        <f t="shared" ca="1" si="827"/>
        <v>7955.7545595558377</v>
      </c>
      <c r="BH620" s="10">
        <f t="shared" ca="1" si="827"/>
        <v>7404.5944036952369</v>
      </c>
      <c r="BI620" s="10">
        <f t="shared" ca="1" si="827"/>
        <v>11115.352416203084</v>
      </c>
      <c r="BJ620" s="10">
        <f t="shared" ca="1" si="827"/>
        <v>16198.756615510223</v>
      </c>
      <c r="BK620" s="10">
        <f t="shared" ca="1" si="827"/>
        <v>8273.9847419380731</v>
      </c>
      <c r="BL620" s="10">
        <f t="shared" ca="1" si="827"/>
        <v>7700.778179843046</v>
      </c>
      <c r="BM620" s="10">
        <f t="shared" ca="1" si="827"/>
        <v>11559.966512851206</v>
      </c>
      <c r="BN620" s="10">
        <f t="shared" ca="1" si="827"/>
        <v>16846.706880130627</v>
      </c>
      <c r="BO620" s="10">
        <f t="shared" ca="1" si="827"/>
        <v>8604.9441316155917</v>
      </c>
      <c r="BP620" s="10">
        <f t="shared" ca="1" si="827"/>
        <v>8008.8093070367677</v>
      </c>
      <c r="BQ620" s="10">
        <f t="shared" ca="1" si="827"/>
        <v>12022.365173365251</v>
      </c>
      <c r="BR620" s="10">
        <f t="shared" ca="1" si="827"/>
        <v>17520.57515533585</v>
      </c>
      <c r="BS620" s="10">
        <f t="shared" ca="1" si="827"/>
        <v>8949.1418968802154</v>
      </c>
      <c r="BT620" s="10">
        <f t="shared" ca="1" si="827"/>
        <v>8421.7079201995493</v>
      </c>
      <c r="BU620" s="10">
        <f t="shared" ca="1" si="827"/>
        <v>12503.259780299859</v>
      </c>
      <c r="BV620" s="10">
        <f t="shared" ca="1" si="827"/>
        <v>18221.398161549278</v>
      </c>
      <c r="BW620" s="10">
        <f t="shared" ca="1" si="827"/>
        <v>9307.1075727554216</v>
      </c>
      <c r="BX620" s="10">
        <f t="shared" ca="1" si="827"/>
        <v>8662.3281464909633</v>
      </c>
      <c r="BY620" s="10">
        <f t="shared" ca="1" si="827"/>
        <v>13003.390171511852</v>
      </c>
      <c r="BZ620" s="10">
        <f t="shared" ca="1" si="827"/>
        <v>18950.25408801125</v>
      </c>
      <c r="CA620" s="10">
        <f t="shared" ca="1" si="827"/>
        <v>9679.3918756656385</v>
      </c>
      <c r="CB620" s="10">
        <f t="shared" ca="1" si="827"/>
        <v>9008.8212723506022</v>
      </c>
      <c r="CC620" s="10">
        <f t="shared" ca="1" si="827"/>
        <v>13523.525778372325</v>
      </c>
      <c r="CD620" s="10">
        <f t="shared" ca="1" si="827"/>
        <v>19708.264251531698</v>
      </c>
      <c r="CE620" s="10">
        <f t="shared" ca="1" si="827"/>
        <v>10066.567550692263</v>
      </c>
      <c r="CF620" s="10">
        <f t="shared" ca="1" si="827"/>
        <v>9369.1741232446238</v>
      </c>
      <c r="CG620" s="10">
        <f t="shared" ca="1" si="827"/>
        <v>14064.466809507219</v>
      </c>
      <c r="CH620" s="10">
        <f t="shared" ca="1" si="827"/>
        <v>20496.594821592967</v>
      </c>
      <c r="CI620" s="10">
        <f t="shared" ca="1" si="827"/>
        <v>10469.230252719955</v>
      </c>
      <c r="CJ620" s="10">
        <f t="shared" ca="1" si="827"/>
        <v>9852.2071002652374</v>
      </c>
      <c r="CK620" s="10">
        <f t="shared" ca="1" si="827"/>
        <v>14627.045481887504</v>
      </c>
      <c r="CL620" s="10">
        <f t="shared" ca="1" si="827"/>
        <v>21316.458614456682</v>
      </c>
      <c r="CM620" s="10">
        <f t="shared" ca="1" si="827"/>
        <v>10887.99946282875</v>
      </c>
      <c r="CN620" s="10">
        <f t="shared" ca="1" si="827"/>
        <v>10133.698731701385</v>
      </c>
      <c r="CO620" s="10">
        <f t="shared" ca="1" si="827"/>
        <v>15212.127301163004</v>
      </c>
    </row>
    <row r="621" spans="1:95">
      <c r="A621" s="233"/>
      <c r="B621" s="233"/>
      <c r="C621" s="41" t="s">
        <v>721</v>
      </c>
      <c r="D621" s="69"/>
      <c r="E621" s="62"/>
      <c r="F621" s="70"/>
      <c r="G621" s="11"/>
      <c r="H621" s="69"/>
      <c r="I621" s="69"/>
      <c r="J621" s="69"/>
      <c r="K621" s="69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  <c r="AA621" s="103"/>
      <c r="AB621" s="103"/>
      <c r="AC621" s="103"/>
      <c r="AD621" s="103"/>
      <c r="AE621" s="103"/>
      <c r="AF621" s="103"/>
      <c r="AG621" s="103"/>
      <c r="AH621" s="103"/>
      <c r="AI621" s="103"/>
      <c r="AJ621" s="103"/>
      <c r="AK621" s="103"/>
      <c r="AL621" s="103"/>
      <c r="AM621" s="103"/>
      <c r="AN621" s="103"/>
      <c r="AO621" s="103"/>
      <c r="AP621" s="103"/>
      <c r="AQ621" s="103"/>
      <c r="AR621" s="103"/>
      <c r="AS621" s="103"/>
      <c r="AT621" s="103"/>
      <c r="AU621" s="103"/>
      <c r="AV621" s="103"/>
      <c r="AW621" s="103"/>
      <c r="AX621" s="103"/>
      <c r="AY621" s="103"/>
      <c r="AZ621" s="103"/>
      <c r="BA621" s="103"/>
      <c r="BB621" s="103"/>
      <c r="BC621" s="103"/>
      <c r="BD621" s="103"/>
      <c r="BE621" s="103"/>
      <c r="BF621" s="103"/>
      <c r="BG621" s="103"/>
      <c r="BH621" s="103"/>
      <c r="BI621" s="103"/>
      <c r="BJ621" s="103"/>
      <c r="BK621" s="103"/>
      <c r="BL621" s="103"/>
      <c r="BM621" s="103"/>
      <c r="BN621" s="103"/>
      <c r="BO621" s="103"/>
      <c r="BP621" s="103"/>
      <c r="BQ621" s="103"/>
      <c r="BR621" s="103"/>
      <c r="BS621" s="103"/>
      <c r="BT621" s="103"/>
      <c r="BU621" s="103"/>
      <c r="BV621" s="103"/>
      <c r="BW621" s="103"/>
      <c r="BX621" s="103"/>
      <c r="BY621" s="103"/>
      <c r="BZ621" s="103"/>
      <c r="CA621" s="103"/>
      <c r="CB621" s="103"/>
      <c r="CC621" s="103"/>
      <c r="CD621" s="103"/>
      <c r="CE621" s="103"/>
      <c r="CF621" s="103"/>
      <c r="CG621" s="103"/>
      <c r="CH621" s="103"/>
      <c r="CI621" s="103"/>
      <c r="CJ621" s="103"/>
      <c r="CK621" s="103"/>
      <c r="CL621" s="103"/>
      <c r="CM621" s="103"/>
      <c r="CN621" s="103"/>
      <c r="CO621" s="103"/>
    </row>
    <row r="622" spans="1:95" ht="15.75" thickBot="1">
      <c r="C622" s="169" t="s">
        <v>858</v>
      </c>
      <c r="D622" s="133"/>
      <c r="E622" s="240"/>
      <c r="G622" s="207" t="s">
        <v>28</v>
      </c>
      <c r="L622">
        <f ca="1">(L619+L608)*$E$574</f>
        <v>0</v>
      </c>
      <c r="M622" s="588">
        <f t="shared" ref="M622:BX622" ca="1" si="828">(M619+M608)*$E$574</f>
        <v>0</v>
      </c>
      <c r="N622" s="588">
        <f t="shared" ca="1" si="828"/>
        <v>0</v>
      </c>
      <c r="O622" s="588">
        <f t="shared" ca="1" si="828"/>
        <v>0</v>
      </c>
      <c r="P622" s="588">
        <f t="shared" ca="1" si="828"/>
        <v>0</v>
      </c>
      <c r="Q622" s="588">
        <f t="shared" ca="1" si="828"/>
        <v>0</v>
      </c>
      <c r="R622" s="588">
        <f t="shared" ca="1" si="828"/>
        <v>0</v>
      </c>
      <c r="S622" s="588">
        <f t="shared" ca="1" si="828"/>
        <v>0</v>
      </c>
      <c r="T622" s="588">
        <f t="shared" ca="1" si="828"/>
        <v>0</v>
      </c>
      <c r="U622" s="588">
        <f t="shared" ca="1" si="828"/>
        <v>0</v>
      </c>
      <c r="V622" s="588">
        <f t="shared" ca="1" si="828"/>
        <v>0</v>
      </c>
      <c r="W622" s="588">
        <f t="shared" ca="1" si="828"/>
        <v>0</v>
      </c>
      <c r="X622" s="588">
        <f t="shared" ca="1" si="828"/>
        <v>0</v>
      </c>
      <c r="Y622" s="588">
        <f t="shared" ca="1" si="828"/>
        <v>0</v>
      </c>
      <c r="Z622" s="588">
        <f t="shared" ca="1" si="828"/>
        <v>0</v>
      </c>
      <c r="AA622" s="588">
        <f t="shared" ca="1" si="828"/>
        <v>0</v>
      </c>
      <c r="AB622" s="588">
        <f t="shared" ca="1" si="828"/>
        <v>0</v>
      </c>
      <c r="AC622" s="588">
        <f t="shared" ca="1" si="828"/>
        <v>18390.913751730091</v>
      </c>
      <c r="AD622" s="588">
        <f t="shared" ca="1" si="828"/>
        <v>34894.086430565592</v>
      </c>
      <c r="AE622" s="588">
        <f t="shared" ca="1" si="828"/>
        <v>13055.436182127094</v>
      </c>
      <c r="AF622" s="588">
        <f t="shared" ca="1" si="828"/>
        <v>11845.232899199973</v>
      </c>
      <c r="AG622" s="588">
        <f t="shared" ca="1" si="828"/>
        <v>21452.433270598343</v>
      </c>
      <c r="AH622" s="588">
        <f t="shared" ca="1" si="828"/>
        <v>40572.671770606416</v>
      </c>
      <c r="AI622" s="588">
        <f t="shared" ca="1" si="828"/>
        <v>15134.125997753288</v>
      </c>
      <c r="AJ622" s="588">
        <f t="shared" ca="1" si="828"/>
        <v>13691.889799039047</v>
      </c>
      <c r="AK622" s="588">
        <f t="shared" ca="1" si="828"/>
        <v>24729.448888973297</v>
      </c>
      <c r="AL622" s="588">
        <f t="shared" ca="1" si="828"/>
        <v>46649.71339956161</v>
      </c>
      <c r="AM622" s="588">
        <f t="shared" ca="1" si="828"/>
        <v>17358.22230073818</v>
      </c>
      <c r="AN622" s="588">
        <f t="shared" ca="1" si="828"/>
        <v>15841.408287984599</v>
      </c>
      <c r="AO622" s="588">
        <f t="shared" ca="1" si="828"/>
        <v>28234.301863585275</v>
      </c>
      <c r="AP622" s="588">
        <f t="shared" ca="1" si="828"/>
        <v>51989.927046886172</v>
      </c>
      <c r="AQ622" s="588">
        <f t="shared" ca="1" si="828"/>
        <v>18894.291449566572</v>
      </c>
      <c r="AR622" s="588">
        <f t="shared" ca="1" si="828"/>
        <v>16665.237940034323</v>
      </c>
      <c r="AS622" s="588">
        <f t="shared" ca="1" si="828"/>
        <v>29363.673938128679</v>
      </c>
      <c r="AT622" s="588">
        <f t="shared" ca="1" si="828"/>
        <v>54069.524128761615</v>
      </c>
      <c r="AU622" s="588">
        <f t="shared" ca="1" si="828"/>
        <v>19650.063107549231</v>
      </c>
      <c r="AV622" s="588">
        <f t="shared" ca="1" si="828"/>
        <v>17331.847457635693</v>
      </c>
      <c r="AW622" s="588">
        <f t="shared" ca="1" si="828"/>
        <v>30538.220895653823</v>
      </c>
      <c r="AX622" s="588">
        <f t="shared" ca="1" si="828"/>
        <v>56232.30509391208</v>
      </c>
      <c r="AY622" s="588">
        <f t="shared" ca="1" si="828"/>
        <v>20436.065631851201</v>
      </c>
      <c r="AZ622" s="588">
        <f t="shared" ca="1" si="828"/>
        <v>18025.121355941115</v>
      </c>
      <c r="BA622" s="588">
        <f t="shared" ca="1" si="828"/>
        <v>31759.749731479969</v>
      </c>
      <c r="BB622" s="588">
        <f t="shared" ca="1" si="828"/>
        <v>58481.597297668544</v>
      </c>
      <c r="BC622" s="588">
        <f t="shared" ca="1" si="828"/>
        <v>21253.508257125242</v>
      </c>
      <c r="BD622" s="588">
        <f t="shared" ca="1" si="828"/>
        <v>18954.416501402968</v>
      </c>
      <c r="BE622" s="588">
        <f t="shared" ca="1" si="828"/>
        <v>33030.139720739164</v>
      </c>
      <c r="BF622" s="588">
        <f t="shared" ca="1" si="828"/>
        <v>60820.861189575284</v>
      </c>
      <c r="BG622" s="588">
        <f t="shared" ca="1" si="828"/>
        <v>22103.648587410251</v>
      </c>
      <c r="BH622" s="588">
        <f t="shared" ca="1" si="828"/>
        <v>19495.971258585905</v>
      </c>
      <c r="BI622" s="588">
        <f t="shared" ca="1" si="828"/>
        <v>34351.345309568722</v>
      </c>
      <c r="BJ622" s="588">
        <f t="shared" ca="1" si="828"/>
        <v>63253.695637158278</v>
      </c>
      <c r="BK622" s="588">
        <f t="shared" ca="1" si="828"/>
        <v>22987.79453090666</v>
      </c>
      <c r="BL622" s="588">
        <f t="shared" ca="1" si="828"/>
        <v>20275.810108929345</v>
      </c>
      <c r="BM622" s="588">
        <f t="shared" ca="1" si="828"/>
        <v>35725.399121951472</v>
      </c>
      <c r="BN622" s="588">
        <f t="shared" ca="1" si="828"/>
        <v>65783.843462644596</v>
      </c>
      <c r="BO622" s="588">
        <f t="shared" ca="1" si="828"/>
        <v>23907.306312142919</v>
      </c>
      <c r="BP622" s="588">
        <f t="shared" ca="1" si="828"/>
        <v>21086.842513286509</v>
      </c>
      <c r="BQ622" s="588">
        <f t="shared" ca="1" si="828"/>
        <v>37154.415086829526</v>
      </c>
      <c r="BR622" s="588">
        <f t="shared" ca="1" si="828"/>
        <v>68415.197201150382</v>
      </c>
      <c r="BS622" s="588">
        <f t="shared" ca="1" si="828"/>
        <v>24863.598564628632</v>
      </c>
      <c r="BT622" s="588">
        <f t="shared" ca="1" si="828"/>
        <v>22173.9863939715</v>
      </c>
      <c r="BU622" s="588">
        <f t="shared" ca="1" si="828"/>
        <v>38640.591690302695</v>
      </c>
      <c r="BV622" s="588">
        <f t="shared" ca="1" si="828"/>
        <v>71151.805089196365</v>
      </c>
      <c r="BW622" s="588">
        <f t="shared" ca="1" si="828"/>
        <v>25858.142507213775</v>
      </c>
      <c r="BX622" s="588">
        <f t="shared" ca="1" si="828"/>
        <v>22807.52886237068</v>
      </c>
      <c r="BY622" s="588">
        <f t="shared" ref="BY622:CO622" ca="1" si="829">(BY619+BY608)*$E$574</f>
        <v>40186.2153579148</v>
      </c>
      <c r="BZ622" s="588">
        <f t="shared" ca="1" si="829"/>
        <v>73997.877292764228</v>
      </c>
      <c r="CA622" s="588">
        <f t="shared" ca="1" si="829"/>
        <v>26892.468207502319</v>
      </c>
      <c r="CB622" s="588">
        <f t="shared" ca="1" si="829"/>
        <v>23719.830016865511</v>
      </c>
      <c r="CC622" s="588">
        <f t="shared" ca="1" si="829"/>
        <v>41793.663972231385</v>
      </c>
      <c r="CD622" s="588">
        <f t="shared" ca="1" si="829"/>
        <v>76957.792384474786</v>
      </c>
      <c r="CE622" s="588">
        <f t="shared" ca="1" si="829"/>
        <v>27968.166935802408</v>
      </c>
      <c r="CF622" s="588">
        <f t="shared" ca="1" si="829"/>
        <v>24668.623217540124</v>
      </c>
      <c r="CG622" s="588">
        <f t="shared" ca="1" si="829"/>
        <v>43465.410531120637</v>
      </c>
      <c r="CH622" s="588">
        <f t="shared" ca="1" si="829"/>
        <v>80036.104079853772</v>
      </c>
      <c r="CI622" s="588">
        <f t="shared" ca="1" si="829"/>
        <v>29086.893613234508</v>
      </c>
      <c r="CJ622" s="588">
        <f t="shared" ca="1" si="829"/>
        <v>25940.427792311082</v>
      </c>
      <c r="CK622" s="588">
        <f t="shared" ca="1" si="829"/>
        <v>45204.026952365472</v>
      </c>
      <c r="CL622" s="588">
        <f t="shared" ca="1" si="829"/>
        <v>83237.548243047917</v>
      </c>
      <c r="CM622" s="588">
        <f t="shared" ca="1" si="829"/>
        <v>30250.369357763884</v>
      </c>
      <c r="CN622" s="588">
        <f t="shared" ca="1" si="829"/>
        <v>26681.582872091396</v>
      </c>
      <c r="CO622" s="588">
        <f t="shared" ca="1" si="829"/>
        <v>47012.188030460078</v>
      </c>
    </row>
    <row r="623" spans="1:95" ht="15.75" thickTop="1">
      <c r="A623" s="233"/>
      <c r="B623" s="101"/>
      <c r="C623" s="49" t="s">
        <v>693</v>
      </c>
      <c r="D623" s="49"/>
      <c r="E623" s="136"/>
      <c r="F623" s="49"/>
      <c r="G623" s="159" t="str">
        <f>Monetary_Unit</f>
        <v>тыс. руб.</v>
      </c>
      <c r="H623" s="49"/>
      <c r="I623" s="23">
        <f ca="1">SUM(L623:CO623)</f>
        <v>2246482.5466819666</v>
      </c>
      <c r="J623" s="49"/>
      <c r="K623" s="49"/>
      <c r="L623" s="49">
        <f ca="1">L622</f>
        <v>0</v>
      </c>
      <c r="M623" s="589">
        <f t="shared" ref="M623:BX623" ca="1" si="830">M622</f>
        <v>0</v>
      </c>
      <c r="N623" s="589">
        <f t="shared" ca="1" si="830"/>
        <v>0</v>
      </c>
      <c r="O623" s="589">
        <f t="shared" ca="1" si="830"/>
        <v>0</v>
      </c>
      <c r="P623" s="589">
        <f t="shared" ca="1" si="830"/>
        <v>0</v>
      </c>
      <c r="Q623" s="589">
        <f t="shared" ca="1" si="830"/>
        <v>0</v>
      </c>
      <c r="R623" s="589">
        <f t="shared" ca="1" si="830"/>
        <v>0</v>
      </c>
      <c r="S623" s="589">
        <f t="shared" ca="1" si="830"/>
        <v>0</v>
      </c>
      <c r="T623" s="589">
        <f t="shared" ca="1" si="830"/>
        <v>0</v>
      </c>
      <c r="U623" s="589">
        <f t="shared" ca="1" si="830"/>
        <v>0</v>
      </c>
      <c r="V623" s="589">
        <f t="shared" ca="1" si="830"/>
        <v>0</v>
      </c>
      <c r="W623" s="589">
        <f t="shared" ca="1" si="830"/>
        <v>0</v>
      </c>
      <c r="X623" s="589">
        <f t="shared" ca="1" si="830"/>
        <v>0</v>
      </c>
      <c r="Y623" s="589">
        <f t="shared" ca="1" si="830"/>
        <v>0</v>
      </c>
      <c r="Z623" s="589">
        <f t="shared" ca="1" si="830"/>
        <v>0</v>
      </c>
      <c r="AA623" s="589">
        <f t="shared" ca="1" si="830"/>
        <v>0</v>
      </c>
      <c r="AB623" s="589">
        <f t="shared" ca="1" si="830"/>
        <v>0</v>
      </c>
      <c r="AC623" s="589">
        <f t="shared" ca="1" si="830"/>
        <v>18390.913751730091</v>
      </c>
      <c r="AD623" s="589">
        <f t="shared" ca="1" si="830"/>
        <v>34894.086430565592</v>
      </c>
      <c r="AE623" s="589">
        <f t="shared" ca="1" si="830"/>
        <v>13055.436182127094</v>
      </c>
      <c r="AF623" s="589">
        <f t="shared" ca="1" si="830"/>
        <v>11845.232899199973</v>
      </c>
      <c r="AG623" s="589">
        <f t="shared" ca="1" si="830"/>
        <v>21452.433270598343</v>
      </c>
      <c r="AH623" s="589">
        <f t="shared" ca="1" si="830"/>
        <v>40572.671770606416</v>
      </c>
      <c r="AI623" s="589">
        <f t="shared" ca="1" si="830"/>
        <v>15134.125997753288</v>
      </c>
      <c r="AJ623" s="589">
        <f t="shared" ca="1" si="830"/>
        <v>13691.889799039047</v>
      </c>
      <c r="AK623" s="589">
        <f t="shared" ca="1" si="830"/>
        <v>24729.448888973297</v>
      </c>
      <c r="AL623" s="589">
        <f t="shared" ca="1" si="830"/>
        <v>46649.71339956161</v>
      </c>
      <c r="AM623" s="589">
        <f t="shared" ca="1" si="830"/>
        <v>17358.22230073818</v>
      </c>
      <c r="AN623" s="589">
        <f t="shared" ca="1" si="830"/>
        <v>15841.408287984599</v>
      </c>
      <c r="AO623" s="589">
        <f t="shared" ca="1" si="830"/>
        <v>28234.301863585275</v>
      </c>
      <c r="AP623" s="589">
        <f t="shared" ca="1" si="830"/>
        <v>51989.927046886172</v>
      </c>
      <c r="AQ623" s="589">
        <f t="shared" ca="1" si="830"/>
        <v>18894.291449566572</v>
      </c>
      <c r="AR623" s="589">
        <f t="shared" ca="1" si="830"/>
        <v>16665.237940034323</v>
      </c>
      <c r="AS623" s="589">
        <f t="shared" ca="1" si="830"/>
        <v>29363.673938128679</v>
      </c>
      <c r="AT623" s="589">
        <f t="shared" ca="1" si="830"/>
        <v>54069.524128761615</v>
      </c>
      <c r="AU623" s="589">
        <f t="shared" ca="1" si="830"/>
        <v>19650.063107549231</v>
      </c>
      <c r="AV623" s="589">
        <f t="shared" ca="1" si="830"/>
        <v>17331.847457635693</v>
      </c>
      <c r="AW623" s="589">
        <f t="shared" ca="1" si="830"/>
        <v>30538.220895653823</v>
      </c>
      <c r="AX623" s="589">
        <f t="shared" ca="1" si="830"/>
        <v>56232.30509391208</v>
      </c>
      <c r="AY623" s="589">
        <f t="shared" ca="1" si="830"/>
        <v>20436.065631851201</v>
      </c>
      <c r="AZ623" s="589">
        <f t="shared" ca="1" si="830"/>
        <v>18025.121355941115</v>
      </c>
      <c r="BA623" s="589">
        <f t="shared" ca="1" si="830"/>
        <v>31759.749731479969</v>
      </c>
      <c r="BB623" s="589">
        <f t="shared" ca="1" si="830"/>
        <v>58481.597297668544</v>
      </c>
      <c r="BC623" s="589">
        <f t="shared" ca="1" si="830"/>
        <v>21253.508257125242</v>
      </c>
      <c r="BD623" s="589">
        <f t="shared" ca="1" si="830"/>
        <v>18954.416501402968</v>
      </c>
      <c r="BE623" s="589">
        <f t="shared" ca="1" si="830"/>
        <v>33030.139720739164</v>
      </c>
      <c r="BF623" s="589">
        <f t="shared" ca="1" si="830"/>
        <v>60820.861189575284</v>
      </c>
      <c r="BG623" s="589">
        <f t="shared" ca="1" si="830"/>
        <v>22103.648587410251</v>
      </c>
      <c r="BH623" s="589">
        <f t="shared" ca="1" si="830"/>
        <v>19495.971258585905</v>
      </c>
      <c r="BI623" s="589">
        <f t="shared" ca="1" si="830"/>
        <v>34351.345309568722</v>
      </c>
      <c r="BJ623" s="589">
        <f t="shared" ca="1" si="830"/>
        <v>63253.695637158278</v>
      </c>
      <c r="BK623" s="589">
        <f t="shared" ca="1" si="830"/>
        <v>22987.79453090666</v>
      </c>
      <c r="BL623" s="589">
        <f t="shared" ca="1" si="830"/>
        <v>20275.810108929345</v>
      </c>
      <c r="BM623" s="589">
        <f t="shared" ca="1" si="830"/>
        <v>35725.399121951472</v>
      </c>
      <c r="BN623" s="589">
        <f t="shared" ca="1" si="830"/>
        <v>65783.843462644596</v>
      </c>
      <c r="BO623" s="589">
        <f t="shared" ca="1" si="830"/>
        <v>23907.306312142919</v>
      </c>
      <c r="BP623" s="589">
        <f t="shared" ca="1" si="830"/>
        <v>21086.842513286509</v>
      </c>
      <c r="BQ623" s="589">
        <f t="shared" ca="1" si="830"/>
        <v>37154.415086829526</v>
      </c>
      <c r="BR623" s="589">
        <f t="shared" ca="1" si="830"/>
        <v>68415.197201150382</v>
      </c>
      <c r="BS623" s="589">
        <f t="shared" ca="1" si="830"/>
        <v>24863.598564628632</v>
      </c>
      <c r="BT623" s="589">
        <f t="shared" ca="1" si="830"/>
        <v>22173.9863939715</v>
      </c>
      <c r="BU623" s="589">
        <f t="shared" ca="1" si="830"/>
        <v>38640.591690302695</v>
      </c>
      <c r="BV623" s="589">
        <f t="shared" ca="1" si="830"/>
        <v>71151.805089196365</v>
      </c>
      <c r="BW623" s="589">
        <f t="shared" ca="1" si="830"/>
        <v>25858.142507213775</v>
      </c>
      <c r="BX623" s="589">
        <f t="shared" ca="1" si="830"/>
        <v>22807.52886237068</v>
      </c>
      <c r="BY623" s="589">
        <f t="shared" ref="BY623:CO623" ca="1" si="831">BY622</f>
        <v>40186.2153579148</v>
      </c>
      <c r="BZ623" s="589">
        <f t="shared" ca="1" si="831"/>
        <v>73997.877292764228</v>
      </c>
      <c r="CA623" s="589">
        <f t="shared" ca="1" si="831"/>
        <v>26892.468207502319</v>
      </c>
      <c r="CB623" s="589">
        <f t="shared" ca="1" si="831"/>
        <v>23719.830016865511</v>
      </c>
      <c r="CC623" s="589">
        <f t="shared" ca="1" si="831"/>
        <v>41793.663972231385</v>
      </c>
      <c r="CD623" s="589">
        <f t="shared" ca="1" si="831"/>
        <v>76957.792384474786</v>
      </c>
      <c r="CE623" s="589">
        <f t="shared" ca="1" si="831"/>
        <v>27968.166935802408</v>
      </c>
      <c r="CF623" s="589">
        <f t="shared" ca="1" si="831"/>
        <v>24668.623217540124</v>
      </c>
      <c r="CG623" s="589">
        <f t="shared" ca="1" si="831"/>
        <v>43465.410531120637</v>
      </c>
      <c r="CH623" s="589">
        <f t="shared" ca="1" si="831"/>
        <v>80036.104079853772</v>
      </c>
      <c r="CI623" s="589">
        <f t="shared" ca="1" si="831"/>
        <v>29086.893613234508</v>
      </c>
      <c r="CJ623" s="589">
        <f t="shared" ca="1" si="831"/>
        <v>25940.427792311082</v>
      </c>
      <c r="CK623" s="589">
        <f t="shared" ca="1" si="831"/>
        <v>45204.026952365472</v>
      </c>
      <c r="CL623" s="589">
        <f t="shared" ca="1" si="831"/>
        <v>83237.548243047917</v>
      </c>
      <c r="CM623" s="589">
        <f t="shared" ca="1" si="831"/>
        <v>30250.369357763884</v>
      </c>
      <c r="CN623" s="589">
        <f t="shared" ca="1" si="831"/>
        <v>26681.582872091396</v>
      </c>
      <c r="CO623" s="589">
        <f t="shared" ca="1" si="831"/>
        <v>47012.188030460078</v>
      </c>
    </row>
    <row r="624" spans="1:95">
      <c r="B624" s="13"/>
      <c r="C624" s="21"/>
      <c r="D624" s="10"/>
      <c r="E624" s="62"/>
      <c r="F624" s="11"/>
      <c r="G624" s="11"/>
      <c r="H624" s="10"/>
      <c r="I624" s="10"/>
      <c r="J624" s="10"/>
      <c r="K624" s="10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  <c r="AA624" s="78"/>
      <c r="AB624" s="78"/>
      <c r="AC624" s="78"/>
      <c r="AD624" s="78"/>
      <c r="AE624" s="78"/>
      <c r="AF624" s="78"/>
      <c r="AG624" s="78"/>
      <c r="AH624" s="78"/>
      <c r="AI624" s="78"/>
      <c r="AJ624" s="78"/>
      <c r="AK624" s="78"/>
      <c r="AL624" s="78"/>
      <c r="AM624" s="78"/>
      <c r="AN624" s="78"/>
      <c r="AO624" s="78"/>
      <c r="AP624" s="78"/>
      <c r="AQ624" s="78"/>
      <c r="AR624" s="78"/>
      <c r="AS624" s="78"/>
      <c r="AT624" s="78"/>
      <c r="AU624" s="78"/>
      <c r="AV624" s="78"/>
      <c r="AW624" s="78"/>
      <c r="AX624" s="78"/>
      <c r="AY624" s="78"/>
      <c r="AZ624" s="78"/>
      <c r="BA624" s="78"/>
      <c r="BB624" s="78"/>
      <c r="BC624" s="78"/>
      <c r="BD624" s="78"/>
      <c r="BE624" s="78"/>
      <c r="BF624" s="78"/>
      <c r="BG624" s="78"/>
      <c r="BH624" s="78"/>
      <c r="BI624" s="78"/>
      <c r="BJ624" s="78"/>
      <c r="BK624" s="78"/>
      <c r="BL624" s="78"/>
      <c r="BM624" s="78"/>
      <c r="BN624" s="78"/>
      <c r="BO624" s="78"/>
      <c r="BP624" s="78"/>
      <c r="BQ624" s="78"/>
      <c r="BR624" s="78"/>
      <c r="BS624" s="78"/>
      <c r="BT624" s="78"/>
      <c r="BU624" s="78"/>
      <c r="BV624" s="78"/>
      <c r="BW624" s="78"/>
      <c r="BX624" s="78"/>
      <c r="BY624" s="78"/>
      <c r="BZ624" s="78"/>
      <c r="CA624" s="78"/>
      <c r="CB624" s="78"/>
      <c r="CC624" s="78"/>
      <c r="CD624" s="78"/>
      <c r="CE624" s="78"/>
      <c r="CF624" s="78"/>
      <c r="CG624" s="78"/>
      <c r="CH624" s="78"/>
      <c r="CI624" s="78"/>
      <c r="CJ624" s="78"/>
      <c r="CK624" s="78"/>
      <c r="CL624" s="78"/>
      <c r="CM624" s="78"/>
      <c r="CN624" s="78"/>
      <c r="CO624" s="78"/>
    </row>
    <row r="625" spans="1:94" ht="16.5" thickBot="1">
      <c r="B625" s="10"/>
      <c r="C625" s="26" t="s">
        <v>859</v>
      </c>
      <c r="D625" s="26"/>
      <c r="E625" s="26"/>
      <c r="F625" s="26"/>
      <c r="G625" s="26"/>
      <c r="H625" s="26"/>
      <c r="I625" s="26"/>
      <c r="J625" s="69"/>
      <c r="K625" s="69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  <c r="AA625" s="103"/>
      <c r="AB625" s="103"/>
      <c r="AC625" s="103"/>
      <c r="AD625" s="103"/>
      <c r="AE625" s="103"/>
      <c r="AF625" s="103"/>
      <c r="AG625" s="103"/>
      <c r="AH625" s="103"/>
      <c r="AI625" s="103"/>
      <c r="AJ625" s="103"/>
      <c r="AK625" s="103"/>
      <c r="AL625" s="103"/>
      <c r="AM625" s="103"/>
      <c r="AN625" s="103"/>
      <c r="AO625" s="103"/>
      <c r="AP625" s="103"/>
      <c r="AQ625" s="103"/>
      <c r="AR625" s="103"/>
      <c r="AS625" s="103"/>
      <c r="AT625" s="103"/>
      <c r="AU625" s="103"/>
      <c r="AV625" s="103"/>
      <c r="AW625" s="103"/>
      <c r="AX625" s="103"/>
      <c r="AY625" s="103"/>
      <c r="AZ625" s="103"/>
      <c r="BA625" s="103"/>
      <c r="BB625" s="103"/>
      <c r="BC625" s="103"/>
      <c r="BD625" s="103"/>
      <c r="BE625" s="103"/>
      <c r="BF625" s="103"/>
      <c r="BG625" s="103"/>
      <c r="BH625" s="103"/>
      <c r="BI625" s="103"/>
      <c r="BJ625" s="103"/>
      <c r="BK625" s="103"/>
      <c r="BL625" s="103"/>
      <c r="BM625" s="103"/>
      <c r="BN625" s="103"/>
      <c r="BO625" s="103"/>
      <c r="BP625" s="103"/>
      <c r="BQ625" s="103"/>
      <c r="BR625" s="103"/>
      <c r="BS625" s="103"/>
      <c r="BT625" s="103"/>
      <c r="BU625" s="103"/>
      <c r="BV625" s="103"/>
      <c r="BW625" s="103"/>
      <c r="BX625" s="103"/>
      <c r="BY625" s="103"/>
      <c r="BZ625" s="103"/>
      <c r="CA625" s="103"/>
      <c r="CB625" s="103"/>
      <c r="CC625" s="103"/>
      <c r="CD625" s="103"/>
      <c r="CE625" s="103"/>
      <c r="CF625" s="103"/>
      <c r="CG625" s="103"/>
      <c r="CH625" s="103"/>
      <c r="CI625" s="103"/>
      <c r="CJ625" s="103"/>
      <c r="CK625" s="103"/>
      <c r="CL625" s="103"/>
      <c r="CM625" s="103"/>
      <c r="CN625" s="103"/>
      <c r="CO625" s="103"/>
    </row>
    <row r="626" spans="1:94" ht="15.75" thickTop="1">
      <c r="B626" s="13"/>
      <c r="C626" s="21"/>
      <c r="D626" s="10"/>
      <c r="E626" s="62"/>
      <c r="F626" s="11"/>
      <c r="G626" s="11"/>
      <c r="H626" s="10"/>
      <c r="I626" s="10"/>
      <c r="J626" s="10"/>
      <c r="K626" s="10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  <c r="AA626" s="78"/>
      <c r="AB626" s="78"/>
      <c r="AC626" s="78"/>
      <c r="AD626" s="78"/>
      <c r="AE626" s="78"/>
      <c r="AF626" s="78"/>
      <c r="AG626" s="78"/>
      <c r="AH626" s="78"/>
      <c r="AI626" s="78"/>
      <c r="AJ626" s="78"/>
      <c r="AK626" s="78"/>
      <c r="AL626" s="78"/>
      <c r="AM626" s="78"/>
      <c r="AN626" s="78"/>
      <c r="AO626" s="78"/>
      <c r="AP626" s="78"/>
      <c r="AQ626" s="78"/>
      <c r="AR626" s="78"/>
      <c r="AS626" s="78"/>
      <c r="AT626" s="78"/>
      <c r="AU626" s="78"/>
      <c r="AV626" s="78"/>
      <c r="AW626" s="78"/>
      <c r="AX626" s="78"/>
      <c r="AY626" s="78"/>
      <c r="AZ626" s="78"/>
      <c r="BA626" s="78"/>
      <c r="BB626" s="78"/>
      <c r="BC626" s="78"/>
      <c r="BD626" s="78"/>
      <c r="BE626" s="78"/>
      <c r="BF626" s="78"/>
      <c r="BG626" s="78"/>
      <c r="BH626" s="78"/>
      <c r="BI626" s="78"/>
      <c r="BJ626" s="78"/>
      <c r="BK626" s="78"/>
      <c r="BL626" s="78"/>
      <c r="BM626" s="78"/>
      <c r="BN626" s="78"/>
      <c r="BO626" s="78"/>
      <c r="BP626" s="78"/>
      <c r="BQ626" s="78"/>
      <c r="BR626" s="78"/>
      <c r="BS626" s="78"/>
      <c r="BT626" s="78"/>
      <c r="BU626" s="78"/>
      <c r="BV626" s="78"/>
      <c r="BW626" s="78"/>
      <c r="BX626" s="78"/>
      <c r="BY626" s="78"/>
      <c r="BZ626" s="78"/>
      <c r="CA626" s="78"/>
      <c r="CB626" s="78"/>
      <c r="CC626" s="78"/>
      <c r="CD626" s="78"/>
      <c r="CE626" s="78"/>
      <c r="CF626" s="78"/>
      <c r="CG626" s="78"/>
      <c r="CH626" s="78"/>
      <c r="CI626" s="78"/>
      <c r="CJ626" s="78"/>
      <c r="CK626" s="78"/>
      <c r="CL626" s="78"/>
      <c r="CM626" s="78"/>
      <c r="CN626" s="78"/>
      <c r="CO626" s="78"/>
    </row>
    <row r="627" spans="1:94">
      <c r="B627" s="10"/>
      <c r="C627" s="17" t="s">
        <v>681</v>
      </c>
      <c r="D627" s="69"/>
      <c r="E627" s="62"/>
      <c r="F627" s="70"/>
      <c r="G627" s="11" t="str">
        <f>Monetary_Unit</f>
        <v>тыс. руб.</v>
      </c>
      <c r="H627" s="69"/>
      <c r="I627" s="23">
        <f ca="1">SUM(L627:CO627)</f>
        <v>21420003.091760825</v>
      </c>
      <c r="J627" s="69"/>
      <c r="K627" s="69"/>
      <c r="L627" s="10">
        <f ca="1" xml:space="preserve"> (L608 + L609) * $I$514</f>
        <v>0</v>
      </c>
      <c r="M627" s="10">
        <f t="shared" ref="M627:BX627" ca="1" si="832" xml:space="preserve"> (M608 + M609) * $I$514</f>
        <v>0</v>
      </c>
      <c r="N627" s="10">
        <f t="shared" ca="1" si="832"/>
        <v>0</v>
      </c>
      <c r="O627" s="10">
        <f t="shared" ca="1" si="832"/>
        <v>0</v>
      </c>
      <c r="P627" s="10">
        <f t="shared" ca="1" si="832"/>
        <v>0</v>
      </c>
      <c r="Q627" s="10">
        <f t="shared" ca="1" si="832"/>
        <v>0</v>
      </c>
      <c r="R627" s="10">
        <f t="shared" ca="1" si="832"/>
        <v>0</v>
      </c>
      <c r="S627" s="10">
        <f t="shared" ca="1" si="832"/>
        <v>0</v>
      </c>
      <c r="T627" s="10">
        <f t="shared" ca="1" si="832"/>
        <v>0</v>
      </c>
      <c r="U627" s="10">
        <f t="shared" ca="1" si="832"/>
        <v>0</v>
      </c>
      <c r="V627" s="10">
        <f t="shared" ca="1" si="832"/>
        <v>0</v>
      </c>
      <c r="W627" s="10">
        <f t="shared" ca="1" si="832"/>
        <v>0</v>
      </c>
      <c r="X627" s="10">
        <f t="shared" ca="1" si="832"/>
        <v>0</v>
      </c>
      <c r="Y627" s="10">
        <f t="shared" ca="1" si="832"/>
        <v>0</v>
      </c>
      <c r="Z627" s="10">
        <f t="shared" ca="1" si="832"/>
        <v>0</v>
      </c>
      <c r="AA627" s="10">
        <f t="shared" ca="1" si="832"/>
        <v>0</v>
      </c>
      <c r="AB627" s="10">
        <f t="shared" ca="1" si="832"/>
        <v>0</v>
      </c>
      <c r="AC627" s="10">
        <f t="shared" ca="1" si="832"/>
        <v>197454.62225231496</v>
      </c>
      <c r="AD627" s="10">
        <f t="shared" ca="1" si="832"/>
        <v>405669.35454567045</v>
      </c>
      <c r="AE627" s="10">
        <f t="shared" ca="1" si="832"/>
        <v>133917.04112369637</v>
      </c>
      <c r="AF627" s="10">
        <f t="shared" ca="1" si="832"/>
        <v>118401.85205783497</v>
      </c>
      <c r="AG627" s="10">
        <f t="shared" ca="1" si="832"/>
        <v>230324.72257886082</v>
      </c>
      <c r="AH627" s="10">
        <f t="shared" ca="1" si="832"/>
        <v>471687.07517609221</v>
      </c>
      <c r="AI627" s="10">
        <f t="shared" ca="1" si="832"/>
        <v>155239.34591989408</v>
      </c>
      <c r="AJ627" s="10">
        <f t="shared" ca="1" si="832"/>
        <v>136860.55176572286</v>
      </c>
      <c r="AK627" s="10">
        <f t="shared" ca="1" si="832"/>
        <v>265508.50353592669</v>
      </c>
      <c r="AL627" s="10">
        <f t="shared" ca="1" si="832"/>
        <v>542337.14248967462</v>
      </c>
      <c r="AM627" s="10">
        <f t="shared" ca="1" si="832"/>
        <v>178053.16783398975</v>
      </c>
      <c r="AN627" s="10">
        <f t="shared" ca="1" si="832"/>
        <v>158346.57675902639</v>
      </c>
      <c r="AO627" s="10">
        <f t="shared" ca="1" si="832"/>
        <v>303138.46741343156</v>
      </c>
      <c r="AP627" s="10">
        <f t="shared" ca="1" si="832"/>
        <v>604421.04394836153</v>
      </c>
      <c r="AQ627" s="10">
        <f t="shared" ca="1" si="832"/>
        <v>193809.5035475452</v>
      </c>
      <c r="AR627" s="10">
        <f t="shared" ca="1" si="832"/>
        <v>166581.36263558242</v>
      </c>
      <c r="AS627" s="10">
        <f t="shared" ca="1" si="832"/>
        <v>315264.00610996876</v>
      </c>
      <c r="AT627" s="10">
        <f t="shared" ca="1" si="832"/>
        <v>628597.88570629596</v>
      </c>
      <c r="AU627" s="10">
        <f t="shared" ca="1" si="832"/>
        <v>201561.88368944699</v>
      </c>
      <c r="AV627" s="10">
        <f t="shared" ca="1" si="832"/>
        <v>173244.6171410057</v>
      </c>
      <c r="AW627" s="10">
        <f t="shared" ca="1" si="832"/>
        <v>273228.80529530626</v>
      </c>
      <c r="AX627" s="10">
        <f t="shared" ca="1" si="832"/>
        <v>544784.83427878981</v>
      </c>
      <c r="AY627" s="10">
        <f t="shared" ca="1" si="832"/>
        <v>174686.96586418737</v>
      </c>
      <c r="AZ627" s="10">
        <f t="shared" ca="1" si="832"/>
        <v>150145.33485553824</v>
      </c>
      <c r="BA627" s="10">
        <f t="shared" ca="1" si="832"/>
        <v>284157.95750711841</v>
      </c>
      <c r="BB627" s="10">
        <f t="shared" ca="1" si="832"/>
        <v>566576.22764994123</v>
      </c>
      <c r="BC627" s="10">
        <f t="shared" ca="1" si="832"/>
        <v>181674.44449875483</v>
      </c>
      <c r="BD627" s="10">
        <f t="shared" ca="1" si="832"/>
        <v>157886.16100809045</v>
      </c>
      <c r="BE627" s="10">
        <f t="shared" ca="1" si="832"/>
        <v>295524.27580740314</v>
      </c>
      <c r="BF627" s="10">
        <f t="shared" ca="1" si="832"/>
        <v>589239.27675593877</v>
      </c>
      <c r="BG627" s="10">
        <f t="shared" ca="1" si="832"/>
        <v>188941.42227870499</v>
      </c>
      <c r="BH627" s="10">
        <f t="shared" ca="1" si="832"/>
        <v>162397.19417975011</v>
      </c>
      <c r="BI627" s="10">
        <f t="shared" ca="1" si="832"/>
        <v>307345.24683969916</v>
      </c>
      <c r="BJ627" s="10">
        <f t="shared" ca="1" si="832"/>
        <v>612808.84782617621</v>
      </c>
      <c r="BK627" s="10">
        <f t="shared" ca="1" si="832"/>
        <v>196499.07916985318</v>
      </c>
      <c r="BL627" s="10">
        <f t="shared" ca="1" si="832"/>
        <v>168893.08194694016</v>
      </c>
      <c r="BM627" s="10">
        <f t="shared" ca="1" si="832"/>
        <v>319639.05671328714</v>
      </c>
      <c r="BN627" s="10">
        <f t="shared" ca="1" si="832"/>
        <v>637321.20173922309</v>
      </c>
      <c r="BO627" s="10">
        <f t="shared" ca="1" si="832"/>
        <v>204359.04233664728</v>
      </c>
      <c r="BP627" s="10">
        <f t="shared" ca="1" si="832"/>
        <v>175648.80522481768</v>
      </c>
      <c r="BQ627" s="10">
        <f t="shared" ca="1" si="832"/>
        <v>332424.61898181855</v>
      </c>
      <c r="BR627" s="10">
        <f t="shared" ca="1" si="832"/>
        <v>662814.04980879207</v>
      </c>
      <c r="BS627" s="10">
        <f t="shared" ca="1" si="832"/>
        <v>212533.4040301131</v>
      </c>
      <c r="BT627" s="10">
        <f t="shared" ca="1" si="832"/>
        <v>184704.47696085268</v>
      </c>
      <c r="BU627" s="10">
        <f t="shared" ca="1" si="832"/>
        <v>345721.60374109127</v>
      </c>
      <c r="BV627" s="10">
        <f t="shared" ca="1" si="832"/>
        <v>689326.6118011435</v>
      </c>
      <c r="BW627" s="10">
        <f t="shared" ca="1" si="832"/>
        <v>221034.7401913176</v>
      </c>
      <c r="BX627" s="10">
        <f t="shared" ca="1" si="832"/>
        <v>189981.74773116276</v>
      </c>
      <c r="BY627" s="10">
        <f t="shared" ref="BY627:CO627" ca="1" si="833" xml:space="preserve"> (BY608 + BY609) * $I$514</f>
        <v>359550.46789073484</v>
      </c>
      <c r="BZ627" s="10">
        <f t="shared" ca="1" si="833"/>
        <v>716899.67627318925</v>
      </c>
      <c r="CA627" s="10">
        <f t="shared" ca="1" si="833"/>
        <v>229876.12979897027</v>
      </c>
      <c r="CB627" s="10">
        <f t="shared" ca="1" si="833"/>
        <v>197581.01764040926</v>
      </c>
      <c r="CC627" s="10">
        <f t="shared" ca="1" si="833"/>
        <v>373932.4866063642</v>
      </c>
      <c r="CD627" s="10">
        <f t="shared" ca="1" si="833"/>
        <v>745575.66332411673</v>
      </c>
      <c r="CE627" s="10">
        <f t="shared" ca="1" si="833"/>
        <v>239071.17499092908</v>
      </c>
      <c r="CF627" s="10">
        <f t="shared" ca="1" si="833"/>
        <v>205484.2583460256</v>
      </c>
      <c r="CG627" s="10">
        <f t="shared" ca="1" si="833"/>
        <v>388889.78607061872</v>
      </c>
      <c r="CH627" s="10">
        <f t="shared" ca="1" si="833"/>
        <v>775398.68985708139</v>
      </c>
      <c r="CI627" s="10">
        <f t="shared" ca="1" si="833"/>
        <v>248634.02199056625</v>
      </c>
      <c r="CJ627" s="10">
        <f t="shared" ca="1" si="833"/>
        <v>216078.11344297626</v>
      </c>
      <c r="CK627" s="10">
        <f t="shared" ca="1" si="833"/>
        <v>404445.37751344353</v>
      </c>
      <c r="CL627" s="10">
        <f t="shared" ca="1" si="833"/>
        <v>806414.63745136454</v>
      </c>
      <c r="CM627" s="10">
        <f t="shared" ca="1" si="833"/>
        <v>258579.38287018886</v>
      </c>
      <c r="CN627" s="10">
        <f t="shared" ca="1" si="833"/>
        <v>222251.77382706126</v>
      </c>
      <c r="CO627" s="10">
        <f t="shared" ca="1" si="833"/>
        <v>420623.1926139812</v>
      </c>
      <c r="CP627" s="10"/>
    </row>
    <row r="628" spans="1:94">
      <c r="B628" s="10"/>
      <c r="C628" s="17" t="s">
        <v>720</v>
      </c>
      <c r="D628" s="69"/>
      <c r="E628" s="62"/>
      <c r="F628" s="70"/>
      <c r="G628" s="11" t="str">
        <f>Monetary_Unit</f>
        <v>тыс. руб.</v>
      </c>
      <c r="H628" s="69"/>
      <c r="I628" s="23">
        <f ca="1">SUM(L628:CO628)</f>
        <v>8282455.4082911192</v>
      </c>
      <c r="J628" s="69"/>
      <c r="K628" s="69"/>
      <c r="L628" s="10">
        <f ca="1">(L619+L620)* $I$514</f>
        <v>0</v>
      </c>
      <c r="M628" s="10">
        <f t="shared" ref="M628:BX628" ca="1" si="834">(M619+M620)* $I$514</f>
        <v>0</v>
      </c>
      <c r="N628" s="10">
        <f t="shared" ca="1" si="834"/>
        <v>0</v>
      </c>
      <c r="O628" s="10">
        <f t="shared" ca="1" si="834"/>
        <v>0</v>
      </c>
      <c r="P628" s="10">
        <f t="shared" ca="1" si="834"/>
        <v>0</v>
      </c>
      <c r="Q628" s="10">
        <f t="shared" ca="1" si="834"/>
        <v>0</v>
      </c>
      <c r="R628" s="10">
        <f t="shared" ca="1" si="834"/>
        <v>0</v>
      </c>
      <c r="S628" s="10">
        <f t="shared" ca="1" si="834"/>
        <v>0</v>
      </c>
      <c r="T628" s="10">
        <f t="shared" ca="1" si="834"/>
        <v>0</v>
      </c>
      <c r="U628" s="10">
        <f t="shared" ca="1" si="834"/>
        <v>0</v>
      </c>
      <c r="V628" s="10">
        <f t="shared" ca="1" si="834"/>
        <v>0</v>
      </c>
      <c r="W628" s="10">
        <f t="shared" ca="1" si="834"/>
        <v>0</v>
      </c>
      <c r="X628" s="10">
        <f t="shared" ca="1" si="834"/>
        <v>0</v>
      </c>
      <c r="Y628" s="10">
        <f t="shared" ca="1" si="834"/>
        <v>0</v>
      </c>
      <c r="Z628" s="10">
        <f t="shared" ca="1" si="834"/>
        <v>0</v>
      </c>
      <c r="AA628" s="10">
        <f t="shared" ca="1" si="834"/>
        <v>0</v>
      </c>
      <c r="AB628" s="10">
        <f t="shared" ca="1" si="834"/>
        <v>0</v>
      </c>
      <c r="AC628" s="10">
        <f t="shared" ca="1" si="834"/>
        <v>71291.805297750776</v>
      </c>
      <c r="AD628" s="10">
        <f t="shared" ca="1" si="834"/>
        <v>107054.37645078206</v>
      </c>
      <c r="AE628" s="10">
        <f t="shared" ca="1" si="834"/>
        <v>56294.454255187949</v>
      </c>
      <c r="AF628" s="10">
        <f t="shared" ca="1" si="834"/>
        <v>53896.035544427155</v>
      </c>
      <c r="AG628" s="10">
        <f t="shared" ca="1" si="834"/>
        <v>83159.690515465234</v>
      </c>
      <c r="AH628" s="10">
        <f t="shared" ca="1" si="834"/>
        <v>124476.16549547574</v>
      </c>
      <c r="AI628" s="10">
        <f t="shared" ca="1" si="834"/>
        <v>65257.671347596755</v>
      </c>
      <c r="AJ628" s="10">
        <f t="shared" ca="1" si="834"/>
        <v>62298.359648903854</v>
      </c>
      <c r="AK628" s="10">
        <f t="shared" ca="1" si="834"/>
        <v>95862.93966212048</v>
      </c>
      <c r="AL628" s="10">
        <f t="shared" ca="1" si="834"/>
        <v>143120.41066142372</v>
      </c>
      <c r="AM628" s="10">
        <f t="shared" ca="1" si="834"/>
        <v>74847.874680589972</v>
      </c>
      <c r="AN628" s="10">
        <f t="shared" ca="1" si="834"/>
        <v>72078.709758477256</v>
      </c>
      <c r="AO628" s="10">
        <f t="shared" ca="1" si="834"/>
        <v>109449.39323568331</v>
      </c>
      <c r="AP628" s="10">
        <f t="shared" ca="1" si="834"/>
        <v>159504.08195386111</v>
      </c>
      <c r="AQ628" s="10">
        <f t="shared" ca="1" si="834"/>
        <v>81471.335836940008</v>
      </c>
      <c r="AR628" s="10">
        <f t="shared" ca="1" si="834"/>
        <v>75827.150383264277</v>
      </c>
      <c r="AS628" s="10">
        <f t="shared" ca="1" si="834"/>
        <v>113827.36896511065</v>
      </c>
      <c r="AT628" s="10">
        <f t="shared" ca="1" si="834"/>
        <v>165884.24523201556</v>
      </c>
      <c r="AU628" s="10">
        <f t="shared" ca="1" si="834"/>
        <v>84730.189270417584</v>
      </c>
      <c r="AV628" s="10">
        <f t="shared" ca="1" si="834"/>
        <v>78860.236398594832</v>
      </c>
      <c r="AW628" s="10">
        <f t="shared" ca="1" si="834"/>
        <v>118380.46372371505</v>
      </c>
      <c r="AX628" s="10">
        <f t="shared" ca="1" si="834"/>
        <v>172519.61504129617</v>
      </c>
      <c r="AY628" s="10">
        <f t="shared" ca="1" si="834"/>
        <v>88119.39684123428</v>
      </c>
      <c r="AZ628" s="10">
        <f t="shared" ca="1" si="834"/>
        <v>82014.645854538627</v>
      </c>
      <c r="BA628" s="10">
        <f t="shared" ca="1" si="834"/>
        <v>123115.68227266362</v>
      </c>
      <c r="BB628" s="10">
        <f t="shared" ca="1" si="834"/>
        <v>179420.39964294794</v>
      </c>
      <c r="BC628" s="10">
        <f t="shared" ca="1" si="834"/>
        <v>91644.172714883622</v>
      </c>
      <c r="BD628" s="10">
        <f t="shared" ca="1" si="834"/>
        <v>86242.956485261471</v>
      </c>
      <c r="BE628" s="10">
        <f t="shared" ca="1" si="834"/>
        <v>128040.30956357016</v>
      </c>
      <c r="BF628" s="10">
        <f t="shared" ca="1" si="834"/>
        <v>186597.21562866587</v>
      </c>
      <c r="BG628" s="10">
        <f t="shared" ca="1" si="834"/>
        <v>95309.939623478946</v>
      </c>
      <c r="BH628" s="10">
        <f t="shared" ca="1" si="834"/>
        <v>88707.040956268946</v>
      </c>
      <c r="BI628" s="10">
        <f t="shared" ca="1" si="834"/>
        <v>133161.92194611294</v>
      </c>
      <c r="BJ628" s="10">
        <f t="shared" ca="1" si="834"/>
        <v>194061.10425381243</v>
      </c>
      <c r="BK628" s="10">
        <f t="shared" ca="1" si="834"/>
        <v>99122.337208418117</v>
      </c>
      <c r="BL628" s="10">
        <f t="shared" ca="1" si="834"/>
        <v>92255.32259451969</v>
      </c>
      <c r="BM628" s="10">
        <f t="shared" ca="1" si="834"/>
        <v>138488.39882395745</v>
      </c>
      <c r="BN628" s="10">
        <f t="shared" ca="1" si="834"/>
        <v>201823.54842396491</v>
      </c>
      <c r="BO628" s="10">
        <f t="shared" ca="1" si="834"/>
        <v>103087.23069675481</v>
      </c>
      <c r="BP628" s="10">
        <f t="shared" ca="1" si="834"/>
        <v>95945.535498300451</v>
      </c>
      <c r="BQ628" s="10">
        <f t="shared" ca="1" si="834"/>
        <v>144027.9347769157</v>
      </c>
      <c r="BR628" s="10">
        <f t="shared" ca="1" si="834"/>
        <v>209896.49036092349</v>
      </c>
      <c r="BS628" s="10">
        <f t="shared" ca="1" si="834"/>
        <v>107210.71992462499</v>
      </c>
      <c r="BT628" s="10">
        <f t="shared" ca="1" si="834"/>
        <v>100892.06088399059</v>
      </c>
      <c r="BU628" s="10">
        <f t="shared" ca="1" si="834"/>
        <v>149789.05216799231</v>
      </c>
      <c r="BV628" s="10">
        <f t="shared" ca="1" si="834"/>
        <v>218292.34997536038</v>
      </c>
      <c r="BW628" s="10">
        <f t="shared" ca="1" si="834"/>
        <v>111499.14872160996</v>
      </c>
      <c r="BX628" s="10">
        <f t="shared" ca="1" si="834"/>
        <v>103774.69119496175</v>
      </c>
      <c r="BY628" s="10">
        <f t="shared" ref="BY628:CO628" ca="1" si="835">(BY619+BY620)* $I$514</f>
        <v>155780.61425471201</v>
      </c>
      <c r="BZ628" s="10">
        <f t="shared" ca="1" si="835"/>
        <v>227024.0439743748</v>
      </c>
      <c r="CA628" s="10">
        <f t="shared" ca="1" si="835"/>
        <v>115959.11467047434</v>
      </c>
      <c r="CB628" s="10">
        <f t="shared" ca="1" si="835"/>
        <v>107925.67884276022</v>
      </c>
      <c r="CC628" s="10">
        <f t="shared" ca="1" si="835"/>
        <v>162011.83882490045</v>
      </c>
      <c r="CD628" s="10">
        <f t="shared" ca="1" si="835"/>
        <v>236105.00573334977</v>
      </c>
      <c r="CE628" s="10">
        <f t="shared" ca="1" si="835"/>
        <v>120597.47925729331</v>
      </c>
      <c r="CF628" s="10">
        <f t="shared" ca="1" si="835"/>
        <v>112242.70599647058</v>
      </c>
      <c r="CG628" s="10">
        <f t="shared" ca="1" si="835"/>
        <v>168492.31237789648</v>
      </c>
      <c r="CH628" s="10">
        <f t="shared" ca="1" si="835"/>
        <v>245549.20596268371</v>
      </c>
      <c r="CI628" s="10">
        <f t="shared" ca="1" si="835"/>
        <v>125421.37842758506</v>
      </c>
      <c r="CJ628" s="10">
        <f t="shared" ca="1" si="835"/>
        <v>118029.44106117752</v>
      </c>
      <c r="CK628" s="10">
        <f t="shared" ca="1" si="835"/>
        <v>175232.00487301231</v>
      </c>
      <c r="CL628" s="10">
        <f t="shared" ca="1" si="835"/>
        <v>255371.17420119105</v>
      </c>
      <c r="CM628" s="10">
        <f t="shared" ca="1" si="835"/>
        <v>130438.23356468845</v>
      </c>
      <c r="CN628" s="10">
        <f t="shared" ca="1" si="835"/>
        <v>121401.7108057826</v>
      </c>
      <c r="CO628" s="10">
        <f t="shared" ca="1" si="835"/>
        <v>182241.2850679328</v>
      </c>
      <c r="CP628" s="10"/>
    </row>
    <row r="629" spans="1:94" ht="15.75" thickBot="1">
      <c r="B629" s="10"/>
      <c r="C629" s="17" t="s">
        <v>721</v>
      </c>
      <c r="D629" s="69"/>
      <c r="E629" s="62"/>
      <c r="F629" s="70"/>
      <c r="G629" s="11" t="str">
        <f>Monetary_Unit</f>
        <v>тыс. руб.</v>
      </c>
      <c r="H629" s="69"/>
      <c r="I629" s="23">
        <f ca="1">SUM(L629:CO629)</f>
        <v>2246482.5466819666</v>
      </c>
      <c r="J629" s="69"/>
      <c r="K629" s="69"/>
      <c r="L629" s="10">
        <f ca="1">L623 * $I$514</f>
        <v>0</v>
      </c>
      <c r="M629" s="10">
        <f t="shared" ref="M629:BX629" ca="1" si="836">M623 * $I$514</f>
        <v>0</v>
      </c>
      <c r="N629" s="10">
        <f t="shared" ca="1" si="836"/>
        <v>0</v>
      </c>
      <c r="O629" s="10">
        <f t="shared" ca="1" si="836"/>
        <v>0</v>
      </c>
      <c r="P629" s="10">
        <f t="shared" ca="1" si="836"/>
        <v>0</v>
      </c>
      <c r="Q629" s="10">
        <f t="shared" ca="1" si="836"/>
        <v>0</v>
      </c>
      <c r="R629" s="10">
        <f t="shared" ca="1" si="836"/>
        <v>0</v>
      </c>
      <c r="S629" s="10">
        <f t="shared" ca="1" si="836"/>
        <v>0</v>
      </c>
      <c r="T629" s="10">
        <f t="shared" ca="1" si="836"/>
        <v>0</v>
      </c>
      <c r="U629" s="10">
        <f t="shared" ca="1" si="836"/>
        <v>0</v>
      </c>
      <c r="V629" s="10">
        <f t="shared" ca="1" si="836"/>
        <v>0</v>
      </c>
      <c r="W629" s="10">
        <f t="shared" ca="1" si="836"/>
        <v>0</v>
      </c>
      <c r="X629" s="10">
        <f t="shared" ca="1" si="836"/>
        <v>0</v>
      </c>
      <c r="Y629" s="10">
        <f t="shared" ca="1" si="836"/>
        <v>0</v>
      </c>
      <c r="Z629" s="10">
        <f t="shared" ca="1" si="836"/>
        <v>0</v>
      </c>
      <c r="AA629" s="10">
        <f t="shared" ca="1" si="836"/>
        <v>0</v>
      </c>
      <c r="AB629" s="10">
        <f t="shared" ca="1" si="836"/>
        <v>0</v>
      </c>
      <c r="AC629" s="10">
        <f t="shared" ca="1" si="836"/>
        <v>18390.913751730091</v>
      </c>
      <c r="AD629" s="10">
        <f t="shared" ca="1" si="836"/>
        <v>34894.086430565592</v>
      </c>
      <c r="AE629" s="10">
        <f t="shared" ca="1" si="836"/>
        <v>13055.436182127094</v>
      </c>
      <c r="AF629" s="10">
        <f t="shared" ca="1" si="836"/>
        <v>11845.232899199973</v>
      </c>
      <c r="AG629" s="10">
        <f t="shared" ca="1" si="836"/>
        <v>21452.433270598343</v>
      </c>
      <c r="AH629" s="10">
        <f t="shared" ca="1" si="836"/>
        <v>40572.671770606416</v>
      </c>
      <c r="AI629" s="10">
        <f t="shared" ca="1" si="836"/>
        <v>15134.125997753288</v>
      </c>
      <c r="AJ629" s="10">
        <f t="shared" ca="1" si="836"/>
        <v>13691.889799039047</v>
      </c>
      <c r="AK629" s="10">
        <f t="shared" ca="1" si="836"/>
        <v>24729.448888973297</v>
      </c>
      <c r="AL629" s="10">
        <f t="shared" ca="1" si="836"/>
        <v>46649.71339956161</v>
      </c>
      <c r="AM629" s="10">
        <f t="shared" ca="1" si="836"/>
        <v>17358.22230073818</v>
      </c>
      <c r="AN629" s="10">
        <f t="shared" ca="1" si="836"/>
        <v>15841.408287984599</v>
      </c>
      <c r="AO629" s="10">
        <f t="shared" ca="1" si="836"/>
        <v>28234.301863585275</v>
      </c>
      <c r="AP629" s="10">
        <f t="shared" ca="1" si="836"/>
        <v>51989.927046886172</v>
      </c>
      <c r="AQ629" s="10">
        <f t="shared" ca="1" si="836"/>
        <v>18894.291449566572</v>
      </c>
      <c r="AR629" s="10">
        <f t="shared" ca="1" si="836"/>
        <v>16665.237940034323</v>
      </c>
      <c r="AS629" s="10">
        <f t="shared" ca="1" si="836"/>
        <v>29363.673938128679</v>
      </c>
      <c r="AT629" s="10">
        <f t="shared" ca="1" si="836"/>
        <v>54069.524128761615</v>
      </c>
      <c r="AU629" s="10">
        <f t="shared" ca="1" si="836"/>
        <v>19650.063107549231</v>
      </c>
      <c r="AV629" s="10">
        <f t="shared" ca="1" si="836"/>
        <v>17331.847457635693</v>
      </c>
      <c r="AW629" s="10">
        <f t="shared" ca="1" si="836"/>
        <v>30538.220895653823</v>
      </c>
      <c r="AX629" s="10">
        <f t="shared" ca="1" si="836"/>
        <v>56232.30509391208</v>
      </c>
      <c r="AY629" s="10">
        <f t="shared" ca="1" si="836"/>
        <v>20436.065631851201</v>
      </c>
      <c r="AZ629" s="10">
        <f t="shared" ca="1" si="836"/>
        <v>18025.121355941115</v>
      </c>
      <c r="BA629" s="10">
        <f t="shared" ca="1" si="836"/>
        <v>31759.749731479969</v>
      </c>
      <c r="BB629" s="10">
        <f t="shared" ca="1" si="836"/>
        <v>58481.597297668544</v>
      </c>
      <c r="BC629" s="10">
        <f t="shared" ca="1" si="836"/>
        <v>21253.508257125242</v>
      </c>
      <c r="BD629" s="10">
        <f t="shared" ca="1" si="836"/>
        <v>18954.416501402968</v>
      </c>
      <c r="BE629" s="10">
        <f t="shared" ca="1" si="836"/>
        <v>33030.139720739164</v>
      </c>
      <c r="BF629" s="10">
        <f t="shared" ca="1" si="836"/>
        <v>60820.861189575284</v>
      </c>
      <c r="BG629" s="10">
        <f t="shared" ca="1" si="836"/>
        <v>22103.648587410251</v>
      </c>
      <c r="BH629" s="10">
        <f t="shared" ca="1" si="836"/>
        <v>19495.971258585905</v>
      </c>
      <c r="BI629" s="10">
        <f t="shared" ca="1" si="836"/>
        <v>34351.345309568722</v>
      </c>
      <c r="BJ629" s="10">
        <f t="shared" ca="1" si="836"/>
        <v>63253.695637158278</v>
      </c>
      <c r="BK629" s="10">
        <f t="shared" ca="1" si="836"/>
        <v>22987.79453090666</v>
      </c>
      <c r="BL629" s="10">
        <f t="shared" ca="1" si="836"/>
        <v>20275.810108929345</v>
      </c>
      <c r="BM629" s="10">
        <f t="shared" ca="1" si="836"/>
        <v>35725.399121951472</v>
      </c>
      <c r="BN629" s="10">
        <f t="shared" ca="1" si="836"/>
        <v>65783.843462644596</v>
      </c>
      <c r="BO629" s="10">
        <f t="shared" ca="1" si="836"/>
        <v>23907.306312142919</v>
      </c>
      <c r="BP629" s="10">
        <f t="shared" ca="1" si="836"/>
        <v>21086.842513286509</v>
      </c>
      <c r="BQ629" s="10">
        <f t="shared" ca="1" si="836"/>
        <v>37154.415086829526</v>
      </c>
      <c r="BR629" s="10">
        <f t="shared" ca="1" si="836"/>
        <v>68415.197201150382</v>
      </c>
      <c r="BS629" s="10">
        <f t="shared" ca="1" si="836"/>
        <v>24863.598564628632</v>
      </c>
      <c r="BT629" s="10">
        <f t="shared" ca="1" si="836"/>
        <v>22173.9863939715</v>
      </c>
      <c r="BU629" s="10">
        <f t="shared" ca="1" si="836"/>
        <v>38640.591690302695</v>
      </c>
      <c r="BV629" s="10">
        <f t="shared" ca="1" si="836"/>
        <v>71151.805089196365</v>
      </c>
      <c r="BW629" s="10">
        <f t="shared" ca="1" si="836"/>
        <v>25858.142507213775</v>
      </c>
      <c r="BX629" s="10">
        <f t="shared" ca="1" si="836"/>
        <v>22807.52886237068</v>
      </c>
      <c r="BY629" s="10">
        <f t="shared" ref="BY629:CO629" ca="1" si="837">BY623 * $I$514</f>
        <v>40186.2153579148</v>
      </c>
      <c r="BZ629" s="10">
        <f t="shared" ca="1" si="837"/>
        <v>73997.877292764228</v>
      </c>
      <c r="CA629" s="10">
        <f t="shared" ca="1" si="837"/>
        <v>26892.468207502319</v>
      </c>
      <c r="CB629" s="10">
        <f t="shared" ca="1" si="837"/>
        <v>23719.830016865511</v>
      </c>
      <c r="CC629" s="10">
        <f t="shared" ca="1" si="837"/>
        <v>41793.663972231385</v>
      </c>
      <c r="CD629" s="10">
        <f t="shared" ca="1" si="837"/>
        <v>76957.792384474786</v>
      </c>
      <c r="CE629" s="10">
        <f t="shared" ca="1" si="837"/>
        <v>27968.166935802408</v>
      </c>
      <c r="CF629" s="10">
        <f t="shared" ca="1" si="837"/>
        <v>24668.623217540124</v>
      </c>
      <c r="CG629" s="10">
        <f t="shared" ca="1" si="837"/>
        <v>43465.410531120637</v>
      </c>
      <c r="CH629" s="10">
        <f t="shared" ca="1" si="837"/>
        <v>80036.104079853772</v>
      </c>
      <c r="CI629" s="10">
        <f t="shared" ca="1" si="837"/>
        <v>29086.893613234508</v>
      </c>
      <c r="CJ629" s="10">
        <f t="shared" ca="1" si="837"/>
        <v>25940.427792311082</v>
      </c>
      <c r="CK629" s="10">
        <f t="shared" ca="1" si="837"/>
        <v>45204.026952365472</v>
      </c>
      <c r="CL629" s="10">
        <f t="shared" ca="1" si="837"/>
        <v>83237.548243047917</v>
      </c>
      <c r="CM629" s="10">
        <f t="shared" ca="1" si="837"/>
        <v>30250.369357763884</v>
      </c>
      <c r="CN629" s="10">
        <f t="shared" ca="1" si="837"/>
        <v>26681.582872091396</v>
      </c>
      <c r="CO629" s="10">
        <f t="shared" ca="1" si="837"/>
        <v>47012.188030460078</v>
      </c>
      <c r="CP629" s="10"/>
    </row>
    <row r="630" spans="1:94" ht="15.75" thickTop="1">
      <c r="B630" s="101"/>
      <c r="C630" s="49" t="str">
        <f>"Итого: выручка " &amp; C35 &amp; " в прогнозных ценах без НДС"</f>
        <v>Итого: выручка Объект размещения (отель) в прогнозных ценах без НДС</v>
      </c>
      <c r="D630" s="49"/>
      <c r="E630" s="136"/>
      <c r="F630" s="49"/>
      <c r="G630" s="159" t="str">
        <f xml:space="preserve"> Monetary_Unit</f>
        <v>тыс. руб.</v>
      </c>
      <c r="H630" s="49"/>
      <c r="I630" s="23">
        <f ca="1">SUM(L630:CO630)</f>
        <v>31948941.046733905</v>
      </c>
      <c r="J630" s="49"/>
      <c r="K630" s="49"/>
      <c r="L630" s="49">
        <f t="shared" ref="L630:R630" ca="1" si="838" xml:space="preserve"> SUM(L627:L629)</f>
        <v>0</v>
      </c>
      <c r="M630" s="49">
        <f t="shared" ca="1" si="838"/>
        <v>0</v>
      </c>
      <c r="N630" s="49">
        <f t="shared" ca="1" si="838"/>
        <v>0</v>
      </c>
      <c r="O630" s="49">
        <f t="shared" ca="1" si="838"/>
        <v>0</v>
      </c>
      <c r="P630" s="49">
        <f t="shared" ca="1" si="838"/>
        <v>0</v>
      </c>
      <c r="Q630" s="49">
        <f t="shared" ca="1" si="838"/>
        <v>0</v>
      </c>
      <c r="R630" s="49">
        <f t="shared" ca="1" si="838"/>
        <v>0</v>
      </c>
      <c r="S630" s="49">
        <f ca="1" xml:space="preserve"> SUM(S627:S629)</f>
        <v>0</v>
      </c>
      <c r="T630" s="49">
        <f t="shared" ref="T630:CE630" ca="1" si="839" xml:space="preserve"> SUM(T627:T629)</f>
        <v>0</v>
      </c>
      <c r="U630" s="49">
        <f t="shared" ca="1" si="839"/>
        <v>0</v>
      </c>
      <c r="V630" s="49">
        <f t="shared" ca="1" si="839"/>
        <v>0</v>
      </c>
      <c r="W630" s="49">
        <f t="shared" ca="1" si="839"/>
        <v>0</v>
      </c>
      <c r="X630" s="49">
        <f t="shared" ca="1" si="839"/>
        <v>0</v>
      </c>
      <c r="Y630" s="49">
        <f t="shared" ca="1" si="839"/>
        <v>0</v>
      </c>
      <c r="Z630" s="49">
        <f t="shared" ca="1" si="839"/>
        <v>0</v>
      </c>
      <c r="AA630" s="49">
        <f t="shared" ca="1" si="839"/>
        <v>0</v>
      </c>
      <c r="AB630" s="49">
        <f t="shared" ca="1" si="839"/>
        <v>0</v>
      </c>
      <c r="AC630" s="49">
        <f t="shared" ca="1" si="839"/>
        <v>287137.34130179585</v>
      </c>
      <c r="AD630" s="49">
        <f t="shared" ca="1" si="839"/>
        <v>547617.81742701808</v>
      </c>
      <c r="AE630" s="49">
        <f t="shared" ca="1" si="839"/>
        <v>203266.93156101141</v>
      </c>
      <c r="AF630" s="49">
        <f t="shared" ca="1" si="839"/>
        <v>184143.12050146211</v>
      </c>
      <c r="AG630" s="49">
        <f t="shared" ca="1" si="839"/>
        <v>334936.84636492439</v>
      </c>
      <c r="AH630" s="49">
        <f t="shared" ca="1" si="839"/>
        <v>636735.91244217439</v>
      </c>
      <c r="AI630" s="49">
        <f t="shared" ca="1" si="839"/>
        <v>235631.14326524414</v>
      </c>
      <c r="AJ630" s="49">
        <f t="shared" ca="1" si="839"/>
        <v>212850.80121366578</v>
      </c>
      <c r="AK630" s="49">
        <f t="shared" ca="1" si="839"/>
        <v>386100.89208702045</v>
      </c>
      <c r="AL630" s="49">
        <f t="shared" ca="1" si="839"/>
        <v>732107.2665506599</v>
      </c>
      <c r="AM630" s="49">
        <f t="shared" ca="1" si="839"/>
        <v>270259.26481531787</v>
      </c>
      <c r="AN630" s="49">
        <f t="shared" ca="1" si="839"/>
        <v>246266.69480548825</v>
      </c>
      <c r="AO630" s="49">
        <f t="shared" ca="1" si="839"/>
        <v>440822.16251270013</v>
      </c>
      <c r="AP630" s="49">
        <f t="shared" ca="1" si="839"/>
        <v>815915.05294910888</v>
      </c>
      <c r="AQ630" s="49">
        <f t="shared" ca="1" si="839"/>
        <v>294175.13083405176</v>
      </c>
      <c r="AR630" s="49">
        <f t="shared" ca="1" si="839"/>
        <v>259073.75095888102</v>
      </c>
      <c r="AS630" s="49">
        <f t="shared" ca="1" si="839"/>
        <v>458455.04901320807</v>
      </c>
      <c r="AT630" s="49">
        <f t="shared" ca="1" si="839"/>
        <v>848551.65506707318</v>
      </c>
      <c r="AU630" s="49">
        <f t="shared" ca="1" si="839"/>
        <v>305942.13606741378</v>
      </c>
      <c r="AV630" s="49">
        <f t="shared" ca="1" si="839"/>
        <v>269436.70099723624</v>
      </c>
      <c r="AW630" s="49">
        <f t="shared" ca="1" si="839"/>
        <v>422147.48991467513</v>
      </c>
      <c r="AX630" s="49">
        <f t="shared" ca="1" si="839"/>
        <v>773536.7544139981</v>
      </c>
      <c r="AY630" s="49">
        <f t="shared" ca="1" si="839"/>
        <v>283242.42833727284</v>
      </c>
      <c r="AZ630" s="49">
        <f t="shared" ca="1" si="839"/>
        <v>250185.10206601798</v>
      </c>
      <c r="BA630" s="49">
        <f t="shared" ca="1" si="839"/>
        <v>439033.38951126201</v>
      </c>
      <c r="BB630" s="49">
        <f t="shared" ca="1" si="839"/>
        <v>804478.22459055774</v>
      </c>
      <c r="BC630" s="49">
        <f t="shared" ca="1" si="839"/>
        <v>294572.12547076365</v>
      </c>
      <c r="BD630" s="49">
        <f t="shared" ca="1" si="839"/>
        <v>263083.53399475489</v>
      </c>
      <c r="BE630" s="49">
        <f t="shared" ca="1" si="839"/>
        <v>456594.72509171249</v>
      </c>
      <c r="BF630" s="49">
        <f t="shared" ca="1" si="839"/>
        <v>836657.35357417993</v>
      </c>
      <c r="BG630" s="49">
        <f t="shared" ca="1" si="839"/>
        <v>306355.01048959419</v>
      </c>
      <c r="BH630" s="49">
        <f t="shared" ca="1" si="839"/>
        <v>270600.20639460499</v>
      </c>
      <c r="BI630" s="49">
        <f t="shared" ca="1" si="839"/>
        <v>474858.51409538084</v>
      </c>
      <c r="BJ630" s="49">
        <f t="shared" ca="1" si="839"/>
        <v>870123.6477171469</v>
      </c>
      <c r="BK630" s="49">
        <f t="shared" ca="1" si="839"/>
        <v>318609.21090917796</v>
      </c>
      <c r="BL630" s="49">
        <f t="shared" ca="1" si="839"/>
        <v>281424.21465038921</v>
      </c>
      <c r="BM630" s="49">
        <f t="shared" ca="1" si="839"/>
        <v>493852.85465919605</v>
      </c>
      <c r="BN630" s="49">
        <f t="shared" ca="1" si="839"/>
        <v>904928.59362583258</v>
      </c>
      <c r="BO630" s="49">
        <f t="shared" ca="1" si="839"/>
        <v>331353.57934554503</v>
      </c>
      <c r="BP630" s="49">
        <f t="shared" ca="1" si="839"/>
        <v>292681.18323640467</v>
      </c>
      <c r="BQ630" s="49">
        <f t="shared" ca="1" si="839"/>
        <v>513606.96884556377</v>
      </c>
      <c r="BR630" s="49">
        <f t="shared" ca="1" si="839"/>
        <v>941125.73737086589</v>
      </c>
      <c r="BS630" s="49">
        <f t="shared" ca="1" si="839"/>
        <v>344607.72251936671</v>
      </c>
      <c r="BT630" s="49">
        <f t="shared" ca="1" si="839"/>
        <v>307770.52423881477</v>
      </c>
      <c r="BU630" s="49">
        <f t="shared" ca="1" si="839"/>
        <v>534151.24759938626</v>
      </c>
      <c r="BV630" s="49">
        <f t="shared" ca="1" si="839"/>
        <v>978770.76686570025</v>
      </c>
      <c r="BW630" s="49">
        <f t="shared" ca="1" si="839"/>
        <v>358392.03142014134</v>
      </c>
      <c r="BX630" s="49">
        <f t="shared" ca="1" si="839"/>
        <v>316563.96778849518</v>
      </c>
      <c r="BY630" s="49">
        <f t="shared" ca="1" si="839"/>
        <v>555517.29750336171</v>
      </c>
      <c r="BZ630" s="49">
        <f t="shared" ca="1" si="839"/>
        <v>1017921.5975403283</v>
      </c>
      <c r="CA630" s="49">
        <f t="shared" ca="1" si="839"/>
        <v>372727.71267694695</v>
      </c>
      <c r="CB630" s="49">
        <f t="shared" ca="1" si="839"/>
        <v>329226.52650003496</v>
      </c>
      <c r="CC630" s="49">
        <f t="shared" ca="1" si="839"/>
        <v>577737.98940349603</v>
      </c>
      <c r="CD630" s="49">
        <f t="shared" ca="1" si="839"/>
        <v>1058638.4614419413</v>
      </c>
      <c r="CE630" s="49">
        <f t="shared" ca="1" si="839"/>
        <v>387636.8211840248</v>
      </c>
      <c r="CF630" s="49">
        <f t="shared" ref="CF630:CO630" ca="1" si="840" xml:space="preserve"> SUM(CF627:CF629)</f>
        <v>342395.58756003634</v>
      </c>
      <c r="CG630" s="49">
        <f t="shared" ca="1" si="840"/>
        <v>600847.50897963578</v>
      </c>
      <c r="CH630" s="49">
        <f t="shared" ca="1" si="840"/>
        <v>1100983.9998996188</v>
      </c>
      <c r="CI630" s="49">
        <f t="shared" ca="1" si="840"/>
        <v>403142.2940313858</v>
      </c>
      <c r="CJ630" s="49">
        <f t="shared" ca="1" si="840"/>
        <v>360047.98229646485</v>
      </c>
      <c r="CK630" s="49">
        <f t="shared" ca="1" si="840"/>
        <v>624881.40933882119</v>
      </c>
      <c r="CL630" s="49">
        <f t="shared" ca="1" si="840"/>
        <v>1145023.3598956035</v>
      </c>
      <c r="CM630" s="49">
        <f t="shared" ca="1" si="840"/>
        <v>419267.98579264118</v>
      </c>
      <c r="CN630" s="49">
        <f t="shared" ca="1" si="840"/>
        <v>370335.06750493526</v>
      </c>
      <c r="CO630" s="49">
        <f t="shared" ca="1" si="840"/>
        <v>649876.66571237403</v>
      </c>
    </row>
    <row r="631" spans="1:94">
      <c r="B631" s="13"/>
      <c r="C631" s="21"/>
      <c r="D631" s="10"/>
      <c r="E631" s="62"/>
      <c r="F631" s="11"/>
      <c r="G631" s="11"/>
      <c r="H631" s="10"/>
      <c r="I631" s="10"/>
      <c r="J631" s="10"/>
      <c r="K631" s="10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  <c r="AA631" s="78"/>
      <c r="AB631" s="78"/>
      <c r="AC631" s="78"/>
      <c r="AD631" s="78"/>
      <c r="AE631" s="78"/>
      <c r="AF631" s="78"/>
      <c r="AG631" s="78"/>
      <c r="AH631" s="78"/>
      <c r="AI631" s="78"/>
      <c r="AJ631" s="78"/>
      <c r="AK631" s="78"/>
      <c r="AL631" s="78"/>
      <c r="AM631" s="78"/>
      <c r="AN631" s="78"/>
      <c r="AO631" s="78"/>
      <c r="AP631" s="78"/>
      <c r="AQ631" s="78"/>
      <c r="AR631" s="78"/>
      <c r="AS631" s="78"/>
      <c r="AT631" s="78"/>
      <c r="AU631" s="78"/>
      <c r="AV631" s="78"/>
      <c r="AW631" s="78"/>
      <c r="AX631" s="78"/>
      <c r="AY631" s="78"/>
      <c r="AZ631" s="78"/>
      <c r="BA631" s="78"/>
      <c r="BB631" s="78"/>
      <c r="BC631" s="78"/>
      <c r="BD631" s="78"/>
      <c r="BE631" s="78"/>
      <c r="BF631" s="78"/>
      <c r="BG631" s="78"/>
      <c r="BH631" s="78"/>
      <c r="BI631" s="78"/>
      <c r="BJ631" s="78"/>
      <c r="BK631" s="78"/>
      <c r="BL631" s="78"/>
      <c r="BM631" s="78"/>
      <c r="BN631" s="78"/>
      <c r="BO631" s="78"/>
      <c r="BP631" s="78"/>
      <c r="BQ631" s="78"/>
      <c r="BR631" s="78"/>
      <c r="BS631" s="78"/>
      <c r="BT631" s="78"/>
      <c r="BU631" s="78"/>
      <c r="BV631" s="78"/>
      <c r="BW631" s="78"/>
      <c r="BX631" s="78"/>
      <c r="BY631" s="78"/>
      <c r="BZ631" s="78"/>
      <c r="CA631" s="78"/>
      <c r="CB631" s="78"/>
      <c r="CC631" s="78"/>
      <c r="CD631" s="78"/>
      <c r="CE631" s="78"/>
      <c r="CF631" s="78"/>
      <c r="CG631" s="78"/>
      <c r="CH631" s="78"/>
      <c r="CI631" s="78"/>
      <c r="CJ631" s="78"/>
      <c r="CK631" s="78"/>
      <c r="CL631" s="78"/>
      <c r="CM631" s="78"/>
      <c r="CN631" s="78"/>
      <c r="CO631" s="78"/>
    </row>
    <row r="632" spans="1:94" ht="15" customHeight="1">
      <c r="A632" s="10"/>
      <c r="B632" s="3"/>
      <c r="C632" s="382" t="str">
        <f>C510</f>
        <v>Сегмент 2: Развлекательный комплекс</v>
      </c>
      <c r="D632" s="271"/>
      <c r="E632" s="271"/>
      <c r="F632" s="271"/>
      <c r="G632" s="272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  <c r="CA632" s="271"/>
      <c r="CB632" s="271"/>
      <c r="CC632" s="271"/>
      <c r="CD632" s="271"/>
      <c r="CE632" s="271"/>
      <c r="CF632" s="271"/>
      <c r="CG632" s="271"/>
      <c r="CH632" s="271"/>
      <c r="CI632" s="271"/>
      <c r="CJ632" s="271"/>
      <c r="CK632" s="271"/>
      <c r="CL632" s="271"/>
      <c r="CM632" s="271"/>
      <c r="CN632" s="271"/>
      <c r="CO632" s="271"/>
    </row>
    <row r="633" spans="1:94">
      <c r="B633" s="13"/>
      <c r="C633" s="21"/>
      <c r="D633" s="10"/>
      <c r="E633" s="62"/>
      <c r="F633" s="11"/>
      <c r="G633" s="11"/>
      <c r="H633" s="10"/>
      <c r="I633" s="10"/>
      <c r="J633" s="10"/>
      <c r="K633" s="10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  <c r="AA633" s="78"/>
      <c r="AB633" s="78"/>
      <c r="AC633" s="78"/>
      <c r="AD633" s="78"/>
      <c r="AE633" s="78"/>
      <c r="AF633" s="78"/>
      <c r="AG633" s="78"/>
      <c r="AH633" s="78"/>
      <c r="AI633" s="78"/>
      <c r="AJ633" s="78"/>
      <c r="AK633" s="78"/>
      <c r="AL633" s="78"/>
      <c r="AM633" s="78"/>
      <c r="AN633" s="78"/>
      <c r="AO633" s="78"/>
      <c r="AP633" s="78"/>
      <c r="AQ633" s="78"/>
      <c r="AR633" s="78"/>
      <c r="AS633" s="78"/>
      <c r="AT633" s="78"/>
      <c r="AU633" s="78"/>
      <c r="AV633" s="78"/>
      <c r="AW633" s="78"/>
      <c r="AX633" s="78"/>
      <c r="AY633" s="78"/>
      <c r="AZ633" s="78"/>
      <c r="BA633" s="78"/>
      <c r="BB633" s="78"/>
      <c r="BC633" s="78"/>
      <c r="BD633" s="78"/>
      <c r="BE633" s="78"/>
      <c r="BF633" s="78"/>
      <c r="BG633" s="78"/>
      <c r="BH633" s="78"/>
      <c r="BI633" s="78"/>
      <c r="BJ633" s="78"/>
      <c r="BK633" s="78"/>
      <c r="BL633" s="78"/>
      <c r="BM633" s="78"/>
      <c r="BN633" s="78"/>
      <c r="BO633" s="78"/>
      <c r="BP633" s="78"/>
      <c r="BQ633" s="78"/>
      <c r="BR633" s="78"/>
      <c r="BS633" s="78"/>
      <c r="BT633" s="78"/>
      <c r="BU633" s="78"/>
      <c r="BV633" s="78"/>
      <c r="BW633" s="78"/>
      <c r="BX633" s="78"/>
      <c r="BY633" s="78"/>
      <c r="BZ633" s="78"/>
      <c r="CA633" s="78"/>
      <c r="CB633" s="78"/>
      <c r="CC633" s="78"/>
      <c r="CD633" s="78"/>
      <c r="CE633" s="78"/>
      <c r="CF633" s="78"/>
      <c r="CG633" s="78"/>
      <c r="CH633" s="78"/>
      <c r="CI633" s="78"/>
      <c r="CJ633" s="78"/>
      <c r="CK633" s="78"/>
      <c r="CL633" s="78"/>
      <c r="CM633" s="78"/>
      <c r="CN633" s="78"/>
      <c r="CO633" s="78"/>
    </row>
    <row r="634" spans="1:94" ht="16.5" hidden="1" thickBot="1">
      <c r="B634" s="13"/>
      <c r="C634" s="12" t="s">
        <v>851</v>
      </c>
      <c r="D634" s="12"/>
      <c r="E634" s="12"/>
      <c r="F634" s="12"/>
      <c r="G634" s="360"/>
      <c r="H634" s="12"/>
      <c r="I634" s="12"/>
      <c r="J634" s="10"/>
      <c r="K634" s="10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  <c r="AA634" s="78"/>
      <c r="AB634" s="78"/>
      <c r="AC634" s="78"/>
      <c r="AD634" s="78"/>
      <c r="AE634" s="78"/>
      <c r="AF634" s="78"/>
      <c r="AG634" s="78"/>
      <c r="AH634" s="78"/>
      <c r="AI634" s="78"/>
      <c r="AJ634" s="78"/>
      <c r="AK634" s="78"/>
      <c r="AL634" s="78"/>
      <c r="AM634" s="78"/>
      <c r="AN634" s="78"/>
      <c r="AO634" s="78"/>
      <c r="AP634" s="78"/>
      <c r="AQ634" s="78"/>
      <c r="AR634" s="78"/>
      <c r="AS634" s="78"/>
      <c r="AT634" s="78"/>
      <c r="AU634" s="78"/>
      <c r="AV634" s="78"/>
      <c r="AW634" s="78"/>
      <c r="AX634" s="78"/>
      <c r="AY634" s="78"/>
      <c r="AZ634" s="78"/>
      <c r="BA634" s="78"/>
      <c r="BB634" s="78"/>
      <c r="BC634" s="78"/>
      <c r="BD634" s="78"/>
      <c r="BE634" s="78"/>
      <c r="BF634" s="78"/>
      <c r="BG634" s="78"/>
      <c r="BH634" s="78"/>
      <c r="BI634" s="78"/>
      <c r="BJ634" s="78"/>
      <c r="BK634" s="78"/>
      <c r="BL634" s="78"/>
      <c r="BM634" s="78"/>
      <c r="BN634" s="78"/>
      <c r="BO634" s="78"/>
      <c r="BP634" s="78"/>
      <c r="BQ634" s="78"/>
      <c r="BR634" s="78"/>
      <c r="BS634" s="78"/>
      <c r="BT634" s="78"/>
      <c r="BU634" s="78"/>
      <c r="BV634" s="78"/>
      <c r="BW634" s="78"/>
      <c r="BX634" s="78"/>
      <c r="BY634" s="78"/>
      <c r="BZ634" s="78"/>
      <c r="CA634" s="78"/>
      <c r="CB634" s="78"/>
      <c r="CC634" s="78"/>
      <c r="CD634" s="78"/>
      <c r="CE634" s="78"/>
      <c r="CF634" s="78"/>
      <c r="CG634" s="78"/>
      <c r="CH634" s="78"/>
      <c r="CI634" s="78"/>
      <c r="CJ634" s="78"/>
      <c r="CK634" s="78"/>
      <c r="CL634" s="78"/>
      <c r="CM634" s="78"/>
      <c r="CN634" s="78"/>
      <c r="CO634" s="78"/>
    </row>
    <row r="635" spans="1:94" s="141" customFormat="1" ht="12.75" hidden="1">
      <c r="B635" s="10"/>
      <c r="C635" s="21"/>
      <c r="D635" s="10"/>
      <c r="E635" s="62"/>
      <c r="F635" s="11"/>
      <c r="G635" s="11"/>
      <c r="H635" s="10"/>
      <c r="I635" s="10"/>
      <c r="J635" s="10"/>
      <c r="K635" s="10"/>
      <c r="L635" s="170"/>
      <c r="M635" s="170"/>
      <c r="N635" s="170"/>
      <c r="O635" s="170"/>
      <c r="P635" s="170"/>
      <c r="Q635" s="170"/>
      <c r="R635" s="170"/>
      <c r="S635" s="170"/>
      <c r="T635" s="170"/>
      <c r="U635" s="170"/>
      <c r="V635" s="170"/>
      <c r="W635" s="170"/>
      <c r="X635" s="170"/>
      <c r="Y635" s="170"/>
      <c r="Z635" s="170"/>
      <c r="AA635" s="170"/>
      <c r="AB635" s="170"/>
      <c r="AC635" s="170"/>
      <c r="AD635" s="170"/>
      <c r="AE635" s="170"/>
      <c r="AF635" s="170"/>
      <c r="AG635" s="170"/>
      <c r="AH635" s="170"/>
      <c r="AI635" s="170"/>
      <c r="AJ635" s="170"/>
      <c r="AK635" s="170"/>
      <c r="AL635" s="170"/>
      <c r="AM635" s="170"/>
      <c r="AN635" s="170"/>
      <c r="AO635" s="170"/>
      <c r="AP635" s="170"/>
      <c r="AQ635" s="170"/>
      <c r="AR635" s="170"/>
      <c r="AS635" s="170"/>
      <c r="AT635" s="170"/>
      <c r="AU635" s="170"/>
      <c r="AV635" s="170"/>
      <c r="AW635" s="170"/>
      <c r="AX635" s="170"/>
      <c r="AY635" s="170"/>
      <c r="AZ635" s="170"/>
      <c r="BA635" s="170"/>
      <c r="BB635" s="170"/>
      <c r="BC635" s="170"/>
      <c r="BD635" s="170"/>
      <c r="BE635" s="170"/>
      <c r="BF635" s="170"/>
      <c r="BG635" s="170"/>
      <c r="BH635" s="170"/>
      <c r="BI635" s="170"/>
      <c r="BJ635" s="170"/>
      <c r="BK635" s="170"/>
      <c r="BL635" s="170"/>
      <c r="BM635" s="170"/>
      <c r="BN635" s="170"/>
      <c r="BO635" s="170"/>
      <c r="BP635" s="170"/>
      <c r="BQ635" s="170"/>
      <c r="BR635" s="170"/>
      <c r="BS635" s="170"/>
      <c r="BT635" s="170"/>
      <c r="BU635" s="170"/>
      <c r="BV635" s="170"/>
      <c r="BW635" s="170"/>
      <c r="BX635" s="170"/>
      <c r="BY635" s="170"/>
      <c r="BZ635" s="170"/>
      <c r="CA635" s="170"/>
      <c r="CB635" s="170"/>
      <c r="CC635" s="170"/>
      <c r="CD635" s="170"/>
      <c r="CE635" s="170"/>
      <c r="CF635" s="170"/>
      <c r="CG635" s="170"/>
      <c r="CH635" s="170"/>
      <c r="CI635" s="170"/>
      <c r="CJ635" s="170"/>
      <c r="CK635" s="170"/>
      <c r="CL635" s="170"/>
      <c r="CM635" s="170"/>
      <c r="CN635" s="170"/>
      <c r="CO635" s="170"/>
    </row>
    <row r="636" spans="1:94" s="141" customFormat="1" ht="12.75" hidden="1">
      <c r="B636" s="10"/>
      <c r="C636" s="17" t="str">
        <f xml:space="preserve"> "Флаг - период эксплуатации " &amp; C36</f>
        <v>Флаг - период эксплуатации Развлекательный комплекс</v>
      </c>
      <c r="D636" s="10"/>
      <c r="E636" s="62"/>
      <c r="F636" s="11"/>
      <c r="G636" s="11"/>
      <c r="H636" s="10"/>
      <c r="I636" s="10"/>
      <c r="J636" s="10"/>
      <c r="K636" s="10"/>
      <c r="L636" s="10">
        <f t="shared" ref="L636:AQ636" si="841" xml:space="preserve"> L50</f>
        <v>0</v>
      </c>
      <c r="M636" s="10">
        <f t="shared" si="841"/>
        <v>0</v>
      </c>
      <c r="N636" s="10">
        <f t="shared" si="841"/>
        <v>0</v>
      </c>
      <c r="O636" s="10">
        <f t="shared" si="841"/>
        <v>0</v>
      </c>
      <c r="P636" s="10">
        <f t="shared" si="841"/>
        <v>0</v>
      </c>
      <c r="Q636" s="10">
        <f t="shared" si="841"/>
        <v>0</v>
      </c>
      <c r="R636" s="10">
        <f t="shared" si="841"/>
        <v>0</v>
      </c>
      <c r="S636" s="10">
        <f t="shared" si="841"/>
        <v>0</v>
      </c>
      <c r="T636" s="10">
        <f t="shared" si="841"/>
        <v>0</v>
      </c>
      <c r="U636" s="10">
        <f t="shared" si="841"/>
        <v>0</v>
      </c>
      <c r="V636" s="10">
        <f t="shared" si="841"/>
        <v>0</v>
      </c>
      <c r="W636" s="10">
        <f t="shared" si="841"/>
        <v>0</v>
      </c>
      <c r="X636" s="10">
        <f t="shared" si="841"/>
        <v>0</v>
      </c>
      <c r="Y636" s="10">
        <f t="shared" si="841"/>
        <v>0</v>
      </c>
      <c r="Z636" s="10">
        <f t="shared" si="841"/>
        <v>0</v>
      </c>
      <c r="AA636" s="10">
        <f t="shared" si="841"/>
        <v>0</v>
      </c>
      <c r="AB636" s="10">
        <f t="shared" si="841"/>
        <v>1</v>
      </c>
      <c r="AC636" s="10">
        <f t="shared" si="841"/>
        <v>1</v>
      </c>
      <c r="AD636" s="10">
        <f t="shared" si="841"/>
        <v>1</v>
      </c>
      <c r="AE636" s="10">
        <f t="shared" si="841"/>
        <v>1</v>
      </c>
      <c r="AF636" s="10">
        <f t="shared" si="841"/>
        <v>1</v>
      </c>
      <c r="AG636" s="10">
        <f t="shared" si="841"/>
        <v>1</v>
      </c>
      <c r="AH636" s="10">
        <f t="shared" si="841"/>
        <v>1</v>
      </c>
      <c r="AI636" s="10">
        <f t="shared" si="841"/>
        <v>1</v>
      </c>
      <c r="AJ636" s="10">
        <f t="shared" si="841"/>
        <v>1</v>
      </c>
      <c r="AK636" s="10">
        <f t="shared" si="841"/>
        <v>1</v>
      </c>
      <c r="AL636" s="10">
        <f t="shared" si="841"/>
        <v>1</v>
      </c>
      <c r="AM636" s="10">
        <f t="shared" si="841"/>
        <v>1</v>
      </c>
      <c r="AN636" s="10">
        <f t="shared" si="841"/>
        <v>1</v>
      </c>
      <c r="AO636" s="10">
        <f t="shared" si="841"/>
        <v>1</v>
      </c>
      <c r="AP636" s="10">
        <f t="shared" si="841"/>
        <v>1</v>
      </c>
      <c r="AQ636" s="10">
        <f t="shared" si="841"/>
        <v>1</v>
      </c>
      <c r="AR636" s="10">
        <f t="shared" ref="AR636:BW636" si="842" xml:space="preserve"> AR50</f>
        <v>1</v>
      </c>
      <c r="AS636" s="10">
        <f t="shared" si="842"/>
        <v>1</v>
      </c>
      <c r="AT636" s="10">
        <f t="shared" si="842"/>
        <v>1</v>
      </c>
      <c r="AU636" s="10">
        <f t="shared" si="842"/>
        <v>1</v>
      </c>
      <c r="AV636" s="10">
        <f t="shared" si="842"/>
        <v>1</v>
      </c>
      <c r="AW636" s="10">
        <f t="shared" si="842"/>
        <v>1</v>
      </c>
      <c r="AX636" s="10">
        <f t="shared" si="842"/>
        <v>1</v>
      </c>
      <c r="AY636" s="10">
        <f t="shared" si="842"/>
        <v>1</v>
      </c>
      <c r="AZ636" s="10">
        <f t="shared" si="842"/>
        <v>1</v>
      </c>
      <c r="BA636" s="10">
        <f t="shared" si="842"/>
        <v>1</v>
      </c>
      <c r="BB636" s="10">
        <f t="shared" si="842"/>
        <v>1</v>
      </c>
      <c r="BC636" s="10">
        <f t="shared" si="842"/>
        <v>1</v>
      </c>
      <c r="BD636" s="10">
        <f t="shared" si="842"/>
        <v>1</v>
      </c>
      <c r="BE636" s="10">
        <f t="shared" si="842"/>
        <v>1</v>
      </c>
      <c r="BF636" s="10">
        <f t="shared" si="842"/>
        <v>1</v>
      </c>
      <c r="BG636" s="10">
        <f t="shared" si="842"/>
        <v>1</v>
      </c>
      <c r="BH636" s="10">
        <f t="shared" si="842"/>
        <v>1</v>
      </c>
      <c r="BI636" s="10">
        <f t="shared" si="842"/>
        <v>1</v>
      </c>
      <c r="BJ636" s="10">
        <f t="shared" si="842"/>
        <v>1</v>
      </c>
      <c r="BK636" s="10">
        <f t="shared" si="842"/>
        <v>1</v>
      </c>
      <c r="BL636" s="10">
        <f t="shared" si="842"/>
        <v>1</v>
      </c>
      <c r="BM636" s="10">
        <f t="shared" si="842"/>
        <v>1</v>
      </c>
      <c r="BN636" s="10">
        <f t="shared" si="842"/>
        <v>1</v>
      </c>
      <c r="BO636" s="10">
        <f t="shared" si="842"/>
        <v>1</v>
      </c>
      <c r="BP636" s="10">
        <f t="shared" si="842"/>
        <v>1</v>
      </c>
      <c r="BQ636" s="10">
        <f t="shared" si="842"/>
        <v>1</v>
      </c>
      <c r="BR636" s="10">
        <f t="shared" si="842"/>
        <v>1</v>
      </c>
      <c r="BS636" s="10">
        <f t="shared" si="842"/>
        <v>1</v>
      </c>
      <c r="BT636" s="10">
        <f t="shared" si="842"/>
        <v>1</v>
      </c>
      <c r="BU636" s="10">
        <f t="shared" si="842"/>
        <v>1</v>
      </c>
      <c r="BV636" s="10">
        <f t="shared" si="842"/>
        <v>1</v>
      </c>
      <c r="BW636" s="10">
        <f t="shared" si="842"/>
        <v>1</v>
      </c>
      <c r="BX636" s="10">
        <f t="shared" ref="BX636:CO636" si="843" xml:space="preserve"> BX50</f>
        <v>1</v>
      </c>
      <c r="BY636" s="10">
        <f t="shared" si="843"/>
        <v>1</v>
      </c>
      <c r="BZ636" s="10">
        <f t="shared" si="843"/>
        <v>1</v>
      </c>
      <c r="CA636" s="10">
        <f t="shared" si="843"/>
        <v>1</v>
      </c>
      <c r="CB636" s="10">
        <f t="shared" si="843"/>
        <v>1</v>
      </c>
      <c r="CC636" s="10">
        <f t="shared" si="843"/>
        <v>1</v>
      </c>
      <c r="CD636" s="10">
        <f t="shared" si="843"/>
        <v>1</v>
      </c>
      <c r="CE636" s="10">
        <f t="shared" si="843"/>
        <v>1</v>
      </c>
      <c r="CF636" s="10">
        <f t="shared" si="843"/>
        <v>1</v>
      </c>
      <c r="CG636" s="10">
        <f t="shared" si="843"/>
        <v>1</v>
      </c>
      <c r="CH636" s="10">
        <f t="shared" si="843"/>
        <v>1</v>
      </c>
      <c r="CI636" s="10">
        <f t="shared" si="843"/>
        <v>1</v>
      </c>
      <c r="CJ636" s="10">
        <f t="shared" si="843"/>
        <v>1</v>
      </c>
      <c r="CK636" s="10">
        <f t="shared" si="843"/>
        <v>1</v>
      </c>
      <c r="CL636" s="10">
        <f t="shared" si="843"/>
        <v>1</v>
      </c>
      <c r="CM636" s="10">
        <f t="shared" si="843"/>
        <v>1</v>
      </c>
      <c r="CN636" s="10">
        <f t="shared" si="843"/>
        <v>1</v>
      </c>
      <c r="CO636" s="10">
        <f t="shared" si="843"/>
        <v>1</v>
      </c>
    </row>
    <row r="637" spans="1:94" s="141" customFormat="1" ht="12.75" hidden="1">
      <c r="B637" s="10"/>
      <c r="C637" s="17" t="s">
        <v>852</v>
      </c>
      <c r="D637" s="10"/>
      <c r="E637" s="62"/>
      <c r="F637" s="11"/>
      <c r="G637" s="11"/>
      <c r="H637" s="10"/>
      <c r="I637" s="10"/>
      <c r="J637" s="10"/>
      <c r="K637" s="10"/>
      <c r="L637" s="10">
        <f>INT(SUM($K$636:L636) / 4 +0.75)</f>
        <v>0</v>
      </c>
      <c r="M637" s="10">
        <f>INT(SUM($K$636:M636) / 4 +0.75)</f>
        <v>0</v>
      </c>
      <c r="N637" s="10">
        <f>INT(SUM($K$636:N636) / 4 +0.75)</f>
        <v>0</v>
      </c>
      <c r="O637" s="10">
        <f>INT(SUM($K$636:O636) / 4 +0.75)</f>
        <v>0</v>
      </c>
      <c r="P637" s="10">
        <f>INT(SUM($K$636:P636) / 4 +0.75)</f>
        <v>0</v>
      </c>
      <c r="Q637" s="10">
        <f>INT(SUM($K$636:Q636) / 4 +0.75)</f>
        <v>0</v>
      </c>
      <c r="R637" s="10">
        <f>INT(SUM($K$636:R636) / 4 +0.75)</f>
        <v>0</v>
      </c>
      <c r="S637" s="10">
        <f>INT(SUM($K$636:S636) / 4 +0.75)</f>
        <v>0</v>
      </c>
      <c r="T637" s="10">
        <f>INT(SUM($K$636:T636) / 4 +0.75)</f>
        <v>0</v>
      </c>
      <c r="U637" s="10">
        <f>INT(SUM($K$636:U636) / 4 +0.75)</f>
        <v>0</v>
      </c>
      <c r="V637" s="10">
        <f>INT(SUM($K$636:V636) / 4 +0.75)</f>
        <v>0</v>
      </c>
      <c r="W637" s="10">
        <f>INT(SUM($K$636:W636) / 4 +0.75)</f>
        <v>0</v>
      </c>
      <c r="X637" s="10">
        <f>INT(SUM($K$636:X636) / 4 +0.75)</f>
        <v>0</v>
      </c>
      <c r="Y637" s="10">
        <f>INT(SUM($K$636:Y636) / 4 +0.75)</f>
        <v>0</v>
      </c>
      <c r="Z637" s="10">
        <f>INT(SUM($K$636:Z636) / 4 +0.75)</f>
        <v>0</v>
      </c>
      <c r="AA637" s="10">
        <f>INT(SUM($K$636:AA636) / 4 +0.75)</f>
        <v>0</v>
      </c>
      <c r="AB637" s="10">
        <f>INT(SUM($K$636:AB636) / 4 +0.75)</f>
        <v>1</v>
      </c>
      <c r="AC637" s="10">
        <f>INT(SUM($K$636:AC636) / 4 +0.75)</f>
        <v>1</v>
      </c>
      <c r="AD637" s="10">
        <f>INT(SUM($K$636:AD636) / 4 +0.75)</f>
        <v>1</v>
      </c>
      <c r="AE637" s="10">
        <f>INT(SUM($K$636:AE636) / 4 +0.75)</f>
        <v>1</v>
      </c>
      <c r="AF637" s="10">
        <f>INT(SUM($K$636:AF636) / 4 +0.75)</f>
        <v>2</v>
      </c>
      <c r="AG637" s="10">
        <f>INT(SUM($K$636:AG636) / 4 +0.75)</f>
        <v>2</v>
      </c>
      <c r="AH637" s="10">
        <f>INT(SUM($K$636:AH636) / 4 +0.75)</f>
        <v>2</v>
      </c>
      <c r="AI637" s="10">
        <f>INT(SUM($K$636:AI636) / 4 +0.75)</f>
        <v>2</v>
      </c>
      <c r="AJ637" s="10">
        <f>INT(SUM($K$636:AJ636) / 4 +0.75)</f>
        <v>3</v>
      </c>
      <c r="AK637" s="10">
        <f>INT(SUM($K$636:AK636) / 4 +0.75)</f>
        <v>3</v>
      </c>
      <c r="AL637" s="10">
        <f>INT(SUM($K$636:AL636) / 4 +0.75)</f>
        <v>3</v>
      </c>
      <c r="AM637" s="10">
        <f>INT(SUM($K$636:AM636) / 4 +0.75)</f>
        <v>3</v>
      </c>
      <c r="AN637" s="10">
        <f>INT(SUM($K$636:AN636) / 4 +0.75)</f>
        <v>4</v>
      </c>
      <c r="AO637" s="10">
        <f>INT(SUM($K$636:AO636) / 4 +0.75)</f>
        <v>4</v>
      </c>
      <c r="AP637" s="10">
        <f>INT(SUM($K$636:AP636) / 4 +0.75)</f>
        <v>4</v>
      </c>
      <c r="AQ637" s="10">
        <f>INT(SUM($K$636:AQ636) / 4 +0.75)</f>
        <v>4</v>
      </c>
      <c r="AR637" s="10">
        <f>INT(SUM($K$636:AR636) / 4 +0.75)</f>
        <v>5</v>
      </c>
      <c r="AS637" s="10">
        <f>INT(SUM($K$636:AS636) / 4 +0.75)</f>
        <v>5</v>
      </c>
      <c r="AT637" s="10">
        <f>INT(SUM($K$636:AT636) / 4 +0.75)</f>
        <v>5</v>
      </c>
      <c r="AU637" s="10">
        <f>INT(SUM($K$636:AU636) / 4 +0.75)</f>
        <v>5</v>
      </c>
      <c r="AV637" s="10">
        <f>INT(SUM($K$636:AV636) / 4 +0.75)</f>
        <v>6</v>
      </c>
      <c r="AW637" s="10">
        <f>INT(SUM($K$636:AW636) / 4 +0.75)</f>
        <v>6</v>
      </c>
      <c r="AX637" s="10">
        <f>INT(SUM($K$636:AX636) / 4 +0.75)</f>
        <v>6</v>
      </c>
      <c r="AY637" s="10">
        <f>INT(SUM($K$636:AY636) / 4 +0.75)</f>
        <v>6</v>
      </c>
      <c r="AZ637" s="10">
        <f>INT(SUM($K$636:AZ636) / 4 +0.75)</f>
        <v>7</v>
      </c>
      <c r="BA637" s="10">
        <f>INT(SUM($K$636:BA636) / 4 +0.75)</f>
        <v>7</v>
      </c>
      <c r="BB637" s="10">
        <f>INT(SUM($K$636:BB636) / 4 +0.75)</f>
        <v>7</v>
      </c>
      <c r="BC637" s="10">
        <f>INT(SUM($K$636:BC636) / 4 +0.75)</f>
        <v>7</v>
      </c>
      <c r="BD637" s="10">
        <f>INT(SUM($K$636:BD636) / 4 +0.75)</f>
        <v>8</v>
      </c>
      <c r="BE637" s="10">
        <f>INT(SUM($K$636:BE636) / 4 +0.75)</f>
        <v>8</v>
      </c>
      <c r="BF637" s="10">
        <f>INT(SUM($K$636:BF636) / 4 +0.75)</f>
        <v>8</v>
      </c>
      <c r="BG637" s="10">
        <f>INT(SUM($K$636:BG636) / 4 +0.75)</f>
        <v>8</v>
      </c>
      <c r="BH637" s="10">
        <f>INT(SUM($K$636:BH636) / 4 +0.75)</f>
        <v>9</v>
      </c>
      <c r="BI637" s="10">
        <f>INT(SUM($K$636:BI636) / 4 +0.75)</f>
        <v>9</v>
      </c>
      <c r="BJ637" s="10">
        <f>INT(SUM($K$636:BJ636) / 4 +0.75)</f>
        <v>9</v>
      </c>
      <c r="BK637" s="10">
        <f>INT(SUM($K$636:BK636) / 4 +0.75)</f>
        <v>9</v>
      </c>
      <c r="BL637" s="10">
        <f>INT(SUM($K$636:BL636) / 4 +0.75)</f>
        <v>10</v>
      </c>
      <c r="BM637" s="10">
        <f>INT(SUM($K$636:BM636) / 4 +0.75)</f>
        <v>10</v>
      </c>
      <c r="BN637" s="10">
        <f>INT(SUM($K$636:BN636) / 4 +0.75)</f>
        <v>10</v>
      </c>
      <c r="BO637" s="10">
        <f>INT(SUM($K$636:BO636) / 4 +0.75)</f>
        <v>10</v>
      </c>
      <c r="BP637" s="10">
        <f>INT(SUM($K$636:BP636) / 4 +0.75)</f>
        <v>11</v>
      </c>
      <c r="BQ637" s="10">
        <f>INT(SUM($K$636:BQ636) / 4 +0.75)</f>
        <v>11</v>
      </c>
      <c r="BR637" s="10">
        <f>INT(SUM($K$636:BR636) / 4 +0.75)</f>
        <v>11</v>
      </c>
      <c r="BS637" s="10">
        <f>INT(SUM($K$636:BS636) / 4 +0.75)</f>
        <v>11</v>
      </c>
      <c r="BT637" s="10">
        <f>INT(SUM($K$636:BT636) / 4 +0.75)</f>
        <v>12</v>
      </c>
      <c r="BU637" s="10">
        <f>INT(SUM($K$636:BU636) / 4 +0.75)</f>
        <v>12</v>
      </c>
      <c r="BV637" s="10">
        <f>INT(SUM($K$636:BV636) / 4 +0.75)</f>
        <v>12</v>
      </c>
      <c r="BW637" s="10">
        <f>INT(SUM($K$636:BW636) / 4 +0.75)</f>
        <v>12</v>
      </c>
      <c r="BX637" s="10">
        <f>INT(SUM($K$636:BX636) / 4 +0.75)</f>
        <v>13</v>
      </c>
      <c r="BY637" s="10">
        <f>INT(SUM($K$636:BY636) / 4 +0.75)</f>
        <v>13</v>
      </c>
      <c r="BZ637" s="10">
        <f>INT(SUM($K$636:BZ636) / 4 +0.75)</f>
        <v>13</v>
      </c>
      <c r="CA637" s="10">
        <f>INT(SUM($K$636:CA636) / 4 +0.75)</f>
        <v>13</v>
      </c>
      <c r="CB637" s="10">
        <f>INT(SUM($K$636:CB636) / 4 +0.75)</f>
        <v>14</v>
      </c>
      <c r="CC637" s="10">
        <f>INT(SUM($K$636:CC636) / 4 +0.75)</f>
        <v>14</v>
      </c>
      <c r="CD637" s="10">
        <f>INT(SUM($K$636:CD636) / 4 +0.75)</f>
        <v>14</v>
      </c>
      <c r="CE637" s="10">
        <f>INT(SUM($K$636:CE636) / 4 +0.75)</f>
        <v>14</v>
      </c>
      <c r="CF637" s="10">
        <f>INT(SUM($K$636:CF636) / 4 +0.75)</f>
        <v>15</v>
      </c>
      <c r="CG637" s="10">
        <f>INT(SUM($K$636:CG636) / 4 +0.75)</f>
        <v>15</v>
      </c>
      <c r="CH637" s="10">
        <f>INT(SUM($K$636:CH636) / 4 +0.75)</f>
        <v>15</v>
      </c>
      <c r="CI637" s="10">
        <f>INT(SUM($K$636:CI636) / 4 +0.75)</f>
        <v>15</v>
      </c>
      <c r="CJ637" s="10">
        <f>INT(SUM($K$636:CJ636) / 4 +0.75)</f>
        <v>16</v>
      </c>
      <c r="CK637" s="10">
        <f>INT(SUM($K$636:CK636) / 4 +0.75)</f>
        <v>16</v>
      </c>
      <c r="CL637" s="10">
        <f>INT(SUM($K$636:CL636) / 4 +0.75)</f>
        <v>16</v>
      </c>
      <c r="CM637" s="10">
        <f>INT(SUM($K$636:CM636) / 4 +0.75)</f>
        <v>16</v>
      </c>
      <c r="CN637" s="10">
        <f>INT(SUM($K$636:CN636) / 4 +0.75)</f>
        <v>17</v>
      </c>
      <c r="CO637" s="10">
        <f>INT(SUM($K$636:CO636) / 4 +0.75)</f>
        <v>17</v>
      </c>
    </row>
    <row r="638" spans="1:94" s="141" customFormat="1" ht="12.75" hidden="1">
      <c r="B638" s="10"/>
      <c r="C638" s="21"/>
      <c r="D638" s="10"/>
      <c r="E638" s="62"/>
      <c r="F638" s="11"/>
      <c r="G638" s="11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  <c r="BA638" s="10"/>
      <c r="BB638" s="10"/>
      <c r="BC638" s="10"/>
      <c r="BD638" s="10"/>
      <c r="BE638" s="10"/>
      <c r="BF638" s="10"/>
      <c r="BG638" s="10"/>
      <c r="BH638" s="10"/>
      <c r="BI638" s="10"/>
      <c r="BJ638" s="10"/>
      <c r="BK638" s="10"/>
      <c r="BL638" s="10"/>
      <c r="BM638" s="10"/>
      <c r="BN638" s="10"/>
      <c r="BO638" s="10"/>
      <c r="BP638" s="10"/>
      <c r="BQ638" s="10"/>
      <c r="BR638" s="10"/>
      <c r="BS638" s="10"/>
      <c r="BT638" s="10"/>
      <c r="BU638" s="10"/>
      <c r="BV638" s="10"/>
      <c r="BW638" s="10"/>
      <c r="BX638" s="10"/>
      <c r="BY638" s="10"/>
      <c r="BZ638" s="10"/>
      <c r="CA638" s="10"/>
      <c r="CB638" s="10"/>
      <c r="CC638" s="10"/>
      <c r="CD638" s="10"/>
      <c r="CE638" s="10"/>
      <c r="CF638" s="10"/>
      <c r="CG638" s="10"/>
      <c r="CH638" s="10"/>
      <c r="CI638" s="10"/>
      <c r="CJ638" s="10"/>
      <c r="CK638" s="10"/>
      <c r="CL638" s="10"/>
      <c r="CM638" s="10"/>
      <c r="CN638" s="10"/>
      <c r="CO638" s="10"/>
    </row>
    <row r="639" spans="1:94" s="141" customFormat="1" ht="12.75" hidden="1">
      <c r="B639" s="10"/>
      <c r="C639" s="35"/>
      <c r="D639" s="10"/>
      <c r="E639" s="62"/>
      <c r="F639" s="11"/>
      <c r="G639" s="11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  <c r="BA639" s="10"/>
      <c r="BB639" s="10"/>
      <c r="BC639" s="10"/>
      <c r="BD639" s="10"/>
      <c r="BE639" s="10"/>
      <c r="BF639" s="10"/>
      <c r="BG639" s="10"/>
      <c r="BH639" s="10"/>
      <c r="BI639" s="10"/>
      <c r="BJ639" s="10"/>
      <c r="BK639" s="10"/>
      <c r="BL639" s="10"/>
      <c r="BM639" s="10"/>
      <c r="BN639" s="10"/>
      <c r="BO639" s="10"/>
      <c r="BP639" s="10"/>
      <c r="BQ639" s="10"/>
      <c r="BR639" s="10"/>
      <c r="BS639" s="10"/>
      <c r="BT639" s="10"/>
      <c r="BU639" s="10"/>
      <c r="BV639" s="10"/>
      <c r="BW639" s="10"/>
      <c r="BX639" s="10"/>
      <c r="BY639" s="10"/>
      <c r="BZ639" s="10"/>
      <c r="CA639" s="10"/>
      <c r="CB639" s="10"/>
      <c r="CC639" s="10"/>
      <c r="CD639" s="10"/>
      <c r="CE639" s="10"/>
      <c r="CF639" s="10"/>
      <c r="CG639" s="10"/>
      <c r="CH639" s="10"/>
      <c r="CI639" s="10"/>
      <c r="CJ639" s="10"/>
      <c r="CK639" s="10"/>
      <c r="CL639" s="10"/>
      <c r="CM639" s="10"/>
      <c r="CN639" s="10"/>
      <c r="CO639" s="10"/>
    </row>
    <row r="640" spans="1:94" s="141" customFormat="1" ht="12.75" hidden="1">
      <c r="B640" s="10"/>
      <c r="C640" s="17"/>
      <c r="D640" s="10"/>
      <c r="E640" s="62"/>
      <c r="F640" s="11"/>
      <c r="G640" s="11"/>
      <c r="H640" s="10"/>
      <c r="I640" s="10"/>
      <c r="J640" s="10"/>
      <c r="K640" s="10"/>
      <c r="L640" s="10">
        <f>SUMIF(Предпосылки!$L$419:$U$419,L$637,Предпосылки!$L$420:$U$420) / Periods_in_Year</f>
        <v>0</v>
      </c>
      <c r="M640" s="10">
        <f>SUMIF(Предпосылки!$L$419:$U$419,M$637,Предпосылки!$L$420:$U$420) / Periods_in_Year</f>
        <v>0</v>
      </c>
      <c r="N640" s="10">
        <f>SUMIF(Предпосылки!$L$419:$U$419,N$637,Предпосылки!$L$420:$U$420) / Periods_in_Year</f>
        <v>0</v>
      </c>
      <c r="O640" s="10">
        <f>SUMIF(Предпосылки!$L$419:$U$419,O$637,Предпосылки!$L$420:$U$420) / Periods_in_Year</f>
        <v>0</v>
      </c>
      <c r="P640" s="10">
        <f>SUMIF(Предпосылки!$L$419:$U$419,P$637,Предпосылки!$L$420:$U$420) / Periods_in_Year</f>
        <v>0</v>
      </c>
      <c r="Q640" s="10">
        <f>SUMIF(Предпосылки!$L$419:$U$419,Q$637,Предпосылки!$L$420:$U$420) / Periods_in_Year</f>
        <v>0</v>
      </c>
      <c r="R640" s="10">
        <f>SUMIF(Предпосылки!$L$419:$U$419,R$637,Предпосылки!$L$420:$U$420) / Periods_in_Year</f>
        <v>0</v>
      </c>
      <c r="S640" s="10">
        <f>SUMIF(Предпосылки!$L$419:$U$419,S$637,Предпосылки!$L$420:$U$420) / Periods_in_Year</f>
        <v>0</v>
      </c>
      <c r="T640" s="10">
        <f>SUMIF(Предпосылки!$L$419:$U$419,T$637,Предпосылки!$L$420:$U$420) / Periods_in_Year</f>
        <v>0</v>
      </c>
      <c r="U640" s="10">
        <f>SUMIF(Предпосылки!$L$419:$U$419,U$637,Предпосылки!$L$420:$U$420) / Periods_in_Year</f>
        <v>0</v>
      </c>
      <c r="V640" s="10">
        <f>SUMIF(Предпосылки!$L$419:$U$419,V$637,Предпосылки!$L$420:$U$420) / Periods_in_Year</f>
        <v>0</v>
      </c>
      <c r="W640" s="10">
        <f>SUMIF(Предпосылки!$L$419:$U$419,W$637,Предпосылки!$L$420:$U$420) / Periods_in_Year</f>
        <v>0</v>
      </c>
      <c r="X640" s="10">
        <f>SUMIF(Предпосылки!$L$419:$U$419,X$637,Предпосылки!$L$420:$U$420) / Periods_in_Year</f>
        <v>0</v>
      </c>
      <c r="Y640" s="10">
        <f>SUMIF(Предпосылки!$L$419:$U$419,Y$637,Предпосылки!$L$420:$U$420) / Periods_in_Year</f>
        <v>0</v>
      </c>
      <c r="Z640" s="10">
        <f>SUMIF(Предпосылки!$L$419:$U$419,Z$637,Предпосылки!$L$420:$U$420) / Periods_in_Year</f>
        <v>0</v>
      </c>
      <c r="AA640" s="10">
        <f>SUMIF(Предпосылки!$L$419:$U$419,AA$637,Предпосылки!$L$420:$U$420) / Periods_in_Year</f>
        <v>0</v>
      </c>
      <c r="AB640" s="10">
        <f>SUMIF(Предпосылки!$L$419:$U$419,AB$637,Предпосылки!$L$420:$U$420) / Periods_in_Year</f>
        <v>0</v>
      </c>
      <c r="AC640" s="10">
        <f>SUMIF(Предпосылки!$L$419:$U$419,AC$637,Предпосылки!$L$420:$U$420) / Periods_in_Year</f>
        <v>0</v>
      </c>
      <c r="AD640" s="10">
        <f>SUMIF(Предпосылки!$L$419:$U$419,AD$637,Предпосылки!$L$420:$U$420) / Periods_in_Year</f>
        <v>0</v>
      </c>
      <c r="AE640" s="10">
        <f>SUMIF(Предпосылки!$L$419:$U$419,AE$637,Предпосылки!$L$420:$U$420) / Periods_in_Year</f>
        <v>0</v>
      </c>
      <c r="AF640" s="10">
        <f>SUMIF(Предпосылки!$L$419:$U$419,AF$637,Предпосылки!$L$420:$U$420) / Periods_in_Year</f>
        <v>0</v>
      </c>
      <c r="AG640" s="10">
        <f>SUMIF(Предпосылки!$L$419:$U$419,AG$637,Предпосылки!$L$420:$U$420) / Periods_in_Year</f>
        <v>0</v>
      </c>
      <c r="AH640" s="10">
        <f>SUMIF(Предпосылки!$L$419:$U$419,AH$637,Предпосылки!$L$420:$U$420) / Periods_in_Year</f>
        <v>0</v>
      </c>
      <c r="AI640" s="10">
        <f>SUMIF(Предпосылки!$L$419:$U$419,AI$637,Предпосылки!$L$420:$U$420) / Periods_in_Year</f>
        <v>0</v>
      </c>
      <c r="AJ640" s="10">
        <f>SUMIF(Предпосылки!$L$419:$U$419,AJ$637,Предпосылки!$L$420:$U$420) / Periods_in_Year</f>
        <v>0</v>
      </c>
      <c r="AK640" s="10">
        <f>SUMIF(Предпосылки!$L$419:$U$419,AK$637,Предпосылки!$L$420:$U$420) / Periods_in_Year</f>
        <v>0</v>
      </c>
      <c r="AL640" s="10">
        <f>SUMIF(Предпосылки!$L$419:$U$419,AL$637,Предпосылки!$L$420:$U$420) / Periods_in_Year</f>
        <v>0</v>
      </c>
      <c r="AM640" s="10">
        <f>SUMIF(Предпосылки!$L$419:$U$419,AM$637,Предпосылки!$L$420:$U$420) / Periods_in_Year</f>
        <v>0</v>
      </c>
      <c r="AN640" s="10">
        <f>SUMIF(Предпосылки!$L$419:$U$419,AN$637,Предпосылки!$L$420:$U$420) / Periods_in_Year</f>
        <v>0</v>
      </c>
      <c r="AO640" s="10">
        <f>SUMIF(Предпосылки!$L$419:$U$419,AO$637,Предпосылки!$L$420:$U$420) / Periods_in_Year</f>
        <v>0</v>
      </c>
      <c r="AP640" s="10">
        <f>SUMIF(Предпосылки!$L$419:$U$419,AP$637,Предпосылки!$L$420:$U$420) / Periods_in_Year</f>
        <v>0</v>
      </c>
      <c r="AQ640" s="10">
        <f>SUMIF(Предпосылки!$L$419:$U$419,AQ$637,Предпосылки!$L$420:$U$420) / Periods_in_Year</f>
        <v>0</v>
      </c>
      <c r="AR640" s="10">
        <f>SUMIF(Предпосылки!$L$419:$U$419,AR$637,Предпосылки!$L$420:$U$420) / Periods_in_Year</f>
        <v>0</v>
      </c>
      <c r="AS640" s="10">
        <f>SUMIF(Предпосылки!$L$419:$U$419,AS$637,Предпосылки!$L$420:$U$420) / Periods_in_Year</f>
        <v>0</v>
      </c>
      <c r="AT640" s="10">
        <f>SUMIF(Предпосылки!$L$419:$U$419,AT$637,Предпосылки!$L$420:$U$420) / Periods_in_Year</f>
        <v>0</v>
      </c>
      <c r="AU640" s="10">
        <f>SUMIF(Предпосылки!$L$419:$U$419,AU$637,Предпосылки!$L$420:$U$420) / Periods_in_Year</f>
        <v>0</v>
      </c>
      <c r="AV640" s="10">
        <f>SUMIF(Предпосылки!$L$419:$U$419,AV$637,Предпосылки!$L$420:$U$420) / Periods_in_Year</f>
        <v>0</v>
      </c>
      <c r="AW640" s="10">
        <f>SUMIF(Предпосылки!$L$419:$U$419,AW$637,Предпосылки!$L$420:$U$420) / Periods_in_Year</f>
        <v>0</v>
      </c>
      <c r="AX640" s="10">
        <f>SUMIF(Предпосылки!$L$419:$U$419,AX$637,Предпосылки!$L$420:$U$420) / Periods_in_Year</f>
        <v>0</v>
      </c>
      <c r="AY640" s="10">
        <f>SUMIF(Предпосылки!$L$419:$U$419,AY$637,Предпосылки!$L$420:$U$420) / Periods_in_Year</f>
        <v>0</v>
      </c>
      <c r="AZ640" s="10">
        <f>SUMIF(Предпосылки!$L$419:$U$419,AZ$637,Предпосылки!$L$420:$U$420) / Periods_in_Year</f>
        <v>0</v>
      </c>
      <c r="BA640" s="10">
        <f>SUMIF(Предпосылки!$L$419:$U$419,BA$637,Предпосылки!$L$420:$U$420) / Periods_in_Year</f>
        <v>0</v>
      </c>
      <c r="BB640" s="10">
        <f>SUMIF(Предпосылки!$L$419:$U$419,BB$637,Предпосылки!$L$420:$U$420) / Periods_in_Year</f>
        <v>0</v>
      </c>
      <c r="BC640" s="10">
        <f>SUMIF(Предпосылки!$L$419:$U$419,BC$637,Предпосылки!$L$420:$U$420) / Periods_in_Year</f>
        <v>0</v>
      </c>
      <c r="BD640" s="10">
        <f>SUMIF(Предпосылки!$L$419:$U$419,BD$637,Предпосылки!$L$420:$U$420) / Periods_in_Year</f>
        <v>0</v>
      </c>
      <c r="BE640" s="10">
        <f>SUMIF(Предпосылки!$L$419:$U$419,BE$637,Предпосылки!$L$420:$U$420) / Periods_in_Year</f>
        <v>0</v>
      </c>
      <c r="BF640" s="10">
        <f>SUMIF(Предпосылки!$L$419:$U$419,BF$637,Предпосылки!$L$420:$U$420) / Periods_in_Year</f>
        <v>0</v>
      </c>
      <c r="BG640" s="10">
        <f>SUMIF(Предпосылки!$L$419:$U$419,BG$637,Предпосылки!$L$420:$U$420) / Periods_in_Year</f>
        <v>0</v>
      </c>
      <c r="BH640" s="10">
        <f>SUMIF(Предпосылки!$L$419:$U$419,BH$637,Предпосылки!$L$420:$U$420) / Periods_in_Year</f>
        <v>0</v>
      </c>
      <c r="BI640" s="10">
        <f>SUMIF(Предпосылки!$L$419:$U$419,BI$637,Предпосылки!$L$420:$U$420) / Periods_in_Year</f>
        <v>0</v>
      </c>
      <c r="BJ640" s="10">
        <f>SUMIF(Предпосылки!$L$419:$U$419,BJ$637,Предпосылки!$L$420:$U$420) / Periods_in_Year</f>
        <v>0</v>
      </c>
      <c r="BK640" s="10">
        <f>SUMIF(Предпосылки!$L$419:$U$419,BK$637,Предпосылки!$L$420:$U$420) / Periods_in_Year</f>
        <v>0</v>
      </c>
      <c r="BL640" s="10">
        <f>SUMIF(Предпосылки!$L$419:$U$419,BL$637,Предпосылки!$L$420:$U$420) / Periods_in_Year</f>
        <v>0</v>
      </c>
      <c r="BM640" s="10">
        <f>SUMIF(Предпосылки!$L$419:$U$419,BM$637,Предпосылки!$L$420:$U$420) / Periods_in_Year</f>
        <v>0</v>
      </c>
      <c r="BN640" s="10">
        <f>SUMIF(Предпосылки!$L$419:$U$419,BN$637,Предпосылки!$L$420:$U$420) / Periods_in_Year</f>
        <v>0</v>
      </c>
      <c r="BO640" s="10">
        <f>SUMIF(Предпосылки!$L$419:$U$419,BO$637,Предпосылки!$L$420:$U$420) / Periods_in_Year</f>
        <v>0</v>
      </c>
      <c r="BP640" s="10">
        <f>SUMIF(Предпосылки!$L$419:$U$419,BP$637,Предпосылки!$L$420:$U$420) / Periods_in_Year</f>
        <v>0</v>
      </c>
      <c r="BQ640" s="10">
        <f>SUMIF(Предпосылки!$L$419:$U$419,BQ$637,Предпосылки!$L$420:$U$420) / Periods_in_Year</f>
        <v>0</v>
      </c>
      <c r="BR640" s="10">
        <f>SUMIF(Предпосылки!$L$419:$U$419,BR$637,Предпосылки!$L$420:$U$420) / Periods_in_Year</f>
        <v>0</v>
      </c>
      <c r="BS640" s="10">
        <f>SUMIF(Предпосылки!$L$419:$U$419,BS$637,Предпосылки!$L$420:$U$420) / Periods_in_Year</f>
        <v>0</v>
      </c>
      <c r="BT640" s="10">
        <f>SUMIF(Предпосылки!$L$419:$U$419,BT$637,Предпосылки!$L$420:$U$420) / Periods_in_Year</f>
        <v>0</v>
      </c>
      <c r="BU640" s="10">
        <f>SUMIF(Предпосылки!$L$419:$U$419,BU$637,Предпосылки!$L$420:$U$420) / Periods_in_Year</f>
        <v>0</v>
      </c>
      <c r="BV640" s="10">
        <f>SUMIF(Предпосылки!$L$419:$U$419,BV$637,Предпосылки!$L$420:$U$420) / Periods_in_Year</f>
        <v>0</v>
      </c>
      <c r="BW640" s="10">
        <f>SUMIF(Предпосылки!$L$419:$U$419,BW$637,Предпосылки!$L$420:$U$420) / Periods_in_Year</f>
        <v>0</v>
      </c>
      <c r="BX640" s="10">
        <f>SUMIF(Предпосылки!$L$419:$U$419,BX$637,Предпосылки!$L$420:$U$420) / Periods_in_Year</f>
        <v>0</v>
      </c>
      <c r="BY640" s="10">
        <f>SUMIF(Предпосылки!$L$419:$U$419,BY$637,Предпосылки!$L$420:$U$420) / Periods_in_Year</f>
        <v>0</v>
      </c>
      <c r="BZ640" s="10">
        <f>SUMIF(Предпосылки!$L$419:$U$419,BZ$637,Предпосылки!$L$420:$U$420) / Periods_in_Year</f>
        <v>0</v>
      </c>
      <c r="CA640" s="10">
        <f>SUMIF(Предпосылки!$L$419:$U$419,CA$637,Предпосылки!$L$420:$U$420) / Periods_in_Year</f>
        <v>0</v>
      </c>
      <c r="CB640" s="10">
        <f>SUMIF(Предпосылки!$L$419:$U$419,CB$637,Предпосылки!$L$420:$U$420) / Periods_in_Year</f>
        <v>0</v>
      </c>
      <c r="CC640" s="10">
        <f>SUMIF(Предпосылки!$L$419:$U$419,CC$637,Предпосылки!$L$420:$U$420) / Periods_in_Year</f>
        <v>0</v>
      </c>
      <c r="CD640" s="10">
        <f>SUMIF(Предпосылки!$L$419:$U$419,CD$637,Предпосылки!$L$420:$U$420) / Periods_in_Year</f>
        <v>0</v>
      </c>
      <c r="CE640" s="10">
        <f>SUMIF(Предпосылки!$L$419:$U$419,CE$637,Предпосылки!$L$420:$U$420) / Periods_in_Year</f>
        <v>0</v>
      </c>
      <c r="CF640" s="10">
        <f>SUMIF(Предпосылки!$L$419:$U$419,CF$637,Предпосылки!$L$420:$U$420) / Periods_in_Year</f>
        <v>0</v>
      </c>
      <c r="CG640" s="10">
        <f>SUMIF(Предпосылки!$L$419:$U$419,CG$637,Предпосылки!$L$420:$U$420) / Periods_in_Year</f>
        <v>0</v>
      </c>
      <c r="CH640" s="10">
        <f>SUMIF(Предпосылки!$L$419:$U$419,CH$637,Предпосылки!$L$420:$U$420) / Periods_in_Year</f>
        <v>0</v>
      </c>
      <c r="CI640" s="10">
        <f>SUMIF(Предпосылки!$L$419:$U$419,CI$637,Предпосылки!$L$420:$U$420) / Periods_in_Year</f>
        <v>0</v>
      </c>
      <c r="CJ640" s="10">
        <f>SUMIF(Предпосылки!$L$419:$U$419,CJ$637,Предпосылки!$L$420:$U$420) / Periods_in_Year</f>
        <v>0</v>
      </c>
      <c r="CK640" s="10">
        <f>SUMIF(Предпосылки!$L$419:$U$419,CK$637,Предпосылки!$L$420:$U$420) / Periods_in_Year</f>
        <v>0</v>
      </c>
      <c r="CL640" s="10">
        <f>SUMIF(Предпосылки!$L$419:$U$419,CL$637,Предпосылки!$L$420:$U$420) / Periods_in_Year</f>
        <v>0</v>
      </c>
      <c r="CM640" s="10">
        <f>SUMIF(Предпосылки!$L$419:$U$419,CM$637,Предпосылки!$L$420:$U$420) / Periods_in_Year</f>
        <v>0</v>
      </c>
      <c r="CN640" s="10">
        <f>SUMIF(Предпосылки!$L$419:$U$419,CN$637,Предпосылки!$L$420:$U$420) / Periods_in_Year</f>
        <v>0</v>
      </c>
      <c r="CO640" s="10">
        <f>SUMIF(Предпосылки!$L$419:$U$419,CO$637,Предпосылки!$L$420:$U$420) / Periods_in_Year</f>
        <v>0</v>
      </c>
    </row>
    <row r="641" spans="1:93" s="141" customFormat="1" ht="12.75" hidden="1">
      <c r="B641" s="10"/>
      <c r="C641" s="17"/>
      <c r="D641" s="10"/>
      <c r="E641" s="62"/>
      <c r="F641" s="11"/>
      <c r="G641" s="11"/>
      <c r="H641" s="10"/>
      <c r="I641" s="10"/>
      <c r="J641" s="10"/>
      <c r="K641" s="10"/>
      <c r="L641" s="10">
        <f>SUMIF(Предпосылки!$L$419:$U$419,L$637,Предпосылки!$L$421:$U$421) / Periods_in_Year</f>
        <v>0</v>
      </c>
      <c r="M641" s="10">
        <f>SUMIF(Предпосылки!$L$419:$U$419,M$637,Предпосылки!$L$421:$U$421) / Periods_in_Year</f>
        <v>0</v>
      </c>
      <c r="N641" s="10">
        <f>SUMIF(Предпосылки!$L$419:$U$419,N$637,Предпосылки!$L$421:$U$421) / Periods_in_Year</f>
        <v>0</v>
      </c>
      <c r="O641" s="10">
        <f>SUMIF(Предпосылки!$L$419:$U$419,O$637,Предпосылки!$L$421:$U$421) / Periods_in_Year</f>
        <v>0</v>
      </c>
      <c r="P641" s="10">
        <f>SUMIF(Предпосылки!$L$419:$U$419,P$637,Предпосылки!$L$421:$U$421) / Periods_in_Year</f>
        <v>0</v>
      </c>
      <c r="Q641" s="10">
        <f>SUMIF(Предпосылки!$L$419:$U$419,Q$637,Предпосылки!$L$421:$U$421) / Periods_in_Year</f>
        <v>0</v>
      </c>
      <c r="R641" s="10">
        <f>SUMIF(Предпосылки!$L$419:$U$419,R$637,Предпосылки!$L$421:$U$421) / Periods_in_Year</f>
        <v>0</v>
      </c>
      <c r="S641" s="10">
        <f>SUMIF(Предпосылки!$L$419:$U$419,S$637,Предпосылки!$L$421:$U$421) / Periods_in_Year</f>
        <v>0</v>
      </c>
      <c r="T641" s="10">
        <f>SUMIF(Предпосылки!$L$419:$U$419,T$637,Предпосылки!$L$421:$U$421) / Periods_in_Year</f>
        <v>0</v>
      </c>
      <c r="U641" s="10">
        <f>SUMIF(Предпосылки!$L$419:$U$419,U$637,Предпосылки!$L$421:$U$421) / Periods_in_Year</f>
        <v>0</v>
      </c>
      <c r="V641" s="10">
        <f>SUMIF(Предпосылки!$L$419:$U$419,V$637,Предпосылки!$L$421:$U$421) / Periods_in_Year</f>
        <v>0</v>
      </c>
      <c r="W641" s="10">
        <f>SUMIF(Предпосылки!$L$419:$U$419,W$637,Предпосылки!$L$421:$U$421) / Periods_in_Year</f>
        <v>0</v>
      </c>
      <c r="X641" s="10">
        <f>SUMIF(Предпосылки!$L$419:$U$419,X$637,Предпосылки!$L$421:$U$421) / Periods_in_Year</f>
        <v>0</v>
      </c>
      <c r="Y641" s="10">
        <f>SUMIF(Предпосылки!$L$419:$U$419,Y$637,Предпосылки!$L$421:$U$421) / Periods_in_Year</f>
        <v>0</v>
      </c>
      <c r="Z641" s="10">
        <f>SUMIF(Предпосылки!$L$419:$U$419,Z$637,Предпосылки!$L$421:$U$421) / Periods_in_Year</f>
        <v>0</v>
      </c>
      <c r="AA641" s="10">
        <f>SUMIF(Предпосылки!$L$419:$U$419,AA$637,Предпосылки!$L$421:$U$421) / Periods_in_Year</f>
        <v>0</v>
      </c>
      <c r="AB641" s="10">
        <f>SUMIF(Предпосылки!$L$419:$U$419,AB$637,Предпосылки!$L$421:$U$421) / Periods_in_Year</f>
        <v>0</v>
      </c>
      <c r="AC641" s="10">
        <f>SUMIF(Предпосылки!$L$419:$U$419,AC$637,Предпосылки!$L$421:$U$421) / Periods_in_Year</f>
        <v>0</v>
      </c>
      <c r="AD641" s="10">
        <f>SUMIF(Предпосылки!$L$419:$U$419,AD$637,Предпосылки!$L$421:$U$421) / Periods_in_Year</f>
        <v>0</v>
      </c>
      <c r="AE641" s="10">
        <f>SUMIF(Предпосылки!$L$419:$U$419,AE$637,Предпосылки!$L$421:$U$421) / Periods_in_Year</f>
        <v>0</v>
      </c>
      <c r="AF641" s="10">
        <f>SUMIF(Предпосылки!$L$419:$U$419,AF$637,Предпосылки!$L$421:$U$421) / Periods_in_Year</f>
        <v>0</v>
      </c>
      <c r="AG641" s="10">
        <f>SUMIF(Предпосылки!$L$419:$U$419,AG$637,Предпосылки!$L$421:$U$421) / Periods_in_Year</f>
        <v>0</v>
      </c>
      <c r="AH641" s="10">
        <f>SUMIF(Предпосылки!$L$419:$U$419,AH$637,Предпосылки!$L$421:$U$421) / Periods_in_Year</f>
        <v>0</v>
      </c>
      <c r="AI641" s="10">
        <f>SUMIF(Предпосылки!$L$419:$U$419,AI$637,Предпосылки!$L$421:$U$421) / Periods_in_Year</f>
        <v>0</v>
      </c>
      <c r="AJ641" s="10">
        <f>SUMIF(Предпосылки!$L$419:$U$419,AJ$637,Предпосылки!$L$421:$U$421) / Periods_in_Year</f>
        <v>0</v>
      </c>
      <c r="AK641" s="10">
        <f>SUMIF(Предпосылки!$L$419:$U$419,AK$637,Предпосылки!$L$421:$U$421) / Periods_in_Year</f>
        <v>0</v>
      </c>
      <c r="AL641" s="10">
        <f>SUMIF(Предпосылки!$L$419:$U$419,AL$637,Предпосылки!$L$421:$U$421) / Periods_in_Year</f>
        <v>0</v>
      </c>
      <c r="AM641" s="10">
        <f>SUMIF(Предпосылки!$L$419:$U$419,AM$637,Предпосылки!$L$421:$U$421) / Periods_in_Year</f>
        <v>0</v>
      </c>
      <c r="AN641" s="10">
        <f>SUMIF(Предпосылки!$L$419:$U$419,AN$637,Предпосылки!$L$421:$U$421) / Periods_in_Year</f>
        <v>0</v>
      </c>
      <c r="AO641" s="10">
        <f>SUMIF(Предпосылки!$L$419:$U$419,AO$637,Предпосылки!$L$421:$U$421) / Periods_in_Year</f>
        <v>0</v>
      </c>
      <c r="AP641" s="10">
        <f>SUMIF(Предпосылки!$L$419:$U$419,AP$637,Предпосылки!$L$421:$U$421) / Periods_in_Year</f>
        <v>0</v>
      </c>
      <c r="AQ641" s="10">
        <f>SUMIF(Предпосылки!$L$419:$U$419,AQ$637,Предпосылки!$L$421:$U$421) / Periods_in_Year</f>
        <v>0</v>
      </c>
      <c r="AR641" s="10">
        <f>SUMIF(Предпосылки!$L$419:$U$419,AR$637,Предпосылки!$L$421:$U$421) / Periods_in_Year</f>
        <v>0</v>
      </c>
      <c r="AS641" s="10">
        <f>SUMIF(Предпосылки!$L$419:$U$419,AS$637,Предпосылки!$L$421:$U$421) / Periods_in_Year</f>
        <v>0</v>
      </c>
      <c r="AT641" s="10">
        <f>SUMIF(Предпосылки!$L$419:$U$419,AT$637,Предпосылки!$L$421:$U$421) / Periods_in_Year</f>
        <v>0</v>
      </c>
      <c r="AU641" s="10">
        <f>SUMIF(Предпосылки!$L$419:$U$419,AU$637,Предпосылки!$L$421:$U$421) / Periods_in_Year</f>
        <v>0</v>
      </c>
      <c r="AV641" s="10">
        <f>SUMIF(Предпосылки!$L$419:$U$419,AV$637,Предпосылки!$L$421:$U$421) / Periods_in_Year</f>
        <v>0</v>
      </c>
      <c r="AW641" s="10">
        <f>SUMIF(Предпосылки!$L$419:$U$419,AW$637,Предпосылки!$L$421:$U$421) / Periods_in_Year</f>
        <v>0</v>
      </c>
      <c r="AX641" s="10">
        <f>SUMIF(Предпосылки!$L$419:$U$419,AX$637,Предпосылки!$L$421:$U$421) / Periods_in_Year</f>
        <v>0</v>
      </c>
      <c r="AY641" s="10">
        <f>SUMIF(Предпосылки!$L$419:$U$419,AY$637,Предпосылки!$L$421:$U$421) / Periods_in_Year</f>
        <v>0</v>
      </c>
      <c r="AZ641" s="10">
        <f>SUMIF(Предпосылки!$L$419:$U$419,AZ$637,Предпосылки!$L$421:$U$421) / Periods_in_Year</f>
        <v>0</v>
      </c>
      <c r="BA641" s="10">
        <f>SUMIF(Предпосылки!$L$419:$U$419,BA$637,Предпосылки!$L$421:$U$421) / Periods_in_Year</f>
        <v>0</v>
      </c>
      <c r="BB641" s="10">
        <f>SUMIF(Предпосылки!$L$419:$U$419,BB$637,Предпосылки!$L$421:$U$421) / Periods_in_Year</f>
        <v>0</v>
      </c>
      <c r="BC641" s="10">
        <f>SUMIF(Предпосылки!$L$419:$U$419,BC$637,Предпосылки!$L$421:$U$421) / Periods_in_Year</f>
        <v>0</v>
      </c>
      <c r="BD641" s="10">
        <f>SUMIF(Предпосылки!$L$419:$U$419,BD$637,Предпосылки!$L$421:$U$421) / Periods_in_Year</f>
        <v>0</v>
      </c>
      <c r="BE641" s="10">
        <f>SUMIF(Предпосылки!$L$419:$U$419,BE$637,Предпосылки!$L$421:$U$421) / Periods_in_Year</f>
        <v>0</v>
      </c>
      <c r="BF641" s="10">
        <f>SUMIF(Предпосылки!$L$419:$U$419,BF$637,Предпосылки!$L$421:$U$421) / Periods_in_Year</f>
        <v>0</v>
      </c>
      <c r="BG641" s="10">
        <f>SUMIF(Предпосылки!$L$419:$U$419,BG$637,Предпосылки!$L$421:$U$421) / Periods_in_Year</f>
        <v>0</v>
      </c>
      <c r="BH641" s="10">
        <f>SUMIF(Предпосылки!$L$419:$U$419,BH$637,Предпосылки!$L$421:$U$421) / Periods_in_Year</f>
        <v>0</v>
      </c>
      <c r="BI641" s="10">
        <f>SUMIF(Предпосылки!$L$419:$U$419,BI$637,Предпосылки!$L$421:$U$421) / Periods_in_Year</f>
        <v>0</v>
      </c>
      <c r="BJ641" s="10">
        <f>SUMIF(Предпосылки!$L$419:$U$419,BJ$637,Предпосылки!$L$421:$U$421) / Periods_in_Year</f>
        <v>0</v>
      </c>
      <c r="BK641" s="10">
        <f>SUMIF(Предпосылки!$L$419:$U$419,BK$637,Предпосылки!$L$421:$U$421) / Periods_in_Year</f>
        <v>0</v>
      </c>
      <c r="BL641" s="10">
        <f>SUMIF(Предпосылки!$L$419:$U$419,BL$637,Предпосылки!$L$421:$U$421) / Periods_in_Year</f>
        <v>0</v>
      </c>
      <c r="BM641" s="10">
        <f>SUMIF(Предпосылки!$L$419:$U$419,BM$637,Предпосылки!$L$421:$U$421) / Periods_in_Year</f>
        <v>0</v>
      </c>
      <c r="BN641" s="10">
        <f>SUMIF(Предпосылки!$L$419:$U$419,BN$637,Предпосылки!$L$421:$U$421) / Periods_in_Year</f>
        <v>0</v>
      </c>
      <c r="BO641" s="10">
        <f>SUMIF(Предпосылки!$L$419:$U$419,BO$637,Предпосылки!$L$421:$U$421) / Periods_in_Year</f>
        <v>0</v>
      </c>
      <c r="BP641" s="10">
        <f>SUMIF(Предпосылки!$L$419:$U$419,BP$637,Предпосылки!$L$421:$U$421) / Periods_in_Year</f>
        <v>0</v>
      </c>
      <c r="BQ641" s="10">
        <f>SUMIF(Предпосылки!$L$419:$U$419,BQ$637,Предпосылки!$L$421:$U$421) / Periods_in_Year</f>
        <v>0</v>
      </c>
      <c r="BR641" s="10">
        <f>SUMIF(Предпосылки!$L$419:$U$419,BR$637,Предпосылки!$L$421:$U$421) / Periods_in_Year</f>
        <v>0</v>
      </c>
      <c r="BS641" s="10">
        <f>SUMIF(Предпосылки!$L$419:$U$419,BS$637,Предпосылки!$L$421:$U$421) / Periods_in_Year</f>
        <v>0</v>
      </c>
      <c r="BT641" s="10">
        <f>SUMIF(Предпосылки!$L$419:$U$419,BT$637,Предпосылки!$L$421:$U$421) / Periods_in_Year</f>
        <v>0</v>
      </c>
      <c r="BU641" s="10">
        <f>SUMIF(Предпосылки!$L$419:$U$419,BU$637,Предпосылки!$L$421:$U$421) / Periods_in_Year</f>
        <v>0</v>
      </c>
      <c r="BV641" s="10">
        <f>SUMIF(Предпосылки!$L$419:$U$419,BV$637,Предпосылки!$L$421:$U$421) / Periods_in_Year</f>
        <v>0</v>
      </c>
      <c r="BW641" s="10">
        <f>SUMIF(Предпосылки!$L$419:$U$419,BW$637,Предпосылки!$L$421:$U$421) / Periods_in_Year</f>
        <v>0</v>
      </c>
      <c r="BX641" s="10">
        <f>SUMIF(Предпосылки!$L$419:$U$419,BX$637,Предпосылки!$L$421:$U$421) / Periods_in_Year</f>
        <v>0</v>
      </c>
      <c r="BY641" s="10">
        <f>SUMIF(Предпосылки!$L$419:$U$419,BY$637,Предпосылки!$L$421:$U$421) / Periods_in_Year</f>
        <v>0</v>
      </c>
      <c r="BZ641" s="10">
        <f>SUMIF(Предпосылки!$L$419:$U$419,BZ$637,Предпосылки!$L$421:$U$421) / Periods_in_Year</f>
        <v>0</v>
      </c>
      <c r="CA641" s="10">
        <f>SUMIF(Предпосылки!$L$419:$U$419,CA$637,Предпосылки!$L$421:$U$421) / Periods_in_Year</f>
        <v>0</v>
      </c>
      <c r="CB641" s="10">
        <f>SUMIF(Предпосылки!$L$419:$U$419,CB$637,Предпосылки!$L$421:$U$421) / Periods_in_Year</f>
        <v>0</v>
      </c>
      <c r="CC641" s="10">
        <f>SUMIF(Предпосылки!$L$419:$U$419,CC$637,Предпосылки!$L$421:$U$421) / Periods_in_Year</f>
        <v>0</v>
      </c>
      <c r="CD641" s="10">
        <f>SUMIF(Предпосылки!$L$419:$U$419,CD$637,Предпосылки!$L$421:$U$421) / Periods_in_Year</f>
        <v>0</v>
      </c>
      <c r="CE641" s="10">
        <f>SUMIF(Предпосылки!$L$419:$U$419,CE$637,Предпосылки!$L$421:$U$421) / Periods_in_Year</f>
        <v>0</v>
      </c>
      <c r="CF641" s="10">
        <f>SUMIF(Предпосылки!$L$419:$U$419,CF$637,Предпосылки!$L$421:$U$421) / Periods_in_Year</f>
        <v>0</v>
      </c>
      <c r="CG641" s="10">
        <f>SUMIF(Предпосылки!$L$419:$U$419,CG$637,Предпосылки!$L$421:$U$421) / Periods_in_Year</f>
        <v>0</v>
      </c>
      <c r="CH641" s="10">
        <f>SUMIF(Предпосылки!$L$419:$U$419,CH$637,Предпосылки!$L$421:$U$421) / Periods_in_Year</f>
        <v>0</v>
      </c>
      <c r="CI641" s="10">
        <f>SUMIF(Предпосылки!$L$419:$U$419,CI$637,Предпосылки!$L$421:$U$421) / Periods_in_Year</f>
        <v>0</v>
      </c>
      <c r="CJ641" s="10">
        <f>SUMIF(Предпосылки!$L$419:$U$419,CJ$637,Предпосылки!$L$421:$U$421) / Periods_in_Year</f>
        <v>0</v>
      </c>
      <c r="CK641" s="10">
        <f>SUMIF(Предпосылки!$L$419:$U$419,CK$637,Предпосылки!$L$421:$U$421) / Periods_in_Year</f>
        <v>0</v>
      </c>
      <c r="CL641" s="10">
        <f>SUMIF(Предпосылки!$L$419:$U$419,CL$637,Предпосылки!$L$421:$U$421) / Periods_in_Year</f>
        <v>0</v>
      </c>
      <c r="CM641" s="10">
        <f>SUMIF(Предпосылки!$L$419:$U$419,CM$637,Предпосылки!$L$421:$U$421) / Periods_in_Year</f>
        <v>0</v>
      </c>
      <c r="CN641" s="10">
        <f>SUMIF(Предпосылки!$L$419:$U$419,CN$637,Предпосылки!$L$421:$U$421) / Periods_in_Year</f>
        <v>0</v>
      </c>
      <c r="CO641" s="10">
        <f>SUMIF(Предпосылки!$L$419:$U$419,CO$637,Предпосылки!$L$421:$U$421) / Periods_in_Year</f>
        <v>0</v>
      </c>
    </row>
    <row r="642" spans="1:93" s="141" customFormat="1" ht="12.75" hidden="1">
      <c r="B642" s="10"/>
      <c r="C642" s="10"/>
      <c r="D642" s="10"/>
      <c r="E642" s="62"/>
      <c r="F642" s="11"/>
      <c r="G642" s="11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  <c r="BA642" s="10"/>
      <c r="BB642" s="10"/>
      <c r="BC642" s="10"/>
      <c r="BD642" s="10"/>
      <c r="BE642" s="10"/>
      <c r="BF642" s="10"/>
      <c r="BG642" s="10"/>
      <c r="BH642" s="10"/>
      <c r="BI642" s="10"/>
      <c r="BJ642" s="10"/>
      <c r="BK642" s="10"/>
      <c r="BL642" s="10"/>
      <c r="BM642" s="10"/>
      <c r="BN642" s="10"/>
      <c r="BO642" s="10"/>
      <c r="BP642" s="10"/>
      <c r="BQ642" s="10"/>
      <c r="BR642" s="10"/>
      <c r="BS642" s="10"/>
      <c r="BT642" s="10"/>
      <c r="BU642" s="10"/>
      <c r="BV642" s="10"/>
      <c r="BW642" s="10"/>
      <c r="BX642" s="10"/>
      <c r="BY642" s="10"/>
      <c r="BZ642" s="10"/>
      <c r="CA642" s="10"/>
      <c r="CB642" s="10"/>
      <c r="CC642" s="10"/>
      <c r="CD642" s="10"/>
      <c r="CE642" s="10"/>
      <c r="CF642" s="10"/>
      <c r="CG642" s="10"/>
      <c r="CH642" s="10"/>
      <c r="CI642" s="10"/>
      <c r="CJ642" s="10"/>
      <c r="CK642" s="10"/>
      <c r="CL642" s="10"/>
      <c r="CM642" s="10"/>
      <c r="CN642" s="10"/>
      <c r="CO642" s="10"/>
    </row>
    <row r="643" spans="1:93" s="141" customFormat="1" ht="12.75" hidden="1">
      <c r="B643" s="10"/>
      <c r="C643" s="35"/>
      <c r="D643" s="10"/>
      <c r="E643" s="62"/>
      <c r="F643" s="11"/>
      <c r="G643" s="11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  <c r="BA643" s="10"/>
      <c r="BB643" s="10"/>
      <c r="BC643" s="10"/>
      <c r="BD643" s="10"/>
      <c r="BE643" s="10"/>
      <c r="BF643" s="10"/>
      <c r="BG643" s="10"/>
      <c r="BH643" s="10"/>
      <c r="BI643" s="10"/>
      <c r="BJ643" s="10"/>
      <c r="BK643" s="10"/>
      <c r="BL643" s="10"/>
      <c r="BM643" s="10"/>
      <c r="BN643" s="10"/>
      <c r="BO643" s="10"/>
      <c r="BP643" s="10"/>
      <c r="BQ643" s="10"/>
      <c r="BR643" s="10"/>
      <c r="BS643" s="10"/>
      <c r="BT643" s="10"/>
      <c r="BU643" s="10"/>
      <c r="BV643" s="10"/>
      <c r="BW643" s="10"/>
      <c r="BX643" s="10"/>
      <c r="BY643" s="10"/>
      <c r="BZ643" s="10"/>
      <c r="CA643" s="10"/>
      <c r="CB643" s="10"/>
      <c r="CC643" s="10"/>
      <c r="CD643" s="10"/>
      <c r="CE643" s="10"/>
      <c r="CF643" s="10"/>
      <c r="CG643" s="10"/>
      <c r="CH643" s="10"/>
      <c r="CI643" s="10"/>
      <c r="CJ643" s="10"/>
      <c r="CK643" s="10"/>
      <c r="CL643" s="10"/>
      <c r="CM643" s="10"/>
      <c r="CN643" s="10"/>
      <c r="CO643" s="10"/>
    </row>
    <row r="644" spans="1:93" s="141" customFormat="1" ht="12.75" hidden="1">
      <c r="B644" s="10"/>
      <c r="C644" s="17"/>
      <c r="D644" s="10"/>
      <c r="E644" s="62"/>
      <c r="F644" s="11"/>
      <c r="G644" s="11"/>
      <c r="H644" s="10"/>
      <c r="I644" s="10"/>
      <c r="J644" s="10"/>
      <c r="K644" s="10"/>
      <c r="L644" s="10">
        <f>SUMIF(Предпосылки!$L$419:$U$419,L$637,Предпосылки!$L$424:$U$424) / Periods_in_Year</f>
        <v>0</v>
      </c>
      <c r="M644" s="10">
        <f>SUMIF(Предпосылки!$L$419:$U$419,M$637,Предпосылки!$L$424:$U$424) / Periods_in_Year</f>
        <v>0</v>
      </c>
      <c r="N644" s="10">
        <f>SUMIF(Предпосылки!$L$419:$U$419,N$637,Предпосылки!$L$424:$U$424) / Periods_in_Year</f>
        <v>0</v>
      </c>
      <c r="O644" s="10">
        <f>SUMIF(Предпосылки!$L$419:$U$419,O$637,Предпосылки!$L$424:$U$424) / Periods_in_Year</f>
        <v>0</v>
      </c>
      <c r="P644" s="10">
        <f>SUMIF(Предпосылки!$L$419:$U$419,P$637,Предпосылки!$L$424:$U$424) / Periods_in_Year</f>
        <v>0</v>
      </c>
      <c r="Q644" s="10">
        <f>SUMIF(Предпосылки!$L$419:$U$419,Q$637,Предпосылки!$L$424:$U$424) / Periods_in_Year</f>
        <v>0</v>
      </c>
      <c r="R644" s="10">
        <f>SUMIF(Предпосылки!$L$419:$U$419,R$637,Предпосылки!$L$424:$U$424) / Periods_in_Year</f>
        <v>0</v>
      </c>
      <c r="S644" s="10">
        <f>SUMIF(Предпосылки!$L$419:$U$419,S$637,Предпосылки!$L$424:$U$424) / Periods_in_Year</f>
        <v>0</v>
      </c>
      <c r="T644" s="10">
        <f>SUMIF(Предпосылки!$L$419:$U$419,T$637,Предпосылки!$L$424:$U$424) / Periods_in_Year</f>
        <v>0</v>
      </c>
      <c r="U644" s="10">
        <f>SUMIF(Предпосылки!$L$419:$U$419,U$637,Предпосылки!$L$424:$U$424) / Periods_in_Year</f>
        <v>0</v>
      </c>
      <c r="V644" s="10">
        <f>SUMIF(Предпосылки!$L$419:$U$419,V$637,Предпосылки!$L$424:$U$424) / Periods_in_Year</f>
        <v>0</v>
      </c>
      <c r="W644" s="10">
        <f>SUMIF(Предпосылки!$L$419:$U$419,W$637,Предпосылки!$L$424:$U$424) / Periods_in_Year</f>
        <v>0</v>
      </c>
      <c r="X644" s="10">
        <f>SUMIF(Предпосылки!$L$419:$U$419,X$637,Предпосылки!$L$424:$U$424) / Periods_in_Year</f>
        <v>0</v>
      </c>
      <c r="Y644" s="10">
        <f>SUMIF(Предпосылки!$L$419:$U$419,Y$637,Предпосылки!$L$424:$U$424) / Periods_in_Year</f>
        <v>0</v>
      </c>
      <c r="Z644" s="10">
        <f>SUMIF(Предпосылки!$L$419:$U$419,Z$637,Предпосылки!$L$424:$U$424) / Periods_in_Year</f>
        <v>0</v>
      </c>
      <c r="AA644" s="10">
        <f>SUMIF(Предпосылки!$L$419:$U$419,AA$637,Предпосылки!$L$424:$U$424) / Periods_in_Year</f>
        <v>0</v>
      </c>
      <c r="AB644" s="10">
        <f>SUMIF(Предпосылки!$L$419:$U$419,AB$637,Предпосылки!$L$424:$U$424) / Periods_in_Year</f>
        <v>0</v>
      </c>
      <c r="AC644" s="10">
        <f>SUMIF(Предпосылки!$L$419:$U$419,AC$637,Предпосылки!$L$424:$U$424) / Periods_in_Year</f>
        <v>0</v>
      </c>
      <c r="AD644" s="10">
        <f>SUMIF(Предпосылки!$L$419:$U$419,AD$637,Предпосылки!$L$424:$U$424) / Periods_in_Year</f>
        <v>0</v>
      </c>
      <c r="AE644" s="10">
        <f>SUMIF(Предпосылки!$L$419:$U$419,AE$637,Предпосылки!$L$424:$U$424) / Periods_in_Year</f>
        <v>0</v>
      </c>
      <c r="AF644" s="10">
        <f>SUMIF(Предпосылки!$L$419:$U$419,AF$637,Предпосылки!$L$424:$U$424) / Periods_in_Year</f>
        <v>0</v>
      </c>
      <c r="AG644" s="10">
        <f>SUMIF(Предпосылки!$L$419:$U$419,AG$637,Предпосылки!$L$424:$U$424) / Periods_in_Year</f>
        <v>0</v>
      </c>
      <c r="AH644" s="10">
        <f>SUMIF(Предпосылки!$L$419:$U$419,AH$637,Предпосылки!$L$424:$U$424) / Periods_in_Year</f>
        <v>0</v>
      </c>
      <c r="AI644" s="10">
        <f>SUMIF(Предпосылки!$L$419:$U$419,AI$637,Предпосылки!$L$424:$U$424) / Periods_in_Year</f>
        <v>0</v>
      </c>
      <c r="AJ644" s="10">
        <f>SUMIF(Предпосылки!$L$419:$U$419,AJ$637,Предпосылки!$L$424:$U$424) / Periods_in_Year</f>
        <v>0</v>
      </c>
      <c r="AK644" s="10">
        <f>SUMIF(Предпосылки!$L$419:$U$419,AK$637,Предпосылки!$L$424:$U$424) / Periods_in_Year</f>
        <v>0</v>
      </c>
      <c r="AL644" s="10">
        <f>SUMIF(Предпосылки!$L$419:$U$419,AL$637,Предпосылки!$L$424:$U$424) / Periods_in_Year</f>
        <v>0</v>
      </c>
      <c r="AM644" s="10">
        <f>SUMIF(Предпосылки!$L$419:$U$419,AM$637,Предпосылки!$L$424:$U$424) / Periods_in_Year</f>
        <v>0</v>
      </c>
      <c r="AN644" s="10">
        <f>SUMIF(Предпосылки!$L$419:$U$419,AN$637,Предпосылки!$L$424:$U$424) / Periods_in_Year</f>
        <v>0</v>
      </c>
      <c r="AO644" s="10">
        <f>SUMIF(Предпосылки!$L$419:$U$419,AO$637,Предпосылки!$L$424:$U$424) / Periods_in_Year</f>
        <v>0</v>
      </c>
      <c r="AP644" s="10">
        <f>SUMIF(Предпосылки!$L$419:$U$419,AP$637,Предпосылки!$L$424:$U$424) / Periods_in_Year</f>
        <v>0</v>
      </c>
      <c r="AQ644" s="10">
        <f>SUMIF(Предпосылки!$L$419:$U$419,AQ$637,Предпосылки!$L$424:$U$424) / Periods_in_Year</f>
        <v>0</v>
      </c>
      <c r="AR644" s="10">
        <f>SUMIF(Предпосылки!$L$419:$U$419,AR$637,Предпосылки!$L$424:$U$424) / Periods_in_Year</f>
        <v>0</v>
      </c>
      <c r="AS644" s="10">
        <f>SUMIF(Предпосылки!$L$419:$U$419,AS$637,Предпосылки!$L$424:$U$424) / Periods_in_Year</f>
        <v>0</v>
      </c>
      <c r="AT644" s="10">
        <f>SUMIF(Предпосылки!$L$419:$U$419,AT$637,Предпосылки!$L$424:$U$424) / Periods_in_Year</f>
        <v>0</v>
      </c>
      <c r="AU644" s="10">
        <f>SUMIF(Предпосылки!$L$419:$U$419,AU$637,Предпосылки!$L$424:$U$424) / Periods_in_Year</f>
        <v>0</v>
      </c>
      <c r="AV644" s="10">
        <f>SUMIF(Предпосылки!$L$419:$U$419,AV$637,Предпосылки!$L$424:$U$424) / Periods_in_Year</f>
        <v>0</v>
      </c>
      <c r="AW644" s="10">
        <f>SUMIF(Предпосылки!$L$419:$U$419,AW$637,Предпосылки!$L$424:$U$424) / Periods_in_Year</f>
        <v>0</v>
      </c>
      <c r="AX644" s="10">
        <f>SUMIF(Предпосылки!$L$419:$U$419,AX$637,Предпосылки!$L$424:$U$424) / Periods_in_Year</f>
        <v>0</v>
      </c>
      <c r="AY644" s="10">
        <f>SUMIF(Предпосылки!$L$419:$U$419,AY$637,Предпосылки!$L$424:$U$424) / Periods_in_Year</f>
        <v>0</v>
      </c>
      <c r="AZ644" s="10">
        <f>SUMIF(Предпосылки!$L$419:$U$419,AZ$637,Предпосылки!$L$424:$U$424) / Periods_in_Year</f>
        <v>0</v>
      </c>
      <c r="BA644" s="10">
        <f>SUMIF(Предпосылки!$L$419:$U$419,BA$637,Предпосылки!$L$424:$U$424) / Periods_in_Year</f>
        <v>0</v>
      </c>
      <c r="BB644" s="10">
        <f>SUMIF(Предпосылки!$L$419:$U$419,BB$637,Предпосылки!$L$424:$U$424) / Periods_in_Year</f>
        <v>0</v>
      </c>
      <c r="BC644" s="10">
        <f>SUMIF(Предпосылки!$L$419:$U$419,BC$637,Предпосылки!$L$424:$U$424) / Periods_in_Year</f>
        <v>0</v>
      </c>
      <c r="BD644" s="10">
        <f>SUMIF(Предпосылки!$L$419:$U$419,BD$637,Предпосылки!$L$424:$U$424) / Periods_in_Year</f>
        <v>0</v>
      </c>
      <c r="BE644" s="10">
        <f>SUMIF(Предпосылки!$L$419:$U$419,BE$637,Предпосылки!$L$424:$U$424) / Periods_in_Year</f>
        <v>0</v>
      </c>
      <c r="BF644" s="10">
        <f>SUMIF(Предпосылки!$L$419:$U$419,BF$637,Предпосылки!$L$424:$U$424) / Periods_in_Year</f>
        <v>0</v>
      </c>
      <c r="BG644" s="10">
        <f>SUMIF(Предпосылки!$L$419:$U$419,BG$637,Предпосылки!$L$424:$U$424) / Periods_in_Year</f>
        <v>0</v>
      </c>
      <c r="BH644" s="10">
        <f>SUMIF(Предпосылки!$L$419:$U$419,BH$637,Предпосылки!$L$424:$U$424) / Periods_in_Year</f>
        <v>0</v>
      </c>
      <c r="BI644" s="10">
        <f>SUMIF(Предпосылки!$L$419:$U$419,BI$637,Предпосылки!$L$424:$U$424) / Periods_in_Year</f>
        <v>0</v>
      </c>
      <c r="BJ644" s="10">
        <f>SUMIF(Предпосылки!$L$419:$U$419,BJ$637,Предпосылки!$L$424:$U$424) / Periods_in_Year</f>
        <v>0</v>
      </c>
      <c r="BK644" s="10">
        <f>SUMIF(Предпосылки!$L$419:$U$419,BK$637,Предпосылки!$L$424:$U$424) / Periods_in_Year</f>
        <v>0</v>
      </c>
      <c r="BL644" s="10">
        <f>SUMIF(Предпосылки!$L$419:$U$419,BL$637,Предпосылки!$L$424:$U$424) / Periods_in_Year</f>
        <v>0</v>
      </c>
      <c r="BM644" s="10">
        <f>SUMIF(Предпосылки!$L$419:$U$419,BM$637,Предпосылки!$L$424:$U$424) / Periods_in_Year</f>
        <v>0</v>
      </c>
      <c r="BN644" s="10">
        <f>SUMIF(Предпосылки!$L$419:$U$419,BN$637,Предпосылки!$L$424:$U$424) / Periods_in_Year</f>
        <v>0</v>
      </c>
      <c r="BO644" s="10">
        <f>SUMIF(Предпосылки!$L$419:$U$419,BO$637,Предпосылки!$L$424:$U$424) / Periods_in_Year</f>
        <v>0</v>
      </c>
      <c r="BP644" s="10">
        <f>SUMIF(Предпосылки!$L$419:$U$419,BP$637,Предпосылки!$L$424:$U$424) / Periods_in_Year</f>
        <v>0</v>
      </c>
      <c r="BQ644" s="10">
        <f>SUMIF(Предпосылки!$L$419:$U$419,BQ$637,Предпосылки!$L$424:$U$424) / Periods_in_Year</f>
        <v>0</v>
      </c>
      <c r="BR644" s="10">
        <f>SUMIF(Предпосылки!$L$419:$U$419,BR$637,Предпосылки!$L$424:$U$424) / Periods_in_Year</f>
        <v>0</v>
      </c>
      <c r="BS644" s="10">
        <f>SUMIF(Предпосылки!$L$419:$U$419,BS$637,Предпосылки!$L$424:$U$424) / Periods_in_Year</f>
        <v>0</v>
      </c>
      <c r="BT644" s="10">
        <f>SUMIF(Предпосылки!$L$419:$U$419,BT$637,Предпосылки!$L$424:$U$424) / Periods_in_Year</f>
        <v>0</v>
      </c>
      <c r="BU644" s="10">
        <f>SUMIF(Предпосылки!$L$419:$U$419,BU$637,Предпосылки!$L$424:$U$424) / Periods_in_Year</f>
        <v>0</v>
      </c>
      <c r="BV644" s="10">
        <f>SUMIF(Предпосылки!$L$419:$U$419,BV$637,Предпосылки!$L$424:$U$424) / Periods_in_Year</f>
        <v>0</v>
      </c>
      <c r="BW644" s="10">
        <f>SUMIF(Предпосылки!$L$419:$U$419,BW$637,Предпосылки!$L$424:$U$424) / Periods_in_Year</f>
        <v>0</v>
      </c>
      <c r="BX644" s="10">
        <f>SUMIF(Предпосылки!$L$419:$U$419,BX$637,Предпосылки!$L$424:$U$424) / Periods_in_Year</f>
        <v>0</v>
      </c>
      <c r="BY644" s="10">
        <f>SUMIF(Предпосылки!$L$419:$U$419,BY$637,Предпосылки!$L$424:$U$424) / Periods_in_Year</f>
        <v>0</v>
      </c>
      <c r="BZ644" s="10">
        <f>SUMIF(Предпосылки!$L$419:$U$419,BZ$637,Предпосылки!$L$424:$U$424) / Periods_in_Year</f>
        <v>0</v>
      </c>
      <c r="CA644" s="10">
        <f>SUMIF(Предпосылки!$L$419:$U$419,CA$637,Предпосылки!$L$424:$U$424) / Periods_in_Year</f>
        <v>0</v>
      </c>
      <c r="CB644" s="10">
        <f>SUMIF(Предпосылки!$L$419:$U$419,CB$637,Предпосылки!$L$424:$U$424) / Periods_in_Year</f>
        <v>0</v>
      </c>
      <c r="CC644" s="10">
        <f>SUMIF(Предпосылки!$L$419:$U$419,CC$637,Предпосылки!$L$424:$U$424) / Periods_in_Year</f>
        <v>0</v>
      </c>
      <c r="CD644" s="10">
        <f>SUMIF(Предпосылки!$L$419:$U$419,CD$637,Предпосылки!$L$424:$U$424) / Periods_in_Year</f>
        <v>0</v>
      </c>
      <c r="CE644" s="10">
        <f>SUMIF(Предпосылки!$L$419:$U$419,CE$637,Предпосылки!$L$424:$U$424) / Periods_in_Year</f>
        <v>0</v>
      </c>
      <c r="CF644" s="10">
        <f>SUMIF(Предпосылки!$L$419:$U$419,CF$637,Предпосылки!$L$424:$U$424) / Periods_in_Year</f>
        <v>0</v>
      </c>
      <c r="CG644" s="10">
        <f>SUMIF(Предпосылки!$L$419:$U$419,CG$637,Предпосылки!$L$424:$U$424) / Periods_in_Year</f>
        <v>0</v>
      </c>
      <c r="CH644" s="10">
        <f>SUMIF(Предпосылки!$L$419:$U$419,CH$637,Предпосылки!$L$424:$U$424) / Periods_in_Year</f>
        <v>0</v>
      </c>
      <c r="CI644" s="10">
        <f>SUMIF(Предпосылки!$L$419:$U$419,CI$637,Предпосылки!$L$424:$U$424) / Periods_in_Year</f>
        <v>0</v>
      </c>
      <c r="CJ644" s="10">
        <f>SUMIF(Предпосылки!$L$419:$U$419,CJ$637,Предпосылки!$L$424:$U$424) / Periods_in_Year</f>
        <v>0</v>
      </c>
      <c r="CK644" s="10">
        <f>SUMIF(Предпосылки!$L$419:$U$419,CK$637,Предпосылки!$L$424:$U$424) / Periods_in_Year</f>
        <v>0</v>
      </c>
      <c r="CL644" s="10">
        <f>SUMIF(Предпосылки!$L$419:$U$419,CL$637,Предпосылки!$L$424:$U$424) / Periods_in_Year</f>
        <v>0</v>
      </c>
      <c r="CM644" s="10">
        <f>SUMIF(Предпосылки!$L$419:$U$419,CM$637,Предпосылки!$L$424:$U$424) / Periods_in_Year</f>
        <v>0</v>
      </c>
      <c r="CN644" s="10">
        <f>SUMIF(Предпосылки!$L$419:$U$419,CN$637,Предпосылки!$L$424:$U$424) / Periods_in_Year</f>
        <v>0</v>
      </c>
      <c r="CO644" s="10">
        <f>SUMIF(Предпосылки!$L$419:$U$419,CO$637,Предпосылки!$L$424:$U$424) / Periods_in_Year</f>
        <v>0</v>
      </c>
    </row>
    <row r="645" spans="1:93" s="141" customFormat="1" ht="12.75" hidden="1">
      <c r="B645" s="10"/>
      <c r="C645" s="17"/>
      <c r="D645" s="10"/>
      <c r="E645" s="62"/>
      <c r="F645" s="11"/>
      <c r="G645" s="11"/>
      <c r="H645" s="10"/>
      <c r="I645" s="10"/>
      <c r="J645" s="10"/>
      <c r="K645" s="10"/>
      <c r="L645" s="10">
        <f>SUMIF(Предпосылки!$L$419:$U$419,L$637,Предпосылки!$L$425:$U$425) / Periods_in_Year</f>
        <v>0</v>
      </c>
      <c r="M645" s="10">
        <f>SUMIF(Предпосылки!$L$419:$U$419,M$637,Предпосылки!$L$425:$U$425) / Periods_in_Year</f>
        <v>0</v>
      </c>
      <c r="N645" s="10">
        <f>SUMIF(Предпосылки!$L$419:$U$419,N$637,Предпосылки!$L$425:$U$425) / Periods_in_Year</f>
        <v>0</v>
      </c>
      <c r="O645" s="10">
        <f>SUMIF(Предпосылки!$L$419:$U$419,O$637,Предпосылки!$L$425:$U$425) / Periods_in_Year</f>
        <v>0</v>
      </c>
      <c r="P645" s="10">
        <f>SUMIF(Предпосылки!$L$419:$U$419,P$637,Предпосылки!$L$425:$U$425) / Periods_in_Year</f>
        <v>0</v>
      </c>
      <c r="Q645" s="10">
        <f>SUMIF(Предпосылки!$L$419:$U$419,Q$637,Предпосылки!$L$425:$U$425) / Periods_in_Year</f>
        <v>0</v>
      </c>
      <c r="R645" s="10">
        <f>SUMIF(Предпосылки!$L$419:$U$419,R$637,Предпосылки!$L$425:$U$425) / Periods_in_Year</f>
        <v>0</v>
      </c>
      <c r="S645" s="10">
        <f>SUMIF(Предпосылки!$L$419:$U$419,S$637,Предпосылки!$L$425:$U$425) / Periods_in_Year</f>
        <v>0</v>
      </c>
      <c r="T645" s="10">
        <f>SUMIF(Предпосылки!$L$419:$U$419,T$637,Предпосылки!$L$425:$U$425) / Periods_in_Year</f>
        <v>0</v>
      </c>
      <c r="U645" s="10">
        <f>SUMIF(Предпосылки!$L$419:$U$419,U$637,Предпосылки!$L$425:$U$425) / Periods_in_Year</f>
        <v>0</v>
      </c>
      <c r="V645" s="10">
        <f>SUMIF(Предпосылки!$L$419:$U$419,V$637,Предпосылки!$L$425:$U$425) / Periods_in_Year</f>
        <v>0</v>
      </c>
      <c r="W645" s="10">
        <f>SUMIF(Предпосылки!$L$419:$U$419,W$637,Предпосылки!$L$425:$U$425) / Periods_in_Year</f>
        <v>0</v>
      </c>
      <c r="X645" s="10">
        <f>SUMIF(Предпосылки!$L$419:$U$419,X$637,Предпосылки!$L$425:$U$425) / Periods_in_Year</f>
        <v>0</v>
      </c>
      <c r="Y645" s="10">
        <f>SUMIF(Предпосылки!$L$419:$U$419,Y$637,Предпосылки!$L$425:$U$425) / Periods_in_Year</f>
        <v>0</v>
      </c>
      <c r="Z645" s="10">
        <f>SUMIF(Предпосылки!$L$419:$U$419,Z$637,Предпосылки!$L$425:$U$425) / Periods_in_Year</f>
        <v>0</v>
      </c>
      <c r="AA645" s="10">
        <f>SUMIF(Предпосылки!$L$419:$U$419,AA$637,Предпосылки!$L$425:$U$425) / Periods_in_Year</f>
        <v>0</v>
      </c>
      <c r="AB645" s="10">
        <f>SUMIF(Предпосылки!$L$419:$U$419,AB$637,Предпосылки!$L$425:$U$425) / Periods_in_Year</f>
        <v>0</v>
      </c>
      <c r="AC645" s="10">
        <f>SUMIF(Предпосылки!$L$419:$U$419,AC$637,Предпосылки!$L$425:$U$425) / Periods_in_Year</f>
        <v>0</v>
      </c>
      <c r="AD645" s="10">
        <f>SUMIF(Предпосылки!$L$419:$U$419,AD$637,Предпосылки!$L$425:$U$425) / Periods_in_Year</f>
        <v>0</v>
      </c>
      <c r="AE645" s="10">
        <f>SUMIF(Предпосылки!$L$419:$U$419,AE$637,Предпосылки!$L$425:$U$425) / Periods_in_Year</f>
        <v>0</v>
      </c>
      <c r="AF645" s="10">
        <f>SUMIF(Предпосылки!$L$419:$U$419,AF$637,Предпосылки!$L$425:$U$425) / Periods_in_Year</f>
        <v>0</v>
      </c>
      <c r="AG645" s="10">
        <f>SUMIF(Предпосылки!$L$419:$U$419,AG$637,Предпосылки!$L$425:$U$425) / Periods_in_Year</f>
        <v>0</v>
      </c>
      <c r="AH645" s="10">
        <f>SUMIF(Предпосылки!$L$419:$U$419,AH$637,Предпосылки!$L$425:$U$425) / Periods_in_Year</f>
        <v>0</v>
      </c>
      <c r="AI645" s="10">
        <f>SUMIF(Предпосылки!$L$419:$U$419,AI$637,Предпосылки!$L$425:$U$425) / Periods_in_Year</f>
        <v>0</v>
      </c>
      <c r="AJ645" s="10">
        <f>SUMIF(Предпосылки!$L$419:$U$419,AJ$637,Предпосылки!$L$425:$U$425) / Periods_in_Year</f>
        <v>0</v>
      </c>
      <c r="AK645" s="10">
        <f>SUMIF(Предпосылки!$L$419:$U$419,AK$637,Предпосылки!$L$425:$U$425) / Periods_in_Year</f>
        <v>0</v>
      </c>
      <c r="AL645" s="10">
        <f>SUMIF(Предпосылки!$L$419:$U$419,AL$637,Предпосылки!$L$425:$U$425) / Periods_in_Year</f>
        <v>0</v>
      </c>
      <c r="AM645" s="10">
        <f>SUMIF(Предпосылки!$L$419:$U$419,AM$637,Предпосылки!$L$425:$U$425) / Periods_in_Year</f>
        <v>0</v>
      </c>
      <c r="AN645" s="10">
        <f>SUMIF(Предпосылки!$L$419:$U$419,AN$637,Предпосылки!$L$425:$U$425) / Periods_in_Year</f>
        <v>0</v>
      </c>
      <c r="AO645" s="10">
        <f>SUMIF(Предпосылки!$L$419:$U$419,AO$637,Предпосылки!$L$425:$U$425) / Periods_in_Year</f>
        <v>0</v>
      </c>
      <c r="AP645" s="10">
        <f>SUMIF(Предпосылки!$L$419:$U$419,AP$637,Предпосылки!$L$425:$U$425) / Periods_in_Year</f>
        <v>0</v>
      </c>
      <c r="AQ645" s="10">
        <f>SUMIF(Предпосылки!$L$419:$U$419,AQ$637,Предпосылки!$L$425:$U$425) / Periods_in_Year</f>
        <v>0</v>
      </c>
      <c r="AR645" s="10">
        <f>SUMIF(Предпосылки!$L$419:$U$419,AR$637,Предпосылки!$L$425:$U$425) / Periods_in_Year</f>
        <v>0</v>
      </c>
      <c r="AS645" s="10">
        <f>SUMIF(Предпосылки!$L$419:$U$419,AS$637,Предпосылки!$L$425:$U$425) / Periods_in_Year</f>
        <v>0</v>
      </c>
      <c r="AT645" s="10">
        <f>SUMIF(Предпосылки!$L$419:$U$419,AT$637,Предпосылки!$L$425:$U$425) / Periods_in_Year</f>
        <v>0</v>
      </c>
      <c r="AU645" s="10">
        <f>SUMIF(Предпосылки!$L$419:$U$419,AU$637,Предпосылки!$L$425:$U$425) / Periods_in_Year</f>
        <v>0</v>
      </c>
      <c r="AV645" s="10">
        <f>SUMIF(Предпосылки!$L$419:$U$419,AV$637,Предпосылки!$L$425:$U$425) / Periods_in_Year</f>
        <v>0</v>
      </c>
      <c r="AW645" s="10">
        <f>SUMIF(Предпосылки!$L$419:$U$419,AW$637,Предпосылки!$L$425:$U$425) / Periods_in_Year</f>
        <v>0</v>
      </c>
      <c r="AX645" s="10">
        <f>SUMIF(Предпосылки!$L$419:$U$419,AX$637,Предпосылки!$L$425:$U$425) / Periods_in_Year</f>
        <v>0</v>
      </c>
      <c r="AY645" s="10">
        <f>SUMIF(Предпосылки!$L$419:$U$419,AY$637,Предпосылки!$L$425:$U$425) / Periods_in_Year</f>
        <v>0</v>
      </c>
      <c r="AZ645" s="10">
        <f>SUMIF(Предпосылки!$L$419:$U$419,AZ$637,Предпосылки!$L$425:$U$425) / Periods_in_Year</f>
        <v>0</v>
      </c>
      <c r="BA645" s="10">
        <f>SUMIF(Предпосылки!$L$419:$U$419,BA$637,Предпосылки!$L$425:$U$425) / Periods_in_Year</f>
        <v>0</v>
      </c>
      <c r="BB645" s="10">
        <f>SUMIF(Предпосылки!$L$419:$U$419,BB$637,Предпосылки!$L$425:$U$425) / Periods_in_Year</f>
        <v>0</v>
      </c>
      <c r="BC645" s="10">
        <f>SUMIF(Предпосылки!$L$419:$U$419,BC$637,Предпосылки!$L$425:$U$425) / Periods_in_Year</f>
        <v>0</v>
      </c>
      <c r="BD645" s="10">
        <f>SUMIF(Предпосылки!$L$419:$U$419,BD$637,Предпосылки!$L$425:$U$425) / Periods_in_Year</f>
        <v>0</v>
      </c>
      <c r="BE645" s="10">
        <f>SUMIF(Предпосылки!$L$419:$U$419,BE$637,Предпосылки!$L$425:$U$425) / Periods_in_Year</f>
        <v>0</v>
      </c>
      <c r="BF645" s="10">
        <f>SUMIF(Предпосылки!$L$419:$U$419,BF$637,Предпосылки!$L$425:$U$425) / Periods_in_Year</f>
        <v>0</v>
      </c>
      <c r="BG645" s="10">
        <f>SUMIF(Предпосылки!$L$419:$U$419,BG$637,Предпосылки!$L$425:$U$425) / Periods_in_Year</f>
        <v>0</v>
      </c>
      <c r="BH645" s="10">
        <f>SUMIF(Предпосылки!$L$419:$U$419,BH$637,Предпосылки!$L$425:$U$425) / Periods_in_Year</f>
        <v>0</v>
      </c>
      <c r="BI645" s="10">
        <f>SUMIF(Предпосылки!$L$419:$U$419,BI$637,Предпосылки!$L$425:$U$425) / Periods_in_Year</f>
        <v>0</v>
      </c>
      <c r="BJ645" s="10">
        <f>SUMIF(Предпосылки!$L$419:$U$419,BJ$637,Предпосылки!$L$425:$U$425) / Periods_in_Year</f>
        <v>0</v>
      </c>
      <c r="BK645" s="10">
        <f>SUMIF(Предпосылки!$L$419:$U$419,BK$637,Предпосылки!$L$425:$U$425) / Periods_in_Year</f>
        <v>0</v>
      </c>
      <c r="BL645" s="10">
        <f>SUMIF(Предпосылки!$L$419:$U$419,BL$637,Предпосылки!$L$425:$U$425) / Periods_in_Year</f>
        <v>0</v>
      </c>
      <c r="BM645" s="10">
        <f>SUMIF(Предпосылки!$L$419:$U$419,BM$637,Предпосылки!$L$425:$U$425) / Periods_in_Year</f>
        <v>0</v>
      </c>
      <c r="BN645" s="10">
        <f>SUMIF(Предпосылки!$L$419:$U$419,BN$637,Предпосылки!$L$425:$U$425) / Periods_in_Year</f>
        <v>0</v>
      </c>
      <c r="BO645" s="10">
        <f>SUMIF(Предпосылки!$L$419:$U$419,BO$637,Предпосылки!$L$425:$U$425) / Periods_in_Year</f>
        <v>0</v>
      </c>
      <c r="BP645" s="10">
        <f>SUMIF(Предпосылки!$L$419:$U$419,BP$637,Предпосылки!$L$425:$U$425) / Periods_in_Year</f>
        <v>0</v>
      </c>
      <c r="BQ645" s="10">
        <f>SUMIF(Предпосылки!$L$419:$U$419,BQ$637,Предпосылки!$L$425:$U$425) / Periods_in_Year</f>
        <v>0</v>
      </c>
      <c r="BR645" s="10">
        <f>SUMIF(Предпосылки!$L$419:$U$419,BR$637,Предпосылки!$L$425:$U$425) / Periods_in_Year</f>
        <v>0</v>
      </c>
      <c r="BS645" s="10">
        <f>SUMIF(Предпосылки!$L$419:$U$419,BS$637,Предпосылки!$L$425:$U$425) / Periods_in_Year</f>
        <v>0</v>
      </c>
      <c r="BT645" s="10">
        <f>SUMIF(Предпосылки!$L$419:$U$419,BT$637,Предпосылки!$L$425:$U$425) / Periods_in_Year</f>
        <v>0</v>
      </c>
      <c r="BU645" s="10">
        <f>SUMIF(Предпосылки!$L$419:$U$419,BU$637,Предпосылки!$L$425:$U$425) / Periods_in_Year</f>
        <v>0</v>
      </c>
      <c r="BV645" s="10">
        <f>SUMIF(Предпосылки!$L$419:$U$419,BV$637,Предпосылки!$L$425:$U$425) / Periods_in_Year</f>
        <v>0</v>
      </c>
      <c r="BW645" s="10">
        <f>SUMIF(Предпосылки!$L$419:$U$419,BW$637,Предпосылки!$L$425:$U$425) / Periods_in_Year</f>
        <v>0</v>
      </c>
      <c r="BX645" s="10">
        <f>SUMIF(Предпосылки!$L$419:$U$419,BX$637,Предпосылки!$L$425:$U$425) / Periods_in_Year</f>
        <v>0</v>
      </c>
      <c r="BY645" s="10">
        <f>SUMIF(Предпосылки!$L$419:$U$419,BY$637,Предпосылки!$L$425:$U$425) / Periods_in_Year</f>
        <v>0</v>
      </c>
      <c r="BZ645" s="10">
        <f>SUMIF(Предпосылки!$L$419:$U$419,BZ$637,Предпосылки!$L$425:$U$425) / Periods_in_Year</f>
        <v>0</v>
      </c>
      <c r="CA645" s="10">
        <f>SUMIF(Предпосылки!$L$419:$U$419,CA$637,Предпосылки!$L$425:$U$425) / Periods_in_Year</f>
        <v>0</v>
      </c>
      <c r="CB645" s="10">
        <f>SUMIF(Предпосылки!$L$419:$U$419,CB$637,Предпосылки!$L$425:$U$425) / Periods_in_Year</f>
        <v>0</v>
      </c>
      <c r="CC645" s="10">
        <f>SUMIF(Предпосылки!$L$419:$U$419,CC$637,Предпосылки!$L$425:$U$425) / Periods_in_Year</f>
        <v>0</v>
      </c>
      <c r="CD645" s="10">
        <f>SUMIF(Предпосылки!$L$419:$U$419,CD$637,Предпосылки!$L$425:$U$425) / Periods_in_Year</f>
        <v>0</v>
      </c>
      <c r="CE645" s="10">
        <f>SUMIF(Предпосылки!$L$419:$U$419,CE$637,Предпосылки!$L$425:$U$425) / Periods_in_Year</f>
        <v>0</v>
      </c>
      <c r="CF645" s="10">
        <f>SUMIF(Предпосылки!$L$419:$U$419,CF$637,Предпосылки!$L$425:$U$425) / Periods_in_Year</f>
        <v>0</v>
      </c>
      <c r="CG645" s="10">
        <f>SUMIF(Предпосылки!$L$419:$U$419,CG$637,Предпосылки!$L$425:$U$425) / Periods_in_Year</f>
        <v>0</v>
      </c>
      <c r="CH645" s="10">
        <f>SUMIF(Предпосылки!$L$419:$U$419,CH$637,Предпосылки!$L$425:$U$425) / Periods_in_Year</f>
        <v>0</v>
      </c>
      <c r="CI645" s="10">
        <f>SUMIF(Предпосылки!$L$419:$U$419,CI$637,Предпосылки!$L$425:$U$425) / Periods_in_Year</f>
        <v>0</v>
      </c>
      <c r="CJ645" s="10">
        <f>SUMIF(Предпосылки!$L$419:$U$419,CJ$637,Предпосылки!$L$425:$U$425) / Periods_in_Year</f>
        <v>0</v>
      </c>
      <c r="CK645" s="10">
        <f>SUMIF(Предпосылки!$L$419:$U$419,CK$637,Предпосылки!$L$425:$U$425) / Periods_in_Year</f>
        <v>0</v>
      </c>
      <c r="CL645" s="10">
        <f>SUMIF(Предпосылки!$L$419:$U$419,CL$637,Предпосылки!$L$425:$U$425) / Periods_in_Year</f>
        <v>0</v>
      </c>
      <c r="CM645" s="10">
        <f>SUMIF(Предпосылки!$L$419:$U$419,CM$637,Предпосылки!$L$425:$U$425) / Periods_in_Year</f>
        <v>0</v>
      </c>
      <c r="CN645" s="10">
        <f>SUMIF(Предпосылки!$L$419:$U$419,CN$637,Предпосылки!$L$425:$U$425) / Periods_in_Year</f>
        <v>0</v>
      </c>
      <c r="CO645" s="10">
        <f>SUMIF(Предпосылки!$L$419:$U$419,CO$637,Предпосылки!$L$425:$U$425) / Periods_in_Year</f>
        <v>0</v>
      </c>
    </row>
    <row r="646" spans="1:93" s="141" customFormat="1" ht="12.75" hidden="1">
      <c r="B646" s="10"/>
      <c r="C646" s="21"/>
      <c r="D646" s="10"/>
      <c r="E646" s="62"/>
      <c r="F646" s="11"/>
      <c r="G646" s="11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  <c r="BA646" s="10"/>
      <c r="BB646" s="10"/>
      <c r="BC646" s="10"/>
      <c r="BD646" s="10"/>
      <c r="BE646" s="10"/>
      <c r="BF646" s="10"/>
      <c r="BG646" s="10"/>
      <c r="BH646" s="10"/>
      <c r="BI646" s="10"/>
      <c r="BJ646" s="10"/>
      <c r="BK646" s="10"/>
      <c r="BL646" s="10"/>
      <c r="BM646" s="10"/>
      <c r="BN646" s="10"/>
      <c r="BO646" s="10"/>
      <c r="BP646" s="10"/>
      <c r="BQ646" s="10"/>
      <c r="BR646" s="10"/>
      <c r="BS646" s="10"/>
      <c r="BT646" s="10"/>
      <c r="BU646" s="10"/>
      <c r="BV646" s="10"/>
      <c r="BW646" s="10"/>
      <c r="BX646" s="10"/>
      <c r="BY646" s="10"/>
      <c r="BZ646" s="10"/>
      <c r="CA646" s="10"/>
      <c r="CB646" s="10"/>
      <c r="CC646" s="10"/>
      <c r="CD646" s="10"/>
      <c r="CE646" s="10"/>
      <c r="CF646" s="10"/>
      <c r="CG646" s="10"/>
      <c r="CH646" s="10"/>
      <c r="CI646" s="10"/>
      <c r="CJ646" s="10"/>
      <c r="CK646" s="10"/>
      <c r="CL646" s="10"/>
      <c r="CM646" s="10"/>
      <c r="CN646" s="10"/>
      <c r="CO646" s="10"/>
    </row>
    <row r="647" spans="1:93" ht="16.5" hidden="1" thickBot="1">
      <c r="B647" s="13"/>
      <c r="C647" s="12"/>
      <c r="D647" s="12"/>
      <c r="E647" s="12"/>
      <c r="F647" s="12"/>
      <c r="G647" s="360"/>
      <c r="H647" s="12"/>
      <c r="I647" s="12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  <c r="BA647" s="10"/>
      <c r="BB647" s="10"/>
      <c r="BC647" s="10"/>
      <c r="BD647" s="10"/>
      <c r="BE647" s="10"/>
      <c r="BF647" s="10"/>
      <c r="BG647" s="10"/>
      <c r="BH647" s="10"/>
      <c r="BI647" s="10"/>
      <c r="BJ647" s="10"/>
      <c r="BK647" s="10"/>
      <c r="BL647" s="10"/>
      <c r="BM647" s="10"/>
      <c r="BN647" s="10"/>
      <c r="BO647" s="10"/>
      <c r="BP647" s="10"/>
      <c r="BQ647" s="10"/>
      <c r="BR647" s="10"/>
      <c r="BS647" s="10"/>
      <c r="BT647" s="10"/>
      <c r="BU647" s="10"/>
      <c r="BV647" s="10"/>
      <c r="BW647" s="10"/>
      <c r="BX647" s="10"/>
      <c r="BY647" s="10"/>
      <c r="BZ647" s="10"/>
      <c r="CA647" s="10"/>
      <c r="CB647" s="10"/>
      <c r="CC647" s="10"/>
      <c r="CD647" s="10"/>
      <c r="CE647" s="10"/>
      <c r="CF647" s="10"/>
      <c r="CG647" s="10"/>
      <c r="CH647" s="10"/>
      <c r="CI647" s="10"/>
      <c r="CJ647" s="10"/>
      <c r="CK647" s="10"/>
      <c r="CL647" s="10"/>
      <c r="CM647" s="10"/>
      <c r="CN647" s="10"/>
      <c r="CO647" s="10"/>
    </row>
    <row r="648" spans="1:93" s="141" customFormat="1" ht="12.75" hidden="1">
      <c r="B648" s="10"/>
      <c r="C648" s="21"/>
      <c r="D648" s="10"/>
      <c r="E648" s="62"/>
      <c r="F648" s="11"/>
      <c r="G648" s="11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  <c r="BA648" s="10"/>
      <c r="BB648" s="10"/>
      <c r="BC648" s="10"/>
      <c r="BD648" s="10"/>
      <c r="BE648" s="10"/>
      <c r="BF648" s="10"/>
      <c r="BG648" s="10"/>
      <c r="BH648" s="10"/>
      <c r="BI648" s="10"/>
      <c r="BJ648" s="10"/>
      <c r="BK648" s="10"/>
      <c r="BL648" s="10"/>
      <c r="BM648" s="10"/>
      <c r="BN648" s="10"/>
      <c r="BO648" s="10"/>
      <c r="BP648" s="10"/>
      <c r="BQ648" s="10"/>
      <c r="BR648" s="10"/>
      <c r="BS648" s="10"/>
      <c r="BT648" s="10"/>
      <c r="BU648" s="10"/>
      <c r="BV648" s="10"/>
      <c r="BW648" s="10"/>
      <c r="BX648" s="10"/>
      <c r="BY648" s="10"/>
      <c r="BZ648" s="10"/>
      <c r="CA648" s="10"/>
      <c r="CB648" s="10"/>
      <c r="CC648" s="10"/>
      <c r="CD648" s="10"/>
      <c r="CE648" s="10"/>
      <c r="CF648" s="10"/>
      <c r="CG648" s="10"/>
      <c r="CH648" s="10"/>
      <c r="CI648" s="10"/>
      <c r="CJ648" s="10"/>
      <c r="CK648" s="10"/>
      <c r="CL648" s="10"/>
      <c r="CM648" s="10"/>
      <c r="CN648" s="10"/>
      <c r="CO648" s="10"/>
    </row>
    <row r="649" spans="1:93" s="141" customFormat="1" ht="12.75" hidden="1">
      <c r="B649" s="10"/>
      <c r="C649" s="21"/>
      <c r="D649" s="10"/>
      <c r="E649" s="184"/>
      <c r="F649" s="11"/>
      <c r="G649" s="11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  <c r="BA649" s="10"/>
      <c r="BB649" s="10"/>
      <c r="BC649" s="10"/>
      <c r="BD649" s="10"/>
      <c r="BE649" s="10"/>
      <c r="BF649" s="10"/>
      <c r="BG649" s="10"/>
      <c r="BH649" s="10"/>
      <c r="BI649" s="10"/>
      <c r="BJ649" s="10"/>
      <c r="BK649" s="10"/>
      <c r="BL649" s="10"/>
      <c r="BM649" s="10"/>
      <c r="BN649" s="10"/>
      <c r="BO649" s="10"/>
      <c r="BP649" s="10"/>
      <c r="BQ649" s="10"/>
      <c r="BR649" s="10"/>
      <c r="BS649" s="10"/>
      <c r="BT649" s="10"/>
      <c r="BU649" s="10"/>
      <c r="BV649" s="10"/>
      <c r="BW649" s="10"/>
      <c r="BX649" s="10"/>
      <c r="BY649" s="10"/>
      <c r="BZ649" s="10"/>
      <c r="CA649" s="10"/>
      <c r="CB649" s="10"/>
      <c r="CC649" s="10"/>
      <c r="CD649" s="10"/>
      <c r="CE649" s="10"/>
      <c r="CF649" s="10"/>
      <c r="CG649" s="10"/>
      <c r="CH649" s="10"/>
      <c r="CI649" s="10"/>
      <c r="CJ649" s="10"/>
      <c r="CK649" s="10"/>
      <c r="CL649" s="10"/>
      <c r="CM649" s="10"/>
      <c r="CN649" s="10"/>
      <c r="CO649" s="10"/>
    </row>
    <row r="650" spans="1:93" s="141" customFormat="1" ht="12.75" hidden="1">
      <c r="B650" s="10"/>
      <c r="C650" s="21"/>
      <c r="D650" s="10"/>
      <c r="E650" s="184"/>
      <c r="F650" s="11"/>
      <c r="G650" s="11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  <c r="BA650" s="10"/>
      <c r="BB650" s="10"/>
      <c r="BC650" s="10"/>
      <c r="BD650" s="10"/>
      <c r="BE650" s="10"/>
      <c r="BF650" s="10"/>
      <c r="BG650" s="10"/>
      <c r="BH650" s="10"/>
      <c r="BI650" s="10"/>
      <c r="BJ650" s="10"/>
      <c r="BK650" s="10"/>
      <c r="BL650" s="10"/>
      <c r="BM650" s="10"/>
      <c r="BN650" s="10"/>
      <c r="BO650" s="10"/>
      <c r="BP650" s="10"/>
      <c r="BQ650" s="10"/>
      <c r="BR650" s="10"/>
      <c r="BS650" s="10"/>
      <c r="BT650" s="10"/>
      <c r="BU650" s="10"/>
      <c r="BV650" s="10"/>
      <c r="BW650" s="10"/>
      <c r="BX650" s="10"/>
      <c r="BY650" s="10"/>
      <c r="BZ650" s="10"/>
      <c r="CA650" s="10"/>
      <c r="CB650" s="10"/>
      <c r="CC650" s="10"/>
      <c r="CD650" s="10"/>
      <c r="CE650" s="10"/>
      <c r="CF650" s="10"/>
      <c r="CG650" s="10"/>
      <c r="CH650" s="10"/>
      <c r="CI650" s="10"/>
      <c r="CJ650" s="10"/>
      <c r="CK650" s="10"/>
      <c r="CL650" s="10"/>
      <c r="CM650" s="10"/>
      <c r="CN650" s="10"/>
      <c r="CO650" s="10"/>
    </row>
    <row r="651" spans="1:93" s="141" customFormat="1" ht="12.75" hidden="1">
      <c r="B651" s="10"/>
      <c r="C651" s="21"/>
      <c r="D651" s="10"/>
      <c r="E651" s="62"/>
      <c r="F651" s="11"/>
      <c r="G651" s="11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  <c r="BA651" s="10"/>
      <c r="BB651" s="10"/>
      <c r="BC651" s="10"/>
      <c r="BD651" s="10"/>
      <c r="BE651" s="10"/>
      <c r="BF651" s="10"/>
      <c r="BG651" s="10"/>
      <c r="BH651" s="10"/>
      <c r="BI651" s="10"/>
      <c r="BJ651" s="10"/>
      <c r="BK651" s="10"/>
      <c r="BL651" s="10"/>
      <c r="BM651" s="10"/>
      <c r="BN651" s="10"/>
      <c r="BO651" s="10"/>
      <c r="BP651" s="10"/>
      <c r="BQ651" s="10"/>
      <c r="BR651" s="10"/>
      <c r="BS651" s="10"/>
      <c r="BT651" s="10"/>
      <c r="BU651" s="10"/>
      <c r="BV651" s="10"/>
      <c r="BW651" s="10"/>
      <c r="BX651" s="10"/>
      <c r="BY651" s="10"/>
      <c r="BZ651" s="10"/>
      <c r="CA651" s="10"/>
      <c r="CB651" s="10"/>
      <c r="CC651" s="10"/>
      <c r="CD651" s="10"/>
      <c r="CE651" s="10"/>
      <c r="CF651" s="10"/>
      <c r="CG651" s="10"/>
      <c r="CH651" s="10"/>
      <c r="CI651" s="10"/>
      <c r="CJ651" s="10"/>
      <c r="CK651" s="10"/>
      <c r="CL651" s="10"/>
      <c r="CM651" s="10"/>
      <c r="CN651" s="10"/>
      <c r="CO651" s="10"/>
    </row>
    <row r="652" spans="1:93" ht="16.5" hidden="1" thickBot="1">
      <c r="A652" s="233"/>
      <c r="B652" s="10"/>
      <c r="C652" s="12"/>
      <c r="D652" s="12"/>
      <c r="E652" s="12"/>
      <c r="F652" s="12"/>
      <c r="G652" s="360"/>
      <c r="H652" s="12"/>
      <c r="I652" s="12"/>
      <c r="J652" s="69"/>
      <c r="K652" s="69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  <c r="BA652" s="10"/>
      <c r="BB652" s="10"/>
      <c r="BC652" s="10"/>
      <c r="BD652" s="10"/>
      <c r="BE652" s="10"/>
      <c r="BF652" s="10"/>
      <c r="BG652" s="10"/>
      <c r="BH652" s="10"/>
      <c r="BI652" s="10"/>
      <c r="BJ652" s="10"/>
      <c r="BK652" s="10"/>
      <c r="BL652" s="10"/>
      <c r="BM652" s="10"/>
      <c r="BN652" s="10"/>
      <c r="BO652" s="10"/>
      <c r="BP652" s="10"/>
      <c r="BQ652" s="10"/>
      <c r="BR652" s="10"/>
      <c r="BS652" s="10"/>
      <c r="BT652" s="10"/>
      <c r="BU652" s="10"/>
      <c r="BV652" s="10"/>
      <c r="BW652" s="10"/>
      <c r="BX652" s="10"/>
      <c r="BY652" s="10"/>
      <c r="BZ652" s="10"/>
      <c r="CA652" s="10"/>
      <c r="CB652" s="10"/>
      <c r="CC652" s="10"/>
      <c r="CD652" s="10"/>
      <c r="CE652" s="10"/>
      <c r="CF652" s="10"/>
      <c r="CG652" s="10"/>
      <c r="CH652" s="10"/>
      <c r="CI652" s="10"/>
      <c r="CJ652" s="10"/>
      <c r="CK652" s="10"/>
      <c r="CL652" s="10"/>
      <c r="CM652" s="10"/>
      <c r="CN652" s="10"/>
      <c r="CO652" s="10"/>
    </row>
    <row r="653" spans="1:93" s="141" customFormat="1" ht="12.75" hidden="1">
      <c r="B653" s="10"/>
      <c r="C653" s="21"/>
      <c r="D653" s="10"/>
      <c r="E653" s="62"/>
      <c r="F653" s="11"/>
      <c r="G653" s="11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  <c r="BA653" s="10"/>
      <c r="BB653" s="10"/>
      <c r="BC653" s="10"/>
      <c r="BD653" s="10"/>
      <c r="BE653" s="10"/>
      <c r="BF653" s="10"/>
      <c r="BG653" s="10"/>
      <c r="BH653" s="10"/>
      <c r="BI653" s="10"/>
      <c r="BJ653" s="10"/>
      <c r="BK653" s="10"/>
      <c r="BL653" s="10"/>
      <c r="BM653" s="10"/>
      <c r="BN653" s="10"/>
      <c r="BO653" s="10"/>
      <c r="BP653" s="10"/>
      <c r="BQ653" s="10"/>
      <c r="BR653" s="10"/>
      <c r="BS653" s="10"/>
      <c r="BT653" s="10"/>
      <c r="BU653" s="10"/>
      <c r="BV653" s="10"/>
      <c r="BW653" s="10"/>
      <c r="BX653" s="10"/>
      <c r="BY653" s="10"/>
      <c r="BZ653" s="10"/>
      <c r="CA653" s="10"/>
      <c r="CB653" s="10"/>
      <c r="CC653" s="10"/>
      <c r="CD653" s="10"/>
      <c r="CE653" s="10"/>
      <c r="CF653" s="10"/>
      <c r="CG653" s="10"/>
      <c r="CH653" s="10"/>
      <c r="CI653" s="10"/>
      <c r="CJ653" s="10"/>
      <c r="CK653" s="10"/>
      <c r="CL653" s="10"/>
      <c r="CM653" s="10"/>
      <c r="CN653" s="10"/>
      <c r="CO653" s="10"/>
    </row>
    <row r="654" spans="1:93" s="141" customFormat="1" ht="12.75" hidden="1">
      <c r="B654" s="10"/>
      <c r="C654" s="21"/>
      <c r="D654" s="10"/>
      <c r="E654" s="62"/>
      <c r="F654" s="11"/>
      <c r="G654" s="11"/>
      <c r="H654" s="10"/>
      <c r="I654" s="10"/>
      <c r="J654" s="10"/>
      <c r="K654" s="10"/>
      <c r="L654" s="10">
        <f t="shared" ref="L654:BX654" si="844" xml:space="preserve"> $E$649 * L$636</f>
        <v>0</v>
      </c>
      <c r="M654" s="10">
        <f t="shared" si="844"/>
        <v>0</v>
      </c>
      <c r="N654" s="10">
        <f t="shared" si="844"/>
        <v>0</v>
      </c>
      <c r="O654" s="10">
        <f t="shared" si="844"/>
        <v>0</v>
      </c>
      <c r="P654" s="10">
        <f t="shared" si="844"/>
        <v>0</v>
      </c>
      <c r="Q654" s="10">
        <f t="shared" si="844"/>
        <v>0</v>
      </c>
      <c r="R654" s="10">
        <f t="shared" si="844"/>
        <v>0</v>
      </c>
      <c r="S654" s="10">
        <f t="shared" si="844"/>
        <v>0</v>
      </c>
      <c r="T654" s="10">
        <f t="shared" si="844"/>
        <v>0</v>
      </c>
      <c r="U654" s="10">
        <f t="shared" si="844"/>
        <v>0</v>
      </c>
      <c r="V654" s="10">
        <f t="shared" si="844"/>
        <v>0</v>
      </c>
      <c r="W654" s="10">
        <f t="shared" si="844"/>
        <v>0</v>
      </c>
      <c r="X654" s="10">
        <f t="shared" si="844"/>
        <v>0</v>
      </c>
      <c r="Y654" s="10">
        <f t="shared" si="844"/>
        <v>0</v>
      </c>
      <c r="Z654" s="10">
        <f t="shared" si="844"/>
        <v>0</v>
      </c>
      <c r="AA654" s="10">
        <f t="shared" si="844"/>
        <v>0</v>
      </c>
      <c r="AB654" s="10">
        <f t="shared" si="844"/>
        <v>0</v>
      </c>
      <c r="AC654" s="10">
        <f t="shared" si="844"/>
        <v>0</v>
      </c>
      <c r="AD654" s="10">
        <f t="shared" si="844"/>
        <v>0</v>
      </c>
      <c r="AE654" s="10">
        <f t="shared" si="844"/>
        <v>0</v>
      </c>
      <c r="AF654" s="10">
        <f t="shared" si="844"/>
        <v>0</v>
      </c>
      <c r="AG654" s="10">
        <f t="shared" si="844"/>
        <v>0</v>
      </c>
      <c r="AH654" s="10">
        <f t="shared" si="844"/>
        <v>0</v>
      </c>
      <c r="AI654" s="10">
        <f t="shared" si="844"/>
        <v>0</v>
      </c>
      <c r="AJ654" s="10">
        <f t="shared" si="844"/>
        <v>0</v>
      </c>
      <c r="AK654" s="10">
        <f t="shared" si="844"/>
        <v>0</v>
      </c>
      <c r="AL654" s="10">
        <f t="shared" si="844"/>
        <v>0</v>
      </c>
      <c r="AM654" s="10">
        <f t="shared" si="844"/>
        <v>0</v>
      </c>
      <c r="AN654" s="10">
        <f t="shared" si="844"/>
        <v>0</v>
      </c>
      <c r="AO654" s="10">
        <f t="shared" si="844"/>
        <v>0</v>
      </c>
      <c r="AP654" s="10">
        <f t="shared" si="844"/>
        <v>0</v>
      </c>
      <c r="AQ654" s="10">
        <f t="shared" si="844"/>
        <v>0</v>
      </c>
      <c r="AR654" s="10">
        <f t="shared" si="844"/>
        <v>0</v>
      </c>
      <c r="AS654" s="10">
        <f t="shared" si="844"/>
        <v>0</v>
      </c>
      <c r="AT654" s="10">
        <f t="shared" si="844"/>
        <v>0</v>
      </c>
      <c r="AU654" s="10">
        <f t="shared" si="844"/>
        <v>0</v>
      </c>
      <c r="AV654" s="10">
        <f t="shared" si="844"/>
        <v>0</v>
      </c>
      <c r="AW654" s="10">
        <f t="shared" si="844"/>
        <v>0</v>
      </c>
      <c r="AX654" s="10">
        <f t="shared" si="844"/>
        <v>0</v>
      </c>
      <c r="AY654" s="10">
        <f t="shared" si="844"/>
        <v>0</v>
      </c>
      <c r="AZ654" s="10">
        <f t="shared" si="844"/>
        <v>0</v>
      </c>
      <c r="BA654" s="10">
        <f t="shared" si="844"/>
        <v>0</v>
      </c>
      <c r="BB654" s="10">
        <f t="shared" si="844"/>
        <v>0</v>
      </c>
      <c r="BC654" s="10">
        <f t="shared" si="844"/>
        <v>0</v>
      </c>
      <c r="BD654" s="10">
        <f t="shared" si="844"/>
        <v>0</v>
      </c>
      <c r="BE654" s="10">
        <f t="shared" si="844"/>
        <v>0</v>
      </c>
      <c r="BF654" s="10">
        <f t="shared" si="844"/>
        <v>0</v>
      </c>
      <c r="BG654" s="10">
        <f t="shared" si="844"/>
        <v>0</v>
      </c>
      <c r="BH654" s="10">
        <f t="shared" si="844"/>
        <v>0</v>
      </c>
      <c r="BI654" s="10">
        <f t="shared" si="844"/>
        <v>0</v>
      </c>
      <c r="BJ654" s="10">
        <f t="shared" si="844"/>
        <v>0</v>
      </c>
      <c r="BK654" s="10">
        <f t="shared" si="844"/>
        <v>0</v>
      </c>
      <c r="BL654" s="10">
        <f t="shared" si="844"/>
        <v>0</v>
      </c>
      <c r="BM654" s="10">
        <f t="shared" si="844"/>
        <v>0</v>
      </c>
      <c r="BN654" s="10">
        <f t="shared" si="844"/>
        <v>0</v>
      </c>
      <c r="BO654" s="10">
        <f t="shared" si="844"/>
        <v>0</v>
      </c>
      <c r="BP654" s="10">
        <f t="shared" si="844"/>
        <v>0</v>
      </c>
      <c r="BQ654" s="10">
        <f t="shared" si="844"/>
        <v>0</v>
      </c>
      <c r="BR654" s="10">
        <f t="shared" si="844"/>
        <v>0</v>
      </c>
      <c r="BS654" s="10">
        <f t="shared" si="844"/>
        <v>0</v>
      </c>
      <c r="BT654" s="10">
        <f t="shared" si="844"/>
        <v>0</v>
      </c>
      <c r="BU654" s="10">
        <f t="shared" si="844"/>
        <v>0</v>
      </c>
      <c r="BV654" s="10">
        <f t="shared" si="844"/>
        <v>0</v>
      </c>
      <c r="BW654" s="10">
        <f t="shared" si="844"/>
        <v>0</v>
      </c>
      <c r="BX654" s="10">
        <f t="shared" si="844"/>
        <v>0</v>
      </c>
      <c r="BY654" s="10">
        <f t="shared" ref="BY654:CO654" si="845" xml:space="preserve"> $E$649 * BY$636</f>
        <v>0</v>
      </c>
      <c r="BZ654" s="10">
        <f t="shared" si="845"/>
        <v>0</v>
      </c>
      <c r="CA654" s="10">
        <f t="shared" si="845"/>
        <v>0</v>
      </c>
      <c r="CB654" s="10">
        <f t="shared" si="845"/>
        <v>0</v>
      </c>
      <c r="CC654" s="10">
        <f t="shared" si="845"/>
        <v>0</v>
      </c>
      <c r="CD654" s="10">
        <f t="shared" si="845"/>
        <v>0</v>
      </c>
      <c r="CE654" s="10">
        <f t="shared" si="845"/>
        <v>0</v>
      </c>
      <c r="CF654" s="10">
        <f t="shared" si="845"/>
        <v>0</v>
      </c>
      <c r="CG654" s="10">
        <f t="shared" si="845"/>
        <v>0</v>
      </c>
      <c r="CH654" s="10">
        <f t="shared" si="845"/>
        <v>0</v>
      </c>
      <c r="CI654" s="10">
        <f t="shared" si="845"/>
        <v>0</v>
      </c>
      <c r="CJ654" s="10">
        <f t="shared" si="845"/>
        <v>0</v>
      </c>
      <c r="CK654" s="10">
        <f t="shared" si="845"/>
        <v>0</v>
      </c>
      <c r="CL654" s="10">
        <f t="shared" si="845"/>
        <v>0</v>
      </c>
      <c r="CM654" s="10">
        <f t="shared" si="845"/>
        <v>0</v>
      </c>
      <c r="CN654" s="10">
        <f t="shared" si="845"/>
        <v>0</v>
      </c>
      <c r="CO654" s="10">
        <f t="shared" si="845"/>
        <v>0</v>
      </c>
    </row>
    <row r="655" spans="1:93" s="141" customFormat="1" ht="12.75" hidden="1">
      <c r="B655" s="10"/>
      <c r="C655" s="21"/>
      <c r="D655" s="10"/>
      <c r="E655" s="62"/>
      <c r="F655" s="11"/>
      <c r="G655" s="11"/>
      <c r="H655" s="10"/>
      <c r="I655" s="10"/>
      <c r="J655" s="10"/>
      <c r="K655" s="10"/>
      <c r="L655" s="10">
        <f t="shared" ref="L655:BX655" si="846" xml:space="preserve"> $E$650 * L$636</f>
        <v>0</v>
      </c>
      <c r="M655" s="10">
        <f t="shared" si="846"/>
        <v>0</v>
      </c>
      <c r="N655" s="10">
        <f t="shared" si="846"/>
        <v>0</v>
      </c>
      <c r="O655" s="10">
        <f t="shared" si="846"/>
        <v>0</v>
      </c>
      <c r="P655" s="10">
        <f t="shared" si="846"/>
        <v>0</v>
      </c>
      <c r="Q655" s="10">
        <f t="shared" si="846"/>
        <v>0</v>
      </c>
      <c r="R655" s="10">
        <f t="shared" si="846"/>
        <v>0</v>
      </c>
      <c r="S655" s="10">
        <f t="shared" si="846"/>
        <v>0</v>
      </c>
      <c r="T655" s="10">
        <f t="shared" si="846"/>
        <v>0</v>
      </c>
      <c r="U655" s="10">
        <f t="shared" si="846"/>
        <v>0</v>
      </c>
      <c r="V655" s="10">
        <f t="shared" si="846"/>
        <v>0</v>
      </c>
      <c r="W655" s="10">
        <f t="shared" si="846"/>
        <v>0</v>
      </c>
      <c r="X655" s="10">
        <f t="shared" si="846"/>
        <v>0</v>
      </c>
      <c r="Y655" s="10">
        <f t="shared" si="846"/>
        <v>0</v>
      </c>
      <c r="Z655" s="10">
        <f t="shared" si="846"/>
        <v>0</v>
      </c>
      <c r="AA655" s="10">
        <f t="shared" si="846"/>
        <v>0</v>
      </c>
      <c r="AB655" s="10">
        <f t="shared" si="846"/>
        <v>0</v>
      </c>
      <c r="AC655" s="10">
        <f t="shared" si="846"/>
        <v>0</v>
      </c>
      <c r="AD655" s="10">
        <f t="shared" si="846"/>
        <v>0</v>
      </c>
      <c r="AE655" s="10">
        <f t="shared" si="846"/>
        <v>0</v>
      </c>
      <c r="AF655" s="10">
        <f t="shared" si="846"/>
        <v>0</v>
      </c>
      <c r="AG655" s="10">
        <f t="shared" si="846"/>
        <v>0</v>
      </c>
      <c r="AH655" s="10">
        <f t="shared" si="846"/>
        <v>0</v>
      </c>
      <c r="AI655" s="10">
        <f t="shared" si="846"/>
        <v>0</v>
      </c>
      <c r="AJ655" s="10">
        <f t="shared" si="846"/>
        <v>0</v>
      </c>
      <c r="AK655" s="10">
        <f t="shared" si="846"/>
        <v>0</v>
      </c>
      <c r="AL655" s="10">
        <f t="shared" si="846"/>
        <v>0</v>
      </c>
      <c r="AM655" s="10">
        <f t="shared" si="846"/>
        <v>0</v>
      </c>
      <c r="AN655" s="10">
        <f t="shared" si="846"/>
        <v>0</v>
      </c>
      <c r="AO655" s="10">
        <f t="shared" si="846"/>
        <v>0</v>
      </c>
      <c r="AP655" s="10">
        <f t="shared" si="846"/>
        <v>0</v>
      </c>
      <c r="AQ655" s="10">
        <f t="shared" si="846"/>
        <v>0</v>
      </c>
      <c r="AR655" s="10">
        <f t="shared" si="846"/>
        <v>0</v>
      </c>
      <c r="AS655" s="10">
        <f t="shared" si="846"/>
        <v>0</v>
      </c>
      <c r="AT655" s="10">
        <f t="shared" si="846"/>
        <v>0</v>
      </c>
      <c r="AU655" s="10">
        <f t="shared" si="846"/>
        <v>0</v>
      </c>
      <c r="AV655" s="10">
        <f t="shared" si="846"/>
        <v>0</v>
      </c>
      <c r="AW655" s="10">
        <f t="shared" si="846"/>
        <v>0</v>
      </c>
      <c r="AX655" s="10">
        <f t="shared" si="846"/>
        <v>0</v>
      </c>
      <c r="AY655" s="10">
        <f t="shared" si="846"/>
        <v>0</v>
      </c>
      <c r="AZ655" s="10">
        <f t="shared" si="846"/>
        <v>0</v>
      </c>
      <c r="BA655" s="10">
        <f t="shared" si="846"/>
        <v>0</v>
      </c>
      <c r="BB655" s="10">
        <f t="shared" si="846"/>
        <v>0</v>
      </c>
      <c r="BC655" s="10">
        <f t="shared" si="846"/>
        <v>0</v>
      </c>
      <c r="BD655" s="10">
        <f t="shared" si="846"/>
        <v>0</v>
      </c>
      <c r="BE655" s="10">
        <f t="shared" si="846"/>
        <v>0</v>
      </c>
      <c r="BF655" s="10">
        <f t="shared" si="846"/>
        <v>0</v>
      </c>
      <c r="BG655" s="10">
        <f t="shared" si="846"/>
        <v>0</v>
      </c>
      <c r="BH655" s="10">
        <f t="shared" si="846"/>
        <v>0</v>
      </c>
      <c r="BI655" s="10">
        <f t="shared" si="846"/>
        <v>0</v>
      </c>
      <c r="BJ655" s="10">
        <f t="shared" si="846"/>
        <v>0</v>
      </c>
      <c r="BK655" s="10">
        <f t="shared" si="846"/>
        <v>0</v>
      </c>
      <c r="BL655" s="10">
        <f t="shared" si="846"/>
        <v>0</v>
      </c>
      <c r="BM655" s="10">
        <f t="shared" si="846"/>
        <v>0</v>
      </c>
      <c r="BN655" s="10">
        <f t="shared" si="846"/>
        <v>0</v>
      </c>
      <c r="BO655" s="10">
        <f t="shared" si="846"/>
        <v>0</v>
      </c>
      <c r="BP655" s="10">
        <f t="shared" si="846"/>
        <v>0</v>
      </c>
      <c r="BQ655" s="10">
        <f t="shared" si="846"/>
        <v>0</v>
      </c>
      <c r="BR655" s="10">
        <f t="shared" si="846"/>
        <v>0</v>
      </c>
      <c r="BS655" s="10">
        <f t="shared" si="846"/>
        <v>0</v>
      </c>
      <c r="BT655" s="10">
        <f t="shared" si="846"/>
        <v>0</v>
      </c>
      <c r="BU655" s="10">
        <f t="shared" si="846"/>
        <v>0</v>
      </c>
      <c r="BV655" s="10">
        <f t="shared" si="846"/>
        <v>0</v>
      </c>
      <c r="BW655" s="10">
        <f t="shared" si="846"/>
        <v>0</v>
      </c>
      <c r="BX655" s="10">
        <f t="shared" si="846"/>
        <v>0</v>
      </c>
      <c r="BY655" s="10">
        <f t="shared" ref="BY655:CO655" si="847" xml:space="preserve"> $E$650 * BY$636</f>
        <v>0</v>
      </c>
      <c r="BZ655" s="10">
        <f t="shared" si="847"/>
        <v>0</v>
      </c>
      <c r="CA655" s="10">
        <f t="shared" si="847"/>
        <v>0</v>
      </c>
      <c r="CB655" s="10">
        <f t="shared" si="847"/>
        <v>0</v>
      </c>
      <c r="CC655" s="10">
        <f t="shared" si="847"/>
        <v>0</v>
      </c>
      <c r="CD655" s="10">
        <f t="shared" si="847"/>
        <v>0</v>
      </c>
      <c r="CE655" s="10">
        <f t="shared" si="847"/>
        <v>0</v>
      </c>
      <c r="CF655" s="10">
        <f t="shared" si="847"/>
        <v>0</v>
      </c>
      <c r="CG655" s="10">
        <f t="shared" si="847"/>
        <v>0</v>
      </c>
      <c r="CH655" s="10">
        <f t="shared" si="847"/>
        <v>0</v>
      </c>
      <c r="CI655" s="10">
        <f t="shared" si="847"/>
        <v>0</v>
      </c>
      <c r="CJ655" s="10">
        <f t="shared" si="847"/>
        <v>0</v>
      </c>
      <c r="CK655" s="10">
        <f t="shared" si="847"/>
        <v>0</v>
      </c>
      <c r="CL655" s="10">
        <f t="shared" si="847"/>
        <v>0</v>
      </c>
      <c r="CM655" s="10">
        <f t="shared" si="847"/>
        <v>0</v>
      </c>
      <c r="CN655" s="10">
        <f t="shared" si="847"/>
        <v>0</v>
      </c>
      <c r="CO655" s="10">
        <f t="shared" si="847"/>
        <v>0</v>
      </c>
    </row>
    <row r="656" spans="1:93" s="141" customFormat="1" ht="12.75" hidden="1">
      <c r="B656" s="10"/>
      <c r="C656" s="21"/>
      <c r="D656" s="10"/>
      <c r="E656" s="62"/>
      <c r="F656" s="11"/>
      <c r="G656" s="11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  <c r="BA656" s="10"/>
      <c r="BB656" s="10"/>
      <c r="BC656" s="10"/>
      <c r="BD656" s="10"/>
      <c r="BE656" s="10"/>
      <c r="BF656" s="10"/>
      <c r="BG656" s="10"/>
      <c r="BH656" s="10"/>
      <c r="BI656" s="10"/>
      <c r="BJ656" s="10"/>
      <c r="BK656" s="10"/>
      <c r="BL656" s="10"/>
      <c r="BM656" s="10"/>
      <c r="BN656" s="10"/>
      <c r="BO656" s="10"/>
      <c r="BP656" s="10"/>
      <c r="BQ656" s="10"/>
      <c r="BR656" s="10"/>
      <c r="BS656" s="10"/>
      <c r="BT656" s="10"/>
      <c r="BU656" s="10"/>
      <c r="BV656" s="10"/>
      <c r="BW656" s="10"/>
      <c r="BX656" s="10"/>
      <c r="BY656" s="10"/>
      <c r="BZ656" s="10"/>
      <c r="CA656" s="10"/>
      <c r="CB656" s="10"/>
      <c r="CC656" s="10"/>
      <c r="CD656" s="10"/>
      <c r="CE656" s="10"/>
      <c r="CF656" s="10"/>
      <c r="CG656" s="10"/>
      <c r="CH656" s="10"/>
      <c r="CI656" s="10"/>
      <c r="CJ656" s="10"/>
      <c r="CK656" s="10"/>
      <c r="CL656" s="10"/>
      <c r="CM656" s="10"/>
      <c r="CN656" s="10"/>
      <c r="CO656" s="10"/>
    </row>
    <row r="657" spans="1:93" s="141" customFormat="1" ht="12.75" hidden="1">
      <c r="B657" s="10"/>
      <c r="C657" s="21"/>
      <c r="D657" s="10"/>
      <c r="E657" s="232"/>
      <c r="F657" s="11"/>
      <c r="G657" s="11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  <c r="BA657" s="10"/>
      <c r="BB657" s="10"/>
      <c r="BC657" s="10"/>
      <c r="BD657" s="10"/>
      <c r="BE657" s="10"/>
      <c r="BF657" s="10"/>
      <c r="BG657" s="10"/>
      <c r="BH657" s="10"/>
      <c r="BI657" s="10"/>
      <c r="BJ657" s="10"/>
      <c r="BK657" s="10"/>
      <c r="BL657" s="10"/>
      <c r="BM657" s="10"/>
      <c r="BN657" s="10"/>
      <c r="BO657" s="10"/>
      <c r="BP657" s="10"/>
      <c r="BQ657" s="10"/>
      <c r="BR657" s="10"/>
      <c r="BS657" s="10"/>
      <c r="BT657" s="10"/>
      <c r="BU657" s="10"/>
      <c r="BV657" s="10"/>
      <c r="BW657" s="10"/>
      <c r="BX657" s="10"/>
      <c r="BY657" s="10"/>
      <c r="BZ657" s="10"/>
      <c r="CA657" s="10"/>
      <c r="CB657" s="10"/>
      <c r="CC657" s="10"/>
      <c r="CD657" s="10"/>
      <c r="CE657" s="10"/>
      <c r="CF657" s="10"/>
      <c r="CG657" s="10"/>
      <c r="CH657" s="10"/>
      <c r="CI657" s="10"/>
      <c r="CJ657" s="10"/>
      <c r="CK657" s="10"/>
      <c r="CL657" s="10"/>
      <c r="CM657" s="10"/>
      <c r="CN657" s="10"/>
      <c r="CO657" s="10"/>
    </row>
    <row r="658" spans="1:93" s="141" customFormat="1" ht="12.75" hidden="1">
      <c r="B658" s="10"/>
      <c r="C658" s="21"/>
      <c r="D658" s="10"/>
      <c r="E658" s="62"/>
      <c r="F658" s="11"/>
      <c r="G658" s="11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  <c r="BA658" s="10"/>
      <c r="BB658" s="10"/>
      <c r="BC658" s="10"/>
      <c r="BD658" s="10"/>
      <c r="BE658" s="10"/>
      <c r="BF658" s="10"/>
      <c r="BG658" s="10"/>
      <c r="BH658" s="10"/>
      <c r="BI658" s="10"/>
      <c r="BJ658" s="10"/>
      <c r="BK658" s="10"/>
      <c r="BL658" s="10"/>
      <c r="BM658" s="10"/>
      <c r="BN658" s="10"/>
      <c r="BO658" s="10"/>
      <c r="BP658" s="10"/>
      <c r="BQ658" s="10"/>
      <c r="BR658" s="10"/>
      <c r="BS658" s="10"/>
      <c r="BT658" s="10"/>
      <c r="BU658" s="10"/>
      <c r="BV658" s="10"/>
      <c r="BW658" s="10"/>
      <c r="BX658" s="10"/>
      <c r="BY658" s="10"/>
      <c r="BZ658" s="10"/>
      <c r="CA658" s="10"/>
      <c r="CB658" s="10"/>
      <c r="CC658" s="10"/>
      <c r="CD658" s="10"/>
      <c r="CE658" s="10"/>
      <c r="CF658" s="10"/>
      <c r="CG658" s="10"/>
      <c r="CH658" s="10"/>
      <c r="CI658" s="10"/>
      <c r="CJ658" s="10"/>
      <c r="CK658" s="10"/>
      <c r="CL658" s="10"/>
      <c r="CM658" s="10"/>
      <c r="CN658" s="10"/>
      <c r="CO658" s="10"/>
    </row>
    <row r="659" spans="1:93" s="141" customFormat="1" ht="12.75" hidden="1">
      <c r="B659" s="10"/>
      <c r="C659" s="21"/>
      <c r="D659" s="10"/>
      <c r="E659" s="62"/>
      <c r="F659" s="11"/>
      <c r="G659" s="11"/>
      <c r="H659" s="10"/>
      <c r="I659" s="23">
        <f>SUM(L659:CO659)</f>
        <v>0</v>
      </c>
      <c r="J659" s="10"/>
      <c r="K659" s="10"/>
      <c r="L659" s="10">
        <f t="shared" ref="L659:AQ659" si="848" xml:space="preserve"> SUM(L640:L641) * L654 / Thousand</f>
        <v>0</v>
      </c>
      <c r="M659" s="10">
        <f t="shared" si="848"/>
        <v>0</v>
      </c>
      <c r="N659" s="10">
        <f t="shared" si="848"/>
        <v>0</v>
      </c>
      <c r="O659" s="10">
        <f t="shared" si="848"/>
        <v>0</v>
      </c>
      <c r="P659" s="10">
        <f t="shared" si="848"/>
        <v>0</v>
      </c>
      <c r="Q659" s="10">
        <f t="shared" si="848"/>
        <v>0</v>
      </c>
      <c r="R659" s="10">
        <f t="shared" si="848"/>
        <v>0</v>
      </c>
      <c r="S659" s="10">
        <f t="shared" si="848"/>
        <v>0</v>
      </c>
      <c r="T659" s="10">
        <f t="shared" si="848"/>
        <v>0</v>
      </c>
      <c r="U659" s="10">
        <f t="shared" si="848"/>
        <v>0</v>
      </c>
      <c r="V659" s="10">
        <f t="shared" si="848"/>
        <v>0</v>
      </c>
      <c r="W659" s="10">
        <f t="shared" si="848"/>
        <v>0</v>
      </c>
      <c r="X659" s="10">
        <f t="shared" si="848"/>
        <v>0</v>
      </c>
      <c r="Y659" s="10">
        <f t="shared" si="848"/>
        <v>0</v>
      </c>
      <c r="Z659" s="10">
        <f t="shared" si="848"/>
        <v>0</v>
      </c>
      <c r="AA659" s="10">
        <f t="shared" si="848"/>
        <v>0</v>
      </c>
      <c r="AB659" s="10">
        <f t="shared" si="848"/>
        <v>0</v>
      </c>
      <c r="AC659" s="10">
        <f t="shared" si="848"/>
        <v>0</v>
      </c>
      <c r="AD659" s="10">
        <f t="shared" si="848"/>
        <v>0</v>
      </c>
      <c r="AE659" s="10">
        <f t="shared" si="848"/>
        <v>0</v>
      </c>
      <c r="AF659" s="10">
        <f t="shared" si="848"/>
        <v>0</v>
      </c>
      <c r="AG659" s="10">
        <f t="shared" si="848"/>
        <v>0</v>
      </c>
      <c r="AH659" s="10">
        <f t="shared" si="848"/>
        <v>0</v>
      </c>
      <c r="AI659" s="10">
        <f t="shared" si="848"/>
        <v>0</v>
      </c>
      <c r="AJ659" s="10">
        <f t="shared" si="848"/>
        <v>0</v>
      </c>
      <c r="AK659" s="10">
        <f t="shared" si="848"/>
        <v>0</v>
      </c>
      <c r="AL659" s="10">
        <f t="shared" si="848"/>
        <v>0</v>
      </c>
      <c r="AM659" s="10">
        <f t="shared" si="848"/>
        <v>0</v>
      </c>
      <c r="AN659" s="10">
        <f t="shared" si="848"/>
        <v>0</v>
      </c>
      <c r="AO659" s="10">
        <f t="shared" si="848"/>
        <v>0</v>
      </c>
      <c r="AP659" s="10">
        <f t="shared" si="848"/>
        <v>0</v>
      </c>
      <c r="AQ659" s="10">
        <f t="shared" si="848"/>
        <v>0</v>
      </c>
      <c r="AR659" s="10">
        <f t="shared" ref="AR659:BW659" si="849" xml:space="preserve"> SUM(AR640:AR641) * AR654 / Thousand</f>
        <v>0</v>
      </c>
      <c r="AS659" s="10">
        <f t="shared" si="849"/>
        <v>0</v>
      </c>
      <c r="AT659" s="10">
        <f t="shared" si="849"/>
        <v>0</v>
      </c>
      <c r="AU659" s="10">
        <f t="shared" si="849"/>
        <v>0</v>
      </c>
      <c r="AV659" s="10">
        <f t="shared" si="849"/>
        <v>0</v>
      </c>
      <c r="AW659" s="10">
        <f t="shared" si="849"/>
        <v>0</v>
      </c>
      <c r="AX659" s="10">
        <f t="shared" si="849"/>
        <v>0</v>
      </c>
      <c r="AY659" s="10">
        <f t="shared" si="849"/>
        <v>0</v>
      </c>
      <c r="AZ659" s="10">
        <f t="shared" si="849"/>
        <v>0</v>
      </c>
      <c r="BA659" s="10">
        <f t="shared" si="849"/>
        <v>0</v>
      </c>
      <c r="BB659" s="10">
        <f t="shared" si="849"/>
        <v>0</v>
      </c>
      <c r="BC659" s="10">
        <f t="shared" si="849"/>
        <v>0</v>
      </c>
      <c r="BD659" s="10">
        <f t="shared" si="849"/>
        <v>0</v>
      </c>
      <c r="BE659" s="10">
        <f t="shared" si="849"/>
        <v>0</v>
      </c>
      <c r="BF659" s="10">
        <f t="shared" si="849"/>
        <v>0</v>
      </c>
      <c r="BG659" s="10">
        <f t="shared" si="849"/>
        <v>0</v>
      </c>
      <c r="BH659" s="10">
        <f t="shared" si="849"/>
        <v>0</v>
      </c>
      <c r="BI659" s="10">
        <f t="shared" si="849"/>
        <v>0</v>
      </c>
      <c r="BJ659" s="10">
        <f t="shared" si="849"/>
        <v>0</v>
      </c>
      <c r="BK659" s="10">
        <f t="shared" si="849"/>
        <v>0</v>
      </c>
      <c r="BL659" s="10">
        <f t="shared" si="849"/>
        <v>0</v>
      </c>
      <c r="BM659" s="10">
        <f t="shared" si="849"/>
        <v>0</v>
      </c>
      <c r="BN659" s="10">
        <f t="shared" si="849"/>
        <v>0</v>
      </c>
      <c r="BO659" s="10">
        <f t="shared" si="849"/>
        <v>0</v>
      </c>
      <c r="BP659" s="10">
        <f t="shared" si="849"/>
        <v>0</v>
      </c>
      <c r="BQ659" s="10">
        <f t="shared" si="849"/>
        <v>0</v>
      </c>
      <c r="BR659" s="10">
        <f t="shared" si="849"/>
        <v>0</v>
      </c>
      <c r="BS659" s="10">
        <f t="shared" si="849"/>
        <v>0</v>
      </c>
      <c r="BT659" s="10">
        <f t="shared" si="849"/>
        <v>0</v>
      </c>
      <c r="BU659" s="10">
        <f t="shared" si="849"/>
        <v>0</v>
      </c>
      <c r="BV659" s="10">
        <f t="shared" si="849"/>
        <v>0</v>
      </c>
      <c r="BW659" s="10">
        <f t="shared" si="849"/>
        <v>0</v>
      </c>
      <c r="BX659" s="10">
        <f t="shared" ref="BX659:CO659" si="850" xml:space="preserve"> SUM(BX640:BX641) * BX654 / Thousand</f>
        <v>0</v>
      </c>
      <c r="BY659" s="10">
        <f t="shared" si="850"/>
        <v>0</v>
      </c>
      <c r="BZ659" s="10">
        <f t="shared" si="850"/>
        <v>0</v>
      </c>
      <c r="CA659" s="10">
        <f t="shared" si="850"/>
        <v>0</v>
      </c>
      <c r="CB659" s="10">
        <f t="shared" si="850"/>
        <v>0</v>
      </c>
      <c r="CC659" s="10">
        <f t="shared" si="850"/>
        <v>0</v>
      </c>
      <c r="CD659" s="10">
        <f t="shared" si="850"/>
        <v>0</v>
      </c>
      <c r="CE659" s="10">
        <f t="shared" si="850"/>
        <v>0</v>
      </c>
      <c r="CF659" s="10">
        <f t="shared" si="850"/>
        <v>0</v>
      </c>
      <c r="CG659" s="10">
        <f t="shared" si="850"/>
        <v>0</v>
      </c>
      <c r="CH659" s="10">
        <f t="shared" si="850"/>
        <v>0</v>
      </c>
      <c r="CI659" s="10">
        <f t="shared" si="850"/>
        <v>0</v>
      </c>
      <c r="CJ659" s="10">
        <f t="shared" si="850"/>
        <v>0</v>
      </c>
      <c r="CK659" s="10">
        <f t="shared" si="850"/>
        <v>0</v>
      </c>
      <c r="CL659" s="10">
        <f t="shared" si="850"/>
        <v>0</v>
      </c>
      <c r="CM659" s="10">
        <f t="shared" si="850"/>
        <v>0</v>
      </c>
      <c r="CN659" s="10">
        <f t="shared" si="850"/>
        <v>0</v>
      </c>
      <c r="CO659" s="10">
        <f t="shared" si="850"/>
        <v>0</v>
      </c>
    </row>
    <row r="660" spans="1:93" s="141" customFormat="1" ht="12.75" hidden="1">
      <c r="B660" s="10"/>
      <c r="C660" s="21"/>
      <c r="D660" s="10"/>
      <c r="E660" s="62"/>
      <c r="F660" s="11"/>
      <c r="G660" s="11"/>
      <c r="H660" s="10"/>
      <c r="I660" s="23">
        <f>SUM(L660:CO660)</f>
        <v>0</v>
      </c>
      <c r="J660" s="10"/>
      <c r="K660" s="10"/>
      <c r="L660" s="10">
        <f t="shared" ref="L660:AQ660" si="851" xml:space="preserve"> SUM(L644:L645) * L655 / Thousand</f>
        <v>0</v>
      </c>
      <c r="M660" s="10">
        <f t="shared" si="851"/>
        <v>0</v>
      </c>
      <c r="N660" s="10">
        <f t="shared" si="851"/>
        <v>0</v>
      </c>
      <c r="O660" s="10">
        <f t="shared" si="851"/>
        <v>0</v>
      </c>
      <c r="P660" s="10">
        <f t="shared" si="851"/>
        <v>0</v>
      </c>
      <c r="Q660" s="10">
        <f t="shared" si="851"/>
        <v>0</v>
      </c>
      <c r="R660" s="10">
        <f t="shared" si="851"/>
        <v>0</v>
      </c>
      <c r="S660" s="10">
        <f t="shared" si="851"/>
        <v>0</v>
      </c>
      <c r="T660" s="10">
        <f t="shared" si="851"/>
        <v>0</v>
      </c>
      <c r="U660" s="10">
        <f t="shared" si="851"/>
        <v>0</v>
      </c>
      <c r="V660" s="10">
        <f t="shared" si="851"/>
        <v>0</v>
      </c>
      <c r="W660" s="10">
        <f t="shared" si="851"/>
        <v>0</v>
      </c>
      <c r="X660" s="10">
        <f t="shared" si="851"/>
        <v>0</v>
      </c>
      <c r="Y660" s="10">
        <f t="shared" si="851"/>
        <v>0</v>
      </c>
      <c r="Z660" s="10">
        <f t="shared" si="851"/>
        <v>0</v>
      </c>
      <c r="AA660" s="10">
        <f t="shared" si="851"/>
        <v>0</v>
      </c>
      <c r="AB660" s="10">
        <f t="shared" si="851"/>
        <v>0</v>
      </c>
      <c r="AC660" s="10">
        <f t="shared" si="851"/>
        <v>0</v>
      </c>
      <c r="AD660" s="10">
        <f t="shared" si="851"/>
        <v>0</v>
      </c>
      <c r="AE660" s="10">
        <f t="shared" si="851"/>
        <v>0</v>
      </c>
      <c r="AF660" s="10">
        <f t="shared" si="851"/>
        <v>0</v>
      </c>
      <c r="AG660" s="10">
        <f t="shared" si="851"/>
        <v>0</v>
      </c>
      <c r="AH660" s="10">
        <f t="shared" si="851"/>
        <v>0</v>
      </c>
      <c r="AI660" s="10">
        <f t="shared" si="851"/>
        <v>0</v>
      </c>
      <c r="AJ660" s="10">
        <f t="shared" si="851"/>
        <v>0</v>
      </c>
      <c r="AK660" s="10">
        <f t="shared" si="851"/>
        <v>0</v>
      </c>
      <c r="AL660" s="10">
        <f t="shared" si="851"/>
        <v>0</v>
      </c>
      <c r="AM660" s="10">
        <f t="shared" si="851"/>
        <v>0</v>
      </c>
      <c r="AN660" s="10">
        <f t="shared" si="851"/>
        <v>0</v>
      </c>
      <c r="AO660" s="10">
        <f t="shared" si="851"/>
        <v>0</v>
      </c>
      <c r="AP660" s="10">
        <f t="shared" si="851"/>
        <v>0</v>
      </c>
      <c r="AQ660" s="10">
        <f t="shared" si="851"/>
        <v>0</v>
      </c>
      <c r="AR660" s="10">
        <f t="shared" ref="AR660:BW660" si="852" xml:space="preserve"> SUM(AR644:AR645) * AR655 / Thousand</f>
        <v>0</v>
      </c>
      <c r="AS660" s="10">
        <f t="shared" si="852"/>
        <v>0</v>
      </c>
      <c r="AT660" s="10">
        <f t="shared" si="852"/>
        <v>0</v>
      </c>
      <c r="AU660" s="10">
        <f t="shared" si="852"/>
        <v>0</v>
      </c>
      <c r="AV660" s="10">
        <f t="shared" si="852"/>
        <v>0</v>
      </c>
      <c r="AW660" s="10">
        <f t="shared" si="852"/>
        <v>0</v>
      </c>
      <c r="AX660" s="10">
        <f t="shared" si="852"/>
        <v>0</v>
      </c>
      <c r="AY660" s="10">
        <f t="shared" si="852"/>
        <v>0</v>
      </c>
      <c r="AZ660" s="10">
        <f t="shared" si="852"/>
        <v>0</v>
      </c>
      <c r="BA660" s="10">
        <f t="shared" si="852"/>
        <v>0</v>
      </c>
      <c r="BB660" s="10">
        <f t="shared" si="852"/>
        <v>0</v>
      </c>
      <c r="BC660" s="10">
        <f t="shared" si="852"/>
        <v>0</v>
      </c>
      <c r="BD660" s="10">
        <f t="shared" si="852"/>
        <v>0</v>
      </c>
      <c r="BE660" s="10">
        <f t="shared" si="852"/>
        <v>0</v>
      </c>
      <c r="BF660" s="10">
        <f t="shared" si="852"/>
        <v>0</v>
      </c>
      <c r="BG660" s="10">
        <f t="shared" si="852"/>
        <v>0</v>
      </c>
      <c r="BH660" s="10">
        <f t="shared" si="852"/>
        <v>0</v>
      </c>
      <c r="BI660" s="10">
        <f t="shared" si="852"/>
        <v>0</v>
      </c>
      <c r="BJ660" s="10">
        <f t="shared" si="852"/>
        <v>0</v>
      </c>
      <c r="BK660" s="10">
        <f t="shared" si="852"/>
        <v>0</v>
      </c>
      <c r="BL660" s="10">
        <f t="shared" si="852"/>
        <v>0</v>
      </c>
      <c r="BM660" s="10">
        <f t="shared" si="852"/>
        <v>0</v>
      </c>
      <c r="BN660" s="10">
        <f t="shared" si="852"/>
        <v>0</v>
      </c>
      <c r="BO660" s="10">
        <f t="shared" si="852"/>
        <v>0</v>
      </c>
      <c r="BP660" s="10">
        <f t="shared" si="852"/>
        <v>0</v>
      </c>
      <c r="BQ660" s="10">
        <f t="shared" si="852"/>
        <v>0</v>
      </c>
      <c r="BR660" s="10">
        <f t="shared" si="852"/>
        <v>0</v>
      </c>
      <c r="BS660" s="10">
        <f t="shared" si="852"/>
        <v>0</v>
      </c>
      <c r="BT660" s="10">
        <f t="shared" si="852"/>
        <v>0</v>
      </c>
      <c r="BU660" s="10">
        <f t="shared" si="852"/>
        <v>0</v>
      </c>
      <c r="BV660" s="10">
        <f t="shared" si="852"/>
        <v>0</v>
      </c>
      <c r="BW660" s="10">
        <f t="shared" si="852"/>
        <v>0</v>
      </c>
      <c r="BX660" s="10">
        <f t="shared" ref="BX660:CO660" si="853" xml:space="preserve"> SUM(BX644:BX645) * BX655 / Thousand</f>
        <v>0</v>
      </c>
      <c r="BY660" s="10">
        <f t="shared" si="853"/>
        <v>0</v>
      </c>
      <c r="BZ660" s="10">
        <f t="shared" si="853"/>
        <v>0</v>
      </c>
      <c r="CA660" s="10">
        <f t="shared" si="853"/>
        <v>0</v>
      </c>
      <c r="CB660" s="10">
        <f t="shared" si="853"/>
        <v>0</v>
      </c>
      <c r="CC660" s="10">
        <f t="shared" si="853"/>
        <v>0</v>
      </c>
      <c r="CD660" s="10">
        <f t="shared" si="853"/>
        <v>0</v>
      </c>
      <c r="CE660" s="10">
        <f t="shared" si="853"/>
        <v>0</v>
      </c>
      <c r="CF660" s="10">
        <f t="shared" si="853"/>
        <v>0</v>
      </c>
      <c r="CG660" s="10">
        <f t="shared" si="853"/>
        <v>0</v>
      </c>
      <c r="CH660" s="10">
        <f t="shared" si="853"/>
        <v>0</v>
      </c>
      <c r="CI660" s="10">
        <f t="shared" si="853"/>
        <v>0</v>
      </c>
      <c r="CJ660" s="10">
        <f t="shared" si="853"/>
        <v>0</v>
      </c>
      <c r="CK660" s="10">
        <f t="shared" si="853"/>
        <v>0</v>
      </c>
      <c r="CL660" s="10">
        <f t="shared" si="853"/>
        <v>0</v>
      </c>
      <c r="CM660" s="10">
        <f t="shared" si="853"/>
        <v>0</v>
      </c>
      <c r="CN660" s="10">
        <f t="shared" si="853"/>
        <v>0</v>
      </c>
      <c r="CO660" s="10">
        <f t="shared" si="853"/>
        <v>0</v>
      </c>
    </row>
    <row r="661" spans="1:93" s="141" customFormat="1" ht="13.5" hidden="1" thickBot="1">
      <c r="B661" s="10"/>
      <c r="C661" s="21"/>
      <c r="D661" s="10"/>
      <c r="E661" s="62"/>
      <c r="F661" s="11"/>
      <c r="G661" s="11"/>
      <c r="H661" s="10"/>
      <c r="I661" s="23">
        <f>SUM(L661:CO661)</f>
        <v>0</v>
      </c>
      <c r="J661" s="10"/>
      <c r="K661" s="10"/>
      <c r="L661" s="10">
        <f t="shared" ref="L661:R661" si="854">SUM(L659:L660) * $E$657</f>
        <v>0</v>
      </c>
      <c r="M661" s="10">
        <f t="shared" si="854"/>
        <v>0</v>
      </c>
      <c r="N661" s="10">
        <f t="shared" si="854"/>
        <v>0</v>
      </c>
      <c r="O661" s="10">
        <f t="shared" si="854"/>
        <v>0</v>
      </c>
      <c r="P661" s="10">
        <f t="shared" si="854"/>
        <v>0</v>
      </c>
      <c r="Q661" s="10">
        <f t="shared" si="854"/>
        <v>0</v>
      </c>
      <c r="R661" s="10">
        <f t="shared" si="854"/>
        <v>0</v>
      </c>
      <c r="S661" s="10">
        <f>SUM(S659:S660) * $E$657</f>
        <v>0</v>
      </c>
      <c r="T661" s="10">
        <f t="shared" ref="T661:CE661" si="855">SUM(T659:T660) * $E$657</f>
        <v>0</v>
      </c>
      <c r="U661" s="10">
        <f t="shared" si="855"/>
        <v>0</v>
      </c>
      <c r="V661" s="10">
        <f t="shared" si="855"/>
        <v>0</v>
      </c>
      <c r="W661" s="10">
        <f t="shared" si="855"/>
        <v>0</v>
      </c>
      <c r="X661" s="10">
        <f t="shared" si="855"/>
        <v>0</v>
      </c>
      <c r="Y661" s="10">
        <f t="shared" si="855"/>
        <v>0</v>
      </c>
      <c r="Z661" s="10">
        <f t="shared" si="855"/>
        <v>0</v>
      </c>
      <c r="AA661" s="10">
        <f t="shared" si="855"/>
        <v>0</v>
      </c>
      <c r="AB661" s="10">
        <f t="shared" si="855"/>
        <v>0</v>
      </c>
      <c r="AC661" s="10">
        <f t="shared" si="855"/>
        <v>0</v>
      </c>
      <c r="AD661" s="10">
        <f t="shared" si="855"/>
        <v>0</v>
      </c>
      <c r="AE661" s="10">
        <f t="shared" si="855"/>
        <v>0</v>
      </c>
      <c r="AF661" s="10">
        <f t="shared" si="855"/>
        <v>0</v>
      </c>
      <c r="AG661" s="10">
        <f t="shared" si="855"/>
        <v>0</v>
      </c>
      <c r="AH661" s="10">
        <f t="shared" si="855"/>
        <v>0</v>
      </c>
      <c r="AI661" s="10">
        <f t="shared" si="855"/>
        <v>0</v>
      </c>
      <c r="AJ661" s="10">
        <f t="shared" si="855"/>
        <v>0</v>
      </c>
      <c r="AK661" s="10">
        <f t="shared" si="855"/>
        <v>0</v>
      </c>
      <c r="AL661" s="10">
        <f t="shared" si="855"/>
        <v>0</v>
      </c>
      <c r="AM661" s="10">
        <f t="shared" si="855"/>
        <v>0</v>
      </c>
      <c r="AN661" s="10">
        <f t="shared" si="855"/>
        <v>0</v>
      </c>
      <c r="AO661" s="10">
        <f t="shared" si="855"/>
        <v>0</v>
      </c>
      <c r="AP661" s="10">
        <f t="shared" si="855"/>
        <v>0</v>
      </c>
      <c r="AQ661" s="10">
        <f t="shared" si="855"/>
        <v>0</v>
      </c>
      <c r="AR661" s="10">
        <f t="shared" si="855"/>
        <v>0</v>
      </c>
      <c r="AS661" s="10">
        <f t="shared" si="855"/>
        <v>0</v>
      </c>
      <c r="AT661" s="10">
        <f t="shared" si="855"/>
        <v>0</v>
      </c>
      <c r="AU661" s="10">
        <f t="shared" si="855"/>
        <v>0</v>
      </c>
      <c r="AV661" s="10">
        <f t="shared" si="855"/>
        <v>0</v>
      </c>
      <c r="AW661" s="10">
        <f t="shared" si="855"/>
        <v>0</v>
      </c>
      <c r="AX661" s="10">
        <f t="shared" si="855"/>
        <v>0</v>
      </c>
      <c r="AY661" s="10">
        <f t="shared" si="855"/>
        <v>0</v>
      </c>
      <c r="AZ661" s="10">
        <f t="shared" si="855"/>
        <v>0</v>
      </c>
      <c r="BA661" s="10">
        <f t="shared" si="855"/>
        <v>0</v>
      </c>
      <c r="BB661" s="10">
        <f t="shared" si="855"/>
        <v>0</v>
      </c>
      <c r="BC661" s="10">
        <f t="shared" si="855"/>
        <v>0</v>
      </c>
      <c r="BD661" s="10">
        <f t="shared" si="855"/>
        <v>0</v>
      </c>
      <c r="BE661" s="10">
        <f t="shared" si="855"/>
        <v>0</v>
      </c>
      <c r="BF661" s="10">
        <f t="shared" si="855"/>
        <v>0</v>
      </c>
      <c r="BG661" s="10">
        <f t="shared" si="855"/>
        <v>0</v>
      </c>
      <c r="BH661" s="10">
        <f t="shared" si="855"/>
        <v>0</v>
      </c>
      <c r="BI661" s="10">
        <f t="shared" si="855"/>
        <v>0</v>
      </c>
      <c r="BJ661" s="10">
        <f t="shared" si="855"/>
        <v>0</v>
      </c>
      <c r="BK661" s="10">
        <f t="shared" si="855"/>
        <v>0</v>
      </c>
      <c r="BL661" s="10">
        <f t="shared" si="855"/>
        <v>0</v>
      </c>
      <c r="BM661" s="10">
        <f t="shared" si="855"/>
        <v>0</v>
      </c>
      <c r="BN661" s="10">
        <f t="shared" si="855"/>
        <v>0</v>
      </c>
      <c r="BO661" s="10">
        <f t="shared" si="855"/>
        <v>0</v>
      </c>
      <c r="BP661" s="10">
        <f t="shared" si="855"/>
        <v>0</v>
      </c>
      <c r="BQ661" s="10">
        <f t="shared" si="855"/>
        <v>0</v>
      </c>
      <c r="BR661" s="10">
        <f t="shared" si="855"/>
        <v>0</v>
      </c>
      <c r="BS661" s="10">
        <f t="shared" si="855"/>
        <v>0</v>
      </c>
      <c r="BT661" s="10">
        <f t="shared" si="855"/>
        <v>0</v>
      </c>
      <c r="BU661" s="10">
        <f t="shared" si="855"/>
        <v>0</v>
      </c>
      <c r="BV661" s="10">
        <f t="shared" si="855"/>
        <v>0</v>
      </c>
      <c r="BW661" s="10">
        <f t="shared" si="855"/>
        <v>0</v>
      </c>
      <c r="BX661" s="10">
        <f t="shared" si="855"/>
        <v>0</v>
      </c>
      <c r="BY661" s="10">
        <f t="shared" si="855"/>
        <v>0</v>
      </c>
      <c r="BZ661" s="10">
        <f t="shared" si="855"/>
        <v>0</v>
      </c>
      <c r="CA661" s="10">
        <f t="shared" si="855"/>
        <v>0</v>
      </c>
      <c r="CB661" s="10">
        <f t="shared" si="855"/>
        <v>0</v>
      </c>
      <c r="CC661" s="10">
        <f t="shared" si="855"/>
        <v>0</v>
      </c>
      <c r="CD661" s="10">
        <f t="shared" si="855"/>
        <v>0</v>
      </c>
      <c r="CE661" s="10">
        <f t="shared" si="855"/>
        <v>0</v>
      </c>
      <c r="CF661" s="10">
        <f t="shared" ref="CF661:CO661" si="856">SUM(CF659:CF660) * $E$657</f>
        <v>0</v>
      </c>
      <c r="CG661" s="10">
        <f t="shared" si="856"/>
        <v>0</v>
      </c>
      <c r="CH661" s="10">
        <f t="shared" si="856"/>
        <v>0</v>
      </c>
      <c r="CI661" s="10">
        <f t="shared" si="856"/>
        <v>0</v>
      </c>
      <c r="CJ661" s="10">
        <f t="shared" si="856"/>
        <v>0</v>
      </c>
      <c r="CK661" s="10">
        <f t="shared" si="856"/>
        <v>0</v>
      </c>
      <c r="CL661" s="10">
        <f t="shared" si="856"/>
        <v>0</v>
      </c>
      <c r="CM661" s="10">
        <f t="shared" si="856"/>
        <v>0</v>
      </c>
      <c r="CN661" s="10">
        <f t="shared" si="856"/>
        <v>0</v>
      </c>
      <c r="CO661" s="10">
        <f t="shared" si="856"/>
        <v>0</v>
      </c>
    </row>
    <row r="662" spans="1:93" ht="15.75" hidden="1" thickTop="1">
      <c r="B662" s="101"/>
      <c r="C662" s="49"/>
      <c r="D662" s="49"/>
      <c r="E662" s="136"/>
      <c r="F662" s="49"/>
      <c r="G662" s="159"/>
      <c r="H662" s="49"/>
      <c r="I662" s="23">
        <f>SUM(L662:CO662)</f>
        <v>0</v>
      </c>
      <c r="J662" s="49"/>
      <c r="K662" s="49"/>
      <c r="L662" s="49">
        <f t="shared" ref="L662:R662" si="857" xml:space="preserve"> SUM(L659:L661)</f>
        <v>0</v>
      </c>
      <c r="M662" s="49">
        <f t="shared" si="857"/>
        <v>0</v>
      </c>
      <c r="N662" s="49">
        <f t="shared" si="857"/>
        <v>0</v>
      </c>
      <c r="O662" s="49">
        <f t="shared" si="857"/>
        <v>0</v>
      </c>
      <c r="P662" s="49">
        <f t="shared" si="857"/>
        <v>0</v>
      </c>
      <c r="Q662" s="49">
        <f t="shared" si="857"/>
        <v>0</v>
      </c>
      <c r="R662" s="49">
        <f t="shared" si="857"/>
        <v>0</v>
      </c>
      <c r="S662" s="49">
        <f xml:space="preserve"> SUM(S659:S661)</f>
        <v>0</v>
      </c>
      <c r="T662" s="49">
        <f t="shared" ref="T662:CE662" si="858" xml:space="preserve"> SUM(T659:T661)</f>
        <v>0</v>
      </c>
      <c r="U662" s="49">
        <f t="shared" si="858"/>
        <v>0</v>
      </c>
      <c r="V662" s="49">
        <f t="shared" si="858"/>
        <v>0</v>
      </c>
      <c r="W662" s="49">
        <f t="shared" si="858"/>
        <v>0</v>
      </c>
      <c r="X662" s="49">
        <f t="shared" si="858"/>
        <v>0</v>
      </c>
      <c r="Y662" s="49">
        <f t="shared" si="858"/>
        <v>0</v>
      </c>
      <c r="Z662" s="49">
        <f t="shared" si="858"/>
        <v>0</v>
      </c>
      <c r="AA662" s="49">
        <f t="shared" si="858"/>
        <v>0</v>
      </c>
      <c r="AB662" s="49">
        <f t="shared" si="858"/>
        <v>0</v>
      </c>
      <c r="AC662" s="49">
        <f t="shared" si="858"/>
        <v>0</v>
      </c>
      <c r="AD662" s="49">
        <f t="shared" si="858"/>
        <v>0</v>
      </c>
      <c r="AE662" s="49">
        <f t="shared" si="858"/>
        <v>0</v>
      </c>
      <c r="AF662" s="49">
        <f t="shared" si="858"/>
        <v>0</v>
      </c>
      <c r="AG662" s="49">
        <f t="shared" si="858"/>
        <v>0</v>
      </c>
      <c r="AH662" s="49">
        <f t="shared" si="858"/>
        <v>0</v>
      </c>
      <c r="AI662" s="49">
        <f t="shared" si="858"/>
        <v>0</v>
      </c>
      <c r="AJ662" s="49">
        <f t="shared" si="858"/>
        <v>0</v>
      </c>
      <c r="AK662" s="49">
        <f t="shared" si="858"/>
        <v>0</v>
      </c>
      <c r="AL662" s="49">
        <f t="shared" si="858"/>
        <v>0</v>
      </c>
      <c r="AM662" s="49">
        <f t="shared" si="858"/>
        <v>0</v>
      </c>
      <c r="AN662" s="49">
        <f t="shared" si="858"/>
        <v>0</v>
      </c>
      <c r="AO662" s="49">
        <f t="shared" si="858"/>
        <v>0</v>
      </c>
      <c r="AP662" s="49">
        <f t="shared" si="858"/>
        <v>0</v>
      </c>
      <c r="AQ662" s="49">
        <f t="shared" si="858"/>
        <v>0</v>
      </c>
      <c r="AR662" s="49">
        <f t="shared" si="858"/>
        <v>0</v>
      </c>
      <c r="AS662" s="49">
        <f t="shared" si="858"/>
        <v>0</v>
      </c>
      <c r="AT662" s="49">
        <f t="shared" si="858"/>
        <v>0</v>
      </c>
      <c r="AU662" s="49">
        <f t="shared" si="858"/>
        <v>0</v>
      </c>
      <c r="AV662" s="49">
        <f t="shared" si="858"/>
        <v>0</v>
      </c>
      <c r="AW662" s="49">
        <f t="shared" si="858"/>
        <v>0</v>
      </c>
      <c r="AX662" s="49">
        <f t="shared" si="858"/>
        <v>0</v>
      </c>
      <c r="AY662" s="49">
        <f t="shared" si="858"/>
        <v>0</v>
      </c>
      <c r="AZ662" s="49">
        <f t="shared" si="858"/>
        <v>0</v>
      </c>
      <c r="BA662" s="49">
        <f t="shared" si="858"/>
        <v>0</v>
      </c>
      <c r="BB662" s="49">
        <f t="shared" si="858"/>
        <v>0</v>
      </c>
      <c r="BC662" s="49">
        <f t="shared" si="858"/>
        <v>0</v>
      </c>
      <c r="BD662" s="49">
        <f t="shared" si="858"/>
        <v>0</v>
      </c>
      <c r="BE662" s="49">
        <f t="shared" si="858"/>
        <v>0</v>
      </c>
      <c r="BF662" s="49">
        <f t="shared" si="858"/>
        <v>0</v>
      </c>
      <c r="BG662" s="49">
        <f t="shared" si="858"/>
        <v>0</v>
      </c>
      <c r="BH662" s="49">
        <f t="shared" si="858"/>
        <v>0</v>
      </c>
      <c r="BI662" s="49">
        <f t="shared" si="858"/>
        <v>0</v>
      </c>
      <c r="BJ662" s="49">
        <f t="shared" si="858"/>
        <v>0</v>
      </c>
      <c r="BK662" s="49">
        <f t="shared" si="858"/>
        <v>0</v>
      </c>
      <c r="BL662" s="49">
        <f t="shared" si="858"/>
        <v>0</v>
      </c>
      <c r="BM662" s="49">
        <f t="shared" si="858"/>
        <v>0</v>
      </c>
      <c r="BN662" s="49">
        <f t="shared" si="858"/>
        <v>0</v>
      </c>
      <c r="BO662" s="49">
        <f t="shared" si="858"/>
        <v>0</v>
      </c>
      <c r="BP662" s="49">
        <f t="shared" si="858"/>
        <v>0</v>
      </c>
      <c r="BQ662" s="49">
        <f t="shared" si="858"/>
        <v>0</v>
      </c>
      <c r="BR662" s="49">
        <f t="shared" si="858"/>
        <v>0</v>
      </c>
      <c r="BS662" s="49">
        <f t="shared" si="858"/>
        <v>0</v>
      </c>
      <c r="BT662" s="49">
        <f t="shared" si="858"/>
        <v>0</v>
      </c>
      <c r="BU662" s="49">
        <f t="shared" si="858"/>
        <v>0</v>
      </c>
      <c r="BV662" s="49">
        <f t="shared" si="858"/>
        <v>0</v>
      </c>
      <c r="BW662" s="49">
        <f t="shared" si="858"/>
        <v>0</v>
      </c>
      <c r="BX662" s="49">
        <f t="shared" si="858"/>
        <v>0</v>
      </c>
      <c r="BY662" s="49">
        <f t="shared" si="858"/>
        <v>0</v>
      </c>
      <c r="BZ662" s="49">
        <f t="shared" si="858"/>
        <v>0</v>
      </c>
      <c r="CA662" s="49">
        <f t="shared" si="858"/>
        <v>0</v>
      </c>
      <c r="CB662" s="49">
        <f t="shared" si="858"/>
        <v>0</v>
      </c>
      <c r="CC662" s="49">
        <f t="shared" si="858"/>
        <v>0</v>
      </c>
      <c r="CD662" s="49">
        <f t="shared" si="858"/>
        <v>0</v>
      </c>
      <c r="CE662" s="49">
        <f t="shared" si="858"/>
        <v>0</v>
      </c>
      <c r="CF662" s="49">
        <f t="shared" ref="CF662:CO662" si="859" xml:space="preserve"> SUM(CF659:CF661)</f>
        <v>0</v>
      </c>
      <c r="CG662" s="49">
        <f t="shared" si="859"/>
        <v>0</v>
      </c>
      <c r="CH662" s="49">
        <f t="shared" si="859"/>
        <v>0</v>
      </c>
      <c r="CI662" s="49">
        <f t="shared" si="859"/>
        <v>0</v>
      </c>
      <c r="CJ662" s="49">
        <f t="shared" si="859"/>
        <v>0</v>
      </c>
      <c r="CK662" s="49">
        <f t="shared" si="859"/>
        <v>0</v>
      </c>
      <c r="CL662" s="49">
        <f t="shared" si="859"/>
        <v>0</v>
      </c>
      <c r="CM662" s="49">
        <f t="shared" si="859"/>
        <v>0</v>
      </c>
      <c r="CN662" s="49">
        <f t="shared" si="859"/>
        <v>0</v>
      </c>
      <c r="CO662" s="49">
        <f t="shared" si="859"/>
        <v>0</v>
      </c>
    </row>
    <row r="663" spans="1:93" s="141" customFormat="1" ht="12.75" hidden="1">
      <c r="B663" s="10"/>
      <c r="C663" s="21"/>
      <c r="D663" s="10"/>
      <c r="E663" s="62"/>
      <c r="F663" s="11"/>
      <c r="G663" s="11"/>
      <c r="H663" s="10"/>
      <c r="I663" s="10"/>
      <c r="J663" s="10"/>
      <c r="K663" s="10"/>
      <c r="L663" s="170"/>
      <c r="M663" s="170"/>
      <c r="N663" s="170"/>
      <c r="O663" s="170"/>
      <c r="P663" s="170"/>
      <c r="Q663" s="170"/>
      <c r="R663" s="170"/>
      <c r="S663" s="170"/>
      <c r="T663" s="170"/>
      <c r="U663" s="170"/>
      <c r="V663" s="170"/>
      <c r="W663" s="170"/>
      <c r="X663" s="170"/>
      <c r="Y663" s="170"/>
      <c r="Z663" s="170"/>
      <c r="AA663" s="170"/>
      <c r="AB663" s="170"/>
      <c r="AC663" s="170"/>
      <c r="AD663" s="170"/>
      <c r="AE663" s="170"/>
      <c r="AF663" s="170"/>
      <c r="AG663" s="170"/>
      <c r="AH663" s="170"/>
      <c r="AI663" s="170"/>
      <c r="AJ663" s="170"/>
      <c r="AK663" s="170"/>
      <c r="AL663" s="170"/>
      <c r="AM663" s="170"/>
      <c r="AN663" s="170"/>
      <c r="AO663" s="170"/>
      <c r="AP663" s="170"/>
      <c r="AQ663" s="170"/>
      <c r="AR663" s="170"/>
      <c r="AS663" s="170"/>
      <c r="AT663" s="170"/>
      <c r="AU663" s="170"/>
      <c r="AV663" s="170"/>
      <c r="AW663" s="170"/>
      <c r="AX663" s="170"/>
      <c r="AY663" s="170"/>
      <c r="AZ663" s="170"/>
      <c r="BA663" s="170"/>
      <c r="BB663" s="170"/>
      <c r="BC663" s="170"/>
      <c r="BD663" s="170"/>
      <c r="BE663" s="170"/>
      <c r="BF663" s="170"/>
      <c r="BG663" s="170"/>
      <c r="BH663" s="170"/>
      <c r="BI663" s="170"/>
      <c r="BJ663" s="170"/>
      <c r="BK663" s="170"/>
      <c r="BL663" s="170"/>
      <c r="BM663" s="170"/>
      <c r="BN663" s="170"/>
      <c r="BO663" s="170"/>
      <c r="BP663" s="170"/>
      <c r="BQ663" s="170"/>
      <c r="BR663" s="170"/>
      <c r="BS663" s="170"/>
      <c r="BT663" s="170"/>
      <c r="BU663" s="170"/>
      <c r="BV663" s="170"/>
      <c r="BW663" s="170"/>
      <c r="BX663" s="170"/>
      <c r="BY663" s="170"/>
      <c r="BZ663" s="170"/>
      <c r="CA663" s="170"/>
      <c r="CB663" s="170"/>
      <c r="CC663" s="170"/>
      <c r="CD663" s="170"/>
      <c r="CE663" s="170"/>
      <c r="CF663" s="170"/>
      <c r="CG663" s="170"/>
      <c r="CH663" s="170"/>
      <c r="CI663" s="170"/>
      <c r="CJ663" s="170"/>
      <c r="CK663" s="170"/>
      <c r="CL663" s="170"/>
      <c r="CM663" s="170"/>
      <c r="CN663" s="170"/>
      <c r="CO663" s="170"/>
    </row>
    <row r="664" spans="1:93" s="141" customFormat="1" ht="16.5" hidden="1" thickBot="1">
      <c r="B664" s="10"/>
      <c r="C664" s="26"/>
      <c r="D664" s="26"/>
      <c r="E664" s="26"/>
      <c r="F664" s="26"/>
      <c r="G664" s="26"/>
      <c r="H664" s="26"/>
      <c r="I664" s="26"/>
      <c r="J664" s="10"/>
      <c r="K664" s="10"/>
      <c r="L664" s="170"/>
      <c r="M664" s="170"/>
      <c r="N664" s="170"/>
      <c r="O664" s="170"/>
      <c r="P664" s="170"/>
      <c r="Q664" s="170"/>
      <c r="R664" s="170"/>
      <c r="S664" s="170"/>
      <c r="T664" s="170"/>
      <c r="U664" s="170"/>
      <c r="V664" s="170"/>
      <c r="W664" s="170"/>
      <c r="X664" s="170"/>
      <c r="Y664" s="170"/>
      <c r="Z664" s="170"/>
      <c r="AA664" s="170"/>
      <c r="AB664" s="170"/>
      <c r="AC664" s="170"/>
      <c r="AD664" s="170"/>
      <c r="AE664" s="170"/>
      <c r="AF664" s="170"/>
      <c r="AG664" s="170"/>
      <c r="AH664" s="170"/>
      <c r="AI664" s="170"/>
      <c r="AJ664" s="170"/>
      <c r="AK664" s="170"/>
      <c r="AL664" s="170"/>
      <c r="AM664" s="170"/>
      <c r="AN664" s="170"/>
      <c r="AO664" s="170"/>
      <c r="AP664" s="170"/>
      <c r="AQ664" s="170"/>
      <c r="AR664" s="170"/>
      <c r="AS664" s="170"/>
      <c r="AT664" s="170"/>
      <c r="AU664" s="170"/>
      <c r="AV664" s="170"/>
      <c r="AW664" s="170"/>
      <c r="AX664" s="170"/>
      <c r="AY664" s="170"/>
      <c r="AZ664" s="170"/>
      <c r="BA664" s="170"/>
      <c r="BB664" s="170"/>
      <c r="BC664" s="170"/>
      <c r="BD664" s="170"/>
      <c r="BE664" s="170"/>
      <c r="BF664" s="170"/>
      <c r="BG664" s="170"/>
      <c r="BH664" s="170"/>
      <c r="BI664" s="170"/>
      <c r="BJ664" s="170"/>
      <c r="BK664" s="170"/>
      <c r="BL664" s="170"/>
      <c r="BM664" s="170"/>
      <c r="BN664" s="170"/>
      <c r="BO664" s="170"/>
      <c r="BP664" s="170"/>
      <c r="BQ664" s="170"/>
      <c r="BR664" s="170"/>
      <c r="BS664" s="170"/>
      <c r="BT664" s="170"/>
      <c r="BU664" s="170"/>
      <c r="BV664" s="170"/>
      <c r="BW664" s="170"/>
      <c r="BX664" s="170"/>
      <c r="BY664" s="170"/>
      <c r="BZ664" s="170"/>
      <c r="CA664" s="170"/>
      <c r="CB664" s="170"/>
      <c r="CC664" s="170"/>
      <c r="CD664" s="170"/>
      <c r="CE664" s="170"/>
      <c r="CF664" s="170"/>
      <c r="CG664" s="170"/>
      <c r="CH664" s="170"/>
      <c r="CI664" s="170"/>
      <c r="CJ664" s="170"/>
      <c r="CK664" s="170"/>
      <c r="CL664" s="170"/>
      <c r="CM664" s="170"/>
      <c r="CN664" s="170"/>
      <c r="CO664" s="170"/>
    </row>
    <row r="665" spans="1:93" s="141" customFormat="1" ht="13.5" hidden="1" thickTop="1">
      <c r="B665" s="10"/>
      <c r="C665" s="21"/>
      <c r="D665" s="10"/>
      <c r="E665" s="62"/>
      <c r="F665" s="11"/>
      <c r="G665" s="11"/>
      <c r="H665" s="10"/>
      <c r="I665" s="10"/>
      <c r="J665" s="10"/>
      <c r="K665" s="10"/>
      <c r="L665" s="170"/>
      <c r="M665" s="170"/>
      <c r="N665" s="170"/>
      <c r="O665" s="170"/>
      <c r="P665" s="170"/>
      <c r="Q665" s="170"/>
      <c r="R665" s="170"/>
      <c r="S665" s="170"/>
      <c r="T665" s="170"/>
      <c r="U665" s="170"/>
      <c r="V665" s="170"/>
      <c r="W665" s="170"/>
      <c r="X665" s="170"/>
      <c r="Y665" s="170"/>
      <c r="Z665" s="170"/>
      <c r="AA665" s="170"/>
      <c r="AB665" s="170"/>
      <c r="AC665" s="170"/>
      <c r="AD665" s="170"/>
      <c r="AE665" s="170"/>
      <c r="AF665" s="170"/>
      <c r="AG665" s="170"/>
      <c r="AH665" s="170"/>
      <c r="AI665" s="170"/>
      <c r="AJ665" s="170"/>
      <c r="AK665" s="170"/>
      <c r="AL665" s="170"/>
      <c r="AM665" s="170"/>
      <c r="AN665" s="170"/>
      <c r="AO665" s="170"/>
      <c r="AP665" s="170"/>
      <c r="AQ665" s="170"/>
      <c r="AR665" s="170"/>
      <c r="AS665" s="170"/>
      <c r="AT665" s="170"/>
      <c r="AU665" s="170"/>
      <c r="AV665" s="170"/>
      <c r="AW665" s="170"/>
      <c r="AX665" s="170"/>
      <c r="AY665" s="170"/>
      <c r="AZ665" s="170"/>
      <c r="BA665" s="170"/>
      <c r="BB665" s="170"/>
      <c r="BC665" s="170"/>
      <c r="BD665" s="170"/>
      <c r="BE665" s="170"/>
      <c r="BF665" s="170"/>
      <c r="BG665" s="170"/>
      <c r="BH665" s="170"/>
      <c r="BI665" s="170"/>
      <c r="BJ665" s="170"/>
      <c r="BK665" s="170"/>
      <c r="BL665" s="170"/>
      <c r="BM665" s="170"/>
      <c r="BN665" s="170"/>
      <c r="BO665" s="170"/>
      <c r="BP665" s="170"/>
      <c r="BQ665" s="170"/>
      <c r="BR665" s="170"/>
      <c r="BS665" s="170"/>
      <c r="BT665" s="170"/>
      <c r="BU665" s="170"/>
      <c r="BV665" s="170"/>
      <c r="BW665" s="170"/>
      <c r="BX665" s="170"/>
      <c r="BY665" s="170"/>
      <c r="BZ665" s="170"/>
      <c r="CA665" s="170"/>
      <c r="CB665" s="170"/>
      <c r="CC665" s="170"/>
      <c r="CD665" s="170"/>
      <c r="CE665" s="170"/>
      <c r="CF665" s="170"/>
      <c r="CG665" s="170"/>
      <c r="CH665" s="170"/>
      <c r="CI665" s="170"/>
      <c r="CJ665" s="170"/>
      <c r="CK665" s="170"/>
      <c r="CL665" s="170"/>
      <c r="CM665" s="170"/>
      <c r="CN665" s="170"/>
      <c r="CO665" s="170"/>
    </row>
    <row r="666" spans="1:93" s="141" customFormat="1" ht="12.75" hidden="1">
      <c r="B666" s="10"/>
      <c r="C666" s="21"/>
      <c r="D666" s="10"/>
      <c r="E666" s="62"/>
      <c r="F666" s="11"/>
      <c r="G666" s="11"/>
      <c r="H666" s="10"/>
      <c r="I666" s="23">
        <f ca="1">SUM(L666:CO666)</f>
        <v>0</v>
      </c>
      <c r="J666" s="10"/>
      <c r="K666" s="10"/>
      <c r="L666" s="10">
        <f t="shared" ref="L666:AQ666" ca="1" si="860" xml:space="preserve"> L659 * CPI_Accumulated_From_Date</f>
        <v>0</v>
      </c>
      <c r="M666" s="10">
        <f t="shared" ca="1" si="860"/>
        <v>0</v>
      </c>
      <c r="N666" s="10">
        <f t="shared" ca="1" si="860"/>
        <v>0</v>
      </c>
      <c r="O666" s="10">
        <f t="shared" ca="1" si="860"/>
        <v>0</v>
      </c>
      <c r="P666" s="10">
        <f t="shared" ca="1" si="860"/>
        <v>0</v>
      </c>
      <c r="Q666" s="10">
        <f t="shared" ca="1" si="860"/>
        <v>0</v>
      </c>
      <c r="R666" s="10">
        <f t="shared" ca="1" si="860"/>
        <v>0</v>
      </c>
      <c r="S666" s="10">
        <f t="shared" ca="1" si="860"/>
        <v>0</v>
      </c>
      <c r="T666" s="10">
        <f t="shared" ca="1" si="860"/>
        <v>0</v>
      </c>
      <c r="U666" s="10">
        <f t="shared" ca="1" si="860"/>
        <v>0</v>
      </c>
      <c r="V666" s="10">
        <f t="shared" ca="1" si="860"/>
        <v>0</v>
      </c>
      <c r="W666" s="10">
        <f t="shared" ca="1" si="860"/>
        <v>0</v>
      </c>
      <c r="X666" s="10">
        <f t="shared" ca="1" si="860"/>
        <v>0</v>
      </c>
      <c r="Y666" s="10">
        <f t="shared" ca="1" si="860"/>
        <v>0</v>
      </c>
      <c r="Z666" s="10">
        <f t="shared" ca="1" si="860"/>
        <v>0</v>
      </c>
      <c r="AA666" s="10">
        <f t="shared" ca="1" si="860"/>
        <v>0</v>
      </c>
      <c r="AB666" s="10">
        <f t="shared" ca="1" si="860"/>
        <v>0</v>
      </c>
      <c r="AC666" s="10">
        <f t="shared" ca="1" si="860"/>
        <v>0</v>
      </c>
      <c r="AD666" s="10">
        <f t="shared" ca="1" si="860"/>
        <v>0</v>
      </c>
      <c r="AE666" s="10">
        <f t="shared" ca="1" si="860"/>
        <v>0</v>
      </c>
      <c r="AF666" s="10">
        <f t="shared" ca="1" si="860"/>
        <v>0</v>
      </c>
      <c r="AG666" s="10">
        <f t="shared" ca="1" si="860"/>
        <v>0</v>
      </c>
      <c r="AH666" s="10">
        <f t="shared" ca="1" si="860"/>
        <v>0</v>
      </c>
      <c r="AI666" s="10">
        <f t="shared" ca="1" si="860"/>
        <v>0</v>
      </c>
      <c r="AJ666" s="10">
        <f t="shared" ca="1" si="860"/>
        <v>0</v>
      </c>
      <c r="AK666" s="10">
        <f t="shared" ca="1" si="860"/>
        <v>0</v>
      </c>
      <c r="AL666" s="10">
        <f t="shared" ca="1" si="860"/>
        <v>0</v>
      </c>
      <c r="AM666" s="10">
        <f t="shared" ca="1" si="860"/>
        <v>0</v>
      </c>
      <c r="AN666" s="10">
        <f t="shared" ca="1" si="860"/>
        <v>0</v>
      </c>
      <c r="AO666" s="10">
        <f t="shared" ca="1" si="860"/>
        <v>0</v>
      </c>
      <c r="AP666" s="10">
        <f t="shared" ca="1" si="860"/>
        <v>0</v>
      </c>
      <c r="AQ666" s="10">
        <f t="shared" ca="1" si="860"/>
        <v>0</v>
      </c>
      <c r="AR666" s="10">
        <f t="shared" ref="AR666:BW666" ca="1" si="861" xml:space="preserve"> AR659 * CPI_Accumulated_From_Date</f>
        <v>0</v>
      </c>
      <c r="AS666" s="10">
        <f t="shared" ca="1" si="861"/>
        <v>0</v>
      </c>
      <c r="AT666" s="10">
        <f t="shared" ca="1" si="861"/>
        <v>0</v>
      </c>
      <c r="AU666" s="10">
        <f t="shared" ca="1" si="861"/>
        <v>0</v>
      </c>
      <c r="AV666" s="10">
        <f t="shared" ca="1" si="861"/>
        <v>0</v>
      </c>
      <c r="AW666" s="10">
        <f t="shared" ca="1" si="861"/>
        <v>0</v>
      </c>
      <c r="AX666" s="10">
        <f t="shared" ca="1" si="861"/>
        <v>0</v>
      </c>
      <c r="AY666" s="10">
        <f t="shared" ca="1" si="861"/>
        <v>0</v>
      </c>
      <c r="AZ666" s="10">
        <f t="shared" ca="1" si="861"/>
        <v>0</v>
      </c>
      <c r="BA666" s="10">
        <f t="shared" ca="1" si="861"/>
        <v>0</v>
      </c>
      <c r="BB666" s="10">
        <f t="shared" ca="1" si="861"/>
        <v>0</v>
      </c>
      <c r="BC666" s="10">
        <f t="shared" ca="1" si="861"/>
        <v>0</v>
      </c>
      <c r="BD666" s="10">
        <f t="shared" ca="1" si="861"/>
        <v>0</v>
      </c>
      <c r="BE666" s="10">
        <f t="shared" ca="1" si="861"/>
        <v>0</v>
      </c>
      <c r="BF666" s="10">
        <f t="shared" ca="1" si="861"/>
        <v>0</v>
      </c>
      <c r="BG666" s="10">
        <f t="shared" ca="1" si="861"/>
        <v>0</v>
      </c>
      <c r="BH666" s="10">
        <f t="shared" ca="1" si="861"/>
        <v>0</v>
      </c>
      <c r="BI666" s="10">
        <f t="shared" ca="1" si="861"/>
        <v>0</v>
      </c>
      <c r="BJ666" s="10">
        <f t="shared" ca="1" si="861"/>
        <v>0</v>
      </c>
      <c r="BK666" s="10">
        <f t="shared" ca="1" si="861"/>
        <v>0</v>
      </c>
      <c r="BL666" s="10">
        <f t="shared" ca="1" si="861"/>
        <v>0</v>
      </c>
      <c r="BM666" s="10">
        <f t="shared" ca="1" si="861"/>
        <v>0</v>
      </c>
      <c r="BN666" s="10">
        <f t="shared" ca="1" si="861"/>
        <v>0</v>
      </c>
      <c r="BO666" s="10">
        <f t="shared" ca="1" si="861"/>
        <v>0</v>
      </c>
      <c r="BP666" s="10">
        <f t="shared" ca="1" si="861"/>
        <v>0</v>
      </c>
      <c r="BQ666" s="10">
        <f t="shared" ca="1" si="861"/>
        <v>0</v>
      </c>
      <c r="BR666" s="10">
        <f t="shared" ca="1" si="861"/>
        <v>0</v>
      </c>
      <c r="BS666" s="10">
        <f t="shared" ca="1" si="861"/>
        <v>0</v>
      </c>
      <c r="BT666" s="10">
        <f t="shared" ca="1" si="861"/>
        <v>0</v>
      </c>
      <c r="BU666" s="10">
        <f t="shared" ca="1" si="861"/>
        <v>0</v>
      </c>
      <c r="BV666" s="10">
        <f t="shared" ca="1" si="861"/>
        <v>0</v>
      </c>
      <c r="BW666" s="10">
        <f t="shared" ca="1" si="861"/>
        <v>0</v>
      </c>
      <c r="BX666" s="10">
        <f t="shared" ref="BX666:CO666" ca="1" si="862" xml:space="preserve"> BX659 * CPI_Accumulated_From_Date</f>
        <v>0</v>
      </c>
      <c r="BY666" s="10">
        <f t="shared" ca="1" si="862"/>
        <v>0</v>
      </c>
      <c r="BZ666" s="10">
        <f t="shared" ca="1" si="862"/>
        <v>0</v>
      </c>
      <c r="CA666" s="10">
        <f t="shared" ca="1" si="862"/>
        <v>0</v>
      </c>
      <c r="CB666" s="10">
        <f t="shared" ca="1" si="862"/>
        <v>0</v>
      </c>
      <c r="CC666" s="10">
        <f t="shared" ca="1" si="862"/>
        <v>0</v>
      </c>
      <c r="CD666" s="10">
        <f t="shared" ca="1" si="862"/>
        <v>0</v>
      </c>
      <c r="CE666" s="10">
        <f t="shared" ca="1" si="862"/>
        <v>0</v>
      </c>
      <c r="CF666" s="10">
        <f t="shared" ca="1" si="862"/>
        <v>0</v>
      </c>
      <c r="CG666" s="10">
        <f t="shared" ca="1" si="862"/>
        <v>0</v>
      </c>
      <c r="CH666" s="10">
        <f t="shared" ca="1" si="862"/>
        <v>0</v>
      </c>
      <c r="CI666" s="10">
        <f t="shared" ca="1" si="862"/>
        <v>0</v>
      </c>
      <c r="CJ666" s="10">
        <f t="shared" ca="1" si="862"/>
        <v>0</v>
      </c>
      <c r="CK666" s="10">
        <f t="shared" ca="1" si="862"/>
        <v>0</v>
      </c>
      <c r="CL666" s="10">
        <f t="shared" ca="1" si="862"/>
        <v>0</v>
      </c>
      <c r="CM666" s="10">
        <f t="shared" ca="1" si="862"/>
        <v>0</v>
      </c>
      <c r="CN666" s="10">
        <f t="shared" ca="1" si="862"/>
        <v>0</v>
      </c>
      <c r="CO666" s="10">
        <f t="shared" ca="1" si="862"/>
        <v>0</v>
      </c>
    </row>
    <row r="667" spans="1:93" s="141" customFormat="1" ht="12.75" hidden="1">
      <c r="B667" s="10"/>
      <c r="C667" s="21"/>
      <c r="D667" s="10"/>
      <c r="E667" s="62"/>
      <c r="F667" s="11"/>
      <c r="G667" s="11"/>
      <c r="H667" s="10"/>
      <c r="I667" s="23">
        <f ca="1">SUM(L667:CO667)</f>
        <v>0</v>
      </c>
      <c r="J667" s="10"/>
      <c r="K667" s="10"/>
      <c r="L667" s="10">
        <f t="shared" ref="L667:AQ667" ca="1" si="863" xml:space="preserve"> L660 * CPI_Accumulated_From_Date</f>
        <v>0</v>
      </c>
      <c r="M667" s="10">
        <f t="shared" ca="1" si="863"/>
        <v>0</v>
      </c>
      <c r="N667" s="10">
        <f t="shared" ca="1" si="863"/>
        <v>0</v>
      </c>
      <c r="O667" s="10">
        <f t="shared" ca="1" si="863"/>
        <v>0</v>
      </c>
      <c r="P667" s="10">
        <f t="shared" ca="1" si="863"/>
        <v>0</v>
      </c>
      <c r="Q667" s="10">
        <f t="shared" ca="1" si="863"/>
        <v>0</v>
      </c>
      <c r="R667" s="10">
        <f t="shared" ca="1" si="863"/>
        <v>0</v>
      </c>
      <c r="S667" s="10">
        <f t="shared" ca="1" si="863"/>
        <v>0</v>
      </c>
      <c r="T667" s="10">
        <f t="shared" ca="1" si="863"/>
        <v>0</v>
      </c>
      <c r="U667" s="10">
        <f t="shared" ca="1" si="863"/>
        <v>0</v>
      </c>
      <c r="V667" s="10">
        <f t="shared" ca="1" si="863"/>
        <v>0</v>
      </c>
      <c r="W667" s="10">
        <f t="shared" ca="1" si="863"/>
        <v>0</v>
      </c>
      <c r="X667" s="10">
        <f t="shared" ca="1" si="863"/>
        <v>0</v>
      </c>
      <c r="Y667" s="10">
        <f t="shared" ca="1" si="863"/>
        <v>0</v>
      </c>
      <c r="Z667" s="10">
        <f t="shared" ca="1" si="863"/>
        <v>0</v>
      </c>
      <c r="AA667" s="10">
        <f t="shared" ca="1" si="863"/>
        <v>0</v>
      </c>
      <c r="AB667" s="10">
        <f t="shared" ca="1" si="863"/>
        <v>0</v>
      </c>
      <c r="AC667" s="10">
        <f t="shared" ca="1" si="863"/>
        <v>0</v>
      </c>
      <c r="AD667" s="10">
        <f t="shared" ca="1" si="863"/>
        <v>0</v>
      </c>
      <c r="AE667" s="10">
        <f t="shared" ca="1" si="863"/>
        <v>0</v>
      </c>
      <c r="AF667" s="10">
        <f t="shared" ca="1" si="863"/>
        <v>0</v>
      </c>
      <c r="AG667" s="10">
        <f t="shared" ca="1" si="863"/>
        <v>0</v>
      </c>
      <c r="AH667" s="10">
        <f t="shared" ca="1" si="863"/>
        <v>0</v>
      </c>
      <c r="AI667" s="10">
        <f t="shared" ca="1" si="863"/>
        <v>0</v>
      </c>
      <c r="AJ667" s="10">
        <f t="shared" ca="1" si="863"/>
        <v>0</v>
      </c>
      <c r="AK667" s="10">
        <f t="shared" ca="1" si="863"/>
        <v>0</v>
      </c>
      <c r="AL667" s="10">
        <f t="shared" ca="1" si="863"/>
        <v>0</v>
      </c>
      <c r="AM667" s="10">
        <f t="shared" ca="1" si="863"/>
        <v>0</v>
      </c>
      <c r="AN667" s="10">
        <f t="shared" ca="1" si="863"/>
        <v>0</v>
      </c>
      <c r="AO667" s="10">
        <f t="shared" ca="1" si="863"/>
        <v>0</v>
      </c>
      <c r="AP667" s="10">
        <f t="shared" ca="1" si="863"/>
        <v>0</v>
      </c>
      <c r="AQ667" s="10">
        <f t="shared" ca="1" si="863"/>
        <v>0</v>
      </c>
      <c r="AR667" s="10">
        <f t="shared" ref="AR667:BW667" ca="1" si="864" xml:space="preserve"> AR660 * CPI_Accumulated_From_Date</f>
        <v>0</v>
      </c>
      <c r="AS667" s="10">
        <f t="shared" ca="1" si="864"/>
        <v>0</v>
      </c>
      <c r="AT667" s="10">
        <f t="shared" ca="1" si="864"/>
        <v>0</v>
      </c>
      <c r="AU667" s="10">
        <f t="shared" ca="1" si="864"/>
        <v>0</v>
      </c>
      <c r="AV667" s="10">
        <f t="shared" ca="1" si="864"/>
        <v>0</v>
      </c>
      <c r="AW667" s="10">
        <f t="shared" ca="1" si="864"/>
        <v>0</v>
      </c>
      <c r="AX667" s="10">
        <f t="shared" ca="1" si="864"/>
        <v>0</v>
      </c>
      <c r="AY667" s="10">
        <f t="shared" ca="1" si="864"/>
        <v>0</v>
      </c>
      <c r="AZ667" s="10">
        <f t="shared" ca="1" si="864"/>
        <v>0</v>
      </c>
      <c r="BA667" s="10">
        <f t="shared" ca="1" si="864"/>
        <v>0</v>
      </c>
      <c r="BB667" s="10">
        <f t="shared" ca="1" si="864"/>
        <v>0</v>
      </c>
      <c r="BC667" s="10">
        <f t="shared" ca="1" si="864"/>
        <v>0</v>
      </c>
      <c r="BD667" s="10">
        <f t="shared" ca="1" si="864"/>
        <v>0</v>
      </c>
      <c r="BE667" s="10">
        <f t="shared" ca="1" si="864"/>
        <v>0</v>
      </c>
      <c r="BF667" s="10">
        <f t="shared" ca="1" si="864"/>
        <v>0</v>
      </c>
      <c r="BG667" s="10">
        <f t="shared" ca="1" si="864"/>
        <v>0</v>
      </c>
      <c r="BH667" s="10">
        <f t="shared" ca="1" si="864"/>
        <v>0</v>
      </c>
      <c r="BI667" s="10">
        <f t="shared" ca="1" si="864"/>
        <v>0</v>
      </c>
      <c r="BJ667" s="10">
        <f t="shared" ca="1" si="864"/>
        <v>0</v>
      </c>
      <c r="BK667" s="10">
        <f t="shared" ca="1" si="864"/>
        <v>0</v>
      </c>
      <c r="BL667" s="10">
        <f t="shared" ca="1" si="864"/>
        <v>0</v>
      </c>
      <c r="BM667" s="10">
        <f t="shared" ca="1" si="864"/>
        <v>0</v>
      </c>
      <c r="BN667" s="10">
        <f t="shared" ca="1" si="864"/>
        <v>0</v>
      </c>
      <c r="BO667" s="10">
        <f t="shared" ca="1" si="864"/>
        <v>0</v>
      </c>
      <c r="BP667" s="10">
        <f t="shared" ca="1" si="864"/>
        <v>0</v>
      </c>
      <c r="BQ667" s="10">
        <f t="shared" ca="1" si="864"/>
        <v>0</v>
      </c>
      <c r="BR667" s="10">
        <f t="shared" ca="1" si="864"/>
        <v>0</v>
      </c>
      <c r="BS667" s="10">
        <f t="shared" ca="1" si="864"/>
        <v>0</v>
      </c>
      <c r="BT667" s="10">
        <f t="shared" ca="1" si="864"/>
        <v>0</v>
      </c>
      <c r="BU667" s="10">
        <f t="shared" ca="1" si="864"/>
        <v>0</v>
      </c>
      <c r="BV667" s="10">
        <f t="shared" ca="1" si="864"/>
        <v>0</v>
      </c>
      <c r="BW667" s="10">
        <f t="shared" ca="1" si="864"/>
        <v>0</v>
      </c>
      <c r="BX667" s="10">
        <f t="shared" ref="BX667:CO667" ca="1" si="865" xml:space="preserve"> BX660 * CPI_Accumulated_From_Date</f>
        <v>0</v>
      </c>
      <c r="BY667" s="10">
        <f t="shared" ca="1" si="865"/>
        <v>0</v>
      </c>
      <c r="BZ667" s="10">
        <f t="shared" ca="1" si="865"/>
        <v>0</v>
      </c>
      <c r="CA667" s="10">
        <f t="shared" ca="1" si="865"/>
        <v>0</v>
      </c>
      <c r="CB667" s="10">
        <f t="shared" ca="1" si="865"/>
        <v>0</v>
      </c>
      <c r="CC667" s="10">
        <f t="shared" ca="1" si="865"/>
        <v>0</v>
      </c>
      <c r="CD667" s="10">
        <f t="shared" ca="1" si="865"/>
        <v>0</v>
      </c>
      <c r="CE667" s="10">
        <f t="shared" ca="1" si="865"/>
        <v>0</v>
      </c>
      <c r="CF667" s="10">
        <f t="shared" ca="1" si="865"/>
        <v>0</v>
      </c>
      <c r="CG667" s="10">
        <f t="shared" ca="1" si="865"/>
        <v>0</v>
      </c>
      <c r="CH667" s="10">
        <f t="shared" ca="1" si="865"/>
        <v>0</v>
      </c>
      <c r="CI667" s="10">
        <f t="shared" ca="1" si="865"/>
        <v>0</v>
      </c>
      <c r="CJ667" s="10">
        <f t="shared" ca="1" si="865"/>
        <v>0</v>
      </c>
      <c r="CK667" s="10">
        <f t="shared" ca="1" si="865"/>
        <v>0</v>
      </c>
      <c r="CL667" s="10">
        <f t="shared" ca="1" si="865"/>
        <v>0</v>
      </c>
      <c r="CM667" s="10">
        <f t="shared" ca="1" si="865"/>
        <v>0</v>
      </c>
      <c r="CN667" s="10">
        <f t="shared" ca="1" si="865"/>
        <v>0</v>
      </c>
      <c r="CO667" s="10">
        <f t="shared" ca="1" si="865"/>
        <v>0</v>
      </c>
    </row>
    <row r="668" spans="1:93" s="141" customFormat="1" ht="13.5" hidden="1" thickBot="1">
      <c r="B668" s="10"/>
      <c r="C668" s="21"/>
      <c r="D668" s="10"/>
      <c r="E668" s="62"/>
      <c r="F668" s="11"/>
      <c r="G668" s="11"/>
      <c r="H668" s="10"/>
      <c r="I668" s="23">
        <f ca="1">SUM(L668:CO668)</f>
        <v>0</v>
      </c>
      <c r="J668" s="10"/>
      <c r="K668" s="10"/>
      <c r="L668" s="10">
        <f t="shared" ref="L668:AQ668" ca="1" si="866" xml:space="preserve"> L661 * CPI_Accumulated_From_Date</f>
        <v>0</v>
      </c>
      <c r="M668" s="10">
        <f t="shared" ca="1" si="866"/>
        <v>0</v>
      </c>
      <c r="N668" s="10">
        <f t="shared" ca="1" si="866"/>
        <v>0</v>
      </c>
      <c r="O668" s="10">
        <f t="shared" ca="1" si="866"/>
        <v>0</v>
      </c>
      <c r="P668" s="10">
        <f t="shared" ca="1" si="866"/>
        <v>0</v>
      </c>
      <c r="Q668" s="10">
        <f t="shared" ca="1" si="866"/>
        <v>0</v>
      </c>
      <c r="R668" s="10">
        <f t="shared" ca="1" si="866"/>
        <v>0</v>
      </c>
      <c r="S668" s="10">
        <f t="shared" ca="1" si="866"/>
        <v>0</v>
      </c>
      <c r="T668" s="10">
        <f t="shared" ca="1" si="866"/>
        <v>0</v>
      </c>
      <c r="U668" s="10">
        <f t="shared" ca="1" si="866"/>
        <v>0</v>
      </c>
      <c r="V668" s="10">
        <f t="shared" ca="1" si="866"/>
        <v>0</v>
      </c>
      <c r="W668" s="10">
        <f t="shared" ca="1" si="866"/>
        <v>0</v>
      </c>
      <c r="X668" s="10">
        <f t="shared" ca="1" si="866"/>
        <v>0</v>
      </c>
      <c r="Y668" s="10">
        <f t="shared" ca="1" si="866"/>
        <v>0</v>
      </c>
      <c r="Z668" s="10">
        <f t="shared" ca="1" si="866"/>
        <v>0</v>
      </c>
      <c r="AA668" s="10">
        <f t="shared" ca="1" si="866"/>
        <v>0</v>
      </c>
      <c r="AB668" s="10">
        <f t="shared" ca="1" si="866"/>
        <v>0</v>
      </c>
      <c r="AC668" s="10">
        <f t="shared" ca="1" si="866"/>
        <v>0</v>
      </c>
      <c r="AD668" s="10">
        <f t="shared" ca="1" si="866"/>
        <v>0</v>
      </c>
      <c r="AE668" s="10">
        <f t="shared" ca="1" si="866"/>
        <v>0</v>
      </c>
      <c r="AF668" s="10">
        <f t="shared" ca="1" si="866"/>
        <v>0</v>
      </c>
      <c r="AG668" s="10">
        <f t="shared" ca="1" si="866"/>
        <v>0</v>
      </c>
      <c r="AH668" s="10">
        <f t="shared" ca="1" si="866"/>
        <v>0</v>
      </c>
      <c r="AI668" s="10">
        <f t="shared" ca="1" si="866"/>
        <v>0</v>
      </c>
      <c r="AJ668" s="10">
        <f t="shared" ca="1" si="866"/>
        <v>0</v>
      </c>
      <c r="AK668" s="10">
        <f t="shared" ca="1" si="866"/>
        <v>0</v>
      </c>
      <c r="AL668" s="10">
        <f t="shared" ca="1" si="866"/>
        <v>0</v>
      </c>
      <c r="AM668" s="10">
        <f t="shared" ca="1" si="866"/>
        <v>0</v>
      </c>
      <c r="AN668" s="10">
        <f t="shared" ca="1" si="866"/>
        <v>0</v>
      </c>
      <c r="AO668" s="10">
        <f t="shared" ca="1" si="866"/>
        <v>0</v>
      </c>
      <c r="AP668" s="10">
        <f t="shared" ca="1" si="866"/>
        <v>0</v>
      </c>
      <c r="AQ668" s="10">
        <f t="shared" ca="1" si="866"/>
        <v>0</v>
      </c>
      <c r="AR668" s="10">
        <f t="shared" ref="AR668:BW668" ca="1" si="867" xml:space="preserve"> AR661 * CPI_Accumulated_From_Date</f>
        <v>0</v>
      </c>
      <c r="AS668" s="10">
        <f t="shared" ca="1" si="867"/>
        <v>0</v>
      </c>
      <c r="AT668" s="10">
        <f t="shared" ca="1" si="867"/>
        <v>0</v>
      </c>
      <c r="AU668" s="10">
        <f t="shared" ca="1" si="867"/>
        <v>0</v>
      </c>
      <c r="AV668" s="10">
        <f t="shared" ca="1" si="867"/>
        <v>0</v>
      </c>
      <c r="AW668" s="10">
        <f t="shared" ca="1" si="867"/>
        <v>0</v>
      </c>
      <c r="AX668" s="10">
        <f t="shared" ca="1" si="867"/>
        <v>0</v>
      </c>
      <c r="AY668" s="10">
        <f t="shared" ca="1" si="867"/>
        <v>0</v>
      </c>
      <c r="AZ668" s="10">
        <f t="shared" ca="1" si="867"/>
        <v>0</v>
      </c>
      <c r="BA668" s="10">
        <f t="shared" ca="1" si="867"/>
        <v>0</v>
      </c>
      <c r="BB668" s="10">
        <f t="shared" ca="1" si="867"/>
        <v>0</v>
      </c>
      <c r="BC668" s="10">
        <f t="shared" ca="1" si="867"/>
        <v>0</v>
      </c>
      <c r="BD668" s="10">
        <f t="shared" ca="1" si="867"/>
        <v>0</v>
      </c>
      <c r="BE668" s="10">
        <f t="shared" ca="1" si="867"/>
        <v>0</v>
      </c>
      <c r="BF668" s="10">
        <f t="shared" ca="1" si="867"/>
        <v>0</v>
      </c>
      <c r="BG668" s="10">
        <f t="shared" ca="1" si="867"/>
        <v>0</v>
      </c>
      <c r="BH668" s="10">
        <f t="shared" ca="1" si="867"/>
        <v>0</v>
      </c>
      <c r="BI668" s="10">
        <f t="shared" ca="1" si="867"/>
        <v>0</v>
      </c>
      <c r="BJ668" s="10">
        <f t="shared" ca="1" si="867"/>
        <v>0</v>
      </c>
      <c r="BK668" s="10">
        <f t="shared" ca="1" si="867"/>
        <v>0</v>
      </c>
      <c r="BL668" s="10">
        <f t="shared" ca="1" si="867"/>
        <v>0</v>
      </c>
      <c r="BM668" s="10">
        <f t="shared" ca="1" si="867"/>
        <v>0</v>
      </c>
      <c r="BN668" s="10">
        <f t="shared" ca="1" si="867"/>
        <v>0</v>
      </c>
      <c r="BO668" s="10">
        <f t="shared" ca="1" si="867"/>
        <v>0</v>
      </c>
      <c r="BP668" s="10">
        <f t="shared" ca="1" si="867"/>
        <v>0</v>
      </c>
      <c r="BQ668" s="10">
        <f t="shared" ca="1" si="867"/>
        <v>0</v>
      </c>
      <c r="BR668" s="10">
        <f t="shared" ca="1" si="867"/>
        <v>0</v>
      </c>
      <c r="BS668" s="10">
        <f t="shared" ca="1" si="867"/>
        <v>0</v>
      </c>
      <c r="BT668" s="10">
        <f t="shared" ca="1" si="867"/>
        <v>0</v>
      </c>
      <c r="BU668" s="10">
        <f t="shared" ca="1" si="867"/>
        <v>0</v>
      </c>
      <c r="BV668" s="10">
        <f t="shared" ca="1" si="867"/>
        <v>0</v>
      </c>
      <c r="BW668" s="10">
        <f t="shared" ca="1" si="867"/>
        <v>0</v>
      </c>
      <c r="BX668" s="10">
        <f t="shared" ref="BX668:CO668" ca="1" si="868" xml:space="preserve"> BX661 * CPI_Accumulated_From_Date</f>
        <v>0</v>
      </c>
      <c r="BY668" s="10">
        <f t="shared" ca="1" si="868"/>
        <v>0</v>
      </c>
      <c r="BZ668" s="10">
        <f t="shared" ca="1" si="868"/>
        <v>0</v>
      </c>
      <c r="CA668" s="10">
        <f t="shared" ca="1" si="868"/>
        <v>0</v>
      </c>
      <c r="CB668" s="10">
        <f t="shared" ca="1" si="868"/>
        <v>0</v>
      </c>
      <c r="CC668" s="10">
        <f t="shared" ca="1" si="868"/>
        <v>0</v>
      </c>
      <c r="CD668" s="10">
        <f t="shared" ca="1" si="868"/>
        <v>0</v>
      </c>
      <c r="CE668" s="10">
        <f t="shared" ca="1" si="868"/>
        <v>0</v>
      </c>
      <c r="CF668" s="10">
        <f t="shared" ca="1" si="868"/>
        <v>0</v>
      </c>
      <c r="CG668" s="10">
        <f t="shared" ca="1" si="868"/>
        <v>0</v>
      </c>
      <c r="CH668" s="10">
        <f t="shared" ca="1" si="868"/>
        <v>0</v>
      </c>
      <c r="CI668" s="10">
        <f t="shared" ca="1" si="868"/>
        <v>0</v>
      </c>
      <c r="CJ668" s="10">
        <f t="shared" ca="1" si="868"/>
        <v>0</v>
      </c>
      <c r="CK668" s="10">
        <f t="shared" ca="1" si="868"/>
        <v>0</v>
      </c>
      <c r="CL668" s="10">
        <f t="shared" ca="1" si="868"/>
        <v>0</v>
      </c>
      <c r="CM668" s="10">
        <f t="shared" ca="1" si="868"/>
        <v>0</v>
      </c>
      <c r="CN668" s="10">
        <f t="shared" ca="1" si="868"/>
        <v>0</v>
      </c>
      <c r="CO668" s="10">
        <f t="shared" ca="1" si="868"/>
        <v>0</v>
      </c>
    </row>
    <row r="669" spans="1:93" ht="15.75" hidden="1" thickTop="1">
      <c r="B669" s="101"/>
      <c r="C669" s="49"/>
      <c r="D669" s="49"/>
      <c r="E669" s="136"/>
      <c r="F669" s="49"/>
      <c r="G669" s="159"/>
      <c r="H669" s="49"/>
      <c r="I669" s="23">
        <f ca="1">SUM(L669:CO669)</f>
        <v>0</v>
      </c>
      <c r="J669" s="49"/>
      <c r="K669" s="49"/>
      <c r="L669" s="49">
        <f ca="1" xml:space="preserve"> SUM(L666:L668) * $I$515</f>
        <v>0</v>
      </c>
      <c r="M669" s="49">
        <f t="shared" ref="M669:BX669" ca="1" si="869" xml:space="preserve"> SUM(M666:M668) * $I$515</f>
        <v>0</v>
      </c>
      <c r="N669" s="49">
        <f t="shared" ca="1" si="869"/>
        <v>0</v>
      </c>
      <c r="O669" s="49">
        <f t="shared" ca="1" si="869"/>
        <v>0</v>
      </c>
      <c r="P669" s="49">
        <f t="shared" ca="1" si="869"/>
        <v>0</v>
      </c>
      <c r="Q669" s="49">
        <f t="shared" ca="1" si="869"/>
        <v>0</v>
      </c>
      <c r="R669" s="49">
        <f t="shared" ca="1" si="869"/>
        <v>0</v>
      </c>
      <c r="S669" s="49">
        <f t="shared" ca="1" si="869"/>
        <v>0</v>
      </c>
      <c r="T669" s="49">
        <f t="shared" ca="1" si="869"/>
        <v>0</v>
      </c>
      <c r="U669" s="49">
        <f t="shared" ca="1" si="869"/>
        <v>0</v>
      </c>
      <c r="V669" s="49">
        <f t="shared" ca="1" si="869"/>
        <v>0</v>
      </c>
      <c r="W669" s="49">
        <f t="shared" ca="1" si="869"/>
        <v>0</v>
      </c>
      <c r="X669" s="49">
        <f t="shared" ca="1" si="869"/>
        <v>0</v>
      </c>
      <c r="Y669" s="49">
        <f t="shared" ca="1" si="869"/>
        <v>0</v>
      </c>
      <c r="Z669" s="49">
        <f t="shared" ca="1" si="869"/>
        <v>0</v>
      </c>
      <c r="AA669" s="49">
        <f t="shared" ca="1" si="869"/>
        <v>0</v>
      </c>
      <c r="AB669" s="49">
        <f t="shared" ca="1" si="869"/>
        <v>0</v>
      </c>
      <c r="AC669" s="49">
        <f t="shared" ca="1" si="869"/>
        <v>0</v>
      </c>
      <c r="AD669" s="49">
        <f t="shared" ca="1" si="869"/>
        <v>0</v>
      </c>
      <c r="AE669" s="49">
        <f t="shared" ca="1" si="869"/>
        <v>0</v>
      </c>
      <c r="AF669" s="49">
        <f t="shared" ca="1" si="869"/>
        <v>0</v>
      </c>
      <c r="AG669" s="49">
        <f t="shared" ca="1" si="869"/>
        <v>0</v>
      </c>
      <c r="AH669" s="49">
        <f t="shared" ca="1" si="869"/>
        <v>0</v>
      </c>
      <c r="AI669" s="49">
        <f t="shared" ca="1" si="869"/>
        <v>0</v>
      </c>
      <c r="AJ669" s="49">
        <f t="shared" ca="1" si="869"/>
        <v>0</v>
      </c>
      <c r="AK669" s="49">
        <f t="shared" ca="1" si="869"/>
        <v>0</v>
      </c>
      <c r="AL669" s="49">
        <f t="shared" ca="1" si="869"/>
        <v>0</v>
      </c>
      <c r="AM669" s="49">
        <f t="shared" ca="1" si="869"/>
        <v>0</v>
      </c>
      <c r="AN669" s="49">
        <f t="shared" ca="1" si="869"/>
        <v>0</v>
      </c>
      <c r="AO669" s="49">
        <f t="shared" ca="1" si="869"/>
        <v>0</v>
      </c>
      <c r="AP669" s="49">
        <f t="shared" ca="1" si="869"/>
        <v>0</v>
      </c>
      <c r="AQ669" s="49">
        <f t="shared" ca="1" si="869"/>
        <v>0</v>
      </c>
      <c r="AR669" s="49">
        <f t="shared" ca="1" si="869"/>
        <v>0</v>
      </c>
      <c r="AS669" s="49">
        <f t="shared" ca="1" si="869"/>
        <v>0</v>
      </c>
      <c r="AT669" s="49">
        <f t="shared" ca="1" si="869"/>
        <v>0</v>
      </c>
      <c r="AU669" s="49">
        <f t="shared" ca="1" si="869"/>
        <v>0</v>
      </c>
      <c r="AV669" s="49">
        <f t="shared" ca="1" si="869"/>
        <v>0</v>
      </c>
      <c r="AW669" s="49">
        <f t="shared" ca="1" si="869"/>
        <v>0</v>
      </c>
      <c r="AX669" s="49">
        <f t="shared" ca="1" si="869"/>
        <v>0</v>
      </c>
      <c r="AY669" s="49">
        <f t="shared" ca="1" si="869"/>
        <v>0</v>
      </c>
      <c r="AZ669" s="49">
        <f t="shared" ca="1" si="869"/>
        <v>0</v>
      </c>
      <c r="BA669" s="49">
        <f t="shared" ca="1" si="869"/>
        <v>0</v>
      </c>
      <c r="BB669" s="49">
        <f t="shared" ca="1" si="869"/>
        <v>0</v>
      </c>
      <c r="BC669" s="49">
        <f t="shared" ca="1" si="869"/>
        <v>0</v>
      </c>
      <c r="BD669" s="49">
        <f t="shared" ca="1" si="869"/>
        <v>0</v>
      </c>
      <c r="BE669" s="49">
        <f t="shared" ca="1" si="869"/>
        <v>0</v>
      </c>
      <c r="BF669" s="49">
        <f t="shared" ca="1" si="869"/>
        <v>0</v>
      </c>
      <c r="BG669" s="49">
        <f t="shared" ca="1" si="869"/>
        <v>0</v>
      </c>
      <c r="BH669" s="49">
        <f t="shared" ca="1" si="869"/>
        <v>0</v>
      </c>
      <c r="BI669" s="49">
        <f t="shared" ca="1" si="869"/>
        <v>0</v>
      </c>
      <c r="BJ669" s="49">
        <f t="shared" ca="1" si="869"/>
        <v>0</v>
      </c>
      <c r="BK669" s="49">
        <f t="shared" ca="1" si="869"/>
        <v>0</v>
      </c>
      <c r="BL669" s="49">
        <f t="shared" ca="1" si="869"/>
        <v>0</v>
      </c>
      <c r="BM669" s="49">
        <f t="shared" ca="1" si="869"/>
        <v>0</v>
      </c>
      <c r="BN669" s="49">
        <f t="shared" ca="1" si="869"/>
        <v>0</v>
      </c>
      <c r="BO669" s="49">
        <f t="shared" ca="1" si="869"/>
        <v>0</v>
      </c>
      <c r="BP669" s="49">
        <f t="shared" ca="1" si="869"/>
        <v>0</v>
      </c>
      <c r="BQ669" s="49">
        <f t="shared" ca="1" si="869"/>
        <v>0</v>
      </c>
      <c r="BR669" s="49">
        <f t="shared" ca="1" si="869"/>
        <v>0</v>
      </c>
      <c r="BS669" s="49">
        <f t="shared" ca="1" si="869"/>
        <v>0</v>
      </c>
      <c r="BT669" s="49">
        <f t="shared" ca="1" si="869"/>
        <v>0</v>
      </c>
      <c r="BU669" s="49">
        <f t="shared" ca="1" si="869"/>
        <v>0</v>
      </c>
      <c r="BV669" s="49">
        <f t="shared" ca="1" si="869"/>
        <v>0</v>
      </c>
      <c r="BW669" s="49">
        <f t="shared" ca="1" si="869"/>
        <v>0</v>
      </c>
      <c r="BX669" s="49">
        <f t="shared" ca="1" si="869"/>
        <v>0</v>
      </c>
      <c r="BY669" s="49">
        <f t="shared" ref="BY669:CO669" ca="1" si="870" xml:space="preserve"> SUM(BY666:BY668) * $I$515</f>
        <v>0</v>
      </c>
      <c r="BZ669" s="49">
        <f t="shared" ca="1" si="870"/>
        <v>0</v>
      </c>
      <c r="CA669" s="49">
        <f t="shared" ca="1" si="870"/>
        <v>0</v>
      </c>
      <c r="CB669" s="49">
        <f t="shared" ca="1" si="870"/>
        <v>0</v>
      </c>
      <c r="CC669" s="49">
        <f t="shared" ca="1" si="870"/>
        <v>0</v>
      </c>
      <c r="CD669" s="49">
        <f t="shared" ca="1" si="870"/>
        <v>0</v>
      </c>
      <c r="CE669" s="49">
        <f t="shared" ca="1" si="870"/>
        <v>0</v>
      </c>
      <c r="CF669" s="49">
        <f t="shared" ca="1" si="870"/>
        <v>0</v>
      </c>
      <c r="CG669" s="49">
        <f t="shared" ca="1" si="870"/>
        <v>0</v>
      </c>
      <c r="CH669" s="49">
        <f t="shared" ca="1" si="870"/>
        <v>0</v>
      </c>
      <c r="CI669" s="49">
        <f t="shared" ca="1" si="870"/>
        <v>0</v>
      </c>
      <c r="CJ669" s="49">
        <f t="shared" ca="1" si="870"/>
        <v>0</v>
      </c>
      <c r="CK669" s="49">
        <f t="shared" ca="1" si="870"/>
        <v>0</v>
      </c>
      <c r="CL669" s="49">
        <f t="shared" ca="1" si="870"/>
        <v>0</v>
      </c>
      <c r="CM669" s="49">
        <f t="shared" ca="1" si="870"/>
        <v>0</v>
      </c>
      <c r="CN669" s="49">
        <f t="shared" ca="1" si="870"/>
        <v>0</v>
      </c>
      <c r="CO669" s="49">
        <f t="shared" ca="1" si="870"/>
        <v>0</v>
      </c>
    </row>
    <row r="670" spans="1:93" s="141" customFormat="1" ht="12.75">
      <c r="B670" s="10"/>
      <c r="C670" s="21"/>
      <c r="D670" s="10"/>
      <c r="E670" s="62"/>
      <c r="F670" s="11"/>
      <c r="G670" s="11"/>
      <c r="H670" s="10"/>
      <c r="I670" s="10"/>
      <c r="J670" s="10"/>
      <c r="K670" s="10"/>
      <c r="L670" s="170"/>
      <c r="M670" s="170"/>
      <c r="N670" s="170"/>
      <c r="O670" s="170"/>
      <c r="P670" s="170"/>
      <c r="Q670" s="170"/>
      <c r="R670" s="170"/>
      <c r="S670" s="170"/>
      <c r="T670" s="170"/>
      <c r="U670" s="170"/>
      <c r="V670" s="170"/>
      <c r="W670" s="170"/>
      <c r="X670" s="170"/>
      <c r="Y670" s="170"/>
      <c r="Z670" s="170"/>
      <c r="AA670" s="170"/>
      <c r="AB670" s="170"/>
      <c r="AC670" s="170"/>
      <c r="AD670" s="170"/>
      <c r="AE670" s="170"/>
      <c r="AF670" s="170"/>
      <c r="AG670" s="170"/>
      <c r="AH670" s="170"/>
      <c r="AI670" s="170"/>
      <c r="AJ670" s="170"/>
      <c r="AK670" s="170"/>
      <c r="AL670" s="170"/>
      <c r="AM670" s="170"/>
      <c r="AN670" s="170"/>
      <c r="AO670" s="170"/>
      <c r="AP670" s="170"/>
      <c r="AQ670" s="170"/>
      <c r="AR670" s="170"/>
      <c r="AS670" s="170"/>
      <c r="AT670" s="170"/>
      <c r="AU670" s="170"/>
      <c r="AV670" s="170"/>
      <c r="AW670" s="170"/>
      <c r="AX670" s="170"/>
      <c r="AY670" s="170"/>
      <c r="AZ670" s="170"/>
      <c r="BA670" s="170"/>
      <c r="BB670" s="170"/>
      <c r="BC670" s="170"/>
      <c r="BD670" s="170"/>
      <c r="BE670" s="170"/>
      <c r="BF670" s="170"/>
      <c r="BG670" s="170"/>
      <c r="BH670" s="170"/>
      <c r="BI670" s="170"/>
      <c r="BJ670" s="170"/>
      <c r="BK670" s="170"/>
      <c r="BL670" s="170"/>
      <c r="BM670" s="170"/>
      <c r="BN670" s="170"/>
      <c r="BO670" s="170"/>
      <c r="BP670" s="170"/>
      <c r="BQ670" s="170"/>
      <c r="BR670" s="170"/>
      <c r="BS670" s="170"/>
      <c r="BT670" s="170"/>
      <c r="BU670" s="170"/>
      <c r="BV670" s="170"/>
      <c r="BW670" s="170"/>
      <c r="BX670" s="170"/>
      <c r="BY670" s="170"/>
      <c r="BZ670" s="170"/>
      <c r="CA670" s="170"/>
      <c r="CB670" s="170"/>
      <c r="CC670" s="170"/>
      <c r="CD670" s="170"/>
      <c r="CE670" s="170"/>
      <c r="CF670" s="170"/>
      <c r="CG670" s="170"/>
      <c r="CH670" s="170"/>
      <c r="CI670" s="170"/>
      <c r="CJ670" s="170"/>
      <c r="CK670" s="170"/>
      <c r="CL670" s="170"/>
      <c r="CM670" s="170"/>
      <c r="CN670" s="170"/>
      <c r="CO670" s="170"/>
    </row>
    <row r="671" spans="1:93" ht="15" customHeight="1">
      <c r="A671" s="10"/>
      <c r="B671" s="3"/>
      <c r="C671" s="382" t="str">
        <f>C511</f>
        <v>Сегмент 3: Крытый парк развлечений</v>
      </c>
      <c r="D671" s="271"/>
      <c r="E671" s="271"/>
      <c r="F671" s="271"/>
      <c r="G671" s="272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  <c r="CA671" s="271"/>
      <c r="CB671" s="271"/>
      <c r="CC671" s="271"/>
      <c r="CD671" s="271"/>
      <c r="CE671" s="271"/>
      <c r="CF671" s="271"/>
      <c r="CG671" s="271"/>
      <c r="CH671" s="271"/>
      <c r="CI671" s="271"/>
      <c r="CJ671" s="271"/>
      <c r="CK671" s="271"/>
      <c r="CL671" s="271"/>
      <c r="CM671" s="271"/>
      <c r="CN671" s="271"/>
      <c r="CO671" s="271"/>
    </row>
    <row r="672" spans="1:93" s="141" customFormat="1" ht="12.75">
      <c r="B672" s="10"/>
      <c r="C672" s="21"/>
      <c r="D672" s="10"/>
      <c r="E672" s="62"/>
      <c r="F672" s="11"/>
      <c r="G672" s="11"/>
      <c r="H672" s="10"/>
      <c r="I672" s="10"/>
      <c r="J672" s="10"/>
      <c r="K672" s="10"/>
      <c r="L672" s="170"/>
      <c r="M672" s="170"/>
      <c r="N672" s="170"/>
      <c r="O672" s="170"/>
      <c r="P672" s="170"/>
      <c r="Q672" s="170"/>
      <c r="R672" s="170"/>
      <c r="S672" s="170"/>
      <c r="T672" s="170"/>
      <c r="U672" s="170"/>
      <c r="V672" s="170"/>
      <c r="W672" s="170"/>
      <c r="X672" s="170"/>
      <c r="Y672" s="170"/>
      <c r="Z672" s="170"/>
      <c r="AA672" s="170"/>
      <c r="AB672" s="170"/>
      <c r="AC672" s="170"/>
      <c r="AD672" s="170"/>
      <c r="AE672" s="170"/>
      <c r="AF672" s="170"/>
      <c r="AG672" s="170"/>
      <c r="AH672" s="170"/>
      <c r="AI672" s="170"/>
      <c r="AJ672" s="170"/>
      <c r="AK672" s="170"/>
      <c r="AL672" s="170"/>
      <c r="AM672" s="170"/>
      <c r="AN672" s="170"/>
      <c r="AO672" s="170"/>
      <c r="AP672" s="170"/>
      <c r="AQ672" s="170"/>
      <c r="AR672" s="170"/>
      <c r="AS672" s="170"/>
      <c r="AT672" s="170"/>
      <c r="AU672" s="170"/>
      <c r="AV672" s="170"/>
      <c r="AW672" s="170"/>
      <c r="AX672" s="170"/>
      <c r="AY672" s="170"/>
      <c r="AZ672" s="170"/>
      <c r="BA672" s="170"/>
      <c r="BB672" s="170"/>
      <c r="BC672" s="170"/>
      <c r="BD672" s="170"/>
      <c r="BE672" s="170"/>
      <c r="BF672" s="170"/>
      <c r="BG672" s="170"/>
      <c r="BH672" s="170"/>
      <c r="BI672" s="170"/>
      <c r="BJ672" s="170"/>
      <c r="BK672" s="170"/>
      <c r="BL672" s="170"/>
      <c r="BM672" s="170"/>
      <c r="BN672" s="170"/>
      <c r="BO672" s="170"/>
      <c r="BP672" s="170"/>
      <c r="BQ672" s="170"/>
      <c r="BR672" s="170"/>
      <c r="BS672" s="170"/>
      <c r="BT672" s="170"/>
      <c r="BU672" s="170"/>
      <c r="BV672" s="170"/>
      <c r="BW672" s="170"/>
      <c r="BX672" s="170"/>
      <c r="BY672" s="170"/>
      <c r="BZ672" s="170"/>
      <c r="CA672" s="170"/>
      <c r="CB672" s="170"/>
      <c r="CC672" s="170"/>
      <c r="CD672" s="170"/>
      <c r="CE672" s="170"/>
      <c r="CF672" s="170"/>
      <c r="CG672" s="170"/>
      <c r="CH672" s="170"/>
      <c r="CI672" s="170"/>
      <c r="CJ672" s="170"/>
      <c r="CK672" s="170"/>
      <c r="CL672" s="170"/>
      <c r="CM672" s="170"/>
      <c r="CN672" s="170"/>
      <c r="CO672" s="170"/>
    </row>
    <row r="673" spans="1:93" s="141" customFormat="1" ht="16.5" thickBot="1">
      <c r="B673" s="10"/>
      <c r="C673" s="12" t="s">
        <v>857</v>
      </c>
      <c r="D673" s="12"/>
      <c r="E673" s="12"/>
      <c r="F673" s="12"/>
      <c r="G673" s="360"/>
      <c r="H673" s="12"/>
      <c r="I673" s="12"/>
      <c r="J673" s="10"/>
      <c r="K673" s="10"/>
      <c r="L673" s="170"/>
      <c r="M673" s="170"/>
      <c r="N673" s="170"/>
      <c r="O673" s="170"/>
      <c r="P673" s="170"/>
      <c r="Q673" s="170"/>
      <c r="R673" s="170"/>
      <c r="S673" s="170"/>
      <c r="T673" s="170"/>
      <c r="U673" s="170"/>
      <c r="V673" s="170"/>
      <c r="W673" s="170"/>
      <c r="X673" s="170"/>
      <c r="Y673" s="170"/>
      <c r="Z673" s="170"/>
      <c r="AA673" s="170"/>
      <c r="AB673" s="170"/>
      <c r="AC673" s="170"/>
      <c r="AD673" s="170"/>
      <c r="AE673" s="170"/>
      <c r="AF673" s="170"/>
      <c r="AG673" s="170"/>
      <c r="AH673" s="170"/>
      <c r="AI673" s="170"/>
      <c r="AJ673" s="170"/>
      <c r="AK673" s="170"/>
      <c r="AL673" s="170"/>
      <c r="AM673" s="170"/>
      <c r="AN673" s="170"/>
      <c r="AO673" s="170"/>
      <c r="AP673" s="170"/>
      <c r="AQ673" s="170"/>
      <c r="AR673" s="170"/>
      <c r="AS673" s="170"/>
      <c r="AT673" s="170"/>
      <c r="AU673" s="170"/>
      <c r="AV673" s="170"/>
      <c r="AW673" s="170"/>
      <c r="AX673" s="170"/>
      <c r="AY673" s="170"/>
      <c r="AZ673" s="170"/>
      <c r="BA673" s="170"/>
      <c r="BB673" s="170"/>
      <c r="BC673" s="170"/>
      <c r="BD673" s="170"/>
      <c r="BE673" s="170"/>
      <c r="BF673" s="170"/>
      <c r="BG673" s="170"/>
      <c r="BH673" s="170"/>
      <c r="BI673" s="170"/>
      <c r="BJ673" s="170"/>
      <c r="BK673" s="170"/>
      <c r="BL673" s="170"/>
      <c r="BM673" s="170"/>
      <c r="BN673" s="170"/>
      <c r="BO673" s="170"/>
      <c r="BP673" s="170"/>
      <c r="BQ673" s="170"/>
      <c r="BR673" s="170"/>
      <c r="BS673" s="170"/>
      <c r="BT673" s="170"/>
      <c r="BU673" s="170"/>
      <c r="BV673" s="170"/>
      <c r="BW673" s="170"/>
      <c r="BX673" s="170"/>
      <c r="BY673" s="170"/>
      <c r="BZ673" s="170"/>
      <c r="CA673" s="170"/>
      <c r="CB673" s="170"/>
      <c r="CC673" s="170"/>
      <c r="CD673" s="170"/>
      <c r="CE673" s="170"/>
      <c r="CF673" s="170"/>
      <c r="CG673" s="170"/>
      <c r="CH673" s="170"/>
      <c r="CI673" s="170"/>
      <c r="CJ673" s="170"/>
      <c r="CK673" s="170"/>
      <c r="CL673" s="170"/>
      <c r="CM673" s="170"/>
      <c r="CN673" s="170"/>
      <c r="CO673" s="170"/>
    </row>
    <row r="674" spans="1:93" s="141" customFormat="1" ht="12.75">
      <c r="B674" s="10"/>
      <c r="C674" s="21"/>
      <c r="D674" s="10"/>
      <c r="E674" s="62"/>
      <c r="F674" s="11"/>
      <c r="G674" s="11"/>
      <c r="H674" s="10"/>
      <c r="I674" s="10"/>
      <c r="J674" s="10"/>
      <c r="K674" s="10"/>
      <c r="L674" s="170"/>
      <c r="M674" s="170"/>
      <c r="N674" s="170"/>
      <c r="O674" s="170"/>
      <c r="P674" s="170"/>
      <c r="Q674" s="170"/>
      <c r="R674" s="170"/>
      <c r="S674" s="170"/>
      <c r="T674" s="170"/>
      <c r="U674" s="170"/>
      <c r="V674" s="170"/>
      <c r="W674" s="170"/>
      <c r="X674" s="170"/>
      <c r="Y674" s="170"/>
      <c r="Z674" s="170"/>
      <c r="AA674" s="170"/>
      <c r="AB674" s="170"/>
      <c r="AC674" s="170"/>
      <c r="AD674" s="170"/>
      <c r="AE674" s="170"/>
      <c r="AF674" s="170"/>
      <c r="AG674" s="170"/>
      <c r="AH674" s="170"/>
      <c r="AI674" s="170"/>
      <c r="AJ674" s="170"/>
      <c r="AK674" s="170"/>
      <c r="AL674" s="170"/>
      <c r="AM674" s="170"/>
      <c r="AN674" s="170"/>
      <c r="AO674" s="170"/>
      <c r="AP674" s="170"/>
      <c r="AQ674" s="170"/>
      <c r="AR674" s="170"/>
      <c r="AS674" s="170"/>
      <c r="AT674" s="170"/>
      <c r="AU674" s="170"/>
      <c r="AV674" s="170"/>
      <c r="AW674" s="170"/>
      <c r="AX674" s="170"/>
      <c r="AY674" s="170"/>
      <c r="AZ674" s="170"/>
      <c r="BA674" s="170"/>
      <c r="BB674" s="170"/>
      <c r="BC674" s="170"/>
      <c r="BD674" s="170"/>
      <c r="BE674" s="170"/>
      <c r="BF674" s="170"/>
      <c r="BG674" s="170"/>
      <c r="BH674" s="170"/>
      <c r="BI674" s="170"/>
      <c r="BJ674" s="170"/>
      <c r="BK674" s="170"/>
      <c r="BL674" s="170"/>
      <c r="BM674" s="170"/>
      <c r="BN674" s="170"/>
      <c r="BO674" s="170"/>
      <c r="BP674" s="170"/>
      <c r="BQ674" s="170"/>
      <c r="BR674" s="170"/>
      <c r="BS674" s="170"/>
      <c r="BT674" s="170"/>
      <c r="BU674" s="170"/>
      <c r="BV674" s="170"/>
      <c r="BW674" s="170"/>
      <c r="BX674" s="170"/>
      <c r="BY674" s="170"/>
      <c r="BZ674" s="170"/>
      <c r="CA674" s="170"/>
      <c r="CB674" s="170"/>
      <c r="CC674" s="170"/>
      <c r="CD674" s="170"/>
      <c r="CE674" s="170"/>
      <c r="CF674" s="170"/>
      <c r="CG674" s="170"/>
      <c r="CH674" s="170"/>
      <c r="CI674" s="170"/>
      <c r="CJ674" s="170"/>
      <c r="CK674" s="170"/>
      <c r="CL674" s="170"/>
      <c r="CM674" s="170"/>
      <c r="CN674" s="170"/>
      <c r="CO674" s="170"/>
    </row>
    <row r="675" spans="1:93" s="141" customFormat="1">
      <c r="B675" s="10"/>
      <c r="C675" s="41" t="s">
        <v>690</v>
      </c>
      <c r="D675" s="10"/>
      <c r="E675" s="62"/>
      <c r="F675" s="11"/>
      <c r="G675" s="11"/>
      <c r="H675" s="10"/>
      <c r="I675" s="10"/>
      <c r="J675" s="10"/>
      <c r="K675" s="10"/>
      <c r="L675" s="170"/>
      <c r="M675" s="170"/>
      <c r="N675" s="170"/>
      <c r="O675" s="170"/>
      <c r="P675" s="170"/>
      <c r="Q675" s="170"/>
      <c r="R675" s="170"/>
      <c r="S675" s="170"/>
      <c r="T675" s="170"/>
      <c r="U675" s="170"/>
      <c r="V675" s="170"/>
      <c r="W675" s="170"/>
      <c r="X675" s="170"/>
      <c r="Y675" s="170"/>
      <c r="Z675" s="170"/>
      <c r="AA675" s="170"/>
      <c r="AB675" s="170"/>
      <c r="AC675" s="170"/>
      <c r="AD675" s="170"/>
      <c r="AE675" s="170"/>
      <c r="AF675" s="170"/>
      <c r="AG675" s="170"/>
      <c r="AH675" s="170"/>
      <c r="AI675" s="170"/>
      <c r="AJ675" s="170"/>
      <c r="AK675" s="170"/>
      <c r="AL675" s="170"/>
      <c r="AM675" s="170"/>
      <c r="AN675" s="170"/>
      <c r="AO675" s="170"/>
      <c r="AP675" s="170"/>
      <c r="AQ675" s="170"/>
      <c r="AR675" s="170"/>
      <c r="AS675" s="170"/>
      <c r="AT675" s="170"/>
      <c r="AU675" s="170"/>
      <c r="AV675" s="170"/>
      <c r="AW675" s="170"/>
      <c r="AX675" s="170"/>
      <c r="AY675" s="170"/>
      <c r="AZ675" s="170"/>
      <c r="BA675" s="170"/>
      <c r="BB675" s="170"/>
      <c r="BC675" s="170"/>
      <c r="BD675" s="170"/>
      <c r="BE675" s="170"/>
      <c r="BF675" s="170"/>
      <c r="BG675" s="170"/>
      <c r="BH675" s="170"/>
      <c r="BI675" s="170"/>
      <c r="BJ675" s="170"/>
      <c r="BK675" s="170"/>
      <c r="BL675" s="170"/>
      <c r="BM675" s="170"/>
      <c r="BN675" s="170"/>
      <c r="BO675" s="170"/>
      <c r="BP675" s="170"/>
      <c r="BQ675" s="170"/>
      <c r="BR675" s="170"/>
      <c r="BS675" s="170"/>
      <c r="BT675" s="170"/>
      <c r="BU675" s="170"/>
      <c r="BV675" s="170"/>
      <c r="BW675" s="170"/>
      <c r="BX675" s="170"/>
      <c r="BY675" s="170"/>
      <c r="BZ675" s="170"/>
      <c r="CA675" s="170"/>
      <c r="CB675" s="170"/>
      <c r="CC675" s="170"/>
      <c r="CD675" s="170"/>
      <c r="CE675" s="170"/>
      <c r="CF675" s="170"/>
      <c r="CG675" s="170"/>
      <c r="CH675" s="170"/>
      <c r="CI675" s="170"/>
      <c r="CJ675" s="170"/>
      <c r="CK675" s="170"/>
      <c r="CL675" s="170"/>
      <c r="CM675" s="170"/>
      <c r="CN675" s="170"/>
      <c r="CO675" s="170"/>
    </row>
    <row r="676" spans="1:93" s="141" customFormat="1" ht="14.65" customHeight="1">
      <c r="B676" s="10"/>
      <c r="C676" s="21" t="s">
        <v>1108</v>
      </c>
      <c r="D676" s="10"/>
      <c r="E676" s="62"/>
      <c r="F676" s="11"/>
      <c r="G676" s="11" t="str">
        <f xml:space="preserve"> Monetary_Unit</f>
        <v>тыс. руб.</v>
      </c>
      <c r="H676" s="10"/>
      <c r="I676" s="23">
        <f ca="1">SUM(L676:CO676)</f>
        <v>30327514.380206559</v>
      </c>
      <c r="J676" s="10"/>
      <c r="K676" s="10"/>
      <c r="L676" s="450">
        <f t="shared" ref="L676:AQ676" ca="1" si="871">L608+L619+L623</f>
        <v>0</v>
      </c>
      <c r="M676" s="450">
        <f t="shared" ca="1" si="871"/>
        <v>0</v>
      </c>
      <c r="N676" s="450">
        <f t="shared" ca="1" si="871"/>
        <v>0</v>
      </c>
      <c r="O676" s="450">
        <f t="shared" ca="1" si="871"/>
        <v>0</v>
      </c>
      <c r="P676" s="450">
        <f t="shared" ca="1" si="871"/>
        <v>0</v>
      </c>
      <c r="Q676" s="450">
        <f t="shared" ca="1" si="871"/>
        <v>0</v>
      </c>
      <c r="R676" s="450">
        <f t="shared" ca="1" si="871"/>
        <v>0</v>
      </c>
      <c r="S676" s="450">
        <f t="shared" ca="1" si="871"/>
        <v>0</v>
      </c>
      <c r="T676" s="450">
        <f t="shared" ca="1" si="871"/>
        <v>0</v>
      </c>
      <c r="U676" s="450">
        <f t="shared" ca="1" si="871"/>
        <v>0</v>
      </c>
      <c r="V676" s="450">
        <f t="shared" ca="1" si="871"/>
        <v>0</v>
      </c>
      <c r="W676" s="450">
        <f t="shared" ca="1" si="871"/>
        <v>0</v>
      </c>
      <c r="X676" s="450">
        <f t="shared" ca="1" si="871"/>
        <v>0</v>
      </c>
      <c r="Y676" s="450">
        <f t="shared" ca="1" si="871"/>
        <v>0</v>
      </c>
      <c r="Z676" s="450">
        <f t="shared" ca="1" si="871"/>
        <v>0</v>
      </c>
      <c r="AA676" s="450">
        <f t="shared" ca="1" si="871"/>
        <v>0</v>
      </c>
      <c r="AB676" s="450">
        <f t="shared" ca="1" si="871"/>
        <v>0</v>
      </c>
      <c r="AC676" s="450">
        <f t="shared" ca="1" si="871"/>
        <v>248277.33564835621</v>
      </c>
      <c r="AD676" s="450">
        <f t="shared" ca="1" si="871"/>
        <v>471070.16681263543</v>
      </c>
      <c r="AE676" s="450">
        <f t="shared" ca="1" si="871"/>
        <v>176248.38845871578</v>
      </c>
      <c r="AF676" s="450">
        <f t="shared" ca="1" si="871"/>
        <v>159910.64413919963</v>
      </c>
      <c r="AG676" s="450">
        <f t="shared" ca="1" si="871"/>
        <v>289607.84915307764</v>
      </c>
      <c r="AH676" s="450">
        <f t="shared" ca="1" si="871"/>
        <v>547731.06890318659</v>
      </c>
      <c r="AI676" s="450">
        <f t="shared" ca="1" si="871"/>
        <v>204310.70096966939</v>
      </c>
      <c r="AJ676" s="450">
        <f t="shared" ca="1" si="871"/>
        <v>184840.51228702714</v>
      </c>
      <c r="AK676" s="450">
        <f t="shared" ca="1" si="871"/>
        <v>333847.56000113947</v>
      </c>
      <c r="AL676" s="450">
        <f t="shared" ca="1" si="871"/>
        <v>629771.13089408167</v>
      </c>
      <c r="AM676" s="450">
        <f t="shared" ca="1" si="871"/>
        <v>234336.00105996543</v>
      </c>
      <c r="AN676" s="450">
        <f t="shared" ca="1" si="871"/>
        <v>213859.01188779209</v>
      </c>
      <c r="AO676" s="450">
        <f t="shared" ca="1" si="871"/>
        <v>381163.07515840116</v>
      </c>
      <c r="AP676" s="450">
        <f t="shared" ca="1" si="871"/>
        <v>701864.01513296331</v>
      </c>
      <c r="AQ676" s="450">
        <f t="shared" ca="1" si="871"/>
        <v>255072.93456914873</v>
      </c>
      <c r="AR676" s="450">
        <f t="shared" ref="AR676:BW676" ca="1" si="872">AR608+AR619+AR623</f>
        <v>224980.71219046335</v>
      </c>
      <c r="AS676" s="450">
        <f t="shared" ca="1" si="872"/>
        <v>396409.59816473717</v>
      </c>
      <c r="AT676" s="450">
        <f t="shared" ca="1" si="872"/>
        <v>729938.57573828183</v>
      </c>
      <c r="AU676" s="450">
        <f t="shared" ca="1" si="872"/>
        <v>265275.85195191461</v>
      </c>
      <c r="AV676" s="450">
        <f t="shared" ca="1" si="872"/>
        <v>233979.94067808182</v>
      </c>
      <c r="AW676" s="450">
        <f t="shared" ca="1" si="872"/>
        <v>412265.98209132662</v>
      </c>
      <c r="AX676" s="450">
        <f t="shared" ca="1" si="872"/>
        <v>759136.11876781308</v>
      </c>
      <c r="AY676" s="450">
        <f t="shared" ca="1" si="872"/>
        <v>275886.8860299912</v>
      </c>
      <c r="AZ676" s="450">
        <f t="shared" ca="1" si="872"/>
        <v>243339.13830520507</v>
      </c>
      <c r="BA676" s="450">
        <f t="shared" ca="1" si="872"/>
        <v>428756.62137497956</v>
      </c>
      <c r="BB676" s="450">
        <f t="shared" ca="1" si="872"/>
        <v>789501.56351852533</v>
      </c>
      <c r="BC676" s="450">
        <f t="shared" ca="1" si="872"/>
        <v>286922.36147119082</v>
      </c>
      <c r="BD676" s="450">
        <f t="shared" ca="1" si="872"/>
        <v>255884.62276894008</v>
      </c>
      <c r="BE676" s="450">
        <f t="shared" ca="1" si="872"/>
        <v>445906.8862299787</v>
      </c>
      <c r="BF676" s="450">
        <f t="shared" ca="1" si="872"/>
        <v>821081.62605926627</v>
      </c>
      <c r="BG676" s="450">
        <f t="shared" ca="1" si="872"/>
        <v>298399.2559300384</v>
      </c>
      <c r="BH676" s="450">
        <f t="shared" ca="1" si="872"/>
        <v>263195.61199090973</v>
      </c>
      <c r="BI676" s="450">
        <f t="shared" ca="1" si="872"/>
        <v>463743.16167917772</v>
      </c>
      <c r="BJ676" s="450">
        <f t="shared" ca="1" si="872"/>
        <v>853924.89110163669</v>
      </c>
      <c r="BK676" s="450">
        <f t="shared" ca="1" si="872"/>
        <v>310335.22616723989</v>
      </c>
      <c r="BL676" s="450">
        <f t="shared" ca="1" si="872"/>
        <v>273723.43647054612</v>
      </c>
      <c r="BM676" s="450">
        <f t="shared" ca="1" si="872"/>
        <v>482292.88814634486</v>
      </c>
      <c r="BN676" s="450">
        <f t="shared" ca="1" si="872"/>
        <v>888081.88674570201</v>
      </c>
      <c r="BO676" s="450">
        <f t="shared" ca="1" si="872"/>
        <v>322748.6352139294</v>
      </c>
      <c r="BP676" s="450">
        <f t="shared" ca="1" si="872"/>
        <v>284672.37392936787</v>
      </c>
      <c r="BQ676" s="450">
        <f t="shared" ca="1" si="872"/>
        <v>501584.60367219854</v>
      </c>
      <c r="BR676" s="450">
        <f t="shared" ca="1" si="872"/>
        <v>923605.16221553006</v>
      </c>
      <c r="BS676" s="450">
        <f t="shared" ca="1" si="872"/>
        <v>335658.58062248654</v>
      </c>
      <c r="BT676" s="450">
        <f t="shared" ca="1" si="872"/>
        <v>299348.81631861522</v>
      </c>
      <c r="BU676" s="450">
        <f t="shared" ca="1" si="872"/>
        <v>521647.98781908641</v>
      </c>
      <c r="BV676" s="450">
        <f t="shared" ca="1" si="872"/>
        <v>960549.3687041509</v>
      </c>
      <c r="BW676" s="450">
        <f t="shared" ca="1" si="872"/>
        <v>349084.92384738591</v>
      </c>
      <c r="BX676" s="450">
        <f t="shared" ref="BX676:CO676" ca="1" si="873">BX608+BX619+BX623</f>
        <v>307901.63964200421</v>
      </c>
      <c r="BY676" s="450">
        <f t="shared" ca="1" si="873"/>
        <v>542513.9073318498</v>
      </c>
      <c r="BZ676" s="450">
        <f t="shared" ca="1" si="873"/>
        <v>998971.34345231706</v>
      </c>
      <c r="CA676" s="450">
        <f t="shared" ca="1" si="873"/>
        <v>363048.32080128131</v>
      </c>
      <c r="CB676" s="450">
        <f t="shared" ca="1" si="873"/>
        <v>320217.7052276844</v>
      </c>
      <c r="CC676" s="450">
        <f t="shared" ca="1" si="873"/>
        <v>564214.46362512372</v>
      </c>
      <c r="CD676" s="450">
        <f t="shared" ca="1" si="873"/>
        <v>1038930.1971904095</v>
      </c>
      <c r="CE676" s="450">
        <f t="shared" ca="1" si="873"/>
        <v>377570.25363333256</v>
      </c>
      <c r="CF676" s="450">
        <f t="shared" ca="1" si="873"/>
        <v>333026.41343679163</v>
      </c>
      <c r="CG676" s="450">
        <f t="shared" ca="1" si="873"/>
        <v>586783.04217012855</v>
      </c>
      <c r="CH676" s="450">
        <f t="shared" ca="1" si="873"/>
        <v>1080487.405078026</v>
      </c>
      <c r="CI676" s="450">
        <f t="shared" ca="1" si="873"/>
        <v>392673.06377866585</v>
      </c>
      <c r="CJ676" s="450">
        <f t="shared" ca="1" si="873"/>
        <v>350195.7751961996</v>
      </c>
      <c r="CK676" s="450">
        <f t="shared" ca="1" si="873"/>
        <v>610254.36385693378</v>
      </c>
      <c r="CL676" s="450">
        <f t="shared" ca="1" si="873"/>
        <v>1123706.9012811468</v>
      </c>
      <c r="CM676" s="450">
        <f t="shared" ca="1" si="873"/>
        <v>408379.98632981244</v>
      </c>
      <c r="CN676" s="450">
        <f t="shared" ca="1" si="873"/>
        <v>360201.36877323384</v>
      </c>
      <c r="CO676" s="450">
        <f t="shared" ca="1" si="873"/>
        <v>634664.53841121099</v>
      </c>
    </row>
    <row r="677" spans="1:93" s="141" customFormat="1" ht="14.65" customHeight="1">
      <c r="B677" s="10"/>
      <c r="C677" s="21" t="s">
        <v>863</v>
      </c>
      <c r="D677" s="10"/>
      <c r="E677" s="62"/>
      <c r="F677" s="11"/>
      <c r="G677" s="11" t="str">
        <f xml:space="preserve"> Monetary_Unit</f>
        <v>тыс. руб.</v>
      </c>
      <c r="H677" s="10"/>
      <c r="I677" s="23">
        <f ca="1">SUM(L677:CO677)</f>
        <v>0</v>
      </c>
      <c r="J677" s="10"/>
      <c r="K677" s="10"/>
      <c r="L677" s="10">
        <f ca="1">SUM(L666:L668)</f>
        <v>0</v>
      </c>
      <c r="M677" s="10">
        <f t="shared" ref="M677:BX677" ca="1" si="874">SUM(M666:M668)</f>
        <v>0</v>
      </c>
      <c r="N677" s="10">
        <f t="shared" ca="1" si="874"/>
        <v>0</v>
      </c>
      <c r="O677" s="10">
        <f t="shared" ca="1" si="874"/>
        <v>0</v>
      </c>
      <c r="P677" s="10">
        <f t="shared" ca="1" si="874"/>
        <v>0</v>
      </c>
      <c r="Q677" s="10">
        <f t="shared" ca="1" si="874"/>
        <v>0</v>
      </c>
      <c r="R677" s="10">
        <f t="shared" ca="1" si="874"/>
        <v>0</v>
      </c>
      <c r="S677" s="10">
        <f t="shared" ca="1" si="874"/>
        <v>0</v>
      </c>
      <c r="T677" s="10">
        <f t="shared" ca="1" si="874"/>
        <v>0</v>
      </c>
      <c r="U677" s="10">
        <f t="shared" ca="1" si="874"/>
        <v>0</v>
      </c>
      <c r="V677" s="10">
        <f t="shared" ca="1" si="874"/>
        <v>0</v>
      </c>
      <c r="W677" s="10">
        <f t="shared" ca="1" si="874"/>
        <v>0</v>
      </c>
      <c r="X677" s="10">
        <f t="shared" ca="1" si="874"/>
        <v>0</v>
      </c>
      <c r="Y677" s="10">
        <f t="shared" ca="1" si="874"/>
        <v>0</v>
      </c>
      <c r="Z677" s="10">
        <f t="shared" ca="1" si="874"/>
        <v>0</v>
      </c>
      <c r="AA677" s="10">
        <f t="shared" ca="1" si="874"/>
        <v>0</v>
      </c>
      <c r="AB677" s="10">
        <f t="shared" ca="1" si="874"/>
        <v>0</v>
      </c>
      <c r="AC677" s="10">
        <f t="shared" ca="1" si="874"/>
        <v>0</v>
      </c>
      <c r="AD677" s="10">
        <f t="shared" ca="1" si="874"/>
        <v>0</v>
      </c>
      <c r="AE677" s="10">
        <f t="shared" ca="1" si="874"/>
        <v>0</v>
      </c>
      <c r="AF677" s="10">
        <f t="shared" ca="1" si="874"/>
        <v>0</v>
      </c>
      <c r="AG677" s="10">
        <f t="shared" ca="1" si="874"/>
        <v>0</v>
      </c>
      <c r="AH677" s="10">
        <f t="shared" ca="1" si="874"/>
        <v>0</v>
      </c>
      <c r="AI677" s="10">
        <f t="shared" ca="1" si="874"/>
        <v>0</v>
      </c>
      <c r="AJ677" s="10">
        <f t="shared" ca="1" si="874"/>
        <v>0</v>
      </c>
      <c r="AK677" s="10">
        <f t="shared" ca="1" si="874"/>
        <v>0</v>
      </c>
      <c r="AL677" s="10">
        <f t="shared" ca="1" si="874"/>
        <v>0</v>
      </c>
      <c r="AM677" s="10">
        <f t="shared" ca="1" si="874"/>
        <v>0</v>
      </c>
      <c r="AN677" s="10">
        <f t="shared" ca="1" si="874"/>
        <v>0</v>
      </c>
      <c r="AO677" s="10">
        <f t="shared" ca="1" si="874"/>
        <v>0</v>
      </c>
      <c r="AP677" s="10">
        <f t="shared" ca="1" si="874"/>
        <v>0</v>
      </c>
      <c r="AQ677" s="10">
        <f t="shared" ca="1" si="874"/>
        <v>0</v>
      </c>
      <c r="AR677" s="10">
        <f t="shared" ca="1" si="874"/>
        <v>0</v>
      </c>
      <c r="AS677" s="10">
        <f t="shared" ca="1" si="874"/>
        <v>0</v>
      </c>
      <c r="AT677" s="10">
        <f t="shared" ca="1" si="874"/>
        <v>0</v>
      </c>
      <c r="AU677" s="10">
        <f t="shared" ca="1" si="874"/>
        <v>0</v>
      </c>
      <c r="AV677" s="10">
        <f t="shared" ca="1" si="874"/>
        <v>0</v>
      </c>
      <c r="AW677" s="10">
        <f t="shared" ca="1" si="874"/>
        <v>0</v>
      </c>
      <c r="AX677" s="10">
        <f t="shared" ca="1" si="874"/>
        <v>0</v>
      </c>
      <c r="AY677" s="10">
        <f t="shared" ca="1" si="874"/>
        <v>0</v>
      </c>
      <c r="AZ677" s="10">
        <f t="shared" ca="1" si="874"/>
        <v>0</v>
      </c>
      <c r="BA677" s="10">
        <f t="shared" ca="1" si="874"/>
        <v>0</v>
      </c>
      <c r="BB677" s="10">
        <f t="shared" ca="1" si="874"/>
        <v>0</v>
      </c>
      <c r="BC677" s="10">
        <f t="shared" ca="1" si="874"/>
        <v>0</v>
      </c>
      <c r="BD677" s="10">
        <f t="shared" ca="1" si="874"/>
        <v>0</v>
      </c>
      <c r="BE677" s="10">
        <f t="shared" ca="1" si="874"/>
        <v>0</v>
      </c>
      <c r="BF677" s="10">
        <f t="shared" ca="1" si="874"/>
        <v>0</v>
      </c>
      <c r="BG677" s="10">
        <f t="shared" ca="1" si="874"/>
        <v>0</v>
      </c>
      <c r="BH677" s="10">
        <f t="shared" ca="1" si="874"/>
        <v>0</v>
      </c>
      <c r="BI677" s="10">
        <f t="shared" ca="1" si="874"/>
        <v>0</v>
      </c>
      <c r="BJ677" s="10">
        <f t="shared" ca="1" si="874"/>
        <v>0</v>
      </c>
      <c r="BK677" s="10">
        <f t="shared" ca="1" si="874"/>
        <v>0</v>
      </c>
      <c r="BL677" s="10">
        <f t="shared" ca="1" si="874"/>
        <v>0</v>
      </c>
      <c r="BM677" s="10">
        <f t="shared" ca="1" si="874"/>
        <v>0</v>
      </c>
      <c r="BN677" s="10">
        <f t="shared" ca="1" si="874"/>
        <v>0</v>
      </c>
      <c r="BO677" s="10">
        <f t="shared" ca="1" si="874"/>
        <v>0</v>
      </c>
      <c r="BP677" s="10">
        <f t="shared" ca="1" si="874"/>
        <v>0</v>
      </c>
      <c r="BQ677" s="10">
        <f t="shared" ca="1" si="874"/>
        <v>0</v>
      </c>
      <c r="BR677" s="10">
        <f t="shared" ca="1" si="874"/>
        <v>0</v>
      </c>
      <c r="BS677" s="10">
        <f t="shared" ca="1" si="874"/>
        <v>0</v>
      </c>
      <c r="BT677" s="10">
        <f t="shared" ca="1" si="874"/>
        <v>0</v>
      </c>
      <c r="BU677" s="10">
        <f t="shared" ca="1" si="874"/>
        <v>0</v>
      </c>
      <c r="BV677" s="10">
        <f t="shared" ca="1" si="874"/>
        <v>0</v>
      </c>
      <c r="BW677" s="10">
        <f t="shared" ca="1" si="874"/>
        <v>0</v>
      </c>
      <c r="BX677" s="10">
        <f t="shared" ca="1" si="874"/>
        <v>0</v>
      </c>
      <c r="BY677" s="10">
        <f t="shared" ref="BY677:CO677" ca="1" si="875">SUM(BY666:BY668)</f>
        <v>0</v>
      </c>
      <c r="BZ677" s="10">
        <f t="shared" ca="1" si="875"/>
        <v>0</v>
      </c>
      <c r="CA677" s="10">
        <f t="shared" ca="1" si="875"/>
        <v>0</v>
      </c>
      <c r="CB677" s="10">
        <f t="shared" ca="1" si="875"/>
        <v>0</v>
      </c>
      <c r="CC677" s="10">
        <f t="shared" ca="1" si="875"/>
        <v>0</v>
      </c>
      <c r="CD677" s="10">
        <f t="shared" ca="1" si="875"/>
        <v>0</v>
      </c>
      <c r="CE677" s="10">
        <f t="shared" ca="1" si="875"/>
        <v>0</v>
      </c>
      <c r="CF677" s="10">
        <f t="shared" ca="1" si="875"/>
        <v>0</v>
      </c>
      <c r="CG677" s="10">
        <f t="shared" ca="1" si="875"/>
        <v>0</v>
      </c>
      <c r="CH677" s="10">
        <f t="shared" ca="1" si="875"/>
        <v>0</v>
      </c>
      <c r="CI677" s="10">
        <f t="shared" ca="1" si="875"/>
        <v>0</v>
      </c>
      <c r="CJ677" s="10">
        <f t="shared" ca="1" si="875"/>
        <v>0</v>
      </c>
      <c r="CK677" s="10">
        <f t="shared" ca="1" si="875"/>
        <v>0</v>
      </c>
      <c r="CL677" s="10">
        <f t="shared" ca="1" si="875"/>
        <v>0</v>
      </c>
      <c r="CM677" s="10">
        <f t="shared" ca="1" si="875"/>
        <v>0</v>
      </c>
      <c r="CN677" s="10">
        <f t="shared" ca="1" si="875"/>
        <v>0</v>
      </c>
      <c r="CO677" s="10">
        <f t="shared" ca="1" si="875"/>
        <v>0</v>
      </c>
    </row>
    <row r="678" spans="1:93" s="141" customFormat="1" ht="14.65" customHeight="1">
      <c r="B678" s="10"/>
      <c r="C678" s="21" t="s">
        <v>855</v>
      </c>
      <c r="D678" s="10"/>
      <c r="E678" s="232">
        <f xml:space="preserve"> Предпосылки!E440</f>
        <v>0</v>
      </c>
      <c r="F678" s="11"/>
      <c r="G678" s="11" t="s">
        <v>28</v>
      </c>
      <c r="H678" s="10"/>
      <c r="I678" s="10"/>
      <c r="J678" s="10"/>
      <c r="K678" s="10"/>
      <c r="L678" s="170"/>
      <c r="M678" s="170"/>
      <c r="N678" s="170"/>
      <c r="O678" s="170"/>
      <c r="P678" s="170"/>
      <c r="Q678" s="170"/>
      <c r="R678" s="170"/>
      <c r="S678" s="170"/>
      <c r="T678" s="170"/>
      <c r="U678" s="170"/>
      <c r="V678" s="170"/>
      <c r="W678" s="170"/>
      <c r="X678" s="170"/>
      <c r="Y678" s="170"/>
      <c r="Z678" s="170"/>
      <c r="AA678" s="170"/>
      <c r="AB678" s="170"/>
      <c r="AC678" s="170"/>
      <c r="AD678" s="170"/>
      <c r="AE678" s="170"/>
      <c r="AF678" s="170"/>
      <c r="AG678" s="170"/>
      <c r="AH678" s="170"/>
      <c r="AI678" s="170"/>
      <c r="AJ678" s="170"/>
      <c r="AK678" s="170"/>
      <c r="AL678" s="170"/>
      <c r="AM678" s="170"/>
      <c r="AN678" s="170"/>
      <c r="AO678" s="170"/>
      <c r="AP678" s="170"/>
      <c r="AQ678" s="170"/>
      <c r="AR678" s="170"/>
      <c r="AS678" s="170"/>
      <c r="AT678" s="170"/>
      <c r="AU678" s="170"/>
      <c r="AV678" s="170"/>
      <c r="AW678" s="170"/>
      <c r="AX678" s="170"/>
      <c r="AY678" s="170"/>
      <c r="AZ678" s="170"/>
      <c r="BA678" s="170"/>
      <c r="BB678" s="170"/>
      <c r="BC678" s="170"/>
      <c r="BD678" s="170"/>
      <c r="BE678" s="170"/>
      <c r="BF678" s="170"/>
      <c r="BG678" s="170"/>
      <c r="BH678" s="170"/>
      <c r="BI678" s="170"/>
      <c r="BJ678" s="170"/>
      <c r="BK678" s="170"/>
      <c r="BL678" s="170"/>
      <c r="BM678" s="170"/>
      <c r="BN678" s="170"/>
      <c r="BO678" s="170"/>
      <c r="BP678" s="170"/>
      <c r="BQ678" s="170"/>
      <c r="BR678" s="170"/>
      <c r="BS678" s="170"/>
      <c r="BT678" s="170"/>
      <c r="BU678" s="170"/>
      <c r="BV678" s="170"/>
      <c r="BW678" s="170"/>
      <c r="BX678" s="170"/>
      <c r="BY678" s="170"/>
      <c r="BZ678" s="170"/>
      <c r="CA678" s="170"/>
      <c r="CB678" s="170"/>
      <c r="CC678" s="170"/>
      <c r="CD678" s="170"/>
      <c r="CE678" s="170"/>
      <c r="CF678" s="170"/>
      <c r="CG678" s="170"/>
      <c r="CH678" s="170"/>
      <c r="CI678" s="170"/>
      <c r="CJ678" s="170"/>
      <c r="CK678" s="170"/>
      <c r="CL678" s="170"/>
      <c r="CM678" s="170"/>
      <c r="CN678" s="170"/>
      <c r="CO678" s="170"/>
    </row>
    <row r="679" spans="1:93" s="141" customFormat="1" ht="14.65" customHeight="1" thickBot="1">
      <c r="B679" s="10"/>
      <c r="C679" s="21" t="s">
        <v>878</v>
      </c>
      <c r="D679" s="10"/>
      <c r="E679" s="184">
        <f xml:space="preserve"> Предпосылки!E441</f>
        <v>0</v>
      </c>
      <c r="F679" s="11"/>
      <c r="G679" s="11" t="str">
        <f xml:space="preserve"> Monetary_Unit</f>
        <v>тыс. руб.</v>
      </c>
      <c r="H679" s="10"/>
      <c r="I679" s="10"/>
      <c r="J679" s="10"/>
      <c r="K679" s="10"/>
      <c r="L679" s="170"/>
      <c r="M679" s="170"/>
      <c r="N679" s="170"/>
      <c r="O679" s="170"/>
      <c r="P679" s="170"/>
      <c r="Q679" s="170"/>
      <c r="R679" s="170"/>
      <c r="S679" s="170"/>
      <c r="T679" s="170"/>
      <c r="U679" s="170"/>
      <c r="V679" s="170"/>
      <c r="W679" s="170"/>
      <c r="X679" s="170"/>
      <c r="Y679" s="170"/>
      <c r="Z679" s="170"/>
      <c r="AA679" s="170"/>
      <c r="AB679" s="170"/>
      <c r="AC679" s="170"/>
      <c r="AD679" s="170"/>
      <c r="AE679" s="170"/>
      <c r="AF679" s="170"/>
      <c r="AG679" s="170"/>
      <c r="AH679" s="170"/>
      <c r="AI679" s="170"/>
      <c r="AJ679" s="170"/>
      <c r="AK679" s="170"/>
      <c r="AL679" s="170"/>
      <c r="AM679" s="170"/>
      <c r="AN679" s="170"/>
      <c r="AO679" s="170"/>
      <c r="AP679" s="170"/>
      <c r="AQ679" s="170"/>
      <c r="AR679" s="170"/>
      <c r="AS679" s="170"/>
      <c r="AT679" s="170"/>
      <c r="AU679" s="170"/>
      <c r="AV679" s="170"/>
      <c r="AW679" s="170"/>
      <c r="AX679" s="170"/>
      <c r="AY679" s="170"/>
      <c r="AZ679" s="170"/>
      <c r="BA679" s="170"/>
      <c r="BB679" s="170"/>
      <c r="BC679" s="170"/>
      <c r="BD679" s="170"/>
      <c r="BE679" s="170"/>
      <c r="BF679" s="170"/>
      <c r="BG679" s="170"/>
      <c r="BH679" s="170"/>
      <c r="BI679" s="170"/>
      <c r="BJ679" s="170"/>
      <c r="BK679" s="170"/>
      <c r="BL679" s="170"/>
      <c r="BM679" s="170"/>
      <c r="BN679" s="170"/>
      <c r="BO679" s="170"/>
      <c r="BP679" s="170"/>
      <c r="BQ679" s="170"/>
      <c r="BR679" s="170"/>
      <c r="BS679" s="170"/>
      <c r="BT679" s="170"/>
      <c r="BU679" s="170"/>
      <c r="BV679" s="170"/>
      <c r="BW679" s="170"/>
      <c r="BX679" s="170"/>
      <c r="BY679" s="170"/>
      <c r="BZ679" s="170"/>
      <c r="CA679" s="170"/>
      <c r="CB679" s="170"/>
      <c r="CC679" s="170"/>
      <c r="CD679" s="170"/>
      <c r="CE679" s="170"/>
      <c r="CF679" s="170"/>
      <c r="CG679" s="170"/>
      <c r="CH679" s="170"/>
      <c r="CI679" s="170"/>
      <c r="CJ679" s="170"/>
      <c r="CK679" s="170"/>
      <c r="CL679" s="170"/>
      <c r="CM679" s="170"/>
      <c r="CN679" s="170"/>
      <c r="CO679" s="170"/>
    </row>
    <row r="680" spans="1:93" ht="14.65" customHeight="1" thickTop="1">
      <c r="B680" s="101"/>
      <c r="C680" s="49" t="str">
        <f>"Итого: выручка " &amp; C37 &amp; " в прогнозных ценах без НДС"</f>
        <v>Итого: выручка Крытый парк развлечений в прогнозных ценах без НДС</v>
      </c>
      <c r="D680" s="49"/>
      <c r="E680" s="136"/>
      <c r="F680" s="49"/>
      <c r="G680" s="159" t="str">
        <f xml:space="preserve"> Monetary_Unit</f>
        <v>тыс. руб.</v>
      </c>
      <c r="H680" s="49"/>
      <c r="I680" s="23">
        <f ca="1">SUM(L680:CO680)</f>
        <v>0</v>
      </c>
      <c r="J680" s="49"/>
      <c r="K680" s="49"/>
      <c r="L680" s="49">
        <f t="shared" ref="L680:AQ680" ca="1" si="876">MAX($E$679 * Period_length * CPI_Accumulated_From_Date * Flag_Operations,SUM(L676:L677) * $E$678) * $I$516</f>
        <v>0</v>
      </c>
      <c r="M680" s="49">
        <f t="shared" ca="1" si="876"/>
        <v>0</v>
      </c>
      <c r="N680" s="49">
        <f t="shared" ca="1" si="876"/>
        <v>0</v>
      </c>
      <c r="O680" s="49">
        <f t="shared" ca="1" si="876"/>
        <v>0</v>
      </c>
      <c r="P680" s="49">
        <f t="shared" ca="1" si="876"/>
        <v>0</v>
      </c>
      <c r="Q680" s="49">
        <f t="shared" ca="1" si="876"/>
        <v>0</v>
      </c>
      <c r="R680" s="49">
        <f t="shared" ca="1" si="876"/>
        <v>0</v>
      </c>
      <c r="S680" s="49">
        <f t="shared" ca="1" si="876"/>
        <v>0</v>
      </c>
      <c r="T680" s="49">
        <f t="shared" ca="1" si="876"/>
        <v>0</v>
      </c>
      <c r="U680" s="49">
        <f t="shared" ca="1" si="876"/>
        <v>0</v>
      </c>
      <c r="V680" s="49">
        <f t="shared" ca="1" si="876"/>
        <v>0</v>
      </c>
      <c r="W680" s="49">
        <f t="shared" ca="1" si="876"/>
        <v>0</v>
      </c>
      <c r="X680" s="49">
        <f t="shared" ca="1" si="876"/>
        <v>0</v>
      </c>
      <c r="Y680" s="49">
        <f t="shared" ca="1" si="876"/>
        <v>0</v>
      </c>
      <c r="Z680" s="49">
        <f t="shared" ca="1" si="876"/>
        <v>0</v>
      </c>
      <c r="AA680" s="49">
        <f t="shared" ca="1" si="876"/>
        <v>0</v>
      </c>
      <c r="AB680" s="49">
        <f t="shared" ca="1" si="876"/>
        <v>0</v>
      </c>
      <c r="AC680" s="49">
        <f t="shared" ca="1" si="876"/>
        <v>0</v>
      </c>
      <c r="AD680" s="49">
        <f t="shared" ca="1" si="876"/>
        <v>0</v>
      </c>
      <c r="AE680" s="49">
        <f t="shared" ca="1" si="876"/>
        <v>0</v>
      </c>
      <c r="AF680" s="49">
        <f t="shared" ca="1" si="876"/>
        <v>0</v>
      </c>
      <c r="AG680" s="49">
        <f t="shared" ca="1" si="876"/>
        <v>0</v>
      </c>
      <c r="AH680" s="49">
        <f t="shared" ca="1" si="876"/>
        <v>0</v>
      </c>
      <c r="AI680" s="49">
        <f t="shared" ca="1" si="876"/>
        <v>0</v>
      </c>
      <c r="AJ680" s="49">
        <f t="shared" ca="1" si="876"/>
        <v>0</v>
      </c>
      <c r="AK680" s="49">
        <f t="shared" ca="1" si="876"/>
        <v>0</v>
      </c>
      <c r="AL680" s="49">
        <f t="shared" ca="1" si="876"/>
        <v>0</v>
      </c>
      <c r="AM680" s="49">
        <f t="shared" ca="1" si="876"/>
        <v>0</v>
      </c>
      <c r="AN680" s="49">
        <f t="shared" ca="1" si="876"/>
        <v>0</v>
      </c>
      <c r="AO680" s="49">
        <f t="shared" ca="1" si="876"/>
        <v>0</v>
      </c>
      <c r="AP680" s="49">
        <f t="shared" ca="1" si="876"/>
        <v>0</v>
      </c>
      <c r="AQ680" s="49">
        <f t="shared" ca="1" si="876"/>
        <v>0</v>
      </c>
      <c r="AR680" s="49">
        <f t="shared" ref="AR680:BW680" ca="1" si="877">MAX($E$679 * Period_length * CPI_Accumulated_From_Date * Flag_Operations,SUM(AR676:AR677) * $E$678) * $I$516</f>
        <v>0</v>
      </c>
      <c r="AS680" s="49">
        <f t="shared" ca="1" si="877"/>
        <v>0</v>
      </c>
      <c r="AT680" s="49">
        <f t="shared" ca="1" si="877"/>
        <v>0</v>
      </c>
      <c r="AU680" s="49">
        <f t="shared" ca="1" si="877"/>
        <v>0</v>
      </c>
      <c r="AV680" s="49">
        <f t="shared" ca="1" si="877"/>
        <v>0</v>
      </c>
      <c r="AW680" s="49">
        <f t="shared" ca="1" si="877"/>
        <v>0</v>
      </c>
      <c r="AX680" s="49">
        <f t="shared" ca="1" si="877"/>
        <v>0</v>
      </c>
      <c r="AY680" s="49">
        <f t="shared" ca="1" si="877"/>
        <v>0</v>
      </c>
      <c r="AZ680" s="49">
        <f t="shared" ca="1" si="877"/>
        <v>0</v>
      </c>
      <c r="BA680" s="49">
        <f t="shared" ca="1" si="877"/>
        <v>0</v>
      </c>
      <c r="BB680" s="49">
        <f t="shared" ca="1" si="877"/>
        <v>0</v>
      </c>
      <c r="BC680" s="49">
        <f t="shared" ca="1" si="877"/>
        <v>0</v>
      </c>
      <c r="BD680" s="49">
        <f t="shared" ca="1" si="877"/>
        <v>0</v>
      </c>
      <c r="BE680" s="49">
        <f t="shared" ca="1" si="877"/>
        <v>0</v>
      </c>
      <c r="BF680" s="49">
        <f t="shared" ca="1" si="877"/>
        <v>0</v>
      </c>
      <c r="BG680" s="49">
        <f t="shared" ca="1" si="877"/>
        <v>0</v>
      </c>
      <c r="BH680" s="49">
        <f t="shared" ca="1" si="877"/>
        <v>0</v>
      </c>
      <c r="BI680" s="49">
        <f t="shared" ca="1" si="877"/>
        <v>0</v>
      </c>
      <c r="BJ680" s="49">
        <f t="shared" ca="1" si="877"/>
        <v>0</v>
      </c>
      <c r="BK680" s="49">
        <f t="shared" ca="1" si="877"/>
        <v>0</v>
      </c>
      <c r="BL680" s="49">
        <f t="shared" ca="1" si="877"/>
        <v>0</v>
      </c>
      <c r="BM680" s="49">
        <f t="shared" ca="1" si="877"/>
        <v>0</v>
      </c>
      <c r="BN680" s="49">
        <f t="shared" ca="1" si="877"/>
        <v>0</v>
      </c>
      <c r="BO680" s="49">
        <f t="shared" ca="1" si="877"/>
        <v>0</v>
      </c>
      <c r="BP680" s="49">
        <f t="shared" ca="1" si="877"/>
        <v>0</v>
      </c>
      <c r="BQ680" s="49">
        <f t="shared" ca="1" si="877"/>
        <v>0</v>
      </c>
      <c r="BR680" s="49">
        <f t="shared" ca="1" si="877"/>
        <v>0</v>
      </c>
      <c r="BS680" s="49">
        <f t="shared" ca="1" si="877"/>
        <v>0</v>
      </c>
      <c r="BT680" s="49">
        <f t="shared" ca="1" si="877"/>
        <v>0</v>
      </c>
      <c r="BU680" s="49">
        <f t="shared" ca="1" si="877"/>
        <v>0</v>
      </c>
      <c r="BV680" s="49">
        <f t="shared" ca="1" si="877"/>
        <v>0</v>
      </c>
      <c r="BW680" s="49">
        <f t="shared" ca="1" si="877"/>
        <v>0</v>
      </c>
      <c r="BX680" s="49">
        <f t="shared" ref="BX680:CO680" ca="1" si="878">MAX($E$679 * Period_length * CPI_Accumulated_From_Date * Flag_Operations,SUM(BX676:BX677) * $E$678) * $I$516</f>
        <v>0</v>
      </c>
      <c r="BY680" s="49">
        <f t="shared" ca="1" si="878"/>
        <v>0</v>
      </c>
      <c r="BZ680" s="49">
        <f t="shared" ca="1" si="878"/>
        <v>0</v>
      </c>
      <c r="CA680" s="49">
        <f t="shared" ca="1" si="878"/>
        <v>0</v>
      </c>
      <c r="CB680" s="49">
        <f t="shared" ca="1" si="878"/>
        <v>0</v>
      </c>
      <c r="CC680" s="49">
        <f t="shared" ca="1" si="878"/>
        <v>0</v>
      </c>
      <c r="CD680" s="49">
        <f t="shared" ca="1" si="878"/>
        <v>0</v>
      </c>
      <c r="CE680" s="49">
        <f t="shared" ca="1" si="878"/>
        <v>0</v>
      </c>
      <c r="CF680" s="49">
        <f t="shared" ca="1" si="878"/>
        <v>0</v>
      </c>
      <c r="CG680" s="49">
        <f t="shared" ca="1" si="878"/>
        <v>0</v>
      </c>
      <c r="CH680" s="49">
        <f t="shared" ca="1" si="878"/>
        <v>0</v>
      </c>
      <c r="CI680" s="49">
        <f t="shared" ca="1" si="878"/>
        <v>0</v>
      </c>
      <c r="CJ680" s="49">
        <f t="shared" ca="1" si="878"/>
        <v>0</v>
      </c>
      <c r="CK680" s="49">
        <f t="shared" ca="1" si="878"/>
        <v>0</v>
      </c>
      <c r="CL680" s="49">
        <f t="shared" ca="1" si="878"/>
        <v>0</v>
      </c>
      <c r="CM680" s="49">
        <f t="shared" ca="1" si="878"/>
        <v>0</v>
      </c>
      <c r="CN680" s="49">
        <f t="shared" ca="1" si="878"/>
        <v>0</v>
      </c>
      <c r="CO680" s="49">
        <f t="shared" ca="1" si="878"/>
        <v>0</v>
      </c>
    </row>
    <row r="681" spans="1:93" s="141" customFormat="1" ht="14.65" customHeight="1">
      <c r="B681" s="10"/>
      <c r="C681" s="21"/>
      <c r="D681" s="10"/>
      <c r="E681" s="62"/>
      <c r="F681" s="11"/>
      <c r="G681" s="11"/>
      <c r="H681" s="10"/>
      <c r="I681" s="10"/>
      <c r="J681" s="10"/>
      <c r="K681" s="10"/>
      <c r="L681" s="170"/>
      <c r="M681" s="170"/>
      <c r="N681" s="170"/>
      <c r="O681" s="170"/>
      <c r="P681" s="170"/>
      <c r="Q681" s="170"/>
      <c r="R681" s="170"/>
      <c r="S681" s="170"/>
      <c r="T681" s="170"/>
      <c r="U681" s="170"/>
      <c r="V681" s="170"/>
      <c r="W681" s="170"/>
      <c r="X681" s="170"/>
      <c r="Y681" s="170"/>
      <c r="Z681" s="170"/>
      <c r="AA681" s="170"/>
      <c r="AB681" s="170"/>
      <c r="AC681" s="170"/>
      <c r="AD681" s="170"/>
      <c r="AE681" s="170"/>
      <c r="AF681" s="170"/>
      <c r="AG681" s="170"/>
      <c r="AH681" s="170"/>
      <c r="AI681" s="170"/>
      <c r="AJ681" s="170"/>
      <c r="AK681" s="170"/>
      <c r="AL681" s="170"/>
      <c r="AM681" s="170"/>
      <c r="AN681" s="170"/>
      <c r="AO681" s="170"/>
      <c r="AP681" s="170"/>
      <c r="AQ681" s="170"/>
      <c r="AR681" s="170"/>
      <c r="AS681" s="170"/>
      <c r="AT681" s="170"/>
      <c r="AU681" s="170"/>
      <c r="AV681" s="170"/>
      <c r="AW681" s="170"/>
      <c r="AX681" s="170"/>
      <c r="AY681" s="170"/>
      <c r="AZ681" s="170"/>
      <c r="BA681" s="170"/>
      <c r="BB681" s="170"/>
      <c r="BC681" s="170"/>
      <c r="BD681" s="170"/>
      <c r="BE681" s="170"/>
      <c r="BF681" s="170"/>
      <c r="BG681" s="170"/>
      <c r="BH681" s="170"/>
      <c r="BI681" s="170"/>
      <c r="BJ681" s="170"/>
      <c r="BK681" s="170"/>
      <c r="BL681" s="170"/>
      <c r="BM681" s="170"/>
      <c r="BN681" s="170"/>
      <c r="BO681" s="170"/>
      <c r="BP681" s="170"/>
      <c r="BQ681" s="170"/>
      <c r="BR681" s="170"/>
      <c r="BS681" s="170"/>
      <c r="BT681" s="170"/>
      <c r="BU681" s="170"/>
      <c r="BV681" s="170"/>
      <c r="BW681" s="170"/>
      <c r="BX681" s="170"/>
      <c r="BY681" s="170"/>
      <c r="BZ681" s="170"/>
      <c r="CA681" s="170"/>
      <c r="CB681" s="170"/>
      <c r="CC681" s="170"/>
      <c r="CD681" s="170"/>
      <c r="CE681" s="170"/>
      <c r="CF681" s="170"/>
      <c r="CG681" s="170"/>
      <c r="CH681" s="170"/>
      <c r="CI681" s="170"/>
      <c r="CJ681" s="170"/>
      <c r="CK681" s="170"/>
      <c r="CL681" s="170"/>
      <c r="CM681" s="170"/>
      <c r="CN681" s="170"/>
      <c r="CO681" s="170"/>
    </row>
    <row r="682" spans="1:93" ht="14.65" customHeight="1">
      <c r="B682" s="10"/>
      <c r="C682" s="24" t="s">
        <v>96</v>
      </c>
      <c r="D682" s="24"/>
      <c r="E682" s="24"/>
      <c r="F682" s="24"/>
      <c r="G682" s="135" t="str">
        <f>Monetary_Unit</f>
        <v>тыс. руб.</v>
      </c>
      <c r="H682" s="24"/>
      <c r="I682" s="23">
        <f ca="1">SUM(L682:CO682)</f>
        <v>31948941.046733905</v>
      </c>
      <c r="J682" s="24"/>
      <c r="K682" s="24"/>
      <c r="L682" s="24">
        <f t="shared" ref="L682:AQ682" ca="1" si="879" xml:space="preserve"> L630 + L669 + L680</f>
        <v>0</v>
      </c>
      <c r="M682" s="24">
        <f t="shared" ca="1" si="879"/>
        <v>0</v>
      </c>
      <c r="N682" s="24">
        <f t="shared" ca="1" si="879"/>
        <v>0</v>
      </c>
      <c r="O682" s="24">
        <f t="shared" ca="1" si="879"/>
        <v>0</v>
      </c>
      <c r="P682" s="24">
        <f t="shared" ca="1" si="879"/>
        <v>0</v>
      </c>
      <c r="Q682" s="24">
        <f t="shared" ca="1" si="879"/>
        <v>0</v>
      </c>
      <c r="R682" s="24">
        <f t="shared" ca="1" si="879"/>
        <v>0</v>
      </c>
      <c r="S682" s="24">
        <f t="shared" ca="1" si="879"/>
        <v>0</v>
      </c>
      <c r="T682" s="24">
        <f t="shared" ca="1" si="879"/>
        <v>0</v>
      </c>
      <c r="U682" s="24">
        <f t="shared" ca="1" si="879"/>
        <v>0</v>
      </c>
      <c r="V682" s="24">
        <f t="shared" ca="1" si="879"/>
        <v>0</v>
      </c>
      <c r="W682" s="24">
        <f t="shared" ca="1" si="879"/>
        <v>0</v>
      </c>
      <c r="X682" s="24">
        <f t="shared" ca="1" si="879"/>
        <v>0</v>
      </c>
      <c r="Y682" s="24">
        <f t="shared" ca="1" si="879"/>
        <v>0</v>
      </c>
      <c r="Z682" s="24">
        <f t="shared" ca="1" si="879"/>
        <v>0</v>
      </c>
      <c r="AA682" s="24">
        <f t="shared" ca="1" si="879"/>
        <v>0</v>
      </c>
      <c r="AB682" s="24">
        <f t="shared" ca="1" si="879"/>
        <v>0</v>
      </c>
      <c r="AC682" s="24">
        <f t="shared" ca="1" si="879"/>
        <v>287137.34130179585</v>
      </c>
      <c r="AD682" s="24">
        <f t="shared" ca="1" si="879"/>
        <v>547617.81742701808</v>
      </c>
      <c r="AE682" s="24">
        <f t="shared" ca="1" si="879"/>
        <v>203266.93156101141</v>
      </c>
      <c r="AF682" s="24">
        <f t="shared" ca="1" si="879"/>
        <v>184143.12050146211</v>
      </c>
      <c r="AG682" s="24">
        <f t="shared" ca="1" si="879"/>
        <v>334936.84636492439</v>
      </c>
      <c r="AH682" s="24">
        <f t="shared" ca="1" si="879"/>
        <v>636735.91244217439</v>
      </c>
      <c r="AI682" s="24">
        <f t="shared" ca="1" si="879"/>
        <v>235631.14326524414</v>
      </c>
      <c r="AJ682" s="24">
        <f t="shared" ca="1" si="879"/>
        <v>212850.80121366578</v>
      </c>
      <c r="AK682" s="24">
        <f t="shared" ca="1" si="879"/>
        <v>386100.89208702045</v>
      </c>
      <c r="AL682" s="24">
        <f t="shared" ca="1" si="879"/>
        <v>732107.2665506599</v>
      </c>
      <c r="AM682" s="24">
        <f t="shared" ca="1" si="879"/>
        <v>270259.26481531787</v>
      </c>
      <c r="AN682" s="24">
        <f t="shared" ca="1" si="879"/>
        <v>246266.69480548825</v>
      </c>
      <c r="AO682" s="24">
        <f t="shared" ca="1" si="879"/>
        <v>440822.16251270013</v>
      </c>
      <c r="AP682" s="24">
        <f t="shared" ca="1" si="879"/>
        <v>815915.05294910888</v>
      </c>
      <c r="AQ682" s="24">
        <f t="shared" ca="1" si="879"/>
        <v>294175.13083405176</v>
      </c>
      <c r="AR682" s="24">
        <f t="shared" ref="AR682:BW682" ca="1" si="880" xml:space="preserve"> AR630 + AR669 + AR680</f>
        <v>259073.75095888102</v>
      </c>
      <c r="AS682" s="24">
        <f t="shared" ca="1" si="880"/>
        <v>458455.04901320807</v>
      </c>
      <c r="AT682" s="24">
        <f t="shared" ca="1" si="880"/>
        <v>848551.65506707318</v>
      </c>
      <c r="AU682" s="24">
        <f t="shared" ca="1" si="880"/>
        <v>305942.13606741378</v>
      </c>
      <c r="AV682" s="24">
        <f t="shared" ca="1" si="880"/>
        <v>269436.70099723624</v>
      </c>
      <c r="AW682" s="24">
        <f t="shared" ca="1" si="880"/>
        <v>422147.48991467513</v>
      </c>
      <c r="AX682" s="24">
        <f t="shared" ca="1" si="880"/>
        <v>773536.7544139981</v>
      </c>
      <c r="AY682" s="24">
        <f t="shared" ca="1" si="880"/>
        <v>283242.42833727284</v>
      </c>
      <c r="AZ682" s="24">
        <f t="shared" ca="1" si="880"/>
        <v>250185.10206601798</v>
      </c>
      <c r="BA682" s="24">
        <f t="shared" ca="1" si="880"/>
        <v>439033.38951126201</v>
      </c>
      <c r="BB682" s="24">
        <f t="shared" ca="1" si="880"/>
        <v>804478.22459055774</v>
      </c>
      <c r="BC682" s="24">
        <f t="shared" ca="1" si="880"/>
        <v>294572.12547076365</v>
      </c>
      <c r="BD682" s="24">
        <f t="shared" ca="1" si="880"/>
        <v>263083.53399475489</v>
      </c>
      <c r="BE682" s="24">
        <f t="shared" ca="1" si="880"/>
        <v>456594.72509171249</v>
      </c>
      <c r="BF682" s="24">
        <f t="shared" ca="1" si="880"/>
        <v>836657.35357417993</v>
      </c>
      <c r="BG682" s="24">
        <f t="shared" ca="1" si="880"/>
        <v>306355.01048959419</v>
      </c>
      <c r="BH682" s="24">
        <f t="shared" ca="1" si="880"/>
        <v>270600.20639460499</v>
      </c>
      <c r="BI682" s="24">
        <f t="shared" ca="1" si="880"/>
        <v>474858.51409538084</v>
      </c>
      <c r="BJ682" s="24">
        <f t="shared" ca="1" si="880"/>
        <v>870123.6477171469</v>
      </c>
      <c r="BK682" s="24">
        <f t="shared" ca="1" si="880"/>
        <v>318609.21090917796</v>
      </c>
      <c r="BL682" s="24">
        <f t="shared" ca="1" si="880"/>
        <v>281424.21465038921</v>
      </c>
      <c r="BM682" s="24">
        <f t="shared" ca="1" si="880"/>
        <v>493852.85465919605</v>
      </c>
      <c r="BN682" s="24">
        <f t="shared" ca="1" si="880"/>
        <v>904928.59362583258</v>
      </c>
      <c r="BO682" s="24">
        <f t="shared" ca="1" si="880"/>
        <v>331353.57934554503</v>
      </c>
      <c r="BP682" s="24">
        <f t="shared" ca="1" si="880"/>
        <v>292681.18323640467</v>
      </c>
      <c r="BQ682" s="24">
        <f t="shared" ca="1" si="880"/>
        <v>513606.96884556377</v>
      </c>
      <c r="BR682" s="24">
        <f t="shared" ca="1" si="880"/>
        <v>941125.73737086589</v>
      </c>
      <c r="BS682" s="24">
        <f t="shared" ca="1" si="880"/>
        <v>344607.72251936671</v>
      </c>
      <c r="BT682" s="24">
        <f t="shared" ca="1" si="880"/>
        <v>307770.52423881477</v>
      </c>
      <c r="BU682" s="24">
        <f t="shared" ca="1" si="880"/>
        <v>534151.24759938626</v>
      </c>
      <c r="BV682" s="24">
        <f t="shared" ca="1" si="880"/>
        <v>978770.76686570025</v>
      </c>
      <c r="BW682" s="24">
        <f t="shared" ca="1" si="880"/>
        <v>358392.03142014134</v>
      </c>
      <c r="BX682" s="24">
        <f t="shared" ref="BX682:CO682" ca="1" si="881" xml:space="preserve"> BX630 + BX669 + BX680</f>
        <v>316563.96778849518</v>
      </c>
      <c r="BY682" s="24">
        <f t="shared" ca="1" si="881"/>
        <v>555517.29750336171</v>
      </c>
      <c r="BZ682" s="24">
        <f t="shared" ca="1" si="881"/>
        <v>1017921.5975403283</v>
      </c>
      <c r="CA682" s="24">
        <f t="shared" ca="1" si="881"/>
        <v>372727.71267694695</v>
      </c>
      <c r="CB682" s="24">
        <f t="shared" ca="1" si="881"/>
        <v>329226.52650003496</v>
      </c>
      <c r="CC682" s="24">
        <f t="shared" ca="1" si="881"/>
        <v>577737.98940349603</v>
      </c>
      <c r="CD682" s="24">
        <f t="shared" ca="1" si="881"/>
        <v>1058638.4614419413</v>
      </c>
      <c r="CE682" s="24">
        <f t="shared" ca="1" si="881"/>
        <v>387636.8211840248</v>
      </c>
      <c r="CF682" s="24">
        <f t="shared" ca="1" si="881"/>
        <v>342395.58756003634</v>
      </c>
      <c r="CG682" s="24">
        <f t="shared" ca="1" si="881"/>
        <v>600847.50897963578</v>
      </c>
      <c r="CH682" s="24">
        <f t="shared" ca="1" si="881"/>
        <v>1100983.9998996188</v>
      </c>
      <c r="CI682" s="24">
        <f t="shared" ca="1" si="881"/>
        <v>403142.2940313858</v>
      </c>
      <c r="CJ682" s="24">
        <f t="shared" ca="1" si="881"/>
        <v>360047.98229646485</v>
      </c>
      <c r="CK682" s="24">
        <f t="shared" ca="1" si="881"/>
        <v>624881.40933882119</v>
      </c>
      <c r="CL682" s="24">
        <f t="shared" ca="1" si="881"/>
        <v>1145023.3598956035</v>
      </c>
      <c r="CM682" s="24">
        <f t="shared" ca="1" si="881"/>
        <v>419267.98579264118</v>
      </c>
      <c r="CN682" s="24">
        <f t="shared" ca="1" si="881"/>
        <v>370335.06750493526</v>
      </c>
      <c r="CO682" s="24">
        <f t="shared" ca="1" si="881"/>
        <v>649876.66571237403</v>
      </c>
    </row>
    <row r="683" spans="1:93" ht="14.65" customHeight="1">
      <c r="B683" s="10"/>
      <c r="C683" s="10"/>
      <c r="D683" s="10"/>
      <c r="E683" s="10"/>
      <c r="F683" s="10"/>
      <c r="G683" s="11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  <c r="BA683" s="10"/>
      <c r="BB683" s="10"/>
      <c r="BC683" s="10"/>
      <c r="BD683" s="10"/>
      <c r="BE683" s="10"/>
      <c r="BF683" s="10"/>
      <c r="BG683" s="10"/>
      <c r="BH683" s="10"/>
      <c r="BI683" s="10"/>
      <c r="BJ683" s="10"/>
      <c r="BK683" s="10"/>
      <c r="BL683" s="10"/>
      <c r="BM683" s="10"/>
      <c r="BN683" s="10"/>
      <c r="BO683" s="10"/>
      <c r="BP683" s="10"/>
      <c r="BQ683" s="10"/>
      <c r="BR683" s="10"/>
      <c r="BS683" s="10"/>
      <c r="BT683" s="10"/>
      <c r="BU683" s="10"/>
      <c r="BV683" s="10"/>
      <c r="BW683" s="10"/>
      <c r="BX683" s="10"/>
      <c r="BY683" s="10"/>
      <c r="BZ683" s="10"/>
      <c r="CA683" s="10"/>
      <c r="CB683" s="10"/>
      <c r="CC683" s="10"/>
      <c r="CD683" s="10"/>
      <c r="CE683" s="10"/>
      <c r="CF683" s="10"/>
      <c r="CG683" s="10"/>
      <c r="CH683" s="10"/>
      <c r="CI683" s="10"/>
      <c r="CJ683" s="10"/>
      <c r="CK683" s="10"/>
      <c r="CL683" s="10"/>
      <c r="CM683" s="10"/>
      <c r="CN683" s="10"/>
      <c r="CO683" s="10"/>
    </row>
    <row r="684" spans="1:93" ht="14.65" customHeight="1">
      <c r="B684" s="10"/>
      <c r="C684" s="10" t="s">
        <v>1109</v>
      </c>
      <c r="D684" s="10"/>
      <c r="E684" s="10"/>
      <c r="F684" s="10"/>
      <c r="G684" s="142" t="str">
        <f>Monetary_Unit</f>
        <v>тыс. руб.</v>
      </c>
      <c r="H684" s="10"/>
      <c r="I684" s="23">
        <f ca="1">SUM(J684:CO684)</f>
        <v>6757328.0240572728</v>
      </c>
      <c r="J684" s="10"/>
      <c r="K684" s="10"/>
      <c r="L684" s="450">
        <f ca="1">L682-L685</f>
        <v>0</v>
      </c>
      <c r="M684" s="450">
        <f t="shared" ref="M684:BX684" ca="1" si="882">M682-M685</f>
        <v>0</v>
      </c>
      <c r="N684" s="450">
        <f t="shared" ca="1" si="882"/>
        <v>0</v>
      </c>
      <c r="O684" s="450">
        <f t="shared" ca="1" si="882"/>
        <v>0</v>
      </c>
      <c r="P684" s="450">
        <f t="shared" ca="1" si="882"/>
        <v>0</v>
      </c>
      <c r="Q684" s="450">
        <f t="shared" ca="1" si="882"/>
        <v>0</v>
      </c>
      <c r="R684" s="450">
        <f t="shared" ca="1" si="882"/>
        <v>0</v>
      </c>
      <c r="S684" s="450">
        <f t="shared" ca="1" si="882"/>
        <v>0</v>
      </c>
      <c r="T684" s="450">
        <f t="shared" ca="1" si="882"/>
        <v>0</v>
      </c>
      <c r="U684" s="450">
        <f t="shared" ca="1" si="882"/>
        <v>0</v>
      </c>
      <c r="V684" s="450">
        <f t="shared" ca="1" si="882"/>
        <v>0</v>
      </c>
      <c r="W684" s="450">
        <f t="shared" ca="1" si="882"/>
        <v>0</v>
      </c>
      <c r="X684" s="450">
        <f t="shared" ca="1" si="882"/>
        <v>0</v>
      </c>
      <c r="Y684" s="450">
        <f t="shared" ca="1" si="882"/>
        <v>0</v>
      </c>
      <c r="Z684" s="450">
        <f t="shared" ca="1" si="882"/>
        <v>0</v>
      </c>
      <c r="AA684" s="450">
        <f t="shared" ca="1" si="882"/>
        <v>0</v>
      </c>
      <c r="AB684" s="450">
        <f t="shared" ca="1" si="882"/>
        <v>0</v>
      </c>
      <c r="AC684" s="450">
        <f t="shared" ca="1" si="882"/>
        <v>57218.32683739037</v>
      </c>
      <c r="AD684" s="450">
        <f t="shared" ca="1" si="882"/>
        <v>93198.74682907894</v>
      </c>
      <c r="AE684" s="450">
        <f t="shared" ca="1" si="882"/>
        <v>43714.89305334966</v>
      </c>
      <c r="AF684" s="450">
        <f t="shared" ca="1" si="882"/>
        <v>41198.447157458111</v>
      </c>
      <c r="AG684" s="450">
        <f t="shared" ca="1" si="882"/>
        <v>66743.41225807392</v>
      </c>
      <c r="AH684" s="450">
        <f t="shared" ca="1" si="882"/>
        <v>108365.70179455401</v>
      </c>
      <c r="AI684" s="450">
        <f t="shared" ca="1" si="882"/>
        <v>50675.189263566455</v>
      </c>
      <c r="AJ684" s="450">
        <f t="shared" ca="1" si="882"/>
        <v>47621.233214380132</v>
      </c>
      <c r="AK684" s="450">
        <f t="shared" ca="1" si="882"/>
        <v>76938.955189472414</v>
      </c>
      <c r="AL684" s="450">
        <f t="shared" ca="1" si="882"/>
        <v>124596.8951623406</v>
      </c>
      <c r="AM684" s="450">
        <f t="shared" ca="1" si="882"/>
        <v>58122.365341715195</v>
      </c>
      <c r="AN684" s="450">
        <f t="shared" ca="1" si="882"/>
        <v>55097.390469741804</v>
      </c>
      <c r="AO684" s="450">
        <f t="shared" ca="1" si="882"/>
        <v>87843.352095769776</v>
      </c>
      <c r="AP684" s="450">
        <f t="shared" ca="1" si="882"/>
        <v>138860.09189971769</v>
      </c>
      <c r="AQ684" s="450">
        <f t="shared" ca="1" si="882"/>
        <v>63265.74757933896</v>
      </c>
      <c r="AR684" s="450">
        <f t="shared" ca="1" si="882"/>
        <v>57962.720571356738</v>
      </c>
      <c r="AS684" s="450">
        <f t="shared" ca="1" si="882"/>
        <v>91357.086179600563</v>
      </c>
      <c r="AT684" s="450">
        <f t="shared" ca="1" si="882"/>
        <v>144414.49557570636</v>
      </c>
      <c r="AU684" s="450">
        <f t="shared" ca="1" si="882"/>
        <v>65796.3774825125</v>
      </c>
      <c r="AV684" s="450">
        <f t="shared" ca="1" si="882"/>
        <v>60281.229394211026</v>
      </c>
      <c r="AW684" s="450">
        <f t="shared" ca="1" si="882"/>
        <v>95011.369626784581</v>
      </c>
      <c r="AX684" s="450">
        <f t="shared" ca="1" si="882"/>
        <v>150191.07539873465</v>
      </c>
      <c r="AY684" s="450">
        <f t="shared" ca="1" si="882"/>
        <v>68428.232581813005</v>
      </c>
      <c r="AZ684" s="450">
        <f t="shared" ca="1" si="882"/>
        <v>62692.47856997943</v>
      </c>
      <c r="BA684" s="450">
        <f t="shared" ca="1" si="882"/>
        <v>98811.824411855952</v>
      </c>
      <c r="BB684" s="450">
        <f t="shared" ca="1" si="882"/>
        <v>156198.71841468394</v>
      </c>
      <c r="BC684" s="450">
        <f t="shared" ca="1" si="882"/>
        <v>71165.361885085469</v>
      </c>
      <c r="BD684" s="450">
        <f t="shared" ca="1" si="882"/>
        <v>65924.624131809484</v>
      </c>
      <c r="BE684" s="450">
        <f t="shared" ca="1" si="882"/>
        <v>102764.29738833022</v>
      </c>
      <c r="BF684" s="450">
        <f t="shared" ca="1" si="882"/>
        <v>162446.66715127125</v>
      </c>
      <c r="BG684" s="450">
        <f t="shared" ca="1" si="882"/>
        <v>74011.976360488945</v>
      </c>
      <c r="BH684" s="450">
        <f t="shared" ca="1" si="882"/>
        <v>67808.184821289789</v>
      </c>
      <c r="BI684" s="450">
        <f t="shared" ca="1" si="882"/>
        <v>106874.8692838634</v>
      </c>
      <c r="BJ684" s="450">
        <f t="shared" ca="1" si="882"/>
        <v>168944.53383732203</v>
      </c>
      <c r="BK684" s="450">
        <f t="shared" ca="1" si="882"/>
        <v>76972.455414908502</v>
      </c>
      <c r="BL684" s="450">
        <f t="shared" ca="1" si="882"/>
        <v>70520.512214141345</v>
      </c>
      <c r="BM684" s="450">
        <f t="shared" ca="1" si="882"/>
        <v>111149.86405521788</v>
      </c>
      <c r="BN684" s="450">
        <f t="shared" ca="1" si="882"/>
        <v>175702.3151908149</v>
      </c>
      <c r="BO684" s="450">
        <f t="shared" ca="1" si="882"/>
        <v>80051.35363150484</v>
      </c>
      <c r="BP684" s="450">
        <f t="shared" ca="1" si="882"/>
        <v>73341.332702706975</v>
      </c>
      <c r="BQ684" s="450">
        <f t="shared" ca="1" si="882"/>
        <v>115595.85861742659</v>
      </c>
      <c r="BR684" s="450">
        <f t="shared" ca="1" si="882"/>
        <v>182730.40779844741</v>
      </c>
      <c r="BS684" s="450">
        <f t="shared" ca="1" si="882"/>
        <v>83253.407776765001</v>
      </c>
      <c r="BT684" s="450">
        <f t="shared" ca="1" si="882"/>
        <v>77122.48585537984</v>
      </c>
      <c r="BU684" s="450">
        <f t="shared" ca="1" si="882"/>
        <v>120219.6929621236</v>
      </c>
      <c r="BV684" s="450">
        <f t="shared" ca="1" si="882"/>
        <v>190039.62411038531</v>
      </c>
      <c r="BW684" s="450">
        <f t="shared" ca="1" si="882"/>
        <v>86583.544087835588</v>
      </c>
      <c r="BX684" s="450">
        <f t="shared" ca="1" si="882"/>
        <v>79325.985451247834</v>
      </c>
      <c r="BY684" s="450">
        <f t="shared" ref="BY684:CO684" ca="1" si="883">BY682-BY685</f>
        <v>125028.48068060866</v>
      </c>
      <c r="BZ684" s="450">
        <f t="shared" ca="1" si="883"/>
        <v>197641.20907480072</v>
      </c>
      <c r="CA684" s="450">
        <f t="shared" ca="1" si="883"/>
        <v>90046.885851348983</v>
      </c>
      <c r="CB684" s="450">
        <f t="shared" ca="1" si="883"/>
        <v>82499.024869297718</v>
      </c>
      <c r="CC684" s="450">
        <f t="shared" ca="1" si="883"/>
        <v>130029.61990783288</v>
      </c>
      <c r="CD684" s="450">
        <f t="shared" ca="1" si="883"/>
        <v>205546.85743779282</v>
      </c>
      <c r="CE684" s="450">
        <f t="shared" ca="1" si="883"/>
        <v>93648.761285402928</v>
      </c>
      <c r="CF684" s="450">
        <f t="shared" ca="1" si="883"/>
        <v>85798.985864069662</v>
      </c>
      <c r="CG684" s="450">
        <f t="shared" ca="1" si="883"/>
        <v>135230.80470414617</v>
      </c>
      <c r="CH684" s="450">
        <f t="shared" ca="1" si="883"/>
        <v>213768.73173530435</v>
      </c>
      <c r="CI684" s="450">
        <f t="shared" ca="1" si="883"/>
        <v>97394.711736819067</v>
      </c>
      <c r="CJ684" s="450">
        <f t="shared" ca="1" si="883"/>
        <v>90222.400246394973</v>
      </c>
      <c r="CK684" s="450">
        <f t="shared" ca="1" si="883"/>
        <v>140640.03689231194</v>
      </c>
      <c r="CL684" s="450">
        <f t="shared" ca="1" si="883"/>
        <v>222319.4810047166</v>
      </c>
      <c r="CM684" s="450">
        <f t="shared" ca="1" si="883"/>
        <v>101290.50020629179</v>
      </c>
      <c r="CN684" s="450">
        <f t="shared" ca="1" si="883"/>
        <v>92800.183110577695</v>
      </c>
      <c r="CO684" s="450">
        <f t="shared" ca="1" si="883"/>
        <v>146265.63836800447</v>
      </c>
    </row>
    <row r="685" spans="1:93" ht="14.65" customHeight="1">
      <c r="B685" s="13"/>
      <c r="C685" s="450" t="s">
        <v>1110</v>
      </c>
      <c r="D685" s="10"/>
      <c r="E685" s="62"/>
      <c r="F685" s="11"/>
      <c r="G685" s="142" t="str">
        <f>Monetary_Unit</f>
        <v>тыс. руб.</v>
      </c>
      <c r="H685" s="10"/>
      <c r="I685" s="23">
        <f ca="1">SUM(J685:CO685)</f>
        <v>25191613.022676636</v>
      </c>
      <c r="J685" s="10"/>
      <c r="K685" s="10"/>
      <c r="L685" s="450">
        <f t="shared" ref="L685:AQ685" ca="1" si="884">L627+L628*$F$583</f>
        <v>0</v>
      </c>
      <c r="M685" s="450">
        <f t="shared" ca="1" si="884"/>
        <v>0</v>
      </c>
      <c r="N685" s="450">
        <f t="shared" ca="1" si="884"/>
        <v>0</v>
      </c>
      <c r="O685" s="450">
        <f t="shared" ca="1" si="884"/>
        <v>0</v>
      </c>
      <c r="P685" s="450">
        <f t="shared" ca="1" si="884"/>
        <v>0</v>
      </c>
      <c r="Q685" s="450">
        <f t="shared" ca="1" si="884"/>
        <v>0</v>
      </c>
      <c r="R685" s="450">
        <f t="shared" ca="1" si="884"/>
        <v>0</v>
      </c>
      <c r="S685" s="450">
        <f t="shared" ca="1" si="884"/>
        <v>0</v>
      </c>
      <c r="T685" s="450">
        <f t="shared" ca="1" si="884"/>
        <v>0</v>
      </c>
      <c r="U685" s="450">
        <f t="shared" ca="1" si="884"/>
        <v>0</v>
      </c>
      <c r="V685" s="450">
        <f t="shared" ca="1" si="884"/>
        <v>0</v>
      </c>
      <c r="W685" s="450">
        <f t="shared" ca="1" si="884"/>
        <v>0</v>
      </c>
      <c r="X685" s="450">
        <f t="shared" ca="1" si="884"/>
        <v>0</v>
      </c>
      <c r="Y685" s="450">
        <f t="shared" ca="1" si="884"/>
        <v>0</v>
      </c>
      <c r="Z685" s="450">
        <f t="shared" ca="1" si="884"/>
        <v>0</v>
      </c>
      <c r="AA685" s="450">
        <f t="shared" ca="1" si="884"/>
        <v>0</v>
      </c>
      <c r="AB685" s="450">
        <f t="shared" ca="1" si="884"/>
        <v>0</v>
      </c>
      <c r="AC685" s="450">
        <f t="shared" ca="1" si="884"/>
        <v>229919.01446440548</v>
      </c>
      <c r="AD685" s="450">
        <f t="shared" ca="1" si="884"/>
        <v>454419.07059793914</v>
      </c>
      <c r="AE685" s="450">
        <f t="shared" ca="1" si="884"/>
        <v>159552.03850766175</v>
      </c>
      <c r="AF685" s="450">
        <f t="shared" ca="1" si="884"/>
        <v>142944.673344004</v>
      </c>
      <c r="AG685" s="450">
        <f t="shared" ca="1" si="884"/>
        <v>268193.43410685047</v>
      </c>
      <c r="AH685" s="450">
        <f t="shared" ca="1" si="884"/>
        <v>528370.21064762038</v>
      </c>
      <c r="AI685" s="450">
        <f t="shared" ca="1" si="884"/>
        <v>184955.95400167769</v>
      </c>
      <c r="AJ685" s="450">
        <f t="shared" ca="1" si="884"/>
        <v>165229.56799928565</v>
      </c>
      <c r="AK685" s="450">
        <f t="shared" ca="1" si="884"/>
        <v>309161.93689754803</v>
      </c>
      <c r="AL685" s="450">
        <f t="shared" ca="1" si="884"/>
        <v>607510.3713883193</v>
      </c>
      <c r="AM685" s="450">
        <f t="shared" ca="1" si="884"/>
        <v>212136.89947360268</v>
      </c>
      <c r="AN685" s="450">
        <f t="shared" ca="1" si="884"/>
        <v>191169.30433574645</v>
      </c>
      <c r="AO685" s="450">
        <f t="shared" ca="1" si="884"/>
        <v>352978.81041693036</v>
      </c>
      <c r="AP685" s="450">
        <f t="shared" ca="1" si="884"/>
        <v>677054.96104939119</v>
      </c>
      <c r="AQ685" s="450">
        <f t="shared" ca="1" si="884"/>
        <v>230909.3832547128</v>
      </c>
      <c r="AR685" s="450">
        <f t="shared" ref="AR685:BW685" ca="1" si="885">AR627+AR628*$F$583</f>
        <v>201111.03038752428</v>
      </c>
      <c r="AS685" s="450">
        <f t="shared" ca="1" si="885"/>
        <v>367097.96283360751</v>
      </c>
      <c r="AT685" s="450">
        <f t="shared" ca="1" si="885"/>
        <v>704137.15949136682</v>
      </c>
      <c r="AU685" s="450">
        <f t="shared" ca="1" si="885"/>
        <v>240145.75858490128</v>
      </c>
      <c r="AV685" s="450">
        <f t="shared" ca="1" si="885"/>
        <v>209155.47160302522</v>
      </c>
      <c r="AW685" s="450">
        <f t="shared" ca="1" si="885"/>
        <v>327136.12028789055</v>
      </c>
      <c r="AX685" s="450">
        <f t="shared" ca="1" si="885"/>
        <v>623345.67901526345</v>
      </c>
      <c r="AY685" s="450">
        <f t="shared" ca="1" si="885"/>
        <v>214814.19575545983</v>
      </c>
      <c r="AZ685" s="450">
        <f t="shared" ca="1" si="885"/>
        <v>187492.62349603855</v>
      </c>
      <c r="BA685" s="450">
        <f t="shared" ca="1" si="885"/>
        <v>340221.56509940606</v>
      </c>
      <c r="BB685" s="450">
        <f t="shared" ca="1" si="885"/>
        <v>648279.5061758738</v>
      </c>
      <c r="BC685" s="450">
        <f t="shared" ca="1" si="885"/>
        <v>223406.76358567819</v>
      </c>
      <c r="BD685" s="450">
        <f t="shared" ca="1" si="885"/>
        <v>197158.90986294541</v>
      </c>
      <c r="BE685" s="450">
        <f t="shared" ca="1" si="885"/>
        <v>353830.42770338227</v>
      </c>
      <c r="BF685" s="450">
        <f t="shared" ca="1" si="885"/>
        <v>674210.68642290868</v>
      </c>
      <c r="BG685" s="450">
        <f t="shared" ca="1" si="885"/>
        <v>232343.03412910525</v>
      </c>
      <c r="BH685" s="450">
        <f t="shared" ca="1" si="885"/>
        <v>202792.0215733152</v>
      </c>
      <c r="BI685" s="450">
        <f t="shared" ca="1" si="885"/>
        <v>367983.64481151744</v>
      </c>
      <c r="BJ685" s="450">
        <f t="shared" ca="1" si="885"/>
        <v>701179.11387982487</v>
      </c>
      <c r="BK685" s="450">
        <f t="shared" ca="1" si="885"/>
        <v>241636.75549426946</v>
      </c>
      <c r="BL685" s="450">
        <f t="shared" ca="1" si="885"/>
        <v>210903.70243624787</v>
      </c>
      <c r="BM685" s="450">
        <f t="shared" ca="1" si="885"/>
        <v>382702.99060397816</v>
      </c>
      <c r="BN685" s="450">
        <f t="shared" ca="1" si="885"/>
        <v>729226.27843501768</v>
      </c>
      <c r="BO685" s="450">
        <f t="shared" ca="1" si="885"/>
        <v>251302.22571404019</v>
      </c>
      <c r="BP685" s="450">
        <f t="shared" ca="1" si="885"/>
        <v>219339.8505336977</v>
      </c>
      <c r="BQ685" s="450">
        <f t="shared" ca="1" si="885"/>
        <v>398011.11022813717</v>
      </c>
      <c r="BR685" s="450">
        <f t="shared" ca="1" si="885"/>
        <v>758395.32957241847</v>
      </c>
      <c r="BS685" s="450">
        <f t="shared" ca="1" si="885"/>
        <v>261354.31474260171</v>
      </c>
      <c r="BT685" s="450">
        <f t="shared" ca="1" si="885"/>
        <v>230648.03838343493</v>
      </c>
      <c r="BU685" s="450">
        <f t="shared" ca="1" si="885"/>
        <v>413931.55463726266</v>
      </c>
      <c r="BV685" s="450">
        <f t="shared" ca="1" si="885"/>
        <v>788731.14275531494</v>
      </c>
      <c r="BW685" s="450">
        <f t="shared" ca="1" si="885"/>
        <v>271808.48733230575</v>
      </c>
      <c r="BX685" s="450">
        <f t="shared" ref="BX685:CO685" ca="1" si="886">BX627+BX628*$F$583</f>
        <v>237237.98233724735</v>
      </c>
      <c r="BY685" s="450">
        <f t="shared" ca="1" si="886"/>
        <v>430488.81682275306</v>
      </c>
      <c r="BZ685" s="450">
        <f t="shared" ca="1" si="886"/>
        <v>820280.38846552756</v>
      </c>
      <c r="CA685" s="450">
        <f t="shared" ca="1" si="886"/>
        <v>282680.82682559796</v>
      </c>
      <c r="CB685" s="450">
        <f t="shared" ca="1" si="886"/>
        <v>246727.50163073724</v>
      </c>
      <c r="CC685" s="450">
        <f t="shared" ca="1" si="886"/>
        <v>447708.36949566315</v>
      </c>
      <c r="CD685" s="450">
        <f t="shared" ca="1" si="886"/>
        <v>853091.60400414851</v>
      </c>
      <c r="CE685" s="450">
        <f t="shared" ca="1" si="886"/>
        <v>293988.05989862187</v>
      </c>
      <c r="CF685" s="450">
        <f t="shared" ca="1" si="886"/>
        <v>256596.60169596667</v>
      </c>
      <c r="CG685" s="450">
        <f t="shared" ca="1" si="886"/>
        <v>465616.70427548961</v>
      </c>
      <c r="CH685" s="450">
        <f t="shared" ca="1" si="886"/>
        <v>887215.26816431445</v>
      </c>
      <c r="CI685" s="450">
        <f t="shared" ca="1" si="886"/>
        <v>305747.58229456673</v>
      </c>
      <c r="CJ685" s="450">
        <f t="shared" ca="1" si="886"/>
        <v>269825.58205006988</v>
      </c>
      <c r="CK685" s="450">
        <f t="shared" ca="1" si="886"/>
        <v>484241.37244650925</v>
      </c>
      <c r="CL685" s="450">
        <f t="shared" ca="1" si="886"/>
        <v>922703.8788908869</v>
      </c>
      <c r="CM685" s="450">
        <f t="shared" ca="1" si="886"/>
        <v>317977.48558634939</v>
      </c>
      <c r="CN685" s="450">
        <f t="shared" ca="1" si="886"/>
        <v>277534.88439435756</v>
      </c>
      <c r="CO685" s="450">
        <f t="shared" ca="1" si="886"/>
        <v>503611.02734436956</v>
      </c>
    </row>
    <row r="686" spans="1:93" ht="14.65" customHeight="1">
      <c r="B686" s="10"/>
      <c r="C686" s="10"/>
      <c r="D686" s="10"/>
      <c r="E686" s="10"/>
      <c r="F686" s="10"/>
      <c r="G686" s="11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  <c r="BA686" s="10"/>
      <c r="BB686" s="10"/>
      <c r="BC686" s="10"/>
      <c r="BD686" s="10"/>
      <c r="BE686" s="10"/>
      <c r="BF686" s="10"/>
      <c r="BG686" s="10"/>
      <c r="BH686" s="10"/>
      <c r="BI686" s="10"/>
      <c r="BJ686" s="10"/>
      <c r="BK686" s="10"/>
      <c r="BL686" s="10"/>
      <c r="BM686" s="10"/>
      <c r="BN686" s="10"/>
      <c r="BO686" s="10"/>
      <c r="BP686" s="10"/>
      <c r="BQ686" s="10"/>
      <c r="BR686" s="10"/>
      <c r="BS686" s="10"/>
      <c r="BT686" s="10"/>
      <c r="BU686" s="10"/>
      <c r="BV686" s="10"/>
      <c r="BW686" s="10"/>
      <c r="BX686" s="10"/>
      <c r="BY686" s="10"/>
      <c r="BZ686" s="10"/>
      <c r="CA686" s="10"/>
      <c r="CB686" s="10"/>
      <c r="CC686" s="10"/>
      <c r="CD686" s="10"/>
      <c r="CE686" s="10"/>
      <c r="CF686" s="10"/>
      <c r="CG686" s="10"/>
      <c r="CH686" s="10"/>
      <c r="CI686" s="10"/>
      <c r="CJ686" s="10"/>
      <c r="CK686" s="10"/>
      <c r="CL686" s="10"/>
      <c r="CM686" s="10"/>
      <c r="CN686" s="10"/>
      <c r="CO686" s="10"/>
    </row>
    <row r="687" spans="1:93" ht="22.5" customHeight="1">
      <c r="A687" s="10"/>
      <c r="B687" s="5" t="s">
        <v>870</v>
      </c>
      <c r="C687" s="5"/>
      <c r="D687" s="15"/>
      <c r="E687" s="15"/>
      <c r="F687" s="31"/>
      <c r="G687" s="18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  <c r="BM687" s="31"/>
      <c r="BN687" s="31"/>
      <c r="BO687" s="31"/>
      <c r="BP687" s="31"/>
      <c r="BQ687" s="31"/>
      <c r="BR687" s="31"/>
      <c r="BS687" s="31"/>
      <c r="BT687" s="31"/>
      <c r="BU687" s="31"/>
      <c r="BV687" s="31"/>
      <c r="BW687" s="31"/>
      <c r="BX687" s="31"/>
      <c r="BY687" s="31"/>
      <c r="BZ687" s="31"/>
      <c r="CA687" s="31"/>
      <c r="CB687" s="31"/>
      <c r="CC687" s="31"/>
      <c r="CD687" s="31"/>
      <c r="CE687" s="31"/>
      <c r="CF687" s="31"/>
      <c r="CG687" s="31"/>
      <c r="CH687" s="31"/>
      <c r="CI687" s="31"/>
      <c r="CJ687" s="31"/>
      <c r="CK687" s="31"/>
      <c r="CL687" s="31"/>
      <c r="CM687" s="31"/>
      <c r="CN687" s="31"/>
      <c r="CO687" s="31"/>
    </row>
    <row r="688" spans="1:93">
      <c r="A688" s="10"/>
      <c r="B688" s="10"/>
      <c r="C688" s="10"/>
      <c r="D688" s="10"/>
      <c r="E688" s="10"/>
      <c r="F688" s="10"/>
      <c r="G688" s="11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  <c r="BA688" s="10"/>
      <c r="BB688" s="10"/>
      <c r="BC688" s="10"/>
      <c r="BD688" s="10"/>
      <c r="BE688" s="10"/>
      <c r="BF688" s="10"/>
      <c r="BG688" s="10"/>
      <c r="BH688" s="10"/>
      <c r="BI688" s="10"/>
      <c r="BJ688" s="10"/>
      <c r="BK688" s="10"/>
      <c r="BL688" s="10"/>
      <c r="BM688" s="10"/>
      <c r="BN688" s="10"/>
      <c r="BO688" s="10"/>
      <c r="BP688" s="10"/>
      <c r="BQ688" s="10"/>
      <c r="BR688" s="10"/>
      <c r="BS688" s="10"/>
      <c r="BT688" s="10"/>
      <c r="BU688" s="10"/>
      <c r="BV688" s="10"/>
      <c r="BW688" s="10"/>
      <c r="BX688" s="10"/>
      <c r="BY688" s="10"/>
      <c r="BZ688" s="10"/>
      <c r="CA688" s="10"/>
      <c r="CB688" s="10"/>
      <c r="CC688" s="10"/>
      <c r="CD688" s="10"/>
      <c r="CE688" s="10"/>
      <c r="CF688" s="10"/>
      <c r="CG688" s="10"/>
      <c r="CH688" s="10"/>
      <c r="CI688" s="10"/>
      <c r="CJ688" s="10"/>
      <c r="CK688" s="10"/>
      <c r="CL688" s="10"/>
      <c r="CM688" s="10"/>
      <c r="CN688" s="10"/>
      <c r="CO688" s="10"/>
    </row>
    <row r="689" spans="1:93" ht="16.5" thickBot="1">
      <c r="A689" s="10"/>
      <c r="B689" s="101"/>
      <c r="C689" s="12" t="s">
        <v>901</v>
      </c>
      <c r="D689" s="12"/>
      <c r="E689" s="12"/>
      <c r="F689" s="12"/>
      <c r="G689" s="360"/>
      <c r="H689" s="12"/>
      <c r="I689" s="12"/>
      <c r="J689" s="69"/>
      <c r="K689" s="69"/>
      <c r="L689" s="103"/>
      <c r="M689" s="103"/>
      <c r="N689" s="103"/>
      <c r="O689" s="103"/>
      <c r="P689" s="103"/>
      <c r="Q689" s="103"/>
      <c r="R689" s="103"/>
      <c r="S689" s="103"/>
      <c r="T689" s="103"/>
      <c r="U689" s="103"/>
      <c r="V689" s="103"/>
      <c r="W689" s="103"/>
      <c r="X689" s="103"/>
      <c r="Y689" s="103"/>
      <c r="Z689" s="103"/>
      <c r="AA689" s="103"/>
      <c r="AB689" s="103"/>
      <c r="AC689" s="103"/>
      <c r="AD689" s="103"/>
      <c r="AE689" s="103"/>
      <c r="AF689" s="103"/>
      <c r="AG689" s="103"/>
      <c r="AH689" s="103"/>
      <c r="AI689" s="103"/>
      <c r="AJ689" s="103"/>
      <c r="AK689" s="103"/>
      <c r="AL689" s="103"/>
      <c r="AM689" s="103"/>
      <c r="AN689" s="103"/>
      <c r="AO689" s="103"/>
      <c r="AP689" s="103"/>
      <c r="AQ689" s="103"/>
      <c r="AR689" s="103"/>
      <c r="AS689" s="103"/>
      <c r="AT689" s="103"/>
      <c r="AU689" s="103"/>
      <c r="AV689" s="103"/>
      <c r="AW689" s="103"/>
      <c r="AX689" s="103"/>
      <c r="AY689" s="103"/>
      <c r="AZ689" s="103"/>
      <c r="BA689" s="103"/>
      <c r="BB689" s="103"/>
      <c r="BC689" s="103"/>
      <c r="BD689" s="103"/>
      <c r="BE689" s="103"/>
      <c r="BF689" s="103"/>
      <c r="BG689" s="103"/>
      <c r="BH689" s="103"/>
      <c r="BI689" s="103"/>
      <c r="BJ689" s="103"/>
      <c r="BK689" s="103"/>
      <c r="BL689" s="103"/>
      <c r="BM689" s="103"/>
      <c r="BN689" s="103"/>
      <c r="BO689" s="103"/>
      <c r="BP689" s="103"/>
      <c r="BQ689" s="103"/>
      <c r="BR689" s="103"/>
      <c r="BS689" s="103"/>
      <c r="BT689" s="103"/>
      <c r="BU689" s="103"/>
      <c r="BV689" s="103"/>
      <c r="BW689" s="103"/>
      <c r="BX689" s="103"/>
      <c r="BY689" s="103"/>
      <c r="BZ689" s="103"/>
      <c r="CA689" s="103"/>
      <c r="CB689" s="103"/>
      <c r="CC689" s="103"/>
      <c r="CD689" s="103"/>
      <c r="CE689" s="103"/>
      <c r="CF689" s="103"/>
      <c r="CG689" s="103"/>
      <c r="CH689" s="103"/>
      <c r="CI689" s="103"/>
      <c r="CJ689" s="103"/>
      <c r="CK689" s="103"/>
      <c r="CL689" s="103"/>
      <c r="CM689" s="103"/>
      <c r="CN689" s="103"/>
      <c r="CO689" s="103"/>
    </row>
    <row r="690" spans="1:93" s="133" customFormat="1" ht="14.25">
      <c r="A690" s="10"/>
      <c r="B690" s="10"/>
      <c r="C690" s="21"/>
      <c r="D690" s="10"/>
      <c r="E690" s="10"/>
      <c r="F690" s="10"/>
      <c r="G690" s="11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  <c r="BA690" s="10"/>
      <c r="BB690" s="10"/>
      <c r="BC690" s="10"/>
      <c r="BD690" s="10"/>
      <c r="BE690" s="10"/>
      <c r="BF690" s="10"/>
      <c r="BG690" s="10"/>
      <c r="BH690" s="10"/>
      <c r="BI690" s="10"/>
      <c r="BJ690" s="10"/>
      <c r="BK690" s="10"/>
      <c r="BL690" s="10"/>
      <c r="BM690" s="10"/>
      <c r="BN690" s="10"/>
      <c r="BO690" s="10"/>
      <c r="BP690" s="10"/>
      <c r="BQ690" s="10"/>
      <c r="BR690" s="10"/>
      <c r="BS690" s="10"/>
      <c r="BT690" s="10"/>
      <c r="BU690" s="10"/>
      <c r="BV690" s="10"/>
      <c r="BW690" s="10"/>
      <c r="BX690" s="10"/>
      <c r="BY690" s="10"/>
      <c r="BZ690" s="10"/>
      <c r="CA690" s="10"/>
      <c r="CB690" s="10"/>
      <c r="CC690" s="10"/>
      <c r="CD690" s="10"/>
      <c r="CE690" s="10"/>
      <c r="CF690" s="10"/>
      <c r="CG690" s="10"/>
      <c r="CH690" s="10"/>
      <c r="CI690" s="10"/>
      <c r="CJ690" s="10"/>
      <c r="CK690" s="10"/>
      <c r="CL690" s="10"/>
      <c r="CM690" s="10"/>
      <c r="CN690" s="10"/>
      <c r="CO690" s="10"/>
    </row>
    <row r="691" spans="1:93" s="133" customFormat="1">
      <c r="A691" s="9"/>
      <c r="B691" s="10"/>
      <c r="C691" s="87" t="s">
        <v>836</v>
      </c>
      <c r="D691" s="10"/>
      <c r="E691" s="10"/>
      <c r="F691" s="10"/>
      <c r="G691" s="11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  <c r="BA691" s="10"/>
      <c r="BB691" s="10"/>
      <c r="BC691" s="10"/>
      <c r="BD691" s="10"/>
      <c r="BE691" s="10"/>
      <c r="BF691" s="10"/>
      <c r="BG691" s="10"/>
      <c r="BH691" s="10"/>
      <c r="BI691" s="10"/>
      <c r="BJ691" s="10"/>
      <c r="BK691" s="10"/>
      <c r="BL691" s="10"/>
      <c r="BM691" s="10"/>
      <c r="BN691" s="10"/>
      <c r="BO691" s="10"/>
      <c r="BP691" s="10"/>
      <c r="BQ691" s="10"/>
      <c r="BR691" s="10"/>
      <c r="BS691" s="10"/>
      <c r="BT691" s="10"/>
      <c r="BU691" s="10"/>
      <c r="BV691" s="10"/>
      <c r="BW691" s="10"/>
      <c r="BX691" s="10"/>
      <c r="BY691" s="10"/>
      <c r="BZ691" s="10"/>
      <c r="CA691" s="10"/>
      <c r="CB691" s="10"/>
      <c r="CC691" s="10"/>
      <c r="CD691" s="10"/>
      <c r="CE691" s="10"/>
      <c r="CF691" s="10"/>
      <c r="CG691" s="10"/>
      <c r="CH691" s="10"/>
      <c r="CI691" s="10"/>
      <c r="CJ691" s="10"/>
      <c r="CK691" s="10"/>
      <c r="CL691" s="10"/>
      <c r="CM691" s="10"/>
      <c r="CN691" s="10"/>
      <c r="CO691" s="10"/>
    </row>
    <row r="692" spans="1:93" s="133" customFormat="1" ht="14.25">
      <c r="A692" s="9"/>
      <c r="B692" s="10"/>
      <c r="C692" s="21" t="str">
        <f>C509</f>
        <v>Сегмент 1: Объект размещения (отель)</v>
      </c>
      <c r="D692" s="10"/>
      <c r="E692" s="309" t="str">
        <f xml:space="preserve"> E95</f>
        <v>в проекте</v>
      </c>
      <c r="F692" s="10"/>
      <c r="G692" s="207"/>
      <c r="H692" s="10"/>
      <c r="I692" s="294">
        <f xml:space="preserve"> (E692 = "в проекте") * 1</f>
        <v>1</v>
      </c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  <c r="BA692" s="10"/>
      <c r="BB692" s="10"/>
      <c r="BC692" s="10"/>
      <c r="BD692" s="10"/>
      <c r="BE692" s="10"/>
      <c r="BF692" s="10"/>
      <c r="BG692" s="10"/>
      <c r="BH692" s="10"/>
      <c r="BI692" s="10"/>
      <c r="BJ692" s="10"/>
      <c r="BK692" s="10"/>
      <c r="BL692" s="10"/>
      <c r="BM692" s="10"/>
      <c r="BN692" s="10"/>
      <c r="BO692" s="10"/>
      <c r="BP692" s="10"/>
      <c r="BQ692" s="10"/>
      <c r="BR692" s="10"/>
      <c r="BS692" s="10"/>
      <c r="BT692" s="10"/>
      <c r="BU692" s="10"/>
      <c r="BV692" s="10"/>
      <c r="BW692" s="10"/>
      <c r="BX692" s="10"/>
      <c r="BY692" s="10"/>
      <c r="BZ692" s="10"/>
      <c r="CA692" s="10"/>
      <c r="CB692" s="10"/>
      <c r="CC692" s="10"/>
      <c r="CD692" s="10"/>
      <c r="CE692" s="10"/>
      <c r="CF692" s="10"/>
      <c r="CG692" s="10"/>
      <c r="CH692" s="10"/>
      <c r="CI692" s="10"/>
      <c r="CJ692" s="10"/>
      <c r="CK692" s="10"/>
      <c r="CL692" s="10"/>
      <c r="CM692" s="10"/>
      <c r="CN692" s="10"/>
      <c r="CO692" s="10"/>
    </row>
    <row r="693" spans="1:93" s="133" customFormat="1" ht="14.25">
      <c r="A693" s="9"/>
      <c r="B693" s="10"/>
      <c r="C693" s="21" t="str">
        <f>C510</f>
        <v>Сегмент 2: Развлекательный комплекс</v>
      </c>
      <c r="D693" s="10"/>
      <c r="E693" s="309" t="str">
        <f xml:space="preserve"> E96</f>
        <v>в проекте</v>
      </c>
      <c r="F693" s="10"/>
      <c r="G693" s="207"/>
      <c r="H693" s="10"/>
      <c r="I693" s="294">
        <f xml:space="preserve"> (E693 = "в проекте") * 1</f>
        <v>1</v>
      </c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  <c r="BA693" s="10"/>
      <c r="BB693" s="10"/>
      <c r="BC693" s="10"/>
      <c r="BD693" s="10"/>
      <c r="BE693" s="10"/>
      <c r="BF693" s="10"/>
      <c r="BG693" s="10"/>
      <c r="BH693" s="10"/>
      <c r="BI693" s="10"/>
      <c r="BJ693" s="10"/>
      <c r="BK693" s="10"/>
      <c r="BL693" s="10"/>
      <c r="BM693" s="10"/>
      <c r="BN693" s="10"/>
      <c r="BO693" s="10"/>
      <c r="BP693" s="10"/>
      <c r="BQ693" s="10"/>
      <c r="BR693" s="10"/>
      <c r="BS693" s="10"/>
      <c r="BT693" s="10"/>
      <c r="BU693" s="10"/>
      <c r="BV693" s="10"/>
      <c r="BW693" s="10"/>
      <c r="BX693" s="10"/>
      <c r="BY693" s="10"/>
      <c r="BZ693" s="10"/>
      <c r="CA693" s="10"/>
      <c r="CB693" s="10"/>
      <c r="CC693" s="10"/>
      <c r="CD693" s="10"/>
      <c r="CE693" s="10"/>
      <c r="CF693" s="10"/>
      <c r="CG693" s="10"/>
      <c r="CH693" s="10"/>
      <c r="CI693" s="10"/>
      <c r="CJ693" s="10"/>
      <c r="CK693" s="10"/>
      <c r="CL693" s="10"/>
      <c r="CM693" s="10"/>
      <c r="CN693" s="10"/>
      <c r="CO693" s="10"/>
    </row>
    <row r="694" spans="1:93" s="133" customFormat="1" ht="14.25">
      <c r="A694" s="9"/>
      <c r="B694" s="10"/>
      <c r="C694" s="21" t="str">
        <f>C511</f>
        <v>Сегмент 3: Крытый парк развлечений</v>
      </c>
      <c r="D694" s="10"/>
      <c r="E694" s="309" t="str">
        <f xml:space="preserve"> E97</f>
        <v>в проекте</v>
      </c>
      <c r="F694" s="10"/>
      <c r="G694" s="207"/>
      <c r="H694" s="10"/>
      <c r="I694" s="294">
        <f xml:space="preserve"> (E694 = "в проекте") * 1</f>
        <v>1</v>
      </c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  <c r="BA694" s="10"/>
      <c r="BB694" s="10"/>
      <c r="BC694" s="10"/>
      <c r="BD694" s="10"/>
      <c r="BE694" s="10"/>
      <c r="BF694" s="10"/>
      <c r="BG694" s="10"/>
      <c r="BH694" s="10"/>
      <c r="BI694" s="10"/>
      <c r="BJ694" s="10"/>
      <c r="BK694" s="10"/>
      <c r="BL694" s="10"/>
      <c r="BM694" s="10"/>
      <c r="BN694" s="10"/>
      <c r="BO694" s="10"/>
      <c r="BP694" s="10"/>
      <c r="BQ694" s="10"/>
      <c r="BR694" s="10"/>
      <c r="BS694" s="10"/>
      <c r="BT694" s="10"/>
      <c r="BU694" s="10"/>
      <c r="BV694" s="10"/>
      <c r="BW694" s="10"/>
      <c r="BX694" s="10"/>
      <c r="BY694" s="10"/>
      <c r="BZ694" s="10"/>
      <c r="CA694" s="10"/>
      <c r="CB694" s="10"/>
      <c r="CC694" s="10"/>
      <c r="CD694" s="10"/>
      <c r="CE694" s="10"/>
      <c r="CF694" s="10"/>
      <c r="CG694" s="10"/>
      <c r="CH694" s="10"/>
      <c r="CI694" s="10"/>
      <c r="CJ694" s="10"/>
      <c r="CK694" s="10"/>
      <c r="CL694" s="10"/>
      <c r="CM694" s="10"/>
      <c r="CN694" s="10"/>
      <c r="CO694" s="10"/>
    </row>
    <row r="695" spans="1:93" s="133" customFormat="1" ht="14.25">
      <c r="A695" s="10"/>
      <c r="B695" s="10"/>
      <c r="C695" s="21"/>
      <c r="D695" s="10"/>
      <c r="E695" s="10"/>
      <c r="F695" s="10"/>
      <c r="G695" s="11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  <c r="BA695" s="10"/>
      <c r="BB695" s="10"/>
      <c r="BC695" s="10"/>
      <c r="BD695" s="10"/>
      <c r="BE695" s="10"/>
      <c r="BF695" s="10"/>
      <c r="BG695" s="10"/>
      <c r="BH695" s="10"/>
      <c r="BI695" s="10"/>
      <c r="BJ695" s="10"/>
      <c r="BK695" s="10"/>
      <c r="BL695" s="10"/>
      <c r="BM695" s="10"/>
      <c r="BN695" s="10"/>
      <c r="BO695" s="10"/>
      <c r="BP695" s="10"/>
      <c r="BQ695" s="10"/>
      <c r="BR695" s="10"/>
      <c r="BS695" s="10"/>
      <c r="BT695" s="10"/>
      <c r="BU695" s="10"/>
      <c r="BV695" s="10"/>
      <c r="BW695" s="10"/>
      <c r="BX695" s="10"/>
      <c r="BY695" s="10"/>
      <c r="BZ695" s="10"/>
      <c r="CA695" s="10"/>
      <c r="CB695" s="10"/>
      <c r="CC695" s="10"/>
      <c r="CD695" s="10"/>
      <c r="CE695" s="10"/>
      <c r="CF695" s="10"/>
      <c r="CG695" s="10"/>
      <c r="CH695" s="10"/>
      <c r="CI695" s="10"/>
      <c r="CJ695" s="10"/>
      <c r="CK695" s="10"/>
      <c r="CL695" s="10"/>
      <c r="CM695" s="10"/>
      <c r="CN695" s="10"/>
      <c r="CO695" s="10"/>
    </row>
    <row r="696" spans="1:93" s="141" customFormat="1">
      <c r="A696" s="10"/>
      <c r="B696" s="10"/>
      <c r="C696" s="87" t="s">
        <v>1105</v>
      </c>
      <c r="D696" s="10"/>
      <c r="E696" s="10"/>
      <c r="F696" s="10"/>
      <c r="G696" s="11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  <c r="BA696" s="10"/>
      <c r="BB696" s="10"/>
      <c r="BC696" s="10"/>
      <c r="BD696" s="10"/>
      <c r="BE696" s="10"/>
      <c r="BF696" s="10"/>
      <c r="BG696" s="10"/>
      <c r="BH696" s="10"/>
      <c r="BI696" s="10"/>
      <c r="BJ696" s="10"/>
      <c r="BK696" s="10"/>
      <c r="BL696" s="10"/>
      <c r="BM696" s="10"/>
      <c r="BN696" s="10"/>
      <c r="BO696" s="10"/>
      <c r="BP696" s="10"/>
      <c r="BQ696" s="10"/>
      <c r="BR696" s="10"/>
      <c r="BS696" s="10"/>
      <c r="BT696" s="10"/>
      <c r="BU696" s="10"/>
      <c r="BV696" s="10"/>
      <c r="BW696" s="10"/>
      <c r="BX696" s="10"/>
      <c r="BY696" s="10"/>
      <c r="BZ696" s="10"/>
      <c r="CA696" s="10"/>
      <c r="CB696" s="10"/>
      <c r="CC696" s="10"/>
      <c r="CD696" s="10"/>
      <c r="CE696" s="10"/>
      <c r="CF696" s="10"/>
      <c r="CG696" s="10"/>
      <c r="CH696" s="10"/>
      <c r="CI696" s="10"/>
      <c r="CJ696" s="10"/>
      <c r="CK696" s="10"/>
      <c r="CL696" s="10"/>
      <c r="CM696" s="10"/>
      <c r="CN696" s="10"/>
      <c r="CO696" s="10"/>
    </row>
    <row r="697" spans="1:93" s="141" customFormat="1" ht="12.75">
      <c r="A697" s="10"/>
      <c r="B697" s="10"/>
      <c r="C697" s="21" t="str">
        <f xml:space="preserve"> "Эксплуатационные расходы " &amp; Предпосылки!C64</f>
        <v>Эксплуатационные расходы Общая поддерживающая инфраструктура</v>
      </c>
      <c r="D697" s="10"/>
      <c r="E697" s="308">
        <f xml:space="preserve"> Контр_панель!G58</f>
        <v>0</v>
      </c>
      <c r="F697" s="10"/>
      <c r="G697" s="11"/>
      <c r="H697" s="10"/>
      <c r="I697" s="465">
        <f xml:space="preserve"> (1 + E697) * (1 + Opex_sens)</f>
        <v>1</v>
      </c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  <c r="BA697" s="10"/>
      <c r="BB697" s="10"/>
      <c r="BC697" s="10"/>
      <c r="BD697" s="10"/>
      <c r="BE697" s="10"/>
      <c r="BF697" s="10"/>
      <c r="BG697" s="10"/>
      <c r="BH697" s="10"/>
      <c r="BI697" s="10"/>
      <c r="BJ697" s="10"/>
      <c r="BK697" s="10"/>
      <c r="BL697" s="10"/>
      <c r="BM697" s="10"/>
      <c r="BN697" s="10"/>
      <c r="BO697" s="10"/>
      <c r="BP697" s="10"/>
      <c r="BQ697" s="10"/>
      <c r="BR697" s="10"/>
      <c r="BS697" s="10"/>
      <c r="BT697" s="10"/>
      <c r="BU697" s="10"/>
      <c r="BV697" s="10"/>
      <c r="BW697" s="10"/>
      <c r="BX697" s="10"/>
      <c r="BY697" s="10"/>
      <c r="BZ697" s="10"/>
      <c r="CA697" s="10"/>
      <c r="CB697" s="10"/>
      <c r="CC697" s="10"/>
      <c r="CD697" s="10"/>
      <c r="CE697" s="10"/>
      <c r="CF697" s="10"/>
      <c r="CG697" s="10"/>
      <c r="CH697" s="10"/>
      <c r="CI697" s="10"/>
      <c r="CJ697" s="10"/>
      <c r="CK697" s="10"/>
      <c r="CL697" s="10"/>
      <c r="CM697" s="10"/>
      <c r="CN697" s="10"/>
      <c r="CO697" s="10"/>
    </row>
    <row r="698" spans="1:93" s="141" customFormat="1" ht="12.75">
      <c r="A698" s="10"/>
      <c r="B698" s="10"/>
      <c r="C698" s="21" t="str">
        <f xml:space="preserve"> "Эксплуатационные расходы " &amp; C35</f>
        <v>Эксплуатационные расходы Объект размещения (отель)</v>
      </c>
      <c r="D698" s="10"/>
      <c r="E698" s="308">
        <f>Контр_панель!G54</f>
        <v>0</v>
      </c>
      <c r="F698" s="10"/>
      <c r="G698" s="11"/>
      <c r="H698" s="10"/>
      <c r="I698" s="465">
        <f xml:space="preserve"> (1 + E698) * (1 + Opex_sens) * I692</f>
        <v>1</v>
      </c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  <c r="BA698" s="10"/>
      <c r="BB698" s="10"/>
      <c r="BC698" s="10"/>
      <c r="BD698" s="10"/>
      <c r="BE698" s="10"/>
      <c r="BF698" s="10"/>
      <c r="BG698" s="10"/>
      <c r="BH698" s="10"/>
      <c r="BI698" s="10"/>
      <c r="BJ698" s="10"/>
      <c r="BK698" s="10"/>
      <c r="BL698" s="10"/>
      <c r="BM698" s="10"/>
      <c r="BN698" s="10"/>
      <c r="BO698" s="10"/>
      <c r="BP698" s="10"/>
      <c r="BQ698" s="10"/>
      <c r="BR698" s="10"/>
      <c r="BS698" s="10"/>
      <c r="BT698" s="10"/>
      <c r="BU698" s="10"/>
      <c r="BV698" s="10"/>
      <c r="BW698" s="10"/>
      <c r="BX698" s="10"/>
      <c r="BY698" s="10"/>
      <c r="BZ698" s="10"/>
      <c r="CA698" s="10"/>
      <c r="CB698" s="10"/>
      <c r="CC698" s="10"/>
      <c r="CD698" s="10"/>
      <c r="CE698" s="10"/>
      <c r="CF698" s="10"/>
      <c r="CG698" s="10"/>
      <c r="CH698" s="10"/>
      <c r="CI698" s="10"/>
      <c r="CJ698" s="10"/>
      <c r="CK698" s="10"/>
      <c r="CL698" s="10"/>
      <c r="CM698" s="10"/>
      <c r="CN698" s="10"/>
      <c r="CO698" s="10"/>
    </row>
    <row r="699" spans="1:93" s="141" customFormat="1" ht="12.75">
      <c r="A699" s="10"/>
      <c r="B699" s="10"/>
      <c r="C699" s="21" t="str">
        <f xml:space="preserve"> "Эксплуатационные расходы " &amp; C36</f>
        <v>Эксплуатационные расходы Развлекательный комплекс</v>
      </c>
      <c r="D699" s="10"/>
      <c r="E699" s="308">
        <f>Контр_панель!G55</f>
        <v>0</v>
      </c>
      <c r="F699" s="10"/>
      <c r="G699" s="11"/>
      <c r="H699" s="10"/>
      <c r="I699" s="465">
        <f xml:space="preserve"> (1 + E699) * (1 + Opex_sens) * I693</f>
        <v>1</v>
      </c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  <c r="BA699" s="10"/>
      <c r="BB699" s="10"/>
      <c r="BC699" s="10"/>
      <c r="BD699" s="10"/>
      <c r="BE699" s="10"/>
      <c r="BF699" s="10"/>
      <c r="BG699" s="10"/>
      <c r="BH699" s="10"/>
      <c r="BI699" s="10"/>
      <c r="BJ699" s="10"/>
      <c r="BK699" s="10"/>
      <c r="BL699" s="10"/>
      <c r="BM699" s="10"/>
      <c r="BN699" s="10"/>
      <c r="BO699" s="10"/>
      <c r="BP699" s="10"/>
      <c r="BQ699" s="10"/>
      <c r="BR699" s="10"/>
      <c r="BS699" s="10"/>
      <c r="BT699" s="10"/>
      <c r="BU699" s="10"/>
      <c r="BV699" s="10"/>
      <c r="BW699" s="10"/>
      <c r="BX699" s="10"/>
      <c r="BY699" s="10"/>
      <c r="BZ699" s="10"/>
      <c r="CA699" s="10"/>
      <c r="CB699" s="10"/>
      <c r="CC699" s="10"/>
      <c r="CD699" s="10"/>
      <c r="CE699" s="10"/>
      <c r="CF699" s="10"/>
      <c r="CG699" s="10"/>
      <c r="CH699" s="10"/>
      <c r="CI699" s="10"/>
      <c r="CJ699" s="10"/>
      <c r="CK699" s="10"/>
      <c r="CL699" s="10"/>
      <c r="CM699" s="10"/>
      <c r="CN699" s="10"/>
      <c r="CO699" s="10"/>
    </row>
    <row r="700" spans="1:93" s="141" customFormat="1" ht="12.75">
      <c r="A700" s="10"/>
      <c r="B700" s="10"/>
      <c r="C700" s="21" t="str">
        <f xml:space="preserve"> "Эксплуатационные расходы " &amp; C37</f>
        <v>Эксплуатационные расходы Крытый парк развлечений</v>
      </c>
      <c r="D700" s="10"/>
      <c r="E700" s="308">
        <f>Контр_панель!G56</f>
        <v>0</v>
      </c>
      <c r="F700" s="10"/>
      <c r="G700" s="11"/>
      <c r="H700" s="10"/>
      <c r="I700" s="465">
        <f xml:space="preserve"> (1 + E700) * (1 + Opex_sens) * I694</f>
        <v>1</v>
      </c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  <c r="BA700" s="10"/>
      <c r="BB700" s="10"/>
      <c r="BC700" s="10"/>
      <c r="BD700" s="10"/>
      <c r="BE700" s="10"/>
      <c r="BF700" s="10"/>
      <c r="BG700" s="10"/>
      <c r="BH700" s="10"/>
      <c r="BI700" s="10"/>
      <c r="BJ700" s="10"/>
      <c r="BK700" s="10"/>
      <c r="BL700" s="10"/>
      <c r="BM700" s="10"/>
      <c r="BN700" s="10"/>
      <c r="BO700" s="10"/>
      <c r="BP700" s="10"/>
      <c r="BQ700" s="10"/>
      <c r="BR700" s="10"/>
      <c r="BS700" s="10"/>
      <c r="BT700" s="10"/>
      <c r="BU700" s="10"/>
      <c r="BV700" s="10"/>
      <c r="BW700" s="10"/>
      <c r="BX700" s="10"/>
      <c r="BY700" s="10"/>
      <c r="BZ700" s="10"/>
      <c r="CA700" s="10"/>
      <c r="CB700" s="10"/>
      <c r="CC700" s="10"/>
      <c r="CD700" s="10"/>
      <c r="CE700" s="10"/>
      <c r="CF700" s="10"/>
      <c r="CG700" s="10"/>
      <c r="CH700" s="10"/>
      <c r="CI700" s="10"/>
      <c r="CJ700" s="10"/>
      <c r="CK700" s="10"/>
      <c r="CL700" s="10"/>
      <c r="CM700" s="10"/>
      <c r="CN700" s="10"/>
      <c r="CO700" s="10"/>
    </row>
    <row r="701" spans="1:93" s="141" customFormat="1" ht="12.75">
      <c r="A701" s="10"/>
      <c r="B701" s="10"/>
      <c r="C701" s="21"/>
      <c r="D701" s="10"/>
      <c r="E701" s="10"/>
      <c r="F701" s="10"/>
      <c r="G701" s="11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  <c r="BA701" s="10"/>
      <c r="BB701" s="10"/>
      <c r="BC701" s="10"/>
      <c r="BD701" s="10"/>
      <c r="BE701" s="10"/>
      <c r="BF701" s="10"/>
      <c r="BG701" s="10"/>
      <c r="BH701" s="10"/>
      <c r="BI701" s="10"/>
      <c r="BJ701" s="10"/>
      <c r="BK701" s="10"/>
      <c r="BL701" s="10"/>
      <c r="BM701" s="10"/>
      <c r="BN701" s="10"/>
      <c r="BO701" s="10"/>
      <c r="BP701" s="10"/>
      <c r="BQ701" s="10"/>
      <c r="BR701" s="10"/>
      <c r="BS701" s="10"/>
      <c r="BT701" s="10"/>
      <c r="BU701" s="10"/>
      <c r="BV701" s="10"/>
      <c r="BW701" s="10"/>
      <c r="BX701" s="10"/>
      <c r="BY701" s="10"/>
      <c r="BZ701" s="10"/>
      <c r="CA701" s="10"/>
      <c r="CB701" s="10"/>
      <c r="CC701" s="10"/>
      <c r="CD701" s="10"/>
      <c r="CE701" s="10"/>
      <c r="CF701" s="10"/>
      <c r="CG701" s="10"/>
      <c r="CH701" s="10"/>
      <c r="CI701" s="10"/>
      <c r="CJ701" s="10"/>
      <c r="CK701" s="10"/>
      <c r="CL701" s="10"/>
      <c r="CM701" s="10"/>
      <c r="CN701" s="10"/>
      <c r="CO701" s="10"/>
    </row>
    <row r="702" spans="1:93" ht="15" customHeight="1">
      <c r="A702" s="10"/>
      <c r="B702" s="3"/>
      <c r="C702" s="382" t="str">
        <f>C116</f>
        <v>Сегмент 0: Общая поддерживающая инфраструктура</v>
      </c>
      <c r="D702" s="271"/>
      <c r="E702" s="271"/>
      <c r="F702" s="271"/>
      <c r="G702" s="272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  <c r="CA702" s="271"/>
      <c r="CB702" s="271"/>
      <c r="CC702" s="271"/>
      <c r="CD702" s="271"/>
      <c r="CE702" s="271"/>
      <c r="CF702" s="271"/>
      <c r="CG702" s="271"/>
      <c r="CH702" s="271"/>
      <c r="CI702" s="271"/>
      <c r="CJ702" s="271"/>
      <c r="CK702" s="271"/>
      <c r="CL702" s="271"/>
      <c r="CM702" s="271"/>
      <c r="CN702" s="271"/>
      <c r="CO702" s="271"/>
    </row>
    <row r="703" spans="1:93">
      <c r="A703" s="10"/>
      <c r="B703" s="10"/>
      <c r="C703" s="10"/>
      <c r="D703" s="10"/>
      <c r="E703" s="10"/>
      <c r="F703" s="10"/>
      <c r="G703" s="11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  <c r="BA703" s="10"/>
      <c r="BB703" s="10"/>
      <c r="BC703" s="10"/>
      <c r="BD703" s="10"/>
      <c r="BE703" s="10"/>
      <c r="BF703" s="10"/>
      <c r="BG703" s="10"/>
      <c r="BH703" s="10"/>
      <c r="BI703" s="10"/>
      <c r="BJ703" s="10"/>
      <c r="BK703" s="10"/>
      <c r="BL703" s="10"/>
      <c r="BM703" s="10"/>
      <c r="BN703" s="10"/>
      <c r="BO703" s="10"/>
      <c r="BP703" s="10"/>
      <c r="BQ703" s="10"/>
      <c r="BR703" s="10"/>
      <c r="BS703" s="10"/>
      <c r="BT703" s="10"/>
      <c r="BU703" s="10"/>
      <c r="BV703" s="10"/>
      <c r="BW703" s="10"/>
      <c r="BX703" s="10"/>
      <c r="BY703" s="10"/>
      <c r="BZ703" s="10"/>
      <c r="CA703" s="10"/>
      <c r="CB703" s="10"/>
      <c r="CC703" s="10"/>
      <c r="CD703" s="10"/>
      <c r="CE703" s="10"/>
      <c r="CF703" s="10"/>
      <c r="CG703" s="10"/>
      <c r="CH703" s="10"/>
      <c r="CI703" s="10"/>
      <c r="CJ703" s="10"/>
      <c r="CK703" s="10"/>
      <c r="CL703" s="10"/>
      <c r="CM703" s="10"/>
      <c r="CN703" s="10"/>
      <c r="CO703" s="10"/>
    </row>
    <row r="704" spans="1:93" ht="16.5" thickBot="1">
      <c r="A704" s="10"/>
      <c r="B704" s="10"/>
      <c r="C704" s="12" t="s">
        <v>881</v>
      </c>
      <c r="D704" s="12"/>
      <c r="E704" s="12"/>
      <c r="F704" s="12"/>
      <c r="G704" s="360"/>
      <c r="H704" s="12"/>
      <c r="I704" s="12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  <c r="BA704" s="10"/>
      <c r="BB704" s="10"/>
      <c r="BC704" s="10"/>
      <c r="BD704" s="10"/>
      <c r="BE704" s="10"/>
      <c r="BF704" s="10"/>
      <c r="BG704" s="10"/>
      <c r="BH704" s="10"/>
      <c r="BI704" s="10"/>
      <c r="BJ704" s="10"/>
      <c r="BK704" s="10"/>
      <c r="BL704" s="10"/>
      <c r="BM704" s="10"/>
      <c r="BN704" s="10"/>
      <c r="BO704" s="10"/>
      <c r="BP704" s="10"/>
      <c r="BQ704" s="10"/>
      <c r="BR704" s="10"/>
      <c r="BS704" s="10"/>
      <c r="BT704" s="10"/>
      <c r="BU704" s="10"/>
      <c r="BV704" s="10"/>
      <c r="BW704" s="10"/>
      <c r="BX704" s="10"/>
      <c r="BY704" s="10"/>
      <c r="BZ704" s="10"/>
      <c r="CA704" s="10"/>
      <c r="CB704" s="10"/>
      <c r="CC704" s="10"/>
      <c r="CD704" s="10"/>
      <c r="CE704" s="10"/>
      <c r="CF704" s="10"/>
      <c r="CG704" s="10"/>
      <c r="CH704" s="10"/>
      <c r="CI704" s="10"/>
      <c r="CJ704" s="10"/>
      <c r="CK704" s="10"/>
      <c r="CL704" s="10"/>
      <c r="CM704" s="10"/>
      <c r="CN704" s="10"/>
      <c r="CO704" s="10"/>
    </row>
    <row r="705" spans="1:93">
      <c r="A705" s="10"/>
      <c r="B705" s="10"/>
      <c r="C705" s="10"/>
      <c r="D705" s="10"/>
      <c r="E705" s="10"/>
      <c r="F705" s="10"/>
      <c r="G705" s="11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  <c r="BA705" s="10"/>
      <c r="BB705" s="10"/>
      <c r="BC705" s="10"/>
      <c r="BD705" s="10"/>
      <c r="BE705" s="10"/>
      <c r="BF705" s="10"/>
      <c r="BG705" s="10"/>
      <c r="BH705" s="10"/>
      <c r="BI705" s="10"/>
      <c r="BJ705" s="10"/>
      <c r="BK705" s="10"/>
      <c r="BL705" s="10"/>
      <c r="BM705" s="10"/>
      <c r="BN705" s="10"/>
      <c r="BO705" s="10"/>
      <c r="BP705" s="10"/>
      <c r="BQ705" s="10"/>
      <c r="BR705" s="10"/>
      <c r="BS705" s="10"/>
      <c r="BT705" s="10"/>
      <c r="BU705" s="10"/>
      <c r="BV705" s="10"/>
      <c r="BW705" s="10"/>
      <c r="BX705" s="10"/>
      <c r="BY705" s="10"/>
      <c r="BZ705" s="10"/>
      <c r="CA705" s="10"/>
      <c r="CB705" s="10"/>
      <c r="CC705" s="10"/>
      <c r="CD705" s="10"/>
      <c r="CE705" s="10"/>
      <c r="CF705" s="10"/>
      <c r="CG705" s="10"/>
      <c r="CH705" s="10"/>
      <c r="CI705" s="10"/>
      <c r="CJ705" s="10"/>
      <c r="CK705" s="10"/>
      <c r="CL705" s="10"/>
      <c r="CM705" s="10"/>
      <c r="CN705" s="10"/>
      <c r="CO705" s="10"/>
    </row>
    <row r="706" spans="1:93">
      <c r="A706" s="10"/>
      <c r="B706" s="10"/>
      <c r="C706" s="17" t="str">
        <f>Предпосылки!C449</f>
        <v>Расходы на содержание и обслуживание Транспортная инфраструктура</v>
      </c>
      <c r="D706" s="10"/>
      <c r="E706" s="232">
        <f xml:space="preserve"> Предпосылки!E449</f>
        <v>0.03</v>
      </c>
      <c r="F706" s="10"/>
      <c r="G706" s="142" t="s">
        <v>880</v>
      </c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  <c r="BA706" s="10"/>
      <c r="BB706" s="10"/>
      <c r="BC706" s="10"/>
      <c r="BD706" s="10"/>
      <c r="BE706" s="10"/>
      <c r="BF706" s="10"/>
      <c r="BG706" s="10"/>
      <c r="BH706" s="10"/>
      <c r="BI706" s="10"/>
      <c r="BJ706" s="10"/>
      <c r="BK706" s="10"/>
      <c r="BL706" s="10"/>
      <c r="BM706" s="10"/>
      <c r="BN706" s="10"/>
      <c r="BO706" s="10"/>
      <c r="BP706" s="10"/>
      <c r="BQ706" s="10"/>
      <c r="BR706" s="10"/>
      <c r="BS706" s="10"/>
      <c r="BT706" s="10"/>
      <c r="BU706" s="10"/>
      <c r="BV706" s="10"/>
      <c r="BW706" s="10"/>
      <c r="BX706" s="10"/>
      <c r="BY706" s="10"/>
      <c r="BZ706" s="10"/>
      <c r="CA706" s="10"/>
      <c r="CB706" s="10"/>
      <c r="CC706" s="10"/>
      <c r="CD706" s="10"/>
      <c r="CE706" s="10"/>
      <c r="CF706" s="10"/>
      <c r="CG706" s="10"/>
      <c r="CH706" s="10"/>
      <c r="CI706" s="10"/>
      <c r="CJ706" s="10"/>
      <c r="CK706" s="10"/>
      <c r="CL706" s="10"/>
      <c r="CM706" s="10"/>
      <c r="CN706" s="10"/>
      <c r="CO706" s="10"/>
    </row>
    <row r="707" spans="1:93">
      <c r="A707" s="10"/>
      <c r="B707" s="10"/>
      <c r="C707" s="17" t="str">
        <f>Предпосылки!C450</f>
        <v>Расходы на содержание и обслуживание Коммунальная инфраструктура</v>
      </c>
      <c r="D707" s="10"/>
      <c r="E707" s="232">
        <f xml:space="preserve"> Предпосылки!E450</f>
        <v>0</v>
      </c>
      <c r="F707" s="10"/>
      <c r="G707" s="142" t="s">
        <v>880</v>
      </c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  <c r="BA707" s="10"/>
      <c r="BB707" s="10"/>
      <c r="BC707" s="10"/>
      <c r="BD707" s="10"/>
      <c r="BE707" s="10"/>
      <c r="BF707" s="10"/>
      <c r="BG707" s="10"/>
      <c r="BH707" s="10"/>
      <c r="BI707" s="10"/>
      <c r="BJ707" s="10"/>
      <c r="BK707" s="10"/>
      <c r="BL707" s="10"/>
      <c r="BM707" s="10"/>
      <c r="BN707" s="10"/>
      <c r="BO707" s="10"/>
      <c r="BP707" s="10"/>
      <c r="BQ707" s="10"/>
      <c r="BR707" s="10"/>
      <c r="BS707" s="10"/>
      <c r="BT707" s="10"/>
      <c r="BU707" s="10"/>
      <c r="BV707" s="10"/>
      <c r="BW707" s="10"/>
      <c r="BX707" s="10"/>
      <c r="BY707" s="10"/>
      <c r="BZ707" s="10"/>
      <c r="CA707" s="10"/>
      <c r="CB707" s="10"/>
      <c r="CC707" s="10"/>
      <c r="CD707" s="10"/>
      <c r="CE707" s="10"/>
      <c r="CF707" s="10"/>
      <c r="CG707" s="10"/>
      <c r="CH707" s="10"/>
      <c r="CI707" s="10"/>
      <c r="CJ707" s="10"/>
      <c r="CK707" s="10"/>
      <c r="CL707" s="10"/>
      <c r="CM707" s="10"/>
      <c r="CN707" s="10"/>
      <c r="CO707" s="10"/>
    </row>
    <row r="708" spans="1:93">
      <c r="A708" s="10"/>
      <c r="B708" s="10"/>
      <c r="C708" s="17" t="str">
        <f>Предпосылки!C451</f>
        <v>Расходы на содержание и обслуживание Прочая обеспечивающая инфраструктура</v>
      </c>
      <c r="D708" s="10"/>
      <c r="E708" s="232">
        <f xml:space="preserve"> Предпосылки!E451</f>
        <v>0</v>
      </c>
      <c r="F708" s="10"/>
      <c r="G708" s="142" t="s">
        <v>880</v>
      </c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  <c r="BA708" s="10"/>
      <c r="BB708" s="10"/>
      <c r="BC708" s="10"/>
      <c r="BD708" s="10"/>
      <c r="BE708" s="10"/>
      <c r="BF708" s="10"/>
      <c r="BG708" s="10"/>
      <c r="BH708" s="10"/>
      <c r="BI708" s="10"/>
      <c r="BJ708" s="10"/>
      <c r="BK708" s="10"/>
      <c r="BL708" s="10"/>
      <c r="BM708" s="10"/>
      <c r="BN708" s="10"/>
      <c r="BO708" s="10"/>
      <c r="BP708" s="10"/>
      <c r="BQ708" s="10"/>
      <c r="BR708" s="10"/>
      <c r="BS708" s="10"/>
      <c r="BT708" s="10"/>
      <c r="BU708" s="10"/>
      <c r="BV708" s="10"/>
      <c r="BW708" s="10"/>
      <c r="BX708" s="10"/>
      <c r="BY708" s="10"/>
      <c r="BZ708" s="10"/>
      <c r="CA708" s="10"/>
      <c r="CB708" s="10"/>
      <c r="CC708" s="10"/>
      <c r="CD708" s="10"/>
      <c r="CE708" s="10"/>
      <c r="CF708" s="10"/>
      <c r="CG708" s="10"/>
      <c r="CH708" s="10"/>
      <c r="CI708" s="10"/>
      <c r="CJ708" s="10"/>
      <c r="CK708" s="10"/>
      <c r="CL708" s="10"/>
      <c r="CM708" s="10"/>
      <c r="CN708" s="10"/>
      <c r="CO708" s="10"/>
    </row>
    <row r="709" spans="1:93">
      <c r="A709" s="10"/>
      <c r="B709" s="10"/>
      <c r="C709" s="10"/>
      <c r="D709" s="10"/>
      <c r="E709" s="10"/>
      <c r="F709" s="10"/>
      <c r="G709" s="11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  <c r="BA709" s="10"/>
      <c r="BB709" s="10"/>
      <c r="BC709" s="10"/>
      <c r="BD709" s="10"/>
      <c r="BE709" s="10"/>
      <c r="BF709" s="10"/>
      <c r="BG709" s="10"/>
      <c r="BH709" s="10"/>
      <c r="BI709" s="10"/>
      <c r="BJ709" s="10"/>
      <c r="BK709" s="10"/>
      <c r="BL709" s="10"/>
      <c r="BM709" s="10"/>
      <c r="BN709" s="10"/>
      <c r="BO709" s="10"/>
      <c r="BP709" s="10"/>
      <c r="BQ709" s="10"/>
      <c r="BR709" s="10"/>
      <c r="BS709" s="10"/>
      <c r="BT709" s="10"/>
      <c r="BU709" s="10"/>
      <c r="BV709" s="10"/>
      <c r="BW709" s="10"/>
      <c r="BX709" s="10"/>
      <c r="BY709" s="10"/>
      <c r="BZ709" s="10"/>
      <c r="CA709" s="10"/>
      <c r="CB709" s="10"/>
      <c r="CC709" s="10"/>
      <c r="CD709" s="10"/>
      <c r="CE709" s="10"/>
      <c r="CF709" s="10"/>
      <c r="CG709" s="10"/>
      <c r="CH709" s="10"/>
      <c r="CI709" s="10"/>
      <c r="CJ709" s="10"/>
      <c r="CK709" s="10"/>
      <c r="CL709" s="10"/>
      <c r="CM709" s="10"/>
      <c r="CN709" s="10"/>
      <c r="CO709" s="10"/>
    </row>
    <row r="710" spans="1:93" ht="16.5" thickBot="1">
      <c r="A710" s="10"/>
      <c r="B710" s="10"/>
      <c r="C710" s="12" t="s">
        <v>882</v>
      </c>
      <c r="D710" s="12"/>
      <c r="E710" s="12"/>
      <c r="F710" s="12"/>
      <c r="G710" s="360"/>
      <c r="H710" s="12"/>
      <c r="I710" s="12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  <c r="BA710" s="10"/>
      <c r="BB710" s="10"/>
      <c r="BC710" s="10"/>
      <c r="BD710" s="10"/>
      <c r="BE710" s="10"/>
      <c r="BF710" s="10"/>
      <c r="BG710" s="10"/>
      <c r="BH710" s="10"/>
      <c r="BI710" s="10"/>
      <c r="BJ710" s="10"/>
      <c r="BK710" s="10"/>
      <c r="BL710" s="10"/>
      <c r="BM710" s="10"/>
      <c r="BN710" s="10"/>
      <c r="BO710" s="10"/>
      <c r="BP710" s="10"/>
      <c r="BQ710" s="10"/>
      <c r="BR710" s="10"/>
      <c r="BS710" s="10"/>
      <c r="BT710" s="10"/>
      <c r="BU710" s="10"/>
      <c r="BV710" s="10"/>
      <c r="BW710" s="10"/>
      <c r="BX710" s="10"/>
      <c r="BY710" s="10"/>
      <c r="BZ710" s="10"/>
      <c r="CA710" s="10"/>
      <c r="CB710" s="10"/>
      <c r="CC710" s="10"/>
      <c r="CD710" s="10"/>
      <c r="CE710" s="10"/>
      <c r="CF710" s="10"/>
      <c r="CG710" s="10"/>
      <c r="CH710" s="10"/>
      <c r="CI710" s="10"/>
      <c r="CJ710" s="10"/>
      <c r="CK710" s="10"/>
      <c r="CL710" s="10"/>
      <c r="CM710" s="10"/>
      <c r="CN710" s="10"/>
      <c r="CO710" s="10"/>
    </row>
    <row r="711" spans="1:93">
      <c r="A711" s="10"/>
      <c r="B711" s="10"/>
      <c r="C711" s="10"/>
      <c r="D711" s="10"/>
      <c r="E711" s="10"/>
      <c r="F711" s="10"/>
      <c r="G711" s="11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  <c r="BA711" s="10"/>
      <c r="BB711" s="10"/>
      <c r="BC711" s="10"/>
      <c r="BD711" s="10"/>
      <c r="BE711" s="10"/>
      <c r="BF711" s="10"/>
      <c r="BG711" s="10"/>
      <c r="BH711" s="10"/>
      <c r="BI711" s="10"/>
      <c r="BJ711" s="10"/>
      <c r="BK711" s="10"/>
      <c r="BL711" s="10"/>
      <c r="BM711" s="10"/>
      <c r="BN711" s="10"/>
      <c r="BO711" s="10"/>
      <c r="BP711" s="10"/>
      <c r="BQ711" s="10"/>
      <c r="BR711" s="10"/>
      <c r="BS711" s="10"/>
      <c r="BT711" s="10"/>
      <c r="BU711" s="10"/>
      <c r="BV711" s="10"/>
      <c r="BW711" s="10"/>
      <c r="BX711" s="10"/>
      <c r="BY711" s="10"/>
      <c r="BZ711" s="10"/>
      <c r="CA711" s="10"/>
      <c r="CB711" s="10"/>
      <c r="CC711" s="10"/>
      <c r="CD711" s="10"/>
      <c r="CE711" s="10"/>
      <c r="CF711" s="10"/>
      <c r="CG711" s="10"/>
      <c r="CH711" s="10"/>
      <c r="CI711" s="10"/>
      <c r="CJ711" s="10"/>
      <c r="CK711" s="10"/>
      <c r="CL711" s="10"/>
      <c r="CM711" s="10"/>
      <c r="CN711" s="10"/>
      <c r="CO711" s="10"/>
    </row>
    <row r="712" spans="1:93">
      <c r="A712" s="10"/>
      <c r="B712" s="10"/>
      <c r="C712" s="17" t="str">
        <f xml:space="preserve"> "Стоимость создания объектов " &amp; C32</f>
        <v>Стоимость создания объектов Транспортная инфраструктура</v>
      </c>
      <c r="D712" s="10"/>
      <c r="E712" s="10">
        <f xml:space="preserve"> I130</f>
        <v>24573.620000000003</v>
      </c>
      <c r="F712" s="10"/>
      <c r="G712" s="11" t="str">
        <f xml:space="preserve"> Monetary_Unit</f>
        <v>тыс. руб.</v>
      </c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  <c r="BA712" s="10"/>
      <c r="BB712" s="10"/>
      <c r="BC712" s="10"/>
      <c r="BD712" s="10"/>
      <c r="BE712" s="10"/>
      <c r="BF712" s="10"/>
      <c r="BG712" s="10"/>
      <c r="BH712" s="10"/>
      <c r="BI712" s="10"/>
      <c r="BJ712" s="10"/>
      <c r="BK712" s="10"/>
      <c r="BL712" s="10"/>
      <c r="BM712" s="10"/>
      <c r="BN712" s="10"/>
      <c r="BO712" s="10"/>
      <c r="BP712" s="10"/>
      <c r="BQ712" s="10"/>
      <c r="BR712" s="10"/>
      <c r="BS712" s="10"/>
      <c r="BT712" s="10"/>
      <c r="BU712" s="10"/>
      <c r="BV712" s="10"/>
      <c r="BW712" s="10"/>
      <c r="BX712" s="10"/>
      <c r="BY712" s="10"/>
      <c r="BZ712" s="10"/>
      <c r="CA712" s="10"/>
      <c r="CB712" s="10"/>
      <c r="CC712" s="10"/>
      <c r="CD712" s="10"/>
      <c r="CE712" s="10"/>
      <c r="CF712" s="10"/>
      <c r="CG712" s="10"/>
      <c r="CH712" s="10"/>
      <c r="CI712" s="10"/>
      <c r="CJ712" s="10"/>
      <c r="CK712" s="10"/>
      <c r="CL712" s="10"/>
      <c r="CM712" s="10"/>
      <c r="CN712" s="10"/>
      <c r="CO712" s="10"/>
    </row>
    <row r="713" spans="1:93">
      <c r="A713" s="10"/>
      <c r="B713" s="10"/>
      <c r="C713" s="17" t="str">
        <f xml:space="preserve"> "Стоимость создания объектов " &amp; C33</f>
        <v>Стоимость создания объектов Коммунальная инфраструктура</v>
      </c>
      <c r="D713" s="10"/>
      <c r="E713" s="10">
        <f xml:space="preserve"> I142</f>
        <v>0</v>
      </c>
      <c r="F713" s="10"/>
      <c r="G713" s="11" t="str">
        <f xml:space="preserve"> Monetary_Unit</f>
        <v>тыс. руб.</v>
      </c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  <c r="BA713" s="10"/>
      <c r="BB713" s="10"/>
      <c r="BC713" s="10"/>
      <c r="BD713" s="10"/>
      <c r="BE713" s="10"/>
      <c r="BF713" s="10"/>
      <c r="BG713" s="10"/>
      <c r="BH713" s="10"/>
      <c r="BI713" s="10"/>
      <c r="BJ713" s="10"/>
      <c r="BK713" s="10"/>
      <c r="BL713" s="10"/>
      <c r="BM713" s="10"/>
      <c r="BN713" s="10"/>
      <c r="BO713" s="10"/>
      <c r="BP713" s="10"/>
      <c r="BQ713" s="10"/>
      <c r="BR713" s="10"/>
      <c r="BS713" s="10"/>
      <c r="BT713" s="10"/>
      <c r="BU713" s="10"/>
      <c r="BV713" s="10"/>
      <c r="BW713" s="10"/>
      <c r="BX713" s="10"/>
      <c r="BY713" s="10"/>
      <c r="BZ713" s="10"/>
      <c r="CA713" s="10"/>
      <c r="CB713" s="10"/>
      <c r="CC713" s="10"/>
      <c r="CD713" s="10"/>
      <c r="CE713" s="10"/>
      <c r="CF713" s="10"/>
      <c r="CG713" s="10"/>
      <c r="CH713" s="10"/>
      <c r="CI713" s="10"/>
      <c r="CJ713" s="10"/>
      <c r="CK713" s="10"/>
      <c r="CL713" s="10"/>
      <c r="CM713" s="10"/>
      <c r="CN713" s="10"/>
      <c r="CO713" s="10"/>
    </row>
    <row r="714" spans="1:93">
      <c r="A714" s="10"/>
      <c r="B714" s="10"/>
      <c r="C714" s="17" t="str">
        <f xml:space="preserve"> "Стоимость создания объектов " &amp; C34</f>
        <v>Стоимость создания объектов Прочая обеспечивающая инфраструктура</v>
      </c>
      <c r="D714" s="10"/>
      <c r="E714" s="10">
        <f xml:space="preserve"> I154</f>
        <v>0</v>
      </c>
      <c r="F714" s="10"/>
      <c r="G714" s="11" t="str">
        <f xml:space="preserve"> Monetary_Unit</f>
        <v>тыс. руб.</v>
      </c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  <c r="BA714" s="10"/>
      <c r="BB714" s="10"/>
      <c r="BC714" s="10"/>
      <c r="BD714" s="10"/>
      <c r="BE714" s="10"/>
      <c r="BF714" s="10"/>
      <c r="BG714" s="10"/>
      <c r="BH714" s="10"/>
      <c r="BI714" s="10"/>
      <c r="BJ714" s="10"/>
      <c r="BK714" s="10"/>
      <c r="BL714" s="10"/>
      <c r="BM714" s="10"/>
      <c r="BN714" s="10"/>
      <c r="BO714" s="10"/>
      <c r="BP714" s="10"/>
      <c r="BQ714" s="10"/>
      <c r="BR714" s="10"/>
      <c r="BS714" s="10"/>
      <c r="BT714" s="10"/>
      <c r="BU714" s="10"/>
      <c r="BV714" s="10"/>
      <c r="BW714" s="10"/>
      <c r="BX714" s="10"/>
      <c r="BY714" s="10"/>
      <c r="BZ714" s="10"/>
      <c r="CA714" s="10"/>
      <c r="CB714" s="10"/>
      <c r="CC714" s="10"/>
      <c r="CD714" s="10"/>
      <c r="CE714" s="10"/>
      <c r="CF714" s="10"/>
      <c r="CG714" s="10"/>
      <c r="CH714" s="10"/>
      <c r="CI714" s="10"/>
      <c r="CJ714" s="10"/>
      <c r="CK714" s="10"/>
      <c r="CL714" s="10"/>
      <c r="CM714" s="10"/>
      <c r="CN714" s="10"/>
      <c r="CO714" s="10"/>
    </row>
    <row r="715" spans="1:93">
      <c r="A715" s="10"/>
      <c r="B715" s="10"/>
      <c r="C715" s="10"/>
      <c r="D715" s="10"/>
      <c r="E715" s="10"/>
      <c r="F715" s="10"/>
      <c r="G715" s="11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  <c r="BA715" s="10"/>
      <c r="BB715" s="10"/>
      <c r="BC715" s="10"/>
      <c r="BD715" s="10"/>
      <c r="BE715" s="10"/>
      <c r="BF715" s="10"/>
      <c r="BG715" s="10"/>
      <c r="BH715" s="10"/>
      <c r="BI715" s="10"/>
      <c r="BJ715" s="10"/>
      <c r="BK715" s="10"/>
      <c r="BL715" s="10"/>
      <c r="BM715" s="10"/>
      <c r="BN715" s="10"/>
      <c r="BO715" s="10"/>
      <c r="BP715" s="10"/>
      <c r="BQ715" s="10"/>
      <c r="BR715" s="10"/>
      <c r="BS715" s="10"/>
      <c r="BT715" s="10"/>
      <c r="BU715" s="10"/>
      <c r="BV715" s="10"/>
      <c r="BW715" s="10"/>
      <c r="BX715" s="10"/>
      <c r="BY715" s="10"/>
      <c r="BZ715" s="10"/>
      <c r="CA715" s="10"/>
      <c r="CB715" s="10"/>
      <c r="CC715" s="10"/>
      <c r="CD715" s="10"/>
      <c r="CE715" s="10"/>
      <c r="CF715" s="10"/>
      <c r="CG715" s="10"/>
      <c r="CH715" s="10"/>
      <c r="CI715" s="10"/>
      <c r="CJ715" s="10"/>
      <c r="CK715" s="10"/>
      <c r="CL715" s="10"/>
      <c r="CM715" s="10"/>
      <c r="CN715" s="10"/>
      <c r="CO715" s="10"/>
    </row>
    <row r="716" spans="1:93">
      <c r="A716" s="10"/>
      <c r="B716" s="10"/>
      <c r="C716" s="17" t="str">
        <f>C706</f>
        <v>Расходы на содержание и обслуживание Транспортная инфраструктура</v>
      </c>
      <c r="D716" s="10"/>
      <c r="E716" s="10"/>
      <c r="F716" s="10"/>
      <c r="G716" s="11" t="str">
        <f xml:space="preserve"> Monetary_Unit</f>
        <v>тыс. руб.</v>
      </c>
      <c r="H716" s="10"/>
      <c r="I716" s="23">
        <f ca="1">SUM(L716:CO716)</f>
        <v>20234.399718852401</v>
      </c>
      <c r="J716" s="10"/>
      <c r="K716" s="10"/>
      <c r="L716" s="10">
        <f t="shared" ref="L716:AQ716" ca="1" si="887" xml:space="preserve"> $E712 * $E706 * Period_length * CPI_Accumulated_From_Date * L46 * $I$697</f>
        <v>0</v>
      </c>
      <c r="M716" s="10">
        <f t="shared" ca="1" si="887"/>
        <v>0</v>
      </c>
      <c r="N716" s="10">
        <f t="shared" ca="1" si="887"/>
        <v>0</v>
      </c>
      <c r="O716" s="10">
        <f t="shared" ca="1" si="887"/>
        <v>0</v>
      </c>
      <c r="P716" s="10">
        <f t="shared" ca="1" si="887"/>
        <v>0</v>
      </c>
      <c r="Q716" s="10">
        <f t="shared" ca="1" si="887"/>
        <v>0</v>
      </c>
      <c r="R716" s="10">
        <f t="shared" ca="1" si="887"/>
        <v>0</v>
      </c>
      <c r="S716" s="10">
        <f t="shared" ca="1" si="887"/>
        <v>0</v>
      </c>
      <c r="T716" s="10">
        <f t="shared" ca="1" si="887"/>
        <v>0</v>
      </c>
      <c r="U716" s="10">
        <f t="shared" ca="1" si="887"/>
        <v>0</v>
      </c>
      <c r="V716" s="10">
        <f t="shared" ca="1" si="887"/>
        <v>0</v>
      </c>
      <c r="W716" s="10">
        <f t="shared" ca="1" si="887"/>
        <v>0</v>
      </c>
      <c r="X716" s="10">
        <f t="shared" ca="1" si="887"/>
        <v>0</v>
      </c>
      <c r="Y716" s="10">
        <f t="shared" ca="1" si="887"/>
        <v>0</v>
      </c>
      <c r="Z716" s="10">
        <f t="shared" ca="1" si="887"/>
        <v>0</v>
      </c>
      <c r="AA716" s="10">
        <f t="shared" ca="1" si="887"/>
        <v>0</v>
      </c>
      <c r="AB716" s="10">
        <f t="shared" ca="1" si="887"/>
        <v>0</v>
      </c>
      <c r="AC716" s="10">
        <f t="shared" ca="1" si="887"/>
        <v>223.07005584518595</v>
      </c>
      <c r="AD716" s="10">
        <f t="shared" ca="1" si="887"/>
        <v>227.74352893492681</v>
      </c>
      <c r="AE716" s="10">
        <f t="shared" ca="1" si="887"/>
        <v>229.98757851441948</v>
      </c>
      <c r="AF716" s="10">
        <f t="shared" ca="1" si="887"/>
        <v>227.20474528702329</v>
      </c>
      <c r="AG716" s="10">
        <f t="shared" ca="1" si="887"/>
        <v>231.99285807899338</v>
      </c>
      <c r="AH716" s="10">
        <f t="shared" ca="1" si="887"/>
        <v>236.8532700923239</v>
      </c>
      <c r="AI716" s="10">
        <f t="shared" ca="1" si="887"/>
        <v>239.18708165499626</v>
      </c>
      <c r="AJ716" s="10">
        <f t="shared" ca="1" si="887"/>
        <v>236.29293509850419</v>
      </c>
      <c r="AK716" s="10">
        <f t="shared" ca="1" si="887"/>
        <v>241.27257240215312</v>
      </c>
      <c r="AL716" s="10">
        <f t="shared" ca="1" si="887"/>
        <v>246.32740089601683</v>
      </c>
      <c r="AM716" s="10">
        <f t="shared" ca="1" si="887"/>
        <v>248.75456492119608</v>
      </c>
      <c r="AN716" s="10">
        <f t="shared" ca="1" si="887"/>
        <v>247.7962547926135</v>
      </c>
      <c r="AO716" s="10">
        <f t="shared" ca="1" si="887"/>
        <v>250.23789203239701</v>
      </c>
      <c r="AP716" s="10">
        <f t="shared" ca="1" si="887"/>
        <v>255.4805502189289</v>
      </c>
      <c r="AQ716" s="10">
        <f t="shared" ca="1" si="887"/>
        <v>257.99790394559028</v>
      </c>
      <c r="AR716" s="10">
        <f t="shared" ref="AR716:BW716" ca="1" si="888" xml:space="preserve"> $E712 * $E706 * Period_length * CPI_Accumulated_From_Date * AR46 * $I$697</f>
        <v>255.5744386025421</v>
      </c>
      <c r="AS716" s="10">
        <f t="shared" ca="1" si="888"/>
        <v>260.9604143101688</v>
      </c>
      <c r="AT716" s="10">
        <f t="shared" ca="1" si="888"/>
        <v>266.42771680913177</v>
      </c>
      <c r="AU716" s="10">
        <f t="shared" ca="1" si="888"/>
        <v>269.05293741876568</v>
      </c>
      <c r="AV716" s="10">
        <f t="shared" ca="1" si="888"/>
        <v>265.7974161466438</v>
      </c>
      <c r="AW716" s="10">
        <f t="shared" ca="1" si="888"/>
        <v>271.39883088257545</v>
      </c>
      <c r="AX716" s="10">
        <f t="shared" ca="1" si="888"/>
        <v>277.08482548149698</v>
      </c>
      <c r="AY716" s="10">
        <f t="shared" ca="1" si="888"/>
        <v>279.81505491551621</v>
      </c>
      <c r="AZ716" s="10">
        <f t="shared" ca="1" si="888"/>
        <v>276.42931279250945</v>
      </c>
      <c r="BA716" s="10">
        <f t="shared" ca="1" si="888"/>
        <v>282.25478411787844</v>
      </c>
      <c r="BB716" s="10">
        <f t="shared" ca="1" si="888"/>
        <v>288.16821850075678</v>
      </c>
      <c r="BC716" s="10">
        <f t="shared" ca="1" si="888"/>
        <v>291.00765711213683</v>
      </c>
      <c r="BD716" s="10">
        <f t="shared" ca="1" si="888"/>
        <v>289.88656980507983</v>
      </c>
      <c r="BE716" s="10">
        <f t="shared" ca="1" si="888"/>
        <v>292.74294003045532</v>
      </c>
      <c r="BF716" s="10">
        <f t="shared" ca="1" si="888"/>
        <v>298.87610858712367</v>
      </c>
      <c r="BG716" s="10">
        <f t="shared" ca="1" si="888"/>
        <v>301.82105639280633</v>
      </c>
      <c r="BH716" s="10">
        <f t="shared" ca="1" si="888"/>
        <v>298.98594471637813</v>
      </c>
      <c r="BI716" s="10">
        <f t="shared" ca="1" si="888"/>
        <v>305.28677450189724</v>
      </c>
      <c r="BJ716" s="10">
        <f t="shared" ca="1" si="888"/>
        <v>311.68274513041848</v>
      </c>
      <c r="BK716" s="10">
        <f t="shared" ca="1" si="888"/>
        <v>314.7538819324871</v>
      </c>
      <c r="BL716" s="10">
        <f t="shared" ca="1" si="888"/>
        <v>310.94538250503325</v>
      </c>
      <c r="BM716" s="10">
        <f t="shared" ca="1" si="888"/>
        <v>317.49824548197307</v>
      </c>
      <c r="BN716" s="10">
        <f t="shared" ca="1" si="888"/>
        <v>324.15005493563513</v>
      </c>
      <c r="BO716" s="10">
        <f t="shared" ca="1" si="888"/>
        <v>327.34403720978656</v>
      </c>
      <c r="BP716" s="10">
        <f t="shared" ca="1" si="888"/>
        <v>323.38319780523454</v>
      </c>
      <c r="BQ716" s="10">
        <f t="shared" ca="1" si="888"/>
        <v>330.19817530125198</v>
      </c>
      <c r="BR716" s="10">
        <f t="shared" ca="1" si="888"/>
        <v>337.11605713306051</v>
      </c>
      <c r="BS716" s="10">
        <f t="shared" ca="1" si="888"/>
        <v>340.43779869817791</v>
      </c>
      <c r="BT716" s="10">
        <f t="shared" ca="1" si="888"/>
        <v>339.12628511550992</v>
      </c>
      <c r="BU716" s="10">
        <f t="shared" ca="1" si="888"/>
        <v>342.46783427419456</v>
      </c>
      <c r="BV716" s="10">
        <f t="shared" ca="1" si="888"/>
        <v>349.64277401013589</v>
      </c>
      <c r="BW716" s="10">
        <f t="shared" ca="1" si="888"/>
        <v>353.08794640936696</v>
      </c>
      <c r="BX716" s="10">
        <f t="shared" ref="BX716:CO716" ca="1" si="889" xml:space="preserve"> $E712 * $E706 * Period_length * CPI_Accumulated_From_Date * BX46 * $I$697</f>
        <v>349.77126674614152</v>
      </c>
      <c r="BY716" s="10">
        <f t="shared" ca="1" si="889"/>
        <v>357.14234640583402</v>
      </c>
      <c r="BZ716" s="10">
        <f t="shared" ca="1" si="889"/>
        <v>364.62472739511816</v>
      </c>
      <c r="CA716" s="10">
        <f t="shared" ca="1" si="889"/>
        <v>368.21752307194919</v>
      </c>
      <c r="CB716" s="10">
        <f t="shared" ca="1" si="889"/>
        <v>363.76211741598718</v>
      </c>
      <c r="CC716" s="10">
        <f t="shared" ca="1" si="889"/>
        <v>371.42804026206733</v>
      </c>
      <c r="CD716" s="10">
        <f t="shared" ca="1" si="889"/>
        <v>379.20971649092286</v>
      </c>
      <c r="CE716" s="10">
        <f t="shared" ca="1" si="889"/>
        <v>382.94622399482711</v>
      </c>
      <c r="CF716" s="10">
        <f t="shared" ca="1" si="889"/>
        <v>378.31260211262662</v>
      </c>
      <c r="CG716" s="10">
        <f t="shared" ca="1" si="889"/>
        <v>386.28516187255002</v>
      </c>
      <c r="CH716" s="10">
        <f t="shared" ca="1" si="889"/>
        <v>394.37810515055975</v>
      </c>
      <c r="CI716" s="10">
        <f t="shared" ca="1" si="889"/>
        <v>398.26407295462025</v>
      </c>
      <c r="CJ716" s="10">
        <f t="shared" ca="1" si="889"/>
        <v>396.72978756337977</v>
      </c>
      <c r="CK716" s="10">
        <f t="shared" ca="1" si="889"/>
        <v>400.6389274503278</v>
      </c>
      <c r="CL716" s="10">
        <f t="shared" ca="1" si="889"/>
        <v>409.03259211790288</v>
      </c>
      <c r="CM716" s="10">
        <f t="shared" ca="1" si="889"/>
        <v>413.06295653981914</v>
      </c>
      <c r="CN716" s="10">
        <f t="shared" ca="1" si="889"/>
        <v>409.18291044501689</v>
      </c>
      <c r="CO716" s="10">
        <f t="shared" ca="1" si="889"/>
        <v>417.80603108135</v>
      </c>
    </row>
    <row r="717" spans="1:93">
      <c r="A717" s="10"/>
      <c r="B717" s="10"/>
      <c r="C717" s="17" t="str">
        <f>C707</f>
        <v>Расходы на содержание и обслуживание Коммунальная инфраструктура</v>
      </c>
      <c r="D717" s="10"/>
      <c r="E717" s="10"/>
      <c r="F717" s="10"/>
      <c r="G717" s="11" t="str">
        <f xml:space="preserve"> Monetary_Unit</f>
        <v>тыс. руб.</v>
      </c>
      <c r="H717" s="10"/>
      <c r="I717" s="23">
        <f ca="1">SUM(L717:CO717)</f>
        <v>0</v>
      </c>
      <c r="J717" s="10"/>
      <c r="K717" s="10"/>
      <c r="L717" s="10">
        <f t="shared" ref="L717:AQ717" ca="1" si="890" xml:space="preserve"> $E713 * $E707 * Period_length * CPI_Accumulated_From_Date * L47 * $I$697</f>
        <v>0</v>
      </c>
      <c r="M717" s="10">
        <f t="shared" ca="1" si="890"/>
        <v>0</v>
      </c>
      <c r="N717" s="10">
        <f t="shared" ca="1" si="890"/>
        <v>0</v>
      </c>
      <c r="O717" s="10">
        <f t="shared" ca="1" si="890"/>
        <v>0</v>
      </c>
      <c r="P717" s="10">
        <f t="shared" ca="1" si="890"/>
        <v>0</v>
      </c>
      <c r="Q717" s="10">
        <f t="shared" ca="1" si="890"/>
        <v>0</v>
      </c>
      <c r="R717" s="10">
        <f t="shared" ca="1" si="890"/>
        <v>0</v>
      </c>
      <c r="S717" s="10">
        <f t="shared" ca="1" si="890"/>
        <v>0</v>
      </c>
      <c r="T717" s="10">
        <f t="shared" ca="1" si="890"/>
        <v>0</v>
      </c>
      <c r="U717" s="10">
        <f t="shared" ca="1" si="890"/>
        <v>0</v>
      </c>
      <c r="V717" s="10">
        <f t="shared" ca="1" si="890"/>
        <v>0</v>
      </c>
      <c r="W717" s="10">
        <f t="shared" ca="1" si="890"/>
        <v>0</v>
      </c>
      <c r="X717" s="10">
        <f t="shared" ca="1" si="890"/>
        <v>0</v>
      </c>
      <c r="Y717" s="10">
        <f t="shared" ca="1" si="890"/>
        <v>0</v>
      </c>
      <c r="Z717" s="10">
        <f t="shared" ca="1" si="890"/>
        <v>0</v>
      </c>
      <c r="AA717" s="10">
        <f t="shared" ca="1" si="890"/>
        <v>0</v>
      </c>
      <c r="AB717" s="10">
        <f t="shared" ca="1" si="890"/>
        <v>0</v>
      </c>
      <c r="AC717" s="10">
        <f t="shared" ca="1" si="890"/>
        <v>0</v>
      </c>
      <c r="AD717" s="10">
        <f t="shared" ca="1" si="890"/>
        <v>0</v>
      </c>
      <c r="AE717" s="10">
        <f t="shared" ca="1" si="890"/>
        <v>0</v>
      </c>
      <c r="AF717" s="10">
        <f t="shared" ca="1" si="890"/>
        <v>0</v>
      </c>
      <c r="AG717" s="10">
        <f t="shared" ca="1" si="890"/>
        <v>0</v>
      </c>
      <c r="AH717" s="10">
        <f t="shared" ca="1" si="890"/>
        <v>0</v>
      </c>
      <c r="AI717" s="10">
        <f t="shared" ca="1" si="890"/>
        <v>0</v>
      </c>
      <c r="AJ717" s="10">
        <f t="shared" ca="1" si="890"/>
        <v>0</v>
      </c>
      <c r="AK717" s="10">
        <f t="shared" ca="1" si="890"/>
        <v>0</v>
      </c>
      <c r="AL717" s="10">
        <f t="shared" ca="1" si="890"/>
        <v>0</v>
      </c>
      <c r="AM717" s="10">
        <f t="shared" ca="1" si="890"/>
        <v>0</v>
      </c>
      <c r="AN717" s="10">
        <f t="shared" ca="1" si="890"/>
        <v>0</v>
      </c>
      <c r="AO717" s="10">
        <f t="shared" ca="1" si="890"/>
        <v>0</v>
      </c>
      <c r="AP717" s="10">
        <f t="shared" ca="1" si="890"/>
        <v>0</v>
      </c>
      <c r="AQ717" s="10">
        <f t="shared" ca="1" si="890"/>
        <v>0</v>
      </c>
      <c r="AR717" s="10">
        <f t="shared" ref="AR717:BW717" ca="1" si="891" xml:space="preserve"> $E713 * $E707 * Period_length * CPI_Accumulated_From_Date * AR47 * $I$697</f>
        <v>0</v>
      </c>
      <c r="AS717" s="10">
        <f t="shared" ca="1" si="891"/>
        <v>0</v>
      </c>
      <c r="AT717" s="10">
        <f t="shared" ca="1" si="891"/>
        <v>0</v>
      </c>
      <c r="AU717" s="10">
        <f t="shared" ca="1" si="891"/>
        <v>0</v>
      </c>
      <c r="AV717" s="10">
        <f t="shared" ca="1" si="891"/>
        <v>0</v>
      </c>
      <c r="AW717" s="10">
        <f t="shared" ca="1" si="891"/>
        <v>0</v>
      </c>
      <c r="AX717" s="10">
        <f t="shared" ca="1" si="891"/>
        <v>0</v>
      </c>
      <c r="AY717" s="10">
        <f t="shared" ca="1" si="891"/>
        <v>0</v>
      </c>
      <c r="AZ717" s="10">
        <f t="shared" ca="1" si="891"/>
        <v>0</v>
      </c>
      <c r="BA717" s="10">
        <f t="shared" ca="1" si="891"/>
        <v>0</v>
      </c>
      <c r="BB717" s="10">
        <f t="shared" ca="1" si="891"/>
        <v>0</v>
      </c>
      <c r="BC717" s="10">
        <f t="shared" ca="1" si="891"/>
        <v>0</v>
      </c>
      <c r="BD717" s="10">
        <f t="shared" ca="1" si="891"/>
        <v>0</v>
      </c>
      <c r="BE717" s="10">
        <f t="shared" ca="1" si="891"/>
        <v>0</v>
      </c>
      <c r="BF717" s="10">
        <f t="shared" ca="1" si="891"/>
        <v>0</v>
      </c>
      <c r="BG717" s="10">
        <f t="shared" ca="1" si="891"/>
        <v>0</v>
      </c>
      <c r="BH717" s="10">
        <f t="shared" ca="1" si="891"/>
        <v>0</v>
      </c>
      <c r="BI717" s="10">
        <f t="shared" ca="1" si="891"/>
        <v>0</v>
      </c>
      <c r="BJ717" s="10">
        <f t="shared" ca="1" si="891"/>
        <v>0</v>
      </c>
      <c r="BK717" s="10">
        <f t="shared" ca="1" si="891"/>
        <v>0</v>
      </c>
      <c r="BL717" s="10">
        <f t="shared" ca="1" si="891"/>
        <v>0</v>
      </c>
      <c r="BM717" s="10">
        <f t="shared" ca="1" si="891"/>
        <v>0</v>
      </c>
      <c r="BN717" s="10">
        <f t="shared" ca="1" si="891"/>
        <v>0</v>
      </c>
      <c r="BO717" s="10">
        <f t="shared" ca="1" si="891"/>
        <v>0</v>
      </c>
      <c r="BP717" s="10">
        <f t="shared" ca="1" si="891"/>
        <v>0</v>
      </c>
      <c r="BQ717" s="10">
        <f t="shared" ca="1" si="891"/>
        <v>0</v>
      </c>
      <c r="BR717" s="10">
        <f t="shared" ca="1" si="891"/>
        <v>0</v>
      </c>
      <c r="BS717" s="10">
        <f t="shared" ca="1" si="891"/>
        <v>0</v>
      </c>
      <c r="BT717" s="10">
        <f t="shared" ca="1" si="891"/>
        <v>0</v>
      </c>
      <c r="BU717" s="10">
        <f t="shared" ca="1" si="891"/>
        <v>0</v>
      </c>
      <c r="BV717" s="10">
        <f t="shared" ca="1" si="891"/>
        <v>0</v>
      </c>
      <c r="BW717" s="10">
        <f t="shared" ca="1" si="891"/>
        <v>0</v>
      </c>
      <c r="BX717" s="10">
        <f t="shared" ref="BX717:CO717" ca="1" si="892" xml:space="preserve"> $E713 * $E707 * Period_length * CPI_Accumulated_From_Date * BX47 * $I$697</f>
        <v>0</v>
      </c>
      <c r="BY717" s="10">
        <f t="shared" ca="1" si="892"/>
        <v>0</v>
      </c>
      <c r="BZ717" s="10">
        <f t="shared" ca="1" si="892"/>
        <v>0</v>
      </c>
      <c r="CA717" s="10">
        <f t="shared" ca="1" si="892"/>
        <v>0</v>
      </c>
      <c r="CB717" s="10">
        <f t="shared" ca="1" si="892"/>
        <v>0</v>
      </c>
      <c r="CC717" s="10">
        <f t="shared" ca="1" si="892"/>
        <v>0</v>
      </c>
      <c r="CD717" s="10">
        <f t="shared" ca="1" si="892"/>
        <v>0</v>
      </c>
      <c r="CE717" s="10">
        <f t="shared" ca="1" si="892"/>
        <v>0</v>
      </c>
      <c r="CF717" s="10">
        <f t="shared" ca="1" si="892"/>
        <v>0</v>
      </c>
      <c r="CG717" s="10">
        <f t="shared" ca="1" si="892"/>
        <v>0</v>
      </c>
      <c r="CH717" s="10">
        <f t="shared" ca="1" si="892"/>
        <v>0</v>
      </c>
      <c r="CI717" s="10">
        <f t="shared" ca="1" si="892"/>
        <v>0</v>
      </c>
      <c r="CJ717" s="10">
        <f t="shared" ca="1" si="892"/>
        <v>0</v>
      </c>
      <c r="CK717" s="10">
        <f t="shared" ca="1" si="892"/>
        <v>0</v>
      </c>
      <c r="CL717" s="10">
        <f t="shared" ca="1" si="892"/>
        <v>0</v>
      </c>
      <c r="CM717" s="10">
        <f t="shared" ca="1" si="892"/>
        <v>0</v>
      </c>
      <c r="CN717" s="10">
        <f t="shared" ca="1" si="892"/>
        <v>0</v>
      </c>
      <c r="CO717" s="10">
        <f t="shared" ca="1" si="892"/>
        <v>0</v>
      </c>
    </row>
    <row r="718" spans="1:93" ht="15.75" thickBot="1">
      <c r="A718" s="10"/>
      <c r="B718" s="10"/>
      <c r="C718" s="17" t="str">
        <f>C708</f>
        <v>Расходы на содержание и обслуживание Прочая обеспечивающая инфраструктура</v>
      </c>
      <c r="D718" s="10"/>
      <c r="E718" s="10"/>
      <c r="F718" s="10"/>
      <c r="G718" s="11" t="str">
        <f xml:space="preserve"> Monetary_Unit</f>
        <v>тыс. руб.</v>
      </c>
      <c r="H718" s="10"/>
      <c r="I718" s="23">
        <f ca="1">SUM(L718:CO718)</f>
        <v>0</v>
      </c>
      <c r="J718" s="10"/>
      <c r="K718" s="10"/>
      <c r="L718" s="10">
        <f t="shared" ref="L718:AQ718" ca="1" si="893" xml:space="preserve"> $E714 * $E708 * Period_length * CPI_Accumulated_From_Date * L48 * $I$697</f>
        <v>0</v>
      </c>
      <c r="M718" s="10">
        <f t="shared" ca="1" si="893"/>
        <v>0</v>
      </c>
      <c r="N718" s="10">
        <f t="shared" ca="1" si="893"/>
        <v>0</v>
      </c>
      <c r="O718" s="10">
        <f t="shared" ca="1" si="893"/>
        <v>0</v>
      </c>
      <c r="P718" s="10">
        <f t="shared" ca="1" si="893"/>
        <v>0</v>
      </c>
      <c r="Q718" s="10">
        <f t="shared" ca="1" si="893"/>
        <v>0</v>
      </c>
      <c r="R718" s="10">
        <f t="shared" ca="1" si="893"/>
        <v>0</v>
      </c>
      <c r="S718" s="10">
        <f t="shared" ca="1" si="893"/>
        <v>0</v>
      </c>
      <c r="T718" s="10">
        <f t="shared" ca="1" si="893"/>
        <v>0</v>
      </c>
      <c r="U718" s="10">
        <f t="shared" ca="1" si="893"/>
        <v>0</v>
      </c>
      <c r="V718" s="10">
        <f t="shared" ca="1" si="893"/>
        <v>0</v>
      </c>
      <c r="W718" s="10">
        <f t="shared" ca="1" si="893"/>
        <v>0</v>
      </c>
      <c r="X718" s="10">
        <f t="shared" ca="1" si="893"/>
        <v>0</v>
      </c>
      <c r="Y718" s="10">
        <f t="shared" ca="1" si="893"/>
        <v>0</v>
      </c>
      <c r="Z718" s="10">
        <f t="shared" ca="1" si="893"/>
        <v>0</v>
      </c>
      <c r="AA718" s="10">
        <f t="shared" ca="1" si="893"/>
        <v>0</v>
      </c>
      <c r="AB718" s="10">
        <f t="shared" ca="1" si="893"/>
        <v>0</v>
      </c>
      <c r="AC718" s="10">
        <f t="shared" ca="1" si="893"/>
        <v>0</v>
      </c>
      <c r="AD718" s="10">
        <f t="shared" ca="1" si="893"/>
        <v>0</v>
      </c>
      <c r="AE718" s="10">
        <f t="shared" ca="1" si="893"/>
        <v>0</v>
      </c>
      <c r="AF718" s="10">
        <f t="shared" ca="1" si="893"/>
        <v>0</v>
      </c>
      <c r="AG718" s="10">
        <f t="shared" ca="1" si="893"/>
        <v>0</v>
      </c>
      <c r="AH718" s="10">
        <f t="shared" ca="1" si="893"/>
        <v>0</v>
      </c>
      <c r="AI718" s="10">
        <f t="shared" ca="1" si="893"/>
        <v>0</v>
      </c>
      <c r="AJ718" s="10">
        <f t="shared" ca="1" si="893"/>
        <v>0</v>
      </c>
      <c r="AK718" s="10">
        <f t="shared" ca="1" si="893"/>
        <v>0</v>
      </c>
      <c r="AL718" s="10">
        <f t="shared" ca="1" si="893"/>
        <v>0</v>
      </c>
      <c r="AM718" s="10">
        <f t="shared" ca="1" si="893"/>
        <v>0</v>
      </c>
      <c r="AN718" s="10">
        <f t="shared" ca="1" si="893"/>
        <v>0</v>
      </c>
      <c r="AO718" s="10">
        <f t="shared" ca="1" si="893"/>
        <v>0</v>
      </c>
      <c r="AP718" s="10">
        <f t="shared" ca="1" si="893"/>
        <v>0</v>
      </c>
      <c r="AQ718" s="10">
        <f t="shared" ca="1" si="893"/>
        <v>0</v>
      </c>
      <c r="AR718" s="10">
        <f t="shared" ref="AR718:BW718" ca="1" si="894" xml:space="preserve"> $E714 * $E708 * Period_length * CPI_Accumulated_From_Date * AR48 * $I$697</f>
        <v>0</v>
      </c>
      <c r="AS718" s="10">
        <f t="shared" ca="1" si="894"/>
        <v>0</v>
      </c>
      <c r="AT718" s="10">
        <f t="shared" ca="1" si="894"/>
        <v>0</v>
      </c>
      <c r="AU718" s="10">
        <f t="shared" ca="1" si="894"/>
        <v>0</v>
      </c>
      <c r="AV718" s="10">
        <f t="shared" ca="1" si="894"/>
        <v>0</v>
      </c>
      <c r="AW718" s="10">
        <f t="shared" ca="1" si="894"/>
        <v>0</v>
      </c>
      <c r="AX718" s="10">
        <f t="shared" ca="1" si="894"/>
        <v>0</v>
      </c>
      <c r="AY718" s="10">
        <f t="shared" ca="1" si="894"/>
        <v>0</v>
      </c>
      <c r="AZ718" s="10">
        <f t="shared" ca="1" si="894"/>
        <v>0</v>
      </c>
      <c r="BA718" s="10">
        <f t="shared" ca="1" si="894"/>
        <v>0</v>
      </c>
      <c r="BB718" s="10">
        <f t="shared" ca="1" si="894"/>
        <v>0</v>
      </c>
      <c r="BC718" s="10">
        <f t="shared" ca="1" si="894"/>
        <v>0</v>
      </c>
      <c r="BD718" s="10">
        <f t="shared" ca="1" si="894"/>
        <v>0</v>
      </c>
      <c r="BE718" s="10">
        <f t="shared" ca="1" si="894"/>
        <v>0</v>
      </c>
      <c r="BF718" s="10">
        <f t="shared" ca="1" si="894"/>
        <v>0</v>
      </c>
      <c r="BG718" s="10">
        <f t="shared" ca="1" si="894"/>
        <v>0</v>
      </c>
      <c r="BH718" s="10">
        <f t="shared" ca="1" si="894"/>
        <v>0</v>
      </c>
      <c r="BI718" s="10">
        <f t="shared" ca="1" si="894"/>
        <v>0</v>
      </c>
      <c r="BJ718" s="10">
        <f t="shared" ca="1" si="894"/>
        <v>0</v>
      </c>
      <c r="BK718" s="10">
        <f t="shared" ca="1" si="894"/>
        <v>0</v>
      </c>
      <c r="BL718" s="10">
        <f t="shared" ca="1" si="894"/>
        <v>0</v>
      </c>
      <c r="BM718" s="10">
        <f t="shared" ca="1" si="894"/>
        <v>0</v>
      </c>
      <c r="BN718" s="10">
        <f t="shared" ca="1" si="894"/>
        <v>0</v>
      </c>
      <c r="BO718" s="10">
        <f t="shared" ca="1" si="894"/>
        <v>0</v>
      </c>
      <c r="BP718" s="10">
        <f t="shared" ca="1" si="894"/>
        <v>0</v>
      </c>
      <c r="BQ718" s="10">
        <f t="shared" ca="1" si="894"/>
        <v>0</v>
      </c>
      <c r="BR718" s="10">
        <f t="shared" ca="1" si="894"/>
        <v>0</v>
      </c>
      <c r="BS718" s="10">
        <f t="shared" ca="1" si="894"/>
        <v>0</v>
      </c>
      <c r="BT718" s="10">
        <f t="shared" ca="1" si="894"/>
        <v>0</v>
      </c>
      <c r="BU718" s="10">
        <f t="shared" ca="1" si="894"/>
        <v>0</v>
      </c>
      <c r="BV718" s="10">
        <f t="shared" ca="1" si="894"/>
        <v>0</v>
      </c>
      <c r="BW718" s="10">
        <f t="shared" ca="1" si="894"/>
        <v>0</v>
      </c>
      <c r="BX718" s="10">
        <f t="shared" ref="BX718:CO718" ca="1" si="895" xml:space="preserve"> $E714 * $E708 * Period_length * CPI_Accumulated_From_Date * BX48 * $I$697</f>
        <v>0</v>
      </c>
      <c r="BY718" s="10">
        <f t="shared" ca="1" si="895"/>
        <v>0</v>
      </c>
      <c r="BZ718" s="10">
        <f t="shared" ca="1" si="895"/>
        <v>0</v>
      </c>
      <c r="CA718" s="10">
        <f t="shared" ca="1" si="895"/>
        <v>0</v>
      </c>
      <c r="CB718" s="10">
        <f t="shared" ca="1" si="895"/>
        <v>0</v>
      </c>
      <c r="CC718" s="10">
        <f t="shared" ca="1" si="895"/>
        <v>0</v>
      </c>
      <c r="CD718" s="10">
        <f t="shared" ca="1" si="895"/>
        <v>0</v>
      </c>
      <c r="CE718" s="10">
        <f t="shared" ca="1" si="895"/>
        <v>0</v>
      </c>
      <c r="CF718" s="10">
        <f t="shared" ca="1" si="895"/>
        <v>0</v>
      </c>
      <c r="CG718" s="10">
        <f t="shared" ca="1" si="895"/>
        <v>0</v>
      </c>
      <c r="CH718" s="10">
        <f t="shared" ca="1" si="895"/>
        <v>0</v>
      </c>
      <c r="CI718" s="10">
        <f t="shared" ca="1" si="895"/>
        <v>0</v>
      </c>
      <c r="CJ718" s="10">
        <f t="shared" ca="1" si="895"/>
        <v>0</v>
      </c>
      <c r="CK718" s="10">
        <f t="shared" ca="1" si="895"/>
        <v>0</v>
      </c>
      <c r="CL718" s="10">
        <f t="shared" ca="1" si="895"/>
        <v>0</v>
      </c>
      <c r="CM718" s="10">
        <f t="shared" ca="1" si="895"/>
        <v>0</v>
      </c>
      <c r="CN718" s="10">
        <f t="shared" ca="1" si="895"/>
        <v>0</v>
      </c>
      <c r="CO718" s="10">
        <f t="shared" ca="1" si="895"/>
        <v>0</v>
      </c>
    </row>
    <row r="719" spans="1:93" ht="15.75" thickTop="1">
      <c r="B719" s="101"/>
      <c r="C719" s="49" t="str">
        <f xml:space="preserve"> "Итого: эксплуатационные расходы " &amp; Предпосылки!C64 &amp; " в прогнозных ценах без НДС"</f>
        <v>Итого: эксплуатационные расходы Общая поддерживающая инфраструктура в прогнозных ценах без НДС</v>
      </c>
      <c r="D719" s="49"/>
      <c r="E719" s="136"/>
      <c r="F719" s="49"/>
      <c r="G719" s="159" t="str">
        <f xml:space="preserve"> Monetary_Unit</f>
        <v>тыс. руб.</v>
      </c>
      <c r="H719" s="49"/>
      <c r="I719" s="23">
        <f ca="1">SUM(L719:CO719)</f>
        <v>20234.399718852401</v>
      </c>
      <c r="J719" s="49"/>
      <c r="K719" s="49"/>
      <c r="L719" s="49">
        <f t="shared" ref="L719:R719" ca="1" si="896">SUM(L716:L718)</f>
        <v>0</v>
      </c>
      <c r="M719" s="49">
        <f t="shared" ca="1" si="896"/>
        <v>0</v>
      </c>
      <c r="N719" s="49">
        <f t="shared" ca="1" si="896"/>
        <v>0</v>
      </c>
      <c r="O719" s="49">
        <f t="shared" ca="1" si="896"/>
        <v>0</v>
      </c>
      <c r="P719" s="49">
        <f t="shared" ca="1" si="896"/>
        <v>0</v>
      </c>
      <c r="Q719" s="49">
        <f t="shared" ca="1" si="896"/>
        <v>0</v>
      </c>
      <c r="R719" s="49">
        <f t="shared" ca="1" si="896"/>
        <v>0</v>
      </c>
      <c r="S719" s="49">
        <f ca="1">SUM(S716:S718)</f>
        <v>0</v>
      </c>
      <c r="T719" s="49">
        <f t="shared" ref="T719:CE719" ca="1" si="897">SUM(T716:T718)</f>
        <v>0</v>
      </c>
      <c r="U719" s="49">
        <f t="shared" ca="1" si="897"/>
        <v>0</v>
      </c>
      <c r="V719" s="49">
        <f t="shared" ca="1" si="897"/>
        <v>0</v>
      </c>
      <c r="W719" s="49">
        <f t="shared" ca="1" si="897"/>
        <v>0</v>
      </c>
      <c r="X719" s="49">
        <f t="shared" ca="1" si="897"/>
        <v>0</v>
      </c>
      <c r="Y719" s="49">
        <f t="shared" ca="1" si="897"/>
        <v>0</v>
      </c>
      <c r="Z719" s="49">
        <f t="shared" ca="1" si="897"/>
        <v>0</v>
      </c>
      <c r="AA719" s="49">
        <f t="shared" ca="1" si="897"/>
        <v>0</v>
      </c>
      <c r="AB719" s="49">
        <f t="shared" ca="1" si="897"/>
        <v>0</v>
      </c>
      <c r="AC719" s="49">
        <f t="shared" ca="1" si="897"/>
        <v>223.07005584518595</v>
      </c>
      <c r="AD719" s="49">
        <f t="shared" ca="1" si="897"/>
        <v>227.74352893492681</v>
      </c>
      <c r="AE719" s="49">
        <f t="shared" ca="1" si="897"/>
        <v>229.98757851441948</v>
      </c>
      <c r="AF719" s="49">
        <f t="shared" ca="1" si="897"/>
        <v>227.20474528702329</v>
      </c>
      <c r="AG719" s="49">
        <f t="shared" ca="1" si="897"/>
        <v>231.99285807899338</v>
      </c>
      <c r="AH719" s="49">
        <f t="shared" ca="1" si="897"/>
        <v>236.8532700923239</v>
      </c>
      <c r="AI719" s="49">
        <f t="shared" ca="1" si="897"/>
        <v>239.18708165499626</v>
      </c>
      <c r="AJ719" s="49">
        <f t="shared" ca="1" si="897"/>
        <v>236.29293509850419</v>
      </c>
      <c r="AK719" s="49">
        <f t="shared" ca="1" si="897"/>
        <v>241.27257240215312</v>
      </c>
      <c r="AL719" s="49">
        <f t="shared" ca="1" si="897"/>
        <v>246.32740089601683</v>
      </c>
      <c r="AM719" s="49">
        <f t="shared" ca="1" si="897"/>
        <v>248.75456492119608</v>
      </c>
      <c r="AN719" s="49">
        <f t="shared" ca="1" si="897"/>
        <v>247.7962547926135</v>
      </c>
      <c r="AO719" s="49">
        <f t="shared" ca="1" si="897"/>
        <v>250.23789203239701</v>
      </c>
      <c r="AP719" s="49">
        <f t="shared" ca="1" si="897"/>
        <v>255.4805502189289</v>
      </c>
      <c r="AQ719" s="49">
        <f t="shared" ca="1" si="897"/>
        <v>257.99790394559028</v>
      </c>
      <c r="AR719" s="49">
        <f t="shared" ca="1" si="897"/>
        <v>255.5744386025421</v>
      </c>
      <c r="AS719" s="49">
        <f t="shared" ca="1" si="897"/>
        <v>260.9604143101688</v>
      </c>
      <c r="AT719" s="49">
        <f t="shared" ca="1" si="897"/>
        <v>266.42771680913177</v>
      </c>
      <c r="AU719" s="49">
        <f t="shared" ca="1" si="897"/>
        <v>269.05293741876568</v>
      </c>
      <c r="AV719" s="49">
        <f t="shared" ca="1" si="897"/>
        <v>265.7974161466438</v>
      </c>
      <c r="AW719" s="49">
        <f t="shared" ca="1" si="897"/>
        <v>271.39883088257545</v>
      </c>
      <c r="AX719" s="49">
        <f t="shared" ca="1" si="897"/>
        <v>277.08482548149698</v>
      </c>
      <c r="AY719" s="49">
        <f t="shared" ca="1" si="897"/>
        <v>279.81505491551621</v>
      </c>
      <c r="AZ719" s="49">
        <f t="shared" ca="1" si="897"/>
        <v>276.42931279250945</v>
      </c>
      <c r="BA719" s="49">
        <f t="shared" ca="1" si="897"/>
        <v>282.25478411787844</v>
      </c>
      <c r="BB719" s="49">
        <f t="shared" ca="1" si="897"/>
        <v>288.16821850075678</v>
      </c>
      <c r="BC719" s="49">
        <f t="shared" ca="1" si="897"/>
        <v>291.00765711213683</v>
      </c>
      <c r="BD719" s="49">
        <f t="shared" ca="1" si="897"/>
        <v>289.88656980507983</v>
      </c>
      <c r="BE719" s="49">
        <f t="shared" ca="1" si="897"/>
        <v>292.74294003045532</v>
      </c>
      <c r="BF719" s="49">
        <f t="shared" ca="1" si="897"/>
        <v>298.87610858712367</v>
      </c>
      <c r="BG719" s="49">
        <f t="shared" ca="1" si="897"/>
        <v>301.82105639280633</v>
      </c>
      <c r="BH719" s="49">
        <f t="shared" ca="1" si="897"/>
        <v>298.98594471637813</v>
      </c>
      <c r="BI719" s="49">
        <f t="shared" ca="1" si="897"/>
        <v>305.28677450189724</v>
      </c>
      <c r="BJ719" s="49">
        <f t="shared" ca="1" si="897"/>
        <v>311.68274513041848</v>
      </c>
      <c r="BK719" s="49">
        <f t="shared" ca="1" si="897"/>
        <v>314.7538819324871</v>
      </c>
      <c r="BL719" s="49">
        <f t="shared" ca="1" si="897"/>
        <v>310.94538250503325</v>
      </c>
      <c r="BM719" s="49">
        <f t="shared" ca="1" si="897"/>
        <v>317.49824548197307</v>
      </c>
      <c r="BN719" s="49">
        <f t="shared" ca="1" si="897"/>
        <v>324.15005493563513</v>
      </c>
      <c r="BO719" s="49">
        <f t="shared" ca="1" si="897"/>
        <v>327.34403720978656</v>
      </c>
      <c r="BP719" s="49">
        <f t="shared" ca="1" si="897"/>
        <v>323.38319780523454</v>
      </c>
      <c r="BQ719" s="49">
        <f t="shared" ca="1" si="897"/>
        <v>330.19817530125198</v>
      </c>
      <c r="BR719" s="49">
        <f t="shared" ca="1" si="897"/>
        <v>337.11605713306051</v>
      </c>
      <c r="BS719" s="49">
        <f t="shared" ca="1" si="897"/>
        <v>340.43779869817791</v>
      </c>
      <c r="BT719" s="49">
        <f t="shared" ca="1" si="897"/>
        <v>339.12628511550992</v>
      </c>
      <c r="BU719" s="49">
        <f t="shared" ca="1" si="897"/>
        <v>342.46783427419456</v>
      </c>
      <c r="BV719" s="49">
        <f t="shared" ca="1" si="897"/>
        <v>349.64277401013589</v>
      </c>
      <c r="BW719" s="49">
        <f t="shared" ca="1" si="897"/>
        <v>353.08794640936696</v>
      </c>
      <c r="BX719" s="49">
        <f t="shared" ca="1" si="897"/>
        <v>349.77126674614152</v>
      </c>
      <c r="BY719" s="49">
        <f t="shared" ca="1" si="897"/>
        <v>357.14234640583402</v>
      </c>
      <c r="BZ719" s="49">
        <f t="shared" ca="1" si="897"/>
        <v>364.62472739511816</v>
      </c>
      <c r="CA719" s="49">
        <f t="shared" ca="1" si="897"/>
        <v>368.21752307194919</v>
      </c>
      <c r="CB719" s="49">
        <f t="shared" ca="1" si="897"/>
        <v>363.76211741598718</v>
      </c>
      <c r="CC719" s="49">
        <f t="shared" ca="1" si="897"/>
        <v>371.42804026206733</v>
      </c>
      <c r="CD719" s="49">
        <f t="shared" ca="1" si="897"/>
        <v>379.20971649092286</v>
      </c>
      <c r="CE719" s="49">
        <f t="shared" ca="1" si="897"/>
        <v>382.94622399482711</v>
      </c>
      <c r="CF719" s="49">
        <f t="shared" ref="CF719:CO719" ca="1" si="898">SUM(CF716:CF718)</f>
        <v>378.31260211262662</v>
      </c>
      <c r="CG719" s="49">
        <f t="shared" ca="1" si="898"/>
        <v>386.28516187255002</v>
      </c>
      <c r="CH719" s="49">
        <f t="shared" ca="1" si="898"/>
        <v>394.37810515055975</v>
      </c>
      <c r="CI719" s="49">
        <f t="shared" ca="1" si="898"/>
        <v>398.26407295462025</v>
      </c>
      <c r="CJ719" s="49">
        <f t="shared" ca="1" si="898"/>
        <v>396.72978756337977</v>
      </c>
      <c r="CK719" s="49">
        <f t="shared" ca="1" si="898"/>
        <v>400.6389274503278</v>
      </c>
      <c r="CL719" s="49">
        <f t="shared" ca="1" si="898"/>
        <v>409.03259211790288</v>
      </c>
      <c r="CM719" s="49">
        <f t="shared" ca="1" si="898"/>
        <v>413.06295653981914</v>
      </c>
      <c r="CN719" s="49">
        <f t="shared" ca="1" si="898"/>
        <v>409.18291044501689</v>
      </c>
      <c r="CO719" s="49">
        <f t="shared" ca="1" si="898"/>
        <v>417.80603108135</v>
      </c>
    </row>
    <row r="720" spans="1:93">
      <c r="A720" s="10"/>
      <c r="B720" s="10"/>
      <c r="C720" s="10"/>
      <c r="D720" s="10"/>
      <c r="E720" s="10"/>
      <c r="F720" s="10"/>
      <c r="G720" s="11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  <c r="BA720" s="10"/>
      <c r="BB720" s="10"/>
      <c r="BC720" s="10"/>
      <c r="BD720" s="10"/>
      <c r="BE720" s="10"/>
      <c r="BF720" s="10"/>
      <c r="BG720" s="10"/>
      <c r="BH720" s="10"/>
      <c r="BI720" s="10"/>
      <c r="BJ720" s="10"/>
      <c r="BK720" s="10"/>
      <c r="BL720" s="10"/>
      <c r="BM720" s="10"/>
      <c r="BN720" s="10"/>
      <c r="BO720" s="10"/>
      <c r="BP720" s="10"/>
      <c r="BQ720" s="10"/>
      <c r="BR720" s="10"/>
      <c r="BS720" s="10"/>
      <c r="BT720" s="10"/>
      <c r="BU720" s="10"/>
      <c r="BV720" s="10"/>
      <c r="BW720" s="10"/>
      <c r="BX720" s="10"/>
      <c r="BY720" s="10"/>
      <c r="BZ720" s="10"/>
      <c r="CA720" s="10"/>
      <c r="CB720" s="10"/>
      <c r="CC720" s="10"/>
      <c r="CD720" s="10"/>
      <c r="CE720" s="10"/>
      <c r="CF720" s="10"/>
      <c r="CG720" s="10"/>
      <c r="CH720" s="10"/>
      <c r="CI720" s="10"/>
      <c r="CJ720" s="10"/>
      <c r="CK720" s="10"/>
      <c r="CL720" s="10"/>
      <c r="CM720" s="10"/>
      <c r="CN720" s="10"/>
      <c r="CO720" s="10"/>
    </row>
    <row r="721" spans="1:93" ht="15" customHeight="1">
      <c r="A721" s="10"/>
      <c r="B721" s="3"/>
      <c r="C721" s="382" t="str">
        <f>C692</f>
        <v>Сегмент 1: Объект размещения (отель)</v>
      </c>
      <c r="D721" s="271"/>
      <c r="E721" s="271"/>
      <c r="F721" s="271"/>
      <c r="G721" s="272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  <c r="CA721" s="271"/>
      <c r="CB721" s="271"/>
      <c r="CC721" s="271"/>
      <c r="CD721" s="271"/>
      <c r="CE721" s="271"/>
      <c r="CF721" s="271"/>
      <c r="CG721" s="271"/>
      <c r="CH721" s="271"/>
      <c r="CI721" s="271"/>
      <c r="CJ721" s="271"/>
      <c r="CK721" s="271"/>
      <c r="CL721" s="271"/>
      <c r="CM721" s="271"/>
      <c r="CN721" s="271"/>
      <c r="CO721" s="271"/>
    </row>
    <row r="722" spans="1:93">
      <c r="A722" s="10"/>
      <c r="B722" s="10"/>
      <c r="C722" s="10"/>
      <c r="D722" s="10"/>
      <c r="E722" s="10"/>
      <c r="F722" s="10"/>
      <c r="G722" s="11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  <c r="BA722" s="10"/>
      <c r="BB722" s="10"/>
      <c r="BC722" s="10"/>
      <c r="BD722" s="10"/>
      <c r="BE722" s="10"/>
      <c r="BF722" s="10"/>
      <c r="BG722" s="10"/>
      <c r="BH722" s="10"/>
      <c r="BI722" s="10"/>
      <c r="BJ722" s="10"/>
      <c r="BK722" s="10"/>
      <c r="BL722" s="10"/>
      <c r="BM722" s="10"/>
      <c r="BN722" s="10"/>
      <c r="BO722" s="10"/>
      <c r="BP722" s="10"/>
      <c r="BQ722" s="10"/>
      <c r="BR722" s="10"/>
      <c r="BS722" s="10"/>
      <c r="BT722" s="10"/>
      <c r="BU722" s="10"/>
      <c r="BV722" s="10"/>
      <c r="BW722" s="10"/>
      <c r="BX722" s="10"/>
      <c r="BY722" s="10"/>
      <c r="BZ722" s="10"/>
      <c r="CA722" s="10"/>
      <c r="CB722" s="10"/>
      <c r="CC722" s="10"/>
      <c r="CD722" s="10"/>
      <c r="CE722" s="10"/>
      <c r="CF722" s="10"/>
      <c r="CG722" s="10"/>
      <c r="CH722" s="10"/>
      <c r="CI722" s="10"/>
      <c r="CJ722" s="10"/>
      <c r="CK722" s="10"/>
      <c r="CL722" s="10"/>
      <c r="CM722" s="10"/>
      <c r="CN722" s="10"/>
      <c r="CO722" s="10"/>
    </row>
    <row r="723" spans="1:93" ht="16.5" thickBot="1">
      <c r="A723" s="10"/>
      <c r="B723" s="10"/>
      <c r="C723" s="12" t="s">
        <v>889</v>
      </c>
      <c r="D723" s="12"/>
      <c r="E723" s="12"/>
      <c r="F723" s="12"/>
      <c r="G723" s="360"/>
      <c r="H723" s="12"/>
      <c r="I723" s="12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  <c r="BA723" s="10"/>
      <c r="BB723" s="10"/>
      <c r="BC723" s="10"/>
      <c r="BD723" s="10"/>
      <c r="BE723" s="10"/>
      <c r="BF723" s="10"/>
      <c r="BG723" s="10"/>
      <c r="BH723" s="10"/>
      <c r="BI723" s="10"/>
      <c r="BJ723" s="10"/>
      <c r="BK723" s="10"/>
      <c r="BL723" s="10"/>
      <c r="BM723" s="10"/>
      <c r="BN723" s="10"/>
      <c r="BO723" s="10"/>
      <c r="BP723" s="10"/>
      <c r="BQ723" s="10"/>
      <c r="BR723" s="10"/>
      <c r="BS723" s="10"/>
      <c r="BT723" s="10"/>
      <c r="BU723" s="10"/>
      <c r="BV723" s="10"/>
      <c r="BW723" s="10"/>
      <c r="BX723" s="10"/>
      <c r="BY723" s="10"/>
      <c r="BZ723" s="10"/>
      <c r="CA723" s="10"/>
      <c r="CB723" s="10"/>
      <c r="CC723" s="10"/>
      <c r="CD723" s="10"/>
      <c r="CE723" s="10"/>
      <c r="CF723" s="10"/>
      <c r="CG723" s="10"/>
      <c r="CH723" s="10"/>
      <c r="CI723" s="10"/>
      <c r="CJ723" s="10"/>
      <c r="CK723" s="10"/>
      <c r="CL723" s="10"/>
      <c r="CM723" s="10"/>
      <c r="CN723" s="10"/>
      <c r="CO723" s="10"/>
    </row>
    <row r="724" spans="1:93">
      <c r="A724" s="10"/>
      <c r="B724" s="10"/>
      <c r="C724" s="10"/>
      <c r="D724" s="10"/>
      <c r="E724" s="59"/>
      <c r="F724" s="3"/>
      <c r="G724" s="142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  <c r="BA724" s="10"/>
      <c r="BB724" s="10"/>
      <c r="BC724" s="10"/>
      <c r="BD724" s="10"/>
      <c r="BE724" s="10"/>
      <c r="BF724" s="10"/>
      <c r="BG724" s="10"/>
      <c r="BH724" s="10"/>
      <c r="BI724" s="10"/>
      <c r="BJ724" s="10"/>
      <c r="BK724" s="10"/>
      <c r="BL724" s="10"/>
      <c r="BM724" s="10"/>
      <c r="BN724" s="10"/>
      <c r="BO724" s="10"/>
      <c r="BP724" s="10"/>
      <c r="BQ724" s="10"/>
      <c r="BR724" s="10"/>
      <c r="BS724" s="10"/>
      <c r="BT724" s="10"/>
      <c r="BU724" s="10"/>
      <c r="BV724" s="10"/>
      <c r="BW724" s="10"/>
      <c r="BX724" s="10"/>
      <c r="BY724" s="10"/>
      <c r="BZ724" s="10"/>
      <c r="CA724" s="10"/>
      <c r="CB724" s="10"/>
      <c r="CC724" s="10"/>
      <c r="CD724" s="10"/>
      <c r="CE724" s="10"/>
      <c r="CF724" s="10"/>
      <c r="CG724" s="10"/>
      <c r="CH724" s="10"/>
      <c r="CI724" s="10"/>
      <c r="CJ724" s="10"/>
      <c r="CK724" s="10"/>
      <c r="CL724" s="10"/>
      <c r="CM724" s="10"/>
      <c r="CN724" s="10"/>
      <c r="CO724" s="10"/>
    </row>
    <row r="725" spans="1:93">
      <c r="A725" s="10"/>
      <c r="B725" s="10"/>
      <c r="C725" s="41" t="s">
        <v>724</v>
      </c>
      <c r="D725" s="10"/>
      <c r="E725" s="59"/>
      <c r="F725" s="3"/>
      <c r="G725" s="142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  <c r="BA725" s="10"/>
      <c r="BB725" s="10"/>
      <c r="BC725" s="10"/>
      <c r="BD725" s="10"/>
      <c r="BE725" s="10"/>
      <c r="BF725" s="10"/>
      <c r="BG725" s="10"/>
      <c r="BH725" s="10"/>
      <c r="BI725" s="10"/>
      <c r="BJ725" s="10"/>
      <c r="BK725" s="10"/>
      <c r="BL725" s="10"/>
      <c r="BM725" s="10"/>
      <c r="BN725" s="10"/>
      <c r="BO725" s="10"/>
      <c r="BP725" s="10"/>
      <c r="BQ725" s="10"/>
      <c r="BR725" s="10"/>
      <c r="BS725" s="10"/>
      <c r="BT725" s="10"/>
      <c r="BU725" s="10"/>
      <c r="BV725" s="10"/>
      <c r="BW725" s="10"/>
      <c r="BX725" s="10"/>
      <c r="BY725" s="10"/>
      <c r="BZ725" s="10"/>
      <c r="CA725" s="10"/>
      <c r="CB725" s="10"/>
      <c r="CC725" s="10"/>
      <c r="CD725" s="10"/>
      <c r="CE725" s="10"/>
      <c r="CF725" s="10"/>
      <c r="CG725" s="10"/>
      <c r="CH725" s="10"/>
      <c r="CI725" s="10"/>
      <c r="CJ725" s="10"/>
      <c r="CK725" s="10"/>
      <c r="CL725" s="10"/>
      <c r="CM725" s="10"/>
      <c r="CN725" s="10"/>
      <c r="CO725" s="10"/>
    </row>
    <row r="726" spans="1:93">
      <c r="A726" s="10"/>
      <c r="B726" s="10"/>
      <c r="C726" s="17" t="s">
        <v>698</v>
      </c>
      <c r="D726" s="10"/>
      <c r="E726" s="178">
        <f xml:space="preserve"> Предпосылки!E458</f>
        <v>0.15</v>
      </c>
      <c r="F726" s="3"/>
      <c r="G726" s="142" t="s">
        <v>28</v>
      </c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  <c r="BA726" s="10"/>
      <c r="BB726" s="10"/>
      <c r="BC726" s="10"/>
      <c r="BD726" s="10"/>
      <c r="BE726" s="10"/>
      <c r="BF726" s="10"/>
      <c r="BG726" s="10"/>
      <c r="BH726" s="10"/>
      <c r="BI726" s="10"/>
      <c r="BJ726" s="10"/>
      <c r="BK726" s="10"/>
      <c r="BL726" s="10"/>
      <c r="BM726" s="10"/>
      <c r="BN726" s="10"/>
      <c r="BO726" s="10"/>
      <c r="BP726" s="10"/>
      <c r="BQ726" s="10"/>
      <c r="BR726" s="10"/>
      <c r="BS726" s="10"/>
      <c r="BT726" s="10"/>
      <c r="BU726" s="10"/>
      <c r="BV726" s="10"/>
      <c r="BW726" s="10"/>
      <c r="BX726" s="10"/>
      <c r="BY726" s="10"/>
      <c r="BZ726" s="10"/>
      <c r="CA726" s="10"/>
      <c r="CB726" s="10"/>
      <c r="CC726" s="10"/>
      <c r="CD726" s="10"/>
      <c r="CE726" s="10"/>
      <c r="CF726" s="10"/>
      <c r="CG726" s="10"/>
      <c r="CH726" s="10"/>
      <c r="CI726" s="10"/>
      <c r="CJ726" s="10"/>
      <c r="CK726" s="10"/>
      <c r="CL726" s="10"/>
      <c r="CM726" s="10"/>
      <c r="CN726" s="10"/>
      <c r="CO726" s="10"/>
    </row>
    <row r="727" spans="1:93">
      <c r="A727" s="10"/>
      <c r="B727" s="10"/>
      <c r="C727" s="17" t="s">
        <v>699</v>
      </c>
      <c r="D727" s="10"/>
      <c r="E727" s="178">
        <f xml:space="preserve"> Предпосылки!E459</f>
        <v>6.9154862960644922E-2</v>
      </c>
      <c r="F727" s="3"/>
      <c r="G727" s="142" t="s">
        <v>28</v>
      </c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  <c r="BA727" s="10"/>
      <c r="BB727" s="10"/>
      <c r="BC727" s="10"/>
      <c r="BD727" s="10"/>
      <c r="BE727" s="10"/>
      <c r="BF727" s="10"/>
      <c r="BG727" s="10"/>
      <c r="BH727" s="10"/>
      <c r="BI727" s="10"/>
      <c r="BJ727" s="10"/>
      <c r="BK727" s="10"/>
      <c r="BL727" s="10"/>
      <c r="BM727" s="10"/>
      <c r="BN727" s="10"/>
      <c r="BO727" s="10"/>
      <c r="BP727" s="10"/>
      <c r="BQ727" s="10"/>
      <c r="BR727" s="10"/>
      <c r="BS727" s="10"/>
      <c r="BT727" s="10"/>
      <c r="BU727" s="10"/>
      <c r="BV727" s="10"/>
      <c r="BW727" s="10"/>
      <c r="BX727" s="10"/>
      <c r="BY727" s="10"/>
      <c r="BZ727" s="10"/>
      <c r="CA727" s="10"/>
      <c r="CB727" s="10"/>
      <c r="CC727" s="10"/>
      <c r="CD727" s="10"/>
      <c r="CE727" s="10"/>
      <c r="CF727" s="10"/>
      <c r="CG727" s="10"/>
      <c r="CH727" s="10"/>
      <c r="CI727" s="10"/>
      <c r="CJ727" s="10"/>
      <c r="CK727" s="10"/>
      <c r="CL727" s="10"/>
      <c r="CM727" s="10"/>
      <c r="CN727" s="10"/>
      <c r="CO727" s="10"/>
    </row>
    <row r="728" spans="1:93">
      <c r="A728" s="10"/>
      <c r="B728" s="10"/>
      <c r="C728" s="10"/>
      <c r="D728" s="10"/>
      <c r="E728" s="59"/>
      <c r="F728" s="3"/>
      <c r="G728" s="142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  <c r="BA728" s="10"/>
      <c r="BB728" s="10"/>
      <c r="BC728" s="10"/>
      <c r="BD728" s="10"/>
      <c r="BE728" s="10"/>
      <c r="BF728" s="10"/>
      <c r="BG728" s="10"/>
      <c r="BH728" s="10"/>
      <c r="BI728" s="10"/>
      <c r="BJ728" s="10"/>
      <c r="BK728" s="10"/>
      <c r="BL728" s="10"/>
      <c r="BM728" s="10"/>
      <c r="BN728" s="10"/>
      <c r="BO728" s="10"/>
      <c r="BP728" s="10"/>
      <c r="BQ728" s="10"/>
      <c r="BR728" s="10"/>
      <c r="BS728" s="10"/>
      <c r="BT728" s="10"/>
      <c r="BU728" s="10"/>
      <c r="BV728" s="10"/>
      <c r="BW728" s="10"/>
      <c r="BX728" s="10"/>
      <c r="BY728" s="10"/>
      <c r="BZ728" s="10"/>
      <c r="CA728" s="10"/>
      <c r="CB728" s="10"/>
      <c r="CC728" s="10"/>
      <c r="CD728" s="10"/>
      <c r="CE728" s="10"/>
      <c r="CF728" s="10"/>
      <c r="CG728" s="10"/>
      <c r="CH728" s="10"/>
      <c r="CI728" s="10"/>
      <c r="CJ728" s="10"/>
      <c r="CK728" s="10"/>
      <c r="CL728" s="10"/>
      <c r="CM728" s="10"/>
      <c r="CN728" s="10"/>
      <c r="CO728" s="10"/>
    </row>
    <row r="729" spans="1:93">
      <c r="A729" s="10"/>
      <c r="B729" s="10"/>
      <c r="C729" s="41" t="s">
        <v>725</v>
      </c>
      <c r="D729" s="10"/>
      <c r="E729" s="59"/>
      <c r="F729" s="3"/>
      <c r="G729" s="142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  <c r="BA729" s="10"/>
      <c r="BB729" s="10"/>
      <c r="BC729" s="10"/>
      <c r="BD729" s="10"/>
      <c r="BE729" s="10"/>
      <c r="BF729" s="10"/>
      <c r="BG729" s="10"/>
      <c r="BH729" s="10"/>
      <c r="BI729" s="10"/>
      <c r="BJ729" s="10"/>
      <c r="BK729" s="10"/>
      <c r="BL729" s="10"/>
      <c r="BM729" s="10"/>
      <c r="BN729" s="10"/>
      <c r="BO729" s="10"/>
      <c r="BP729" s="10"/>
      <c r="BQ729" s="10"/>
      <c r="BR729" s="10"/>
      <c r="BS729" s="10"/>
      <c r="BT729" s="10"/>
      <c r="BU729" s="10"/>
      <c r="BV729" s="10"/>
      <c r="BW729" s="10"/>
      <c r="BX729" s="10"/>
      <c r="BY729" s="10"/>
      <c r="BZ729" s="10"/>
      <c r="CA729" s="10"/>
      <c r="CB729" s="10"/>
      <c r="CC729" s="10"/>
      <c r="CD729" s="10"/>
      <c r="CE729" s="10"/>
      <c r="CF729" s="10"/>
      <c r="CG729" s="10"/>
      <c r="CH729" s="10"/>
      <c r="CI729" s="10"/>
      <c r="CJ729" s="10"/>
      <c r="CK729" s="10"/>
      <c r="CL729" s="10"/>
      <c r="CM729" s="10"/>
      <c r="CN729" s="10"/>
      <c r="CO729" s="10"/>
    </row>
    <row r="730" spans="1:93">
      <c r="A730" s="10"/>
      <c r="B730" s="10"/>
      <c r="C730" s="17" t="s">
        <v>700</v>
      </c>
      <c r="D730" s="10"/>
      <c r="E730" s="178">
        <f>Предпосылки!E462</f>
        <v>0.3</v>
      </c>
      <c r="F730" s="3"/>
      <c r="G730" s="142" t="s">
        <v>28</v>
      </c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  <c r="BA730" s="10"/>
      <c r="BB730" s="10"/>
      <c r="BC730" s="10"/>
      <c r="BD730" s="10"/>
      <c r="BE730" s="10"/>
      <c r="BF730" s="10"/>
      <c r="BG730" s="10"/>
      <c r="BH730" s="10"/>
      <c r="BI730" s="10"/>
      <c r="BJ730" s="10"/>
      <c r="BK730" s="10"/>
      <c r="BL730" s="10"/>
      <c r="BM730" s="10"/>
      <c r="BN730" s="10"/>
      <c r="BO730" s="10"/>
      <c r="BP730" s="10"/>
      <c r="BQ730" s="10"/>
      <c r="BR730" s="10"/>
      <c r="BS730" s="10"/>
      <c r="BT730" s="10"/>
      <c r="BU730" s="10"/>
      <c r="BV730" s="10"/>
      <c r="BW730" s="10"/>
      <c r="BX730" s="10"/>
      <c r="BY730" s="10"/>
      <c r="BZ730" s="10"/>
      <c r="CA730" s="10"/>
      <c r="CB730" s="10"/>
      <c r="CC730" s="10"/>
      <c r="CD730" s="10"/>
      <c r="CE730" s="10"/>
      <c r="CF730" s="10"/>
      <c r="CG730" s="10"/>
      <c r="CH730" s="10"/>
      <c r="CI730" s="10"/>
      <c r="CJ730" s="10"/>
      <c r="CK730" s="10"/>
      <c r="CL730" s="10"/>
      <c r="CM730" s="10"/>
      <c r="CN730" s="10"/>
      <c r="CO730" s="10"/>
    </row>
    <row r="731" spans="1:93">
      <c r="A731" s="10"/>
      <c r="B731" s="10"/>
      <c r="C731" s="17" t="s">
        <v>698</v>
      </c>
      <c r="D731" s="10"/>
      <c r="E731" s="178">
        <f>Предпосылки!E463</f>
        <v>0.15</v>
      </c>
      <c r="F731" s="3"/>
      <c r="G731" s="142" t="s">
        <v>28</v>
      </c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  <c r="BA731" s="10"/>
      <c r="BB731" s="10"/>
      <c r="BC731" s="10"/>
      <c r="BD731" s="10"/>
      <c r="BE731" s="10"/>
      <c r="BF731" s="10"/>
      <c r="BG731" s="10"/>
      <c r="BH731" s="10"/>
      <c r="BI731" s="10"/>
      <c r="BJ731" s="10"/>
      <c r="BK731" s="10"/>
      <c r="BL731" s="10"/>
      <c r="BM731" s="10"/>
      <c r="BN731" s="10"/>
      <c r="BO731" s="10"/>
      <c r="BP731" s="10"/>
      <c r="BQ731" s="10"/>
      <c r="BR731" s="10"/>
      <c r="BS731" s="10"/>
      <c r="BT731" s="10"/>
      <c r="BU731" s="10"/>
      <c r="BV731" s="10"/>
      <c r="BW731" s="10"/>
      <c r="BX731" s="10"/>
      <c r="BY731" s="10"/>
      <c r="BZ731" s="10"/>
      <c r="CA731" s="10"/>
      <c r="CB731" s="10"/>
      <c r="CC731" s="10"/>
      <c r="CD731" s="10"/>
      <c r="CE731" s="10"/>
      <c r="CF731" s="10"/>
      <c r="CG731" s="10"/>
      <c r="CH731" s="10"/>
      <c r="CI731" s="10"/>
      <c r="CJ731" s="10"/>
      <c r="CK731" s="10"/>
      <c r="CL731" s="10"/>
      <c r="CM731" s="10"/>
      <c r="CN731" s="10"/>
      <c r="CO731" s="10"/>
    </row>
    <row r="732" spans="1:93">
      <c r="A732" s="10"/>
      <c r="B732" s="10"/>
      <c r="C732" s="17" t="s">
        <v>699</v>
      </c>
      <c r="D732" s="10"/>
      <c r="E732" s="178">
        <f>Предпосылки!E464</f>
        <v>0.24916520153848828</v>
      </c>
      <c r="F732" s="3"/>
      <c r="G732" s="142" t="s">
        <v>28</v>
      </c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  <c r="BA732" s="10"/>
      <c r="BB732" s="10"/>
      <c r="BC732" s="10"/>
      <c r="BD732" s="10"/>
      <c r="BE732" s="10"/>
      <c r="BF732" s="10"/>
      <c r="BG732" s="10"/>
      <c r="BH732" s="10"/>
      <c r="BI732" s="10"/>
      <c r="BJ732" s="10"/>
      <c r="BK732" s="10"/>
      <c r="BL732" s="10"/>
      <c r="BM732" s="10"/>
      <c r="BN732" s="10"/>
      <c r="BO732" s="10"/>
      <c r="BP732" s="10"/>
      <c r="BQ732" s="10"/>
      <c r="BR732" s="10"/>
      <c r="BS732" s="10"/>
      <c r="BT732" s="10"/>
      <c r="BU732" s="10"/>
      <c r="BV732" s="10"/>
      <c r="BW732" s="10"/>
      <c r="BX732" s="10"/>
      <c r="BY732" s="10"/>
      <c r="BZ732" s="10"/>
      <c r="CA732" s="10"/>
      <c r="CB732" s="10"/>
      <c r="CC732" s="10"/>
      <c r="CD732" s="10"/>
      <c r="CE732" s="10"/>
      <c r="CF732" s="10"/>
      <c r="CG732" s="10"/>
      <c r="CH732" s="10"/>
      <c r="CI732" s="10"/>
      <c r="CJ732" s="10"/>
      <c r="CK732" s="10"/>
      <c r="CL732" s="10"/>
      <c r="CM732" s="10"/>
      <c r="CN732" s="10"/>
      <c r="CO732" s="10"/>
    </row>
    <row r="733" spans="1:93">
      <c r="A733" s="10"/>
      <c r="B733" s="10"/>
      <c r="C733" s="10"/>
      <c r="D733" s="10"/>
      <c r="E733" s="10"/>
      <c r="F733" s="10"/>
      <c r="G733" s="11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  <c r="BA733" s="10"/>
      <c r="BB733" s="10"/>
      <c r="BC733" s="10"/>
      <c r="BD733" s="10"/>
      <c r="BE733" s="10"/>
      <c r="BF733" s="10"/>
      <c r="BG733" s="10"/>
      <c r="BH733" s="10"/>
      <c r="BI733" s="10"/>
      <c r="BJ733" s="10"/>
      <c r="BK733" s="10"/>
      <c r="BL733" s="10"/>
      <c r="BM733" s="10"/>
      <c r="BN733" s="10"/>
      <c r="BO733" s="10"/>
      <c r="BP733" s="10"/>
      <c r="BQ733" s="10"/>
      <c r="BR733" s="10"/>
      <c r="BS733" s="10"/>
      <c r="BT733" s="10"/>
      <c r="BU733" s="10"/>
      <c r="BV733" s="10"/>
      <c r="BW733" s="10"/>
      <c r="BX733" s="10"/>
      <c r="BY733" s="10"/>
      <c r="BZ733" s="10"/>
      <c r="CA733" s="10"/>
      <c r="CB733" s="10"/>
      <c r="CC733" s="10"/>
      <c r="CD733" s="10"/>
      <c r="CE733" s="10"/>
      <c r="CF733" s="10"/>
      <c r="CG733" s="10"/>
      <c r="CH733" s="10"/>
      <c r="CI733" s="10"/>
      <c r="CJ733" s="10"/>
      <c r="CK733" s="10"/>
      <c r="CL733" s="10"/>
      <c r="CM733" s="10"/>
      <c r="CN733" s="10"/>
      <c r="CO733" s="10"/>
    </row>
    <row r="734" spans="1:93">
      <c r="A734" s="10"/>
      <c r="B734" s="10"/>
      <c r="C734" s="41" t="s">
        <v>726</v>
      </c>
      <c r="D734" s="10"/>
      <c r="E734" s="59"/>
      <c r="F734" s="3"/>
      <c r="G734" s="142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  <c r="BA734" s="10"/>
      <c r="BB734" s="10"/>
      <c r="BC734" s="10"/>
      <c r="BD734" s="10"/>
      <c r="BE734" s="10"/>
      <c r="BF734" s="10"/>
      <c r="BG734" s="10"/>
      <c r="BH734" s="10"/>
      <c r="BI734" s="10"/>
      <c r="BJ734" s="10"/>
      <c r="BK734" s="10"/>
      <c r="BL734" s="10"/>
      <c r="BM734" s="10"/>
      <c r="BN734" s="10"/>
      <c r="BO734" s="10"/>
      <c r="BP734" s="10"/>
      <c r="BQ734" s="10"/>
      <c r="BR734" s="10"/>
      <c r="BS734" s="10"/>
      <c r="BT734" s="10"/>
      <c r="BU734" s="10"/>
      <c r="BV734" s="10"/>
      <c r="BW734" s="10"/>
      <c r="BX734" s="10"/>
      <c r="BY734" s="10"/>
      <c r="BZ734" s="10"/>
      <c r="CA734" s="10"/>
      <c r="CB734" s="10"/>
      <c r="CC734" s="10"/>
      <c r="CD734" s="10"/>
      <c r="CE734" s="10"/>
      <c r="CF734" s="10"/>
      <c r="CG734" s="10"/>
      <c r="CH734" s="10"/>
      <c r="CI734" s="10"/>
      <c r="CJ734" s="10"/>
      <c r="CK734" s="10"/>
      <c r="CL734" s="10"/>
      <c r="CM734" s="10"/>
      <c r="CN734" s="10"/>
      <c r="CO734" s="10"/>
    </row>
    <row r="735" spans="1:93">
      <c r="A735" s="10"/>
      <c r="B735" s="10"/>
      <c r="C735" s="17" t="s">
        <v>700</v>
      </c>
      <c r="D735" s="10"/>
      <c r="E735" s="178">
        <f xml:space="preserve"> Предпосылки!E467</f>
        <v>0.11</v>
      </c>
      <c r="F735" s="3"/>
      <c r="G735" s="142" t="s">
        <v>28</v>
      </c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  <c r="BA735" s="10"/>
      <c r="BB735" s="10"/>
      <c r="BC735" s="10"/>
      <c r="BD735" s="10"/>
      <c r="BE735" s="10"/>
      <c r="BF735" s="10"/>
      <c r="BG735" s="10"/>
      <c r="BH735" s="10"/>
      <c r="BI735" s="10"/>
      <c r="BJ735" s="10"/>
      <c r="BK735" s="10"/>
      <c r="BL735" s="10"/>
      <c r="BM735" s="10"/>
      <c r="BN735" s="10"/>
      <c r="BO735" s="10"/>
      <c r="BP735" s="10"/>
      <c r="BQ735" s="10"/>
      <c r="BR735" s="10"/>
      <c r="BS735" s="10"/>
      <c r="BT735" s="10"/>
      <c r="BU735" s="10"/>
      <c r="BV735" s="10"/>
      <c r="BW735" s="10"/>
      <c r="BX735" s="10"/>
      <c r="BY735" s="10"/>
      <c r="BZ735" s="10"/>
      <c r="CA735" s="10"/>
      <c r="CB735" s="10"/>
      <c r="CC735" s="10"/>
      <c r="CD735" s="10"/>
      <c r="CE735" s="10"/>
      <c r="CF735" s="10"/>
      <c r="CG735" s="10"/>
      <c r="CH735" s="10"/>
      <c r="CI735" s="10"/>
      <c r="CJ735" s="10"/>
      <c r="CK735" s="10"/>
      <c r="CL735" s="10"/>
      <c r="CM735" s="10"/>
      <c r="CN735" s="10"/>
      <c r="CO735" s="10"/>
    </row>
    <row r="736" spans="1:93">
      <c r="A736" s="10"/>
      <c r="B736" s="10"/>
      <c r="C736" s="17" t="s">
        <v>699</v>
      </c>
      <c r="D736" s="10"/>
      <c r="E736" s="178">
        <f xml:space="preserve"> Предпосылки!E468</f>
        <v>0.11452269494858763</v>
      </c>
      <c r="F736" s="3"/>
      <c r="G736" s="142" t="s">
        <v>28</v>
      </c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  <c r="BA736" s="10"/>
      <c r="BB736" s="10"/>
      <c r="BC736" s="10"/>
      <c r="BD736" s="10"/>
      <c r="BE736" s="10"/>
      <c r="BF736" s="10"/>
      <c r="BG736" s="10"/>
      <c r="BH736" s="10"/>
      <c r="BI736" s="10"/>
      <c r="BJ736" s="10"/>
      <c r="BK736" s="10"/>
      <c r="BL736" s="10"/>
      <c r="BM736" s="10"/>
      <c r="BN736" s="10"/>
      <c r="BO736" s="10"/>
      <c r="BP736" s="10"/>
      <c r="BQ736" s="10"/>
      <c r="BR736" s="10"/>
      <c r="BS736" s="10"/>
      <c r="BT736" s="10"/>
      <c r="BU736" s="10"/>
      <c r="BV736" s="10"/>
      <c r="BW736" s="10"/>
      <c r="BX736" s="10"/>
      <c r="BY736" s="10"/>
      <c r="BZ736" s="10"/>
      <c r="CA736" s="10"/>
      <c r="CB736" s="10"/>
      <c r="CC736" s="10"/>
      <c r="CD736" s="10"/>
      <c r="CE736" s="10"/>
      <c r="CF736" s="10"/>
      <c r="CG736" s="10"/>
      <c r="CH736" s="10"/>
      <c r="CI736" s="10"/>
      <c r="CJ736" s="10"/>
      <c r="CK736" s="10"/>
      <c r="CL736" s="10"/>
      <c r="CM736" s="10"/>
      <c r="CN736" s="10"/>
      <c r="CO736" s="10"/>
    </row>
    <row r="737" spans="1:93">
      <c r="A737" s="10"/>
      <c r="B737" s="10"/>
      <c r="C737" s="10"/>
      <c r="D737" s="10"/>
      <c r="E737" s="59"/>
      <c r="F737" s="3"/>
      <c r="G737" s="142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  <c r="BA737" s="10"/>
      <c r="BB737" s="10"/>
      <c r="BC737" s="10"/>
      <c r="BD737" s="10"/>
      <c r="BE737" s="10"/>
      <c r="BF737" s="10"/>
      <c r="BG737" s="10"/>
      <c r="BH737" s="10"/>
      <c r="BI737" s="10"/>
      <c r="BJ737" s="10"/>
      <c r="BK737" s="10"/>
      <c r="BL737" s="10"/>
      <c r="BM737" s="10"/>
      <c r="BN737" s="10"/>
      <c r="BO737" s="10"/>
      <c r="BP737" s="10"/>
      <c r="BQ737" s="10"/>
      <c r="BR737" s="10"/>
      <c r="BS737" s="10"/>
      <c r="BT737" s="10"/>
      <c r="BU737" s="10"/>
      <c r="BV737" s="10"/>
      <c r="BW737" s="10"/>
      <c r="BX737" s="10"/>
      <c r="BY737" s="10"/>
      <c r="BZ737" s="10"/>
      <c r="CA737" s="10"/>
      <c r="CB737" s="10"/>
      <c r="CC737" s="10"/>
      <c r="CD737" s="10"/>
      <c r="CE737" s="10"/>
      <c r="CF737" s="10"/>
      <c r="CG737" s="10"/>
      <c r="CH737" s="10"/>
      <c r="CI737" s="10"/>
      <c r="CJ737" s="10"/>
      <c r="CK737" s="10"/>
      <c r="CL737" s="10"/>
      <c r="CM737" s="10"/>
      <c r="CN737" s="10"/>
      <c r="CO737" s="10"/>
    </row>
    <row r="738" spans="1:93">
      <c r="A738" s="10"/>
      <c r="B738" s="10"/>
      <c r="C738" s="41" t="s">
        <v>1034</v>
      </c>
      <c r="D738" s="10"/>
      <c r="E738" s="59"/>
      <c r="F738" s="3"/>
      <c r="G738" s="142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  <c r="BA738" s="10"/>
      <c r="BB738" s="10"/>
      <c r="BC738" s="10"/>
      <c r="BD738" s="10"/>
      <c r="BE738" s="10"/>
      <c r="BF738" s="10"/>
      <c r="BG738" s="10"/>
      <c r="BH738" s="10"/>
      <c r="BI738" s="10"/>
      <c r="BJ738" s="10"/>
      <c r="BK738" s="10"/>
      <c r="BL738" s="10"/>
      <c r="BM738" s="10"/>
      <c r="BN738" s="10"/>
      <c r="BO738" s="10"/>
      <c r="BP738" s="10"/>
      <c r="BQ738" s="10"/>
      <c r="BR738" s="10"/>
      <c r="BS738" s="10"/>
      <c r="BT738" s="10"/>
      <c r="BU738" s="10"/>
      <c r="BV738" s="10"/>
      <c r="BW738" s="10"/>
      <c r="BX738" s="10"/>
      <c r="BY738" s="10"/>
      <c r="BZ738" s="10"/>
      <c r="CA738" s="10"/>
      <c r="CB738" s="10"/>
      <c r="CC738" s="10"/>
      <c r="CD738" s="10"/>
      <c r="CE738" s="10"/>
      <c r="CF738" s="10"/>
      <c r="CG738" s="10"/>
      <c r="CH738" s="10"/>
      <c r="CI738" s="10"/>
      <c r="CJ738" s="10"/>
      <c r="CK738" s="10"/>
      <c r="CL738" s="10"/>
      <c r="CM738" s="10"/>
      <c r="CN738" s="10"/>
      <c r="CO738" s="10"/>
    </row>
    <row r="739" spans="1:93">
      <c r="A739" s="10"/>
      <c r="B739" s="10"/>
      <c r="C739" s="17" t="s">
        <v>1027</v>
      </c>
      <c r="D739" s="10"/>
      <c r="E739" s="178">
        <f>Предпосылки!$E$634</f>
        <v>0.22</v>
      </c>
      <c r="F739" s="3"/>
      <c r="G739" s="142" t="s">
        <v>28</v>
      </c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  <c r="BA739" s="10"/>
      <c r="BB739" s="10"/>
      <c r="BC739" s="10"/>
      <c r="BD739" s="10"/>
      <c r="BE739" s="10"/>
      <c r="BF739" s="10"/>
      <c r="BG739" s="10"/>
      <c r="BH739" s="10"/>
      <c r="BI739" s="10"/>
      <c r="BJ739" s="10"/>
      <c r="BK739" s="10"/>
      <c r="BL739" s="10"/>
      <c r="BM739" s="10"/>
      <c r="BN739" s="10"/>
      <c r="BO739" s="10"/>
      <c r="BP739" s="10"/>
      <c r="BQ739" s="10"/>
      <c r="BR739" s="10"/>
      <c r="BS739" s="10"/>
      <c r="BT739" s="10"/>
      <c r="BU739" s="10"/>
      <c r="BV739" s="10"/>
      <c r="BW739" s="10"/>
      <c r="BX739" s="10"/>
      <c r="BY739" s="10"/>
      <c r="BZ739" s="10"/>
      <c r="CA739" s="10"/>
      <c r="CB739" s="10"/>
      <c r="CC739" s="10"/>
      <c r="CD739" s="10"/>
      <c r="CE739" s="10"/>
      <c r="CF739" s="10"/>
      <c r="CG739" s="10"/>
      <c r="CH739" s="10"/>
      <c r="CI739" s="10"/>
      <c r="CJ739" s="10"/>
      <c r="CK739" s="10"/>
      <c r="CL739" s="10"/>
      <c r="CM739" s="10"/>
      <c r="CN739" s="10"/>
      <c r="CO739" s="10"/>
    </row>
    <row r="740" spans="1:93">
      <c r="A740" s="10"/>
      <c r="B740" s="10"/>
      <c r="C740" s="17" t="s">
        <v>1028</v>
      </c>
      <c r="D740" s="10"/>
      <c r="E740" s="178">
        <f>Предпосылки!$E$635</f>
        <v>2.9000000000000001E-2</v>
      </c>
      <c r="F740" s="3"/>
      <c r="G740" s="142" t="s">
        <v>28</v>
      </c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  <c r="BA740" s="10"/>
      <c r="BB740" s="10"/>
      <c r="BC740" s="10"/>
      <c r="BD740" s="10"/>
      <c r="BE740" s="10"/>
      <c r="BF740" s="10"/>
      <c r="BG740" s="10"/>
      <c r="BH740" s="10"/>
      <c r="BI740" s="10"/>
      <c r="BJ740" s="10"/>
      <c r="BK740" s="10"/>
      <c r="BL740" s="10"/>
      <c r="BM740" s="10"/>
      <c r="BN740" s="10"/>
      <c r="BO740" s="10"/>
      <c r="BP740" s="10"/>
      <c r="BQ740" s="10"/>
      <c r="BR740" s="10"/>
      <c r="BS740" s="10"/>
      <c r="BT740" s="10"/>
      <c r="BU740" s="10"/>
      <c r="BV740" s="10"/>
      <c r="BW740" s="10"/>
      <c r="BX740" s="10"/>
      <c r="BY740" s="10"/>
      <c r="BZ740" s="10"/>
      <c r="CA740" s="10"/>
      <c r="CB740" s="10"/>
      <c r="CC740" s="10"/>
      <c r="CD740" s="10"/>
      <c r="CE740" s="10"/>
      <c r="CF740" s="10"/>
      <c r="CG740" s="10"/>
      <c r="CH740" s="10"/>
      <c r="CI740" s="10"/>
      <c r="CJ740" s="10"/>
      <c r="CK740" s="10"/>
      <c r="CL740" s="10"/>
      <c r="CM740" s="10"/>
      <c r="CN740" s="10"/>
      <c r="CO740" s="10"/>
    </row>
    <row r="741" spans="1:93">
      <c r="A741" s="10"/>
      <c r="B741" s="10"/>
      <c r="C741" s="17" t="s">
        <v>1029</v>
      </c>
      <c r="D741" s="10"/>
      <c r="E741" s="178">
        <f>Предпосылки!$E$636</f>
        <v>5.0999999999999997E-2</v>
      </c>
      <c r="F741" s="3"/>
      <c r="G741" s="142" t="s">
        <v>28</v>
      </c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  <c r="BA741" s="10"/>
      <c r="BB741" s="10"/>
      <c r="BC741" s="10"/>
      <c r="BD741" s="10"/>
      <c r="BE741" s="10"/>
      <c r="BF741" s="10"/>
      <c r="BG741" s="10"/>
      <c r="BH741" s="10"/>
      <c r="BI741" s="10"/>
      <c r="BJ741" s="10"/>
      <c r="BK741" s="10"/>
      <c r="BL741" s="10"/>
      <c r="BM741" s="10"/>
      <c r="BN741" s="10"/>
      <c r="BO741" s="10"/>
      <c r="BP741" s="10"/>
      <c r="BQ741" s="10"/>
      <c r="BR741" s="10"/>
      <c r="BS741" s="10"/>
      <c r="BT741" s="10"/>
      <c r="BU741" s="10"/>
      <c r="BV741" s="10"/>
      <c r="BW741" s="10"/>
      <c r="BX741" s="10"/>
      <c r="BY741" s="10"/>
      <c r="BZ741" s="10"/>
      <c r="CA741" s="10"/>
      <c r="CB741" s="10"/>
      <c r="CC741" s="10"/>
      <c r="CD741" s="10"/>
      <c r="CE741" s="10"/>
      <c r="CF741" s="10"/>
      <c r="CG741" s="10"/>
      <c r="CH741" s="10"/>
      <c r="CI741" s="10"/>
      <c r="CJ741" s="10"/>
      <c r="CK741" s="10"/>
      <c r="CL741" s="10"/>
      <c r="CM741" s="10"/>
      <c r="CN741" s="10"/>
      <c r="CO741" s="10"/>
    </row>
    <row r="742" spans="1:93">
      <c r="A742" s="10"/>
      <c r="B742" s="10"/>
      <c r="C742" s="17" t="s">
        <v>1030</v>
      </c>
      <c r="D742" s="10"/>
      <c r="E742" s="178">
        <f>Предпосылки!$E$637</f>
        <v>2E-3</v>
      </c>
      <c r="F742" s="3"/>
      <c r="G742" s="142" t="s">
        <v>28</v>
      </c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  <c r="BA742" s="10"/>
      <c r="BB742" s="10"/>
      <c r="BC742" s="10"/>
      <c r="BD742" s="10"/>
      <c r="BE742" s="10"/>
      <c r="BF742" s="10"/>
      <c r="BG742" s="10"/>
      <c r="BH742" s="10"/>
      <c r="BI742" s="10"/>
      <c r="BJ742" s="10"/>
      <c r="BK742" s="10"/>
      <c r="BL742" s="10"/>
      <c r="BM742" s="10"/>
      <c r="BN742" s="10"/>
      <c r="BO742" s="10"/>
      <c r="BP742" s="10"/>
      <c r="BQ742" s="10"/>
      <c r="BR742" s="10"/>
      <c r="BS742" s="10"/>
      <c r="BT742" s="10"/>
      <c r="BU742" s="10"/>
      <c r="BV742" s="10"/>
      <c r="BW742" s="10"/>
      <c r="BX742" s="10"/>
      <c r="BY742" s="10"/>
      <c r="BZ742" s="10"/>
      <c r="CA742" s="10"/>
      <c r="CB742" s="10"/>
      <c r="CC742" s="10"/>
      <c r="CD742" s="10"/>
      <c r="CE742" s="10"/>
      <c r="CF742" s="10"/>
      <c r="CG742" s="10"/>
      <c r="CH742" s="10"/>
      <c r="CI742" s="10"/>
      <c r="CJ742" s="10"/>
      <c r="CK742" s="10"/>
      <c r="CL742" s="10"/>
      <c r="CM742" s="10"/>
      <c r="CN742" s="10"/>
      <c r="CO742" s="10"/>
    </row>
    <row r="743" spans="1:93">
      <c r="A743" s="10"/>
      <c r="B743" s="10"/>
      <c r="C743" s="10"/>
      <c r="D743" s="10"/>
      <c r="E743" s="59"/>
      <c r="F743" s="3"/>
      <c r="G743" s="142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  <c r="BA743" s="10"/>
      <c r="BB743" s="10"/>
      <c r="BC743" s="10"/>
      <c r="BD743" s="10"/>
      <c r="BE743" s="10"/>
      <c r="BF743" s="10"/>
      <c r="BG743" s="10"/>
      <c r="BH743" s="10"/>
      <c r="BI743" s="10"/>
      <c r="BJ743" s="10"/>
      <c r="BK743" s="10"/>
      <c r="BL743" s="10"/>
      <c r="BM743" s="10"/>
      <c r="BN743" s="10"/>
      <c r="BO743" s="10"/>
      <c r="BP743" s="10"/>
      <c r="BQ743" s="10"/>
      <c r="BR743" s="10"/>
      <c r="BS743" s="10"/>
      <c r="BT743" s="10"/>
      <c r="BU743" s="10"/>
      <c r="BV743" s="10"/>
      <c r="BW743" s="10"/>
      <c r="BX743" s="10"/>
      <c r="BY743" s="10"/>
      <c r="BZ743" s="10"/>
      <c r="CA743" s="10"/>
      <c r="CB743" s="10"/>
      <c r="CC743" s="10"/>
      <c r="CD743" s="10"/>
      <c r="CE743" s="10"/>
      <c r="CF743" s="10"/>
      <c r="CG743" s="10"/>
      <c r="CH743" s="10"/>
      <c r="CI743" s="10"/>
      <c r="CJ743" s="10"/>
      <c r="CK743" s="10"/>
      <c r="CL743" s="10"/>
      <c r="CM743" s="10"/>
      <c r="CN743" s="10"/>
      <c r="CO743" s="10"/>
    </row>
    <row r="744" spans="1:93" ht="16.5" thickBot="1">
      <c r="A744" s="10"/>
      <c r="B744" s="10"/>
      <c r="C744" s="12" t="s">
        <v>890</v>
      </c>
      <c r="D744" s="12"/>
      <c r="E744" s="12"/>
      <c r="F744" s="12"/>
      <c r="G744" s="360"/>
      <c r="H744" s="12"/>
      <c r="I744" s="12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  <c r="BA744" s="10"/>
      <c r="BB744" s="10"/>
      <c r="BC744" s="10"/>
      <c r="BD744" s="10"/>
      <c r="BE744" s="10"/>
      <c r="BF744" s="10"/>
      <c r="BG744" s="10"/>
      <c r="BH744" s="10"/>
      <c r="BI744" s="10"/>
      <c r="BJ744" s="10"/>
      <c r="BK744" s="10"/>
      <c r="BL744" s="10"/>
      <c r="BM744" s="10"/>
      <c r="BN744" s="10"/>
      <c r="BO744" s="10"/>
      <c r="BP744" s="10"/>
      <c r="BQ744" s="10"/>
      <c r="BR744" s="10"/>
      <c r="BS744" s="10"/>
      <c r="BT744" s="10"/>
      <c r="BU744" s="10"/>
      <c r="BV744" s="10"/>
      <c r="BW744" s="10"/>
      <c r="BX744" s="10"/>
      <c r="BY744" s="10"/>
      <c r="BZ744" s="10"/>
      <c r="CA744" s="10"/>
      <c r="CB744" s="10"/>
      <c r="CC744" s="10"/>
      <c r="CD744" s="10"/>
      <c r="CE744" s="10"/>
      <c r="CF744" s="10"/>
      <c r="CG744" s="10"/>
      <c r="CH744" s="10"/>
      <c r="CI744" s="10"/>
      <c r="CJ744" s="10"/>
      <c r="CK744" s="10"/>
      <c r="CL744" s="10"/>
      <c r="CM744" s="10"/>
      <c r="CN744" s="10"/>
      <c r="CO744" s="10"/>
    </row>
    <row r="745" spans="1:93">
      <c r="A745" s="10"/>
      <c r="B745" s="10"/>
      <c r="C745" s="17"/>
      <c r="D745" s="10"/>
      <c r="E745" s="3"/>
      <c r="F745" s="3"/>
      <c r="G745" s="142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  <c r="BA745" s="10"/>
      <c r="BB745" s="10"/>
      <c r="BC745" s="10"/>
      <c r="BD745" s="10"/>
      <c r="BE745" s="10"/>
      <c r="BF745" s="10"/>
      <c r="BG745" s="10"/>
      <c r="BH745" s="10"/>
      <c r="BI745" s="10"/>
      <c r="BJ745" s="10"/>
      <c r="BK745" s="10"/>
      <c r="BL745" s="10"/>
      <c r="BM745" s="10"/>
      <c r="BN745" s="10"/>
      <c r="BO745" s="10"/>
      <c r="BP745" s="10"/>
      <c r="BQ745" s="10"/>
      <c r="BR745" s="10"/>
      <c r="BS745" s="10"/>
      <c r="BT745" s="10"/>
      <c r="BU745" s="10"/>
      <c r="BV745" s="10"/>
      <c r="BW745" s="10"/>
      <c r="BX745" s="10"/>
      <c r="BY745" s="10"/>
      <c r="BZ745" s="10"/>
      <c r="CA745" s="10"/>
      <c r="CB745" s="10"/>
      <c r="CC745" s="10"/>
      <c r="CD745" s="10"/>
      <c r="CE745" s="10"/>
      <c r="CF745" s="10"/>
      <c r="CG745" s="10"/>
      <c r="CH745" s="10"/>
      <c r="CI745" s="10"/>
      <c r="CJ745" s="10"/>
      <c r="CK745" s="10"/>
      <c r="CL745" s="10"/>
      <c r="CM745" s="10"/>
      <c r="CN745" s="10"/>
      <c r="CO745" s="10"/>
    </row>
    <row r="746" spans="1:93">
      <c r="A746" s="10"/>
      <c r="B746" s="10"/>
      <c r="C746" s="41" t="s">
        <v>507</v>
      </c>
      <c r="D746" s="10"/>
      <c r="E746" s="10"/>
      <c r="F746" s="10"/>
      <c r="G746" s="11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  <c r="BA746" s="10"/>
      <c r="BB746" s="10"/>
      <c r="BC746" s="10"/>
      <c r="BD746" s="10"/>
      <c r="BE746" s="10"/>
      <c r="BF746" s="10"/>
      <c r="BG746" s="10"/>
      <c r="BH746" s="10"/>
      <c r="BI746" s="10"/>
      <c r="BJ746" s="10"/>
      <c r="BK746" s="10"/>
      <c r="BL746" s="10"/>
      <c r="BM746" s="10"/>
      <c r="BN746" s="10"/>
      <c r="BO746" s="10"/>
      <c r="BP746" s="10"/>
      <c r="BQ746" s="10"/>
      <c r="BR746" s="10"/>
      <c r="BS746" s="10"/>
      <c r="BT746" s="10"/>
      <c r="BU746" s="10"/>
      <c r="BV746" s="10"/>
      <c r="BW746" s="10"/>
      <c r="BX746" s="10"/>
      <c r="BY746" s="10"/>
      <c r="BZ746" s="10"/>
      <c r="CA746" s="10"/>
      <c r="CB746" s="10"/>
      <c r="CC746" s="10"/>
      <c r="CD746" s="10"/>
      <c r="CE746" s="10"/>
      <c r="CF746" s="10"/>
      <c r="CG746" s="10"/>
      <c r="CH746" s="10"/>
      <c r="CI746" s="10"/>
      <c r="CJ746" s="10"/>
      <c r="CK746" s="10"/>
      <c r="CL746" s="10"/>
      <c r="CM746" s="10"/>
      <c r="CN746" s="10"/>
      <c r="CO746" s="10"/>
    </row>
    <row r="747" spans="1:93">
      <c r="A747" s="10"/>
      <c r="B747" s="10"/>
      <c r="C747" s="17" t="s">
        <v>508</v>
      </c>
      <c r="D747" s="10"/>
      <c r="E747" s="10"/>
      <c r="F747" s="10"/>
      <c r="G747" s="11" t="str">
        <f>MIN(L747:CO747) &amp; ".." &amp; MAX(L747:CO747)</f>
        <v>0..1</v>
      </c>
      <c r="H747" s="10"/>
      <c r="I747" s="23">
        <f>SUM(L747:CO747)</f>
        <v>65</v>
      </c>
      <c r="J747" s="10"/>
      <c r="K747" s="10"/>
      <c r="L747" s="52">
        <f t="shared" ref="L747:BW747" si="899">Flag_Operations</f>
        <v>0</v>
      </c>
      <c r="M747" s="52">
        <f t="shared" si="899"/>
        <v>0</v>
      </c>
      <c r="N747" s="52">
        <f t="shared" si="899"/>
        <v>0</v>
      </c>
      <c r="O747" s="52">
        <f t="shared" si="899"/>
        <v>0</v>
      </c>
      <c r="P747" s="52">
        <f t="shared" si="899"/>
        <v>0</v>
      </c>
      <c r="Q747" s="52">
        <f t="shared" si="899"/>
        <v>0</v>
      </c>
      <c r="R747" s="52">
        <f t="shared" si="899"/>
        <v>0</v>
      </c>
      <c r="S747" s="52">
        <f t="shared" si="899"/>
        <v>0</v>
      </c>
      <c r="T747" s="52">
        <f t="shared" si="899"/>
        <v>0</v>
      </c>
      <c r="U747" s="52">
        <f t="shared" si="899"/>
        <v>0</v>
      </c>
      <c r="V747" s="52">
        <f t="shared" si="899"/>
        <v>0</v>
      </c>
      <c r="W747" s="52">
        <f t="shared" si="899"/>
        <v>0</v>
      </c>
      <c r="X747" s="52">
        <f t="shared" si="899"/>
        <v>0</v>
      </c>
      <c r="Y747" s="52">
        <f t="shared" si="899"/>
        <v>0</v>
      </c>
      <c r="Z747" s="52">
        <f t="shared" si="899"/>
        <v>0</v>
      </c>
      <c r="AA747" s="52">
        <f t="shared" si="899"/>
        <v>0</v>
      </c>
      <c r="AB747" s="52">
        <f t="shared" si="899"/>
        <v>0</v>
      </c>
      <c r="AC747" s="52">
        <f t="shared" si="899"/>
        <v>1</v>
      </c>
      <c r="AD747" s="52">
        <f t="shared" si="899"/>
        <v>1</v>
      </c>
      <c r="AE747" s="52">
        <f t="shared" si="899"/>
        <v>1</v>
      </c>
      <c r="AF747" s="52">
        <f t="shared" si="899"/>
        <v>1</v>
      </c>
      <c r="AG747" s="52">
        <f t="shared" si="899"/>
        <v>1</v>
      </c>
      <c r="AH747" s="52">
        <f t="shared" si="899"/>
        <v>1</v>
      </c>
      <c r="AI747" s="52">
        <f t="shared" si="899"/>
        <v>1</v>
      </c>
      <c r="AJ747" s="52">
        <f t="shared" si="899"/>
        <v>1</v>
      </c>
      <c r="AK747" s="52">
        <f t="shared" si="899"/>
        <v>1</v>
      </c>
      <c r="AL747" s="52">
        <f t="shared" si="899"/>
        <v>1</v>
      </c>
      <c r="AM747" s="52">
        <f t="shared" si="899"/>
        <v>1</v>
      </c>
      <c r="AN747" s="52">
        <f t="shared" si="899"/>
        <v>1</v>
      </c>
      <c r="AO747" s="52">
        <f t="shared" si="899"/>
        <v>1</v>
      </c>
      <c r="AP747" s="52">
        <f t="shared" si="899"/>
        <v>1</v>
      </c>
      <c r="AQ747" s="52">
        <f t="shared" si="899"/>
        <v>1</v>
      </c>
      <c r="AR747" s="52">
        <f t="shared" si="899"/>
        <v>1</v>
      </c>
      <c r="AS747" s="52">
        <f t="shared" si="899"/>
        <v>1</v>
      </c>
      <c r="AT747" s="52">
        <f t="shared" si="899"/>
        <v>1</v>
      </c>
      <c r="AU747" s="52">
        <f t="shared" si="899"/>
        <v>1</v>
      </c>
      <c r="AV747" s="52">
        <f t="shared" si="899"/>
        <v>1</v>
      </c>
      <c r="AW747" s="52">
        <f t="shared" si="899"/>
        <v>1</v>
      </c>
      <c r="AX747" s="52">
        <f t="shared" si="899"/>
        <v>1</v>
      </c>
      <c r="AY747" s="52">
        <f t="shared" si="899"/>
        <v>1</v>
      </c>
      <c r="AZ747" s="52">
        <f t="shared" si="899"/>
        <v>1</v>
      </c>
      <c r="BA747" s="52">
        <f t="shared" si="899"/>
        <v>1</v>
      </c>
      <c r="BB747" s="52">
        <f t="shared" si="899"/>
        <v>1</v>
      </c>
      <c r="BC747" s="52">
        <f t="shared" si="899"/>
        <v>1</v>
      </c>
      <c r="BD747" s="52">
        <f t="shared" si="899"/>
        <v>1</v>
      </c>
      <c r="BE747" s="52">
        <f t="shared" si="899"/>
        <v>1</v>
      </c>
      <c r="BF747" s="52">
        <f t="shared" si="899"/>
        <v>1</v>
      </c>
      <c r="BG747" s="52">
        <f t="shared" si="899"/>
        <v>1</v>
      </c>
      <c r="BH747" s="52">
        <f t="shared" si="899"/>
        <v>1</v>
      </c>
      <c r="BI747" s="52">
        <f t="shared" si="899"/>
        <v>1</v>
      </c>
      <c r="BJ747" s="52">
        <f t="shared" si="899"/>
        <v>1</v>
      </c>
      <c r="BK747" s="52">
        <f t="shared" si="899"/>
        <v>1</v>
      </c>
      <c r="BL747" s="52">
        <f t="shared" si="899"/>
        <v>1</v>
      </c>
      <c r="BM747" s="52">
        <f t="shared" si="899"/>
        <v>1</v>
      </c>
      <c r="BN747" s="52">
        <f t="shared" si="899"/>
        <v>1</v>
      </c>
      <c r="BO747" s="52">
        <f t="shared" si="899"/>
        <v>1</v>
      </c>
      <c r="BP747" s="52">
        <f t="shared" si="899"/>
        <v>1</v>
      </c>
      <c r="BQ747" s="52">
        <f t="shared" si="899"/>
        <v>1</v>
      </c>
      <c r="BR747" s="52">
        <f t="shared" si="899"/>
        <v>1</v>
      </c>
      <c r="BS747" s="52">
        <f t="shared" si="899"/>
        <v>1</v>
      </c>
      <c r="BT747" s="52">
        <f t="shared" si="899"/>
        <v>1</v>
      </c>
      <c r="BU747" s="52">
        <f t="shared" si="899"/>
        <v>1</v>
      </c>
      <c r="BV747" s="52">
        <f t="shared" si="899"/>
        <v>1</v>
      </c>
      <c r="BW747" s="52">
        <f t="shared" si="899"/>
        <v>1</v>
      </c>
      <c r="BX747" s="52">
        <f t="shared" ref="BX747:CO747" si="900">Flag_Operations</f>
        <v>1</v>
      </c>
      <c r="BY747" s="52">
        <f t="shared" si="900"/>
        <v>1</v>
      </c>
      <c r="BZ747" s="52">
        <f t="shared" si="900"/>
        <v>1</v>
      </c>
      <c r="CA747" s="52">
        <f t="shared" si="900"/>
        <v>1</v>
      </c>
      <c r="CB747" s="52">
        <f t="shared" si="900"/>
        <v>1</v>
      </c>
      <c r="CC747" s="52">
        <f t="shared" si="900"/>
        <v>1</v>
      </c>
      <c r="CD747" s="52">
        <f t="shared" si="900"/>
        <v>1</v>
      </c>
      <c r="CE747" s="52">
        <f t="shared" si="900"/>
        <v>1</v>
      </c>
      <c r="CF747" s="52">
        <f t="shared" si="900"/>
        <v>1</v>
      </c>
      <c r="CG747" s="52">
        <f t="shared" si="900"/>
        <v>1</v>
      </c>
      <c r="CH747" s="52">
        <f t="shared" si="900"/>
        <v>1</v>
      </c>
      <c r="CI747" s="52">
        <f t="shared" si="900"/>
        <v>1</v>
      </c>
      <c r="CJ747" s="52">
        <f t="shared" si="900"/>
        <v>1</v>
      </c>
      <c r="CK747" s="52">
        <f t="shared" si="900"/>
        <v>1</v>
      </c>
      <c r="CL747" s="52">
        <f t="shared" si="900"/>
        <v>1</v>
      </c>
      <c r="CM747" s="52">
        <f t="shared" si="900"/>
        <v>1</v>
      </c>
      <c r="CN747" s="52">
        <f t="shared" si="900"/>
        <v>1</v>
      </c>
      <c r="CO747" s="52">
        <f t="shared" si="900"/>
        <v>1</v>
      </c>
    </row>
    <row r="748" spans="1:93">
      <c r="A748" s="10"/>
      <c r="B748" s="10"/>
      <c r="C748" s="10"/>
      <c r="D748" s="10"/>
      <c r="E748" s="10"/>
      <c r="F748" s="10"/>
      <c r="G748" s="11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  <c r="BA748" s="10"/>
      <c r="BB748" s="10"/>
      <c r="BC748" s="10"/>
      <c r="BD748" s="10"/>
      <c r="BE748" s="10"/>
      <c r="BF748" s="10"/>
      <c r="BG748" s="10"/>
      <c r="BH748" s="10"/>
      <c r="BI748" s="10"/>
      <c r="BJ748" s="10"/>
      <c r="BK748" s="10"/>
      <c r="BL748" s="10"/>
      <c r="BM748" s="10"/>
      <c r="BN748" s="10"/>
      <c r="BO748" s="10"/>
      <c r="BP748" s="10"/>
      <c r="BQ748" s="10"/>
      <c r="BR748" s="10"/>
      <c r="BS748" s="10"/>
      <c r="BT748" s="10"/>
      <c r="BU748" s="10"/>
      <c r="BV748" s="10"/>
      <c r="BW748" s="10"/>
      <c r="BX748" s="10"/>
      <c r="BY748" s="10"/>
      <c r="BZ748" s="10"/>
      <c r="CA748" s="10"/>
      <c r="CB748" s="10"/>
      <c r="CC748" s="10"/>
      <c r="CD748" s="10"/>
      <c r="CE748" s="10"/>
      <c r="CF748" s="10"/>
      <c r="CG748" s="10"/>
      <c r="CH748" s="10"/>
      <c r="CI748" s="10"/>
      <c r="CJ748" s="10"/>
      <c r="CK748" s="10"/>
      <c r="CL748" s="10"/>
      <c r="CM748" s="10"/>
      <c r="CN748" s="10"/>
      <c r="CO748" s="10"/>
    </row>
    <row r="749" spans="1:93">
      <c r="A749" s="10"/>
      <c r="B749" s="10"/>
      <c r="C749" s="17" t="s">
        <v>1111</v>
      </c>
      <c r="D749" s="10"/>
      <c r="E749" s="10"/>
      <c r="F749" s="10"/>
      <c r="G749" s="11" t="str">
        <f>Monetary_Unit</f>
        <v>тыс. руб.</v>
      </c>
      <c r="H749" s="10"/>
      <c r="I749" s="23">
        <f ca="1">SUM(L749:CO749)</f>
        <v>20489933.304055765</v>
      </c>
      <c r="J749" s="10"/>
      <c r="K749" s="10"/>
      <c r="L749" s="450">
        <f t="shared" ref="L749:AQ749" ca="1" si="901" xml:space="preserve"> L608</f>
        <v>0</v>
      </c>
      <c r="M749" s="450">
        <f t="shared" ca="1" si="901"/>
        <v>0</v>
      </c>
      <c r="N749" s="450">
        <f t="shared" ca="1" si="901"/>
        <v>0</v>
      </c>
      <c r="O749" s="450">
        <f t="shared" ca="1" si="901"/>
        <v>0</v>
      </c>
      <c r="P749" s="450">
        <f t="shared" ca="1" si="901"/>
        <v>0</v>
      </c>
      <c r="Q749" s="450">
        <f t="shared" ca="1" si="901"/>
        <v>0</v>
      </c>
      <c r="R749" s="450">
        <f t="shared" ca="1" si="901"/>
        <v>0</v>
      </c>
      <c r="S749" s="450">
        <f t="shared" ca="1" si="901"/>
        <v>0</v>
      </c>
      <c r="T749" s="450">
        <f t="shared" ca="1" si="901"/>
        <v>0</v>
      </c>
      <c r="U749" s="450">
        <f t="shared" ca="1" si="901"/>
        <v>0</v>
      </c>
      <c r="V749" s="450">
        <f t="shared" ca="1" si="901"/>
        <v>0</v>
      </c>
      <c r="W749" s="450">
        <f t="shared" ca="1" si="901"/>
        <v>0</v>
      </c>
      <c r="X749" s="450">
        <f t="shared" ca="1" si="901"/>
        <v>0</v>
      </c>
      <c r="Y749" s="450">
        <f t="shared" ca="1" si="901"/>
        <v>0</v>
      </c>
      <c r="Z749" s="450">
        <f t="shared" ca="1" si="901"/>
        <v>0</v>
      </c>
      <c r="AA749" s="450">
        <f t="shared" ca="1" si="901"/>
        <v>0</v>
      </c>
      <c r="AB749" s="450">
        <f t="shared" ca="1" si="901"/>
        <v>0</v>
      </c>
      <c r="AC749" s="450">
        <f t="shared" ca="1" si="901"/>
        <v>164545.5185435958</v>
      </c>
      <c r="AD749" s="450">
        <f t="shared" ca="1" si="901"/>
        <v>338057.79545472539</v>
      </c>
      <c r="AE749" s="450">
        <f t="shared" ca="1" si="901"/>
        <v>111597.53426974696</v>
      </c>
      <c r="AF749" s="450">
        <f t="shared" ca="1" si="901"/>
        <v>98668.210048195804</v>
      </c>
      <c r="AG749" s="450">
        <f t="shared" ca="1" si="901"/>
        <v>191937.26881571734</v>
      </c>
      <c r="AH749" s="450">
        <f t="shared" ca="1" si="901"/>
        <v>393072.56264674349</v>
      </c>
      <c r="AI749" s="450">
        <f t="shared" ca="1" si="901"/>
        <v>129366.12159991174</v>
      </c>
      <c r="AJ749" s="450">
        <f t="shared" ca="1" si="901"/>
        <v>114050.45980476904</v>
      </c>
      <c r="AK749" s="450">
        <f t="shared" ca="1" si="901"/>
        <v>221257.0862799389</v>
      </c>
      <c r="AL749" s="450">
        <f t="shared" ca="1" si="901"/>
        <v>451947.61874139548</v>
      </c>
      <c r="AM749" s="450">
        <f t="shared" ca="1" si="901"/>
        <v>148377.63986165813</v>
      </c>
      <c r="AN749" s="450">
        <f t="shared" ca="1" si="901"/>
        <v>131955.480632522</v>
      </c>
      <c r="AO749" s="450">
        <f t="shared" ca="1" si="901"/>
        <v>252615.38951119295</v>
      </c>
      <c r="AP749" s="450">
        <f t="shared" ca="1" si="901"/>
        <v>503684.20329030126</v>
      </c>
      <c r="AQ749" s="450">
        <f t="shared" ca="1" si="901"/>
        <v>161507.91962295433</v>
      </c>
      <c r="AR749" s="450">
        <f t="shared" ref="AR749:BW749" ca="1" si="902" xml:space="preserve"> AR608</f>
        <v>138817.80219631869</v>
      </c>
      <c r="AS749" s="450">
        <f t="shared" ca="1" si="902"/>
        <v>262720.00509164063</v>
      </c>
      <c r="AT749" s="450">
        <f t="shared" ca="1" si="902"/>
        <v>523831.57142191334</v>
      </c>
      <c r="AU749" s="450">
        <f t="shared" ca="1" si="902"/>
        <v>167968.23640787249</v>
      </c>
      <c r="AV749" s="450">
        <f t="shared" ca="1" si="902"/>
        <v>144370.51428417143</v>
      </c>
      <c r="AW749" s="450">
        <f t="shared" ca="1" si="902"/>
        <v>273228.80529530626</v>
      </c>
      <c r="AX749" s="450">
        <f t="shared" ca="1" si="902"/>
        <v>544784.83427878981</v>
      </c>
      <c r="AY749" s="450">
        <f t="shared" ca="1" si="902"/>
        <v>174686.96586418737</v>
      </c>
      <c r="AZ749" s="450">
        <f t="shared" ca="1" si="902"/>
        <v>150145.33485553824</v>
      </c>
      <c r="BA749" s="450">
        <f t="shared" ca="1" si="902"/>
        <v>284157.95750711841</v>
      </c>
      <c r="BB749" s="450">
        <f t="shared" ca="1" si="902"/>
        <v>566576.22764994123</v>
      </c>
      <c r="BC749" s="450">
        <f t="shared" ca="1" si="902"/>
        <v>181674.44449875483</v>
      </c>
      <c r="BD749" s="450">
        <f t="shared" ca="1" si="902"/>
        <v>157886.16100809045</v>
      </c>
      <c r="BE749" s="450">
        <f t="shared" ca="1" si="902"/>
        <v>295524.27580740314</v>
      </c>
      <c r="BF749" s="450">
        <f t="shared" ca="1" si="902"/>
        <v>589239.27675593877</v>
      </c>
      <c r="BG749" s="450">
        <f t="shared" ca="1" si="902"/>
        <v>188941.42227870499</v>
      </c>
      <c r="BH749" s="450">
        <f t="shared" ca="1" si="902"/>
        <v>162397.19417975011</v>
      </c>
      <c r="BI749" s="450">
        <f t="shared" ca="1" si="902"/>
        <v>307345.24683969916</v>
      </c>
      <c r="BJ749" s="450">
        <f t="shared" ca="1" si="902"/>
        <v>612808.84782617621</v>
      </c>
      <c r="BK749" s="450">
        <f t="shared" ca="1" si="902"/>
        <v>196499.07916985318</v>
      </c>
      <c r="BL749" s="450">
        <f t="shared" ca="1" si="902"/>
        <v>168893.08194694016</v>
      </c>
      <c r="BM749" s="450">
        <f t="shared" ca="1" si="902"/>
        <v>319639.05671328714</v>
      </c>
      <c r="BN749" s="450">
        <f t="shared" ca="1" si="902"/>
        <v>637321.20173922309</v>
      </c>
      <c r="BO749" s="450">
        <f t="shared" ca="1" si="902"/>
        <v>204359.04233664728</v>
      </c>
      <c r="BP749" s="450">
        <f t="shared" ca="1" si="902"/>
        <v>175648.80522481768</v>
      </c>
      <c r="BQ749" s="450">
        <f t="shared" ca="1" si="902"/>
        <v>332424.61898181855</v>
      </c>
      <c r="BR749" s="450">
        <f t="shared" ca="1" si="902"/>
        <v>662814.04980879207</v>
      </c>
      <c r="BS749" s="450">
        <f t="shared" ca="1" si="902"/>
        <v>212533.4040301131</v>
      </c>
      <c r="BT749" s="450">
        <f t="shared" ca="1" si="902"/>
        <v>184704.47696085268</v>
      </c>
      <c r="BU749" s="450">
        <f t="shared" ca="1" si="902"/>
        <v>345721.60374109127</v>
      </c>
      <c r="BV749" s="450">
        <f t="shared" ca="1" si="902"/>
        <v>689326.6118011435</v>
      </c>
      <c r="BW749" s="450">
        <f t="shared" ca="1" si="902"/>
        <v>221034.7401913176</v>
      </c>
      <c r="BX749" s="450">
        <f t="shared" ref="BX749:CO749" ca="1" si="903" xml:space="preserve"> BX608</f>
        <v>189981.74773116276</v>
      </c>
      <c r="BY749" s="450">
        <f t="shared" ca="1" si="903"/>
        <v>359550.46789073484</v>
      </c>
      <c r="BZ749" s="450">
        <f t="shared" ca="1" si="903"/>
        <v>716899.67627318925</v>
      </c>
      <c r="CA749" s="450">
        <f t="shared" ca="1" si="903"/>
        <v>229876.12979897027</v>
      </c>
      <c r="CB749" s="450">
        <f t="shared" ca="1" si="903"/>
        <v>197581.01764040926</v>
      </c>
      <c r="CC749" s="450">
        <f t="shared" ca="1" si="903"/>
        <v>373932.4866063642</v>
      </c>
      <c r="CD749" s="450">
        <f t="shared" ca="1" si="903"/>
        <v>745575.66332411673</v>
      </c>
      <c r="CE749" s="450">
        <f t="shared" ca="1" si="903"/>
        <v>239071.17499092908</v>
      </c>
      <c r="CF749" s="450">
        <f t="shared" ca="1" si="903"/>
        <v>205484.2583460256</v>
      </c>
      <c r="CG749" s="450">
        <f t="shared" ca="1" si="903"/>
        <v>388889.78607061872</v>
      </c>
      <c r="CH749" s="450">
        <f t="shared" ca="1" si="903"/>
        <v>775398.68985708139</v>
      </c>
      <c r="CI749" s="450">
        <f t="shared" ca="1" si="903"/>
        <v>248634.02199056625</v>
      </c>
      <c r="CJ749" s="450">
        <f t="shared" ca="1" si="903"/>
        <v>216078.11344297626</v>
      </c>
      <c r="CK749" s="450">
        <f t="shared" ca="1" si="903"/>
        <v>404445.37751344353</v>
      </c>
      <c r="CL749" s="450">
        <f t="shared" ca="1" si="903"/>
        <v>806414.63745136454</v>
      </c>
      <c r="CM749" s="450">
        <f t="shared" ca="1" si="903"/>
        <v>258579.38287018886</v>
      </c>
      <c r="CN749" s="450">
        <f t="shared" ca="1" si="903"/>
        <v>222251.77382706126</v>
      </c>
      <c r="CO749" s="450">
        <f t="shared" ca="1" si="903"/>
        <v>420623.1926139812</v>
      </c>
    </row>
    <row r="750" spans="1:93">
      <c r="A750" s="10"/>
      <c r="B750" s="10"/>
      <c r="C750" s="17" t="s">
        <v>720</v>
      </c>
      <c r="D750" s="10"/>
      <c r="E750" s="10"/>
      <c r="F750" s="10"/>
      <c r="G750" s="11" t="str">
        <f>Monetary_Unit</f>
        <v>тыс. руб.</v>
      </c>
      <c r="H750" s="10"/>
      <c r="I750" s="23">
        <f ca="1">SUM(L750:CO750)</f>
        <v>7591098.5294688223</v>
      </c>
      <c r="J750" s="10"/>
      <c r="K750" s="10"/>
      <c r="L750" s="10">
        <f t="shared" ref="L750:AQ750" ca="1" si="904" xml:space="preserve"> L619</f>
        <v>0</v>
      </c>
      <c r="M750" s="10">
        <f t="shared" ca="1" si="904"/>
        <v>0</v>
      </c>
      <c r="N750" s="10">
        <f t="shared" ca="1" si="904"/>
        <v>0</v>
      </c>
      <c r="O750" s="10">
        <f t="shared" ca="1" si="904"/>
        <v>0</v>
      </c>
      <c r="P750" s="10">
        <f t="shared" ca="1" si="904"/>
        <v>0</v>
      </c>
      <c r="Q750" s="10">
        <f t="shared" ca="1" si="904"/>
        <v>0</v>
      </c>
      <c r="R750" s="10">
        <f t="shared" ca="1" si="904"/>
        <v>0</v>
      </c>
      <c r="S750" s="10">
        <f t="shared" ca="1" si="904"/>
        <v>0</v>
      </c>
      <c r="T750" s="10">
        <f t="shared" ca="1" si="904"/>
        <v>0</v>
      </c>
      <c r="U750" s="10">
        <f t="shared" ca="1" si="904"/>
        <v>0</v>
      </c>
      <c r="V750" s="10">
        <f t="shared" ca="1" si="904"/>
        <v>0</v>
      </c>
      <c r="W750" s="10">
        <f t="shared" ca="1" si="904"/>
        <v>0</v>
      </c>
      <c r="X750" s="10">
        <f t="shared" ca="1" si="904"/>
        <v>0</v>
      </c>
      <c r="Y750" s="10">
        <f t="shared" ca="1" si="904"/>
        <v>0</v>
      </c>
      <c r="Z750" s="10">
        <f t="shared" ca="1" si="904"/>
        <v>0</v>
      </c>
      <c r="AA750" s="10">
        <f t="shared" ca="1" si="904"/>
        <v>0</v>
      </c>
      <c r="AB750" s="10">
        <f t="shared" ca="1" si="904"/>
        <v>0</v>
      </c>
      <c r="AC750" s="10">
        <f t="shared" ca="1" si="904"/>
        <v>65340.903353030342</v>
      </c>
      <c r="AD750" s="10">
        <f t="shared" ca="1" si="904"/>
        <v>98118.284927344488</v>
      </c>
      <c r="AE750" s="10">
        <f t="shared" ca="1" si="904"/>
        <v>51595.418006841712</v>
      </c>
      <c r="AF750" s="10">
        <f t="shared" ca="1" si="904"/>
        <v>49397.201191803855</v>
      </c>
      <c r="AG750" s="10">
        <f t="shared" ca="1" si="904"/>
        <v>76218.147066761958</v>
      </c>
      <c r="AH750" s="10">
        <f t="shared" ca="1" si="904"/>
        <v>114085.83448583669</v>
      </c>
      <c r="AI750" s="10">
        <f t="shared" ca="1" si="904"/>
        <v>59810.453372004369</v>
      </c>
      <c r="AJ750" s="10">
        <f t="shared" ca="1" si="904"/>
        <v>57098.16268321906</v>
      </c>
      <c r="AK750" s="10">
        <f t="shared" ca="1" si="904"/>
        <v>87861.024832227282</v>
      </c>
      <c r="AL750" s="10">
        <f t="shared" ca="1" si="904"/>
        <v>131173.79875312457</v>
      </c>
      <c r="AM750" s="10">
        <f t="shared" ca="1" si="904"/>
        <v>68600.138897569108</v>
      </c>
      <c r="AN750" s="10">
        <f t="shared" ca="1" si="904"/>
        <v>66062.122967285497</v>
      </c>
      <c r="AO750" s="10">
        <f t="shared" ca="1" si="904"/>
        <v>100313.38378362294</v>
      </c>
      <c r="AP750" s="10">
        <f t="shared" ca="1" si="904"/>
        <v>146189.88479577587</v>
      </c>
      <c r="AQ750" s="10">
        <f t="shared" ca="1" si="904"/>
        <v>74670.723496627819</v>
      </c>
      <c r="AR750" s="10">
        <f t="shared" ref="AR750:BW750" ca="1" si="905" xml:space="preserve"> AR619</f>
        <v>69497.672054110328</v>
      </c>
      <c r="AS750" s="10">
        <f t="shared" ca="1" si="905"/>
        <v>104325.91913496786</v>
      </c>
      <c r="AT750" s="10">
        <f t="shared" ca="1" si="905"/>
        <v>152037.48018760691</v>
      </c>
      <c r="AU750" s="10">
        <f t="shared" ca="1" si="905"/>
        <v>77657.552436492915</v>
      </c>
      <c r="AV750" s="10">
        <f t="shared" ca="1" si="905"/>
        <v>72277.578936274731</v>
      </c>
      <c r="AW750" s="10">
        <f t="shared" ca="1" si="905"/>
        <v>108498.95590036655</v>
      </c>
      <c r="AX750" s="10">
        <f t="shared" ca="1" si="905"/>
        <v>158118.97939511118</v>
      </c>
      <c r="AY750" s="10">
        <f t="shared" ca="1" si="905"/>
        <v>80763.854533952617</v>
      </c>
      <c r="AZ750" s="10">
        <f t="shared" ca="1" si="905"/>
        <v>75168.682093725714</v>
      </c>
      <c r="BA750" s="10">
        <f t="shared" ca="1" si="905"/>
        <v>112838.91413638118</v>
      </c>
      <c r="BB750" s="10">
        <f t="shared" ca="1" si="905"/>
        <v>164443.73857091556</v>
      </c>
      <c r="BC750" s="10">
        <f t="shared" ca="1" si="905"/>
        <v>83994.408715310696</v>
      </c>
      <c r="BD750" s="10">
        <f t="shared" ca="1" si="905"/>
        <v>79044.045259446662</v>
      </c>
      <c r="BE750" s="10">
        <f t="shared" ca="1" si="905"/>
        <v>117352.47070183643</v>
      </c>
      <c r="BF750" s="10">
        <f t="shared" ca="1" si="905"/>
        <v>171021.48811375219</v>
      </c>
      <c r="BG750" s="10">
        <f t="shared" ca="1" si="905"/>
        <v>87354.185063923112</v>
      </c>
      <c r="BH750" s="10">
        <f t="shared" ca="1" si="905"/>
        <v>81302.446552573703</v>
      </c>
      <c r="BI750" s="10">
        <f t="shared" ca="1" si="905"/>
        <v>122046.56952990984</v>
      </c>
      <c r="BJ750" s="10">
        <f t="shared" ca="1" si="905"/>
        <v>177862.34763830222</v>
      </c>
      <c r="BK750" s="10">
        <f t="shared" ca="1" si="905"/>
        <v>90848.35246648005</v>
      </c>
      <c r="BL750" s="10">
        <f t="shared" ca="1" si="905"/>
        <v>84554.544414676639</v>
      </c>
      <c r="BM750" s="10">
        <f t="shared" ca="1" si="905"/>
        <v>126928.43231110624</v>
      </c>
      <c r="BN750" s="10">
        <f t="shared" ca="1" si="905"/>
        <v>184976.84154383428</v>
      </c>
      <c r="BO750" s="10">
        <f t="shared" ca="1" si="905"/>
        <v>94482.28656513922</v>
      </c>
      <c r="BP750" s="10">
        <f t="shared" ca="1" si="905"/>
        <v>87936.72619126369</v>
      </c>
      <c r="BQ750" s="10">
        <f t="shared" ca="1" si="905"/>
        <v>132005.56960355045</v>
      </c>
      <c r="BR750" s="10">
        <f t="shared" ca="1" si="905"/>
        <v>192375.91520558763</v>
      </c>
      <c r="BS750" s="10">
        <f t="shared" ca="1" si="905"/>
        <v>98261.578027744778</v>
      </c>
      <c r="BT750" s="10">
        <f t="shared" ca="1" si="905"/>
        <v>92470.35296379104</v>
      </c>
      <c r="BU750" s="10">
        <f t="shared" ca="1" si="905"/>
        <v>137285.79238769246</v>
      </c>
      <c r="BV750" s="10">
        <f t="shared" ca="1" si="905"/>
        <v>200070.95181381112</v>
      </c>
      <c r="BW750" s="10">
        <f t="shared" ca="1" si="905"/>
        <v>102192.04114885454</v>
      </c>
      <c r="BX750" s="10">
        <f t="shared" ref="BX750:CO750" ca="1" si="906" xml:space="preserve"> BX619</f>
        <v>95112.363048470783</v>
      </c>
      <c r="BY750" s="10">
        <f t="shared" ca="1" si="906"/>
        <v>142777.22408320016</v>
      </c>
      <c r="BZ750" s="10">
        <f t="shared" ca="1" si="906"/>
        <v>208073.78988636355</v>
      </c>
      <c r="CA750" s="10">
        <f t="shared" ca="1" si="906"/>
        <v>106279.72279480871</v>
      </c>
      <c r="CB750" s="10">
        <f t="shared" ca="1" si="906"/>
        <v>98916.857570409615</v>
      </c>
      <c r="CC750" s="10">
        <f t="shared" ca="1" si="906"/>
        <v>148488.31304652811</v>
      </c>
      <c r="CD750" s="10">
        <f t="shared" ca="1" si="906"/>
        <v>216396.74148181808</v>
      </c>
      <c r="CE750" s="10">
        <f t="shared" ca="1" si="906"/>
        <v>110530.91170660105</v>
      </c>
      <c r="CF750" s="10">
        <f t="shared" ca="1" si="906"/>
        <v>102873.53187322596</v>
      </c>
      <c r="CG750" s="10">
        <f t="shared" ca="1" si="906"/>
        <v>154427.84556838925</v>
      </c>
      <c r="CH750" s="10">
        <f t="shared" ca="1" si="906"/>
        <v>225052.61114109075</v>
      </c>
      <c r="CI750" s="10">
        <f t="shared" ca="1" si="906"/>
        <v>114952.14817486511</v>
      </c>
      <c r="CJ750" s="10">
        <f t="shared" ca="1" si="906"/>
        <v>108177.23396091229</v>
      </c>
      <c r="CK750" s="10">
        <f t="shared" ca="1" si="906"/>
        <v>160604.95939112481</v>
      </c>
      <c r="CL750" s="10">
        <f t="shared" ca="1" si="906"/>
        <v>234054.71558673438</v>
      </c>
      <c r="CM750" s="10">
        <f t="shared" ca="1" si="906"/>
        <v>119550.23410185969</v>
      </c>
      <c r="CN750" s="10">
        <f t="shared" ca="1" si="906"/>
        <v>111268.01207408121</v>
      </c>
      <c r="CO750" s="10">
        <f t="shared" ca="1" si="906"/>
        <v>167029.15776676979</v>
      </c>
    </row>
    <row r="751" spans="1:93">
      <c r="A751" s="10"/>
      <c r="B751" s="10"/>
      <c r="C751" s="17" t="s">
        <v>721</v>
      </c>
      <c r="D751" s="10"/>
      <c r="E751" s="10"/>
      <c r="F751" s="10"/>
      <c r="G751" s="11" t="str">
        <f>Monetary_Unit</f>
        <v>тыс. руб.</v>
      </c>
      <c r="H751" s="10"/>
      <c r="I751" s="23">
        <f ca="1">SUM(L751:CO751)</f>
        <v>2246482.5466819666</v>
      </c>
      <c r="J751" s="10"/>
      <c r="K751" s="10"/>
      <c r="L751" s="10">
        <f t="shared" ref="L751:AQ751" ca="1" si="907" xml:space="preserve"> L623</f>
        <v>0</v>
      </c>
      <c r="M751" s="10">
        <f t="shared" ca="1" si="907"/>
        <v>0</v>
      </c>
      <c r="N751" s="10">
        <f t="shared" ca="1" si="907"/>
        <v>0</v>
      </c>
      <c r="O751" s="10">
        <f t="shared" ca="1" si="907"/>
        <v>0</v>
      </c>
      <c r="P751" s="10">
        <f t="shared" ca="1" si="907"/>
        <v>0</v>
      </c>
      <c r="Q751" s="10">
        <f t="shared" ca="1" si="907"/>
        <v>0</v>
      </c>
      <c r="R751" s="10">
        <f t="shared" ca="1" si="907"/>
        <v>0</v>
      </c>
      <c r="S751" s="10">
        <f t="shared" ca="1" si="907"/>
        <v>0</v>
      </c>
      <c r="T751" s="10">
        <f t="shared" ca="1" si="907"/>
        <v>0</v>
      </c>
      <c r="U751" s="10">
        <f t="shared" ca="1" si="907"/>
        <v>0</v>
      </c>
      <c r="V751" s="10">
        <f t="shared" ca="1" si="907"/>
        <v>0</v>
      </c>
      <c r="W751" s="10">
        <f t="shared" ca="1" si="907"/>
        <v>0</v>
      </c>
      <c r="X751" s="10">
        <f t="shared" ca="1" si="907"/>
        <v>0</v>
      </c>
      <c r="Y751" s="10">
        <f t="shared" ca="1" si="907"/>
        <v>0</v>
      </c>
      <c r="Z751" s="10">
        <f t="shared" ca="1" si="907"/>
        <v>0</v>
      </c>
      <c r="AA751" s="10">
        <f t="shared" ca="1" si="907"/>
        <v>0</v>
      </c>
      <c r="AB751" s="10">
        <f t="shared" ca="1" si="907"/>
        <v>0</v>
      </c>
      <c r="AC751" s="10">
        <f t="shared" ca="1" si="907"/>
        <v>18390.913751730091</v>
      </c>
      <c r="AD751" s="10">
        <f t="shared" ca="1" si="907"/>
        <v>34894.086430565592</v>
      </c>
      <c r="AE751" s="10">
        <f t="shared" ca="1" si="907"/>
        <v>13055.436182127094</v>
      </c>
      <c r="AF751" s="10">
        <f t="shared" ca="1" si="907"/>
        <v>11845.232899199973</v>
      </c>
      <c r="AG751" s="10">
        <f t="shared" ca="1" si="907"/>
        <v>21452.433270598343</v>
      </c>
      <c r="AH751" s="10">
        <f t="shared" ca="1" si="907"/>
        <v>40572.671770606416</v>
      </c>
      <c r="AI751" s="10">
        <f t="shared" ca="1" si="907"/>
        <v>15134.125997753288</v>
      </c>
      <c r="AJ751" s="10">
        <f t="shared" ca="1" si="907"/>
        <v>13691.889799039047</v>
      </c>
      <c r="AK751" s="10">
        <f t="shared" ca="1" si="907"/>
        <v>24729.448888973297</v>
      </c>
      <c r="AL751" s="10">
        <f t="shared" ca="1" si="907"/>
        <v>46649.71339956161</v>
      </c>
      <c r="AM751" s="10">
        <f t="shared" ca="1" si="907"/>
        <v>17358.22230073818</v>
      </c>
      <c r="AN751" s="10">
        <f t="shared" ca="1" si="907"/>
        <v>15841.408287984599</v>
      </c>
      <c r="AO751" s="10">
        <f t="shared" ca="1" si="907"/>
        <v>28234.301863585275</v>
      </c>
      <c r="AP751" s="10">
        <f t="shared" ca="1" si="907"/>
        <v>51989.927046886172</v>
      </c>
      <c r="AQ751" s="10">
        <f t="shared" ca="1" si="907"/>
        <v>18894.291449566572</v>
      </c>
      <c r="AR751" s="10">
        <f t="shared" ref="AR751:BW751" ca="1" si="908" xml:space="preserve"> AR623</f>
        <v>16665.237940034323</v>
      </c>
      <c r="AS751" s="10">
        <f t="shared" ca="1" si="908"/>
        <v>29363.673938128679</v>
      </c>
      <c r="AT751" s="10">
        <f t="shared" ca="1" si="908"/>
        <v>54069.524128761615</v>
      </c>
      <c r="AU751" s="10">
        <f t="shared" ca="1" si="908"/>
        <v>19650.063107549231</v>
      </c>
      <c r="AV751" s="10">
        <f t="shared" ca="1" si="908"/>
        <v>17331.847457635693</v>
      </c>
      <c r="AW751" s="10">
        <f t="shared" ca="1" si="908"/>
        <v>30538.220895653823</v>
      </c>
      <c r="AX751" s="10">
        <f t="shared" ca="1" si="908"/>
        <v>56232.30509391208</v>
      </c>
      <c r="AY751" s="10">
        <f t="shared" ca="1" si="908"/>
        <v>20436.065631851201</v>
      </c>
      <c r="AZ751" s="10">
        <f t="shared" ca="1" si="908"/>
        <v>18025.121355941115</v>
      </c>
      <c r="BA751" s="10">
        <f t="shared" ca="1" si="908"/>
        <v>31759.749731479969</v>
      </c>
      <c r="BB751" s="10">
        <f t="shared" ca="1" si="908"/>
        <v>58481.597297668544</v>
      </c>
      <c r="BC751" s="10">
        <f t="shared" ca="1" si="908"/>
        <v>21253.508257125242</v>
      </c>
      <c r="BD751" s="10">
        <f t="shared" ca="1" si="908"/>
        <v>18954.416501402968</v>
      </c>
      <c r="BE751" s="10">
        <f t="shared" ca="1" si="908"/>
        <v>33030.139720739164</v>
      </c>
      <c r="BF751" s="10">
        <f t="shared" ca="1" si="908"/>
        <v>60820.861189575284</v>
      </c>
      <c r="BG751" s="10">
        <f t="shared" ca="1" si="908"/>
        <v>22103.648587410251</v>
      </c>
      <c r="BH751" s="10">
        <f t="shared" ca="1" si="908"/>
        <v>19495.971258585905</v>
      </c>
      <c r="BI751" s="10">
        <f t="shared" ca="1" si="908"/>
        <v>34351.345309568722</v>
      </c>
      <c r="BJ751" s="10">
        <f t="shared" ca="1" si="908"/>
        <v>63253.695637158278</v>
      </c>
      <c r="BK751" s="10">
        <f t="shared" ca="1" si="908"/>
        <v>22987.79453090666</v>
      </c>
      <c r="BL751" s="10">
        <f t="shared" ca="1" si="908"/>
        <v>20275.810108929345</v>
      </c>
      <c r="BM751" s="10">
        <f t="shared" ca="1" si="908"/>
        <v>35725.399121951472</v>
      </c>
      <c r="BN751" s="10">
        <f t="shared" ca="1" si="908"/>
        <v>65783.843462644596</v>
      </c>
      <c r="BO751" s="10">
        <f t="shared" ca="1" si="908"/>
        <v>23907.306312142919</v>
      </c>
      <c r="BP751" s="10">
        <f t="shared" ca="1" si="908"/>
        <v>21086.842513286509</v>
      </c>
      <c r="BQ751" s="10">
        <f t="shared" ca="1" si="908"/>
        <v>37154.415086829526</v>
      </c>
      <c r="BR751" s="10">
        <f t="shared" ca="1" si="908"/>
        <v>68415.197201150382</v>
      </c>
      <c r="BS751" s="10">
        <f t="shared" ca="1" si="908"/>
        <v>24863.598564628632</v>
      </c>
      <c r="BT751" s="10">
        <f t="shared" ca="1" si="908"/>
        <v>22173.9863939715</v>
      </c>
      <c r="BU751" s="10">
        <f t="shared" ca="1" si="908"/>
        <v>38640.591690302695</v>
      </c>
      <c r="BV751" s="10">
        <f t="shared" ca="1" si="908"/>
        <v>71151.805089196365</v>
      </c>
      <c r="BW751" s="10">
        <f t="shared" ca="1" si="908"/>
        <v>25858.142507213775</v>
      </c>
      <c r="BX751" s="10">
        <f t="shared" ref="BX751:CO751" ca="1" si="909" xml:space="preserve"> BX623</f>
        <v>22807.52886237068</v>
      </c>
      <c r="BY751" s="10">
        <f t="shared" ca="1" si="909"/>
        <v>40186.2153579148</v>
      </c>
      <c r="BZ751" s="10">
        <f t="shared" ca="1" si="909"/>
        <v>73997.877292764228</v>
      </c>
      <c r="CA751" s="10">
        <f t="shared" ca="1" si="909"/>
        <v>26892.468207502319</v>
      </c>
      <c r="CB751" s="10">
        <f t="shared" ca="1" si="909"/>
        <v>23719.830016865511</v>
      </c>
      <c r="CC751" s="10">
        <f t="shared" ca="1" si="909"/>
        <v>41793.663972231385</v>
      </c>
      <c r="CD751" s="10">
        <f t="shared" ca="1" si="909"/>
        <v>76957.792384474786</v>
      </c>
      <c r="CE751" s="10">
        <f t="shared" ca="1" si="909"/>
        <v>27968.166935802408</v>
      </c>
      <c r="CF751" s="10">
        <f t="shared" ca="1" si="909"/>
        <v>24668.623217540124</v>
      </c>
      <c r="CG751" s="10">
        <f t="shared" ca="1" si="909"/>
        <v>43465.410531120637</v>
      </c>
      <c r="CH751" s="10">
        <f t="shared" ca="1" si="909"/>
        <v>80036.104079853772</v>
      </c>
      <c r="CI751" s="10">
        <f t="shared" ca="1" si="909"/>
        <v>29086.893613234508</v>
      </c>
      <c r="CJ751" s="10">
        <f t="shared" ca="1" si="909"/>
        <v>25940.427792311082</v>
      </c>
      <c r="CK751" s="10">
        <f t="shared" ca="1" si="909"/>
        <v>45204.026952365472</v>
      </c>
      <c r="CL751" s="10">
        <f t="shared" ca="1" si="909"/>
        <v>83237.548243047917</v>
      </c>
      <c r="CM751" s="10">
        <f t="shared" ca="1" si="909"/>
        <v>30250.369357763884</v>
      </c>
      <c r="CN751" s="10">
        <f t="shared" ca="1" si="909"/>
        <v>26681.582872091396</v>
      </c>
      <c r="CO751" s="10">
        <f t="shared" ca="1" si="909"/>
        <v>47012.188030460078</v>
      </c>
    </row>
    <row r="752" spans="1:93">
      <c r="A752" s="10"/>
      <c r="B752" s="10"/>
      <c r="C752" s="10"/>
      <c r="D752" s="10"/>
      <c r="E752" s="10"/>
      <c r="F752" s="10"/>
      <c r="G752" s="11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  <c r="BA752" s="10"/>
      <c r="BB752" s="10"/>
      <c r="BC752" s="10"/>
      <c r="BD752" s="10"/>
      <c r="BE752" s="10"/>
      <c r="BF752" s="10"/>
      <c r="BG752" s="10"/>
      <c r="BH752" s="10"/>
      <c r="BI752" s="10"/>
      <c r="BJ752" s="10"/>
      <c r="BK752" s="10"/>
      <c r="BL752" s="10"/>
      <c r="BM752" s="10"/>
      <c r="BN752" s="10"/>
      <c r="BO752" s="10"/>
      <c r="BP752" s="10"/>
      <c r="BQ752" s="10"/>
      <c r="BR752" s="10"/>
      <c r="BS752" s="10"/>
      <c r="BT752" s="10"/>
      <c r="BU752" s="10"/>
      <c r="BV752" s="10"/>
      <c r="BW752" s="10"/>
      <c r="BX752" s="10"/>
      <c r="BY752" s="10"/>
      <c r="BZ752" s="10"/>
      <c r="CA752" s="10"/>
      <c r="CB752" s="10"/>
      <c r="CC752" s="10"/>
      <c r="CD752" s="10"/>
      <c r="CE752" s="10"/>
      <c r="CF752" s="10"/>
      <c r="CG752" s="10"/>
      <c r="CH752" s="10"/>
      <c r="CI752" s="10"/>
      <c r="CJ752" s="10"/>
      <c r="CK752" s="10"/>
      <c r="CL752" s="10"/>
      <c r="CM752" s="10"/>
      <c r="CN752" s="10"/>
      <c r="CO752" s="10"/>
    </row>
    <row r="753" spans="1:93">
      <c r="A753" s="10"/>
      <c r="B753" s="10"/>
      <c r="C753" s="41" t="s">
        <v>722</v>
      </c>
      <c r="D753" s="10"/>
      <c r="E753" s="10"/>
      <c r="F753" s="10"/>
      <c r="G753" s="11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  <c r="BA753" s="10"/>
      <c r="BB753" s="10"/>
      <c r="BC753" s="10"/>
      <c r="BD753" s="10"/>
      <c r="BE753" s="10"/>
      <c r="BF753" s="10"/>
      <c r="BG753" s="10"/>
      <c r="BH753" s="10"/>
      <c r="BI753" s="10"/>
      <c r="BJ753" s="10"/>
      <c r="BK753" s="10"/>
      <c r="BL753" s="10"/>
      <c r="BM753" s="10"/>
      <c r="BN753" s="10"/>
      <c r="BO753" s="10"/>
      <c r="BP753" s="10"/>
      <c r="BQ753" s="10"/>
      <c r="BR753" s="10"/>
      <c r="BS753" s="10"/>
      <c r="BT753" s="10"/>
      <c r="BU753" s="10"/>
      <c r="BV753" s="10"/>
      <c r="BW753" s="10"/>
      <c r="BX753" s="10"/>
      <c r="BY753" s="10"/>
      <c r="BZ753" s="10"/>
      <c r="CA753" s="10"/>
      <c r="CB753" s="10"/>
      <c r="CC753" s="10"/>
      <c r="CD753" s="10"/>
      <c r="CE753" s="10"/>
      <c r="CF753" s="10"/>
      <c r="CG753" s="10"/>
      <c r="CH753" s="10"/>
      <c r="CI753" s="10"/>
      <c r="CJ753" s="10"/>
      <c r="CK753" s="10"/>
      <c r="CL753" s="10"/>
      <c r="CM753" s="10"/>
      <c r="CN753" s="10"/>
      <c r="CO753" s="10"/>
    </row>
    <row r="754" spans="1:93">
      <c r="A754" s="10"/>
      <c r="B754" s="10"/>
      <c r="C754" s="17" t="s">
        <v>698</v>
      </c>
      <c r="D754" s="10"/>
      <c r="E754" s="240">
        <f xml:space="preserve"> E726</f>
        <v>0.15</v>
      </c>
      <c r="F754" s="10"/>
      <c r="G754" s="11" t="str">
        <f t="shared" ref="G754:G759" si="910">Monetary_Unit</f>
        <v>тыс. руб.</v>
      </c>
      <c r="H754" s="10"/>
      <c r="I754" s="23">
        <f t="shared" ref="I754:I759" ca="1" si="911">SUM(L754:CO754)</f>
        <v>3073489.9956083652</v>
      </c>
      <c r="J754" s="10"/>
      <c r="K754" s="10"/>
      <c r="L754" s="10">
        <f ca="1" xml:space="preserve"> L$749 * $E754 * $I$698</f>
        <v>0</v>
      </c>
      <c r="M754" s="10">
        <f t="shared" ref="M754:BX755" ca="1" si="912" xml:space="preserve"> M$749 * $E754 * $I$698</f>
        <v>0</v>
      </c>
      <c r="N754" s="10">
        <f t="shared" ca="1" si="912"/>
        <v>0</v>
      </c>
      <c r="O754" s="10">
        <f t="shared" ca="1" si="912"/>
        <v>0</v>
      </c>
      <c r="P754" s="10">
        <f t="shared" ca="1" si="912"/>
        <v>0</v>
      </c>
      <c r="Q754" s="10">
        <f t="shared" ca="1" si="912"/>
        <v>0</v>
      </c>
      <c r="R754" s="10">
        <f t="shared" ca="1" si="912"/>
        <v>0</v>
      </c>
      <c r="S754" s="10">
        <f t="shared" ca="1" si="912"/>
        <v>0</v>
      </c>
      <c r="T754" s="10">
        <f t="shared" ca="1" si="912"/>
        <v>0</v>
      </c>
      <c r="U754" s="10">
        <f t="shared" ca="1" si="912"/>
        <v>0</v>
      </c>
      <c r="V754" s="10">
        <f t="shared" ca="1" si="912"/>
        <v>0</v>
      </c>
      <c r="W754" s="10">
        <f t="shared" ca="1" si="912"/>
        <v>0</v>
      </c>
      <c r="X754" s="10">
        <f t="shared" ca="1" si="912"/>
        <v>0</v>
      </c>
      <c r="Y754" s="10">
        <f t="shared" ca="1" si="912"/>
        <v>0</v>
      </c>
      <c r="Z754" s="10">
        <f t="shared" ca="1" si="912"/>
        <v>0</v>
      </c>
      <c r="AA754" s="10">
        <f t="shared" ca="1" si="912"/>
        <v>0</v>
      </c>
      <c r="AB754" s="10">
        <f t="shared" ca="1" si="912"/>
        <v>0</v>
      </c>
      <c r="AC754" s="10">
        <f t="shared" ca="1" si="912"/>
        <v>24681.82778153937</v>
      </c>
      <c r="AD754" s="10">
        <f t="shared" ca="1" si="912"/>
        <v>50708.669318208806</v>
      </c>
      <c r="AE754" s="10">
        <f t="shared" ca="1" si="912"/>
        <v>16739.630140462043</v>
      </c>
      <c r="AF754" s="10">
        <f t="shared" ca="1" si="912"/>
        <v>14800.23150722937</v>
      </c>
      <c r="AG754" s="10">
        <f t="shared" ca="1" si="912"/>
        <v>28790.590322357599</v>
      </c>
      <c r="AH754" s="10">
        <f t="shared" ca="1" si="912"/>
        <v>58960.884397011519</v>
      </c>
      <c r="AI754" s="10">
        <f t="shared" ca="1" si="912"/>
        <v>19404.91823998676</v>
      </c>
      <c r="AJ754" s="10">
        <f t="shared" ca="1" si="912"/>
        <v>17107.568970715354</v>
      </c>
      <c r="AK754" s="10">
        <f t="shared" ca="1" si="912"/>
        <v>33188.562941990836</v>
      </c>
      <c r="AL754" s="10">
        <f t="shared" ca="1" si="912"/>
        <v>67792.142811209313</v>
      </c>
      <c r="AM754" s="10">
        <f t="shared" ca="1" si="912"/>
        <v>22256.645979248719</v>
      </c>
      <c r="AN754" s="10">
        <f t="shared" ca="1" si="912"/>
        <v>19793.322094878298</v>
      </c>
      <c r="AO754" s="10">
        <f t="shared" ca="1" si="912"/>
        <v>37892.308426678937</v>
      </c>
      <c r="AP754" s="10">
        <f t="shared" ca="1" si="912"/>
        <v>75552.630493545192</v>
      </c>
      <c r="AQ754" s="10">
        <f t="shared" ca="1" si="912"/>
        <v>24226.18794344315</v>
      </c>
      <c r="AR754" s="10">
        <f t="shared" ca="1" si="912"/>
        <v>20822.670329447803</v>
      </c>
      <c r="AS754" s="10">
        <f t="shared" ca="1" si="912"/>
        <v>39408.000763746095</v>
      </c>
      <c r="AT754" s="10">
        <f t="shared" ca="1" si="912"/>
        <v>78574.735713286995</v>
      </c>
      <c r="AU754" s="10">
        <f t="shared" ca="1" si="912"/>
        <v>25195.235461180873</v>
      </c>
      <c r="AV754" s="10">
        <f t="shared" ca="1" si="912"/>
        <v>21655.577142625712</v>
      </c>
      <c r="AW754" s="10">
        <f t="shared" ca="1" si="912"/>
        <v>40984.320794295934</v>
      </c>
      <c r="AX754" s="10">
        <f t="shared" ca="1" si="912"/>
        <v>81717.725141818475</v>
      </c>
      <c r="AY754" s="10">
        <f t="shared" ca="1" si="912"/>
        <v>26203.044879628105</v>
      </c>
      <c r="AZ754" s="10">
        <f t="shared" ca="1" si="912"/>
        <v>22521.800228330736</v>
      </c>
      <c r="BA754" s="10">
        <f t="shared" ca="1" si="912"/>
        <v>42623.693626067761</v>
      </c>
      <c r="BB754" s="10">
        <f t="shared" ca="1" si="912"/>
        <v>84986.434147491178</v>
      </c>
      <c r="BC754" s="10">
        <f t="shared" ca="1" si="912"/>
        <v>27251.166674813223</v>
      </c>
      <c r="BD754" s="10">
        <f t="shared" ca="1" si="912"/>
        <v>23682.924151213567</v>
      </c>
      <c r="BE754" s="10">
        <f t="shared" ca="1" si="912"/>
        <v>44328.641371110469</v>
      </c>
      <c r="BF754" s="10">
        <f t="shared" ca="1" si="912"/>
        <v>88385.891513390816</v>
      </c>
      <c r="BG754" s="10">
        <f t="shared" ca="1" si="912"/>
        <v>28341.213341805749</v>
      </c>
      <c r="BH754" s="10">
        <f t="shared" ca="1" si="912"/>
        <v>24359.579126962515</v>
      </c>
      <c r="BI754" s="10">
        <f t="shared" ca="1" si="912"/>
        <v>46101.787025954873</v>
      </c>
      <c r="BJ754" s="10">
        <f t="shared" ca="1" si="912"/>
        <v>91921.327173926431</v>
      </c>
      <c r="BK754" s="10">
        <f t="shared" ca="1" si="912"/>
        <v>29474.861875477975</v>
      </c>
      <c r="BL754" s="10">
        <f t="shared" ca="1" si="912"/>
        <v>25333.962292041022</v>
      </c>
      <c r="BM754" s="10">
        <f t="shared" ca="1" si="912"/>
        <v>47945.85850699307</v>
      </c>
      <c r="BN754" s="10">
        <f t="shared" ca="1" si="912"/>
        <v>95598.180260883455</v>
      </c>
      <c r="BO754" s="10">
        <f t="shared" ca="1" si="912"/>
        <v>30653.856350497092</v>
      </c>
      <c r="BP754" s="10">
        <f t="shared" ca="1" si="912"/>
        <v>26347.320783722651</v>
      </c>
      <c r="BQ754" s="10">
        <f t="shared" ca="1" si="912"/>
        <v>49863.692847272781</v>
      </c>
      <c r="BR754" s="10">
        <f t="shared" ca="1" si="912"/>
        <v>99422.107471318814</v>
      </c>
      <c r="BS754" s="10">
        <f t="shared" ca="1" si="912"/>
        <v>31880.010604516963</v>
      </c>
      <c r="BT754" s="10">
        <f t="shared" ca="1" si="912"/>
        <v>27705.671544127901</v>
      </c>
      <c r="BU754" s="10">
        <f t="shared" ca="1" si="912"/>
        <v>51858.240561163686</v>
      </c>
      <c r="BV754" s="10">
        <f t="shared" ca="1" si="912"/>
        <v>103398.99177017152</v>
      </c>
      <c r="BW754" s="10">
        <f t="shared" ca="1" si="912"/>
        <v>33155.211028697639</v>
      </c>
      <c r="BX754" s="10">
        <f t="shared" ca="1" si="912"/>
        <v>28497.262159674414</v>
      </c>
      <c r="BY754" s="10">
        <f t="shared" ref="BY754:CO755" ca="1" si="913" xml:space="preserve"> BY$749 * $E754 * $I$698</f>
        <v>53932.570183610223</v>
      </c>
      <c r="BZ754" s="10">
        <f t="shared" ca="1" si="913"/>
        <v>107534.95144097839</v>
      </c>
      <c r="CA754" s="10">
        <f t="shared" ca="1" si="913"/>
        <v>34481.419469845539</v>
      </c>
      <c r="CB754" s="10">
        <f t="shared" ca="1" si="913"/>
        <v>29637.15264606139</v>
      </c>
      <c r="CC754" s="10">
        <f t="shared" ca="1" si="913"/>
        <v>56089.872990954631</v>
      </c>
      <c r="CD754" s="10">
        <f t="shared" ca="1" si="913"/>
        <v>111836.34949861751</v>
      </c>
      <c r="CE754" s="10">
        <f t="shared" ca="1" si="913"/>
        <v>35860.676248639364</v>
      </c>
      <c r="CF754" s="10">
        <f t="shared" ca="1" si="913"/>
        <v>30822.63875190384</v>
      </c>
      <c r="CG754" s="10">
        <f t="shared" ca="1" si="913"/>
        <v>58333.467910592808</v>
      </c>
      <c r="CH754" s="10">
        <f t="shared" ca="1" si="913"/>
        <v>116309.8034785622</v>
      </c>
      <c r="CI754" s="10">
        <f t="shared" ca="1" si="913"/>
        <v>37295.103298584938</v>
      </c>
      <c r="CJ754" s="10">
        <f t="shared" ca="1" si="913"/>
        <v>32411.717016446437</v>
      </c>
      <c r="CK754" s="10">
        <f t="shared" ca="1" si="913"/>
        <v>60666.806627016529</v>
      </c>
      <c r="CL754" s="10">
        <f t="shared" ca="1" si="913"/>
        <v>120962.19561770468</v>
      </c>
      <c r="CM754" s="10">
        <f t="shared" ca="1" si="913"/>
        <v>38786.907430528328</v>
      </c>
      <c r="CN754" s="10">
        <f t="shared" ca="1" si="913"/>
        <v>33337.766074059189</v>
      </c>
      <c r="CO754" s="10">
        <f t="shared" ca="1" si="913"/>
        <v>63093.478892097177</v>
      </c>
    </row>
    <row r="755" spans="1:93">
      <c r="A755" s="10"/>
      <c r="B755" s="10"/>
      <c r="C755" s="17" t="s">
        <v>699</v>
      </c>
      <c r="D755" s="10"/>
      <c r="E755" s="240">
        <f xml:space="preserve"> E727</f>
        <v>6.9154862960644922E-2</v>
      </c>
      <c r="F755" s="10"/>
      <c r="G755" s="11" t="str">
        <f t="shared" si="910"/>
        <v>тыс. руб.</v>
      </c>
      <c r="H755" s="10"/>
      <c r="I755" s="23">
        <f t="shared" ca="1" si="911"/>
        <v>1416978.5297147306</v>
      </c>
      <c r="J755" s="10"/>
      <c r="K755" s="10"/>
      <c r="L755" s="10">
        <f ca="1" xml:space="preserve"> L$749 * $E755 * $I$698</f>
        <v>0</v>
      </c>
      <c r="M755" s="10">
        <f t="shared" ca="1" si="912"/>
        <v>0</v>
      </c>
      <c r="N755" s="10">
        <f t="shared" ca="1" si="912"/>
        <v>0</v>
      </c>
      <c r="O755" s="10">
        <f t="shared" ca="1" si="912"/>
        <v>0</v>
      </c>
      <c r="P755" s="10">
        <f t="shared" ca="1" si="912"/>
        <v>0</v>
      </c>
      <c r="Q755" s="10">
        <f t="shared" ca="1" si="912"/>
        <v>0</v>
      </c>
      <c r="R755" s="10">
        <f t="shared" ca="1" si="912"/>
        <v>0</v>
      </c>
      <c r="S755" s="10">
        <f t="shared" ca="1" si="912"/>
        <v>0</v>
      </c>
      <c r="T755" s="10">
        <f t="shared" ca="1" si="912"/>
        <v>0</v>
      </c>
      <c r="U755" s="10">
        <f t="shared" ca="1" si="912"/>
        <v>0</v>
      </c>
      <c r="V755" s="10">
        <f t="shared" ca="1" si="912"/>
        <v>0</v>
      </c>
      <c r="W755" s="10">
        <f t="shared" ca="1" si="912"/>
        <v>0</v>
      </c>
      <c r="X755" s="10">
        <f t="shared" ca="1" si="912"/>
        <v>0</v>
      </c>
      <c r="Y755" s="10">
        <f t="shared" ca="1" si="912"/>
        <v>0</v>
      </c>
      <c r="Z755" s="10">
        <f t="shared" ca="1" si="912"/>
        <v>0</v>
      </c>
      <c r="AA755" s="10">
        <f t="shared" ca="1" si="912"/>
        <v>0</v>
      </c>
      <c r="AB755" s="10">
        <f t="shared" ca="1" si="912"/>
        <v>0</v>
      </c>
      <c r="AC755" s="10">
        <f t="shared" ca="1" si="912"/>
        <v>11379.122785670625</v>
      </c>
      <c r="AD755" s="10">
        <f t="shared" ca="1" si="912"/>
        <v>23378.340517449265</v>
      </c>
      <c r="AE755" s="10">
        <f t="shared" ca="1" si="912"/>
        <v>7717.5121891702265</v>
      </c>
      <c r="AF755" s="10">
        <f t="shared" ca="1" si="912"/>
        <v>6823.3865444551093</v>
      </c>
      <c r="AG755" s="10">
        <f t="shared" ca="1" si="912"/>
        <v>13273.395521991399</v>
      </c>
      <c r="AH755" s="10">
        <f t="shared" ca="1" si="912"/>
        <v>27182.879203425062</v>
      </c>
      <c r="AI755" s="10">
        <f t="shared" ca="1" si="912"/>
        <v>8946.2964109920231</v>
      </c>
      <c r="AJ755" s="10">
        <f t="shared" ca="1" si="912"/>
        <v>7887.1439183973453</v>
      </c>
      <c r="AK755" s="10">
        <f t="shared" ca="1" si="912"/>
        <v>15301.003480760764</v>
      </c>
      <c r="AL755" s="10">
        <f t="shared" ca="1" si="912"/>
        <v>31254.375639451002</v>
      </c>
      <c r="AM755" s="10">
        <f t="shared" ca="1" si="912"/>
        <v>10261.035351056893</v>
      </c>
      <c r="AN755" s="10">
        <f t="shared" ca="1" si="912"/>
        <v>9125.3631800480944</v>
      </c>
      <c r="AO755" s="10">
        <f t="shared" ca="1" si="912"/>
        <v>17469.582643396487</v>
      </c>
      <c r="AP755" s="10">
        <f t="shared" ca="1" si="912"/>
        <v>34832.212053982403</v>
      </c>
      <c r="AQ755" s="10">
        <f t="shared" ca="1" si="912"/>
        <v>11169.058048584262</v>
      </c>
      <c r="AR755" s="10">
        <f t="shared" ca="1" si="912"/>
        <v>9599.9260873843323</v>
      </c>
      <c r="AS755" s="10">
        <f t="shared" ca="1" si="912"/>
        <v>18168.365949132345</v>
      </c>
      <c r="AT755" s="10">
        <f t="shared" ca="1" si="912"/>
        <v>36225.500536141699</v>
      </c>
      <c r="AU755" s="10">
        <f t="shared" ca="1" si="912"/>
        <v>11615.820370527632</v>
      </c>
      <c r="AV755" s="10">
        <f t="shared" ca="1" si="912"/>
        <v>9983.9231308797043</v>
      </c>
      <c r="AW755" s="10">
        <f t="shared" ca="1" si="912"/>
        <v>18895.100587097637</v>
      </c>
      <c r="AX755" s="10">
        <f t="shared" ca="1" si="912"/>
        <v>37674.520557587362</v>
      </c>
      <c r="AY755" s="10">
        <f t="shared" ca="1" si="912"/>
        <v>12080.453185348735</v>
      </c>
      <c r="AZ755" s="10">
        <f t="shared" ca="1" si="912"/>
        <v>10383.280056114891</v>
      </c>
      <c r="BA755" s="10">
        <f t="shared" ca="1" si="912"/>
        <v>19650.904610581536</v>
      </c>
      <c r="BB755" s="10">
        <f t="shared" ca="1" si="912"/>
        <v>39181.501379890848</v>
      </c>
      <c r="BC755" s="10">
        <f t="shared" ca="1" si="912"/>
        <v>12563.671312762683</v>
      </c>
      <c r="BD755" s="10">
        <f t="shared" ca="1" si="912"/>
        <v>10918.595827896816</v>
      </c>
      <c r="BE755" s="10">
        <f t="shared" ca="1" si="912"/>
        <v>20436.940795004797</v>
      </c>
      <c r="BF755" s="10">
        <f t="shared" ca="1" si="912"/>
        <v>40748.761435086475</v>
      </c>
      <c r="BG755" s="10">
        <f t="shared" ca="1" si="912"/>
        <v>13066.218165273187</v>
      </c>
      <c r="BH755" s="10">
        <f t="shared" ca="1" si="912"/>
        <v>11230.555708693862</v>
      </c>
      <c r="BI755" s="10">
        <f t="shared" ca="1" si="912"/>
        <v>21254.418426804983</v>
      </c>
      <c r="BJ755" s="10">
        <f t="shared" ca="1" si="912"/>
        <v>42378.711892489926</v>
      </c>
      <c r="BK755" s="10">
        <f t="shared" ca="1" si="912"/>
        <v>13588.866891884114</v>
      </c>
      <c r="BL755" s="10">
        <f t="shared" ca="1" si="912"/>
        <v>11679.777937041619</v>
      </c>
      <c r="BM755" s="10">
        <f t="shared" ca="1" si="912"/>
        <v>22104.595163877184</v>
      </c>
      <c r="BN755" s="10">
        <f t="shared" ca="1" si="912"/>
        <v>44073.860368189511</v>
      </c>
      <c r="BO755" s="10">
        <f t="shared" ca="1" si="912"/>
        <v>14132.421567559477</v>
      </c>
      <c r="BP755" s="10">
        <f t="shared" ca="1" si="912"/>
        <v>12146.969054523279</v>
      </c>
      <c r="BQ755" s="10">
        <f t="shared" ca="1" si="912"/>
        <v>22988.778970432264</v>
      </c>
      <c r="BR755" s="10">
        <f t="shared" ca="1" si="912"/>
        <v>45836.814782917092</v>
      </c>
      <c r="BS755" s="10">
        <f t="shared" ca="1" si="912"/>
        <v>14697.718430261852</v>
      </c>
      <c r="BT755" s="10">
        <f t="shared" ca="1" si="912"/>
        <v>12773.212792445365</v>
      </c>
      <c r="BU755" s="10">
        <f t="shared" ca="1" si="912"/>
        <v>23908.330129249553</v>
      </c>
      <c r="BV755" s="10">
        <f t="shared" ca="1" si="912"/>
        <v>47670.287374233762</v>
      </c>
      <c r="BW755" s="10">
        <f t="shared" ca="1" si="912"/>
        <v>15285.627167472323</v>
      </c>
      <c r="BX755" s="10">
        <f t="shared" ca="1" si="912"/>
        <v>13138.161729372376</v>
      </c>
      <c r="BY755" s="10">
        <f t="shared" ca="1" si="913"/>
        <v>24864.663334419529</v>
      </c>
      <c r="BZ755" s="10">
        <f t="shared" ca="1" si="913"/>
        <v>49577.09886920311</v>
      </c>
      <c r="CA755" s="10">
        <f t="shared" ca="1" si="913"/>
        <v>15897.052254171214</v>
      </c>
      <c r="CB755" s="10">
        <f t="shared" ca="1" si="913"/>
        <v>13663.68819854727</v>
      </c>
      <c r="CC755" s="10">
        <f t="shared" ca="1" si="913"/>
        <v>25859.249867796309</v>
      </c>
      <c r="CD755" s="10">
        <f t="shared" ca="1" si="913"/>
        <v>51560.182823971227</v>
      </c>
      <c r="CE755" s="10">
        <f t="shared" ca="1" si="913"/>
        <v>16532.934344338064</v>
      </c>
      <c r="CF755" s="10">
        <f t="shared" ca="1" si="913"/>
        <v>14210.235726489158</v>
      </c>
      <c r="CG755" s="10">
        <f t="shared" ca="1" si="913"/>
        <v>26893.61986250816</v>
      </c>
      <c r="CH755" s="10">
        <f t="shared" ca="1" si="913"/>
        <v>53622.590136930077</v>
      </c>
      <c r="CI755" s="10">
        <f t="shared" ca="1" si="913"/>
        <v>17194.251718111584</v>
      </c>
      <c r="CJ755" s="10">
        <f t="shared" ca="1" si="913"/>
        <v>14942.852323943711</v>
      </c>
      <c r="CK755" s="10">
        <f t="shared" ca="1" si="913"/>
        <v>27969.364657008489</v>
      </c>
      <c r="CL755" s="10">
        <f t="shared" ca="1" si="913"/>
        <v>55767.49374240727</v>
      </c>
      <c r="CM755" s="10">
        <f t="shared" ca="1" si="913"/>
        <v>17882.021786836045</v>
      </c>
      <c r="CN755" s="10">
        <f t="shared" ca="1" si="913"/>
        <v>15369.790961770672</v>
      </c>
      <c r="CO755" s="10">
        <f t="shared" ca="1" si="913"/>
        <v>29088.139243288824</v>
      </c>
    </row>
    <row r="756" spans="1:93">
      <c r="A756" s="10"/>
      <c r="B756" s="10"/>
      <c r="C756" s="17" t="s">
        <v>1027</v>
      </c>
      <c r="D756" s="10"/>
      <c r="E756" s="240">
        <f>E$739</f>
        <v>0.22</v>
      </c>
      <c r="F756" s="10"/>
      <c r="G756" s="11" t="str">
        <f t="shared" si="910"/>
        <v>тыс. руб.</v>
      </c>
      <c r="H756" s="10"/>
      <c r="I756" s="23">
        <f t="shared" ca="1" si="911"/>
        <v>311735.27653724066</v>
      </c>
      <c r="J756" s="10"/>
      <c r="K756" s="10"/>
      <c r="L756" s="10">
        <f t="shared" ref="L756:BA756" ca="1" si="914" xml:space="preserve"> L$755 * $E756</f>
        <v>0</v>
      </c>
      <c r="M756" s="10">
        <f t="shared" ca="1" si="914"/>
        <v>0</v>
      </c>
      <c r="N756" s="10">
        <f t="shared" ca="1" si="914"/>
        <v>0</v>
      </c>
      <c r="O756" s="10">
        <f t="shared" ca="1" si="914"/>
        <v>0</v>
      </c>
      <c r="P756" s="10">
        <f t="shared" ca="1" si="914"/>
        <v>0</v>
      </c>
      <c r="Q756" s="10">
        <f t="shared" ca="1" si="914"/>
        <v>0</v>
      </c>
      <c r="R756" s="10">
        <f t="shared" ca="1" si="914"/>
        <v>0</v>
      </c>
      <c r="S756" s="10">
        <f t="shared" ca="1" si="914"/>
        <v>0</v>
      </c>
      <c r="T756" s="10">
        <f t="shared" ca="1" si="914"/>
        <v>0</v>
      </c>
      <c r="U756" s="10">
        <f t="shared" ca="1" si="914"/>
        <v>0</v>
      </c>
      <c r="V756" s="10">
        <f t="shared" ca="1" si="914"/>
        <v>0</v>
      </c>
      <c r="W756" s="10">
        <f t="shared" ca="1" si="914"/>
        <v>0</v>
      </c>
      <c r="X756" s="10">
        <f t="shared" ca="1" si="914"/>
        <v>0</v>
      </c>
      <c r="Y756" s="10">
        <f t="shared" ca="1" si="914"/>
        <v>0</v>
      </c>
      <c r="Z756" s="10">
        <f t="shared" ca="1" si="914"/>
        <v>0</v>
      </c>
      <c r="AA756" s="10">
        <f t="shared" ca="1" si="914"/>
        <v>0</v>
      </c>
      <c r="AB756" s="10">
        <f t="shared" ca="1" si="914"/>
        <v>0</v>
      </c>
      <c r="AC756" s="10">
        <f t="shared" ca="1" si="914"/>
        <v>2503.4070128475373</v>
      </c>
      <c r="AD756" s="10">
        <f t="shared" ca="1" si="914"/>
        <v>5143.2349138388381</v>
      </c>
      <c r="AE756" s="10">
        <f t="shared" ca="1" si="914"/>
        <v>1697.8526816174499</v>
      </c>
      <c r="AF756" s="10">
        <f t="shared" ca="1" si="914"/>
        <v>1501.1450397801241</v>
      </c>
      <c r="AG756" s="10">
        <f t="shared" ca="1" si="914"/>
        <v>2920.1470148381077</v>
      </c>
      <c r="AH756" s="10">
        <f t="shared" ca="1" si="914"/>
        <v>5980.2334247535136</v>
      </c>
      <c r="AI756" s="10">
        <f t="shared" ca="1" si="914"/>
        <v>1968.1852104182451</v>
      </c>
      <c r="AJ756" s="10">
        <f t="shared" ca="1" si="914"/>
        <v>1735.171662047416</v>
      </c>
      <c r="AK756" s="10">
        <f t="shared" ca="1" si="914"/>
        <v>3366.220765767368</v>
      </c>
      <c r="AL756" s="10">
        <f t="shared" ca="1" si="914"/>
        <v>6875.9626406792204</v>
      </c>
      <c r="AM756" s="10">
        <f t="shared" ca="1" si="914"/>
        <v>2257.4277772325163</v>
      </c>
      <c r="AN756" s="10">
        <f t="shared" ca="1" si="914"/>
        <v>2007.5798996105807</v>
      </c>
      <c r="AO756" s="10">
        <f t="shared" ca="1" si="914"/>
        <v>3843.3081815472269</v>
      </c>
      <c r="AP756" s="10">
        <f t="shared" ca="1" si="914"/>
        <v>7663.0866518761286</v>
      </c>
      <c r="AQ756" s="10">
        <f t="shared" ca="1" si="914"/>
        <v>2457.1927706885376</v>
      </c>
      <c r="AR756" s="10">
        <f t="shared" ca="1" si="914"/>
        <v>2111.9837392245531</v>
      </c>
      <c r="AS756" s="10">
        <f t="shared" ca="1" si="914"/>
        <v>3997.0405088091161</v>
      </c>
      <c r="AT756" s="10">
        <f t="shared" ca="1" si="914"/>
        <v>7969.6101179511734</v>
      </c>
      <c r="AU756" s="10">
        <f t="shared" ca="1" si="914"/>
        <v>2555.4804815160792</v>
      </c>
      <c r="AV756" s="10">
        <f t="shared" ca="1" si="914"/>
        <v>2196.463088793535</v>
      </c>
      <c r="AW756" s="10">
        <f t="shared" ca="1" si="914"/>
        <v>4156.9221291614804</v>
      </c>
      <c r="AX756" s="10">
        <f t="shared" ca="1" si="914"/>
        <v>8288.3945226692194</v>
      </c>
      <c r="AY756" s="10">
        <f t="shared" ca="1" si="914"/>
        <v>2657.6997007767218</v>
      </c>
      <c r="AZ756" s="10">
        <f t="shared" ca="1" si="914"/>
        <v>2284.3216123452758</v>
      </c>
      <c r="BA756" s="10">
        <f t="shared" ca="1" si="914"/>
        <v>4323.1990143279381</v>
      </c>
      <c r="BB756" s="10">
        <f t="shared" ref="BB756:CO759" ca="1" si="915" xml:space="preserve"> BB$755 * $E756</f>
        <v>8619.9303035759858</v>
      </c>
      <c r="BC756" s="10">
        <f t="shared" ca="1" si="915"/>
        <v>2764.0076888077901</v>
      </c>
      <c r="BD756" s="10">
        <f t="shared" ca="1" si="915"/>
        <v>2402.0910821372995</v>
      </c>
      <c r="BE756" s="10">
        <f t="shared" ca="1" si="915"/>
        <v>4496.1269749010553</v>
      </c>
      <c r="BF756" s="10">
        <f t="shared" ca="1" si="915"/>
        <v>8964.7275157190252</v>
      </c>
      <c r="BG756" s="10">
        <f t="shared" ca="1" si="915"/>
        <v>2874.567996360101</v>
      </c>
      <c r="BH756" s="10">
        <f t="shared" ca="1" si="915"/>
        <v>2470.7222559126499</v>
      </c>
      <c r="BI756" s="10">
        <f t="shared" ca="1" si="915"/>
        <v>4675.972053897096</v>
      </c>
      <c r="BJ756" s="10">
        <f t="shared" ca="1" si="915"/>
        <v>9323.3166163477836</v>
      </c>
      <c r="BK756" s="10">
        <f t="shared" ca="1" si="915"/>
        <v>2989.550716214505</v>
      </c>
      <c r="BL756" s="10">
        <f t="shared" ca="1" si="915"/>
        <v>2569.5511461491565</v>
      </c>
      <c r="BM756" s="10">
        <f t="shared" ca="1" si="915"/>
        <v>4863.0109360529805</v>
      </c>
      <c r="BN756" s="10">
        <f t="shared" ca="1" si="915"/>
        <v>9696.249281001692</v>
      </c>
      <c r="BO756" s="10">
        <f t="shared" ca="1" si="915"/>
        <v>3109.132744863085</v>
      </c>
      <c r="BP756" s="10">
        <f t="shared" ca="1" si="915"/>
        <v>2672.3331919951215</v>
      </c>
      <c r="BQ756" s="10">
        <f t="shared" ca="1" si="915"/>
        <v>5057.5313734950978</v>
      </c>
      <c r="BR756" s="10">
        <f t="shared" ca="1" si="915"/>
        <v>10084.09925224176</v>
      </c>
      <c r="BS756" s="10">
        <f t="shared" ca="1" si="915"/>
        <v>3233.4980546576076</v>
      </c>
      <c r="BT756" s="10">
        <f t="shared" ca="1" si="915"/>
        <v>2810.1068143379803</v>
      </c>
      <c r="BU756" s="10">
        <f t="shared" ca="1" si="915"/>
        <v>5259.8326284349014</v>
      </c>
      <c r="BV756" s="10">
        <f t="shared" ca="1" si="915"/>
        <v>10487.463222331427</v>
      </c>
      <c r="BW756" s="10">
        <f t="shared" ca="1" si="915"/>
        <v>3362.8379768439113</v>
      </c>
      <c r="BX756" s="10">
        <f t="shared" ca="1" si="915"/>
        <v>2890.3955804619227</v>
      </c>
      <c r="BY756" s="10">
        <f t="shared" ca="1" si="915"/>
        <v>5470.2259335722965</v>
      </c>
      <c r="BZ756" s="10">
        <f t="shared" ca="1" si="915"/>
        <v>10906.961751224684</v>
      </c>
      <c r="CA756" s="10">
        <f t="shared" ca="1" si="915"/>
        <v>3497.3514959176673</v>
      </c>
      <c r="CB756" s="10">
        <f t="shared" ca="1" si="915"/>
        <v>3006.0114036803993</v>
      </c>
      <c r="CC756" s="10">
        <f t="shared" ca="1" si="915"/>
        <v>5689.0349709151878</v>
      </c>
      <c r="CD756" s="10">
        <f t="shared" ca="1" si="915"/>
        <v>11343.240221273671</v>
      </c>
      <c r="CE756" s="10">
        <f t="shared" ca="1" si="915"/>
        <v>3637.245555754374</v>
      </c>
      <c r="CF756" s="10">
        <f t="shared" ca="1" si="915"/>
        <v>3126.2518598276147</v>
      </c>
      <c r="CG756" s="10">
        <f t="shared" ca="1" si="915"/>
        <v>5916.5963697517955</v>
      </c>
      <c r="CH756" s="10">
        <f t="shared" ca="1" si="915"/>
        <v>11796.969830124617</v>
      </c>
      <c r="CI756" s="10">
        <f t="shared" ca="1" si="915"/>
        <v>3782.7353779845484</v>
      </c>
      <c r="CJ756" s="10">
        <f t="shared" ca="1" si="915"/>
        <v>3287.4275112676164</v>
      </c>
      <c r="CK756" s="10">
        <f t="shared" ca="1" si="915"/>
        <v>6153.2602245418675</v>
      </c>
      <c r="CL756" s="10">
        <f t="shared" ca="1" si="915"/>
        <v>12268.848623329599</v>
      </c>
      <c r="CM756" s="10">
        <f t="shared" ca="1" si="915"/>
        <v>3934.0447931039298</v>
      </c>
      <c r="CN756" s="10">
        <f t="shared" ca="1" si="915"/>
        <v>3381.354011589548</v>
      </c>
      <c r="CO756" s="10">
        <f t="shared" ca="1" si="915"/>
        <v>6399.3906335235415</v>
      </c>
    </row>
    <row r="757" spans="1:93">
      <c r="A757" s="10"/>
      <c r="B757" s="10"/>
      <c r="C757" s="17" t="s">
        <v>1028</v>
      </c>
      <c r="D757" s="10"/>
      <c r="E757" s="240">
        <f>E$740</f>
        <v>2.9000000000000001E-2</v>
      </c>
      <c r="F757" s="10"/>
      <c r="G757" s="11" t="str">
        <f t="shared" si="910"/>
        <v>тыс. руб.</v>
      </c>
      <c r="H757" s="10"/>
      <c r="I757" s="23">
        <f t="shared" ca="1" si="911"/>
        <v>41092.377361727202</v>
      </c>
      <c r="J757" s="10"/>
      <c r="K757" s="10"/>
      <c r="L757" s="10">
        <f t="shared" ref="L757:AQ757" ca="1" si="916" xml:space="preserve"> L$755 * $E757</f>
        <v>0</v>
      </c>
      <c r="M757" s="10">
        <f t="shared" ca="1" si="916"/>
        <v>0</v>
      </c>
      <c r="N757" s="10">
        <f t="shared" ca="1" si="916"/>
        <v>0</v>
      </c>
      <c r="O757" s="10">
        <f t="shared" ca="1" si="916"/>
        <v>0</v>
      </c>
      <c r="P757" s="10">
        <f t="shared" ca="1" si="916"/>
        <v>0</v>
      </c>
      <c r="Q757" s="10">
        <f t="shared" ca="1" si="916"/>
        <v>0</v>
      </c>
      <c r="R757" s="10">
        <f t="shared" ca="1" si="916"/>
        <v>0</v>
      </c>
      <c r="S757" s="10">
        <f t="shared" ca="1" si="916"/>
        <v>0</v>
      </c>
      <c r="T757" s="10">
        <f t="shared" ca="1" si="916"/>
        <v>0</v>
      </c>
      <c r="U757" s="10">
        <f t="shared" ca="1" si="916"/>
        <v>0</v>
      </c>
      <c r="V757" s="10">
        <f t="shared" ca="1" si="916"/>
        <v>0</v>
      </c>
      <c r="W757" s="10">
        <f t="shared" ca="1" si="916"/>
        <v>0</v>
      </c>
      <c r="X757" s="10">
        <f t="shared" ca="1" si="916"/>
        <v>0</v>
      </c>
      <c r="Y757" s="10">
        <f t="shared" ca="1" si="916"/>
        <v>0</v>
      </c>
      <c r="Z757" s="10">
        <f t="shared" ca="1" si="916"/>
        <v>0</v>
      </c>
      <c r="AA757" s="10">
        <f t="shared" ca="1" si="916"/>
        <v>0</v>
      </c>
      <c r="AB757" s="10">
        <f t="shared" ca="1" si="916"/>
        <v>0</v>
      </c>
      <c r="AC757" s="10">
        <f t="shared" ca="1" si="916"/>
        <v>329.99456078444814</v>
      </c>
      <c r="AD757" s="10">
        <f t="shared" ca="1" si="916"/>
        <v>677.97187500602877</v>
      </c>
      <c r="AE757" s="10">
        <f t="shared" ca="1" si="916"/>
        <v>223.80785348593659</v>
      </c>
      <c r="AF757" s="10">
        <f t="shared" ca="1" si="916"/>
        <v>197.87820978919817</v>
      </c>
      <c r="AG757" s="10">
        <f t="shared" ca="1" si="916"/>
        <v>384.92847013775059</v>
      </c>
      <c r="AH757" s="10">
        <f t="shared" ca="1" si="916"/>
        <v>788.30349689932689</v>
      </c>
      <c r="AI757" s="10">
        <f t="shared" ca="1" si="916"/>
        <v>259.44259591876869</v>
      </c>
      <c r="AJ757" s="10">
        <f t="shared" ca="1" si="916"/>
        <v>228.72717363352302</v>
      </c>
      <c r="AK757" s="10">
        <f t="shared" ca="1" si="916"/>
        <v>443.72910094206219</v>
      </c>
      <c r="AL757" s="10">
        <f t="shared" ca="1" si="916"/>
        <v>906.37689354407905</v>
      </c>
      <c r="AM757" s="10">
        <f t="shared" ca="1" si="916"/>
        <v>297.57002518064991</v>
      </c>
      <c r="AN757" s="10">
        <f t="shared" ca="1" si="916"/>
        <v>264.63553222139473</v>
      </c>
      <c r="AO757" s="10">
        <f t="shared" ca="1" si="916"/>
        <v>506.61789665849813</v>
      </c>
      <c r="AP757" s="10">
        <f t="shared" ca="1" si="916"/>
        <v>1010.1341495654897</v>
      </c>
      <c r="AQ757" s="10">
        <f t="shared" ca="1" si="916"/>
        <v>323.90268340894363</v>
      </c>
      <c r="AR757" s="10">
        <f t="shared" ref="AR757:BI757" ca="1" si="917" xml:space="preserve"> AR$755 * $E757</f>
        <v>278.39785653414566</v>
      </c>
      <c r="AS757" s="10">
        <f t="shared" ca="1" si="917"/>
        <v>526.88261252483801</v>
      </c>
      <c r="AT757" s="10">
        <f t="shared" ca="1" si="917"/>
        <v>1050.5395155481094</v>
      </c>
      <c r="AU757" s="10">
        <f t="shared" ca="1" si="917"/>
        <v>336.85879074530135</v>
      </c>
      <c r="AV757" s="10">
        <f t="shared" ca="1" si="917"/>
        <v>289.53377079551143</v>
      </c>
      <c r="AW757" s="10">
        <f t="shared" ca="1" si="917"/>
        <v>547.95791702583153</v>
      </c>
      <c r="AX757" s="10">
        <f t="shared" ca="1" si="917"/>
        <v>1092.5610961700336</v>
      </c>
      <c r="AY757" s="10">
        <f t="shared" ca="1" si="917"/>
        <v>350.33314237511331</v>
      </c>
      <c r="AZ757" s="10">
        <f t="shared" ca="1" si="917"/>
        <v>301.11512162733186</v>
      </c>
      <c r="BA757" s="10">
        <f t="shared" ca="1" si="917"/>
        <v>569.87623370686458</v>
      </c>
      <c r="BB757" s="10">
        <f t="shared" ca="1" si="917"/>
        <v>1136.2635400168347</v>
      </c>
      <c r="BC757" s="10">
        <f t="shared" ca="1" si="917"/>
        <v>364.34646807011779</v>
      </c>
      <c r="BD757" s="10">
        <f t="shared" ca="1" si="917"/>
        <v>316.63927900900768</v>
      </c>
      <c r="BE757" s="10">
        <f t="shared" ca="1" si="917"/>
        <v>592.67128305513916</v>
      </c>
      <c r="BF757" s="10">
        <f t="shared" ca="1" si="917"/>
        <v>1181.7140816175079</v>
      </c>
      <c r="BG757" s="10">
        <f t="shared" ca="1" si="917"/>
        <v>378.92032679292242</v>
      </c>
      <c r="BH757" s="10">
        <f t="shared" ca="1" si="917"/>
        <v>325.68611555212203</v>
      </c>
      <c r="BI757" s="10">
        <f t="shared" ca="1" si="917"/>
        <v>616.37813437734451</v>
      </c>
      <c r="BJ757" s="10">
        <f t="shared" ca="1" si="915"/>
        <v>1228.982644882208</v>
      </c>
      <c r="BK757" s="10">
        <f t="shared" ca="1" si="915"/>
        <v>394.07713986463932</v>
      </c>
      <c r="BL757" s="10">
        <f t="shared" ca="1" si="915"/>
        <v>338.71356017420698</v>
      </c>
      <c r="BM757" s="10">
        <f t="shared" ca="1" si="915"/>
        <v>641.03325975243831</v>
      </c>
      <c r="BN757" s="10">
        <f t="shared" ca="1" si="915"/>
        <v>1278.141950677496</v>
      </c>
      <c r="BO757" s="10">
        <f t="shared" ca="1" si="915"/>
        <v>409.84022545922483</v>
      </c>
      <c r="BP757" s="10">
        <f t="shared" ca="1" si="915"/>
        <v>352.2621025811751</v>
      </c>
      <c r="BQ757" s="10">
        <f t="shared" ca="1" si="915"/>
        <v>666.67459014253564</v>
      </c>
      <c r="BR757" s="10">
        <f t="shared" ca="1" si="915"/>
        <v>1329.2676287045958</v>
      </c>
      <c r="BS757" s="10">
        <f t="shared" ca="1" si="915"/>
        <v>426.23383447759375</v>
      </c>
      <c r="BT757" s="10">
        <f t="shared" ca="1" si="915"/>
        <v>370.42317098091559</v>
      </c>
      <c r="BU757" s="10">
        <f t="shared" ca="1" si="915"/>
        <v>693.34157374823701</v>
      </c>
      <c r="BV757" s="10">
        <f t="shared" ca="1" si="915"/>
        <v>1382.4383338527791</v>
      </c>
      <c r="BW757" s="10">
        <f t="shared" ca="1" si="915"/>
        <v>443.2831878566974</v>
      </c>
      <c r="BX757" s="10">
        <f t="shared" ca="1" si="915"/>
        <v>381.00669015179892</v>
      </c>
      <c r="BY757" s="10">
        <f t="shared" ca="1" si="915"/>
        <v>721.07523669816635</v>
      </c>
      <c r="BZ757" s="10">
        <f t="shared" ca="1" si="915"/>
        <v>1437.7358672068904</v>
      </c>
      <c r="CA757" s="10">
        <f t="shared" ca="1" si="915"/>
        <v>461.01451537096523</v>
      </c>
      <c r="CB757" s="10">
        <f t="shared" ca="1" si="915"/>
        <v>396.24695775787086</v>
      </c>
      <c r="CC757" s="10">
        <f t="shared" ca="1" si="915"/>
        <v>749.91824616609301</v>
      </c>
      <c r="CD757" s="10">
        <f t="shared" ca="1" si="915"/>
        <v>1495.2453018951655</v>
      </c>
      <c r="CE757" s="10">
        <f t="shared" ca="1" si="915"/>
        <v>479.45509598580389</v>
      </c>
      <c r="CF757" s="10">
        <f t="shared" ca="1" si="915"/>
        <v>412.09683606818561</v>
      </c>
      <c r="CG757" s="10">
        <f t="shared" ca="1" si="915"/>
        <v>779.9149760127367</v>
      </c>
      <c r="CH757" s="10">
        <f t="shared" ca="1" si="915"/>
        <v>1555.0551139709723</v>
      </c>
      <c r="CI757" s="10">
        <f t="shared" ca="1" si="915"/>
        <v>498.63329982523595</v>
      </c>
      <c r="CJ757" s="10">
        <f t="shared" ca="1" si="915"/>
        <v>433.34271739436764</v>
      </c>
      <c r="CK757" s="10">
        <f t="shared" ca="1" si="915"/>
        <v>811.11157505324627</v>
      </c>
      <c r="CL757" s="10">
        <f t="shared" ca="1" si="915"/>
        <v>1617.2573185298108</v>
      </c>
      <c r="CM757" s="10">
        <f t="shared" ca="1" si="915"/>
        <v>518.5786318182453</v>
      </c>
      <c r="CN757" s="10">
        <f t="shared" ca="1" si="915"/>
        <v>445.72393789134952</v>
      </c>
      <c r="CO757" s="10">
        <f t="shared" ca="1" si="915"/>
        <v>843.55603805537589</v>
      </c>
    </row>
    <row r="758" spans="1:93">
      <c r="A758" s="10"/>
      <c r="B758" s="10"/>
      <c r="C758" s="17" t="s">
        <v>1029</v>
      </c>
      <c r="D758" s="10"/>
      <c r="E758" s="240">
        <f>E$741</f>
        <v>5.0999999999999997E-2</v>
      </c>
      <c r="F758" s="10"/>
      <c r="G758" s="11" t="str">
        <f t="shared" si="910"/>
        <v>тыс. руб.</v>
      </c>
      <c r="H758" s="10"/>
      <c r="I758" s="23">
        <f t="shared" ca="1" si="911"/>
        <v>72265.905015451266</v>
      </c>
      <c r="J758" s="10"/>
      <c r="K758" s="10"/>
      <c r="L758" s="10">
        <f t="shared" ref="L758:S759" ca="1" si="918" xml:space="preserve"> L$755 * $E758</f>
        <v>0</v>
      </c>
      <c r="M758" s="10">
        <f t="shared" ca="1" si="918"/>
        <v>0</v>
      </c>
      <c r="N758" s="10">
        <f t="shared" ca="1" si="918"/>
        <v>0</v>
      </c>
      <c r="O758" s="10">
        <f t="shared" ca="1" si="918"/>
        <v>0</v>
      </c>
      <c r="P758" s="10">
        <f t="shared" ca="1" si="918"/>
        <v>0</v>
      </c>
      <c r="Q758" s="10">
        <f t="shared" ca="1" si="918"/>
        <v>0</v>
      </c>
      <c r="R758" s="10">
        <f t="shared" ca="1" si="918"/>
        <v>0</v>
      </c>
      <c r="S758" s="10">
        <f t="shared" ca="1" si="918"/>
        <v>0</v>
      </c>
      <c r="T758" s="10">
        <f t="shared" ref="T758:CE759" ca="1" si="919" xml:space="preserve"> T$755 * $E758</f>
        <v>0</v>
      </c>
      <c r="U758" s="10">
        <f t="shared" ca="1" si="919"/>
        <v>0</v>
      </c>
      <c r="V758" s="10">
        <f t="shared" ca="1" si="919"/>
        <v>0</v>
      </c>
      <c r="W758" s="10">
        <f t="shared" ca="1" si="919"/>
        <v>0</v>
      </c>
      <c r="X758" s="10">
        <f t="shared" ca="1" si="919"/>
        <v>0</v>
      </c>
      <c r="Y758" s="10">
        <f t="shared" ca="1" si="919"/>
        <v>0</v>
      </c>
      <c r="Z758" s="10">
        <f t="shared" ca="1" si="919"/>
        <v>0</v>
      </c>
      <c r="AA758" s="10">
        <f t="shared" ca="1" si="919"/>
        <v>0</v>
      </c>
      <c r="AB758" s="10">
        <f t="shared" ca="1" si="919"/>
        <v>0</v>
      </c>
      <c r="AC758" s="10">
        <f t="shared" ca="1" si="919"/>
        <v>580.3352620692018</v>
      </c>
      <c r="AD758" s="10">
        <f t="shared" ca="1" si="919"/>
        <v>1192.2953663899125</v>
      </c>
      <c r="AE758" s="10">
        <f t="shared" ca="1" si="919"/>
        <v>393.59312164768153</v>
      </c>
      <c r="AF758" s="10">
        <f t="shared" ca="1" si="919"/>
        <v>347.99271376721055</v>
      </c>
      <c r="AG758" s="10">
        <f t="shared" ca="1" si="919"/>
        <v>676.94317162156131</v>
      </c>
      <c r="AH758" s="10">
        <f t="shared" ca="1" si="919"/>
        <v>1386.326839374678</v>
      </c>
      <c r="AI758" s="10">
        <f t="shared" ca="1" si="919"/>
        <v>456.26111696059314</v>
      </c>
      <c r="AJ758" s="10">
        <f t="shared" ca="1" si="919"/>
        <v>402.24433983826458</v>
      </c>
      <c r="AK758" s="10">
        <f t="shared" ca="1" si="919"/>
        <v>780.35117751879898</v>
      </c>
      <c r="AL758" s="10">
        <f t="shared" ca="1" si="919"/>
        <v>1593.9731576120009</v>
      </c>
      <c r="AM758" s="10">
        <f t="shared" ca="1" si="919"/>
        <v>523.31280290390146</v>
      </c>
      <c r="AN758" s="10">
        <f t="shared" ca="1" si="919"/>
        <v>465.39352218245278</v>
      </c>
      <c r="AO758" s="10">
        <f t="shared" ca="1" si="919"/>
        <v>890.94871481322082</v>
      </c>
      <c r="AP758" s="10">
        <f t="shared" ca="1" si="919"/>
        <v>1776.4428147531023</v>
      </c>
      <c r="AQ758" s="10">
        <f t="shared" ca="1" si="919"/>
        <v>569.6219604777973</v>
      </c>
      <c r="AR758" s="10">
        <f t="shared" ca="1" si="919"/>
        <v>489.59623045660089</v>
      </c>
      <c r="AS758" s="10">
        <f t="shared" ca="1" si="919"/>
        <v>926.5866634057495</v>
      </c>
      <c r="AT758" s="10">
        <f t="shared" ca="1" si="919"/>
        <v>1847.5005273432266</v>
      </c>
      <c r="AU758" s="10">
        <f t="shared" ca="1" si="919"/>
        <v>592.40683889690922</v>
      </c>
      <c r="AV758" s="10">
        <f t="shared" ca="1" si="919"/>
        <v>509.18007967486488</v>
      </c>
      <c r="AW758" s="10">
        <f t="shared" ca="1" si="919"/>
        <v>963.65012994197946</v>
      </c>
      <c r="AX758" s="10">
        <f t="shared" ca="1" si="919"/>
        <v>1921.4005484369554</v>
      </c>
      <c r="AY758" s="10">
        <f t="shared" ca="1" si="919"/>
        <v>616.10311245278547</v>
      </c>
      <c r="AZ758" s="10">
        <f t="shared" ca="1" si="919"/>
        <v>529.54728286185934</v>
      </c>
      <c r="BA758" s="10">
        <f t="shared" ca="1" si="919"/>
        <v>1002.1961351396583</v>
      </c>
      <c r="BB758" s="10">
        <f t="shared" ca="1" si="919"/>
        <v>1998.2565703744331</v>
      </c>
      <c r="BC758" s="10">
        <f t="shared" ca="1" si="919"/>
        <v>640.74723695089676</v>
      </c>
      <c r="BD758" s="10">
        <f t="shared" ca="1" si="919"/>
        <v>556.84838722273753</v>
      </c>
      <c r="BE758" s="10">
        <f t="shared" ca="1" si="919"/>
        <v>1042.2839805452445</v>
      </c>
      <c r="BF758" s="10">
        <f t="shared" ca="1" si="919"/>
        <v>2078.1868331894102</v>
      </c>
      <c r="BG758" s="10">
        <f t="shared" ca="1" si="919"/>
        <v>666.37712642893246</v>
      </c>
      <c r="BH758" s="10">
        <f t="shared" ca="1" si="919"/>
        <v>572.75834114338693</v>
      </c>
      <c r="BI758" s="10">
        <f t="shared" ca="1" si="919"/>
        <v>1083.975339767054</v>
      </c>
      <c r="BJ758" s="10">
        <f t="shared" ca="1" si="919"/>
        <v>2161.3143065169861</v>
      </c>
      <c r="BK758" s="10">
        <f t="shared" ca="1" si="919"/>
        <v>693.03221148608975</v>
      </c>
      <c r="BL758" s="10">
        <f t="shared" ca="1" si="919"/>
        <v>595.66867478912252</v>
      </c>
      <c r="BM758" s="10">
        <f t="shared" ca="1" si="919"/>
        <v>1127.3343533577363</v>
      </c>
      <c r="BN758" s="10">
        <f t="shared" ca="1" si="919"/>
        <v>2247.7668787776647</v>
      </c>
      <c r="BO758" s="10">
        <f t="shared" ca="1" si="919"/>
        <v>720.75349994553324</v>
      </c>
      <c r="BP758" s="10">
        <f t="shared" ca="1" si="919"/>
        <v>619.49542178068714</v>
      </c>
      <c r="BQ758" s="10">
        <f t="shared" ca="1" si="919"/>
        <v>1172.4277274920453</v>
      </c>
      <c r="BR758" s="10">
        <f t="shared" ca="1" si="919"/>
        <v>2337.6775539287714</v>
      </c>
      <c r="BS758" s="10">
        <f t="shared" ca="1" si="919"/>
        <v>749.58363994335434</v>
      </c>
      <c r="BT758" s="10">
        <f t="shared" ca="1" si="919"/>
        <v>651.43385241471356</v>
      </c>
      <c r="BU758" s="10">
        <f t="shared" ca="1" si="919"/>
        <v>1219.324836591727</v>
      </c>
      <c r="BV758" s="10">
        <f t="shared" ca="1" si="919"/>
        <v>2431.1846560859217</v>
      </c>
      <c r="BW758" s="10">
        <f t="shared" ca="1" si="919"/>
        <v>779.56698554108846</v>
      </c>
      <c r="BX758" s="10">
        <f t="shared" ca="1" si="919"/>
        <v>670.04624819799108</v>
      </c>
      <c r="BY758" s="10">
        <f t="shared" ca="1" si="919"/>
        <v>1268.0978300553959</v>
      </c>
      <c r="BZ758" s="10">
        <f t="shared" ca="1" si="919"/>
        <v>2528.4320423293584</v>
      </c>
      <c r="CA758" s="10">
        <f t="shared" ca="1" si="919"/>
        <v>810.74966496273191</v>
      </c>
      <c r="CB758" s="10">
        <f t="shared" ca="1" si="919"/>
        <v>696.84809812591072</v>
      </c>
      <c r="CC758" s="10">
        <f t="shared" ca="1" si="919"/>
        <v>1318.8217432576116</v>
      </c>
      <c r="CD758" s="10">
        <f t="shared" ca="1" si="919"/>
        <v>2629.5693240225323</v>
      </c>
      <c r="CE758" s="10">
        <f t="shared" ca="1" si="919"/>
        <v>843.17965156124126</v>
      </c>
      <c r="CF758" s="10">
        <f t="shared" ca="1" si="915"/>
        <v>724.72202205094698</v>
      </c>
      <c r="CG758" s="10">
        <f t="shared" ca="1" si="915"/>
        <v>1371.574612987916</v>
      </c>
      <c r="CH758" s="10">
        <f t="shared" ca="1" si="915"/>
        <v>2734.7520969834336</v>
      </c>
      <c r="CI758" s="10">
        <f t="shared" ca="1" si="915"/>
        <v>876.90683762369076</v>
      </c>
      <c r="CJ758" s="10">
        <f t="shared" ca="1" si="915"/>
        <v>762.0854685211292</v>
      </c>
      <c r="CK758" s="10">
        <f t="shared" ca="1" si="915"/>
        <v>1426.4375975074329</v>
      </c>
      <c r="CL758" s="10">
        <f t="shared" ca="1" si="915"/>
        <v>2844.1421808627706</v>
      </c>
      <c r="CM758" s="10">
        <f t="shared" ca="1" si="915"/>
        <v>911.98311112863826</v>
      </c>
      <c r="CN758" s="10">
        <f t="shared" ca="1" si="915"/>
        <v>783.85933905030424</v>
      </c>
      <c r="CO758" s="10">
        <f t="shared" ca="1" si="915"/>
        <v>1483.4951014077299</v>
      </c>
    </row>
    <row r="759" spans="1:93">
      <c r="A759" s="10"/>
      <c r="B759" s="10"/>
      <c r="C759" s="17" t="s">
        <v>1030</v>
      </c>
      <c r="D759" s="10"/>
      <c r="E759" s="240">
        <f>E$742</f>
        <v>2E-3</v>
      </c>
      <c r="F759" s="10"/>
      <c r="G759" s="11" t="str">
        <f t="shared" si="910"/>
        <v>тыс. руб.</v>
      </c>
      <c r="H759" s="10"/>
      <c r="I759" s="23">
        <f t="shared" ca="1" si="911"/>
        <v>2833.9570594294623</v>
      </c>
      <c r="J759" s="10"/>
      <c r="K759" s="10"/>
      <c r="L759" s="10">
        <f t="shared" ca="1" si="918"/>
        <v>0</v>
      </c>
      <c r="M759" s="10">
        <f t="shared" ca="1" si="918"/>
        <v>0</v>
      </c>
      <c r="N759" s="10">
        <f t="shared" ca="1" si="918"/>
        <v>0</v>
      </c>
      <c r="O759" s="10">
        <f t="shared" ca="1" si="918"/>
        <v>0</v>
      </c>
      <c r="P759" s="10">
        <f t="shared" ca="1" si="918"/>
        <v>0</v>
      </c>
      <c r="Q759" s="10">
        <f t="shared" ca="1" si="918"/>
        <v>0</v>
      </c>
      <c r="R759" s="10">
        <f t="shared" ca="1" si="918"/>
        <v>0</v>
      </c>
      <c r="S759" s="10">
        <f t="shared" ca="1" si="918"/>
        <v>0</v>
      </c>
      <c r="T759" s="10">
        <f t="shared" ca="1" si="919"/>
        <v>0</v>
      </c>
      <c r="U759" s="10">
        <f t="shared" ca="1" si="919"/>
        <v>0</v>
      </c>
      <c r="V759" s="10">
        <f t="shared" ca="1" si="919"/>
        <v>0</v>
      </c>
      <c r="W759" s="10">
        <f t="shared" ca="1" si="919"/>
        <v>0</v>
      </c>
      <c r="X759" s="10">
        <f t="shared" ca="1" si="919"/>
        <v>0</v>
      </c>
      <c r="Y759" s="10">
        <f t="shared" ca="1" si="919"/>
        <v>0</v>
      </c>
      <c r="Z759" s="10">
        <f t="shared" ca="1" si="919"/>
        <v>0</v>
      </c>
      <c r="AA759" s="10">
        <f t="shared" ca="1" si="919"/>
        <v>0</v>
      </c>
      <c r="AB759" s="10">
        <f t="shared" ca="1" si="919"/>
        <v>0</v>
      </c>
      <c r="AC759" s="10">
        <f t="shared" ca="1" si="919"/>
        <v>22.758245571341249</v>
      </c>
      <c r="AD759" s="10">
        <f t="shared" ca="1" si="919"/>
        <v>46.756681034898534</v>
      </c>
      <c r="AE759" s="10">
        <f t="shared" ca="1" si="919"/>
        <v>15.435024378340453</v>
      </c>
      <c r="AF759" s="10">
        <f t="shared" ca="1" si="919"/>
        <v>13.646773088910219</v>
      </c>
      <c r="AG759" s="10">
        <f t="shared" ca="1" si="919"/>
        <v>26.546791043982797</v>
      </c>
      <c r="AH759" s="10">
        <f t="shared" ca="1" si="919"/>
        <v>54.365758406850127</v>
      </c>
      <c r="AI759" s="10">
        <f t="shared" ca="1" si="919"/>
        <v>17.892592821984046</v>
      </c>
      <c r="AJ759" s="10">
        <f t="shared" ca="1" si="919"/>
        <v>15.774287836794691</v>
      </c>
      <c r="AK759" s="10">
        <f t="shared" ca="1" si="919"/>
        <v>30.602006961521528</v>
      </c>
      <c r="AL759" s="10">
        <f t="shared" ca="1" si="919"/>
        <v>62.508751278902004</v>
      </c>
      <c r="AM759" s="10">
        <f t="shared" ca="1" si="919"/>
        <v>20.522070702113787</v>
      </c>
      <c r="AN759" s="10">
        <f t="shared" ca="1" si="919"/>
        <v>18.250726360096188</v>
      </c>
      <c r="AO759" s="10">
        <f t="shared" ca="1" si="919"/>
        <v>34.939165286792971</v>
      </c>
      <c r="AP759" s="10">
        <f t="shared" ca="1" si="919"/>
        <v>69.664424107964805</v>
      </c>
      <c r="AQ759" s="10">
        <f t="shared" ca="1" si="919"/>
        <v>22.338116097168523</v>
      </c>
      <c r="AR759" s="10">
        <f t="shared" ca="1" si="919"/>
        <v>19.199852174768665</v>
      </c>
      <c r="AS759" s="10">
        <f t="shared" ca="1" si="919"/>
        <v>36.336731898264688</v>
      </c>
      <c r="AT759" s="10">
        <f t="shared" ca="1" si="919"/>
        <v>72.451001072283404</v>
      </c>
      <c r="AU759" s="10">
        <f t="shared" ca="1" si="919"/>
        <v>23.231640741055266</v>
      </c>
      <c r="AV759" s="10">
        <f t="shared" ca="1" si="919"/>
        <v>19.967846261759409</v>
      </c>
      <c r="AW759" s="10">
        <f t="shared" ca="1" si="919"/>
        <v>37.790201174195275</v>
      </c>
      <c r="AX759" s="10">
        <f t="shared" ca="1" si="919"/>
        <v>75.349041115174728</v>
      </c>
      <c r="AY759" s="10">
        <f t="shared" ca="1" si="919"/>
        <v>24.160906370697472</v>
      </c>
      <c r="AZ759" s="10">
        <f t="shared" ca="1" si="919"/>
        <v>20.766560112229783</v>
      </c>
      <c r="BA759" s="10">
        <f t="shared" ca="1" si="919"/>
        <v>39.301809221163076</v>
      </c>
      <c r="BB759" s="10">
        <f t="shared" ca="1" si="919"/>
        <v>78.363002759781693</v>
      </c>
      <c r="BC759" s="10">
        <f t="shared" ca="1" si="919"/>
        <v>25.127342625525365</v>
      </c>
      <c r="BD759" s="10">
        <f t="shared" ca="1" si="919"/>
        <v>21.837191655793632</v>
      </c>
      <c r="BE759" s="10">
        <f t="shared" ca="1" si="919"/>
        <v>40.873881590009596</v>
      </c>
      <c r="BF759" s="10">
        <f t="shared" ca="1" si="919"/>
        <v>81.497522870172958</v>
      </c>
      <c r="BG759" s="10">
        <f t="shared" ca="1" si="919"/>
        <v>26.132436330546373</v>
      </c>
      <c r="BH759" s="10">
        <f t="shared" ca="1" si="919"/>
        <v>22.461111417387727</v>
      </c>
      <c r="BI759" s="10">
        <f t="shared" ca="1" si="919"/>
        <v>42.508836853609964</v>
      </c>
      <c r="BJ759" s="10">
        <f t="shared" ca="1" si="919"/>
        <v>84.757423784979849</v>
      </c>
      <c r="BK759" s="10">
        <f t="shared" ca="1" si="919"/>
        <v>27.177733783768229</v>
      </c>
      <c r="BL759" s="10">
        <f t="shared" ca="1" si="919"/>
        <v>23.359555874083238</v>
      </c>
      <c r="BM759" s="10">
        <f t="shared" ca="1" si="919"/>
        <v>44.209190327754371</v>
      </c>
      <c r="BN759" s="10">
        <f t="shared" ca="1" si="919"/>
        <v>88.147720736379028</v>
      </c>
      <c r="BO759" s="10">
        <f t="shared" ca="1" si="919"/>
        <v>28.264843135118955</v>
      </c>
      <c r="BP759" s="10">
        <f t="shared" ca="1" si="919"/>
        <v>24.293938109046557</v>
      </c>
      <c r="BQ759" s="10">
        <f t="shared" ca="1" si="919"/>
        <v>45.977557940864529</v>
      </c>
      <c r="BR759" s="10">
        <f t="shared" ca="1" si="919"/>
        <v>91.67362956583419</v>
      </c>
      <c r="BS759" s="10">
        <f t="shared" ca="1" si="919"/>
        <v>29.395436860523702</v>
      </c>
      <c r="BT759" s="10">
        <f t="shared" ca="1" si="919"/>
        <v>25.546425584890731</v>
      </c>
      <c r="BU759" s="10">
        <f t="shared" ca="1" si="919"/>
        <v>47.816660258499105</v>
      </c>
      <c r="BV759" s="10">
        <f t="shared" ca="1" si="919"/>
        <v>95.340574748467532</v>
      </c>
      <c r="BW759" s="10">
        <f t="shared" ca="1" si="919"/>
        <v>30.571254334944648</v>
      </c>
      <c r="BX759" s="10">
        <f t="shared" ca="1" si="919"/>
        <v>26.276323458744752</v>
      </c>
      <c r="BY759" s="10">
        <f t="shared" ca="1" si="919"/>
        <v>49.729326668839057</v>
      </c>
      <c r="BZ759" s="10">
        <f t="shared" ca="1" si="919"/>
        <v>99.154197738406225</v>
      </c>
      <c r="CA759" s="10">
        <f t="shared" ca="1" si="919"/>
        <v>31.794104508342429</v>
      </c>
      <c r="CB759" s="10">
        <f t="shared" ca="1" si="919"/>
        <v>27.32737639709454</v>
      </c>
      <c r="CC759" s="10">
        <f t="shared" ca="1" si="919"/>
        <v>51.718499735592616</v>
      </c>
      <c r="CD759" s="10">
        <f t="shared" ca="1" si="919"/>
        <v>103.12036564794245</v>
      </c>
      <c r="CE759" s="10">
        <f t="shared" ca="1" si="919"/>
        <v>33.065868688676126</v>
      </c>
      <c r="CF759" s="10">
        <f t="shared" ca="1" si="915"/>
        <v>28.420471452978315</v>
      </c>
      <c r="CG759" s="10">
        <f t="shared" ca="1" si="915"/>
        <v>53.78723972501632</v>
      </c>
      <c r="CH759" s="10">
        <f t="shared" ca="1" si="915"/>
        <v>107.24518027386016</v>
      </c>
      <c r="CI759" s="10">
        <f t="shared" ca="1" si="915"/>
        <v>34.388503436223168</v>
      </c>
      <c r="CJ759" s="10">
        <f t="shared" ca="1" si="915"/>
        <v>29.885704647887422</v>
      </c>
      <c r="CK759" s="10">
        <f t="shared" ca="1" si="915"/>
        <v>55.938729314016982</v>
      </c>
      <c r="CL759" s="10">
        <f t="shared" ca="1" si="915"/>
        <v>111.53498748481454</v>
      </c>
      <c r="CM759" s="10">
        <f t="shared" ca="1" si="915"/>
        <v>35.76404357367209</v>
      </c>
      <c r="CN759" s="10">
        <f t="shared" ca="1" si="915"/>
        <v>30.739581923541344</v>
      </c>
      <c r="CO759" s="10">
        <f t="shared" ca="1" si="915"/>
        <v>58.176278486577651</v>
      </c>
    </row>
    <row r="760" spans="1:93">
      <c r="A760" s="10"/>
      <c r="B760" s="10"/>
      <c r="C760" s="17"/>
      <c r="D760" s="10"/>
      <c r="E760" s="241"/>
      <c r="F760" s="10"/>
      <c r="G760" s="11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  <c r="BA760" s="10"/>
      <c r="BB760" s="10"/>
      <c r="BC760" s="10"/>
      <c r="BD760" s="10"/>
      <c r="BE760" s="10"/>
      <c r="BF760" s="10"/>
      <c r="BG760" s="10"/>
      <c r="BH760" s="10"/>
      <c r="BI760" s="10"/>
      <c r="BJ760" s="10"/>
      <c r="BK760" s="10"/>
      <c r="BL760" s="10"/>
      <c r="BM760" s="10"/>
      <c r="BN760" s="10"/>
      <c r="BO760" s="10"/>
      <c r="BP760" s="10"/>
      <c r="BQ760" s="10"/>
      <c r="BR760" s="10"/>
      <c r="BS760" s="10"/>
      <c r="BT760" s="10"/>
      <c r="BU760" s="10"/>
      <c r="BV760" s="10"/>
      <c r="BW760" s="10"/>
      <c r="BX760" s="10"/>
      <c r="BY760" s="10"/>
      <c r="BZ760" s="10"/>
      <c r="CA760" s="10"/>
      <c r="CB760" s="10"/>
      <c r="CC760" s="10"/>
      <c r="CD760" s="10"/>
      <c r="CE760" s="10"/>
      <c r="CF760" s="10"/>
      <c r="CG760" s="10"/>
      <c r="CH760" s="10"/>
      <c r="CI760" s="10"/>
      <c r="CJ760" s="10"/>
      <c r="CK760" s="10"/>
      <c r="CL760" s="10"/>
      <c r="CM760" s="10"/>
      <c r="CN760" s="10"/>
      <c r="CO760" s="10"/>
    </row>
    <row r="761" spans="1:93">
      <c r="A761" s="10"/>
      <c r="B761" s="10"/>
      <c r="C761" s="41" t="s">
        <v>723</v>
      </c>
      <c r="D761" s="10"/>
      <c r="E761" s="10"/>
      <c r="F761" s="10"/>
      <c r="G761" s="11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  <c r="BA761" s="10"/>
      <c r="BB761" s="10"/>
      <c r="BC761" s="10"/>
      <c r="BD761" s="10"/>
      <c r="BE761" s="10"/>
      <c r="BF761" s="10"/>
      <c r="BG761" s="10"/>
      <c r="BH761" s="10"/>
      <c r="BI761" s="10"/>
      <c r="BJ761" s="10"/>
      <c r="BK761" s="10"/>
      <c r="BL761" s="10"/>
      <c r="BM761" s="10"/>
      <c r="BN761" s="10"/>
      <c r="BO761" s="10"/>
      <c r="BP761" s="10"/>
      <c r="BQ761" s="10"/>
      <c r="BR761" s="10"/>
      <c r="BS761" s="10"/>
      <c r="BT761" s="10"/>
      <c r="BU761" s="10"/>
      <c r="BV761" s="10"/>
      <c r="BW761" s="10"/>
      <c r="BX761" s="10"/>
      <c r="BY761" s="10"/>
      <c r="BZ761" s="10"/>
      <c r="CA761" s="10"/>
      <c r="CB761" s="10"/>
      <c r="CC761" s="10"/>
      <c r="CD761" s="10"/>
      <c r="CE761" s="10"/>
      <c r="CF761" s="10"/>
      <c r="CG761" s="10"/>
      <c r="CH761" s="10"/>
      <c r="CI761" s="10"/>
      <c r="CJ761" s="10"/>
      <c r="CK761" s="10"/>
      <c r="CL761" s="10"/>
      <c r="CM761" s="10"/>
      <c r="CN761" s="10"/>
      <c r="CO761" s="10"/>
    </row>
    <row r="762" spans="1:93">
      <c r="A762" s="10"/>
      <c r="B762" s="10"/>
      <c r="C762" s="17" t="s">
        <v>700</v>
      </c>
      <c r="D762" s="10"/>
      <c r="E762" s="240">
        <f>E730</f>
        <v>0.3</v>
      </c>
      <c r="F762" s="10"/>
      <c r="G762" s="11" t="str">
        <f t="shared" ref="G762:G768" si="920">Monetary_Unit</f>
        <v>тыс. руб.</v>
      </c>
      <c r="H762" s="10"/>
      <c r="I762" s="23">
        <f t="shared" ref="I762:I768" ca="1" si="921">SUM(L762:CO762)</f>
        <v>2277329.5588406469</v>
      </c>
      <c r="J762" s="10"/>
      <c r="K762" s="10"/>
      <c r="L762" s="450">
        <f ca="1" xml:space="preserve"> L$750 * $E762 * $I$698</f>
        <v>0</v>
      </c>
      <c r="M762" s="450">
        <f t="shared" ref="M762:BX764" ca="1" si="922" xml:space="preserve"> M$750 * $E762 * $I$698</f>
        <v>0</v>
      </c>
      <c r="N762" s="450">
        <f t="shared" ca="1" si="922"/>
        <v>0</v>
      </c>
      <c r="O762" s="450">
        <f t="shared" ca="1" si="922"/>
        <v>0</v>
      </c>
      <c r="P762" s="450">
        <f t="shared" ca="1" si="922"/>
        <v>0</v>
      </c>
      <c r="Q762" s="450">
        <f t="shared" ca="1" si="922"/>
        <v>0</v>
      </c>
      <c r="R762" s="450">
        <f t="shared" ca="1" si="922"/>
        <v>0</v>
      </c>
      <c r="S762" s="450">
        <f t="shared" ca="1" si="922"/>
        <v>0</v>
      </c>
      <c r="T762" s="450">
        <f t="shared" ca="1" si="922"/>
        <v>0</v>
      </c>
      <c r="U762" s="450">
        <f t="shared" ca="1" si="922"/>
        <v>0</v>
      </c>
      <c r="V762" s="450">
        <f t="shared" ca="1" si="922"/>
        <v>0</v>
      </c>
      <c r="W762" s="450">
        <f t="shared" ca="1" si="922"/>
        <v>0</v>
      </c>
      <c r="X762" s="450">
        <f t="shared" ca="1" si="922"/>
        <v>0</v>
      </c>
      <c r="Y762" s="450">
        <f t="shared" ca="1" si="922"/>
        <v>0</v>
      </c>
      <c r="Z762" s="450">
        <f t="shared" ca="1" si="922"/>
        <v>0</v>
      </c>
      <c r="AA762" s="450">
        <f t="shared" ca="1" si="922"/>
        <v>0</v>
      </c>
      <c r="AB762" s="450">
        <f t="shared" ca="1" si="922"/>
        <v>0</v>
      </c>
      <c r="AC762" s="450">
        <f t="shared" ca="1" si="922"/>
        <v>19602.2710059091</v>
      </c>
      <c r="AD762" s="450">
        <f t="shared" ca="1" si="922"/>
        <v>29435.485478203347</v>
      </c>
      <c r="AE762" s="450">
        <f t="shared" ca="1" si="922"/>
        <v>15478.625402052512</v>
      </c>
      <c r="AF762" s="450">
        <f t="shared" ca="1" si="922"/>
        <v>14819.160357541155</v>
      </c>
      <c r="AG762" s="450">
        <f t="shared" ca="1" si="922"/>
        <v>22865.444120028587</v>
      </c>
      <c r="AH762" s="450">
        <f t="shared" ca="1" si="922"/>
        <v>34225.750345751003</v>
      </c>
      <c r="AI762" s="450">
        <f t="shared" ca="1" si="922"/>
        <v>17943.136011601309</v>
      </c>
      <c r="AJ762" s="450">
        <f t="shared" ca="1" si="922"/>
        <v>17129.448804965716</v>
      </c>
      <c r="AK762" s="450">
        <f t="shared" ca="1" si="922"/>
        <v>26358.307449668184</v>
      </c>
      <c r="AL762" s="450">
        <f t="shared" ca="1" si="922"/>
        <v>39352.139625937372</v>
      </c>
      <c r="AM762" s="450">
        <f t="shared" ca="1" si="922"/>
        <v>20580.041669270733</v>
      </c>
      <c r="AN762" s="450">
        <f t="shared" ca="1" si="922"/>
        <v>19818.636890185648</v>
      </c>
      <c r="AO762" s="450">
        <f t="shared" ca="1" si="922"/>
        <v>30094.01513508688</v>
      </c>
      <c r="AP762" s="450">
        <f t="shared" ca="1" si="922"/>
        <v>43856.965438732761</v>
      </c>
      <c r="AQ762" s="450">
        <f t="shared" ca="1" si="922"/>
        <v>22401.217048988347</v>
      </c>
      <c r="AR762" s="450">
        <f t="shared" ca="1" si="922"/>
        <v>20849.301616233097</v>
      </c>
      <c r="AS762" s="450">
        <f t="shared" ca="1" si="922"/>
        <v>31297.775740490357</v>
      </c>
      <c r="AT762" s="450">
        <f t="shared" ca="1" si="922"/>
        <v>45611.24405628207</v>
      </c>
      <c r="AU762" s="450">
        <f t="shared" ca="1" si="922"/>
        <v>23297.265730947875</v>
      </c>
      <c r="AV762" s="450">
        <f t="shared" ca="1" si="922"/>
        <v>21683.273680882419</v>
      </c>
      <c r="AW762" s="450">
        <f t="shared" ca="1" si="922"/>
        <v>32549.686770109962</v>
      </c>
      <c r="AX762" s="450">
        <f t="shared" ca="1" si="922"/>
        <v>47435.693818533349</v>
      </c>
      <c r="AY762" s="450">
        <f t="shared" ca="1" si="922"/>
        <v>24229.156360185785</v>
      </c>
      <c r="AZ762" s="450">
        <f t="shared" ca="1" si="922"/>
        <v>22550.604628117715</v>
      </c>
      <c r="BA762" s="450">
        <f t="shared" ca="1" si="922"/>
        <v>33851.674240914355</v>
      </c>
      <c r="BB762" s="450">
        <f t="shared" ca="1" si="922"/>
        <v>49333.121571274671</v>
      </c>
      <c r="BC762" s="450">
        <f t="shared" ca="1" si="922"/>
        <v>25198.322614593209</v>
      </c>
      <c r="BD762" s="450">
        <f t="shared" ca="1" si="922"/>
        <v>23713.213577833998</v>
      </c>
      <c r="BE762" s="450">
        <f t="shared" ca="1" si="922"/>
        <v>35205.741210550928</v>
      </c>
      <c r="BF762" s="450">
        <f t="shared" ca="1" si="922"/>
        <v>51306.446434125653</v>
      </c>
      <c r="BG762" s="450">
        <f t="shared" ca="1" si="922"/>
        <v>26206.255519176932</v>
      </c>
      <c r="BH762" s="450">
        <f t="shared" ca="1" si="922"/>
        <v>24390.73396577211</v>
      </c>
      <c r="BI762" s="450">
        <f t="shared" ca="1" si="922"/>
        <v>36613.970858972949</v>
      </c>
      <c r="BJ762" s="450">
        <f t="shared" ca="1" si="922"/>
        <v>53358.704291490663</v>
      </c>
      <c r="BK762" s="450">
        <f t="shared" ca="1" si="922"/>
        <v>27254.505739944016</v>
      </c>
      <c r="BL762" s="450">
        <f t="shared" ca="1" si="922"/>
        <v>25366.363324402992</v>
      </c>
      <c r="BM762" s="450">
        <f t="shared" ca="1" si="922"/>
        <v>38078.529693331868</v>
      </c>
      <c r="BN762" s="450">
        <f t="shared" ca="1" si="922"/>
        <v>55493.052463150285</v>
      </c>
      <c r="BO762" s="450">
        <f t="shared" ca="1" si="922"/>
        <v>28344.685969541766</v>
      </c>
      <c r="BP762" s="450">
        <f t="shared" ca="1" si="922"/>
        <v>26381.017857379105</v>
      </c>
      <c r="BQ762" s="450">
        <f t="shared" ca="1" si="922"/>
        <v>39601.670881065133</v>
      </c>
      <c r="BR762" s="450">
        <f t="shared" ca="1" si="922"/>
        <v>57712.774561676291</v>
      </c>
      <c r="BS762" s="450">
        <f t="shared" ca="1" si="922"/>
        <v>29478.473408323433</v>
      </c>
      <c r="BT762" s="450">
        <f t="shared" ca="1" si="922"/>
        <v>27741.10588913731</v>
      </c>
      <c r="BU762" s="450">
        <f t="shared" ca="1" si="922"/>
        <v>41185.73771630774</v>
      </c>
      <c r="BV762" s="450">
        <f t="shared" ca="1" si="922"/>
        <v>60021.285544143335</v>
      </c>
      <c r="BW762" s="450">
        <f t="shared" ca="1" si="922"/>
        <v>30657.612344656358</v>
      </c>
      <c r="BX762" s="450">
        <f t="shared" ca="1" si="922"/>
        <v>28533.708914541236</v>
      </c>
      <c r="BY762" s="450">
        <f t="shared" ref="BY762:CO764" ca="1" si="923" xml:space="preserve"> BY$750 * $E762 * $I$698</f>
        <v>42833.167224960045</v>
      </c>
      <c r="BZ762" s="450">
        <f t="shared" ca="1" si="923"/>
        <v>62422.136965909063</v>
      </c>
      <c r="CA762" s="450">
        <f t="shared" ca="1" si="923"/>
        <v>31883.916838442612</v>
      </c>
      <c r="CB762" s="450">
        <f t="shared" ca="1" si="923"/>
        <v>29675.057271122882</v>
      </c>
      <c r="CC762" s="450">
        <f t="shared" ca="1" si="923"/>
        <v>44546.493913958431</v>
      </c>
      <c r="CD762" s="450">
        <f t="shared" ca="1" si="923"/>
        <v>64919.022444545422</v>
      </c>
      <c r="CE762" s="450">
        <f t="shared" ca="1" si="923"/>
        <v>33159.273511980311</v>
      </c>
      <c r="CF762" s="450">
        <f t="shared" ca="1" si="923"/>
        <v>30862.059561967788</v>
      </c>
      <c r="CG762" s="450">
        <f t="shared" ca="1" si="923"/>
        <v>46328.353670516772</v>
      </c>
      <c r="CH762" s="450">
        <f t="shared" ca="1" si="923"/>
        <v>67515.783342327224</v>
      </c>
      <c r="CI762" s="450">
        <f t="shared" ca="1" si="923"/>
        <v>34485.644452459535</v>
      </c>
      <c r="CJ762" s="450">
        <f t="shared" ca="1" si="923"/>
        <v>32453.170188273685</v>
      </c>
      <c r="CK762" s="450">
        <f t="shared" ca="1" si="923"/>
        <v>48181.487817337438</v>
      </c>
      <c r="CL762" s="450">
        <f t="shared" ca="1" si="923"/>
        <v>70216.414676020315</v>
      </c>
      <c r="CM762" s="450">
        <f t="shared" ca="1" si="923"/>
        <v>35865.070230557903</v>
      </c>
      <c r="CN762" s="450">
        <f t="shared" ca="1" si="923"/>
        <v>33380.403622224359</v>
      </c>
      <c r="CO762" s="450">
        <f t="shared" ca="1" si="923"/>
        <v>50108.747330030936</v>
      </c>
    </row>
    <row r="763" spans="1:93">
      <c r="A763" s="10"/>
      <c r="B763" s="10"/>
      <c r="C763" s="17" t="s">
        <v>698</v>
      </c>
      <c r="D763" s="10"/>
      <c r="E763" s="240">
        <f>E731</f>
        <v>0.15</v>
      </c>
      <c r="F763" s="10"/>
      <c r="G763" s="11" t="str">
        <f t="shared" si="920"/>
        <v>тыс. руб.</v>
      </c>
      <c r="H763" s="10"/>
      <c r="I763" s="23">
        <f t="shared" ca="1" si="921"/>
        <v>1138664.7794203234</v>
      </c>
      <c r="J763" s="10"/>
      <c r="K763" s="10"/>
      <c r="L763" s="450">
        <f ca="1" xml:space="preserve"> L$750 * $E763 * $I$698</f>
        <v>0</v>
      </c>
      <c r="M763" s="450">
        <f t="shared" ca="1" si="922"/>
        <v>0</v>
      </c>
      <c r="N763" s="450">
        <f t="shared" ca="1" si="922"/>
        <v>0</v>
      </c>
      <c r="O763" s="450">
        <f t="shared" ca="1" si="922"/>
        <v>0</v>
      </c>
      <c r="P763" s="450">
        <f t="shared" ca="1" si="922"/>
        <v>0</v>
      </c>
      <c r="Q763" s="450">
        <f t="shared" ca="1" si="922"/>
        <v>0</v>
      </c>
      <c r="R763" s="450">
        <f t="shared" ca="1" si="922"/>
        <v>0</v>
      </c>
      <c r="S763" s="450">
        <f t="shared" ca="1" si="922"/>
        <v>0</v>
      </c>
      <c r="T763" s="450">
        <f t="shared" ca="1" si="922"/>
        <v>0</v>
      </c>
      <c r="U763" s="450">
        <f t="shared" ca="1" si="922"/>
        <v>0</v>
      </c>
      <c r="V763" s="450">
        <f t="shared" ca="1" si="922"/>
        <v>0</v>
      </c>
      <c r="W763" s="450">
        <f t="shared" ca="1" si="922"/>
        <v>0</v>
      </c>
      <c r="X763" s="450">
        <f t="shared" ca="1" si="922"/>
        <v>0</v>
      </c>
      <c r="Y763" s="450">
        <f t="shared" ca="1" si="922"/>
        <v>0</v>
      </c>
      <c r="Z763" s="450">
        <f t="shared" ca="1" si="922"/>
        <v>0</v>
      </c>
      <c r="AA763" s="450">
        <f t="shared" ca="1" si="922"/>
        <v>0</v>
      </c>
      <c r="AB763" s="450">
        <f t="shared" ca="1" si="922"/>
        <v>0</v>
      </c>
      <c r="AC763" s="450">
        <f t="shared" ca="1" si="922"/>
        <v>9801.1355029545502</v>
      </c>
      <c r="AD763" s="450">
        <f t="shared" ca="1" si="922"/>
        <v>14717.742739101674</v>
      </c>
      <c r="AE763" s="450">
        <f t="shared" ca="1" si="922"/>
        <v>7739.312701026256</v>
      </c>
      <c r="AF763" s="450">
        <f t="shared" ca="1" si="922"/>
        <v>7409.5801787705777</v>
      </c>
      <c r="AG763" s="450">
        <f t="shared" ca="1" si="922"/>
        <v>11432.722060014294</v>
      </c>
      <c r="AH763" s="450">
        <f t="shared" ca="1" si="922"/>
        <v>17112.875172875501</v>
      </c>
      <c r="AI763" s="450">
        <f t="shared" ca="1" si="922"/>
        <v>8971.5680058006546</v>
      </c>
      <c r="AJ763" s="450">
        <f t="shared" ca="1" si="922"/>
        <v>8564.7244024828578</v>
      </c>
      <c r="AK763" s="450">
        <f t="shared" ca="1" si="922"/>
        <v>13179.153724834092</v>
      </c>
      <c r="AL763" s="450">
        <f t="shared" ca="1" si="922"/>
        <v>19676.069812968686</v>
      </c>
      <c r="AM763" s="450">
        <f t="shared" ca="1" si="922"/>
        <v>10290.020834635367</v>
      </c>
      <c r="AN763" s="450">
        <f t="shared" ca="1" si="922"/>
        <v>9909.3184450928238</v>
      </c>
      <c r="AO763" s="450">
        <f t="shared" ca="1" si="922"/>
        <v>15047.00756754344</v>
      </c>
      <c r="AP763" s="450">
        <f t="shared" ca="1" si="922"/>
        <v>21928.48271936638</v>
      </c>
      <c r="AQ763" s="450">
        <f t="shared" ca="1" si="922"/>
        <v>11200.608524494173</v>
      </c>
      <c r="AR763" s="450">
        <f t="shared" ca="1" si="922"/>
        <v>10424.650808116548</v>
      </c>
      <c r="AS763" s="450">
        <f t="shared" ca="1" si="922"/>
        <v>15648.887870245178</v>
      </c>
      <c r="AT763" s="450">
        <f t="shared" ca="1" si="922"/>
        <v>22805.622028141035</v>
      </c>
      <c r="AU763" s="450">
        <f t="shared" ca="1" si="922"/>
        <v>11648.632865473937</v>
      </c>
      <c r="AV763" s="450">
        <f t="shared" ca="1" si="922"/>
        <v>10841.63684044121</v>
      </c>
      <c r="AW763" s="450">
        <f t="shared" ca="1" si="922"/>
        <v>16274.843385054981</v>
      </c>
      <c r="AX763" s="450">
        <f t="shared" ca="1" si="922"/>
        <v>23717.846909266675</v>
      </c>
      <c r="AY763" s="450">
        <f t="shared" ca="1" si="922"/>
        <v>12114.578180092893</v>
      </c>
      <c r="AZ763" s="450">
        <f t="shared" ca="1" si="922"/>
        <v>11275.302314058858</v>
      </c>
      <c r="BA763" s="450">
        <f t="shared" ca="1" si="922"/>
        <v>16925.837120457178</v>
      </c>
      <c r="BB763" s="450">
        <f t="shared" ca="1" si="922"/>
        <v>24666.560785637335</v>
      </c>
      <c r="BC763" s="450">
        <f t="shared" ca="1" si="922"/>
        <v>12599.161307296605</v>
      </c>
      <c r="BD763" s="450">
        <f t="shared" ca="1" si="922"/>
        <v>11856.606788916999</v>
      </c>
      <c r="BE763" s="450">
        <f t="shared" ca="1" si="922"/>
        <v>17602.870605275464</v>
      </c>
      <c r="BF763" s="450">
        <f t="shared" ca="1" si="922"/>
        <v>25653.223217062827</v>
      </c>
      <c r="BG763" s="450">
        <f t="shared" ca="1" si="922"/>
        <v>13103.127759588466</v>
      </c>
      <c r="BH763" s="450">
        <f t="shared" ca="1" si="922"/>
        <v>12195.366982886055</v>
      </c>
      <c r="BI763" s="450">
        <f t="shared" ca="1" si="922"/>
        <v>18306.985429486474</v>
      </c>
      <c r="BJ763" s="450">
        <f t="shared" ca="1" si="922"/>
        <v>26679.352145745332</v>
      </c>
      <c r="BK763" s="450">
        <f t="shared" ca="1" si="922"/>
        <v>13627.252869972008</v>
      </c>
      <c r="BL763" s="450">
        <f t="shared" ca="1" si="922"/>
        <v>12683.181662201496</v>
      </c>
      <c r="BM763" s="450">
        <f t="shared" ca="1" si="922"/>
        <v>19039.264846665934</v>
      </c>
      <c r="BN763" s="450">
        <f t="shared" ca="1" si="922"/>
        <v>27746.526231575142</v>
      </c>
      <c r="BO763" s="450">
        <f t="shared" ca="1" si="922"/>
        <v>14172.342984770883</v>
      </c>
      <c r="BP763" s="450">
        <f t="shared" ca="1" si="922"/>
        <v>13190.508928689553</v>
      </c>
      <c r="BQ763" s="450">
        <f t="shared" ca="1" si="922"/>
        <v>19800.835440532566</v>
      </c>
      <c r="BR763" s="450">
        <f t="shared" ca="1" si="922"/>
        <v>28856.387280838146</v>
      </c>
      <c r="BS763" s="450">
        <f t="shared" ca="1" si="922"/>
        <v>14739.236704161716</v>
      </c>
      <c r="BT763" s="450">
        <f t="shared" ca="1" si="922"/>
        <v>13870.552944568655</v>
      </c>
      <c r="BU763" s="450">
        <f t="shared" ca="1" si="922"/>
        <v>20592.86885815387</v>
      </c>
      <c r="BV763" s="450">
        <f t="shared" ca="1" si="922"/>
        <v>30010.642772071667</v>
      </c>
      <c r="BW763" s="450">
        <f t="shared" ca="1" si="922"/>
        <v>15328.806172328179</v>
      </c>
      <c r="BX763" s="450">
        <f t="shared" ca="1" si="922"/>
        <v>14266.854457270618</v>
      </c>
      <c r="BY763" s="450">
        <f t="shared" ca="1" si="923"/>
        <v>21416.583612480023</v>
      </c>
      <c r="BZ763" s="450">
        <f t="shared" ca="1" si="923"/>
        <v>31211.068482954532</v>
      </c>
      <c r="CA763" s="450">
        <f t="shared" ca="1" si="923"/>
        <v>15941.958419221306</v>
      </c>
      <c r="CB763" s="450">
        <f t="shared" ca="1" si="923"/>
        <v>14837.528635561441</v>
      </c>
      <c r="CC763" s="450">
        <f t="shared" ca="1" si="923"/>
        <v>22273.246956979216</v>
      </c>
      <c r="CD763" s="450">
        <f t="shared" ca="1" si="923"/>
        <v>32459.511222272711</v>
      </c>
      <c r="CE763" s="450">
        <f t="shared" ca="1" si="923"/>
        <v>16579.636755990156</v>
      </c>
      <c r="CF763" s="450">
        <f t="shared" ca="1" si="923"/>
        <v>15431.029780983894</v>
      </c>
      <c r="CG763" s="450">
        <f t="shared" ca="1" si="923"/>
        <v>23164.176835258386</v>
      </c>
      <c r="CH763" s="450">
        <f t="shared" ca="1" si="923"/>
        <v>33757.891671163612</v>
      </c>
      <c r="CI763" s="450">
        <f t="shared" ca="1" si="923"/>
        <v>17242.822226229768</v>
      </c>
      <c r="CJ763" s="450">
        <f t="shared" ca="1" si="923"/>
        <v>16226.585094136843</v>
      </c>
      <c r="CK763" s="450">
        <f t="shared" ca="1" si="923"/>
        <v>24090.743908668719</v>
      </c>
      <c r="CL763" s="450">
        <f t="shared" ca="1" si="923"/>
        <v>35108.207338010157</v>
      </c>
      <c r="CM763" s="450">
        <f t="shared" ca="1" si="923"/>
        <v>17932.535115278952</v>
      </c>
      <c r="CN763" s="450">
        <f t="shared" ca="1" si="923"/>
        <v>16690.20181111218</v>
      </c>
      <c r="CO763" s="450">
        <f t="shared" ca="1" si="923"/>
        <v>25054.373665015468</v>
      </c>
    </row>
    <row r="764" spans="1:93">
      <c r="A764" s="10"/>
      <c r="B764" s="10"/>
      <c r="C764" s="17" t="s">
        <v>699</v>
      </c>
      <c r="D764" s="10"/>
      <c r="E764" s="240">
        <f>E732</f>
        <v>0.24916520153848828</v>
      </c>
      <c r="F764" s="10"/>
      <c r="G764" s="11" t="str">
        <f t="shared" si="920"/>
        <v>тыс. руб.</v>
      </c>
      <c r="H764" s="10"/>
      <c r="I764" s="23">
        <f t="shared" ca="1" si="921"/>
        <v>1891437.5949936216</v>
      </c>
      <c r="J764" s="10"/>
      <c r="K764" s="10"/>
      <c r="L764" s="450">
        <f ca="1" xml:space="preserve"> L$750 * $E764 * $I$698</f>
        <v>0</v>
      </c>
      <c r="M764" s="450">
        <f t="shared" ca="1" si="922"/>
        <v>0</v>
      </c>
      <c r="N764" s="450">
        <f t="shared" ca="1" si="922"/>
        <v>0</v>
      </c>
      <c r="O764" s="450">
        <f t="shared" ca="1" si="922"/>
        <v>0</v>
      </c>
      <c r="P764" s="450">
        <f t="shared" ca="1" si="922"/>
        <v>0</v>
      </c>
      <c r="Q764" s="450">
        <f t="shared" ca="1" si="922"/>
        <v>0</v>
      </c>
      <c r="R764" s="450">
        <f t="shared" ca="1" si="922"/>
        <v>0</v>
      </c>
      <c r="S764" s="450">
        <f t="shared" ca="1" si="922"/>
        <v>0</v>
      </c>
      <c r="T764" s="450">
        <f t="shared" ca="1" si="922"/>
        <v>0</v>
      </c>
      <c r="U764" s="450">
        <f t="shared" ca="1" si="922"/>
        <v>0</v>
      </c>
      <c r="V764" s="450">
        <f t="shared" ca="1" si="922"/>
        <v>0</v>
      </c>
      <c r="W764" s="450">
        <f t="shared" ca="1" si="922"/>
        <v>0</v>
      </c>
      <c r="X764" s="450">
        <f t="shared" ca="1" si="922"/>
        <v>0</v>
      </c>
      <c r="Y764" s="450">
        <f t="shared" ca="1" si="922"/>
        <v>0</v>
      </c>
      <c r="Z764" s="450">
        <f t="shared" ca="1" si="922"/>
        <v>0</v>
      </c>
      <c r="AA764" s="450">
        <f t="shared" ca="1" si="922"/>
        <v>0</v>
      </c>
      <c r="AB764" s="450">
        <f t="shared" ca="1" si="922"/>
        <v>0</v>
      </c>
      <c r="AC764" s="450">
        <f t="shared" ca="1" si="922"/>
        <v>16280.679352664691</v>
      </c>
      <c r="AD764" s="450">
        <f t="shared" ca="1" si="922"/>
        <v>24447.662238532608</v>
      </c>
      <c r="AE764" s="450">
        <f t="shared" ca="1" si="922"/>
        <v>12855.782726137262</v>
      </c>
      <c r="AF764" s="450">
        <f t="shared" ca="1" si="922"/>
        <v>12308.063590393062</v>
      </c>
      <c r="AG764" s="450">
        <f t="shared" ca="1" si="922"/>
        <v>18990.909974779883</v>
      </c>
      <c r="AH764" s="450">
        <f t="shared" ca="1" si="922"/>
        <v>28426.219942350115</v>
      </c>
      <c r="AI764" s="450">
        <f t="shared" ca="1" si="922"/>
        <v>14902.683668543825</v>
      </c>
      <c r="AJ764" s="450">
        <f t="shared" ca="1" si="922"/>
        <v>14226.875212441668</v>
      </c>
      <c r="AK764" s="450">
        <f t="shared" ca="1" si="922"/>
        <v>21891.909959700035</v>
      </c>
      <c r="AL764" s="450">
        <f t="shared" ca="1" si="922"/>
        <v>32683.946002891389</v>
      </c>
      <c r="AM764" s="450">
        <f t="shared" ca="1" si="922"/>
        <v>17092.767433981095</v>
      </c>
      <c r="AN764" s="450">
        <f t="shared" ca="1" si="922"/>
        <v>16460.382183204085</v>
      </c>
      <c r="AO764" s="450">
        <f t="shared" ca="1" si="922"/>
        <v>24994.604487454133</v>
      </c>
      <c r="AP764" s="450">
        <f t="shared" ca="1" si="922"/>
        <v>36425.432108027882</v>
      </c>
      <c r="AQ764" s="450">
        <f t="shared" ca="1" si="922"/>
        <v>18605.345869062003</v>
      </c>
      <c r="AR764" s="450">
        <f t="shared" ca="1" si="922"/>
        <v>17316.401463818165</v>
      </c>
      <c r="AS764" s="450">
        <f t="shared" ca="1" si="922"/>
        <v>25994.388666952298</v>
      </c>
      <c r="AT764" s="450">
        <f t="shared" ca="1" si="922"/>
        <v>37882.449392348994</v>
      </c>
      <c r="AU764" s="450">
        <f t="shared" ca="1" si="922"/>
        <v>19349.559703824478</v>
      </c>
      <c r="AV764" s="450">
        <f t="shared" ca="1" si="922"/>
        <v>18009.057522370887</v>
      </c>
      <c r="AW764" s="450">
        <f t="shared" ca="1" si="922"/>
        <v>27034.164213630385</v>
      </c>
      <c r="AX764" s="450">
        <f t="shared" ca="1" si="922"/>
        <v>39397.747368042954</v>
      </c>
      <c r="AY764" s="450">
        <f t="shared" ca="1" si="922"/>
        <v>20123.542091977455</v>
      </c>
      <c r="AZ764" s="450">
        <f t="shared" ca="1" si="922"/>
        <v>18729.419823265722</v>
      </c>
      <c r="BA764" s="450">
        <f t="shared" ca="1" si="922"/>
        <v>28115.530782175592</v>
      </c>
      <c r="BB764" s="450">
        <f t="shared" ca="1" si="922"/>
        <v>40973.657262764653</v>
      </c>
      <c r="BC764" s="450">
        <f t="shared" ca="1" si="922"/>
        <v>20928.483775656547</v>
      </c>
      <c r="BD764" s="450">
        <f t="shared" ca="1" si="922"/>
        <v>19695.025467487416</v>
      </c>
      <c r="BE764" s="450">
        <f t="shared" ca="1" si="922"/>
        <v>29240.152013462615</v>
      </c>
      <c r="BF764" s="450">
        <f t="shared" ca="1" si="922"/>
        <v>42612.603553275243</v>
      </c>
      <c r="BG764" s="450">
        <f t="shared" ca="1" si="922"/>
        <v>21765.623126682807</v>
      </c>
      <c r="BH764" s="450">
        <f t="shared" ca="1" si="922"/>
        <v>20257.740480844197</v>
      </c>
      <c r="BI764" s="450">
        <f t="shared" ca="1" si="922"/>
        <v>30409.75809400111</v>
      </c>
      <c r="BJ764" s="450">
        <f t="shared" ca="1" si="922"/>
        <v>44317.107695406237</v>
      </c>
      <c r="BK764" s="450">
        <f t="shared" ca="1" si="922"/>
        <v>22636.248051750121</v>
      </c>
      <c r="BL764" s="450">
        <f t="shared" ca="1" si="922"/>
        <v>21068.050100077962</v>
      </c>
      <c r="BM764" s="450">
        <f t="shared" ca="1" si="922"/>
        <v>31626.148417761156</v>
      </c>
      <c r="BN764" s="450">
        <f t="shared" ca="1" si="922"/>
        <v>46089.792003222479</v>
      </c>
      <c r="BO764" s="450">
        <f t="shared" ca="1" si="922"/>
        <v>23541.697973820119</v>
      </c>
      <c r="BP764" s="450">
        <f t="shared" ca="1" si="922"/>
        <v>21910.772104081079</v>
      </c>
      <c r="BQ764" s="450">
        <f t="shared" ca="1" si="922"/>
        <v>32891.19435447159</v>
      </c>
      <c r="BR764" s="450">
        <f t="shared" ca="1" si="922"/>
        <v>47933.383683351378</v>
      </c>
      <c r="BS764" s="450">
        <f t="shared" ca="1" si="922"/>
        <v>24483.365892772919</v>
      </c>
      <c r="BT764" s="450">
        <f t="shared" ca="1" si="922"/>
        <v>23040.394132558144</v>
      </c>
      <c r="BU764" s="450">
        <f t="shared" ca="1" si="922"/>
        <v>34206.842128650453</v>
      </c>
      <c r="BV764" s="450">
        <f t="shared" ca="1" si="922"/>
        <v>49850.719030685425</v>
      </c>
      <c r="BW764" s="450">
        <f t="shared" ca="1" si="922"/>
        <v>25462.700528483827</v>
      </c>
      <c r="BX764" s="450">
        <f t="shared" ca="1" si="922"/>
        <v>23698.691107774088</v>
      </c>
      <c r="BY764" s="450">
        <f t="shared" ca="1" si="923"/>
        <v>35575.115813796467</v>
      </c>
      <c r="BZ764" s="450">
        <f t="shared" ca="1" si="923"/>
        <v>51844.747791912836</v>
      </c>
      <c r="CA764" s="450">
        <f t="shared" ca="1" si="923"/>
        <v>26481.208549623181</v>
      </c>
      <c r="CB764" s="450">
        <f t="shared" ca="1" si="923"/>
        <v>24646.638752085051</v>
      </c>
      <c r="CC764" s="450">
        <f t="shared" ca="1" si="923"/>
        <v>36998.120446348315</v>
      </c>
      <c r="CD764" s="450">
        <f t="shared" ca="1" si="923"/>
        <v>53918.537703589354</v>
      </c>
      <c r="CE764" s="450">
        <f t="shared" ca="1" si="923"/>
        <v>27540.456891608104</v>
      </c>
      <c r="CF764" s="450">
        <f t="shared" ca="1" si="923"/>
        <v>25632.504302168443</v>
      </c>
      <c r="CG764" s="450">
        <f t="shared" ca="1" si="923"/>
        <v>38478.04526420225</v>
      </c>
      <c r="CH764" s="450">
        <f t="shared" ca="1" si="923"/>
        <v>56075.279211732908</v>
      </c>
      <c r="CI764" s="450">
        <f t="shared" ca="1" si="923"/>
        <v>28642.075167272433</v>
      </c>
      <c r="CJ764" s="450">
        <f t="shared" ca="1" si="923"/>
        <v>26954.00230174691</v>
      </c>
      <c r="CK764" s="450">
        <f t="shared" ca="1" si="923"/>
        <v>40017.167074770339</v>
      </c>
      <c r="CL764" s="450">
        <f t="shared" ca="1" si="923"/>
        <v>58318.290380202227</v>
      </c>
      <c r="CM764" s="450">
        <f t="shared" ca="1" si="923"/>
        <v>29787.758173963324</v>
      </c>
      <c r="CN764" s="450">
        <f t="shared" ca="1" si="923"/>
        <v>27724.116653225392</v>
      </c>
      <c r="CO764" s="450">
        <f t="shared" ca="1" si="923"/>
        <v>41617.85375776115</v>
      </c>
    </row>
    <row r="765" spans="1:93">
      <c r="A765" s="10"/>
      <c r="B765" s="10"/>
      <c r="C765" s="17" t="s">
        <v>1027</v>
      </c>
      <c r="D765" s="10"/>
      <c r="E765" s="240">
        <f>E$739</f>
        <v>0.22</v>
      </c>
      <c r="F765" s="10"/>
      <c r="G765" s="11" t="str">
        <f t="shared" si="920"/>
        <v>тыс. руб.</v>
      </c>
      <c r="H765" s="10"/>
      <c r="I765" s="23">
        <f t="shared" ca="1" si="921"/>
        <v>416116.27089859662</v>
      </c>
      <c r="J765" s="10"/>
      <c r="K765" s="10"/>
      <c r="L765" s="10">
        <f t="shared" ref="L765:BA765" ca="1" si="924" xml:space="preserve"> L$764 * $E765</f>
        <v>0</v>
      </c>
      <c r="M765" s="10">
        <f t="shared" ca="1" si="924"/>
        <v>0</v>
      </c>
      <c r="N765" s="10">
        <f t="shared" ca="1" si="924"/>
        <v>0</v>
      </c>
      <c r="O765" s="10">
        <f t="shared" ca="1" si="924"/>
        <v>0</v>
      </c>
      <c r="P765" s="10">
        <f t="shared" ca="1" si="924"/>
        <v>0</v>
      </c>
      <c r="Q765" s="10">
        <f t="shared" ca="1" si="924"/>
        <v>0</v>
      </c>
      <c r="R765" s="10">
        <f t="shared" ca="1" si="924"/>
        <v>0</v>
      </c>
      <c r="S765" s="10">
        <f t="shared" ca="1" si="924"/>
        <v>0</v>
      </c>
      <c r="T765" s="10">
        <f t="shared" ca="1" si="924"/>
        <v>0</v>
      </c>
      <c r="U765" s="10">
        <f t="shared" ca="1" si="924"/>
        <v>0</v>
      </c>
      <c r="V765" s="10">
        <f t="shared" ca="1" si="924"/>
        <v>0</v>
      </c>
      <c r="W765" s="10">
        <f t="shared" ca="1" si="924"/>
        <v>0</v>
      </c>
      <c r="X765" s="10">
        <f t="shared" ca="1" si="924"/>
        <v>0</v>
      </c>
      <c r="Y765" s="10">
        <f t="shared" ca="1" si="924"/>
        <v>0</v>
      </c>
      <c r="Z765" s="10">
        <f t="shared" ca="1" si="924"/>
        <v>0</v>
      </c>
      <c r="AA765" s="10">
        <f t="shared" ca="1" si="924"/>
        <v>0</v>
      </c>
      <c r="AB765" s="10">
        <f t="shared" ca="1" si="924"/>
        <v>0</v>
      </c>
      <c r="AC765" s="10">
        <f t="shared" ca="1" si="924"/>
        <v>3581.749457586232</v>
      </c>
      <c r="AD765" s="10">
        <f t="shared" ca="1" si="924"/>
        <v>5378.4856924771739</v>
      </c>
      <c r="AE765" s="10">
        <f t="shared" ca="1" si="924"/>
        <v>2828.2721997501976</v>
      </c>
      <c r="AF765" s="10">
        <f t="shared" ca="1" si="924"/>
        <v>2707.7739898864734</v>
      </c>
      <c r="AG765" s="10">
        <f t="shared" ca="1" si="924"/>
        <v>4178.0001944515743</v>
      </c>
      <c r="AH765" s="10">
        <f t="shared" ca="1" si="924"/>
        <v>6253.7683873170254</v>
      </c>
      <c r="AI765" s="10">
        <f t="shared" ca="1" si="924"/>
        <v>3278.5904070796414</v>
      </c>
      <c r="AJ765" s="10">
        <f t="shared" ca="1" si="924"/>
        <v>3129.9125467371668</v>
      </c>
      <c r="AK765" s="10">
        <f t="shared" ca="1" si="924"/>
        <v>4816.220191134008</v>
      </c>
      <c r="AL765" s="10">
        <f t="shared" ca="1" si="924"/>
        <v>7190.4681206361056</v>
      </c>
      <c r="AM765" s="10">
        <f t="shared" ca="1" si="924"/>
        <v>3760.408835475841</v>
      </c>
      <c r="AN765" s="10">
        <f t="shared" ca="1" si="924"/>
        <v>3621.2840803048989</v>
      </c>
      <c r="AO765" s="10">
        <f t="shared" ca="1" si="924"/>
        <v>5498.8129872399095</v>
      </c>
      <c r="AP765" s="10">
        <f t="shared" ca="1" si="924"/>
        <v>8013.5950637661344</v>
      </c>
      <c r="AQ765" s="10">
        <f t="shared" ca="1" si="924"/>
        <v>4093.1760911936408</v>
      </c>
      <c r="AR765" s="10">
        <f t="shared" ca="1" si="924"/>
        <v>3809.6083220399964</v>
      </c>
      <c r="AS765" s="10">
        <f t="shared" ca="1" si="924"/>
        <v>5718.7655067295054</v>
      </c>
      <c r="AT765" s="10">
        <f t="shared" ca="1" si="924"/>
        <v>8334.1388663167781</v>
      </c>
      <c r="AU765" s="10">
        <f t="shared" ca="1" si="924"/>
        <v>4256.9031348413855</v>
      </c>
      <c r="AV765" s="10">
        <f t="shared" ca="1" si="924"/>
        <v>3961.9926549215952</v>
      </c>
      <c r="AW765" s="10">
        <f t="shared" ca="1" si="924"/>
        <v>5947.5161269986847</v>
      </c>
      <c r="AX765" s="10">
        <f t="shared" ca="1" si="924"/>
        <v>8667.5044209694497</v>
      </c>
      <c r="AY765" s="10">
        <f t="shared" ca="1" si="924"/>
        <v>4427.1792602350406</v>
      </c>
      <c r="AZ765" s="10">
        <f t="shared" ca="1" si="924"/>
        <v>4120.472361118459</v>
      </c>
      <c r="BA765" s="10">
        <f t="shared" ca="1" si="924"/>
        <v>6185.4167720786299</v>
      </c>
      <c r="BB765" s="10">
        <f t="shared" ref="BB765:CO768" ca="1" si="925" xml:space="preserve"> BB$764 * $E765</f>
        <v>9014.2045978082242</v>
      </c>
      <c r="BC765" s="10">
        <f t="shared" ca="1" si="925"/>
        <v>4604.2664306444403</v>
      </c>
      <c r="BD765" s="10">
        <f t="shared" ca="1" si="925"/>
        <v>4332.9056028472314</v>
      </c>
      <c r="BE765" s="10">
        <f t="shared" ca="1" si="925"/>
        <v>6432.8334429617753</v>
      </c>
      <c r="BF765" s="10">
        <f t="shared" ca="1" si="925"/>
        <v>9374.7727817205541</v>
      </c>
      <c r="BG765" s="10">
        <f t="shared" ca="1" si="925"/>
        <v>4788.4370878702175</v>
      </c>
      <c r="BH765" s="10">
        <f t="shared" ca="1" si="925"/>
        <v>4456.7029057857235</v>
      </c>
      <c r="BI765" s="10">
        <f t="shared" ca="1" si="925"/>
        <v>6690.1467806802439</v>
      </c>
      <c r="BJ765" s="10">
        <f t="shared" ca="1" si="925"/>
        <v>9749.7636929893724</v>
      </c>
      <c r="BK765" s="10">
        <f t="shared" ca="1" si="925"/>
        <v>4979.974571385027</v>
      </c>
      <c r="BL765" s="10">
        <f t="shared" ca="1" si="925"/>
        <v>4634.9710220171519</v>
      </c>
      <c r="BM765" s="10">
        <f t="shared" ca="1" si="925"/>
        <v>6957.7526519074545</v>
      </c>
      <c r="BN765" s="10">
        <f t="shared" ca="1" si="925"/>
        <v>10139.754240708946</v>
      </c>
      <c r="BO765" s="10">
        <f t="shared" ca="1" si="925"/>
        <v>5179.1735542404258</v>
      </c>
      <c r="BP765" s="10">
        <f t="shared" ca="1" si="925"/>
        <v>4820.3698628978373</v>
      </c>
      <c r="BQ765" s="10">
        <f t="shared" ca="1" si="925"/>
        <v>7236.0627579837501</v>
      </c>
      <c r="BR765" s="10">
        <f t="shared" ca="1" si="925"/>
        <v>10545.344410337304</v>
      </c>
      <c r="BS765" s="10">
        <f t="shared" ca="1" si="925"/>
        <v>5386.3404964100419</v>
      </c>
      <c r="BT765" s="10">
        <f t="shared" ca="1" si="925"/>
        <v>5068.8867091627917</v>
      </c>
      <c r="BU765" s="10">
        <f t="shared" ca="1" si="925"/>
        <v>7525.5052683030999</v>
      </c>
      <c r="BV765" s="10">
        <f t="shared" ca="1" si="925"/>
        <v>10967.158186750794</v>
      </c>
      <c r="BW765" s="10">
        <f t="shared" ca="1" si="925"/>
        <v>5601.794116266442</v>
      </c>
      <c r="BX765" s="10">
        <f t="shared" ca="1" si="925"/>
        <v>5213.7120437102994</v>
      </c>
      <c r="BY765" s="10">
        <f t="shared" ca="1" si="925"/>
        <v>7826.5254790352228</v>
      </c>
      <c r="BZ765" s="10">
        <f t="shared" ca="1" si="925"/>
        <v>11405.844514220824</v>
      </c>
      <c r="CA765" s="10">
        <f t="shared" ca="1" si="925"/>
        <v>5825.8658809171002</v>
      </c>
      <c r="CB765" s="10">
        <f t="shared" ca="1" si="925"/>
        <v>5422.2605254587115</v>
      </c>
      <c r="CC765" s="10">
        <f t="shared" ca="1" si="925"/>
        <v>8139.5864981966297</v>
      </c>
      <c r="CD765" s="10">
        <f t="shared" ca="1" si="925"/>
        <v>11862.078294789659</v>
      </c>
      <c r="CE765" s="10">
        <f t="shared" ca="1" si="925"/>
        <v>6058.9005161537834</v>
      </c>
      <c r="CF765" s="10">
        <f t="shared" ca="1" si="925"/>
        <v>5639.1509464770579</v>
      </c>
      <c r="CG765" s="10">
        <f t="shared" ca="1" si="925"/>
        <v>8465.1699581244957</v>
      </c>
      <c r="CH765" s="10">
        <f t="shared" ca="1" si="925"/>
        <v>12336.56142658124</v>
      </c>
      <c r="CI765" s="10">
        <f t="shared" ca="1" si="925"/>
        <v>6301.256536799935</v>
      </c>
      <c r="CJ765" s="10">
        <f t="shared" ca="1" si="925"/>
        <v>5929.8805063843201</v>
      </c>
      <c r="CK765" s="10">
        <f t="shared" ca="1" si="925"/>
        <v>8803.7767564494752</v>
      </c>
      <c r="CL765" s="10">
        <f t="shared" ca="1" si="925"/>
        <v>12830.02388364449</v>
      </c>
      <c r="CM765" s="10">
        <f t="shared" ca="1" si="925"/>
        <v>6553.3067982719313</v>
      </c>
      <c r="CN765" s="10">
        <f t="shared" ca="1" si="925"/>
        <v>6099.305663709586</v>
      </c>
      <c r="CO765" s="10">
        <f t="shared" ca="1" si="925"/>
        <v>9155.9278267074533</v>
      </c>
    </row>
    <row r="766" spans="1:93">
      <c r="A766" s="10"/>
      <c r="B766" s="10"/>
      <c r="C766" s="17" t="s">
        <v>1028</v>
      </c>
      <c r="D766" s="10"/>
      <c r="E766" s="240">
        <f>E$740</f>
        <v>2.9000000000000001E-2</v>
      </c>
      <c r="F766" s="10"/>
      <c r="G766" s="11" t="str">
        <f t="shared" si="920"/>
        <v>тыс. руб.</v>
      </c>
      <c r="H766" s="10"/>
      <c r="I766" s="23">
        <f t="shared" ca="1" si="921"/>
        <v>54851.690254814996</v>
      </c>
      <c r="J766" s="10"/>
      <c r="K766" s="10"/>
      <c r="L766" s="10">
        <f t="shared" ref="L766:AQ766" ca="1" si="926" xml:space="preserve"> L$764 * $E766</f>
        <v>0</v>
      </c>
      <c r="M766" s="10">
        <f t="shared" ca="1" si="926"/>
        <v>0</v>
      </c>
      <c r="N766" s="10">
        <f t="shared" ca="1" si="926"/>
        <v>0</v>
      </c>
      <c r="O766" s="10">
        <f t="shared" ca="1" si="926"/>
        <v>0</v>
      </c>
      <c r="P766" s="10">
        <f t="shared" ca="1" si="926"/>
        <v>0</v>
      </c>
      <c r="Q766" s="10">
        <f t="shared" ca="1" si="926"/>
        <v>0</v>
      </c>
      <c r="R766" s="10">
        <f t="shared" ca="1" si="926"/>
        <v>0</v>
      </c>
      <c r="S766" s="10">
        <f t="shared" ca="1" si="926"/>
        <v>0</v>
      </c>
      <c r="T766" s="10">
        <f t="shared" ca="1" si="926"/>
        <v>0</v>
      </c>
      <c r="U766" s="10">
        <f t="shared" ca="1" si="926"/>
        <v>0</v>
      </c>
      <c r="V766" s="10">
        <f t="shared" ca="1" si="926"/>
        <v>0</v>
      </c>
      <c r="W766" s="10">
        <f t="shared" ca="1" si="926"/>
        <v>0</v>
      </c>
      <c r="X766" s="10">
        <f t="shared" ca="1" si="926"/>
        <v>0</v>
      </c>
      <c r="Y766" s="10">
        <f t="shared" ca="1" si="926"/>
        <v>0</v>
      </c>
      <c r="Z766" s="10">
        <f t="shared" ca="1" si="926"/>
        <v>0</v>
      </c>
      <c r="AA766" s="10">
        <f t="shared" ca="1" si="926"/>
        <v>0</v>
      </c>
      <c r="AB766" s="10">
        <f t="shared" ca="1" si="926"/>
        <v>0</v>
      </c>
      <c r="AC766" s="10">
        <f t="shared" ca="1" si="926"/>
        <v>472.13970122727608</v>
      </c>
      <c r="AD766" s="10">
        <f t="shared" ca="1" si="926"/>
        <v>708.98220491744564</v>
      </c>
      <c r="AE766" s="10">
        <f t="shared" ca="1" si="926"/>
        <v>372.81769905798063</v>
      </c>
      <c r="AF766" s="10">
        <f t="shared" ca="1" si="926"/>
        <v>356.93384412139881</v>
      </c>
      <c r="AG766" s="10">
        <f t="shared" ca="1" si="926"/>
        <v>550.73638926861668</v>
      </c>
      <c r="AH766" s="10">
        <f t="shared" ca="1" si="926"/>
        <v>824.36037832815339</v>
      </c>
      <c r="AI766" s="10">
        <f t="shared" ca="1" si="926"/>
        <v>432.17782638777095</v>
      </c>
      <c r="AJ766" s="10">
        <f t="shared" ca="1" si="926"/>
        <v>412.5793811608084</v>
      </c>
      <c r="AK766" s="10">
        <f t="shared" ca="1" si="926"/>
        <v>634.86538883130106</v>
      </c>
      <c r="AL766" s="10">
        <f t="shared" ca="1" si="926"/>
        <v>947.83443408385028</v>
      </c>
      <c r="AM766" s="10">
        <f t="shared" ca="1" si="926"/>
        <v>495.69025558545178</v>
      </c>
      <c r="AN766" s="10">
        <f t="shared" ca="1" si="926"/>
        <v>477.35108331291849</v>
      </c>
      <c r="AO766" s="10">
        <f t="shared" ca="1" si="926"/>
        <v>724.84353013616987</v>
      </c>
      <c r="AP766" s="10">
        <f t="shared" ca="1" si="926"/>
        <v>1056.3375311328086</v>
      </c>
      <c r="AQ766" s="10">
        <f t="shared" ca="1" si="926"/>
        <v>539.55503020279809</v>
      </c>
      <c r="AR766" s="10">
        <f t="shared" ref="AR766:BN766" ca="1" si="927" xml:space="preserve"> AR$764 * $E766</f>
        <v>502.1756424507268</v>
      </c>
      <c r="AS766" s="10">
        <f t="shared" ca="1" si="927"/>
        <v>753.83727134161666</v>
      </c>
      <c r="AT766" s="10">
        <f t="shared" ca="1" si="927"/>
        <v>1098.5910323781209</v>
      </c>
      <c r="AU766" s="10">
        <f t="shared" ca="1" si="927"/>
        <v>561.13723141090986</v>
      </c>
      <c r="AV766" s="10">
        <f t="shared" ca="1" si="927"/>
        <v>522.26266814875578</v>
      </c>
      <c r="AW766" s="10">
        <f t="shared" ca="1" si="927"/>
        <v>783.99076219528126</v>
      </c>
      <c r="AX766" s="10">
        <f t="shared" ca="1" si="927"/>
        <v>1142.5346736732458</v>
      </c>
      <c r="AY766" s="10">
        <f t="shared" ca="1" si="927"/>
        <v>583.58272066734628</v>
      </c>
      <c r="AZ766" s="10">
        <f t="shared" ca="1" si="927"/>
        <v>543.153174874706</v>
      </c>
      <c r="BA766" s="10">
        <f t="shared" ca="1" si="927"/>
        <v>815.3503926830922</v>
      </c>
      <c r="BB766" s="10">
        <f t="shared" ca="1" si="927"/>
        <v>1188.2360606201751</v>
      </c>
      <c r="BC766" s="10">
        <f t="shared" ca="1" si="927"/>
        <v>606.92602949403988</v>
      </c>
      <c r="BD766" s="10">
        <f t="shared" ca="1" si="927"/>
        <v>571.15573855713512</v>
      </c>
      <c r="BE766" s="10">
        <f t="shared" ca="1" si="927"/>
        <v>847.96440839041588</v>
      </c>
      <c r="BF766" s="10">
        <f t="shared" ca="1" si="927"/>
        <v>1235.7655030449821</v>
      </c>
      <c r="BG766" s="10">
        <f t="shared" ca="1" si="927"/>
        <v>631.20307067380145</v>
      </c>
      <c r="BH766" s="10">
        <f t="shared" ca="1" si="927"/>
        <v>587.4744739444817</v>
      </c>
      <c r="BI766" s="10">
        <f t="shared" ca="1" si="927"/>
        <v>881.88298472603219</v>
      </c>
      <c r="BJ766" s="10">
        <f t="shared" ca="1" si="927"/>
        <v>1285.196123166781</v>
      </c>
      <c r="BK766" s="10">
        <f t="shared" ca="1" si="927"/>
        <v>656.45119350075356</v>
      </c>
      <c r="BL766" s="10">
        <f t="shared" ca="1" si="927"/>
        <v>610.97345290226099</v>
      </c>
      <c r="BM766" s="10">
        <f t="shared" ca="1" si="927"/>
        <v>917.15830411507363</v>
      </c>
      <c r="BN766" s="10">
        <f t="shared" ca="1" si="927"/>
        <v>1336.6039680934521</v>
      </c>
      <c r="BO766" s="10">
        <f t="shared" ca="1" si="925"/>
        <v>682.70924124078351</v>
      </c>
      <c r="BP766" s="10">
        <f t="shared" ca="1" si="925"/>
        <v>635.41239101835129</v>
      </c>
      <c r="BQ766" s="10">
        <f t="shared" ca="1" si="925"/>
        <v>953.84463627967614</v>
      </c>
      <c r="BR766" s="10">
        <f t="shared" ca="1" si="925"/>
        <v>1390.06812681719</v>
      </c>
      <c r="BS766" s="10">
        <f t="shared" ca="1" si="925"/>
        <v>710.01761089041474</v>
      </c>
      <c r="BT766" s="10">
        <f t="shared" ca="1" si="925"/>
        <v>668.17142984418615</v>
      </c>
      <c r="BU766" s="10">
        <f t="shared" ca="1" si="925"/>
        <v>991.99842173086313</v>
      </c>
      <c r="BV766" s="10">
        <f t="shared" ca="1" si="925"/>
        <v>1445.6708518898774</v>
      </c>
      <c r="BW766" s="10">
        <f t="shared" ca="1" si="925"/>
        <v>738.41831532603101</v>
      </c>
      <c r="BX766" s="10">
        <f t="shared" ca="1" si="925"/>
        <v>687.2620421254486</v>
      </c>
      <c r="BY766" s="10">
        <f t="shared" ca="1" si="925"/>
        <v>1031.6783586000977</v>
      </c>
      <c r="BZ766" s="10">
        <f t="shared" ca="1" si="925"/>
        <v>1503.4976859654723</v>
      </c>
      <c r="CA766" s="10">
        <f t="shared" ca="1" si="925"/>
        <v>767.9550479390723</v>
      </c>
      <c r="CB766" s="10">
        <f t="shared" ca="1" si="925"/>
        <v>714.75252381046653</v>
      </c>
      <c r="CC766" s="10">
        <f t="shared" ca="1" si="925"/>
        <v>1072.9454929441013</v>
      </c>
      <c r="CD766" s="10">
        <f t="shared" ca="1" si="925"/>
        <v>1563.6375934040914</v>
      </c>
      <c r="CE766" s="10">
        <f t="shared" ca="1" si="925"/>
        <v>798.67324985663504</v>
      </c>
      <c r="CF766" s="10">
        <f t="shared" ca="1" si="925"/>
        <v>743.34262476288484</v>
      </c>
      <c r="CG766" s="10">
        <f t="shared" ca="1" si="925"/>
        <v>1115.8633126618654</v>
      </c>
      <c r="CH766" s="10">
        <f t="shared" ca="1" si="925"/>
        <v>1626.1830971402544</v>
      </c>
      <c r="CI766" s="10">
        <f t="shared" ca="1" si="925"/>
        <v>830.62017985090063</v>
      </c>
      <c r="CJ766" s="10">
        <f t="shared" ca="1" si="925"/>
        <v>781.66606675066043</v>
      </c>
      <c r="CK766" s="10">
        <f t="shared" ca="1" si="925"/>
        <v>1160.4978451683398</v>
      </c>
      <c r="CL766" s="10">
        <f t="shared" ca="1" si="925"/>
        <v>1691.2304210258646</v>
      </c>
      <c r="CM766" s="10">
        <f t="shared" ca="1" si="925"/>
        <v>863.84498704493649</v>
      </c>
      <c r="CN766" s="10">
        <f t="shared" ca="1" si="925"/>
        <v>803.99938294353638</v>
      </c>
      <c r="CO766" s="10">
        <f t="shared" ca="1" si="925"/>
        <v>1206.9177589750734</v>
      </c>
    </row>
    <row r="767" spans="1:93">
      <c r="A767" s="10"/>
      <c r="B767" s="10"/>
      <c r="C767" s="17" t="s">
        <v>1029</v>
      </c>
      <c r="D767" s="10"/>
      <c r="E767" s="240">
        <f>E$741</f>
        <v>5.0999999999999997E-2</v>
      </c>
      <c r="F767" s="10"/>
      <c r="G767" s="11" t="str">
        <f t="shared" si="920"/>
        <v>тыс. руб.</v>
      </c>
      <c r="H767" s="10"/>
      <c r="I767" s="23">
        <f t="shared" ca="1" si="921"/>
        <v>96463.317344674666</v>
      </c>
      <c r="J767" s="10"/>
      <c r="K767" s="10"/>
      <c r="L767" s="10">
        <f t="shared" ref="L767:S768" ca="1" si="928" xml:space="preserve"> L$764 * $E767</f>
        <v>0</v>
      </c>
      <c r="M767" s="10">
        <f t="shared" ca="1" si="928"/>
        <v>0</v>
      </c>
      <c r="N767" s="10">
        <f t="shared" ca="1" si="928"/>
        <v>0</v>
      </c>
      <c r="O767" s="10">
        <f t="shared" ca="1" si="928"/>
        <v>0</v>
      </c>
      <c r="P767" s="10">
        <f t="shared" ca="1" si="928"/>
        <v>0</v>
      </c>
      <c r="Q767" s="10">
        <f t="shared" ca="1" si="928"/>
        <v>0</v>
      </c>
      <c r="R767" s="10">
        <f t="shared" ca="1" si="928"/>
        <v>0</v>
      </c>
      <c r="S767" s="10">
        <f t="shared" ca="1" si="928"/>
        <v>0</v>
      </c>
      <c r="T767" s="10">
        <f t="shared" ref="T767:CE768" ca="1" si="929" xml:space="preserve"> T$764 * $E767</f>
        <v>0</v>
      </c>
      <c r="U767" s="10">
        <f t="shared" ca="1" si="929"/>
        <v>0</v>
      </c>
      <c r="V767" s="10">
        <f t="shared" ca="1" si="929"/>
        <v>0</v>
      </c>
      <c r="W767" s="10">
        <f t="shared" ca="1" si="929"/>
        <v>0</v>
      </c>
      <c r="X767" s="10">
        <f t="shared" ca="1" si="929"/>
        <v>0</v>
      </c>
      <c r="Y767" s="10">
        <f t="shared" ca="1" si="929"/>
        <v>0</v>
      </c>
      <c r="Z767" s="10">
        <f t="shared" ca="1" si="929"/>
        <v>0</v>
      </c>
      <c r="AA767" s="10">
        <f t="shared" ca="1" si="929"/>
        <v>0</v>
      </c>
      <c r="AB767" s="10">
        <f t="shared" ca="1" si="929"/>
        <v>0</v>
      </c>
      <c r="AC767" s="10">
        <f t="shared" ca="1" si="929"/>
        <v>830.31464698589912</v>
      </c>
      <c r="AD767" s="10">
        <f t="shared" ca="1" si="929"/>
        <v>1246.8307741651629</v>
      </c>
      <c r="AE767" s="10">
        <f t="shared" ca="1" si="929"/>
        <v>655.64491903300029</v>
      </c>
      <c r="AF767" s="10">
        <f t="shared" ca="1" si="929"/>
        <v>627.7112431100461</v>
      </c>
      <c r="AG767" s="10">
        <f t="shared" ca="1" si="929"/>
        <v>968.53640871377399</v>
      </c>
      <c r="AH767" s="10">
        <f t="shared" ca="1" si="929"/>
        <v>1449.7372170598558</v>
      </c>
      <c r="AI767" s="10">
        <f t="shared" ca="1" si="929"/>
        <v>760.03686709573503</v>
      </c>
      <c r="AJ767" s="10">
        <f t="shared" ca="1" si="929"/>
        <v>725.57063583452498</v>
      </c>
      <c r="AK767" s="10">
        <f t="shared" ca="1" si="929"/>
        <v>1116.4874079447018</v>
      </c>
      <c r="AL767" s="10">
        <f t="shared" ca="1" si="929"/>
        <v>1666.8812461474608</v>
      </c>
      <c r="AM767" s="10">
        <f t="shared" ca="1" si="929"/>
        <v>871.73113913303575</v>
      </c>
      <c r="AN767" s="10">
        <f t="shared" ca="1" si="929"/>
        <v>839.47949134340831</v>
      </c>
      <c r="AO767" s="10">
        <f t="shared" ca="1" si="929"/>
        <v>1274.7248288601606</v>
      </c>
      <c r="AP767" s="10">
        <f t="shared" ca="1" si="929"/>
        <v>1857.697037509422</v>
      </c>
      <c r="AQ767" s="10">
        <f t="shared" ca="1" si="929"/>
        <v>948.87263932216206</v>
      </c>
      <c r="AR767" s="10">
        <f t="shared" ca="1" si="929"/>
        <v>883.13647465472638</v>
      </c>
      <c r="AS767" s="10">
        <f t="shared" ca="1" si="929"/>
        <v>1325.7138220145671</v>
      </c>
      <c r="AT767" s="10">
        <f t="shared" ca="1" si="929"/>
        <v>1932.0049190097986</v>
      </c>
      <c r="AU767" s="10">
        <f t="shared" ca="1" si="929"/>
        <v>986.82754489504828</v>
      </c>
      <c r="AV767" s="10">
        <f t="shared" ca="1" si="929"/>
        <v>918.46193364091516</v>
      </c>
      <c r="AW767" s="10">
        <f t="shared" ca="1" si="929"/>
        <v>1378.7423748951496</v>
      </c>
      <c r="AX767" s="10">
        <f t="shared" ca="1" si="929"/>
        <v>2009.2851157701905</v>
      </c>
      <c r="AY767" s="10">
        <f t="shared" ca="1" si="929"/>
        <v>1026.30064669085</v>
      </c>
      <c r="AZ767" s="10">
        <f t="shared" ca="1" si="929"/>
        <v>955.20041098655179</v>
      </c>
      <c r="BA767" s="10">
        <f t="shared" ca="1" si="929"/>
        <v>1433.8920698909551</v>
      </c>
      <c r="BB767" s="10">
        <f t="shared" ca="1" si="929"/>
        <v>2089.6565204009971</v>
      </c>
      <c r="BC767" s="10">
        <f t="shared" ca="1" si="929"/>
        <v>1067.3526725584838</v>
      </c>
      <c r="BD767" s="10">
        <f t="shared" ca="1" si="929"/>
        <v>1004.4462988418582</v>
      </c>
      <c r="BE767" s="10">
        <f t="shared" ca="1" si="929"/>
        <v>1491.2477526865932</v>
      </c>
      <c r="BF767" s="10">
        <f t="shared" ca="1" si="929"/>
        <v>2173.2427812170372</v>
      </c>
      <c r="BG767" s="10">
        <f t="shared" ca="1" si="929"/>
        <v>1110.046779460823</v>
      </c>
      <c r="BH767" s="10">
        <f t="shared" ca="1" si="929"/>
        <v>1033.1447645230539</v>
      </c>
      <c r="BI767" s="10">
        <f t="shared" ca="1" si="929"/>
        <v>1550.8976627940565</v>
      </c>
      <c r="BJ767" s="10">
        <f t="shared" ca="1" si="929"/>
        <v>2260.1724924657178</v>
      </c>
      <c r="BK767" s="10">
        <f t="shared" ca="1" si="929"/>
        <v>1154.4486506392561</v>
      </c>
      <c r="BL767" s="10">
        <f t="shared" ca="1" si="929"/>
        <v>1074.470555103976</v>
      </c>
      <c r="BM767" s="10">
        <f t="shared" ca="1" si="929"/>
        <v>1612.9335693058188</v>
      </c>
      <c r="BN767" s="10">
        <f t="shared" ca="1" si="929"/>
        <v>2350.5793921643462</v>
      </c>
      <c r="BO767" s="10">
        <f t="shared" ca="1" si="929"/>
        <v>1200.6265966648259</v>
      </c>
      <c r="BP767" s="10">
        <f t="shared" ca="1" si="929"/>
        <v>1117.4493773081349</v>
      </c>
      <c r="BQ767" s="10">
        <f t="shared" ca="1" si="929"/>
        <v>1677.450912078051</v>
      </c>
      <c r="BR767" s="10">
        <f t="shared" ca="1" si="929"/>
        <v>2444.60256785092</v>
      </c>
      <c r="BS767" s="10">
        <f t="shared" ca="1" si="929"/>
        <v>1248.6516605314189</v>
      </c>
      <c r="BT767" s="10">
        <f t="shared" ca="1" si="929"/>
        <v>1175.0601007604653</v>
      </c>
      <c r="BU767" s="10">
        <f t="shared" ca="1" si="929"/>
        <v>1744.5489485611729</v>
      </c>
      <c r="BV767" s="10">
        <f t="shared" ca="1" si="929"/>
        <v>2542.3866705649566</v>
      </c>
      <c r="BW767" s="10">
        <f t="shared" ca="1" si="929"/>
        <v>1298.5977269526752</v>
      </c>
      <c r="BX767" s="10">
        <f t="shared" ca="1" si="929"/>
        <v>1208.6332464964785</v>
      </c>
      <c r="BY767" s="10">
        <f t="shared" ca="1" si="929"/>
        <v>1814.3309065036196</v>
      </c>
      <c r="BZ767" s="10">
        <f t="shared" ca="1" si="929"/>
        <v>2644.0821373875547</v>
      </c>
      <c r="CA767" s="10">
        <f t="shared" ca="1" si="929"/>
        <v>1350.5416360307822</v>
      </c>
      <c r="CB767" s="10">
        <f t="shared" ca="1" si="929"/>
        <v>1256.9785763563375</v>
      </c>
      <c r="CC767" s="10">
        <f t="shared" ca="1" si="929"/>
        <v>1886.904142763764</v>
      </c>
      <c r="CD767" s="10">
        <f t="shared" ca="1" si="929"/>
        <v>2749.8454228830569</v>
      </c>
      <c r="CE767" s="10">
        <f t="shared" ca="1" si="929"/>
        <v>1404.5633014720133</v>
      </c>
      <c r="CF767" s="10">
        <f t="shared" ca="1" si="925"/>
        <v>1307.2577194105904</v>
      </c>
      <c r="CG767" s="10">
        <f t="shared" ca="1" si="925"/>
        <v>1962.3803084743147</v>
      </c>
      <c r="CH767" s="10">
        <f t="shared" ca="1" si="925"/>
        <v>2859.839239798378</v>
      </c>
      <c r="CI767" s="10">
        <f t="shared" ca="1" si="925"/>
        <v>1460.7458335308941</v>
      </c>
      <c r="CJ767" s="10">
        <f t="shared" ca="1" si="925"/>
        <v>1374.6541173890923</v>
      </c>
      <c r="CK767" s="10">
        <f t="shared" ca="1" si="925"/>
        <v>2040.8755208132873</v>
      </c>
      <c r="CL767" s="10">
        <f t="shared" ca="1" si="925"/>
        <v>2974.2328093903134</v>
      </c>
      <c r="CM767" s="10">
        <f t="shared" ca="1" si="925"/>
        <v>1519.1756668721293</v>
      </c>
      <c r="CN767" s="10">
        <f t="shared" ca="1" si="925"/>
        <v>1413.9299493144949</v>
      </c>
      <c r="CO767" s="10">
        <f t="shared" ca="1" si="925"/>
        <v>2122.5105416458186</v>
      </c>
    </row>
    <row r="768" spans="1:93">
      <c r="A768" s="10"/>
      <c r="B768" s="10"/>
      <c r="C768" s="17" t="s">
        <v>1030</v>
      </c>
      <c r="D768" s="10"/>
      <c r="E768" s="240">
        <f>E$742</f>
        <v>2E-3</v>
      </c>
      <c r="F768" s="10"/>
      <c r="G768" s="11" t="str">
        <f t="shared" si="920"/>
        <v>тыс. руб.</v>
      </c>
      <c r="H768" s="10"/>
      <c r="I768" s="23">
        <f t="shared" ca="1" si="921"/>
        <v>3782.8751899872414</v>
      </c>
      <c r="J768" s="10"/>
      <c r="K768" s="10"/>
      <c r="L768" s="10">
        <f t="shared" ca="1" si="928"/>
        <v>0</v>
      </c>
      <c r="M768" s="10">
        <f t="shared" ca="1" si="928"/>
        <v>0</v>
      </c>
      <c r="N768" s="10">
        <f t="shared" ca="1" si="928"/>
        <v>0</v>
      </c>
      <c r="O768" s="10">
        <f t="shared" ca="1" si="928"/>
        <v>0</v>
      </c>
      <c r="P768" s="10">
        <f t="shared" ca="1" si="928"/>
        <v>0</v>
      </c>
      <c r="Q768" s="10">
        <f t="shared" ca="1" si="928"/>
        <v>0</v>
      </c>
      <c r="R768" s="10">
        <f t="shared" ca="1" si="928"/>
        <v>0</v>
      </c>
      <c r="S768" s="10">
        <f t="shared" ca="1" si="928"/>
        <v>0</v>
      </c>
      <c r="T768" s="10">
        <f t="shared" ca="1" si="929"/>
        <v>0</v>
      </c>
      <c r="U768" s="10">
        <f t="shared" ca="1" si="929"/>
        <v>0</v>
      </c>
      <c r="V768" s="10">
        <f t="shared" ca="1" si="929"/>
        <v>0</v>
      </c>
      <c r="W768" s="10">
        <f t="shared" ca="1" si="929"/>
        <v>0</v>
      </c>
      <c r="X768" s="10">
        <f t="shared" ca="1" si="929"/>
        <v>0</v>
      </c>
      <c r="Y768" s="10">
        <f t="shared" ca="1" si="929"/>
        <v>0</v>
      </c>
      <c r="Z768" s="10">
        <f t="shared" ca="1" si="929"/>
        <v>0</v>
      </c>
      <c r="AA768" s="10">
        <f t="shared" ca="1" si="929"/>
        <v>0</v>
      </c>
      <c r="AB768" s="10">
        <f t="shared" ca="1" si="929"/>
        <v>0</v>
      </c>
      <c r="AC768" s="10">
        <f t="shared" ca="1" si="929"/>
        <v>32.561358705329383</v>
      </c>
      <c r="AD768" s="10">
        <f t="shared" ca="1" si="929"/>
        <v>48.895324477065216</v>
      </c>
      <c r="AE768" s="10">
        <f t="shared" ca="1" si="929"/>
        <v>25.711565452274524</v>
      </c>
      <c r="AF768" s="10">
        <f t="shared" ca="1" si="929"/>
        <v>24.616127180786123</v>
      </c>
      <c r="AG768" s="10">
        <f t="shared" ca="1" si="929"/>
        <v>37.981819949559764</v>
      </c>
      <c r="AH768" s="10">
        <f t="shared" ca="1" si="929"/>
        <v>56.852439884700232</v>
      </c>
      <c r="AI768" s="10">
        <f t="shared" ca="1" si="929"/>
        <v>29.805367337087649</v>
      </c>
      <c r="AJ768" s="10">
        <f t="shared" ca="1" si="929"/>
        <v>28.453750424883335</v>
      </c>
      <c r="AK768" s="10">
        <f t="shared" ca="1" si="929"/>
        <v>43.783819919400074</v>
      </c>
      <c r="AL768" s="10">
        <f t="shared" ca="1" si="929"/>
        <v>65.367892005782778</v>
      </c>
      <c r="AM768" s="10">
        <f t="shared" ca="1" si="929"/>
        <v>34.18553486796219</v>
      </c>
      <c r="AN768" s="10">
        <f t="shared" ca="1" si="929"/>
        <v>32.920764366408171</v>
      </c>
      <c r="AO768" s="10">
        <f t="shared" ca="1" si="929"/>
        <v>49.989208974908266</v>
      </c>
      <c r="AP768" s="10">
        <f t="shared" ca="1" si="929"/>
        <v>72.850864216055768</v>
      </c>
      <c r="AQ768" s="10">
        <f t="shared" ca="1" si="929"/>
        <v>37.210691738124005</v>
      </c>
      <c r="AR768" s="10">
        <f t="shared" ca="1" si="929"/>
        <v>34.632802927636334</v>
      </c>
      <c r="AS768" s="10">
        <f t="shared" ca="1" si="929"/>
        <v>51.988777333904601</v>
      </c>
      <c r="AT768" s="10">
        <f t="shared" ca="1" si="929"/>
        <v>75.764898784697991</v>
      </c>
      <c r="AU768" s="10">
        <f t="shared" ca="1" si="929"/>
        <v>38.699119407648958</v>
      </c>
      <c r="AV768" s="10">
        <f t="shared" ca="1" si="929"/>
        <v>36.018115044741776</v>
      </c>
      <c r="AW768" s="10">
        <f t="shared" ca="1" si="929"/>
        <v>54.068328427260774</v>
      </c>
      <c r="AX768" s="10">
        <f t="shared" ca="1" si="929"/>
        <v>78.795494736085914</v>
      </c>
      <c r="AY768" s="10">
        <f t="shared" ca="1" si="929"/>
        <v>40.247084183954911</v>
      </c>
      <c r="AZ768" s="10">
        <f t="shared" ca="1" si="929"/>
        <v>37.458839646531445</v>
      </c>
      <c r="BA768" s="10">
        <f t="shared" ca="1" si="929"/>
        <v>56.231061564351187</v>
      </c>
      <c r="BB768" s="10">
        <f t="shared" ca="1" si="929"/>
        <v>81.947314525529308</v>
      </c>
      <c r="BC768" s="10">
        <f t="shared" ca="1" si="929"/>
        <v>41.856967551313097</v>
      </c>
      <c r="BD768" s="10">
        <f t="shared" ca="1" si="929"/>
        <v>39.39005093497483</v>
      </c>
      <c r="BE768" s="10">
        <f t="shared" ca="1" si="929"/>
        <v>58.480304026925232</v>
      </c>
      <c r="BF768" s="10">
        <f t="shared" ca="1" si="929"/>
        <v>85.225207106550485</v>
      </c>
      <c r="BG768" s="10">
        <f t="shared" ca="1" si="929"/>
        <v>43.531246253365616</v>
      </c>
      <c r="BH768" s="10">
        <f t="shared" ca="1" si="929"/>
        <v>40.515480961688397</v>
      </c>
      <c r="BI768" s="10">
        <f t="shared" ca="1" si="929"/>
        <v>60.819516188002218</v>
      </c>
      <c r="BJ768" s="10">
        <f t="shared" ca="1" si="929"/>
        <v>88.634215390812471</v>
      </c>
      <c r="BK768" s="10">
        <f t="shared" ca="1" si="929"/>
        <v>45.272496103500245</v>
      </c>
      <c r="BL768" s="10">
        <f t="shared" ca="1" si="929"/>
        <v>42.136100200155923</v>
      </c>
      <c r="BM768" s="10">
        <f t="shared" ca="1" si="929"/>
        <v>63.252296835522316</v>
      </c>
      <c r="BN768" s="10">
        <f t="shared" ca="1" si="929"/>
        <v>92.179584006444955</v>
      </c>
      <c r="BO768" s="10">
        <f t="shared" ca="1" si="929"/>
        <v>47.083395947640241</v>
      </c>
      <c r="BP768" s="10">
        <f t="shared" ca="1" si="929"/>
        <v>43.821544208162159</v>
      </c>
      <c r="BQ768" s="10">
        <f t="shared" ca="1" si="929"/>
        <v>65.782388708943188</v>
      </c>
      <c r="BR768" s="10">
        <f t="shared" ca="1" si="929"/>
        <v>95.86676736670276</v>
      </c>
      <c r="BS768" s="10">
        <f t="shared" ca="1" si="929"/>
        <v>48.966731785545839</v>
      </c>
      <c r="BT768" s="10">
        <f t="shared" ca="1" si="929"/>
        <v>46.08078826511629</v>
      </c>
      <c r="BU768" s="10">
        <f t="shared" ca="1" si="929"/>
        <v>68.413684257300901</v>
      </c>
      <c r="BV768" s="10">
        <f t="shared" ca="1" si="929"/>
        <v>99.701438061370851</v>
      </c>
      <c r="BW768" s="10">
        <f t="shared" ca="1" si="929"/>
        <v>50.925401056967658</v>
      </c>
      <c r="BX768" s="10">
        <f t="shared" ca="1" si="929"/>
        <v>47.397382215548177</v>
      </c>
      <c r="BY768" s="10">
        <f t="shared" ca="1" si="929"/>
        <v>71.15023162759293</v>
      </c>
      <c r="BZ768" s="10">
        <f t="shared" ca="1" si="929"/>
        <v>103.68949558382567</v>
      </c>
      <c r="CA768" s="10">
        <f t="shared" ca="1" si="929"/>
        <v>52.962417099246366</v>
      </c>
      <c r="CB768" s="10">
        <f t="shared" ca="1" si="929"/>
        <v>49.293277504170106</v>
      </c>
      <c r="CC768" s="10">
        <f t="shared" ca="1" si="929"/>
        <v>73.996240892696633</v>
      </c>
      <c r="CD768" s="10">
        <f t="shared" ca="1" si="929"/>
        <v>107.83707540717872</v>
      </c>
      <c r="CE768" s="10">
        <f t="shared" ca="1" si="929"/>
        <v>55.080913783216211</v>
      </c>
      <c r="CF768" s="10">
        <f t="shared" ca="1" si="925"/>
        <v>51.265008604336884</v>
      </c>
      <c r="CG768" s="10">
        <f t="shared" ca="1" si="925"/>
        <v>76.956090528404502</v>
      </c>
      <c r="CH768" s="10">
        <f t="shared" ca="1" si="925"/>
        <v>112.15055842346582</v>
      </c>
      <c r="CI768" s="10">
        <f t="shared" ca="1" si="925"/>
        <v>57.284150334544869</v>
      </c>
      <c r="CJ768" s="10">
        <f t="shared" ca="1" si="925"/>
        <v>53.908004603493822</v>
      </c>
      <c r="CK768" s="10">
        <f t="shared" ca="1" si="925"/>
        <v>80.034334149540683</v>
      </c>
      <c r="CL768" s="10">
        <f t="shared" ca="1" si="925"/>
        <v>116.63658076040446</v>
      </c>
      <c r="CM768" s="10">
        <f t="shared" ca="1" si="925"/>
        <v>59.575516347926651</v>
      </c>
      <c r="CN768" s="10">
        <f t="shared" ca="1" si="925"/>
        <v>55.448233306450788</v>
      </c>
      <c r="CO768" s="10">
        <f t="shared" ca="1" si="925"/>
        <v>83.235707515522307</v>
      </c>
    </row>
    <row r="769" spans="1:93">
      <c r="A769" s="10"/>
      <c r="B769" s="10"/>
      <c r="C769" s="17"/>
      <c r="D769" s="10"/>
      <c r="E769" s="241"/>
      <c r="F769" s="10"/>
      <c r="G769" s="11"/>
      <c r="H769" s="10"/>
      <c r="I769" s="1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  <c r="BA769" s="10"/>
      <c r="BB769" s="10"/>
      <c r="BC769" s="10"/>
      <c r="BD769" s="10"/>
      <c r="BE769" s="10"/>
      <c r="BF769" s="10"/>
      <c r="BG769" s="10"/>
      <c r="BH769" s="10"/>
      <c r="BI769" s="10"/>
      <c r="BJ769" s="10"/>
      <c r="BK769" s="10"/>
      <c r="BL769" s="10"/>
      <c r="BM769" s="10"/>
      <c r="BN769" s="10"/>
      <c r="BO769" s="10"/>
      <c r="BP769" s="10"/>
      <c r="BQ769" s="10"/>
      <c r="BR769" s="10"/>
      <c r="BS769" s="10"/>
      <c r="BT769" s="10"/>
      <c r="BU769" s="10"/>
      <c r="BV769" s="10"/>
      <c r="BW769" s="10"/>
      <c r="BX769" s="10"/>
      <c r="BY769" s="10"/>
      <c r="BZ769" s="10"/>
      <c r="CA769" s="10"/>
      <c r="CB769" s="10"/>
      <c r="CC769" s="10"/>
      <c r="CD769" s="10"/>
      <c r="CE769" s="10"/>
      <c r="CF769" s="10"/>
      <c r="CG769" s="10"/>
      <c r="CH769" s="10"/>
      <c r="CI769" s="10"/>
      <c r="CJ769" s="10"/>
      <c r="CK769" s="10"/>
      <c r="CL769" s="10"/>
      <c r="CM769" s="10"/>
      <c r="CN769" s="10"/>
      <c r="CO769" s="10"/>
    </row>
    <row r="770" spans="1:93">
      <c r="A770" s="10"/>
      <c r="B770" s="10"/>
      <c r="C770" s="41" t="s">
        <v>727</v>
      </c>
      <c r="D770" s="10"/>
      <c r="E770" s="241"/>
      <c r="F770" s="10"/>
      <c r="G770" s="11"/>
      <c r="H770" s="10"/>
      <c r="I770" s="1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  <c r="BA770" s="10"/>
      <c r="BB770" s="10"/>
      <c r="BC770" s="10"/>
      <c r="BD770" s="10"/>
      <c r="BE770" s="10"/>
      <c r="BF770" s="10"/>
      <c r="BG770" s="10"/>
      <c r="BH770" s="10"/>
      <c r="BI770" s="10"/>
      <c r="BJ770" s="10"/>
      <c r="BK770" s="10"/>
      <c r="BL770" s="10"/>
      <c r="BM770" s="10"/>
      <c r="BN770" s="10"/>
      <c r="BO770" s="10"/>
      <c r="BP770" s="10"/>
      <c r="BQ770" s="10"/>
      <c r="BR770" s="10"/>
      <c r="BS770" s="10"/>
      <c r="BT770" s="10"/>
      <c r="BU770" s="10"/>
      <c r="BV770" s="10"/>
      <c r="BW770" s="10"/>
      <c r="BX770" s="10"/>
      <c r="BY770" s="10"/>
      <c r="BZ770" s="10"/>
      <c r="CA770" s="10"/>
      <c r="CB770" s="10"/>
      <c r="CC770" s="10"/>
      <c r="CD770" s="10"/>
      <c r="CE770" s="10"/>
      <c r="CF770" s="10"/>
      <c r="CG770" s="10"/>
      <c r="CH770" s="10"/>
      <c r="CI770" s="10"/>
      <c r="CJ770" s="10"/>
      <c r="CK770" s="10"/>
      <c r="CL770" s="10"/>
      <c r="CM770" s="10"/>
      <c r="CN770" s="10"/>
      <c r="CO770" s="10"/>
    </row>
    <row r="771" spans="1:93">
      <c r="A771" s="10"/>
      <c r="B771" s="10"/>
      <c r="C771" s="17" t="s">
        <v>700</v>
      </c>
      <c r="D771" s="10"/>
      <c r="E771" s="240">
        <f xml:space="preserve"> E735</f>
        <v>0.11</v>
      </c>
      <c r="F771" s="10"/>
      <c r="G771" s="11" t="str">
        <f t="shared" ref="G771:G777" si="930">Monetary_Unit</f>
        <v>тыс. руб.</v>
      </c>
      <c r="H771" s="10"/>
      <c r="I771" s="23">
        <f t="shared" ref="I771:I777" ca="1" si="931">SUM(L771:CO771)</f>
        <v>247113.08013501641</v>
      </c>
      <c r="J771" s="10"/>
      <c r="K771" s="10"/>
      <c r="L771" s="10">
        <f ca="1" xml:space="preserve"> L$751 * $E771 * $I$698</f>
        <v>0</v>
      </c>
      <c r="M771" s="10">
        <f t="shared" ref="M771:BX772" ca="1" si="932" xml:space="preserve"> M$751 * $E771 * $I$698</f>
        <v>0</v>
      </c>
      <c r="N771" s="10">
        <f t="shared" ca="1" si="932"/>
        <v>0</v>
      </c>
      <c r="O771" s="10">
        <f t="shared" ca="1" si="932"/>
        <v>0</v>
      </c>
      <c r="P771" s="10">
        <f t="shared" ca="1" si="932"/>
        <v>0</v>
      </c>
      <c r="Q771" s="10">
        <f t="shared" ca="1" si="932"/>
        <v>0</v>
      </c>
      <c r="R771" s="10">
        <f t="shared" ca="1" si="932"/>
        <v>0</v>
      </c>
      <c r="S771" s="10">
        <f t="shared" ca="1" si="932"/>
        <v>0</v>
      </c>
      <c r="T771" s="10">
        <f t="shared" ca="1" si="932"/>
        <v>0</v>
      </c>
      <c r="U771" s="10">
        <f t="shared" ca="1" si="932"/>
        <v>0</v>
      </c>
      <c r="V771" s="10">
        <f t="shared" ca="1" si="932"/>
        <v>0</v>
      </c>
      <c r="W771" s="10">
        <f t="shared" ca="1" si="932"/>
        <v>0</v>
      </c>
      <c r="X771" s="10">
        <f t="shared" ca="1" si="932"/>
        <v>0</v>
      </c>
      <c r="Y771" s="10">
        <f t="shared" ca="1" si="932"/>
        <v>0</v>
      </c>
      <c r="Z771" s="10">
        <f t="shared" ca="1" si="932"/>
        <v>0</v>
      </c>
      <c r="AA771" s="10">
        <f t="shared" ca="1" si="932"/>
        <v>0</v>
      </c>
      <c r="AB771" s="10">
        <f t="shared" ca="1" si="932"/>
        <v>0</v>
      </c>
      <c r="AC771" s="10">
        <f t="shared" ca="1" si="932"/>
        <v>2023.00051269031</v>
      </c>
      <c r="AD771" s="10">
        <f t="shared" ca="1" si="932"/>
        <v>3838.3495073622153</v>
      </c>
      <c r="AE771" s="10">
        <f t="shared" ca="1" si="932"/>
        <v>1436.0979800339803</v>
      </c>
      <c r="AF771" s="10">
        <f t="shared" ca="1" si="932"/>
        <v>1302.9756189119971</v>
      </c>
      <c r="AG771" s="10">
        <f t="shared" ca="1" si="932"/>
        <v>2359.7676597658178</v>
      </c>
      <c r="AH771" s="10">
        <f t="shared" ca="1" si="932"/>
        <v>4462.993894766706</v>
      </c>
      <c r="AI771" s="10">
        <f t="shared" ca="1" si="932"/>
        <v>1664.7538597528617</v>
      </c>
      <c r="AJ771" s="10">
        <f t="shared" ca="1" si="932"/>
        <v>1506.1078778942951</v>
      </c>
      <c r="AK771" s="10">
        <f t="shared" ca="1" si="932"/>
        <v>2720.2393777870625</v>
      </c>
      <c r="AL771" s="10">
        <f t="shared" ca="1" si="932"/>
        <v>5131.468473951777</v>
      </c>
      <c r="AM771" s="10">
        <f t="shared" ca="1" si="932"/>
        <v>1909.4044530811998</v>
      </c>
      <c r="AN771" s="10">
        <f t="shared" ca="1" si="932"/>
        <v>1742.5549116783059</v>
      </c>
      <c r="AO771" s="10">
        <f t="shared" ca="1" si="932"/>
        <v>3105.7732049943802</v>
      </c>
      <c r="AP771" s="10">
        <f t="shared" ca="1" si="932"/>
        <v>5718.8919751574786</v>
      </c>
      <c r="AQ771" s="10">
        <f t="shared" ca="1" si="932"/>
        <v>2078.3720594523229</v>
      </c>
      <c r="AR771" s="10">
        <f t="shared" ca="1" si="932"/>
        <v>1833.1761734037757</v>
      </c>
      <c r="AS771" s="10">
        <f t="shared" ca="1" si="932"/>
        <v>3230.0041331941547</v>
      </c>
      <c r="AT771" s="10">
        <f t="shared" ca="1" si="932"/>
        <v>5947.6476541637776</v>
      </c>
      <c r="AU771" s="10">
        <f t="shared" ca="1" si="932"/>
        <v>2161.5069418304156</v>
      </c>
      <c r="AV771" s="10">
        <f t="shared" ca="1" si="932"/>
        <v>1906.5032203399262</v>
      </c>
      <c r="AW771" s="10">
        <f t="shared" ca="1" si="932"/>
        <v>3359.2042985219205</v>
      </c>
      <c r="AX771" s="10">
        <f t="shared" ca="1" si="932"/>
        <v>6185.5535603303288</v>
      </c>
      <c r="AY771" s="10">
        <f t="shared" ca="1" si="932"/>
        <v>2247.9672195036324</v>
      </c>
      <c r="AZ771" s="10">
        <f t="shared" ca="1" si="932"/>
        <v>1982.7633491535228</v>
      </c>
      <c r="BA771" s="10">
        <f t="shared" ca="1" si="932"/>
        <v>3493.5724704627964</v>
      </c>
      <c r="BB771" s="10">
        <f t="shared" ca="1" si="932"/>
        <v>6432.9757027435398</v>
      </c>
      <c r="BC771" s="10">
        <f t="shared" ca="1" si="932"/>
        <v>2337.8859082837766</v>
      </c>
      <c r="BD771" s="10">
        <f t="shared" ca="1" si="932"/>
        <v>2084.9858151543262</v>
      </c>
      <c r="BE771" s="10">
        <f t="shared" ca="1" si="932"/>
        <v>3633.315369281308</v>
      </c>
      <c r="BF771" s="10">
        <f t="shared" ca="1" si="932"/>
        <v>6690.2947308532812</v>
      </c>
      <c r="BG771" s="10">
        <f t="shared" ca="1" si="932"/>
        <v>2431.4013446151275</v>
      </c>
      <c r="BH771" s="10">
        <f t="shared" ca="1" si="932"/>
        <v>2144.5568384444496</v>
      </c>
      <c r="BI771" s="10">
        <f t="shared" ca="1" si="932"/>
        <v>3778.6479840525594</v>
      </c>
      <c r="BJ771" s="10">
        <f t="shared" ca="1" si="932"/>
        <v>6957.9065200874111</v>
      </c>
      <c r="BK771" s="10">
        <f t="shared" ca="1" si="932"/>
        <v>2528.6573983997328</v>
      </c>
      <c r="BL771" s="10">
        <f t="shared" ca="1" si="932"/>
        <v>2230.3391119822281</v>
      </c>
      <c r="BM771" s="10">
        <f t="shared" ca="1" si="932"/>
        <v>3929.7939034146621</v>
      </c>
      <c r="BN771" s="10">
        <f t="shared" ca="1" si="932"/>
        <v>7236.2227808909056</v>
      </c>
      <c r="BO771" s="10">
        <f t="shared" ca="1" si="932"/>
        <v>2629.803694335721</v>
      </c>
      <c r="BP771" s="10">
        <f t="shared" ca="1" si="932"/>
        <v>2319.5526764615161</v>
      </c>
      <c r="BQ771" s="10">
        <f t="shared" ca="1" si="932"/>
        <v>4086.9856595512479</v>
      </c>
      <c r="BR771" s="10">
        <f t="shared" ca="1" si="932"/>
        <v>7525.6716921265424</v>
      </c>
      <c r="BS771" s="10">
        <f t="shared" ca="1" si="932"/>
        <v>2734.9958421091496</v>
      </c>
      <c r="BT771" s="10">
        <f t="shared" ca="1" si="932"/>
        <v>2439.1385033368651</v>
      </c>
      <c r="BU771" s="10">
        <f t="shared" ca="1" si="932"/>
        <v>4250.4650859332969</v>
      </c>
      <c r="BV771" s="10">
        <f t="shared" ca="1" si="932"/>
        <v>7826.6985598115998</v>
      </c>
      <c r="BW771" s="10">
        <f t="shared" ca="1" si="932"/>
        <v>2844.3956757935152</v>
      </c>
      <c r="BX771" s="10">
        <f t="shared" ca="1" si="932"/>
        <v>2508.8281748607747</v>
      </c>
      <c r="BY771" s="10">
        <f t="shared" ref="BY771:CO772" ca="1" si="933" xml:space="preserve"> BY$751 * $E771 * $I$698</f>
        <v>4420.4836893706279</v>
      </c>
      <c r="BZ771" s="10">
        <f t="shared" ca="1" si="933"/>
        <v>8139.7665022040646</v>
      </c>
      <c r="CA771" s="10">
        <f t="shared" ca="1" si="933"/>
        <v>2958.1715028252552</v>
      </c>
      <c r="CB771" s="10">
        <f t="shared" ca="1" si="933"/>
        <v>2609.1813018552061</v>
      </c>
      <c r="CC771" s="10">
        <f t="shared" ca="1" si="933"/>
        <v>4597.3030369454527</v>
      </c>
      <c r="CD771" s="10">
        <f t="shared" ca="1" si="933"/>
        <v>8465.3571622922263</v>
      </c>
      <c r="CE771" s="10">
        <f t="shared" ca="1" si="933"/>
        <v>3076.498362938265</v>
      </c>
      <c r="CF771" s="10">
        <f t="shared" ca="1" si="933"/>
        <v>2713.5485539294136</v>
      </c>
      <c r="CG771" s="10">
        <f t="shared" ca="1" si="933"/>
        <v>4781.1951584232702</v>
      </c>
      <c r="CH771" s="10">
        <f t="shared" ca="1" si="933"/>
        <v>8803.9714487839155</v>
      </c>
      <c r="CI771" s="10">
        <f t="shared" ca="1" si="933"/>
        <v>3199.558297455796</v>
      </c>
      <c r="CJ771" s="10">
        <f t="shared" ca="1" si="933"/>
        <v>2853.4470571542192</v>
      </c>
      <c r="CK771" s="10">
        <f t="shared" ca="1" si="933"/>
        <v>4972.4429647602019</v>
      </c>
      <c r="CL771" s="10">
        <f t="shared" ca="1" si="933"/>
        <v>9156.130306735271</v>
      </c>
      <c r="CM771" s="10">
        <f t="shared" ca="1" si="933"/>
        <v>3327.5406293540273</v>
      </c>
      <c r="CN771" s="10">
        <f t="shared" ca="1" si="933"/>
        <v>2934.9741159300534</v>
      </c>
      <c r="CO771" s="10">
        <f t="shared" ca="1" si="933"/>
        <v>5171.3406833506087</v>
      </c>
    </row>
    <row r="772" spans="1:93">
      <c r="A772" s="10"/>
      <c r="B772" s="10"/>
      <c r="C772" s="17" t="s">
        <v>699</v>
      </c>
      <c r="D772" s="10"/>
      <c r="E772" s="240">
        <f xml:space="preserve"> E736</f>
        <v>0.11452269494858763</v>
      </c>
      <c r="F772" s="10"/>
      <c r="G772" s="11" t="str">
        <f t="shared" si="930"/>
        <v>тыс. руб.</v>
      </c>
      <c r="H772" s="10"/>
      <c r="I772" s="23">
        <f t="shared" ca="1" si="931"/>
        <v>257273.2354009852</v>
      </c>
      <c r="J772" s="10"/>
      <c r="K772" s="10"/>
      <c r="L772" s="10">
        <f ca="1" xml:space="preserve"> L$751 * $E772 * $I$698</f>
        <v>0</v>
      </c>
      <c r="M772" s="10">
        <f t="shared" ca="1" si="932"/>
        <v>0</v>
      </c>
      <c r="N772" s="10">
        <f t="shared" ca="1" si="932"/>
        <v>0</v>
      </c>
      <c r="O772" s="10">
        <f t="shared" ca="1" si="932"/>
        <v>0</v>
      </c>
      <c r="P772" s="10">
        <f t="shared" ca="1" si="932"/>
        <v>0</v>
      </c>
      <c r="Q772" s="10">
        <f t="shared" ca="1" si="932"/>
        <v>0</v>
      </c>
      <c r="R772" s="10">
        <f t="shared" ca="1" si="932"/>
        <v>0</v>
      </c>
      <c r="S772" s="10">
        <f t="shared" ca="1" si="932"/>
        <v>0</v>
      </c>
      <c r="T772" s="10">
        <f t="shared" ca="1" si="932"/>
        <v>0</v>
      </c>
      <c r="U772" s="10">
        <f t="shared" ca="1" si="932"/>
        <v>0</v>
      </c>
      <c r="V772" s="10">
        <f t="shared" ca="1" si="932"/>
        <v>0</v>
      </c>
      <c r="W772" s="10">
        <f t="shared" ca="1" si="932"/>
        <v>0</v>
      </c>
      <c r="X772" s="10">
        <f t="shared" ca="1" si="932"/>
        <v>0</v>
      </c>
      <c r="Y772" s="10">
        <f t="shared" ca="1" si="932"/>
        <v>0</v>
      </c>
      <c r="Z772" s="10">
        <f t="shared" ca="1" si="932"/>
        <v>0</v>
      </c>
      <c r="AA772" s="10">
        <f t="shared" ca="1" si="932"/>
        <v>0</v>
      </c>
      <c r="AB772" s="10">
        <f t="shared" ca="1" si="932"/>
        <v>0</v>
      </c>
      <c r="AC772" s="10">
        <f t="shared" ca="1" si="932"/>
        <v>2106.1770054151707</v>
      </c>
      <c r="AD772" s="10">
        <f t="shared" ca="1" si="932"/>
        <v>3996.1648157973145</v>
      </c>
      <c r="AE772" s="10">
        <f t="shared" ca="1" si="932"/>
        <v>1495.1437353064948</v>
      </c>
      <c r="AF772" s="10">
        <f t="shared" ca="1" si="932"/>
        <v>1356.5479939100528</v>
      </c>
      <c r="AG772" s="10">
        <f t="shared" ca="1" si="932"/>
        <v>2456.7904713536664</v>
      </c>
      <c r="AH772" s="10">
        <f t="shared" ca="1" si="932"/>
        <v>4646.491712434331</v>
      </c>
      <c r="AI772" s="10">
        <f t="shared" ca="1" si="932"/>
        <v>1733.2008949541894</v>
      </c>
      <c r="AJ772" s="10">
        <f t="shared" ca="1" si="932"/>
        <v>1568.0321187250277</v>
      </c>
      <c r="AK772" s="10">
        <f t="shared" ca="1" si="932"/>
        <v>2832.0831313585782</v>
      </c>
      <c r="AL772" s="10">
        <f t="shared" ca="1" si="932"/>
        <v>5342.4508970970355</v>
      </c>
      <c r="AM772" s="10">
        <f t="shared" ca="1" si="932"/>
        <v>1987.9103973972096</v>
      </c>
      <c r="AN772" s="10">
        <f t="shared" ca="1" si="932"/>
        <v>1814.2007689208881</v>
      </c>
      <c r="AO772" s="10">
        <f t="shared" ca="1" si="932"/>
        <v>3233.4683394097156</v>
      </c>
      <c r="AP772" s="10">
        <f t="shared" ca="1" si="932"/>
        <v>5954.0265555898704</v>
      </c>
      <c r="AQ772" s="10">
        <f t="shared" ca="1" si="932"/>
        <v>2163.8251759484201</v>
      </c>
      <c r="AR772" s="10">
        <f t="shared" ca="1" si="932"/>
        <v>1908.5479608521798</v>
      </c>
      <c r="AS772" s="10">
        <f t="shared" ca="1" si="932"/>
        <v>3362.8070729861038</v>
      </c>
      <c r="AT772" s="10">
        <f t="shared" ca="1" si="932"/>
        <v>6192.1876178134653</v>
      </c>
      <c r="AU772" s="10">
        <f t="shared" ca="1" si="932"/>
        <v>2250.3781829863565</v>
      </c>
      <c r="AV772" s="10">
        <f t="shared" ca="1" si="932"/>
        <v>1984.8898792862667</v>
      </c>
      <c r="AW772" s="10">
        <f t="shared" ca="1" si="932"/>
        <v>3497.3193559055476</v>
      </c>
      <c r="AX772" s="10">
        <f t="shared" ca="1" si="932"/>
        <v>6439.8751225260039</v>
      </c>
      <c r="AY772" s="10">
        <f t="shared" ca="1" si="932"/>
        <v>2340.3933103058107</v>
      </c>
      <c r="AZ772" s="10">
        <f t="shared" ca="1" si="932"/>
        <v>2064.2854744577166</v>
      </c>
      <c r="BA772" s="10">
        <f t="shared" ca="1" si="932"/>
        <v>3637.2121301417687</v>
      </c>
      <c r="BB772" s="10">
        <f t="shared" ca="1" si="932"/>
        <v>6697.4701274270419</v>
      </c>
      <c r="BC772" s="10">
        <f t="shared" ca="1" si="932"/>
        <v>2434.0090427180426</v>
      </c>
      <c r="BD772" s="10">
        <f t="shared" ca="1" si="932"/>
        <v>2170.7108589186478</v>
      </c>
      <c r="BE772" s="10">
        <f t="shared" ca="1" si="932"/>
        <v>3782.7006153474385</v>
      </c>
      <c r="BF772" s="10">
        <f t="shared" ca="1" si="932"/>
        <v>6965.368932524123</v>
      </c>
      <c r="BG772" s="10">
        <f t="shared" ca="1" si="932"/>
        <v>2531.369404426764</v>
      </c>
      <c r="BH772" s="10">
        <f t="shared" ca="1" si="932"/>
        <v>2232.7311691734658</v>
      </c>
      <c r="BI772" s="10">
        <f t="shared" ca="1" si="932"/>
        <v>3934.0086399613356</v>
      </c>
      <c r="BJ772" s="10">
        <f t="shared" ca="1" si="932"/>
        <v>7243.983689825086</v>
      </c>
      <c r="BK772" s="10">
        <f t="shared" ca="1" si="932"/>
        <v>2632.6241806038347</v>
      </c>
      <c r="BL772" s="10">
        <f t="shared" ca="1" si="932"/>
        <v>2322.0404159404047</v>
      </c>
      <c r="BM772" s="10">
        <f t="shared" ca="1" si="932"/>
        <v>4091.3689855597891</v>
      </c>
      <c r="BN772" s="10">
        <f t="shared" ca="1" si="932"/>
        <v>7533.7430374180876</v>
      </c>
      <c r="BO772" s="10">
        <f t="shared" ca="1" si="932"/>
        <v>2737.929147827987</v>
      </c>
      <c r="BP772" s="10">
        <f t="shared" ca="1" si="932"/>
        <v>2414.9220325780198</v>
      </c>
      <c r="BQ772" s="10">
        <f t="shared" ca="1" si="932"/>
        <v>4255.0237449821798</v>
      </c>
      <c r="BR772" s="10">
        <f t="shared" ca="1" si="932"/>
        <v>7835.0927589148114</v>
      </c>
      <c r="BS772" s="10">
        <f t="shared" ca="1" si="932"/>
        <v>2847.4463137411062</v>
      </c>
      <c r="BT772" s="10">
        <f t="shared" ca="1" si="932"/>
        <v>2539.4246795909307</v>
      </c>
      <c r="BU772" s="10">
        <f t="shared" ca="1" si="932"/>
        <v>4425.2246947814656</v>
      </c>
      <c r="BV772" s="10">
        <f t="shared" ca="1" si="932"/>
        <v>8148.4964692714002</v>
      </c>
      <c r="BW772" s="10">
        <f t="shared" ca="1" si="932"/>
        <v>2961.3441662907503</v>
      </c>
      <c r="BX772" s="10">
        <f t="shared" ca="1" si="932"/>
        <v>2611.9796704363853</v>
      </c>
      <c r="BY772" s="10">
        <f t="shared" ca="1" si="933"/>
        <v>4602.2336825727243</v>
      </c>
      <c r="BZ772" s="10">
        <f t="shared" ca="1" si="933"/>
        <v>8474.4363280422567</v>
      </c>
      <c r="CA772" s="10">
        <f t="shared" ca="1" si="933"/>
        <v>3079.7979329423792</v>
      </c>
      <c r="CB772" s="10">
        <f t="shared" ca="1" si="933"/>
        <v>2716.4588572538414</v>
      </c>
      <c r="CC772" s="10">
        <f t="shared" ca="1" si="933"/>
        <v>4786.3230298756325</v>
      </c>
      <c r="CD772" s="10">
        <f t="shared" ca="1" si="933"/>
        <v>8813.4137811639466</v>
      </c>
      <c r="CE772" s="10">
        <f t="shared" ca="1" si="933"/>
        <v>3202.989850260074</v>
      </c>
      <c r="CF772" s="10">
        <f t="shared" ca="1" si="933"/>
        <v>2825.117211543994</v>
      </c>
      <c r="CG772" s="10">
        <f t="shared" ca="1" si="933"/>
        <v>4977.7759510706574</v>
      </c>
      <c r="CH772" s="10">
        <f t="shared" ca="1" si="933"/>
        <v>9165.9503324105044</v>
      </c>
      <c r="CI772" s="10">
        <f t="shared" ca="1" si="933"/>
        <v>3331.1094442704775</v>
      </c>
      <c r="CJ772" s="10">
        <f t="shared" ca="1" si="933"/>
        <v>2970.7676988947064</v>
      </c>
      <c r="CK772" s="10">
        <f t="shared" ca="1" si="933"/>
        <v>5176.8869891134846</v>
      </c>
      <c r="CL772" s="10">
        <f t="shared" ca="1" si="933"/>
        <v>9532.5883457069231</v>
      </c>
      <c r="CM772" s="10">
        <f t="shared" ca="1" si="933"/>
        <v>3464.3538220412961</v>
      </c>
      <c r="CN772" s="10">
        <f t="shared" ca="1" si="933"/>
        <v>3055.6467760059836</v>
      </c>
      <c r="CO772" s="10">
        <f t="shared" ca="1" si="933"/>
        <v>5383.9624686780226</v>
      </c>
    </row>
    <row r="773" spans="1:93">
      <c r="A773" s="10"/>
      <c r="B773" s="10"/>
      <c r="C773" s="17" t="s">
        <v>1027</v>
      </c>
      <c r="D773" s="10"/>
      <c r="E773" s="240">
        <f>E$739</f>
        <v>0.22</v>
      </c>
      <c r="F773" s="10"/>
      <c r="G773" s="11" t="str">
        <f t="shared" si="930"/>
        <v>тыс. руб.</v>
      </c>
      <c r="H773" s="10"/>
      <c r="I773" s="23">
        <f t="shared" ca="1" si="931"/>
        <v>56600.111788216745</v>
      </c>
      <c r="J773" s="10"/>
      <c r="K773" s="10"/>
      <c r="L773" s="10">
        <f t="shared" ref="L773:BA774" ca="1" si="934" xml:space="preserve"> L$772 * $E773</f>
        <v>0</v>
      </c>
      <c r="M773" s="10">
        <f t="shared" ca="1" si="934"/>
        <v>0</v>
      </c>
      <c r="N773" s="10">
        <f t="shared" ca="1" si="934"/>
        <v>0</v>
      </c>
      <c r="O773" s="10">
        <f t="shared" ca="1" si="934"/>
        <v>0</v>
      </c>
      <c r="P773" s="10">
        <f t="shared" ca="1" si="934"/>
        <v>0</v>
      </c>
      <c r="Q773" s="10">
        <f t="shared" ca="1" si="934"/>
        <v>0</v>
      </c>
      <c r="R773" s="10">
        <f t="shared" ca="1" si="934"/>
        <v>0</v>
      </c>
      <c r="S773" s="10">
        <f t="shared" ca="1" si="934"/>
        <v>0</v>
      </c>
      <c r="T773" s="10">
        <f t="shared" ca="1" si="934"/>
        <v>0</v>
      </c>
      <c r="U773" s="10">
        <f t="shared" ca="1" si="934"/>
        <v>0</v>
      </c>
      <c r="V773" s="10">
        <f t="shared" ca="1" si="934"/>
        <v>0</v>
      </c>
      <c r="W773" s="10">
        <f t="shared" ca="1" si="934"/>
        <v>0</v>
      </c>
      <c r="X773" s="10">
        <f t="shared" ca="1" si="934"/>
        <v>0</v>
      </c>
      <c r="Y773" s="10">
        <f t="shared" ca="1" si="934"/>
        <v>0</v>
      </c>
      <c r="Z773" s="10">
        <f t="shared" ca="1" si="934"/>
        <v>0</v>
      </c>
      <c r="AA773" s="10">
        <f t="shared" ca="1" si="934"/>
        <v>0</v>
      </c>
      <c r="AB773" s="10">
        <f t="shared" ca="1" si="934"/>
        <v>0</v>
      </c>
      <c r="AC773" s="10">
        <f t="shared" ca="1" si="934"/>
        <v>463.35894119133758</v>
      </c>
      <c r="AD773" s="10">
        <f t="shared" ca="1" si="934"/>
        <v>879.15625947540923</v>
      </c>
      <c r="AE773" s="10">
        <f t="shared" ca="1" si="934"/>
        <v>328.93162176742885</v>
      </c>
      <c r="AF773" s="10">
        <f t="shared" ca="1" si="934"/>
        <v>298.44055866021159</v>
      </c>
      <c r="AG773" s="10">
        <f t="shared" ca="1" si="934"/>
        <v>540.49390369780656</v>
      </c>
      <c r="AH773" s="10">
        <f t="shared" ca="1" si="934"/>
        <v>1022.2281767355528</v>
      </c>
      <c r="AI773" s="10">
        <f t="shared" ca="1" si="934"/>
        <v>381.30419688992168</v>
      </c>
      <c r="AJ773" s="10">
        <f t="shared" ca="1" si="934"/>
        <v>344.96706611950611</v>
      </c>
      <c r="AK773" s="10">
        <f t="shared" ca="1" si="934"/>
        <v>623.05828889888721</v>
      </c>
      <c r="AL773" s="10">
        <f t="shared" ca="1" si="934"/>
        <v>1175.3391973613477</v>
      </c>
      <c r="AM773" s="10">
        <f t="shared" ca="1" si="934"/>
        <v>437.3402874273861</v>
      </c>
      <c r="AN773" s="10">
        <f t="shared" ca="1" si="934"/>
        <v>399.12416916259536</v>
      </c>
      <c r="AO773" s="10">
        <f t="shared" ca="1" si="934"/>
        <v>711.36303467013738</v>
      </c>
      <c r="AP773" s="10">
        <f t="shared" ca="1" si="934"/>
        <v>1309.8858422297715</v>
      </c>
      <c r="AQ773" s="10">
        <f t="shared" ca="1" si="934"/>
        <v>476.04153870865241</v>
      </c>
      <c r="AR773" s="10">
        <f t="shared" ca="1" si="934"/>
        <v>419.88055138747956</v>
      </c>
      <c r="AS773" s="10">
        <f t="shared" ca="1" si="934"/>
        <v>739.81755605694286</v>
      </c>
      <c r="AT773" s="10">
        <f t="shared" ca="1" si="934"/>
        <v>1362.2812759189624</v>
      </c>
      <c r="AU773" s="10">
        <f t="shared" ca="1" si="934"/>
        <v>495.08320025699845</v>
      </c>
      <c r="AV773" s="10">
        <f t="shared" ca="1" si="934"/>
        <v>436.67577344297865</v>
      </c>
      <c r="AW773" s="10">
        <f t="shared" ca="1" si="934"/>
        <v>769.41025829922046</v>
      </c>
      <c r="AX773" s="10">
        <f t="shared" ca="1" si="934"/>
        <v>1416.7725269557209</v>
      </c>
      <c r="AY773" s="10">
        <f t="shared" ca="1" si="934"/>
        <v>514.88652826727832</v>
      </c>
      <c r="AZ773" s="10">
        <f t="shared" ca="1" si="934"/>
        <v>454.14280438069767</v>
      </c>
      <c r="BA773" s="10">
        <f t="shared" ca="1" si="934"/>
        <v>800.18666863118915</v>
      </c>
      <c r="BB773" s="10">
        <f t="shared" ref="BB773:CO776" ca="1" si="935" xml:space="preserve"> BB$772 * $E773</f>
        <v>1473.4434280339492</v>
      </c>
      <c r="BC773" s="10">
        <f t="shared" ca="1" si="935"/>
        <v>535.48198939796941</v>
      </c>
      <c r="BD773" s="10">
        <f t="shared" ca="1" si="935"/>
        <v>477.55638896210252</v>
      </c>
      <c r="BE773" s="10">
        <f t="shared" ca="1" si="935"/>
        <v>832.19413537643652</v>
      </c>
      <c r="BF773" s="10">
        <f t="shared" ca="1" si="935"/>
        <v>1532.3811651553071</v>
      </c>
      <c r="BG773" s="10">
        <f t="shared" ca="1" si="935"/>
        <v>556.90126897388814</v>
      </c>
      <c r="BH773" s="10">
        <f t="shared" ca="1" si="935"/>
        <v>491.20085721816247</v>
      </c>
      <c r="BI773" s="10">
        <f t="shared" ca="1" si="935"/>
        <v>865.48190079149379</v>
      </c>
      <c r="BJ773" s="10">
        <f t="shared" ca="1" si="935"/>
        <v>1593.6764117615189</v>
      </c>
      <c r="BK773" s="10">
        <f t="shared" ca="1" si="935"/>
        <v>579.17731973284367</v>
      </c>
      <c r="BL773" s="10">
        <f t="shared" ca="1" si="935"/>
        <v>510.84889150688906</v>
      </c>
      <c r="BM773" s="10">
        <f t="shared" ca="1" si="935"/>
        <v>900.10117682315365</v>
      </c>
      <c r="BN773" s="10">
        <f t="shared" ca="1" si="935"/>
        <v>1657.4234682319793</v>
      </c>
      <c r="BO773" s="10">
        <f t="shared" ca="1" si="935"/>
        <v>602.34441252215709</v>
      </c>
      <c r="BP773" s="10">
        <f t="shared" ca="1" si="935"/>
        <v>531.28284716716439</v>
      </c>
      <c r="BQ773" s="10">
        <f t="shared" ca="1" si="935"/>
        <v>936.10522389607956</v>
      </c>
      <c r="BR773" s="10">
        <f t="shared" ca="1" si="935"/>
        <v>1723.7204069612585</v>
      </c>
      <c r="BS773" s="10">
        <f t="shared" ca="1" si="935"/>
        <v>626.43818902304338</v>
      </c>
      <c r="BT773" s="10">
        <f t="shared" ca="1" si="935"/>
        <v>558.67342951000478</v>
      </c>
      <c r="BU773" s="10">
        <f t="shared" ca="1" si="935"/>
        <v>973.54943285192246</v>
      </c>
      <c r="BV773" s="10">
        <f t="shared" ca="1" si="935"/>
        <v>1792.6692232397081</v>
      </c>
      <c r="BW773" s="10">
        <f t="shared" ca="1" si="935"/>
        <v>651.49571658396508</v>
      </c>
      <c r="BX773" s="10">
        <f t="shared" ca="1" si="935"/>
        <v>574.63552749600478</v>
      </c>
      <c r="BY773" s="10">
        <f t="shared" ca="1" si="935"/>
        <v>1012.4914101659994</v>
      </c>
      <c r="BZ773" s="10">
        <f t="shared" ca="1" si="935"/>
        <v>1864.3759921692965</v>
      </c>
      <c r="CA773" s="10">
        <f t="shared" ca="1" si="935"/>
        <v>677.55554524732349</v>
      </c>
      <c r="CB773" s="10">
        <f t="shared" ca="1" si="935"/>
        <v>597.62094859584511</v>
      </c>
      <c r="CC773" s="10">
        <f t="shared" ca="1" si="935"/>
        <v>1052.9910665726391</v>
      </c>
      <c r="CD773" s="10">
        <f t="shared" ca="1" si="935"/>
        <v>1938.9510318560683</v>
      </c>
      <c r="CE773" s="10">
        <f t="shared" ca="1" si="935"/>
        <v>704.65776705721635</v>
      </c>
      <c r="CF773" s="10">
        <f t="shared" ca="1" si="935"/>
        <v>621.52578653967873</v>
      </c>
      <c r="CG773" s="10">
        <f t="shared" ca="1" si="935"/>
        <v>1095.1107092355446</v>
      </c>
      <c r="CH773" s="10">
        <f t="shared" ca="1" si="935"/>
        <v>2016.509073130311</v>
      </c>
      <c r="CI773" s="10">
        <f t="shared" ca="1" si="935"/>
        <v>732.84407773950511</v>
      </c>
      <c r="CJ773" s="10">
        <f t="shared" ca="1" si="935"/>
        <v>653.56889375683545</v>
      </c>
      <c r="CK773" s="10">
        <f t="shared" ca="1" si="935"/>
        <v>1138.9151376049665</v>
      </c>
      <c r="CL773" s="10">
        <f t="shared" ca="1" si="935"/>
        <v>2097.169436055523</v>
      </c>
      <c r="CM773" s="10">
        <f t="shared" ca="1" si="935"/>
        <v>762.15784084908512</v>
      </c>
      <c r="CN773" s="10">
        <f t="shared" ca="1" si="935"/>
        <v>672.24229072131641</v>
      </c>
      <c r="CO773" s="10">
        <f t="shared" ca="1" si="935"/>
        <v>1184.4717431091649</v>
      </c>
    </row>
    <row r="774" spans="1:93">
      <c r="A774" s="10"/>
      <c r="B774" s="10"/>
      <c r="C774" s="17" t="s">
        <v>1028</v>
      </c>
      <c r="D774" s="10"/>
      <c r="E774" s="240">
        <f>E$740</f>
        <v>2.9000000000000001E-2</v>
      </c>
      <c r="F774" s="10"/>
      <c r="G774" s="11" t="str">
        <f t="shared" si="930"/>
        <v>тыс. руб.</v>
      </c>
      <c r="H774" s="10"/>
      <c r="I774" s="23">
        <f t="shared" ca="1" si="931"/>
        <v>7460.9238266285711</v>
      </c>
      <c r="J774" s="10"/>
      <c r="K774" s="10"/>
      <c r="L774" s="10">
        <f t="shared" ref="L774:AA776" ca="1" si="936" xml:space="preserve"> L$772 * $E774</f>
        <v>0</v>
      </c>
      <c r="M774" s="10">
        <f t="shared" ca="1" si="936"/>
        <v>0</v>
      </c>
      <c r="N774" s="10">
        <f t="shared" ca="1" si="936"/>
        <v>0</v>
      </c>
      <c r="O774" s="10">
        <f t="shared" ca="1" si="936"/>
        <v>0</v>
      </c>
      <c r="P774" s="10">
        <f t="shared" ca="1" si="936"/>
        <v>0</v>
      </c>
      <c r="Q774" s="10">
        <f t="shared" ca="1" si="936"/>
        <v>0</v>
      </c>
      <c r="R774" s="10">
        <f t="shared" ca="1" si="936"/>
        <v>0</v>
      </c>
      <c r="S774" s="10">
        <f t="shared" ca="1" si="936"/>
        <v>0</v>
      </c>
      <c r="T774" s="10">
        <f t="shared" ca="1" si="936"/>
        <v>0</v>
      </c>
      <c r="U774" s="10">
        <f t="shared" ca="1" si="936"/>
        <v>0</v>
      </c>
      <c r="V774" s="10">
        <f t="shared" ca="1" si="936"/>
        <v>0</v>
      </c>
      <c r="W774" s="10">
        <f t="shared" ca="1" si="936"/>
        <v>0</v>
      </c>
      <c r="X774" s="10">
        <f t="shared" ca="1" si="936"/>
        <v>0</v>
      </c>
      <c r="Y774" s="10">
        <f t="shared" ca="1" si="936"/>
        <v>0</v>
      </c>
      <c r="Z774" s="10">
        <f t="shared" ca="1" si="936"/>
        <v>0</v>
      </c>
      <c r="AA774" s="10">
        <f t="shared" ca="1" si="936"/>
        <v>0</v>
      </c>
      <c r="AB774" s="10">
        <f t="shared" ca="1" si="934"/>
        <v>0</v>
      </c>
      <c r="AC774" s="10">
        <f t="shared" ca="1" si="934"/>
        <v>61.079133157039955</v>
      </c>
      <c r="AD774" s="10">
        <f t="shared" ca="1" si="934"/>
        <v>115.88877965812213</v>
      </c>
      <c r="AE774" s="10">
        <f t="shared" ca="1" si="934"/>
        <v>43.359168323888355</v>
      </c>
      <c r="AF774" s="10">
        <f t="shared" ca="1" si="934"/>
        <v>39.339891823391532</v>
      </c>
      <c r="AG774" s="10">
        <f t="shared" ca="1" si="934"/>
        <v>71.246923669256333</v>
      </c>
      <c r="AH774" s="10">
        <f t="shared" ca="1" si="934"/>
        <v>134.74825966059561</v>
      </c>
      <c r="AI774" s="10">
        <f t="shared" ca="1" si="934"/>
        <v>50.262825953671495</v>
      </c>
      <c r="AJ774" s="10">
        <f t="shared" ca="1" si="934"/>
        <v>45.472931443025807</v>
      </c>
      <c r="AK774" s="10">
        <f t="shared" ca="1" si="934"/>
        <v>82.130410809398768</v>
      </c>
      <c r="AL774" s="10">
        <f t="shared" ca="1" si="934"/>
        <v>154.93107601581403</v>
      </c>
      <c r="AM774" s="10">
        <f t="shared" ca="1" si="934"/>
        <v>57.649401524519085</v>
      </c>
      <c r="AN774" s="10">
        <f t="shared" ca="1" si="934"/>
        <v>52.611822298705761</v>
      </c>
      <c r="AO774" s="10">
        <f t="shared" ca="1" si="934"/>
        <v>93.770581842881754</v>
      </c>
      <c r="AP774" s="10">
        <f t="shared" ca="1" si="934"/>
        <v>172.66677011210626</v>
      </c>
      <c r="AQ774" s="10">
        <f t="shared" ca="1" si="934"/>
        <v>62.750930102504185</v>
      </c>
      <c r="AR774" s="10">
        <f t="shared" ca="1" si="934"/>
        <v>55.347890864713214</v>
      </c>
      <c r="AS774" s="10">
        <f t="shared" ca="1" si="934"/>
        <v>97.521405116597009</v>
      </c>
      <c r="AT774" s="10">
        <f t="shared" ca="1" si="934"/>
        <v>179.5734409165905</v>
      </c>
      <c r="AU774" s="10">
        <f t="shared" ca="1" si="934"/>
        <v>65.260967306604343</v>
      </c>
      <c r="AV774" s="10">
        <f t="shared" ca="1" si="934"/>
        <v>57.561806499301738</v>
      </c>
      <c r="AW774" s="10">
        <f t="shared" ca="1" si="934"/>
        <v>101.42226132126089</v>
      </c>
      <c r="AX774" s="10">
        <f t="shared" ca="1" si="934"/>
        <v>186.75637855325411</v>
      </c>
      <c r="AY774" s="10">
        <f t="shared" ca="1" si="934"/>
        <v>67.871405998868511</v>
      </c>
      <c r="AZ774" s="10">
        <f t="shared" ca="1" si="934"/>
        <v>59.864278759273788</v>
      </c>
      <c r="BA774" s="10">
        <f t="shared" ca="1" si="934"/>
        <v>105.4791517741113</v>
      </c>
      <c r="BB774" s="10">
        <f t="shared" ca="1" si="935"/>
        <v>194.22663369538424</v>
      </c>
      <c r="BC774" s="10">
        <f t="shared" ca="1" si="935"/>
        <v>70.586262238823238</v>
      </c>
      <c r="BD774" s="10">
        <f t="shared" ca="1" si="935"/>
        <v>62.950614908640787</v>
      </c>
      <c r="BE774" s="10">
        <f t="shared" ca="1" si="935"/>
        <v>109.69831784507572</v>
      </c>
      <c r="BF774" s="10">
        <f t="shared" ca="1" si="935"/>
        <v>201.99569904319958</v>
      </c>
      <c r="BG774" s="10">
        <f t="shared" ca="1" si="935"/>
        <v>73.409712728376164</v>
      </c>
      <c r="BH774" s="10">
        <f t="shared" ca="1" si="935"/>
        <v>64.749203906030516</v>
      </c>
      <c r="BI774" s="10">
        <f t="shared" ca="1" si="935"/>
        <v>114.08625055887873</v>
      </c>
      <c r="BJ774" s="10">
        <f t="shared" ca="1" si="935"/>
        <v>210.07552700492749</v>
      </c>
      <c r="BK774" s="10">
        <f t="shared" ca="1" si="935"/>
        <v>76.346101237511206</v>
      </c>
      <c r="BL774" s="10">
        <f t="shared" ca="1" si="935"/>
        <v>67.339172062271743</v>
      </c>
      <c r="BM774" s="10">
        <f t="shared" ca="1" si="935"/>
        <v>118.64970058123389</v>
      </c>
      <c r="BN774" s="10">
        <f t="shared" ca="1" si="935"/>
        <v>218.47854808512454</v>
      </c>
      <c r="BO774" s="10">
        <f t="shared" ca="1" si="935"/>
        <v>79.399945287011633</v>
      </c>
      <c r="BP774" s="10">
        <f t="shared" ca="1" si="935"/>
        <v>70.032738944762571</v>
      </c>
      <c r="BQ774" s="10">
        <f t="shared" ca="1" si="935"/>
        <v>123.39568860448323</v>
      </c>
      <c r="BR774" s="10">
        <f t="shared" ca="1" si="935"/>
        <v>227.21769000852953</v>
      </c>
      <c r="BS774" s="10">
        <f t="shared" ca="1" si="935"/>
        <v>82.57594309849209</v>
      </c>
      <c r="BT774" s="10">
        <f t="shared" ca="1" si="935"/>
        <v>73.643315708136996</v>
      </c>
      <c r="BU774" s="10">
        <f t="shared" ca="1" si="935"/>
        <v>128.3315161486625</v>
      </c>
      <c r="BV774" s="10">
        <f t="shared" ca="1" si="935"/>
        <v>236.30639760887061</v>
      </c>
      <c r="BW774" s="10">
        <f t="shared" ca="1" si="935"/>
        <v>85.878980822431757</v>
      </c>
      <c r="BX774" s="10">
        <f t="shared" ca="1" si="935"/>
        <v>75.74741044265518</v>
      </c>
      <c r="BY774" s="10">
        <f t="shared" ca="1" si="935"/>
        <v>133.46477679460901</v>
      </c>
      <c r="BZ774" s="10">
        <f t="shared" ca="1" si="935"/>
        <v>245.75865351322545</v>
      </c>
      <c r="CA774" s="10">
        <f t="shared" ca="1" si="935"/>
        <v>89.314140055329005</v>
      </c>
      <c r="CB774" s="10">
        <f t="shared" ca="1" si="935"/>
        <v>78.777306860361406</v>
      </c>
      <c r="CC774" s="10">
        <f t="shared" ca="1" si="935"/>
        <v>138.80336786639336</v>
      </c>
      <c r="CD774" s="10">
        <f t="shared" ca="1" si="935"/>
        <v>255.58899965375446</v>
      </c>
      <c r="CE774" s="10">
        <f t="shared" ca="1" si="935"/>
        <v>92.886705657542151</v>
      </c>
      <c r="CF774" s="10">
        <f t="shared" ca="1" si="935"/>
        <v>81.92839913477583</v>
      </c>
      <c r="CG774" s="10">
        <f t="shared" ca="1" si="935"/>
        <v>144.35550258104908</v>
      </c>
      <c r="CH774" s="10">
        <f t="shared" ca="1" si="935"/>
        <v>265.81255963990463</v>
      </c>
      <c r="CI774" s="10">
        <f t="shared" ca="1" si="935"/>
        <v>96.602173883843847</v>
      </c>
      <c r="CJ774" s="10">
        <f t="shared" ca="1" si="935"/>
        <v>86.152263267946495</v>
      </c>
      <c r="CK774" s="10">
        <f t="shared" ca="1" si="935"/>
        <v>150.12972268429107</v>
      </c>
      <c r="CL774" s="10">
        <f t="shared" ca="1" si="935"/>
        <v>276.44506202550076</v>
      </c>
      <c r="CM774" s="10">
        <f t="shared" ca="1" si="935"/>
        <v>100.46626083919759</v>
      </c>
      <c r="CN774" s="10">
        <f t="shared" ca="1" si="935"/>
        <v>88.613756504173523</v>
      </c>
      <c r="CO774" s="10">
        <f t="shared" ca="1" si="935"/>
        <v>156.13491159166267</v>
      </c>
    </row>
    <row r="775" spans="1:93">
      <c r="A775" s="10"/>
      <c r="B775" s="10"/>
      <c r="C775" s="17" t="s">
        <v>1029</v>
      </c>
      <c r="D775" s="10"/>
      <c r="E775" s="240">
        <f>E$741</f>
        <v>5.0999999999999997E-2</v>
      </c>
      <c r="F775" s="10"/>
      <c r="G775" s="11" t="str">
        <f t="shared" si="930"/>
        <v>тыс. руб.</v>
      </c>
      <c r="H775" s="10"/>
      <c r="I775" s="23">
        <f t="shared" ca="1" si="931"/>
        <v>13120.935005450239</v>
      </c>
      <c r="J775" s="10"/>
      <c r="K775" s="10"/>
      <c r="L775" s="10">
        <f t="shared" ca="1" si="936"/>
        <v>0</v>
      </c>
      <c r="M775" s="10">
        <f t="shared" ca="1" si="936"/>
        <v>0</v>
      </c>
      <c r="N775" s="10">
        <f t="shared" ca="1" si="936"/>
        <v>0</v>
      </c>
      <c r="O775" s="10">
        <f t="shared" ca="1" si="936"/>
        <v>0</v>
      </c>
      <c r="P775" s="10">
        <f t="shared" ca="1" si="936"/>
        <v>0</v>
      </c>
      <c r="Q775" s="10">
        <f t="shared" ca="1" si="936"/>
        <v>0</v>
      </c>
      <c r="R775" s="10">
        <f t="shared" ca="1" si="936"/>
        <v>0</v>
      </c>
      <c r="S775" s="10">
        <f t="shared" ca="1" si="936"/>
        <v>0</v>
      </c>
      <c r="T775" s="10">
        <f t="shared" ref="T775:CE776" ca="1" si="937" xml:space="preserve"> T$772 * $E775</f>
        <v>0</v>
      </c>
      <c r="U775" s="10">
        <f t="shared" ca="1" si="937"/>
        <v>0</v>
      </c>
      <c r="V775" s="10">
        <f t="shared" ca="1" si="937"/>
        <v>0</v>
      </c>
      <c r="W775" s="10">
        <f t="shared" ca="1" si="937"/>
        <v>0</v>
      </c>
      <c r="X775" s="10">
        <f t="shared" ca="1" si="937"/>
        <v>0</v>
      </c>
      <c r="Y775" s="10">
        <f t="shared" ca="1" si="937"/>
        <v>0</v>
      </c>
      <c r="Z775" s="10">
        <f t="shared" ca="1" si="937"/>
        <v>0</v>
      </c>
      <c r="AA775" s="10">
        <f t="shared" ca="1" si="937"/>
        <v>0</v>
      </c>
      <c r="AB775" s="10">
        <f t="shared" ca="1" si="937"/>
        <v>0</v>
      </c>
      <c r="AC775" s="10">
        <f t="shared" ca="1" si="937"/>
        <v>107.4150272761737</v>
      </c>
      <c r="AD775" s="10">
        <f t="shared" ca="1" si="937"/>
        <v>203.80440560566302</v>
      </c>
      <c r="AE775" s="10">
        <f t="shared" ca="1" si="937"/>
        <v>76.252330500631231</v>
      </c>
      <c r="AF775" s="10">
        <f t="shared" ca="1" si="937"/>
        <v>69.18394768941269</v>
      </c>
      <c r="AG775" s="10">
        <f t="shared" ca="1" si="937"/>
        <v>125.29631403903697</v>
      </c>
      <c r="AH775" s="10">
        <f t="shared" ca="1" si="937"/>
        <v>236.97107733415086</v>
      </c>
      <c r="AI775" s="10">
        <f t="shared" ca="1" si="937"/>
        <v>88.393245642663658</v>
      </c>
      <c r="AJ775" s="10">
        <f t="shared" ca="1" si="937"/>
        <v>79.9696380549764</v>
      </c>
      <c r="AK775" s="10">
        <f t="shared" ca="1" si="937"/>
        <v>144.43623969928748</v>
      </c>
      <c r="AL775" s="10">
        <f t="shared" ca="1" si="937"/>
        <v>272.46499575194878</v>
      </c>
      <c r="AM775" s="10">
        <f t="shared" ca="1" si="937"/>
        <v>101.38343026725768</v>
      </c>
      <c r="AN775" s="10">
        <f t="shared" ca="1" si="937"/>
        <v>92.524239214965291</v>
      </c>
      <c r="AO775" s="10">
        <f t="shared" ca="1" si="937"/>
        <v>164.90688530989547</v>
      </c>
      <c r="AP775" s="10">
        <f t="shared" ca="1" si="937"/>
        <v>303.65535433508336</v>
      </c>
      <c r="AQ775" s="10">
        <f t="shared" ca="1" si="937"/>
        <v>110.35508397336942</v>
      </c>
      <c r="AR775" s="10">
        <f t="shared" ca="1" si="937"/>
        <v>97.33594600346116</v>
      </c>
      <c r="AS775" s="10">
        <f t="shared" ca="1" si="937"/>
        <v>171.50316072229128</v>
      </c>
      <c r="AT775" s="10">
        <f t="shared" ca="1" si="937"/>
        <v>315.8015685084867</v>
      </c>
      <c r="AU775" s="10">
        <f t="shared" ca="1" si="937"/>
        <v>114.76928733230417</v>
      </c>
      <c r="AV775" s="10">
        <f t="shared" ca="1" si="937"/>
        <v>101.22938384359959</v>
      </c>
      <c r="AW775" s="10">
        <f t="shared" ca="1" si="937"/>
        <v>178.3632871511829</v>
      </c>
      <c r="AX775" s="10">
        <f t="shared" ca="1" si="937"/>
        <v>328.4336312488262</v>
      </c>
      <c r="AY775" s="10">
        <f t="shared" ca="1" si="937"/>
        <v>119.36005882559634</v>
      </c>
      <c r="AZ775" s="10">
        <f t="shared" ca="1" si="937"/>
        <v>105.27855919734354</v>
      </c>
      <c r="BA775" s="10">
        <f t="shared" ca="1" si="937"/>
        <v>185.49781863723018</v>
      </c>
      <c r="BB775" s="10">
        <f t="shared" ca="1" si="937"/>
        <v>341.57097649877909</v>
      </c>
      <c r="BC775" s="10">
        <f t="shared" ca="1" si="937"/>
        <v>124.13446117862016</v>
      </c>
      <c r="BD775" s="10">
        <f t="shared" ca="1" si="937"/>
        <v>110.70625380485103</v>
      </c>
      <c r="BE775" s="10">
        <f t="shared" ca="1" si="937"/>
        <v>192.91773138271935</v>
      </c>
      <c r="BF775" s="10">
        <f t="shared" ca="1" si="937"/>
        <v>355.23381555873027</v>
      </c>
      <c r="BG775" s="10">
        <f t="shared" ca="1" si="937"/>
        <v>129.09983962576496</v>
      </c>
      <c r="BH775" s="10">
        <f t="shared" ca="1" si="937"/>
        <v>113.86928962784675</v>
      </c>
      <c r="BI775" s="10">
        <f t="shared" ca="1" si="937"/>
        <v>200.63444063802811</v>
      </c>
      <c r="BJ775" s="10">
        <f t="shared" ca="1" si="937"/>
        <v>369.44316818107939</v>
      </c>
      <c r="BK775" s="10">
        <f t="shared" ca="1" si="937"/>
        <v>134.26383321079555</v>
      </c>
      <c r="BL775" s="10">
        <f t="shared" ca="1" si="937"/>
        <v>118.42406121296064</v>
      </c>
      <c r="BM775" s="10">
        <f t="shared" ca="1" si="937"/>
        <v>208.65981826354923</v>
      </c>
      <c r="BN775" s="10">
        <f t="shared" ca="1" si="937"/>
        <v>384.22089490832246</v>
      </c>
      <c r="BO775" s="10">
        <f t="shared" ca="1" si="937"/>
        <v>139.63438653922734</v>
      </c>
      <c r="BP775" s="10">
        <f t="shared" ca="1" si="937"/>
        <v>123.16102366147899</v>
      </c>
      <c r="BQ775" s="10">
        <f t="shared" ca="1" si="937"/>
        <v>217.00621099409116</v>
      </c>
      <c r="BR775" s="10">
        <f t="shared" ca="1" si="937"/>
        <v>399.58973070465538</v>
      </c>
      <c r="BS775" s="10">
        <f t="shared" ca="1" si="937"/>
        <v>145.21976200079641</v>
      </c>
      <c r="BT775" s="10">
        <f t="shared" ca="1" si="937"/>
        <v>129.51065865913745</v>
      </c>
      <c r="BU775" s="10">
        <f t="shared" ca="1" si="937"/>
        <v>225.68645943385474</v>
      </c>
      <c r="BV775" s="10">
        <f t="shared" ca="1" si="937"/>
        <v>415.5733199328414</v>
      </c>
      <c r="BW775" s="10">
        <f t="shared" ca="1" si="937"/>
        <v>151.02855248082827</v>
      </c>
      <c r="BX775" s="10">
        <f t="shared" ca="1" si="937"/>
        <v>133.21096319225563</v>
      </c>
      <c r="BY775" s="10">
        <f t="shared" ca="1" si="937"/>
        <v>234.71391781120892</v>
      </c>
      <c r="BZ775" s="10">
        <f t="shared" ca="1" si="937"/>
        <v>432.19625273015504</v>
      </c>
      <c r="CA775" s="10">
        <f t="shared" ca="1" si="937"/>
        <v>157.06969458006134</v>
      </c>
      <c r="CB775" s="10">
        <f t="shared" ca="1" si="937"/>
        <v>138.53940171994591</v>
      </c>
      <c r="CC775" s="10">
        <f t="shared" ca="1" si="937"/>
        <v>244.10247452365724</v>
      </c>
      <c r="CD775" s="10">
        <f t="shared" ca="1" si="937"/>
        <v>449.48410283936124</v>
      </c>
      <c r="CE775" s="10">
        <f t="shared" ca="1" si="937"/>
        <v>163.35248236326376</v>
      </c>
      <c r="CF775" s="10">
        <f t="shared" ca="1" si="935"/>
        <v>144.0809777887437</v>
      </c>
      <c r="CG775" s="10">
        <f t="shared" ca="1" si="935"/>
        <v>253.86657350460351</v>
      </c>
      <c r="CH775" s="10">
        <f t="shared" ca="1" si="935"/>
        <v>467.46346695293568</v>
      </c>
      <c r="CI775" s="10">
        <f t="shared" ca="1" si="935"/>
        <v>169.88658165779435</v>
      </c>
      <c r="CJ775" s="10">
        <f t="shared" ca="1" si="935"/>
        <v>151.50915264363002</v>
      </c>
      <c r="CK775" s="10">
        <f t="shared" ca="1" si="935"/>
        <v>264.02123644478769</v>
      </c>
      <c r="CL775" s="10">
        <f t="shared" ca="1" si="935"/>
        <v>486.16200563105303</v>
      </c>
      <c r="CM775" s="10">
        <f t="shared" ca="1" si="935"/>
        <v>176.68204492410609</v>
      </c>
      <c r="CN775" s="10">
        <f t="shared" ca="1" si="935"/>
        <v>155.83798557630516</v>
      </c>
      <c r="CO775" s="10">
        <f t="shared" ca="1" si="935"/>
        <v>274.58208590257914</v>
      </c>
    </row>
    <row r="776" spans="1:93" ht="15.75" thickBot="1">
      <c r="A776" s="10"/>
      <c r="B776" s="10"/>
      <c r="C776" s="17" t="s">
        <v>1030</v>
      </c>
      <c r="D776" s="10"/>
      <c r="E776" s="240">
        <f>E$742</f>
        <v>2E-3</v>
      </c>
      <c r="F776" s="10"/>
      <c r="G776" s="11" t="str">
        <f t="shared" si="930"/>
        <v>тыс. руб.</v>
      </c>
      <c r="H776" s="10"/>
      <c r="I776" s="23">
        <f t="shared" ca="1" si="931"/>
        <v>514.54647080197049</v>
      </c>
      <c r="J776" s="10"/>
      <c r="K776" s="10"/>
      <c r="L776" s="10">
        <f t="shared" ca="1" si="936"/>
        <v>0</v>
      </c>
      <c r="M776" s="10">
        <f t="shared" ca="1" si="936"/>
        <v>0</v>
      </c>
      <c r="N776" s="10">
        <f t="shared" ca="1" si="936"/>
        <v>0</v>
      </c>
      <c r="O776" s="10">
        <f t="shared" ca="1" si="936"/>
        <v>0</v>
      </c>
      <c r="P776" s="10">
        <f t="shared" ca="1" si="936"/>
        <v>0</v>
      </c>
      <c r="Q776" s="10">
        <f t="shared" ca="1" si="936"/>
        <v>0</v>
      </c>
      <c r="R776" s="10">
        <f t="shared" ca="1" si="936"/>
        <v>0</v>
      </c>
      <c r="S776" s="10">
        <f t="shared" ca="1" si="936"/>
        <v>0</v>
      </c>
      <c r="T776" s="10">
        <f t="shared" ca="1" si="937"/>
        <v>0</v>
      </c>
      <c r="U776" s="10">
        <f t="shared" ca="1" si="937"/>
        <v>0</v>
      </c>
      <c r="V776" s="10">
        <f t="shared" ca="1" si="937"/>
        <v>0</v>
      </c>
      <c r="W776" s="10">
        <f t="shared" ca="1" si="937"/>
        <v>0</v>
      </c>
      <c r="X776" s="10">
        <f t="shared" ca="1" si="937"/>
        <v>0</v>
      </c>
      <c r="Y776" s="10">
        <f t="shared" ca="1" si="937"/>
        <v>0</v>
      </c>
      <c r="Z776" s="10">
        <f t="shared" ca="1" si="937"/>
        <v>0</v>
      </c>
      <c r="AA776" s="10">
        <f t="shared" ca="1" si="937"/>
        <v>0</v>
      </c>
      <c r="AB776" s="10">
        <f t="shared" ca="1" si="937"/>
        <v>0</v>
      </c>
      <c r="AC776" s="10">
        <f t="shared" ca="1" si="937"/>
        <v>4.2123540108303414</v>
      </c>
      <c r="AD776" s="10">
        <f t="shared" ca="1" si="937"/>
        <v>7.9923296315946288</v>
      </c>
      <c r="AE776" s="10">
        <f t="shared" ca="1" si="937"/>
        <v>2.9902874706129898</v>
      </c>
      <c r="AF776" s="10">
        <f t="shared" ca="1" si="937"/>
        <v>2.7130959878201057</v>
      </c>
      <c r="AG776" s="10">
        <f t="shared" ca="1" si="937"/>
        <v>4.9135809427073331</v>
      </c>
      <c r="AH776" s="10">
        <f t="shared" ca="1" si="937"/>
        <v>9.2929834248686625</v>
      </c>
      <c r="AI776" s="10">
        <f t="shared" ca="1" si="937"/>
        <v>3.466401789908379</v>
      </c>
      <c r="AJ776" s="10">
        <f t="shared" ca="1" si="937"/>
        <v>3.1360642374500554</v>
      </c>
      <c r="AK776" s="10">
        <f t="shared" ca="1" si="937"/>
        <v>5.6641662627171563</v>
      </c>
      <c r="AL776" s="10">
        <f t="shared" ca="1" si="937"/>
        <v>10.68490179419407</v>
      </c>
      <c r="AM776" s="10">
        <f t="shared" ca="1" si="937"/>
        <v>3.9758207947944193</v>
      </c>
      <c r="AN776" s="10">
        <f t="shared" ca="1" si="937"/>
        <v>3.6284015378417762</v>
      </c>
      <c r="AO776" s="10">
        <f t="shared" ca="1" si="937"/>
        <v>6.4669366788194314</v>
      </c>
      <c r="AP776" s="10">
        <f t="shared" ca="1" si="937"/>
        <v>11.908053111179742</v>
      </c>
      <c r="AQ776" s="10">
        <f t="shared" ca="1" si="937"/>
        <v>4.3276503518968399</v>
      </c>
      <c r="AR776" s="10">
        <f t="shared" ca="1" si="937"/>
        <v>3.8170959217043596</v>
      </c>
      <c r="AS776" s="10">
        <f t="shared" ca="1" si="937"/>
        <v>6.7256141459722079</v>
      </c>
      <c r="AT776" s="10">
        <f t="shared" ca="1" si="937"/>
        <v>12.384375235626932</v>
      </c>
      <c r="AU776" s="10">
        <f t="shared" ca="1" si="937"/>
        <v>4.5007563659727134</v>
      </c>
      <c r="AV776" s="10">
        <f t="shared" ca="1" si="937"/>
        <v>3.9697797585725336</v>
      </c>
      <c r="AW776" s="10">
        <f t="shared" ca="1" si="937"/>
        <v>6.9946387118110955</v>
      </c>
      <c r="AX776" s="10">
        <f t="shared" ca="1" si="937"/>
        <v>12.879750245052008</v>
      </c>
      <c r="AY776" s="10">
        <f t="shared" ca="1" si="937"/>
        <v>4.6807866206116211</v>
      </c>
      <c r="AZ776" s="10">
        <f t="shared" ca="1" si="937"/>
        <v>4.1285709489154332</v>
      </c>
      <c r="BA776" s="10">
        <f t="shared" ca="1" si="937"/>
        <v>7.2744242602835376</v>
      </c>
      <c r="BB776" s="10">
        <f t="shared" ca="1" si="937"/>
        <v>13.394940254854085</v>
      </c>
      <c r="BC776" s="10">
        <f t="shared" ca="1" si="937"/>
        <v>4.8680180854360851</v>
      </c>
      <c r="BD776" s="10">
        <f t="shared" ca="1" si="937"/>
        <v>4.3414217178372958</v>
      </c>
      <c r="BE776" s="10">
        <f t="shared" ca="1" si="937"/>
        <v>7.565401230694877</v>
      </c>
      <c r="BF776" s="10">
        <f t="shared" ca="1" si="937"/>
        <v>13.930737865048247</v>
      </c>
      <c r="BG776" s="10">
        <f t="shared" ca="1" si="937"/>
        <v>5.0627388088535286</v>
      </c>
      <c r="BH776" s="10">
        <f t="shared" ca="1" si="937"/>
        <v>4.4654623383469314</v>
      </c>
      <c r="BI776" s="10">
        <f t="shared" ca="1" si="937"/>
        <v>7.8680172799226717</v>
      </c>
      <c r="BJ776" s="10">
        <f t="shared" ca="1" si="937"/>
        <v>14.487967379650172</v>
      </c>
      <c r="BK776" s="10">
        <f t="shared" ca="1" si="937"/>
        <v>5.2652483612076697</v>
      </c>
      <c r="BL776" s="10">
        <f t="shared" ca="1" si="937"/>
        <v>4.6440808318808093</v>
      </c>
      <c r="BM776" s="10">
        <f t="shared" ca="1" si="937"/>
        <v>8.1827379711195789</v>
      </c>
      <c r="BN776" s="10">
        <f t="shared" ca="1" si="937"/>
        <v>15.067486074836175</v>
      </c>
      <c r="BO776" s="10">
        <f t="shared" ca="1" si="937"/>
        <v>5.475858295655974</v>
      </c>
      <c r="BP776" s="10">
        <f t="shared" ca="1" si="937"/>
        <v>4.8298440651560393</v>
      </c>
      <c r="BQ776" s="10">
        <f t="shared" ca="1" si="937"/>
        <v>8.510047489964359</v>
      </c>
      <c r="BR776" s="10">
        <f t="shared" ca="1" si="937"/>
        <v>15.670185517829623</v>
      </c>
      <c r="BS776" s="10">
        <f t="shared" ca="1" si="937"/>
        <v>5.6948926274822123</v>
      </c>
      <c r="BT776" s="10">
        <f t="shared" ca="1" si="937"/>
        <v>5.078849359181862</v>
      </c>
      <c r="BU776" s="10">
        <f t="shared" ca="1" si="937"/>
        <v>8.8504493895629306</v>
      </c>
      <c r="BV776" s="10">
        <f t="shared" ca="1" si="937"/>
        <v>16.2969929385428</v>
      </c>
      <c r="BW776" s="10">
        <f t="shared" ca="1" si="937"/>
        <v>5.922688332581501</v>
      </c>
      <c r="BX776" s="10">
        <f t="shared" ca="1" si="937"/>
        <v>5.2239593408727707</v>
      </c>
      <c r="BY776" s="10">
        <f t="shared" ca="1" si="937"/>
        <v>9.2044673651454492</v>
      </c>
      <c r="BZ776" s="10">
        <f t="shared" ca="1" si="937"/>
        <v>16.948872656084514</v>
      </c>
      <c r="CA776" s="10">
        <f t="shared" ca="1" si="937"/>
        <v>6.1595958658847589</v>
      </c>
      <c r="CB776" s="10">
        <f t="shared" ca="1" si="937"/>
        <v>5.432917714507683</v>
      </c>
      <c r="CC776" s="10">
        <f t="shared" ca="1" si="937"/>
        <v>9.5726460597512659</v>
      </c>
      <c r="CD776" s="10">
        <f t="shared" ca="1" si="937"/>
        <v>17.626827562327893</v>
      </c>
      <c r="CE776" s="10">
        <f t="shared" ca="1" si="937"/>
        <v>6.405979700520148</v>
      </c>
      <c r="CF776" s="10">
        <f t="shared" ca="1" si="935"/>
        <v>5.650234423087988</v>
      </c>
      <c r="CG776" s="10">
        <f t="shared" ca="1" si="935"/>
        <v>9.9555519021413144</v>
      </c>
      <c r="CH776" s="10">
        <f t="shared" ca="1" si="935"/>
        <v>18.33190066482101</v>
      </c>
      <c r="CI776" s="10">
        <f t="shared" ca="1" si="935"/>
        <v>6.6622188885409548</v>
      </c>
      <c r="CJ776" s="10">
        <f t="shared" ca="1" si="935"/>
        <v>5.941535397789413</v>
      </c>
      <c r="CK776" s="10">
        <f t="shared" ca="1" si="935"/>
        <v>10.35377397822697</v>
      </c>
      <c r="CL776" s="10">
        <f t="shared" ca="1" si="935"/>
        <v>19.065176691413846</v>
      </c>
      <c r="CM776" s="10">
        <f t="shared" ca="1" si="935"/>
        <v>6.9287076440825928</v>
      </c>
      <c r="CN776" s="10">
        <f t="shared" ca="1" si="935"/>
        <v>6.1112935520119676</v>
      </c>
      <c r="CO776" s="10">
        <f t="shared" ca="1" si="935"/>
        <v>10.767924937356046</v>
      </c>
    </row>
    <row r="777" spans="1:93" ht="15.75" thickTop="1">
      <c r="A777" s="233"/>
      <c r="B777" s="101"/>
      <c r="C777" s="49" t="s">
        <v>746</v>
      </c>
      <c r="D777" s="49"/>
      <c r="E777" s="136"/>
      <c r="F777" s="49"/>
      <c r="G777" s="159" t="str">
        <f t="shared" si="930"/>
        <v>тыс. руб.</v>
      </c>
      <c r="H777" s="49"/>
      <c r="I777" s="23">
        <f t="shared" ca="1" si="931"/>
        <v>11379124.960866706</v>
      </c>
      <c r="J777" s="49"/>
      <c r="K777" s="49"/>
      <c r="L777" s="49">
        <f t="shared" ref="L777:AQ777" ca="1" si="938">SUM(L754:L759,L762:L768,L771:L776)</f>
        <v>0</v>
      </c>
      <c r="M777" s="49">
        <f t="shared" ca="1" si="938"/>
        <v>0</v>
      </c>
      <c r="N777" s="49">
        <f t="shared" ca="1" si="938"/>
        <v>0</v>
      </c>
      <c r="O777" s="49">
        <f t="shared" ca="1" si="938"/>
        <v>0</v>
      </c>
      <c r="P777" s="49">
        <f t="shared" ca="1" si="938"/>
        <v>0</v>
      </c>
      <c r="Q777" s="49">
        <f t="shared" ca="1" si="938"/>
        <v>0</v>
      </c>
      <c r="R777" s="49">
        <f t="shared" ca="1" si="938"/>
        <v>0</v>
      </c>
      <c r="S777" s="49">
        <f t="shared" ca="1" si="938"/>
        <v>0</v>
      </c>
      <c r="T777" s="49">
        <f t="shared" ca="1" si="938"/>
        <v>0</v>
      </c>
      <c r="U777" s="49">
        <f t="shared" ca="1" si="938"/>
        <v>0</v>
      </c>
      <c r="V777" s="49">
        <f t="shared" ca="1" si="938"/>
        <v>0</v>
      </c>
      <c r="W777" s="49">
        <f t="shared" ca="1" si="938"/>
        <v>0</v>
      </c>
      <c r="X777" s="49">
        <f t="shared" ca="1" si="938"/>
        <v>0</v>
      </c>
      <c r="Y777" s="49">
        <f t="shared" ca="1" si="938"/>
        <v>0</v>
      </c>
      <c r="Z777" s="49">
        <f t="shared" ca="1" si="938"/>
        <v>0</v>
      </c>
      <c r="AA777" s="49">
        <f t="shared" ca="1" si="938"/>
        <v>0</v>
      </c>
      <c r="AB777" s="49">
        <f t="shared" ca="1" si="938"/>
        <v>0</v>
      </c>
      <c r="AC777" s="49">
        <f t="shared" ca="1" si="938"/>
        <v>94863.539648256483</v>
      </c>
      <c r="AD777" s="49">
        <f t="shared" ca="1" si="938"/>
        <v>166172.70922133251</v>
      </c>
      <c r="AE777" s="49">
        <f t="shared" ca="1" si="938"/>
        <v>70126.773346674221</v>
      </c>
      <c r="AF777" s="49">
        <f t="shared" ca="1" si="938"/>
        <v>65007.321226096312</v>
      </c>
      <c r="AG777" s="49">
        <f t="shared" ca="1" si="938"/>
        <v>110655.39111266496</v>
      </c>
      <c r="AH777" s="49">
        <f t="shared" ca="1" si="938"/>
        <v>193215.28310779354</v>
      </c>
      <c r="AI777" s="49">
        <f t="shared" ca="1" si="938"/>
        <v>81292.375745927609</v>
      </c>
      <c r="AJ777" s="49">
        <f t="shared" ca="1" si="938"/>
        <v>75141.880782990585</v>
      </c>
      <c r="AK777" s="49">
        <f t="shared" ca="1" si="938"/>
        <v>127558.80903078901</v>
      </c>
      <c r="AL777" s="49">
        <f t="shared" ca="1" si="938"/>
        <v>222155.38657041721</v>
      </c>
      <c r="AM777" s="49">
        <f t="shared" ca="1" si="938"/>
        <v>93239.023499766627</v>
      </c>
      <c r="AN777" s="49">
        <f t="shared" ca="1" si="938"/>
        <v>86938.562205924405</v>
      </c>
      <c r="AO777" s="49">
        <f t="shared" ca="1" si="938"/>
        <v>145637.4517565826</v>
      </c>
      <c r="AP777" s="49">
        <f t="shared" ca="1" si="938"/>
        <v>247586.56590111722</v>
      </c>
      <c r="AQ777" s="49">
        <f t="shared" ca="1" si="938"/>
        <v>101489.95985623827</v>
      </c>
      <c r="AR777" s="49">
        <f t="shared" ref="AR777:BW777" ca="1" si="939">SUM(AR754:AR759,AR762:AR768,AR771:AR776)</f>
        <v>91459.786843896436</v>
      </c>
      <c r="AS777" s="49">
        <f t="shared" ca="1" si="939"/>
        <v>151462.94982684593</v>
      </c>
      <c r="AT777" s="49">
        <f t="shared" ca="1" si="939"/>
        <v>257490.02853716194</v>
      </c>
      <c r="AU777" s="49">
        <f t="shared" ca="1" si="939"/>
        <v>105549.5582504878</v>
      </c>
      <c r="AV777" s="49">
        <f t="shared" ca="1" si="939"/>
        <v>95118.178317652259</v>
      </c>
      <c r="AW777" s="49">
        <f t="shared" ca="1" si="939"/>
        <v>157521.46781991969</v>
      </c>
      <c r="AX777" s="49">
        <f t="shared" ca="1" si="939"/>
        <v>267789.62967864831</v>
      </c>
      <c r="AY777" s="49">
        <f t="shared" ca="1" si="939"/>
        <v>109771.54058050728</v>
      </c>
      <c r="AZ777" s="49">
        <f t="shared" ca="1" si="939"/>
        <v>98922.905450358317</v>
      </c>
      <c r="BA777" s="49">
        <f t="shared" ca="1" si="939"/>
        <v>163822.32653271643</v>
      </c>
      <c r="BB777" s="49">
        <f t="shared" ca="1" si="939"/>
        <v>278501.21486579411</v>
      </c>
      <c r="BC777" s="49">
        <f t="shared" ca="1" si="939"/>
        <v>114162.40220372754</v>
      </c>
      <c r="BD777" s="49">
        <f t="shared" ca="1" si="939"/>
        <v>104022.93079802122</v>
      </c>
      <c r="BE777" s="49">
        <f t="shared" ca="1" si="939"/>
        <v>170375.21959402511</v>
      </c>
      <c r="BF777" s="49">
        <f t="shared" ca="1" si="939"/>
        <v>289641.26346042601</v>
      </c>
      <c r="BG777" s="49">
        <f t="shared" ca="1" si="939"/>
        <v>118728.8982918766</v>
      </c>
      <c r="BH777" s="49">
        <f t="shared" ca="1" si="939"/>
        <v>106995.01453510756</v>
      </c>
      <c r="BI777" s="49">
        <f t="shared" ca="1" si="939"/>
        <v>177190.22837778606</v>
      </c>
      <c r="BJ777" s="49">
        <f t="shared" ca="1" si="939"/>
        <v>301226.91399884282</v>
      </c>
      <c r="BK777" s="49">
        <f t="shared" ca="1" si="939"/>
        <v>123478.05422355169</v>
      </c>
      <c r="BL777" s="49">
        <f t="shared" ca="1" si="939"/>
        <v>111274.81511651186</v>
      </c>
      <c r="BM777" s="49">
        <f t="shared" ca="1" si="939"/>
        <v>184277.83751289753</v>
      </c>
      <c r="BN777" s="49">
        <f t="shared" ca="1" si="939"/>
        <v>313275.99055879656</v>
      </c>
      <c r="BO777" s="49">
        <f t="shared" ca="1" si="939"/>
        <v>128417.17639249371</v>
      </c>
      <c r="BP777" s="49">
        <f t="shared" ca="1" si="939"/>
        <v>115725.80772117228</v>
      </c>
      <c r="BQ777" s="49">
        <f t="shared" ca="1" si="939"/>
        <v>191648.95101341332</v>
      </c>
      <c r="BR777" s="49">
        <f t="shared" ca="1" si="939"/>
        <v>325807.03018114838</v>
      </c>
      <c r="BS777" s="49">
        <f t="shared" ca="1" si="939"/>
        <v>133553.86344819347</v>
      </c>
      <c r="BT777" s="49">
        <f t="shared" ca="1" si="939"/>
        <v>121692.1160303527</v>
      </c>
      <c r="BU777" s="49">
        <f t="shared" ca="1" si="939"/>
        <v>199314.90905394987</v>
      </c>
      <c r="BV777" s="49">
        <f t="shared" ca="1" si="939"/>
        <v>338839.31138839421</v>
      </c>
      <c r="BW777" s="49">
        <f t="shared" ca="1" si="939"/>
        <v>138896.01798612115</v>
      </c>
      <c r="BX777" s="49">
        <f t="shared" ref="BX777:CO777" ca="1" si="940">SUM(BX754:BX759,BX762:BX768,BX771:BX776)</f>
        <v>125169.03363121992</v>
      </c>
      <c r="BY777" s="49">
        <f t="shared" ca="1" si="940"/>
        <v>207287.5054161078</v>
      </c>
      <c r="BZ777" s="49">
        <f t="shared" ca="1" si="940"/>
        <v>352392.88384393003</v>
      </c>
      <c r="CA777" s="49">
        <f t="shared" ca="1" si="940"/>
        <v>144451.85870556597</v>
      </c>
      <c r="CB777" s="49">
        <f t="shared" ca="1" si="940"/>
        <v>130175.79497646871</v>
      </c>
      <c r="CC777" s="49">
        <f t="shared" ca="1" si="940"/>
        <v>215579.00563275215</v>
      </c>
      <c r="CD777" s="49">
        <f t="shared" ca="1" si="940"/>
        <v>366488.59919768717</v>
      </c>
      <c r="CE777" s="49">
        <f t="shared" ca="1" si="940"/>
        <v>150229.93305378867</v>
      </c>
      <c r="CF777" s="49">
        <f t="shared" ca="1" si="940"/>
        <v>135382.82677552741</v>
      </c>
      <c r="CG777" s="49">
        <f t="shared" ca="1" si="940"/>
        <v>224202.16585806219</v>
      </c>
      <c r="CH777" s="49">
        <f t="shared" ca="1" si="940"/>
        <v>381148.14316559478</v>
      </c>
      <c r="CI777" s="49">
        <f t="shared" ca="1" si="940"/>
        <v>156239.13037594024</v>
      </c>
      <c r="CJ777" s="49">
        <f t="shared" ca="1" si="940"/>
        <v>142362.56362262132</v>
      </c>
      <c r="CK777" s="49">
        <f t="shared" ca="1" si="940"/>
        <v>233170.25249238469</v>
      </c>
      <c r="CL777" s="49">
        <f t="shared" ca="1" si="940"/>
        <v>396394.06889221846</v>
      </c>
      <c r="CM777" s="49">
        <f t="shared" ca="1" si="940"/>
        <v>162488.69559097773</v>
      </c>
      <c r="CN777" s="49">
        <f t="shared" ca="1" si="940"/>
        <v>146430.0654404104</v>
      </c>
      <c r="CO777" s="49">
        <f t="shared" ca="1" si="940"/>
        <v>242497.06259208001</v>
      </c>
    </row>
    <row r="778" spans="1:93">
      <c r="A778" s="10"/>
      <c r="B778" s="10"/>
      <c r="C778" s="10"/>
      <c r="D778" s="10"/>
      <c r="E778" s="10"/>
      <c r="F778" s="10"/>
      <c r="G778" s="11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  <c r="BA778" s="10"/>
      <c r="BB778" s="10"/>
      <c r="BC778" s="10"/>
      <c r="BD778" s="10"/>
      <c r="BE778" s="10"/>
      <c r="BF778" s="10"/>
      <c r="BG778" s="10"/>
      <c r="BH778" s="10"/>
      <c r="BI778" s="10"/>
      <c r="BJ778" s="10"/>
      <c r="BK778" s="10"/>
      <c r="BL778" s="10"/>
      <c r="BM778" s="10"/>
      <c r="BN778" s="10"/>
      <c r="BO778" s="10"/>
      <c r="BP778" s="10"/>
      <c r="BQ778" s="10"/>
      <c r="BR778" s="10"/>
      <c r="BS778" s="10"/>
      <c r="BT778" s="10"/>
      <c r="BU778" s="10"/>
      <c r="BV778" s="10"/>
      <c r="BW778" s="10"/>
      <c r="BX778" s="10"/>
      <c r="BY778" s="10"/>
      <c r="BZ778" s="10"/>
      <c r="CA778" s="10"/>
      <c r="CB778" s="10"/>
      <c r="CC778" s="10"/>
      <c r="CD778" s="10"/>
      <c r="CE778" s="10"/>
      <c r="CF778" s="10"/>
      <c r="CG778" s="10"/>
      <c r="CH778" s="10"/>
      <c r="CI778" s="10"/>
      <c r="CJ778" s="10"/>
      <c r="CK778" s="10"/>
      <c r="CL778" s="10"/>
      <c r="CM778" s="10"/>
      <c r="CN778" s="10"/>
      <c r="CO778" s="10"/>
    </row>
    <row r="779" spans="1:93" ht="16.5" thickBot="1">
      <c r="A779" s="10"/>
      <c r="B779" s="10"/>
      <c r="C779" s="12" t="s">
        <v>729</v>
      </c>
      <c r="D779" s="12"/>
      <c r="E779" s="12"/>
      <c r="F779" s="12"/>
      <c r="G779" s="360"/>
      <c r="H779" s="12"/>
      <c r="I779" s="12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  <c r="BA779" s="10"/>
      <c r="BB779" s="10"/>
      <c r="BC779" s="10"/>
      <c r="BD779" s="10"/>
      <c r="BE779" s="10"/>
      <c r="BF779" s="10"/>
      <c r="BG779" s="10"/>
      <c r="BH779" s="10"/>
      <c r="BI779" s="10"/>
      <c r="BJ779" s="10"/>
      <c r="BK779" s="10"/>
      <c r="BL779" s="10"/>
      <c r="BM779" s="10"/>
      <c r="BN779" s="10"/>
      <c r="BO779" s="10"/>
      <c r="BP779" s="10"/>
      <c r="BQ779" s="10"/>
      <c r="BR779" s="10"/>
      <c r="BS779" s="10"/>
      <c r="BT779" s="10"/>
      <c r="BU779" s="10"/>
      <c r="BV779" s="10"/>
      <c r="BW779" s="10"/>
      <c r="BX779" s="10"/>
      <c r="BY779" s="10"/>
      <c r="BZ779" s="10"/>
      <c r="CA779" s="10"/>
      <c r="CB779" s="10"/>
      <c r="CC779" s="10"/>
      <c r="CD779" s="10"/>
      <c r="CE779" s="10"/>
      <c r="CF779" s="10"/>
      <c r="CG779" s="10"/>
      <c r="CH779" s="10"/>
      <c r="CI779" s="10"/>
      <c r="CJ779" s="10"/>
      <c r="CK779" s="10"/>
      <c r="CL779" s="10"/>
      <c r="CM779" s="10"/>
      <c r="CN779" s="10"/>
      <c r="CO779" s="10"/>
    </row>
    <row r="780" spans="1:93">
      <c r="A780" s="10"/>
      <c r="B780" s="10"/>
      <c r="C780" s="10"/>
      <c r="D780" s="10"/>
      <c r="E780" s="10"/>
      <c r="F780" s="10"/>
      <c r="G780" s="11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  <c r="BA780" s="10"/>
      <c r="BB780" s="10"/>
      <c r="BC780" s="10"/>
      <c r="BD780" s="10"/>
      <c r="BE780" s="10"/>
      <c r="BF780" s="10"/>
      <c r="BG780" s="10"/>
      <c r="BH780" s="10"/>
      <c r="BI780" s="10"/>
      <c r="BJ780" s="10"/>
      <c r="BK780" s="10"/>
      <c r="BL780" s="10"/>
      <c r="BM780" s="10"/>
      <c r="BN780" s="10"/>
      <c r="BO780" s="10"/>
      <c r="BP780" s="10"/>
      <c r="BQ780" s="10"/>
      <c r="BR780" s="10"/>
      <c r="BS780" s="10"/>
      <c r="BT780" s="10"/>
      <c r="BU780" s="10"/>
      <c r="BV780" s="10"/>
      <c r="BW780" s="10"/>
      <c r="BX780" s="10"/>
      <c r="BY780" s="10"/>
      <c r="BZ780" s="10"/>
      <c r="CA780" s="10"/>
      <c r="CB780" s="10"/>
      <c r="CC780" s="10"/>
      <c r="CD780" s="10"/>
      <c r="CE780" s="10"/>
      <c r="CF780" s="10"/>
      <c r="CG780" s="10"/>
      <c r="CH780" s="10"/>
      <c r="CI780" s="10"/>
      <c r="CJ780" s="10"/>
      <c r="CK780" s="10"/>
      <c r="CL780" s="10"/>
      <c r="CM780" s="10"/>
      <c r="CN780" s="10"/>
      <c r="CO780" s="10"/>
    </row>
    <row r="781" spans="1:93">
      <c r="A781" s="10"/>
      <c r="B781" s="10"/>
      <c r="C781" s="17" t="s">
        <v>704</v>
      </c>
      <c r="D781" s="10"/>
      <c r="E781" s="178">
        <f xml:space="preserve"> Предпосылки!E472</f>
        <v>0.05</v>
      </c>
      <c r="F781" s="3"/>
      <c r="G781" s="142" t="s">
        <v>716</v>
      </c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  <c r="BA781" s="10"/>
      <c r="BB781" s="10"/>
      <c r="BC781" s="10"/>
      <c r="BD781" s="10"/>
      <c r="BE781" s="10"/>
      <c r="BF781" s="10"/>
      <c r="BG781" s="10"/>
      <c r="BH781" s="10"/>
      <c r="BI781" s="10"/>
      <c r="BJ781" s="10"/>
      <c r="BK781" s="10"/>
      <c r="BL781" s="10"/>
      <c r="BM781" s="10"/>
      <c r="BN781" s="10"/>
      <c r="BO781" s="10"/>
      <c r="BP781" s="10"/>
      <c r="BQ781" s="10"/>
      <c r="BR781" s="10"/>
      <c r="BS781" s="10"/>
      <c r="BT781" s="10"/>
      <c r="BU781" s="10"/>
      <c r="BV781" s="10"/>
      <c r="BW781" s="10"/>
      <c r="BX781" s="10"/>
      <c r="BY781" s="10"/>
      <c r="BZ781" s="10"/>
      <c r="CA781" s="10"/>
      <c r="CB781" s="10"/>
      <c r="CC781" s="10"/>
      <c r="CD781" s="10"/>
      <c r="CE781" s="10"/>
      <c r="CF781" s="10"/>
      <c r="CG781" s="10"/>
      <c r="CH781" s="10"/>
      <c r="CI781" s="10"/>
      <c r="CJ781" s="10"/>
      <c r="CK781" s="10"/>
      <c r="CL781" s="10"/>
      <c r="CM781" s="10"/>
      <c r="CN781" s="10"/>
      <c r="CO781" s="10"/>
    </row>
    <row r="782" spans="1:93">
      <c r="A782" s="10"/>
      <c r="B782" s="10"/>
      <c r="C782" s="17" t="s">
        <v>705</v>
      </c>
      <c r="D782" s="10"/>
      <c r="E782" s="178">
        <f xml:space="preserve"> Предпосылки!E473</f>
        <v>5.0000000000000001E-3</v>
      </c>
      <c r="F782" s="3"/>
      <c r="G782" s="142" t="s">
        <v>716</v>
      </c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  <c r="BA782" s="10"/>
      <c r="BB782" s="10"/>
      <c r="BC782" s="10"/>
      <c r="BD782" s="10"/>
      <c r="BE782" s="10"/>
      <c r="BF782" s="10"/>
      <c r="BG782" s="10"/>
      <c r="BH782" s="10"/>
      <c r="BI782" s="10"/>
      <c r="BJ782" s="10"/>
      <c r="BK782" s="10"/>
      <c r="BL782" s="10"/>
      <c r="BM782" s="10"/>
      <c r="BN782" s="10"/>
      <c r="BO782" s="10"/>
      <c r="BP782" s="10"/>
      <c r="BQ782" s="10"/>
      <c r="BR782" s="10"/>
      <c r="BS782" s="10"/>
      <c r="BT782" s="10"/>
      <c r="BU782" s="10"/>
      <c r="BV782" s="10"/>
      <c r="BW782" s="10"/>
      <c r="BX782" s="10"/>
      <c r="BY782" s="10"/>
      <c r="BZ782" s="10"/>
      <c r="CA782" s="10"/>
      <c r="CB782" s="10"/>
      <c r="CC782" s="10"/>
      <c r="CD782" s="10"/>
      <c r="CE782" s="10"/>
      <c r="CF782" s="10"/>
      <c r="CG782" s="10"/>
      <c r="CH782" s="10"/>
      <c r="CI782" s="10"/>
      <c r="CJ782" s="10"/>
      <c r="CK782" s="10"/>
      <c r="CL782" s="10"/>
      <c r="CM782" s="10"/>
      <c r="CN782" s="10"/>
      <c r="CO782" s="10"/>
    </row>
    <row r="783" spans="1:93">
      <c r="A783" s="10"/>
      <c r="B783" s="10"/>
      <c r="C783" s="17" t="s">
        <v>706</v>
      </c>
      <c r="D783" s="10"/>
      <c r="E783" s="178">
        <v>0.03</v>
      </c>
      <c r="F783" s="3"/>
      <c r="G783" s="142" t="s">
        <v>716</v>
      </c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  <c r="BA783" s="10"/>
      <c r="BB783" s="10"/>
      <c r="BC783" s="10"/>
      <c r="BD783" s="10"/>
      <c r="BE783" s="10"/>
      <c r="BF783" s="10"/>
      <c r="BG783" s="10"/>
      <c r="BH783" s="10"/>
      <c r="BI783" s="10"/>
      <c r="BJ783" s="10"/>
      <c r="BK783" s="10"/>
      <c r="BL783" s="10"/>
      <c r="BM783" s="10"/>
      <c r="BN783" s="10"/>
      <c r="BO783" s="10"/>
      <c r="BP783" s="10"/>
      <c r="BQ783" s="10"/>
      <c r="BR783" s="10"/>
      <c r="BS783" s="10"/>
      <c r="BT783" s="10"/>
      <c r="BU783" s="10"/>
      <c r="BV783" s="10"/>
      <c r="BW783" s="10"/>
      <c r="BX783" s="10"/>
      <c r="BY783" s="10"/>
      <c r="BZ783" s="10"/>
      <c r="CA783" s="10"/>
      <c r="CB783" s="10"/>
      <c r="CC783" s="10"/>
      <c r="CD783" s="10"/>
      <c r="CE783" s="10"/>
      <c r="CF783" s="10"/>
      <c r="CG783" s="10"/>
      <c r="CH783" s="10"/>
      <c r="CI783" s="10"/>
      <c r="CJ783" s="10"/>
      <c r="CK783" s="10"/>
      <c r="CL783" s="10"/>
      <c r="CM783" s="10"/>
      <c r="CN783" s="10"/>
      <c r="CO783" s="10"/>
    </row>
    <row r="784" spans="1:93">
      <c r="A784" s="10"/>
      <c r="B784" s="10"/>
      <c r="C784" s="17" t="s">
        <v>707</v>
      </c>
      <c r="D784" s="10"/>
      <c r="E784" s="178">
        <f xml:space="preserve"> Предпосылки!E475</f>
        <v>0.04</v>
      </c>
      <c r="F784" s="3"/>
      <c r="G784" s="142" t="s">
        <v>716</v>
      </c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  <c r="BA784" s="10"/>
      <c r="BB784" s="10"/>
      <c r="BC784" s="10"/>
      <c r="BD784" s="10"/>
      <c r="BE784" s="10"/>
      <c r="BF784" s="10"/>
      <c r="BG784" s="10"/>
      <c r="BH784" s="10"/>
      <c r="BI784" s="10"/>
      <c r="BJ784" s="10"/>
      <c r="BK784" s="10"/>
      <c r="BL784" s="10"/>
      <c r="BM784" s="10"/>
      <c r="BN784" s="10"/>
      <c r="BO784" s="10"/>
      <c r="BP784" s="10"/>
      <c r="BQ784" s="10"/>
      <c r="BR784" s="10"/>
      <c r="BS784" s="10"/>
      <c r="BT784" s="10"/>
      <c r="BU784" s="10"/>
      <c r="BV784" s="10"/>
      <c r="BW784" s="10"/>
      <c r="BX784" s="10"/>
      <c r="BY784" s="10"/>
      <c r="BZ784" s="10"/>
      <c r="CA784" s="10"/>
      <c r="CB784" s="10"/>
      <c r="CC784" s="10"/>
      <c r="CD784" s="10"/>
      <c r="CE784" s="10"/>
      <c r="CF784" s="10"/>
      <c r="CG784" s="10"/>
      <c r="CH784" s="10"/>
      <c r="CI784" s="10"/>
      <c r="CJ784" s="10"/>
      <c r="CK784" s="10"/>
      <c r="CL784" s="10"/>
      <c r="CM784" s="10"/>
      <c r="CN784" s="10"/>
      <c r="CO784" s="10"/>
    </row>
    <row r="785" spans="1:93">
      <c r="A785" s="10"/>
      <c r="B785" s="10"/>
      <c r="C785" s="17" t="s">
        <v>708</v>
      </c>
      <c r="D785" s="10"/>
      <c r="E785" s="178">
        <f xml:space="preserve"> Предпосылки!E476</f>
        <v>0.02</v>
      </c>
      <c r="F785" s="3"/>
      <c r="G785" s="142" t="s">
        <v>716</v>
      </c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  <c r="BA785" s="10"/>
      <c r="BB785" s="10"/>
      <c r="BC785" s="10"/>
      <c r="BD785" s="10"/>
      <c r="BE785" s="10"/>
      <c r="BF785" s="10"/>
      <c r="BG785" s="10"/>
      <c r="BH785" s="10"/>
      <c r="BI785" s="10"/>
      <c r="BJ785" s="10"/>
      <c r="BK785" s="10"/>
      <c r="BL785" s="10"/>
      <c r="BM785" s="10"/>
      <c r="BN785" s="10"/>
      <c r="BO785" s="10"/>
      <c r="BP785" s="10"/>
      <c r="BQ785" s="10"/>
      <c r="BR785" s="10"/>
      <c r="BS785" s="10"/>
      <c r="BT785" s="10"/>
      <c r="BU785" s="10"/>
      <c r="BV785" s="10"/>
      <c r="BW785" s="10"/>
      <c r="BX785" s="10"/>
      <c r="BY785" s="10"/>
      <c r="BZ785" s="10"/>
      <c r="CA785" s="10"/>
      <c r="CB785" s="10"/>
      <c r="CC785" s="10"/>
      <c r="CD785" s="10"/>
      <c r="CE785" s="10"/>
      <c r="CF785" s="10"/>
      <c r="CG785" s="10"/>
      <c r="CH785" s="10"/>
      <c r="CI785" s="10"/>
      <c r="CJ785" s="10"/>
      <c r="CK785" s="10"/>
      <c r="CL785" s="10"/>
      <c r="CM785" s="10"/>
      <c r="CN785" s="10"/>
      <c r="CO785" s="10"/>
    </row>
    <row r="786" spans="1:93">
      <c r="A786" s="10"/>
      <c r="B786" s="10"/>
      <c r="C786" s="17"/>
      <c r="D786" s="10"/>
      <c r="E786" s="3"/>
      <c r="F786" s="3"/>
      <c r="G786" s="142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  <c r="BA786" s="10"/>
      <c r="BB786" s="10"/>
      <c r="BC786" s="10"/>
      <c r="BD786" s="10"/>
      <c r="BE786" s="10"/>
      <c r="BF786" s="10"/>
      <c r="BG786" s="10"/>
      <c r="BH786" s="10"/>
      <c r="BI786" s="10"/>
      <c r="BJ786" s="10"/>
      <c r="BK786" s="10"/>
      <c r="BL786" s="10"/>
      <c r="BM786" s="10"/>
      <c r="BN786" s="10"/>
      <c r="BO786" s="10"/>
      <c r="BP786" s="10"/>
      <c r="BQ786" s="10"/>
      <c r="BR786" s="10"/>
      <c r="BS786" s="10"/>
      <c r="BT786" s="10"/>
      <c r="BU786" s="10"/>
      <c r="BV786" s="10"/>
      <c r="BW786" s="10"/>
      <c r="BX786" s="10"/>
      <c r="BY786" s="10"/>
      <c r="BZ786" s="10"/>
      <c r="CA786" s="10"/>
      <c r="CB786" s="10"/>
      <c r="CC786" s="10"/>
      <c r="CD786" s="10"/>
      <c r="CE786" s="10"/>
      <c r="CF786" s="10"/>
      <c r="CG786" s="10"/>
      <c r="CH786" s="10"/>
      <c r="CI786" s="10"/>
      <c r="CJ786" s="10"/>
      <c r="CK786" s="10"/>
      <c r="CL786" s="10"/>
      <c r="CM786" s="10"/>
      <c r="CN786" s="10"/>
      <c r="CO786" s="10"/>
    </row>
    <row r="787" spans="1:93" ht="16.5" thickBot="1">
      <c r="A787" s="10"/>
      <c r="B787" s="10"/>
      <c r="C787" s="12" t="s">
        <v>738</v>
      </c>
      <c r="D787" s="12"/>
      <c r="E787" s="12"/>
      <c r="F787" s="12"/>
      <c r="G787" s="360"/>
      <c r="H787" s="12"/>
      <c r="I787" s="12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  <c r="BA787" s="10"/>
      <c r="BB787" s="10"/>
      <c r="BC787" s="10"/>
      <c r="BD787" s="10"/>
      <c r="BE787" s="10"/>
      <c r="BF787" s="10"/>
      <c r="BG787" s="10"/>
      <c r="BH787" s="10"/>
      <c r="BI787" s="10"/>
      <c r="BJ787" s="10"/>
      <c r="BK787" s="10"/>
      <c r="BL787" s="10"/>
      <c r="BM787" s="10"/>
      <c r="BN787" s="10"/>
      <c r="BO787" s="10"/>
      <c r="BP787" s="10"/>
      <c r="BQ787" s="10"/>
      <c r="BR787" s="10"/>
      <c r="BS787" s="10"/>
      <c r="BT787" s="10"/>
      <c r="BU787" s="10"/>
      <c r="BV787" s="10"/>
      <c r="BW787" s="10"/>
      <c r="BX787" s="10"/>
      <c r="BY787" s="10"/>
      <c r="BZ787" s="10"/>
      <c r="CA787" s="10"/>
      <c r="CB787" s="10"/>
      <c r="CC787" s="10"/>
      <c r="CD787" s="10"/>
      <c r="CE787" s="10"/>
      <c r="CF787" s="10"/>
      <c r="CG787" s="10"/>
      <c r="CH787" s="10"/>
      <c r="CI787" s="10"/>
      <c r="CJ787" s="10"/>
      <c r="CK787" s="10"/>
      <c r="CL787" s="10"/>
      <c r="CM787" s="10"/>
      <c r="CN787" s="10"/>
      <c r="CO787" s="10"/>
    </row>
    <row r="788" spans="1:93">
      <c r="A788" s="10"/>
      <c r="B788" s="10"/>
      <c r="C788" s="10"/>
      <c r="D788" s="10"/>
      <c r="E788" s="10"/>
      <c r="F788" s="10"/>
      <c r="G788" s="11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  <c r="BA788" s="10"/>
      <c r="BB788" s="10"/>
      <c r="BC788" s="10"/>
      <c r="BD788" s="10"/>
      <c r="BE788" s="10"/>
      <c r="BF788" s="10"/>
      <c r="BG788" s="10"/>
      <c r="BH788" s="10"/>
      <c r="BI788" s="10"/>
      <c r="BJ788" s="10"/>
      <c r="BK788" s="10"/>
      <c r="BL788" s="10"/>
      <c r="BM788" s="10"/>
      <c r="BN788" s="10"/>
      <c r="BO788" s="10"/>
      <c r="BP788" s="10"/>
      <c r="BQ788" s="10"/>
      <c r="BR788" s="10"/>
      <c r="BS788" s="10"/>
      <c r="BT788" s="10"/>
      <c r="BU788" s="10"/>
      <c r="BV788" s="10"/>
      <c r="BW788" s="10"/>
      <c r="BX788" s="10"/>
      <c r="BY788" s="10"/>
      <c r="BZ788" s="10"/>
      <c r="CA788" s="10"/>
      <c r="CB788" s="10"/>
      <c r="CC788" s="10"/>
      <c r="CD788" s="10"/>
      <c r="CE788" s="10"/>
      <c r="CF788" s="10"/>
      <c r="CG788" s="10"/>
      <c r="CH788" s="10"/>
      <c r="CI788" s="10"/>
      <c r="CJ788" s="10"/>
      <c r="CK788" s="10"/>
      <c r="CL788" s="10"/>
      <c r="CM788" s="10"/>
      <c r="CN788" s="10"/>
      <c r="CO788" s="10"/>
    </row>
    <row r="789" spans="1:93">
      <c r="A789" s="10"/>
      <c r="B789" s="10"/>
      <c r="C789" s="17" t="s">
        <v>1112</v>
      </c>
      <c r="D789" s="10"/>
      <c r="E789" s="10"/>
      <c r="F789" s="10"/>
      <c r="G789" s="11" t="str">
        <f>Monetary_Unit</f>
        <v>тыс. руб.</v>
      </c>
      <c r="H789" s="10"/>
      <c r="I789" s="23">
        <f ca="1">SUM(L789:CO789)</f>
        <v>30327514.380206559</v>
      </c>
      <c r="J789" s="10"/>
      <c r="K789" s="10"/>
      <c r="L789" s="450">
        <f t="shared" ref="L789:AQ789" ca="1" si="941" xml:space="preserve"> L608 + L619 + L623</f>
        <v>0</v>
      </c>
      <c r="M789" s="450">
        <f t="shared" ca="1" si="941"/>
        <v>0</v>
      </c>
      <c r="N789" s="450">
        <f t="shared" ca="1" si="941"/>
        <v>0</v>
      </c>
      <c r="O789" s="450">
        <f t="shared" ca="1" si="941"/>
        <v>0</v>
      </c>
      <c r="P789" s="450">
        <f t="shared" ca="1" si="941"/>
        <v>0</v>
      </c>
      <c r="Q789" s="450">
        <f t="shared" ca="1" si="941"/>
        <v>0</v>
      </c>
      <c r="R789" s="450">
        <f t="shared" ca="1" si="941"/>
        <v>0</v>
      </c>
      <c r="S789" s="450">
        <f t="shared" ca="1" si="941"/>
        <v>0</v>
      </c>
      <c r="T789" s="450">
        <f t="shared" ca="1" si="941"/>
        <v>0</v>
      </c>
      <c r="U789" s="450">
        <f t="shared" ca="1" si="941"/>
        <v>0</v>
      </c>
      <c r="V789" s="450">
        <f t="shared" ca="1" si="941"/>
        <v>0</v>
      </c>
      <c r="W789" s="450">
        <f t="shared" ca="1" si="941"/>
        <v>0</v>
      </c>
      <c r="X789" s="450">
        <f t="shared" ca="1" si="941"/>
        <v>0</v>
      </c>
      <c r="Y789" s="450">
        <f t="shared" ca="1" si="941"/>
        <v>0</v>
      </c>
      <c r="Z789" s="450">
        <f t="shared" ca="1" si="941"/>
        <v>0</v>
      </c>
      <c r="AA789" s="450">
        <f t="shared" ca="1" si="941"/>
        <v>0</v>
      </c>
      <c r="AB789" s="450">
        <f t="shared" ca="1" si="941"/>
        <v>0</v>
      </c>
      <c r="AC789" s="450">
        <f t="shared" ca="1" si="941"/>
        <v>248277.33564835621</v>
      </c>
      <c r="AD789" s="450">
        <f t="shared" ca="1" si="941"/>
        <v>471070.16681263543</v>
      </c>
      <c r="AE789" s="450">
        <f t="shared" ca="1" si="941"/>
        <v>176248.38845871578</v>
      </c>
      <c r="AF789" s="450">
        <f t="shared" ca="1" si="941"/>
        <v>159910.64413919963</v>
      </c>
      <c r="AG789" s="450">
        <f t="shared" ca="1" si="941"/>
        <v>289607.84915307764</v>
      </c>
      <c r="AH789" s="450">
        <f t="shared" ca="1" si="941"/>
        <v>547731.06890318659</v>
      </c>
      <c r="AI789" s="450">
        <f t="shared" ca="1" si="941"/>
        <v>204310.70096966939</v>
      </c>
      <c r="AJ789" s="450">
        <f t="shared" ca="1" si="941"/>
        <v>184840.51228702714</v>
      </c>
      <c r="AK789" s="450">
        <f t="shared" ca="1" si="941"/>
        <v>333847.56000113947</v>
      </c>
      <c r="AL789" s="450">
        <f t="shared" ca="1" si="941"/>
        <v>629771.13089408167</v>
      </c>
      <c r="AM789" s="450">
        <f t="shared" ca="1" si="941"/>
        <v>234336.00105996543</v>
      </c>
      <c r="AN789" s="450">
        <f t="shared" ca="1" si="941"/>
        <v>213859.01188779209</v>
      </c>
      <c r="AO789" s="450">
        <f t="shared" ca="1" si="941"/>
        <v>381163.07515840116</v>
      </c>
      <c r="AP789" s="450">
        <f t="shared" ca="1" si="941"/>
        <v>701864.01513296331</v>
      </c>
      <c r="AQ789" s="450">
        <f t="shared" ca="1" si="941"/>
        <v>255072.93456914873</v>
      </c>
      <c r="AR789" s="450">
        <f t="shared" ref="AR789:BW789" ca="1" si="942" xml:space="preserve"> AR608 + AR619 + AR623</f>
        <v>224980.71219046335</v>
      </c>
      <c r="AS789" s="450">
        <f t="shared" ca="1" si="942"/>
        <v>396409.59816473717</v>
      </c>
      <c r="AT789" s="450">
        <f t="shared" ca="1" si="942"/>
        <v>729938.57573828183</v>
      </c>
      <c r="AU789" s="450">
        <f t="shared" ca="1" si="942"/>
        <v>265275.85195191461</v>
      </c>
      <c r="AV789" s="450">
        <f t="shared" ca="1" si="942"/>
        <v>233979.94067808182</v>
      </c>
      <c r="AW789" s="450">
        <f t="shared" ca="1" si="942"/>
        <v>412265.98209132662</v>
      </c>
      <c r="AX789" s="450">
        <f t="shared" ca="1" si="942"/>
        <v>759136.11876781308</v>
      </c>
      <c r="AY789" s="450">
        <f t="shared" ca="1" si="942"/>
        <v>275886.8860299912</v>
      </c>
      <c r="AZ789" s="450">
        <f t="shared" ca="1" si="942"/>
        <v>243339.13830520507</v>
      </c>
      <c r="BA789" s="450">
        <f t="shared" ca="1" si="942"/>
        <v>428756.62137497956</v>
      </c>
      <c r="BB789" s="450">
        <f t="shared" ca="1" si="942"/>
        <v>789501.56351852533</v>
      </c>
      <c r="BC789" s="450">
        <f t="shared" ca="1" si="942"/>
        <v>286922.36147119082</v>
      </c>
      <c r="BD789" s="450">
        <f t="shared" ca="1" si="942"/>
        <v>255884.62276894008</v>
      </c>
      <c r="BE789" s="450">
        <f t="shared" ca="1" si="942"/>
        <v>445906.8862299787</v>
      </c>
      <c r="BF789" s="450">
        <f t="shared" ca="1" si="942"/>
        <v>821081.62605926627</v>
      </c>
      <c r="BG789" s="450">
        <f t="shared" ca="1" si="942"/>
        <v>298399.2559300384</v>
      </c>
      <c r="BH789" s="450">
        <f t="shared" ca="1" si="942"/>
        <v>263195.61199090973</v>
      </c>
      <c r="BI789" s="450">
        <f t="shared" ca="1" si="942"/>
        <v>463743.16167917772</v>
      </c>
      <c r="BJ789" s="450">
        <f t="shared" ca="1" si="942"/>
        <v>853924.89110163669</v>
      </c>
      <c r="BK789" s="450">
        <f t="shared" ca="1" si="942"/>
        <v>310335.22616723989</v>
      </c>
      <c r="BL789" s="450">
        <f t="shared" ca="1" si="942"/>
        <v>273723.43647054612</v>
      </c>
      <c r="BM789" s="450">
        <f t="shared" ca="1" si="942"/>
        <v>482292.88814634486</v>
      </c>
      <c r="BN789" s="450">
        <f t="shared" ca="1" si="942"/>
        <v>888081.88674570201</v>
      </c>
      <c r="BO789" s="450">
        <f t="shared" ca="1" si="942"/>
        <v>322748.6352139294</v>
      </c>
      <c r="BP789" s="450">
        <f t="shared" ca="1" si="942"/>
        <v>284672.37392936787</v>
      </c>
      <c r="BQ789" s="450">
        <f t="shared" ca="1" si="942"/>
        <v>501584.60367219854</v>
      </c>
      <c r="BR789" s="450">
        <f t="shared" ca="1" si="942"/>
        <v>923605.16221553006</v>
      </c>
      <c r="BS789" s="450">
        <f t="shared" ca="1" si="942"/>
        <v>335658.58062248654</v>
      </c>
      <c r="BT789" s="450">
        <f t="shared" ca="1" si="942"/>
        <v>299348.81631861522</v>
      </c>
      <c r="BU789" s="450">
        <f t="shared" ca="1" si="942"/>
        <v>521647.98781908641</v>
      </c>
      <c r="BV789" s="450">
        <f t="shared" ca="1" si="942"/>
        <v>960549.3687041509</v>
      </c>
      <c r="BW789" s="450">
        <f t="shared" ca="1" si="942"/>
        <v>349084.92384738591</v>
      </c>
      <c r="BX789" s="450">
        <f t="shared" ref="BX789:CO789" ca="1" si="943" xml:space="preserve"> BX608 + BX619 + BX623</f>
        <v>307901.63964200421</v>
      </c>
      <c r="BY789" s="450">
        <f t="shared" ca="1" si="943"/>
        <v>542513.9073318498</v>
      </c>
      <c r="BZ789" s="450">
        <f t="shared" ca="1" si="943"/>
        <v>998971.34345231706</v>
      </c>
      <c r="CA789" s="450">
        <f t="shared" ca="1" si="943"/>
        <v>363048.32080128131</v>
      </c>
      <c r="CB789" s="450">
        <f t="shared" ca="1" si="943"/>
        <v>320217.7052276844</v>
      </c>
      <c r="CC789" s="450">
        <f t="shared" ca="1" si="943"/>
        <v>564214.46362512372</v>
      </c>
      <c r="CD789" s="450">
        <f t="shared" ca="1" si="943"/>
        <v>1038930.1971904095</v>
      </c>
      <c r="CE789" s="450">
        <f t="shared" ca="1" si="943"/>
        <v>377570.25363333256</v>
      </c>
      <c r="CF789" s="450">
        <f t="shared" ca="1" si="943"/>
        <v>333026.41343679163</v>
      </c>
      <c r="CG789" s="450">
        <f t="shared" ca="1" si="943"/>
        <v>586783.04217012855</v>
      </c>
      <c r="CH789" s="450">
        <f t="shared" ca="1" si="943"/>
        <v>1080487.405078026</v>
      </c>
      <c r="CI789" s="450">
        <f t="shared" ca="1" si="943"/>
        <v>392673.06377866585</v>
      </c>
      <c r="CJ789" s="450">
        <f t="shared" ca="1" si="943"/>
        <v>350195.7751961996</v>
      </c>
      <c r="CK789" s="450">
        <f t="shared" ca="1" si="943"/>
        <v>610254.36385693378</v>
      </c>
      <c r="CL789" s="450">
        <f t="shared" ca="1" si="943"/>
        <v>1123706.9012811468</v>
      </c>
      <c r="CM789" s="450">
        <f t="shared" ca="1" si="943"/>
        <v>408379.98632981244</v>
      </c>
      <c r="CN789" s="450">
        <f t="shared" ca="1" si="943"/>
        <v>360201.36877323384</v>
      </c>
      <c r="CO789" s="450">
        <f t="shared" ca="1" si="943"/>
        <v>634664.53841121099</v>
      </c>
    </row>
    <row r="790" spans="1:93">
      <c r="A790" s="10"/>
      <c r="B790" s="10"/>
      <c r="C790" s="10"/>
      <c r="D790" s="10"/>
      <c r="E790" s="10"/>
      <c r="F790" s="10"/>
      <c r="G790" s="11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  <c r="BA790" s="10"/>
      <c r="BB790" s="10"/>
      <c r="BC790" s="10"/>
      <c r="BD790" s="10"/>
      <c r="BE790" s="10"/>
      <c r="BF790" s="10"/>
      <c r="BG790" s="10"/>
      <c r="BH790" s="10"/>
      <c r="BI790" s="10"/>
      <c r="BJ790" s="10"/>
      <c r="BK790" s="10"/>
      <c r="BL790" s="10"/>
      <c r="BM790" s="10"/>
      <c r="BN790" s="10"/>
      <c r="BO790" s="10"/>
      <c r="BP790" s="10"/>
      <c r="BQ790" s="10"/>
      <c r="BR790" s="10"/>
      <c r="BS790" s="10"/>
      <c r="BT790" s="10"/>
      <c r="BU790" s="10"/>
      <c r="BV790" s="10"/>
      <c r="BW790" s="10"/>
      <c r="BX790" s="10"/>
      <c r="BY790" s="10"/>
      <c r="BZ790" s="10"/>
      <c r="CA790" s="10"/>
      <c r="CB790" s="10"/>
      <c r="CC790" s="10"/>
      <c r="CD790" s="10"/>
      <c r="CE790" s="10"/>
      <c r="CF790" s="10"/>
      <c r="CG790" s="10"/>
      <c r="CH790" s="10"/>
      <c r="CI790" s="10"/>
      <c r="CJ790" s="10"/>
      <c r="CK790" s="10"/>
      <c r="CL790" s="10"/>
      <c r="CM790" s="10"/>
      <c r="CN790" s="10"/>
      <c r="CO790" s="10"/>
    </row>
    <row r="791" spans="1:93">
      <c r="A791" s="10"/>
      <c r="B791" s="10"/>
      <c r="C791" s="17" t="s">
        <v>704</v>
      </c>
      <c r="D791" s="10"/>
      <c r="E791" s="240">
        <f xml:space="preserve"> E781</f>
        <v>0.05</v>
      </c>
      <c r="F791" s="10"/>
      <c r="G791" s="11" t="str">
        <f t="shared" ref="G791:G796" si="944">Monetary_Unit</f>
        <v>тыс. руб.</v>
      </c>
      <c r="H791" s="10"/>
      <c r="I791" s="10"/>
      <c r="J791" s="10"/>
      <c r="K791" s="10"/>
      <c r="L791" s="10">
        <f ca="1" xml:space="preserve"> L$789 * $E791 * $I$698</f>
        <v>0</v>
      </c>
      <c r="M791" s="10">
        <f t="shared" ref="M791:BX794" ca="1" si="945" xml:space="preserve"> M$789 * $E791 * $I$698</f>
        <v>0</v>
      </c>
      <c r="N791" s="10">
        <f t="shared" ca="1" si="945"/>
        <v>0</v>
      </c>
      <c r="O791" s="10">
        <f t="shared" ca="1" si="945"/>
        <v>0</v>
      </c>
      <c r="P791" s="10">
        <f t="shared" ca="1" si="945"/>
        <v>0</v>
      </c>
      <c r="Q791" s="10">
        <f t="shared" ca="1" si="945"/>
        <v>0</v>
      </c>
      <c r="R791" s="10">
        <f t="shared" ca="1" si="945"/>
        <v>0</v>
      </c>
      <c r="S791" s="10">
        <f t="shared" ca="1" si="945"/>
        <v>0</v>
      </c>
      <c r="T791" s="10">
        <f t="shared" ca="1" si="945"/>
        <v>0</v>
      </c>
      <c r="U791" s="10">
        <f t="shared" ca="1" si="945"/>
        <v>0</v>
      </c>
      <c r="V791" s="10">
        <f t="shared" ca="1" si="945"/>
        <v>0</v>
      </c>
      <c r="W791" s="10">
        <f t="shared" ca="1" si="945"/>
        <v>0</v>
      </c>
      <c r="X791" s="10">
        <f t="shared" ca="1" si="945"/>
        <v>0</v>
      </c>
      <c r="Y791" s="10">
        <f t="shared" ca="1" si="945"/>
        <v>0</v>
      </c>
      <c r="Z791" s="10">
        <f t="shared" ca="1" si="945"/>
        <v>0</v>
      </c>
      <c r="AA791" s="10">
        <f t="shared" ca="1" si="945"/>
        <v>0</v>
      </c>
      <c r="AB791" s="10">
        <f t="shared" ca="1" si="945"/>
        <v>0</v>
      </c>
      <c r="AC791" s="10">
        <f t="shared" ca="1" si="945"/>
        <v>12413.866782417812</v>
      </c>
      <c r="AD791" s="10">
        <f t="shared" ca="1" si="945"/>
        <v>23553.508340631772</v>
      </c>
      <c r="AE791" s="10">
        <f t="shared" ca="1" si="945"/>
        <v>8812.419422935789</v>
      </c>
      <c r="AF791" s="10">
        <f t="shared" ca="1" si="945"/>
        <v>7995.5322069599824</v>
      </c>
      <c r="AG791" s="10">
        <f t="shared" ca="1" si="945"/>
        <v>14480.392457653883</v>
      </c>
      <c r="AH791" s="10">
        <f t="shared" ca="1" si="945"/>
        <v>27386.55344515933</v>
      </c>
      <c r="AI791" s="10">
        <f t="shared" ca="1" si="945"/>
        <v>10215.535048483471</v>
      </c>
      <c r="AJ791" s="10">
        <f t="shared" ca="1" si="945"/>
        <v>9242.0256143513579</v>
      </c>
      <c r="AK791" s="10">
        <f t="shared" ca="1" si="945"/>
        <v>16692.378000056975</v>
      </c>
      <c r="AL791" s="10">
        <f t="shared" ca="1" si="945"/>
        <v>31488.556544704086</v>
      </c>
      <c r="AM791" s="10">
        <f t="shared" ca="1" si="945"/>
        <v>11716.800052998273</v>
      </c>
      <c r="AN791" s="10">
        <f t="shared" ca="1" si="945"/>
        <v>10692.950594389606</v>
      </c>
      <c r="AO791" s="10">
        <f t="shared" ca="1" si="945"/>
        <v>19058.153757920059</v>
      </c>
      <c r="AP791" s="10">
        <f t="shared" ca="1" si="945"/>
        <v>35093.20075664817</v>
      </c>
      <c r="AQ791" s="10">
        <f t="shared" ca="1" si="945"/>
        <v>12753.646728457437</v>
      </c>
      <c r="AR791" s="10">
        <f t="shared" ca="1" si="945"/>
        <v>11249.035609523169</v>
      </c>
      <c r="AS791" s="10">
        <f t="shared" ca="1" si="945"/>
        <v>19820.479908236859</v>
      </c>
      <c r="AT791" s="10">
        <f t="shared" ca="1" si="945"/>
        <v>36496.92878691409</v>
      </c>
      <c r="AU791" s="10">
        <f t="shared" ca="1" si="945"/>
        <v>13263.792597595731</v>
      </c>
      <c r="AV791" s="10">
        <f t="shared" ca="1" si="945"/>
        <v>11698.997033904092</v>
      </c>
      <c r="AW791" s="10">
        <f t="shared" ca="1" si="945"/>
        <v>20613.299104566333</v>
      </c>
      <c r="AX791" s="10">
        <f t="shared" ca="1" si="945"/>
        <v>37956.805938390658</v>
      </c>
      <c r="AY791" s="10">
        <f t="shared" ca="1" si="945"/>
        <v>13794.344301499561</v>
      </c>
      <c r="AZ791" s="10">
        <f t="shared" ca="1" si="945"/>
        <v>12166.956915260254</v>
      </c>
      <c r="BA791" s="10">
        <f t="shared" ca="1" si="945"/>
        <v>21437.831068748979</v>
      </c>
      <c r="BB791" s="10">
        <f t="shared" ca="1" si="945"/>
        <v>39475.078175926268</v>
      </c>
      <c r="BC791" s="10">
        <f t="shared" ca="1" si="945"/>
        <v>14346.118073559541</v>
      </c>
      <c r="BD791" s="10">
        <f t="shared" ca="1" si="945"/>
        <v>12794.231138447005</v>
      </c>
      <c r="BE791" s="10">
        <f t="shared" ca="1" si="945"/>
        <v>22295.344311498935</v>
      </c>
      <c r="BF791" s="10">
        <f t="shared" ca="1" si="945"/>
        <v>41054.081302963314</v>
      </c>
      <c r="BG791" s="10">
        <f t="shared" ca="1" si="945"/>
        <v>14919.962796501921</v>
      </c>
      <c r="BH791" s="10">
        <f t="shared" ca="1" si="945"/>
        <v>13159.780599545487</v>
      </c>
      <c r="BI791" s="10">
        <f t="shared" ca="1" si="945"/>
        <v>23187.158083958886</v>
      </c>
      <c r="BJ791" s="10">
        <f t="shared" ca="1" si="945"/>
        <v>42696.244555081837</v>
      </c>
      <c r="BK791" s="10">
        <f t="shared" ca="1" si="945"/>
        <v>15516.761308361994</v>
      </c>
      <c r="BL791" s="10">
        <f t="shared" ca="1" si="945"/>
        <v>13686.171823527307</v>
      </c>
      <c r="BM791" s="10">
        <f t="shared" ca="1" si="945"/>
        <v>24114.644407317246</v>
      </c>
      <c r="BN791" s="10">
        <f t="shared" ca="1" si="945"/>
        <v>44404.094337285103</v>
      </c>
      <c r="BO791" s="10">
        <f t="shared" ca="1" si="945"/>
        <v>16137.431760696471</v>
      </c>
      <c r="BP791" s="10">
        <f t="shared" ca="1" si="945"/>
        <v>14233.618696468395</v>
      </c>
      <c r="BQ791" s="10">
        <f t="shared" ca="1" si="945"/>
        <v>25079.230183609929</v>
      </c>
      <c r="BR791" s="10">
        <f t="shared" ca="1" si="945"/>
        <v>46180.258110776507</v>
      </c>
      <c r="BS791" s="10">
        <f t="shared" ca="1" si="945"/>
        <v>16782.929031124328</v>
      </c>
      <c r="BT791" s="10">
        <f t="shared" ca="1" si="945"/>
        <v>14967.440815930762</v>
      </c>
      <c r="BU791" s="10">
        <f t="shared" ca="1" si="945"/>
        <v>26082.399390954321</v>
      </c>
      <c r="BV791" s="10">
        <f t="shared" ca="1" si="945"/>
        <v>48027.468435207549</v>
      </c>
      <c r="BW791" s="10">
        <f t="shared" ca="1" si="945"/>
        <v>17454.246192369297</v>
      </c>
      <c r="BX791" s="10">
        <f t="shared" ca="1" si="945"/>
        <v>15395.081982100211</v>
      </c>
      <c r="BY791" s="10">
        <f t="shared" ref="BY791:CO795" ca="1" si="946" xml:space="preserve"> BY$789 * $E791 * $I$698</f>
        <v>27125.695366592492</v>
      </c>
      <c r="BZ791" s="10">
        <f t="shared" ca="1" si="946"/>
        <v>49948.567172615854</v>
      </c>
      <c r="CA791" s="10">
        <f t="shared" ca="1" si="946"/>
        <v>18152.416040064065</v>
      </c>
      <c r="CB791" s="10">
        <f t="shared" ca="1" si="946"/>
        <v>16010.885261384221</v>
      </c>
      <c r="CC791" s="10">
        <f t="shared" ca="1" si="946"/>
        <v>28210.723181256188</v>
      </c>
      <c r="CD791" s="10">
        <f t="shared" ca="1" si="946"/>
        <v>51946.509859520476</v>
      </c>
      <c r="CE791" s="10">
        <f t="shared" ca="1" si="946"/>
        <v>18878.512681666627</v>
      </c>
      <c r="CF791" s="10">
        <f t="shared" ca="1" si="946"/>
        <v>16651.320671839581</v>
      </c>
      <c r="CG791" s="10">
        <f t="shared" ca="1" si="946"/>
        <v>29339.152108506431</v>
      </c>
      <c r="CH791" s="10">
        <f t="shared" ca="1" si="946"/>
        <v>54024.370253901303</v>
      </c>
      <c r="CI791" s="10">
        <f t="shared" ca="1" si="946"/>
        <v>19633.653188933295</v>
      </c>
      <c r="CJ791" s="10">
        <f t="shared" ca="1" si="946"/>
        <v>17509.788759809981</v>
      </c>
      <c r="CK791" s="10">
        <f t="shared" ca="1" si="946"/>
        <v>30512.718192846689</v>
      </c>
      <c r="CL791" s="10">
        <f t="shared" ca="1" si="946"/>
        <v>56185.345064057343</v>
      </c>
      <c r="CM791" s="10">
        <f t="shared" ca="1" si="946"/>
        <v>20418.999316490623</v>
      </c>
      <c r="CN791" s="10">
        <f t="shared" ca="1" si="946"/>
        <v>18010.068438661692</v>
      </c>
      <c r="CO791" s="10">
        <f t="shared" ca="1" si="946"/>
        <v>31733.226920560552</v>
      </c>
    </row>
    <row r="792" spans="1:93">
      <c r="A792" s="10"/>
      <c r="B792" s="10"/>
      <c r="C792" s="17" t="s">
        <v>705</v>
      </c>
      <c r="D792" s="10"/>
      <c r="E792" s="240">
        <f xml:space="preserve"> E782</f>
        <v>5.0000000000000001E-3</v>
      </c>
      <c r="F792" s="10"/>
      <c r="G792" s="11" t="str">
        <f t="shared" si="944"/>
        <v>тыс. руб.</v>
      </c>
      <c r="H792" s="10"/>
      <c r="I792" s="10"/>
      <c r="J792" s="10"/>
      <c r="K792" s="10"/>
      <c r="L792" s="10">
        <f ca="1" xml:space="preserve"> L$789 * $E792 * $I$698</f>
        <v>0</v>
      </c>
      <c r="M792" s="10">
        <f t="shared" ca="1" si="945"/>
        <v>0</v>
      </c>
      <c r="N792" s="10">
        <f t="shared" ca="1" si="945"/>
        <v>0</v>
      </c>
      <c r="O792" s="10">
        <f t="shared" ca="1" si="945"/>
        <v>0</v>
      </c>
      <c r="P792" s="10">
        <f t="shared" ca="1" si="945"/>
        <v>0</v>
      </c>
      <c r="Q792" s="10">
        <f t="shared" ca="1" si="945"/>
        <v>0</v>
      </c>
      <c r="R792" s="10">
        <f t="shared" ca="1" si="945"/>
        <v>0</v>
      </c>
      <c r="S792" s="10">
        <f t="shared" ca="1" si="945"/>
        <v>0</v>
      </c>
      <c r="T792" s="10">
        <f t="shared" ca="1" si="945"/>
        <v>0</v>
      </c>
      <c r="U792" s="10">
        <f t="shared" ca="1" si="945"/>
        <v>0</v>
      </c>
      <c r="V792" s="10">
        <f t="shared" ca="1" si="945"/>
        <v>0</v>
      </c>
      <c r="W792" s="10">
        <f t="shared" ca="1" si="945"/>
        <v>0</v>
      </c>
      <c r="X792" s="10">
        <f t="shared" ca="1" si="945"/>
        <v>0</v>
      </c>
      <c r="Y792" s="10">
        <f t="shared" ca="1" si="945"/>
        <v>0</v>
      </c>
      <c r="Z792" s="10">
        <f t="shared" ca="1" si="945"/>
        <v>0</v>
      </c>
      <c r="AA792" s="10">
        <f t="shared" ca="1" si="945"/>
        <v>0</v>
      </c>
      <c r="AB792" s="10">
        <f t="shared" ca="1" si="945"/>
        <v>0</v>
      </c>
      <c r="AC792" s="10">
        <f t="shared" ca="1" si="945"/>
        <v>1241.3866782417811</v>
      </c>
      <c r="AD792" s="10">
        <f t="shared" ca="1" si="945"/>
        <v>2355.3508340631774</v>
      </c>
      <c r="AE792" s="10">
        <f t="shared" ca="1" si="945"/>
        <v>881.24194229357897</v>
      </c>
      <c r="AF792" s="10">
        <f t="shared" ca="1" si="945"/>
        <v>799.55322069599822</v>
      </c>
      <c r="AG792" s="10">
        <f t="shared" ca="1" si="945"/>
        <v>1448.0392457653882</v>
      </c>
      <c r="AH792" s="10">
        <f t="shared" ca="1" si="945"/>
        <v>2738.6553445159329</v>
      </c>
      <c r="AI792" s="10">
        <f t="shared" ca="1" si="945"/>
        <v>1021.553504848347</v>
      </c>
      <c r="AJ792" s="10">
        <f t="shared" ca="1" si="945"/>
        <v>924.20256143513575</v>
      </c>
      <c r="AK792" s="10">
        <f t="shared" ca="1" si="945"/>
        <v>1669.2378000056974</v>
      </c>
      <c r="AL792" s="10">
        <f t="shared" ca="1" si="945"/>
        <v>3148.8556544704084</v>
      </c>
      <c r="AM792" s="10">
        <f t="shared" ca="1" si="945"/>
        <v>1171.6800052998271</v>
      </c>
      <c r="AN792" s="10">
        <f t="shared" ca="1" si="945"/>
        <v>1069.2950594389604</v>
      </c>
      <c r="AO792" s="10">
        <f t="shared" ca="1" si="945"/>
        <v>1905.8153757920059</v>
      </c>
      <c r="AP792" s="10">
        <f t="shared" ca="1" si="945"/>
        <v>3509.3200756648166</v>
      </c>
      <c r="AQ792" s="10">
        <f t="shared" ca="1" si="945"/>
        <v>1275.3646728457436</v>
      </c>
      <c r="AR792" s="10">
        <f t="shared" ca="1" si="945"/>
        <v>1124.9035609523169</v>
      </c>
      <c r="AS792" s="10">
        <f t="shared" ca="1" si="945"/>
        <v>1982.047990823686</v>
      </c>
      <c r="AT792" s="10">
        <f t="shared" ca="1" si="945"/>
        <v>3649.6928786914091</v>
      </c>
      <c r="AU792" s="10">
        <f t="shared" ca="1" si="945"/>
        <v>1326.379259759573</v>
      </c>
      <c r="AV792" s="10">
        <f t="shared" ca="1" si="945"/>
        <v>1169.8997033904091</v>
      </c>
      <c r="AW792" s="10">
        <f t="shared" ca="1" si="945"/>
        <v>2061.3299104566331</v>
      </c>
      <c r="AX792" s="10">
        <f t="shared" ca="1" si="945"/>
        <v>3795.6805938390653</v>
      </c>
      <c r="AY792" s="10">
        <f t="shared" ca="1" si="945"/>
        <v>1379.4344301499561</v>
      </c>
      <c r="AZ792" s="10">
        <f t="shared" ca="1" si="945"/>
        <v>1216.6956915260253</v>
      </c>
      <c r="BA792" s="10">
        <f t="shared" ca="1" si="945"/>
        <v>2143.7831068748978</v>
      </c>
      <c r="BB792" s="10">
        <f t="shared" ca="1" si="945"/>
        <v>3947.5078175926269</v>
      </c>
      <c r="BC792" s="10">
        <f t="shared" ca="1" si="945"/>
        <v>1434.6118073559542</v>
      </c>
      <c r="BD792" s="10">
        <f t="shared" ca="1" si="945"/>
        <v>1279.4231138447005</v>
      </c>
      <c r="BE792" s="10">
        <f t="shared" ca="1" si="945"/>
        <v>2229.5344311498934</v>
      </c>
      <c r="BF792" s="10">
        <f t="shared" ca="1" si="945"/>
        <v>4105.4081302963314</v>
      </c>
      <c r="BG792" s="10">
        <f t="shared" ca="1" si="945"/>
        <v>1491.996279650192</v>
      </c>
      <c r="BH792" s="10">
        <f t="shared" ca="1" si="945"/>
        <v>1315.9780599545486</v>
      </c>
      <c r="BI792" s="10">
        <f t="shared" ca="1" si="945"/>
        <v>2318.7158083958889</v>
      </c>
      <c r="BJ792" s="10">
        <f t="shared" ca="1" si="945"/>
        <v>4269.6244555081839</v>
      </c>
      <c r="BK792" s="10">
        <f t="shared" ca="1" si="945"/>
        <v>1551.6761308361995</v>
      </c>
      <c r="BL792" s="10">
        <f t="shared" ca="1" si="945"/>
        <v>1368.6171823527307</v>
      </c>
      <c r="BM792" s="10">
        <f t="shared" ca="1" si="945"/>
        <v>2411.4644407317242</v>
      </c>
      <c r="BN792" s="10">
        <f t="shared" ca="1" si="945"/>
        <v>4440.4094337285105</v>
      </c>
      <c r="BO792" s="10">
        <f t="shared" ca="1" si="945"/>
        <v>1613.743176069647</v>
      </c>
      <c r="BP792" s="10">
        <f t="shared" ca="1" si="945"/>
        <v>1423.3618696468393</v>
      </c>
      <c r="BQ792" s="10">
        <f t="shared" ca="1" si="945"/>
        <v>2507.923018360993</v>
      </c>
      <c r="BR792" s="10">
        <f t="shared" ca="1" si="945"/>
        <v>4618.0258110776504</v>
      </c>
      <c r="BS792" s="10">
        <f t="shared" ca="1" si="945"/>
        <v>1678.2929031124327</v>
      </c>
      <c r="BT792" s="10">
        <f t="shared" ca="1" si="945"/>
        <v>1496.7440815930761</v>
      </c>
      <c r="BU792" s="10">
        <f t="shared" ca="1" si="945"/>
        <v>2608.239939095432</v>
      </c>
      <c r="BV792" s="10">
        <f t="shared" ca="1" si="945"/>
        <v>4802.7468435207547</v>
      </c>
      <c r="BW792" s="10">
        <f t="shared" ca="1" si="945"/>
        <v>1745.4246192369296</v>
      </c>
      <c r="BX792" s="10">
        <f t="shared" ca="1" si="945"/>
        <v>1539.5081982100212</v>
      </c>
      <c r="BY792" s="10">
        <f t="shared" ca="1" si="946"/>
        <v>2712.569536659249</v>
      </c>
      <c r="BZ792" s="10">
        <f t="shared" ca="1" si="946"/>
        <v>4994.8567172615858</v>
      </c>
      <c r="CA792" s="10">
        <f t="shared" ca="1" si="946"/>
        <v>1815.2416040064065</v>
      </c>
      <c r="CB792" s="10">
        <f t="shared" ca="1" si="946"/>
        <v>1601.0885261384221</v>
      </c>
      <c r="CC792" s="10">
        <f t="shared" ca="1" si="946"/>
        <v>2821.0723181256185</v>
      </c>
      <c r="CD792" s="10">
        <f t="shared" ca="1" si="946"/>
        <v>5194.6509859520474</v>
      </c>
      <c r="CE792" s="10">
        <f t="shared" ca="1" si="946"/>
        <v>1887.8512681666627</v>
      </c>
      <c r="CF792" s="10">
        <f t="shared" ca="1" si="946"/>
        <v>1665.1320671839583</v>
      </c>
      <c r="CG792" s="10">
        <f t="shared" ca="1" si="946"/>
        <v>2933.9152108506428</v>
      </c>
      <c r="CH792" s="10">
        <f t="shared" ca="1" si="946"/>
        <v>5402.4370253901297</v>
      </c>
      <c r="CI792" s="10">
        <f t="shared" ca="1" si="946"/>
        <v>1963.3653188933292</v>
      </c>
      <c r="CJ792" s="10">
        <f t="shared" ca="1" si="946"/>
        <v>1750.9788759809981</v>
      </c>
      <c r="CK792" s="10">
        <f t="shared" ca="1" si="946"/>
        <v>3051.2718192846692</v>
      </c>
      <c r="CL792" s="10">
        <f t="shared" ca="1" si="946"/>
        <v>5618.5345064057337</v>
      </c>
      <c r="CM792" s="10">
        <f t="shared" ca="1" si="946"/>
        <v>2041.8999316490622</v>
      </c>
      <c r="CN792" s="10">
        <f t="shared" ca="1" si="946"/>
        <v>1801.0068438661692</v>
      </c>
      <c r="CO792" s="10">
        <f t="shared" ca="1" si="946"/>
        <v>3173.3226920560551</v>
      </c>
    </row>
    <row r="793" spans="1:93">
      <c r="A793" s="10"/>
      <c r="B793" s="10"/>
      <c r="C793" s="17" t="s">
        <v>706</v>
      </c>
      <c r="D793" s="10"/>
      <c r="E793" s="240">
        <f xml:space="preserve"> E783</f>
        <v>0.03</v>
      </c>
      <c r="F793" s="10"/>
      <c r="G793" s="11" t="str">
        <f t="shared" si="944"/>
        <v>тыс. руб.</v>
      </c>
      <c r="H793" s="10"/>
      <c r="I793" s="10"/>
      <c r="J793" s="10"/>
      <c r="K793" s="10"/>
      <c r="L793" s="10">
        <f ca="1" xml:space="preserve"> L$789 * $E793 * $I$698</f>
        <v>0</v>
      </c>
      <c r="M793" s="10">
        <f t="shared" ca="1" si="945"/>
        <v>0</v>
      </c>
      <c r="N793" s="10">
        <f t="shared" ca="1" si="945"/>
        <v>0</v>
      </c>
      <c r="O793" s="10">
        <f t="shared" ca="1" si="945"/>
        <v>0</v>
      </c>
      <c r="P793" s="10">
        <f t="shared" ca="1" si="945"/>
        <v>0</v>
      </c>
      <c r="Q793" s="10">
        <f t="shared" ca="1" si="945"/>
        <v>0</v>
      </c>
      <c r="R793" s="10">
        <f t="shared" ca="1" si="945"/>
        <v>0</v>
      </c>
      <c r="S793" s="10">
        <f t="shared" ca="1" si="945"/>
        <v>0</v>
      </c>
      <c r="T793" s="10">
        <f t="shared" ca="1" si="945"/>
        <v>0</v>
      </c>
      <c r="U793" s="10">
        <f t="shared" ca="1" si="945"/>
        <v>0</v>
      </c>
      <c r="V793" s="10">
        <f t="shared" ca="1" si="945"/>
        <v>0</v>
      </c>
      <c r="W793" s="10">
        <f t="shared" ca="1" si="945"/>
        <v>0</v>
      </c>
      <c r="X793" s="10">
        <f t="shared" ca="1" si="945"/>
        <v>0</v>
      </c>
      <c r="Y793" s="10">
        <f t="shared" ca="1" si="945"/>
        <v>0</v>
      </c>
      <c r="Z793" s="10">
        <f t="shared" ca="1" si="945"/>
        <v>0</v>
      </c>
      <c r="AA793" s="10">
        <f t="shared" ca="1" si="945"/>
        <v>0</v>
      </c>
      <c r="AB793" s="10">
        <f t="shared" ca="1" si="945"/>
        <v>0</v>
      </c>
      <c r="AC793" s="10">
        <f t="shared" ca="1" si="945"/>
        <v>7448.3200694506859</v>
      </c>
      <c r="AD793" s="10">
        <f t="shared" ca="1" si="945"/>
        <v>14132.105004379062</v>
      </c>
      <c r="AE793" s="10">
        <f t="shared" ca="1" si="945"/>
        <v>5287.4516537614736</v>
      </c>
      <c r="AF793" s="10">
        <f t="shared" ca="1" si="945"/>
        <v>4797.3193241759891</v>
      </c>
      <c r="AG793" s="10">
        <f t="shared" ca="1" si="945"/>
        <v>8688.2354745923294</v>
      </c>
      <c r="AH793" s="10">
        <f t="shared" ca="1" si="945"/>
        <v>16431.932067095597</v>
      </c>
      <c r="AI793" s="10">
        <f t="shared" ca="1" si="945"/>
        <v>6129.3210290900815</v>
      </c>
      <c r="AJ793" s="10">
        <f t="shared" ca="1" si="945"/>
        <v>5545.215368610814</v>
      </c>
      <c r="AK793" s="10">
        <f t="shared" ca="1" si="945"/>
        <v>10015.426800034184</v>
      </c>
      <c r="AL793" s="10">
        <f t="shared" ca="1" si="945"/>
        <v>18893.133926822451</v>
      </c>
      <c r="AM793" s="10">
        <f t="shared" ca="1" si="945"/>
        <v>7030.0800317989624</v>
      </c>
      <c r="AN793" s="10">
        <f t="shared" ca="1" si="945"/>
        <v>6415.7703566337623</v>
      </c>
      <c r="AO793" s="10">
        <f t="shared" ca="1" si="945"/>
        <v>11434.892254752034</v>
      </c>
      <c r="AP793" s="10">
        <f t="shared" ca="1" si="945"/>
        <v>21055.9204539889</v>
      </c>
      <c r="AQ793" s="10">
        <f t="shared" ca="1" si="945"/>
        <v>7652.1880370744611</v>
      </c>
      <c r="AR793" s="10">
        <f t="shared" ca="1" si="945"/>
        <v>6749.4213657139007</v>
      </c>
      <c r="AS793" s="10">
        <f t="shared" ca="1" si="945"/>
        <v>11892.287944942114</v>
      </c>
      <c r="AT793" s="10">
        <f t="shared" ca="1" si="945"/>
        <v>21898.157272148455</v>
      </c>
      <c r="AU793" s="10">
        <f t="shared" ca="1" si="945"/>
        <v>7958.2755585574378</v>
      </c>
      <c r="AV793" s="10">
        <f t="shared" ca="1" si="945"/>
        <v>7019.3982203424548</v>
      </c>
      <c r="AW793" s="10">
        <f t="shared" ca="1" si="945"/>
        <v>12367.979462739799</v>
      </c>
      <c r="AX793" s="10">
        <f t="shared" ca="1" si="945"/>
        <v>22774.08356303439</v>
      </c>
      <c r="AY793" s="10">
        <f t="shared" ca="1" si="945"/>
        <v>8276.6065808997355</v>
      </c>
      <c r="AZ793" s="10">
        <f t="shared" ca="1" si="945"/>
        <v>7300.1741491561515</v>
      </c>
      <c r="BA793" s="10">
        <f t="shared" ca="1" si="945"/>
        <v>12862.698641249386</v>
      </c>
      <c r="BB793" s="10">
        <f t="shared" ca="1" si="945"/>
        <v>23685.046905555759</v>
      </c>
      <c r="BC793" s="10">
        <f t="shared" ca="1" si="945"/>
        <v>8607.6708441357241</v>
      </c>
      <c r="BD793" s="10">
        <f t="shared" ca="1" si="945"/>
        <v>7676.5386830682019</v>
      </c>
      <c r="BE793" s="10">
        <f t="shared" ca="1" si="945"/>
        <v>13377.206586899361</v>
      </c>
      <c r="BF793" s="10">
        <f t="shared" ca="1" si="945"/>
        <v>24632.448781777988</v>
      </c>
      <c r="BG793" s="10">
        <f t="shared" ca="1" si="945"/>
        <v>8951.9776779011518</v>
      </c>
      <c r="BH793" s="10">
        <f t="shared" ca="1" si="945"/>
        <v>7895.868359727292</v>
      </c>
      <c r="BI793" s="10">
        <f t="shared" ca="1" si="945"/>
        <v>13912.29485037533</v>
      </c>
      <c r="BJ793" s="10">
        <f t="shared" ca="1" si="945"/>
        <v>25617.746733049098</v>
      </c>
      <c r="BK793" s="10">
        <f t="shared" ca="1" si="945"/>
        <v>9310.0567850171956</v>
      </c>
      <c r="BL793" s="10">
        <f t="shared" ca="1" si="945"/>
        <v>8211.703094116383</v>
      </c>
      <c r="BM793" s="10">
        <f t="shared" ca="1" si="945"/>
        <v>14468.786644390346</v>
      </c>
      <c r="BN793" s="10">
        <f t="shared" ca="1" si="945"/>
        <v>26642.456602371058</v>
      </c>
      <c r="BO793" s="10">
        <f t="shared" ca="1" si="945"/>
        <v>9682.4590564178816</v>
      </c>
      <c r="BP793" s="10">
        <f t="shared" ca="1" si="945"/>
        <v>8540.1712178810358</v>
      </c>
      <c r="BQ793" s="10">
        <f t="shared" ca="1" si="945"/>
        <v>15047.538110165955</v>
      </c>
      <c r="BR793" s="10">
        <f t="shared" ca="1" si="945"/>
        <v>27708.154866465902</v>
      </c>
      <c r="BS793" s="10">
        <f t="shared" ca="1" si="945"/>
        <v>10069.757418674595</v>
      </c>
      <c r="BT793" s="10">
        <f t="shared" ca="1" si="945"/>
        <v>8980.464489558457</v>
      </c>
      <c r="BU793" s="10">
        <f t="shared" ca="1" si="945"/>
        <v>15649.439634572591</v>
      </c>
      <c r="BV793" s="10">
        <f t="shared" ca="1" si="945"/>
        <v>28816.481061124527</v>
      </c>
      <c r="BW793" s="10">
        <f t="shared" ca="1" si="945"/>
        <v>10472.547715421577</v>
      </c>
      <c r="BX793" s="10">
        <f t="shared" ca="1" si="945"/>
        <v>9237.0491892601258</v>
      </c>
      <c r="BY793" s="10">
        <f t="shared" ca="1" si="946"/>
        <v>16275.417219955494</v>
      </c>
      <c r="BZ793" s="10">
        <f t="shared" ca="1" si="946"/>
        <v>29969.140303569511</v>
      </c>
      <c r="CA793" s="10">
        <f t="shared" ca="1" si="946"/>
        <v>10891.44962403844</v>
      </c>
      <c r="CB793" s="10">
        <f t="shared" ca="1" si="946"/>
        <v>9606.5311568305315</v>
      </c>
      <c r="CC793" s="10">
        <f t="shared" ca="1" si="946"/>
        <v>16926.433908753712</v>
      </c>
      <c r="CD793" s="10">
        <f t="shared" ca="1" si="946"/>
        <v>31167.905915712283</v>
      </c>
      <c r="CE793" s="10">
        <f t="shared" ca="1" si="946"/>
        <v>11327.107608999977</v>
      </c>
      <c r="CF793" s="10">
        <f t="shared" ca="1" si="946"/>
        <v>9990.7924031037492</v>
      </c>
      <c r="CG793" s="10">
        <f t="shared" ca="1" si="946"/>
        <v>17603.491265103858</v>
      </c>
      <c r="CH793" s="10">
        <f t="shared" ca="1" si="946"/>
        <v>32414.62215234078</v>
      </c>
      <c r="CI793" s="10">
        <f t="shared" ca="1" si="946"/>
        <v>11780.191913359975</v>
      </c>
      <c r="CJ793" s="10">
        <f t="shared" ca="1" si="946"/>
        <v>10505.873255885988</v>
      </c>
      <c r="CK793" s="10">
        <f t="shared" ca="1" si="946"/>
        <v>18307.630915708014</v>
      </c>
      <c r="CL793" s="10">
        <f t="shared" ca="1" si="946"/>
        <v>33711.207038434404</v>
      </c>
      <c r="CM793" s="10">
        <f t="shared" ca="1" si="946"/>
        <v>12251.399589894372</v>
      </c>
      <c r="CN793" s="10">
        <f t="shared" ca="1" si="946"/>
        <v>10806.041063197015</v>
      </c>
      <c r="CO793" s="10">
        <f t="shared" ca="1" si="946"/>
        <v>19039.93615233633</v>
      </c>
    </row>
    <row r="794" spans="1:93">
      <c r="A794" s="10"/>
      <c r="B794" s="10"/>
      <c r="C794" s="17" t="s">
        <v>707</v>
      </c>
      <c r="D794" s="10"/>
      <c r="E794" s="240">
        <f xml:space="preserve"> E784</f>
        <v>0.04</v>
      </c>
      <c r="F794" s="10"/>
      <c r="G794" s="11" t="str">
        <f t="shared" si="944"/>
        <v>тыс. руб.</v>
      </c>
      <c r="H794" s="10"/>
      <c r="I794" s="10"/>
      <c r="J794" s="10"/>
      <c r="K794" s="10"/>
      <c r="L794" s="10">
        <f ca="1" xml:space="preserve"> L$789 * $E794 * $I$698</f>
        <v>0</v>
      </c>
      <c r="M794" s="10">
        <f t="shared" ca="1" si="945"/>
        <v>0</v>
      </c>
      <c r="N794" s="10">
        <f t="shared" ca="1" si="945"/>
        <v>0</v>
      </c>
      <c r="O794" s="10">
        <f t="shared" ca="1" si="945"/>
        <v>0</v>
      </c>
      <c r="P794" s="10">
        <f t="shared" ca="1" si="945"/>
        <v>0</v>
      </c>
      <c r="Q794" s="10">
        <f t="shared" ca="1" si="945"/>
        <v>0</v>
      </c>
      <c r="R794" s="10">
        <f t="shared" ca="1" si="945"/>
        <v>0</v>
      </c>
      <c r="S794" s="10">
        <f t="shared" ca="1" si="945"/>
        <v>0</v>
      </c>
      <c r="T794" s="10">
        <f t="shared" ca="1" si="945"/>
        <v>0</v>
      </c>
      <c r="U794" s="10">
        <f t="shared" ca="1" si="945"/>
        <v>0</v>
      </c>
      <c r="V794" s="10">
        <f t="shared" ca="1" si="945"/>
        <v>0</v>
      </c>
      <c r="W794" s="10">
        <f t="shared" ca="1" si="945"/>
        <v>0</v>
      </c>
      <c r="X794" s="10">
        <f t="shared" ca="1" si="945"/>
        <v>0</v>
      </c>
      <c r="Y794" s="10">
        <f t="shared" ca="1" si="945"/>
        <v>0</v>
      </c>
      <c r="Z794" s="10">
        <f t="shared" ca="1" si="945"/>
        <v>0</v>
      </c>
      <c r="AA794" s="10">
        <f t="shared" ca="1" si="945"/>
        <v>0</v>
      </c>
      <c r="AB794" s="10">
        <f t="shared" ca="1" si="945"/>
        <v>0</v>
      </c>
      <c r="AC794" s="10">
        <f t="shared" ca="1" si="945"/>
        <v>9931.0934259342484</v>
      </c>
      <c r="AD794" s="10">
        <f t="shared" ca="1" si="945"/>
        <v>18842.80667250542</v>
      </c>
      <c r="AE794" s="10">
        <f t="shared" ca="1" si="945"/>
        <v>7049.9355383486318</v>
      </c>
      <c r="AF794" s="10">
        <f t="shared" ca="1" si="945"/>
        <v>6396.4257655679858</v>
      </c>
      <c r="AG794" s="10">
        <f t="shared" ca="1" si="945"/>
        <v>11584.313966123105</v>
      </c>
      <c r="AH794" s="10">
        <f t="shared" ca="1" si="945"/>
        <v>21909.242756127464</v>
      </c>
      <c r="AI794" s="10">
        <f t="shared" ca="1" si="945"/>
        <v>8172.4280387867757</v>
      </c>
      <c r="AJ794" s="10">
        <f t="shared" ca="1" si="945"/>
        <v>7393.620491481086</v>
      </c>
      <c r="AK794" s="10">
        <f t="shared" ca="1" si="945"/>
        <v>13353.902400045579</v>
      </c>
      <c r="AL794" s="10">
        <f t="shared" ca="1" si="945"/>
        <v>25190.845235763267</v>
      </c>
      <c r="AM794" s="10">
        <f t="shared" ca="1" si="945"/>
        <v>9373.4400423986172</v>
      </c>
      <c r="AN794" s="10">
        <f t="shared" ca="1" si="945"/>
        <v>8554.360475511683</v>
      </c>
      <c r="AO794" s="10">
        <f t="shared" ca="1" si="945"/>
        <v>15246.523006336047</v>
      </c>
      <c r="AP794" s="10">
        <f t="shared" ca="1" si="945"/>
        <v>28074.560605318533</v>
      </c>
      <c r="AQ794" s="10">
        <f t="shared" ca="1" si="945"/>
        <v>10202.917382765949</v>
      </c>
      <c r="AR794" s="10">
        <f t="shared" ca="1" si="945"/>
        <v>8999.2284876185349</v>
      </c>
      <c r="AS794" s="10">
        <f t="shared" ca="1" si="945"/>
        <v>15856.383926589488</v>
      </c>
      <c r="AT794" s="10">
        <f t="shared" ca="1" si="945"/>
        <v>29197.543029531273</v>
      </c>
      <c r="AU794" s="10">
        <f t="shared" ca="1" si="945"/>
        <v>10611.034078076584</v>
      </c>
      <c r="AV794" s="10">
        <f t="shared" ca="1" si="945"/>
        <v>9359.1976271232725</v>
      </c>
      <c r="AW794" s="10">
        <f t="shared" ca="1" si="945"/>
        <v>16490.639283653065</v>
      </c>
      <c r="AX794" s="10">
        <f t="shared" ca="1" si="945"/>
        <v>30365.444750712522</v>
      </c>
      <c r="AY794" s="10">
        <f t="shared" ca="1" si="945"/>
        <v>11035.475441199649</v>
      </c>
      <c r="AZ794" s="10">
        <f t="shared" ca="1" si="945"/>
        <v>9733.5655322082021</v>
      </c>
      <c r="BA794" s="10">
        <f t="shared" ca="1" si="945"/>
        <v>17150.264854999183</v>
      </c>
      <c r="BB794" s="10">
        <f t="shared" ca="1" si="945"/>
        <v>31580.062540741015</v>
      </c>
      <c r="BC794" s="10">
        <f t="shared" ca="1" si="945"/>
        <v>11476.894458847633</v>
      </c>
      <c r="BD794" s="10">
        <f t="shared" ca="1" si="945"/>
        <v>10235.384910757604</v>
      </c>
      <c r="BE794" s="10">
        <f t="shared" ca="1" si="945"/>
        <v>17836.275449199147</v>
      </c>
      <c r="BF794" s="10">
        <f t="shared" ca="1" si="945"/>
        <v>32843.265042370651</v>
      </c>
      <c r="BG794" s="10">
        <f t="shared" ca="1" si="945"/>
        <v>11935.970237201536</v>
      </c>
      <c r="BH794" s="10">
        <f t="shared" ca="1" si="945"/>
        <v>10527.824479636389</v>
      </c>
      <c r="BI794" s="10">
        <f t="shared" ca="1" si="945"/>
        <v>18549.726467167111</v>
      </c>
      <c r="BJ794" s="10">
        <f t="shared" ca="1" si="945"/>
        <v>34156.995644065471</v>
      </c>
      <c r="BK794" s="10">
        <f t="shared" ca="1" si="945"/>
        <v>12413.409046689596</v>
      </c>
      <c r="BL794" s="10">
        <f t="shared" ca="1" si="945"/>
        <v>10948.937458821845</v>
      </c>
      <c r="BM794" s="10">
        <f t="shared" ca="1" si="945"/>
        <v>19291.715525853793</v>
      </c>
      <c r="BN794" s="10">
        <f t="shared" ca="1" si="945"/>
        <v>35523.275469828084</v>
      </c>
      <c r="BO794" s="10">
        <f t="shared" ca="1" si="945"/>
        <v>12909.945408557176</v>
      </c>
      <c r="BP794" s="10">
        <f t="shared" ca="1" si="945"/>
        <v>11386.894957174714</v>
      </c>
      <c r="BQ794" s="10">
        <f t="shared" ca="1" si="945"/>
        <v>20063.384146887944</v>
      </c>
      <c r="BR794" s="10">
        <f t="shared" ca="1" si="945"/>
        <v>36944.206488621203</v>
      </c>
      <c r="BS794" s="10">
        <f t="shared" ca="1" si="945"/>
        <v>13426.343224899461</v>
      </c>
      <c r="BT794" s="10">
        <f t="shared" ca="1" si="945"/>
        <v>11973.952652744609</v>
      </c>
      <c r="BU794" s="10">
        <f t="shared" ca="1" si="945"/>
        <v>20865.919512763456</v>
      </c>
      <c r="BV794" s="10">
        <f t="shared" ca="1" si="945"/>
        <v>38421.974748166038</v>
      </c>
      <c r="BW794" s="10">
        <f t="shared" ca="1" si="945"/>
        <v>13963.396953895437</v>
      </c>
      <c r="BX794" s="10">
        <f ca="1" xml:space="preserve"> BX$789 * $E794 * $I$698</f>
        <v>12316.06558568017</v>
      </c>
      <c r="BY794" s="10">
        <f t="shared" ca="1" si="946"/>
        <v>21700.556293273992</v>
      </c>
      <c r="BZ794" s="10">
        <f t="shared" ca="1" si="946"/>
        <v>39958.853738092686</v>
      </c>
      <c r="CA794" s="10">
        <f t="shared" ca="1" si="946"/>
        <v>14521.932832051252</v>
      </c>
      <c r="CB794" s="10">
        <f t="shared" ca="1" si="946"/>
        <v>12808.708209107377</v>
      </c>
      <c r="CC794" s="10">
        <f t="shared" ca="1" si="946"/>
        <v>22568.578545004948</v>
      </c>
      <c r="CD794" s="10">
        <f t="shared" ca="1" si="946"/>
        <v>41557.20788761638</v>
      </c>
      <c r="CE794" s="10">
        <f t="shared" ca="1" si="946"/>
        <v>15102.810145333302</v>
      </c>
      <c r="CF794" s="10">
        <f t="shared" ca="1" si="946"/>
        <v>13321.056537471666</v>
      </c>
      <c r="CG794" s="10">
        <f t="shared" ca="1" si="946"/>
        <v>23471.321686805142</v>
      </c>
      <c r="CH794" s="10">
        <f t="shared" ca="1" si="946"/>
        <v>43219.496203121038</v>
      </c>
      <c r="CI794" s="10">
        <f t="shared" ca="1" si="946"/>
        <v>15706.922551146634</v>
      </c>
      <c r="CJ794" s="10">
        <f t="shared" ca="1" si="946"/>
        <v>14007.831007847984</v>
      </c>
      <c r="CK794" s="10">
        <f t="shared" ca="1" si="946"/>
        <v>24410.174554277353</v>
      </c>
      <c r="CL794" s="10">
        <f t="shared" ca="1" si="946"/>
        <v>44948.27605124587</v>
      </c>
      <c r="CM794" s="10">
        <f t="shared" ca="1" si="946"/>
        <v>16335.199453192497</v>
      </c>
      <c r="CN794" s="10">
        <f t="shared" ca="1" si="946"/>
        <v>14408.054750929354</v>
      </c>
      <c r="CO794" s="10">
        <f t="shared" ca="1" si="946"/>
        <v>25386.581536448441</v>
      </c>
    </row>
    <row r="795" spans="1:93" ht="15.75" thickBot="1">
      <c r="A795" s="10"/>
      <c r="B795" s="10"/>
      <c r="C795" s="17" t="s">
        <v>708</v>
      </c>
      <c r="D795" s="10"/>
      <c r="E795" s="240">
        <f xml:space="preserve"> E785</f>
        <v>0.02</v>
      </c>
      <c r="F795" s="10"/>
      <c r="G795" s="11" t="str">
        <f t="shared" si="944"/>
        <v>тыс. руб.</v>
      </c>
      <c r="H795" s="10"/>
      <c r="I795" s="10"/>
      <c r="J795" s="10"/>
      <c r="K795" s="10"/>
      <c r="L795" s="10">
        <f ca="1" xml:space="preserve"> L$789 * $E795 * $I$698</f>
        <v>0</v>
      </c>
      <c r="M795" s="10">
        <f t="shared" ref="M795:BW795" ca="1" si="947" xml:space="preserve"> M$789 * $E795 * $I$698</f>
        <v>0</v>
      </c>
      <c r="N795" s="10">
        <f t="shared" ca="1" si="947"/>
        <v>0</v>
      </c>
      <c r="O795" s="10">
        <f t="shared" ca="1" si="947"/>
        <v>0</v>
      </c>
      <c r="P795" s="10">
        <f t="shared" ca="1" si="947"/>
        <v>0</v>
      </c>
      <c r="Q795" s="10">
        <f t="shared" ca="1" si="947"/>
        <v>0</v>
      </c>
      <c r="R795" s="10">
        <f t="shared" ca="1" si="947"/>
        <v>0</v>
      </c>
      <c r="S795" s="10">
        <f t="shared" ca="1" si="947"/>
        <v>0</v>
      </c>
      <c r="T795" s="10">
        <f t="shared" ca="1" si="947"/>
        <v>0</v>
      </c>
      <c r="U795" s="10">
        <f t="shared" ca="1" si="947"/>
        <v>0</v>
      </c>
      <c r="V795" s="10">
        <f t="shared" ca="1" si="947"/>
        <v>0</v>
      </c>
      <c r="W795" s="10">
        <f t="shared" ca="1" si="947"/>
        <v>0</v>
      </c>
      <c r="X795" s="10">
        <f t="shared" ca="1" si="947"/>
        <v>0</v>
      </c>
      <c r="Y795" s="10">
        <f t="shared" ca="1" si="947"/>
        <v>0</v>
      </c>
      <c r="Z795" s="10">
        <f t="shared" ca="1" si="947"/>
        <v>0</v>
      </c>
      <c r="AA795" s="10">
        <f t="shared" ca="1" si="947"/>
        <v>0</v>
      </c>
      <c r="AB795" s="10">
        <f t="shared" ca="1" si="947"/>
        <v>0</v>
      </c>
      <c r="AC795" s="10">
        <f t="shared" ca="1" si="947"/>
        <v>4965.5467129671242</v>
      </c>
      <c r="AD795" s="10">
        <f t="shared" ca="1" si="947"/>
        <v>9421.4033362527098</v>
      </c>
      <c r="AE795" s="10">
        <f t="shared" ca="1" si="947"/>
        <v>3524.9677691743159</v>
      </c>
      <c r="AF795" s="10">
        <f t="shared" ca="1" si="947"/>
        <v>3198.2128827839929</v>
      </c>
      <c r="AG795" s="10">
        <f t="shared" ca="1" si="947"/>
        <v>5792.1569830615526</v>
      </c>
      <c r="AH795" s="10">
        <f t="shared" ca="1" si="947"/>
        <v>10954.621378063732</v>
      </c>
      <c r="AI795" s="10">
        <f t="shared" ca="1" si="947"/>
        <v>4086.2140193933878</v>
      </c>
      <c r="AJ795" s="10">
        <f t="shared" ca="1" si="947"/>
        <v>3696.810245740543</v>
      </c>
      <c r="AK795" s="10">
        <f t="shared" ca="1" si="947"/>
        <v>6676.9512000227896</v>
      </c>
      <c r="AL795" s="10">
        <f t="shared" ca="1" si="947"/>
        <v>12595.422617881633</v>
      </c>
      <c r="AM795" s="10">
        <f t="shared" ca="1" si="947"/>
        <v>4686.7200211993086</v>
      </c>
      <c r="AN795" s="10">
        <f t="shared" ca="1" si="947"/>
        <v>4277.1802377558415</v>
      </c>
      <c r="AO795" s="10">
        <f t="shared" ca="1" si="947"/>
        <v>7623.2615031680234</v>
      </c>
      <c r="AP795" s="10">
        <f t="shared" ca="1" si="947"/>
        <v>14037.280302659266</v>
      </c>
      <c r="AQ795" s="10">
        <f t="shared" ca="1" si="947"/>
        <v>5101.4586913829744</v>
      </c>
      <c r="AR795" s="10">
        <f t="shared" ca="1" si="947"/>
        <v>4499.6142438092675</v>
      </c>
      <c r="AS795" s="10">
        <f t="shared" ca="1" si="947"/>
        <v>7928.1919632947438</v>
      </c>
      <c r="AT795" s="10">
        <f t="shared" ca="1" si="947"/>
        <v>14598.771514765636</v>
      </c>
      <c r="AU795" s="10">
        <f t="shared" ca="1" si="947"/>
        <v>5305.5170390382918</v>
      </c>
      <c r="AV795" s="10">
        <f t="shared" ca="1" si="947"/>
        <v>4679.5988135616362</v>
      </c>
      <c r="AW795" s="10">
        <f t="shared" ca="1" si="947"/>
        <v>8245.3196418265325</v>
      </c>
      <c r="AX795" s="10">
        <f t="shared" ca="1" si="947"/>
        <v>15182.722375356261</v>
      </c>
      <c r="AY795" s="10">
        <f t="shared" ca="1" si="947"/>
        <v>5517.7377205998246</v>
      </c>
      <c r="AZ795" s="10">
        <f t="shared" ca="1" si="947"/>
        <v>4866.782766104101</v>
      </c>
      <c r="BA795" s="10">
        <f t="shared" ca="1" si="947"/>
        <v>8575.1324274995914</v>
      </c>
      <c r="BB795" s="10">
        <f t="shared" ca="1" si="947"/>
        <v>15790.031270370508</v>
      </c>
      <c r="BC795" s="10">
        <f t="shared" ca="1" si="947"/>
        <v>5738.4472294238167</v>
      </c>
      <c r="BD795" s="10">
        <f t="shared" ca="1" si="947"/>
        <v>5117.6924553788022</v>
      </c>
      <c r="BE795" s="10">
        <f t="shared" ca="1" si="947"/>
        <v>8918.1377245995736</v>
      </c>
      <c r="BF795" s="10">
        <f t="shared" ca="1" si="947"/>
        <v>16421.632521185325</v>
      </c>
      <c r="BG795" s="10">
        <f t="shared" ca="1" si="947"/>
        <v>5967.9851186007681</v>
      </c>
      <c r="BH795" s="10">
        <f t="shared" ca="1" si="947"/>
        <v>5263.9122398181944</v>
      </c>
      <c r="BI795" s="10">
        <f t="shared" ca="1" si="947"/>
        <v>9274.8632335835555</v>
      </c>
      <c r="BJ795" s="10">
        <f t="shared" ca="1" si="947"/>
        <v>17078.497822032736</v>
      </c>
      <c r="BK795" s="10">
        <f t="shared" ca="1" si="947"/>
        <v>6206.704523344798</v>
      </c>
      <c r="BL795" s="10">
        <f t="shared" ca="1" si="947"/>
        <v>5474.4687294109226</v>
      </c>
      <c r="BM795" s="10">
        <f t="shared" ca="1" si="947"/>
        <v>9645.8577629268966</v>
      </c>
      <c r="BN795" s="10">
        <f t="shared" ca="1" si="947"/>
        <v>17761.637734914042</v>
      </c>
      <c r="BO795" s="10">
        <f t="shared" ca="1" si="947"/>
        <v>6454.972704278588</v>
      </c>
      <c r="BP795" s="10">
        <f t="shared" ca="1" si="947"/>
        <v>5693.4474785873572</v>
      </c>
      <c r="BQ795" s="10">
        <f t="shared" ca="1" si="947"/>
        <v>10031.692073443972</v>
      </c>
      <c r="BR795" s="10">
        <f t="shared" ca="1" si="947"/>
        <v>18472.103244310601</v>
      </c>
      <c r="BS795" s="10">
        <f t="shared" ca="1" si="947"/>
        <v>6713.1716124497307</v>
      </c>
      <c r="BT795" s="10">
        <f t="shared" ca="1" si="947"/>
        <v>5986.9763263723044</v>
      </c>
      <c r="BU795" s="10">
        <f t="shared" ca="1" si="947"/>
        <v>10432.959756381728</v>
      </c>
      <c r="BV795" s="10">
        <f t="shared" ca="1" si="947"/>
        <v>19210.987374083019</v>
      </c>
      <c r="BW795" s="10">
        <f t="shared" ca="1" si="947"/>
        <v>6981.6984769477185</v>
      </c>
      <c r="BX795" s="10">
        <f ca="1" xml:space="preserve"> BX$789 * $E795 * $I$698</f>
        <v>6158.0327928400848</v>
      </c>
      <c r="BY795" s="10">
        <f t="shared" ca="1" si="946"/>
        <v>10850.278146636996</v>
      </c>
      <c r="BZ795" s="10">
        <f t="shared" ca="1" si="946"/>
        <v>19979.426869046343</v>
      </c>
      <c r="CA795" s="10">
        <f t="shared" ca="1" si="946"/>
        <v>7260.9664160256261</v>
      </c>
      <c r="CB795" s="10">
        <f t="shared" ca="1" si="946"/>
        <v>6404.3541045536886</v>
      </c>
      <c r="CC795" s="10">
        <f t="shared" ca="1" si="946"/>
        <v>11284.289272502474</v>
      </c>
      <c r="CD795" s="10">
        <f t="shared" ca="1" si="946"/>
        <v>20778.60394380819</v>
      </c>
      <c r="CE795" s="10">
        <f t="shared" ca="1" si="946"/>
        <v>7551.405072666651</v>
      </c>
      <c r="CF795" s="10">
        <f t="shared" ca="1" si="946"/>
        <v>6660.5282687358331</v>
      </c>
      <c r="CG795" s="10">
        <f t="shared" ca="1" si="946"/>
        <v>11735.660843402571</v>
      </c>
      <c r="CH795" s="10">
        <f t="shared" ca="1" si="946"/>
        <v>21609.748101560519</v>
      </c>
      <c r="CI795" s="10">
        <f t="shared" ca="1" si="946"/>
        <v>7853.4612755733169</v>
      </c>
      <c r="CJ795" s="10">
        <f t="shared" ca="1" si="946"/>
        <v>7003.9155039239922</v>
      </c>
      <c r="CK795" s="10">
        <f t="shared" ca="1" si="946"/>
        <v>12205.087277138677</v>
      </c>
      <c r="CL795" s="10">
        <f t="shared" ca="1" si="946"/>
        <v>22474.138025622935</v>
      </c>
      <c r="CM795" s="10">
        <f t="shared" ca="1" si="946"/>
        <v>8167.5997265962487</v>
      </c>
      <c r="CN795" s="10">
        <f t="shared" ca="1" si="946"/>
        <v>7204.0273754646769</v>
      </c>
      <c r="CO795" s="10">
        <f t="shared" ca="1" si="946"/>
        <v>12693.29076822422</v>
      </c>
    </row>
    <row r="796" spans="1:93" ht="15.75" thickTop="1">
      <c r="A796" s="233"/>
      <c r="B796" s="101"/>
      <c r="C796" s="49" t="s">
        <v>731</v>
      </c>
      <c r="D796" s="49"/>
      <c r="E796" s="136"/>
      <c r="F796" s="49"/>
      <c r="G796" s="159" t="str">
        <f t="shared" si="944"/>
        <v>тыс. руб.</v>
      </c>
      <c r="H796" s="49"/>
      <c r="I796" s="23">
        <f ca="1">SUM(L796:CO796)</f>
        <v>4397489.5851299511</v>
      </c>
      <c r="J796" s="49"/>
      <c r="K796" s="49"/>
      <c r="L796" s="49">
        <f t="shared" ref="L796:R796" ca="1" si="948">SUM(L791:L795)</f>
        <v>0</v>
      </c>
      <c r="M796" s="49">
        <f t="shared" ca="1" si="948"/>
        <v>0</v>
      </c>
      <c r="N796" s="49">
        <f t="shared" ca="1" si="948"/>
        <v>0</v>
      </c>
      <c r="O796" s="49">
        <f t="shared" ca="1" si="948"/>
        <v>0</v>
      </c>
      <c r="P796" s="49">
        <f t="shared" ca="1" si="948"/>
        <v>0</v>
      </c>
      <c r="Q796" s="49">
        <f t="shared" ca="1" si="948"/>
        <v>0</v>
      </c>
      <c r="R796" s="49">
        <f t="shared" ca="1" si="948"/>
        <v>0</v>
      </c>
      <c r="S796" s="49">
        <f ca="1">SUM(S791:S795)</f>
        <v>0</v>
      </c>
      <c r="T796" s="49">
        <f t="shared" ref="T796:CE796" ca="1" si="949">SUM(T791:T795)</f>
        <v>0</v>
      </c>
      <c r="U796" s="49">
        <f t="shared" ca="1" si="949"/>
        <v>0</v>
      </c>
      <c r="V796" s="49">
        <f t="shared" ca="1" si="949"/>
        <v>0</v>
      </c>
      <c r="W796" s="49">
        <f t="shared" ca="1" si="949"/>
        <v>0</v>
      </c>
      <c r="X796" s="49">
        <f t="shared" ca="1" si="949"/>
        <v>0</v>
      </c>
      <c r="Y796" s="49">
        <f t="shared" ca="1" si="949"/>
        <v>0</v>
      </c>
      <c r="Z796" s="49">
        <f t="shared" ca="1" si="949"/>
        <v>0</v>
      </c>
      <c r="AA796" s="49">
        <f t="shared" ca="1" si="949"/>
        <v>0</v>
      </c>
      <c r="AB796" s="49">
        <f t="shared" ca="1" si="949"/>
        <v>0</v>
      </c>
      <c r="AC796" s="49">
        <f t="shared" ca="1" si="949"/>
        <v>36000.213669011653</v>
      </c>
      <c r="AD796" s="49">
        <f t="shared" ca="1" si="949"/>
        <v>68305.174187832148</v>
      </c>
      <c r="AE796" s="49">
        <f t="shared" ca="1" si="949"/>
        <v>25556.016326513789</v>
      </c>
      <c r="AF796" s="49">
        <f t="shared" ca="1" si="949"/>
        <v>23187.043400183946</v>
      </c>
      <c r="AG796" s="49">
        <f t="shared" ca="1" si="949"/>
        <v>41993.13812719626</v>
      </c>
      <c r="AH796" s="49">
        <f t="shared" ca="1" si="949"/>
        <v>79421.004990962057</v>
      </c>
      <c r="AI796" s="49">
        <f t="shared" ca="1" si="949"/>
        <v>29625.051640602065</v>
      </c>
      <c r="AJ796" s="49">
        <f t="shared" ca="1" si="949"/>
        <v>26801.874281618937</v>
      </c>
      <c r="AK796" s="49">
        <f t="shared" ca="1" si="949"/>
        <v>48407.896200165225</v>
      </c>
      <c r="AL796" s="49">
        <f t="shared" ca="1" si="949"/>
        <v>91316.81397964184</v>
      </c>
      <c r="AM796" s="49">
        <f t="shared" ca="1" si="949"/>
        <v>33978.720153694994</v>
      </c>
      <c r="AN796" s="49">
        <f t="shared" ca="1" si="949"/>
        <v>31009.556723729853</v>
      </c>
      <c r="AO796" s="49">
        <f t="shared" ca="1" si="949"/>
        <v>55268.64589796817</v>
      </c>
      <c r="AP796" s="49">
        <f t="shared" ca="1" si="949"/>
        <v>101770.28219427969</v>
      </c>
      <c r="AQ796" s="49">
        <f t="shared" ca="1" si="949"/>
        <v>36985.575512526571</v>
      </c>
      <c r="AR796" s="49">
        <f t="shared" ca="1" si="949"/>
        <v>32622.203267617191</v>
      </c>
      <c r="AS796" s="49">
        <f t="shared" ca="1" si="949"/>
        <v>57479.391733886892</v>
      </c>
      <c r="AT796" s="49">
        <f t="shared" ca="1" si="949"/>
        <v>105841.09348205087</v>
      </c>
      <c r="AU796" s="49">
        <f t="shared" ca="1" si="949"/>
        <v>38464.998533027618</v>
      </c>
      <c r="AV796" s="49">
        <f t="shared" ca="1" si="949"/>
        <v>33927.091398321863</v>
      </c>
      <c r="AW796" s="49">
        <f t="shared" ca="1" si="949"/>
        <v>59778.567403242356</v>
      </c>
      <c r="AX796" s="49">
        <f t="shared" ca="1" si="949"/>
        <v>110074.73722133289</v>
      </c>
      <c r="AY796" s="49">
        <f t="shared" ca="1" si="949"/>
        <v>40003.598474348728</v>
      </c>
      <c r="AZ796" s="49">
        <f t="shared" ca="1" si="949"/>
        <v>35284.175054254738</v>
      </c>
      <c r="BA796" s="49">
        <f t="shared" ca="1" si="949"/>
        <v>62169.710099372045</v>
      </c>
      <c r="BB796" s="49">
        <f t="shared" ca="1" si="949"/>
        <v>114477.72671018618</v>
      </c>
      <c r="BC796" s="49">
        <f t="shared" ca="1" si="949"/>
        <v>41603.742413322667</v>
      </c>
      <c r="BD796" s="49">
        <f t="shared" ca="1" si="949"/>
        <v>37103.270301496319</v>
      </c>
      <c r="BE796" s="49">
        <f t="shared" ca="1" si="949"/>
        <v>64656.498503346906</v>
      </c>
      <c r="BF796" s="49">
        <f t="shared" ca="1" si="949"/>
        <v>119056.83577859361</v>
      </c>
      <c r="BG796" s="49">
        <f t="shared" ca="1" si="949"/>
        <v>43267.892109855566</v>
      </c>
      <c r="BH796" s="49">
        <f t="shared" ca="1" si="949"/>
        <v>38163.36373868191</v>
      </c>
      <c r="BI796" s="49">
        <f t="shared" ca="1" si="949"/>
        <v>67242.75844348078</v>
      </c>
      <c r="BJ796" s="49">
        <f t="shared" ca="1" si="949"/>
        <v>123819.10920973732</v>
      </c>
      <c r="BK796" s="49">
        <f t="shared" ca="1" si="949"/>
        <v>44998.607794249787</v>
      </c>
      <c r="BL796" s="49">
        <f t="shared" ca="1" si="949"/>
        <v>39689.898288229197</v>
      </c>
      <c r="BM796" s="49">
        <f t="shared" ca="1" si="949"/>
        <v>69932.468781220014</v>
      </c>
      <c r="BN796" s="49">
        <f t="shared" ca="1" si="949"/>
        <v>128771.87357812679</v>
      </c>
      <c r="BO796" s="49">
        <f t="shared" ca="1" si="949"/>
        <v>46798.552106019764</v>
      </c>
      <c r="BP796" s="49">
        <f t="shared" ca="1" si="949"/>
        <v>41277.494219758344</v>
      </c>
      <c r="BQ796" s="49">
        <f t="shared" ca="1" si="949"/>
        <v>72729.767532468803</v>
      </c>
      <c r="BR796" s="49">
        <f t="shared" ca="1" si="949"/>
        <v>133922.74852125187</v>
      </c>
      <c r="BS796" s="49">
        <f t="shared" ca="1" si="949"/>
        <v>48670.49419026055</v>
      </c>
      <c r="BT796" s="49">
        <f t="shared" ca="1" si="949"/>
        <v>43405.57836619921</v>
      </c>
      <c r="BU796" s="49">
        <f t="shared" ca="1" si="949"/>
        <v>75638.958233767524</v>
      </c>
      <c r="BV796" s="49">
        <f t="shared" ca="1" si="949"/>
        <v>139279.65846210188</v>
      </c>
      <c r="BW796" s="49">
        <f t="shared" ca="1" si="949"/>
        <v>50617.31395787096</v>
      </c>
      <c r="BX796" s="49">
        <f t="shared" ca="1" si="949"/>
        <v>44645.737748090614</v>
      </c>
      <c r="BY796" s="49">
        <f t="shared" ca="1" si="949"/>
        <v>78664.516563118217</v>
      </c>
      <c r="BZ796" s="49">
        <f t="shared" ca="1" si="949"/>
        <v>144850.84480058597</v>
      </c>
      <c r="CA796" s="49">
        <f t="shared" ca="1" si="949"/>
        <v>52642.006516185793</v>
      </c>
      <c r="CB796" s="49">
        <f t="shared" ca="1" si="949"/>
        <v>46431.567258014242</v>
      </c>
      <c r="CC796" s="49">
        <f t="shared" ca="1" si="949"/>
        <v>81811.097225642938</v>
      </c>
      <c r="CD796" s="49">
        <f t="shared" ca="1" si="949"/>
        <v>150644.87859260937</v>
      </c>
      <c r="CE796" s="49">
        <f t="shared" ca="1" si="949"/>
        <v>54747.686776833223</v>
      </c>
      <c r="CF796" s="49">
        <f t="shared" ref="CF796:CO796" ca="1" si="950">SUM(CF791:CF795)</f>
        <v>48288.829948334787</v>
      </c>
      <c r="CG796" s="49">
        <f t="shared" ca="1" si="950"/>
        <v>85083.541114668638</v>
      </c>
      <c r="CH796" s="49">
        <f t="shared" ca="1" si="950"/>
        <v>156670.67373631377</v>
      </c>
      <c r="CI796" s="49">
        <f t="shared" ca="1" si="950"/>
        <v>56937.594247906549</v>
      </c>
      <c r="CJ796" s="49">
        <f t="shared" ca="1" si="950"/>
        <v>50778.387403448949</v>
      </c>
      <c r="CK796" s="49">
        <f t="shared" ca="1" si="950"/>
        <v>88486.882759255401</v>
      </c>
      <c r="CL796" s="49">
        <f t="shared" ca="1" si="950"/>
        <v>162937.50068576628</v>
      </c>
      <c r="CM796" s="49">
        <f t="shared" ca="1" si="950"/>
        <v>59215.098017822806</v>
      </c>
      <c r="CN796" s="49">
        <f t="shared" ca="1" si="950"/>
        <v>52229.198472118907</v>
      </c>
      <c r="CO796" s="49">
        <f t="shared" ca="1" si="950"/>
        <v>92026.358069625596</v>
      </c>
    </row>
    <row r="797" spans="1:93">
      <c r="A797" s="10"/>
      <c r="B797" s="10"/>
      <c r="C797" s="10"/>
      <c r="D797" s="10"/>
      <c r="E797" s="10"/>
      <c r="F797" s="10"/>
      <c r="G797" s="11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  <c r="BA797" s="10"/>
      <c r="BB797" s="10"/>
      <c r="BC797" s="10"/>
      <c r="BD797" s="10"/>
      <c r="BE797" s="10"/>
      <c r="BF797" s="10"/>
      <c r="BG797" s="10"/>
      <c r="BH797" s="10"/>
      <c r="BI797" s="10"/>
      <c r="BJ797" s="10"/>
      <c r="BK797" s="10"/>
      <c r="BL797" s="10"/>
      <c r="BM797" s="10"/>
      <c r="BN797" s="10"/>
      <c r="BO797" s="10"/>
      <c r="BP797" s="10"/>
      <c r="BQ797" s="10"/>
      <c r="BR797" s="10"/>
      <c r="BS797" s="10"/>
      <c r="BT797" s="10"/>
      <c r="BU797" s="10"/>
      <c r="BV797" s="10"/>
      <c r="BW797" s="10"/>
      <c r="BX797" s="10"/>
      <c r="BY797" s="10"/>
      <c r="BZ797" s="10"/>
      <c r="CA797" s="10"/>
      <c r="CB797" s="10"/>
      <c r="CC797" s="10"/>
      <c r="CD797" s="10"/>
      <c r="CE797" s="10"/>
      <c r="CF797" s="10"/>
      <c r="CG797" s="10"/>
      <c r="CH797" s="10"/>
      <c r="CI797" s="10"/>
      <c r="CJ797" s="10"/>
      <c r="CK797" s="10"/>
      <c r="CL797" s="10"/>
      <c r="CM797" s="10"/>
      <c r="CN797" s="10"/>
      <c r="CO797" s="10"/>
    </row>
    <row r="798" spans="1:93" ht="16.5" thickBot="1">
      <c r="A798" s="10"/>
      <c r="B798" s="10"/>
      <c r="C798" s="12" t="s">
        <v>736</v>
      </c>
      <c r="D798" s="12"/>
      <c r="E798" s="12"/>
      <c r="F798" s="12"/>
      <c r="G798" s="360"/>
      <c r="H798" s="12"/>
      <c r="I798" s="12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  <c r="BA798" s="10"/>
      <c r="BB798" s="10"/>
      <c r="BC798" s="10"/>
      <c r="BD798" s="10"/>
      <c r="BE798" s="10"/>
      <c r="BF798" s="10"/>
      <c r="BG798" s="10"/>
      <c r="BH798" s="10"/>
      <c r="BI798" s="10"/>
      <c r="BJ798" s="10"/>
      <c r="BK798" s="10"/>
      <c r="BL798" s="10"/>
      <c r="BM798" s="10"/>
      <c r="BN798" s="10"/>
      <c r="BO798" s="10"/>
      <c r="BP798" s="10"/>
      <c r="BQ798" s="10"/>
      <c r="BR798" s="10"/>
      <c r="BS798" s="10"/>
      <c r="BT798" s="10"/>
      <c r="BU798" s="10"/>
      <c r="BV798" s="10"/>
      <c r="BW798" s="10"/>
      <c r="BX798" s="10"/>
      <c r="BY798" s="10"/>
      <c r="BZ798" s="10"/>
      <c r="CA798" s="10"/>
      <c r="CB798" s="10"/>
      <c r="CC798" s="10"/>
      <c r="CD798" s="10"/>
      <c r="CE798" s="10"/>
      <c r="CF798" s="10"/>
      <c r="CG798" s="10"/>
      <c r="CH798" s="10"/>
      <c r="CI798" s="10"/>
      <c r="CJ798" s="10"/>
      <c r="CK798" s="10"/>
      <c r="CL798" s="10"/>
      <c r="CM798" s="10"/>
      <c r="CN798" s="10"/>
      <c r="CO798" s="10"/>
    </row>
    <row r="799" spans="1:93">
      <c r="A799" s="10"/>
      <c r="B799" s="10"/>
      <c r="C799" s="17"/>
      <c r="D799" s="10"/>
      <c r="E799" s="3"/>
      <c r="F799" s="3"/>
      <c r="G799" s="142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  <c r="BA799" s="10"/>
      <c r="BB799" s="10"/>
      <c r="BC799" s="10"/>
      <c r="BD799" s="10"/>
      <c r="BE799" s="10"/>
      <c r="BF799" s="10"/>
      <c r="BG799" s="10"/>
      <c r="BH799" s="10"/>
      <c r="BI799" s="10"/>
      <c r="BJ799" s="10"/>
      <c r="BK799" s="10"/>
      <c r="BL799" s="10"/>
      <c r="BM799" s="10"/>
      <c r="BN799" s="10"/>
      <c r="BO799" s="10"/>
      <c r="BP799" s="10"/>
      <c r="BQ799" s="10"/>
      <c r="BR799" s="10"/>
      <c r="BS799" s="10"/>
      <c r="BT799" s="10"/>
      <c r="BU799" s="10"/>
      <c r="BV799" s="10"/>
      <c r="BW799" s="10"/>
      <c r="BX799" s="10"/>
      <c r="BY799" s="10"/>
      <c r="BZ799" s="10"/>
      <c r="CA799" s="10"/>
      <c r="CB799" s="10"/>
      <c r="CC799" s="10"/>
      <c r="CD799" s="10"/>
      <c r="CE799" s="10"/>
      <c r="CF799" s="10"/>
      <c r="CG799" s="10"/>
      <c r="CH799" s="10"/>
      <c r="CI799" s="10"/>
      <c r="CJ799" s="10"/>
      <c r="CK799" s="10"/>
      <c r="CL799" s="10"/>
      <c r="CM799" s="10"/>
      <c r="CN799" s="10"/>
      <c r="CO799" s="10"/>
    </row>
    <row r="800" spans="1:93">
      <c r="A800" s="10"/>
      <c r="B800" s="10"/>
      <c r="C800" s="17" t="s">
        <v>709</v>
      </c>
      <c r="D800" s="10"/>
      <c r="E800" s="178">
        <f xml:space="preserve"> Предпосылки!E480</f>
        <v>1.4999999999999999E-2</v>
      </c>
      <c r="F800" s="3"/>
      <c r="G800" s="142" t="s">
        <v>716</v>
      </c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  <c r="BA800" s="10"/>
      <c r="BB800" s="10"/>
      <c r="BC800" s="10"/>
      <c r="BD800" s="10"/>
      <c r="BE800" s="10"/>
      <c r="BF800" s="10"/>
      <c r="BG800" s="10"/>
      <c r="BH800" s="10"/>
      <c r="BI800" s="10"/>
      <c r="BJ800" s="10"/>
      <c r="BK800" s="10"/>
      <c r="BL800" s="10"/>
      <c r="BM800" s="10"/>
      <c r="BN800" s="10"/>
      <c r="BO800" s="10"/>
      <c r="BP800" s="10"/>
      <c r="BQ800" s="10"/>
      <c r="BR800" s="10"/>
      <c r="BS800" s="10"/>
      <c r="BT800" s="10"/>
      <c r="BU800" s="10"/>
      <c r="BV800" s="10"/>
      <c r="BW800" s="10"/>
      <c r="BX800" s="10"/>
      <c r="BY800" s="10"/>
      <c r="BZ800" s="10"/>
      <c r="CA800" s="10"/>
      <c r="CB800" s="10"/>
      <c r="CC800" s="10"/>
      <c r="CD800" s="10"/>
      <c r="CE800" s="10"/>
      <c r="CF800" s="10"/>
      <c r="CG800" s="10"/>
      <c r="CH800" s="10"/>
      <c r="CI800" s="10"/>
      <c r="CJ800" s="10"/>
      <c r="CK800" s="10"/>
      <c r="CL800" s="10"/>
      <c r="CM800" s="10"/>
      <c r="CN800" s="10"/>
      <c r="CO800" s="10"/>
    </row>
    <row r="801" spans="1:93">
      <c r="A801" s="10"/>
      <c r="B801" s="10"/>
      <c r="C801" s="17" t="s">
        <v>711</v>
      </c>
      <c r="D801" s="10"/>
      <c r="E801" s="178">
        <f xml:space="preserve"> Предпосылки!E481</f>
        <v>0.02</v>
      </c>
      <c r="F801" s="3"/>
      <c r="G801" s="142" t="s">
        <v>716</v>
      </c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  <c r="BA801" s="10"/>
      <c r="BB801" s="10"/>
      <c r="BC801" s="10"/>
      <c r="BD801" s="10"/>
      <c r="BE801" s="10"/>
      <c r="BF801" s="10"/>
      <c r="BG801" s="10"/>
      <c r="BH801" s="10"/>
      <c r="BI801" s="10"/>
      <c r="BJ801" s="10"/>
      <c r="BK801" s="10"/>
      <c r="BL801" s="10"/>
      <c r="BM801" s="10"/>
      <c r="BN801" s="10"/>
      <c r="BO801" s="10"/>
      <c r="BP801" s="10"/>
      <c r="BQ801" s="10"/>
      <c r="BR801" s="10"/>
      <c r="BS801" s="10"/>
      <c r="BT801" s="10"/>
      <c r="BU801" s="10"/>
      <c r="BV801" s="10"/>
      <c r="BW801" s="10"/>
      <c r="BX801" s="10"/>
      <c r="BY801" s="10"/>
      <c r="BZ801" s="10"/>
      <c r="CA801" s="10"/>
      <c r="CB801" s="10"/>
      <c r="CC801" s="10"/>
      <c r="CD801" s="10"/>
      <c r="CE801" s="10"/>
      <c r="CF801" s="10"/>
      <c r="CG801" s="10"/>
      <c r="CH801" s="10"/>
      <c r="CI801" s="10"/>
      <c r="CJ801" s="10"/>
      <c r="CK801" s="10"/>
      <c r="CL801" s="10"/>
      <c r="CM801" s="10"/>
      <c r="CN801" s="10"/>
      <c r="CO801" s="10"/>
    </row>
    <row r="802" spans="1:93">
      <c r="A802" s="10"/>
      <c r="B802" s="10"/>
      <c r="C802" s="17" t="s">
        <v>710</v>
      </c>
      <c r="D802" s="10"/>
      <c r="E802" s="178">
        <f xml:space="preserve"> Предпосылки!E482</f>
        <v>0</v>
      </c>
      <c r="F802" s="3"/>
      <c r="G802" s="142" t="s">
        <v>717</v>
      </c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  <c r="BA802" s="10"/>
      <c r="BB802" s="10"/>
      <c r="BC802" s="10"/>
      <c r="BD802" s="10"/>
      <c r="BE802" s="10"/>
      <c r="BF802" s="10"/>
      <c r="BG802" s="10"/>
      <c r="BH802" s="10"/>
      <c r="BI802" s="10"/>
      <c r="BJ802" s="10"/>
      <c r="BK802" s="10"/>
      <c r="BL802" s="10"/>
      <c r="BM802" s="10"/>
      <c r="BN802" s="10"/>
      <c r="BO802" s="10"/>
      <c r="BP802" s="10"/>
      <c r="BQ802" s="10"/>
      <c r="BR802" s="10"/>
      <c r="BS802" s="10"/>
      <c r="BT802" s="10"/>
      <c r="BU802" s="10"/>
      <c r="BV802" s="10"/>
      <c r="BW802" s="10"/>
      <c r="BX802" s="10"/>
      <c r="BY802" s="10"/>
      <c r="BZ802" s="10"/>
      <c r="CA802" s="10"/>
      <c r="CB802" s="10"/>
      <c r="CC802" s="10"/>
      <c r="CD802" s="10"/>
      <c r="CE802" s="10"/>
      <c r="CF802" s="10"/>
      <c r="CG802" s="10"/>
      <c r="CH802" s="10"/>
      <c r="CI802" s="10"/>
      <c r="CJ802" s="10"/>
      <c r="CK802" s="10"/>
      <c r="CL802" s="10"/>
      <c r="CM802" s="10"/>
      <c r="CN802" s="10"/>
      <c r="CO802" s="10"/>
    </row>
    <row r="803" spans="1:93">
      <c r="A803" s="10"/>
      <c r="B803" s="10"/>
      <c r="C803" s="17" t="s">
        <v>713</v>
      </c>
      <c r="D803" s="10"/>
      <c r="E803" s="178">
        <f xml:space="preserve"> Предпосылки!E483</f>
        <v>0.02</v>
      </c>
      <c r="F803" s="3"/>
      <c r="G803" s="142" t="s">
        <v>716</v>
      </c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  <c r="BA803" s="10"/>
      <c r="BB803" s="10"/>
      <c r="BC803" s="10"/>
      <c r="BD803" s="10"/>
      <c r="BE803" s="10"/>
      <c r="BF803" s="10"/>
      <c r="BG803" s="10"/>
      <c r="BH803" s="10"/>
      <c r="BI803" s="10"/>
      <c r="BJ803" s="10"/>
      <c r="BK803" s="10"/>
      <c r="BL803" s="10"/>
      <c r="BM803" s="10"/>
      <c r="BN803" s="10"/>
      <c r="BO803" s="10"/>
      <c r="BP803" s="10"/>
      <c r="BQ803" s="10"/>
      <c r="BR803" s="10"/>
      <c r="BS803" s="10"/>
      <c r="BT803" s="10"/>
      <c r="BU803" s="10"/>
      <c r="BV803" s="10"/>
      <c r="BW803" s="10"/>
      <c r="BX803" s="10"/>
      <c r="BY803" s="10"/>
      <c r="BZ803" s="10"/>
      <c r="CA803" s="10"/>
      <c r="CB803" s="10"/>
      <c r="CC803" s="10"/>
      <c r="CD803" s="10"/>
      <c r="CE803" s="10"/>
      <c r="CF803" s="10"/>
      <c r="CG803" s="10"/>
      <c r="CH803" s="10"/>
      <c r="CI803" s="10"/>
      <c r="CJ803" s="10"/>
      <c r="CK803" s="10"/>
      <c r="CL803" s="10"/>
      <c r="CM803" s="10"/>
      <c r="CN803" s="10"/>
      <c r="CO803" s="10"/>
    </row>
    <row r="804" spans="1:93">
      <c r="A804" s="10"/>
      <c r="B804" s="10"/>
      <c r="C804" s="17" t="s">
        <v>712</v>
      </c>
      <c r="D804" s="10"/>
      <c r="E804" s="178">
        <f xml:space="preserve"> Предпосылки!E484</f>
        <v>6.5000000000000002E-2</v>
      </c>
      <c r="F804" s="3"/>
      <c r="G804" s="142" t="s">
        <v>718</v>
      </c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  <c r="BA804" s="10"/>
      <c r="BB804" s="10"/>
      <c r="BC804" s="10"/>
      <c r="BD804" s="10"/>
      <c r="BE804" s="10"/>
      <c r="BF804" s="10"/>
      <c r="BG804" s="10"/>
      <c r="BH804" s="10"/>
      <c r="BI804" s="10"/>
      <c r="BJ804" s="10"/>
      <c r="BK804" s="10"/>
      <c r="BL804" s="10"/>
      <c r="BM804" s="10"/>
      <c r="BN804" s="10"/>
      <c r="BO804" s="10"/>
      <c r="BP804" s="10"/>
      <c r="BQ804" s="10"/>
      <c r="BR804" s="10"/>
      <c r="BS804" s="10"/>
      <c r="BT804" s="10"/>
      <c r="BU804" s="10"/>
      <c r="BV804" s="10"/>
      <c r="BW804" s="10"/>
      <c r="BX804" s="10"/>
      <c r="BY804" s="10"/>
      <c r="BZ804" s="10"/>
      <c r="CA804" s="10"/>
      <c r="CB804" s="10"/>
      <c r="CC804" s="10"/>
      <c r="CD804" s="10"/>
      <c r="CE804" s="10"/>
      <c r="CF804" s="10"/>
      <c r="CG804" s="10"/>
      <c r="CH804" s="10"/>
      <c r="CI804" s="10"/>
      <c r="CJ804" s="10"/>
      <c r="CK804" s="10"/>
      <c r="CL804" s="10"/>
      <c r="CM804" s="10"/>
      <c r="CN804" s="10"/>
      <c r="CO804" s="10"/>
    </row>
    <row r="805" spans="1:93">
      <c r="A805" s="10"/>
      <c r="B805" s="10"/>
      <c r="C805" s="17" t="s">
        <v>1157</v>
      </c>
      <c r="D805" s="10"/>
      <c r="E805" s="184">
        <f>Предпосылки!E485</f>
        <v>0</v>
      </c>
      <c r="F805" s="10"/>
      <c r="G805" s="142" t="s">
        <v>887</v>
      </c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  <c r="BA805" s="10"/>
      <c r="BB805" s="10"/>
      <c r="BC805" s="10"/>
      <c r="BD805" s="10"/>
      <c r="BE805" s="10"/>
      <c r="BF805" s="10"/>
      <c r="BG805" s="10"/>
      <c r="BH805" s="10"/>
      <c r="BI805" s="10"/>
      <c r="BJ805" s="10"/>
      <c r="BK805" s="10"/>
      <c r="BL805" s="10"/>
      <c r="BM805" s="10"/>
      <c r="BN805" s="10"/>
      <c r="BO805" s="10"/>
      <c r="BP805" s="10"/>
      <c r="BQ805" s="10"/>
      <c r="BR805" s="10"/>
      <c r="BS805" s="10"/>
      <c r="BT805" s="10"/>
      <c r="BU805" s="10"/>
      <c r="BV805" s="10"/>
      <c r="BW805" s="10"/>
      <c r="BX805" s="10"/>
      <c r="BY805" s="10"/>
      <c r="BZ805" s="10"/>
      <c r="CA805" s="10"/>
      <c r="CB805" s="10"/>
      <c r="CC805" s="10"/>
      <c r="CD805" s="10"/>
      <c r="CE805" s="10"/>
      <c r="CF805" s="10"/>
      <c r="CG805" s="10"/>
      <c r="CH805" s="10"/>
      <c r="CI805" s="10"/>
      <c r="CJ805" s="10"/>
      <c r="CK805" s="10"/>
      <c r="CL805" s="10"/>
      <c r="CM805" s="10"/>
      <c r="CN805" s="10"/>
      <c r="CO805" s="10"/>
    </row>
    <row r="806" spans="1:93"/>
    <row r="807" spans="1:93" ht="16.5" thickBot="1">
      <c r="C807" s="12" t="s">
        <v>737</v>
      </c>
      <c r="D807" s="12"/>
      <c r="E807" s="12"/>
      <c r="F807" s="12"/>
      <c r="G807" s="360"/>
      <c r="H807" s="12"/>
      <c r="I807" s="12"/>
    </row>
    <row r="808" spans="1:93"/>
    <row r="809" spans="1:93">
      <c r="C809" s="17" t="s">
        <v>1113</v>
      </c>
      <c r="G809" s="11" t="str">
        <f>Monetary_Unit</f>
        <v>тыс. руб.</v>
      </c>
      <c r="H809" s="10"/>
      <c r="I809" s="23">
        <f ca="1">SUM(L809:CO809)</f>
        <v>31018871.259028848</v>
      </c>
      <c r="L809" s="450">
        <f t="shared" ref="L809:AQ809" ca="1" si="951" xml:space="preserve"> L630 - L609 * $I$514</f>
        <v>0</v>
      </c>
      <c r="M809" s="450">
        <f t="shared" ca="1" si="951"/>
        <v>0</v>
      </c>
      <c r="N809" s="450">
        <f t="shared" ca="1" si="951"/>
        <v>0</v>
      </c>
      <c r="O809" s="450">
        <f t="shared" ca="1" si="951"/>
        <v>0</v>
      </c>
      <c r="P809" s="450">
        <f t="shared" ca="1" si="951"/>
        <v>0</v>
      </c>
      <c r="Q809" s="450">
        <f t="shared" ca="1" si="951"/>
        <v>0</v>
      </c>
      <c r="R809" s="450">
        <f t="shared" ca="1" si="951"/>
        <v>0</v>
      </c>
      <c r="S809" s="450">
        <f t="shared" ca="1" si="951"/>
        <v>0</v>
      </c>
      <c r="T809" s="450">
        <f t="shared" ca="1" si="951"/>
        <v>0</v>
      </c>
      <c r="U809" s="450">
        <f t="shared" ca="1" si="951"/>
        <v>0</v>
      </c>
      <c r="V809" s="450">
        <f t="shared" ca="1" si="951"/>
        <v>0</v>
      </c>
      <c r="W809" s="450">
        <f t="shared" ca="1" si="951"/>
        <v>0</v>
      </c>
      <c r="X809" s="450">
        <f t="shared" ca="1" si="951"/>
        <v>0</v>
      </c>
      <c r="Y809" s="450">
        <f t="shared" ca="1" si="951"/>
        <v>0</v>
      </c>
      <c r="Z809" s="450">
        <f t="shared" ca="1" si="951"/>
        <v>0</v>
      </c>
      <c r="AA809" s="450">
        <f t="shared" ca="1" si="951"/>
        <v>0</v>
      </c>
      <c r="AB809" s="450">
        <f t="shared" ca="1" si="951"/>
        <v>0</v>
      </c>
      <c r="AC809" s="450">
        <f t="shared" ca="1" si="951"/>
        <v>254228.23759307669</v>
      </c>
      <c r="AD809" s="450">
        <f t="shared" ca="1" si="951"/>
        <v>480006.25833607302</v>
      </c>
      <c r="AE809" s="450">
        <f t="shared" ca="1" si="951"/>
        <v>180947.42470706202</v>
      </c>
      <c r="AF809" s="450">
        <f t="shared" ca="1" si="951"/>
        <v>164409.47849182296</v>
      </c>
      <c r="AG809" s="450">
        <f t="shared" ca="1" si="951"/>
        <v>296549.39260178094</v>
      </c>
      <c r="AH809" s="450">
        <f t="shared" ca="1" si="951"/>
        <v>558121.39991282567</v>
      </c>
      <c r="AI809" s="450">
        <f t="shared" ca="1" si="951"/>
        <v>209757.9189452618</v>
      </c>
      <c r="AJ809" s="450">
        <f t="shared" ca="1" si="951"/>
        <v>190040.70925271197</v>
      </c>
      <c r="AK809" s="450">
        <f t="shared" ca="1" si="951"/>
        <v>341849.47483103268</v>
      </c>
      <c r="AL809" s="450">
        <f t="shared" ca="1" si="951"/>
        <v>641717.74280238082</v>
      </c>
      <c r="AM809" s="450">
        <f t="shared" ca="1" si="951"/>
        <v>240583.73684298625</v>
      </c>
      <c r="AN809" s="450">
        <f t="shared" ca="1" si="951"/>
        <v>219875.59867898386</v>
      </c>
      <c r="AO809" s="450">
        <f t="shared" ca="1" si="951"/>
        <v>390299.08461046155</v>
      </c>
      <c r="AP809" s="450">
        <f t="shared" ca="1" si="951"/>
        <v>715178.21229104861</v>
      </c>
      <c r="AQ809" s="450">
        <f t="shared" ca="1" si="951"/>
        <v>261873.54690946089</v>
      </c>
      <c r="AR809" s="450">
        <f t="shared" ref="AR809:BW809" ca="1" si="952" xml:space="preserve"> AR630 - AR609 * $I$514</f>
        <v>231310.19051961729</v>
      </c>
      <c r="AS809" s="450">
        <f t="shared" ca="1" si="952"/>
        <v>405911.04799487995</v>
      </c>
      <c r="AT809" s="450">
        <f t="shared" ca="1" si="952"/>
        <v>743785.34078269056</v>
      </c>
      <c r="AU809" s="450">
        <f t="shared" ca="1" si="952"/>
        <v>272348.48878583929</v>
      </c>
      <c r="AV809" s="450">
        <f t="shared" ca="1" si="952"/>
        <v>240562.59814040194</v>
      </c>
      <c r="AW809" s="450">
        <f t="shared" ca="1" si="952"/>
        <v>422147.48991467513</v>
      </c>
      <c r="AX809" s="450">
        <f t="shared" ca="1" si="952"/>
        <v>773536.7544139981</v>
      </c>
      <c r="AY809" s="450">
        <f t="shared" ca="1" si="952"/>
        <v>283242.42833727284</v>
      </c>
      <c r="AZ809" s="450">
        <f t="shared" ca="1" si="952"/>
        <v>250185.10206601798</v>
      </c>
      <c r="BA809" s="450">
        <f t="shared" ca="1" si="952"/>
        <v>439033.38951126201</v>
      </c>
      <c r="BB809" s="450">
        <f t="shared" ca="1" si="952"/>
        <v>804478.22459055774</v>
      </c>
      <c r="BC809" s="450">
        <f t="shared" ca="1" si="952"/>
        <v>294572.12547076365</v>
      </c>
      <c r="BD809" s="450">
        <f t="shared" ca="1" si="952"/>
        <v>263083.53399475489</v>
      </c>
      <c r="BE809" s="450">
        <f t="shared" ca="1" si="952"/>
        <v>456594.72509171249</v>
      </c>
      <c r="BF809" s="450">
        <f t="shared" ca="1" si="952"/>
        <v>836657.35357417993</v>
      </c>
      <c r="BG809" s="450">
        <f t="shared" ca="1" si="952"/>
        <v>306355.01048959419</v>
      </c>
      <c r="BH809" s="450">
        <f t="shared" ca="1" si="952"/>
        <v>270600.20639460499</v>
      </c>
      <c r="BI809" s="450">
        <f t="shared" ca="1" si="952"/>
        <v>474858.51409538084</v>
      </c>
      <c r="BJ809" s="450">
        <f t="shared" ca="1" si="952"/>
        <v>870123.6477171469</v>
      </c>
      <c r="BK809" s="450">
        <f t="shared" ca="1" si="952"/>
        <v>318609.21090917796</v>
      </c>
      <c r="BL809" s="450">
        <f t="shared" ca="1" si="952"/>
        <v>281424.21465038921</v>
      </c>
      <c r="BM809" s="450">
        <f t="shared" ca="1" si="952"/>
        <v>493852.85465919605</v>
      </c>
      <c r="BN809" s="450">
        <f t="shared" ca="1" si="952"/>
        <v>904928.59362583258</v>
      </c>
      <c r="BO809" s="450">
        <f t="shared" ca="1" si="952"/>
        <v>331353.57934554503</v>
      </c>
      <c r="BP809" s="450">
        <f t="shared" ca="1" si="952"/>
        <v>292681.18323640467</v>
      </c>
      <c r="BQ809" s="450">
        <f t="shared" ca="1" si="952"/>
        <v>513606.96884556377</v>
      </c>
      <c r="BR809" s="450">
        <f t="shared" ca="1" si="952"/>
        <v>941125.73737086589</v>
      </c>
      <c r="BS809" s="450">
        <f t="shared" ca="1" si="952"/>
        <v>344607.72251936671</v>
      </c>
      <c r="BT809" s="450">
        <f t="shared" ca="1" si="952"/>
        <v>307770.52423881477</v>
      </c>
      <c r="BU809" s="450">
        <f t="shared" ca="1" si="952"/>
        <v>534151.24759938626</v>
      </c>
      <c r="BV809" s="450">
        <f t="shared" ca="1" si="952"/>
        <v>978770.76686570025</v>
      </c>
      <c r="BW809" s="450">
        <f t="shared" ca="1" si="952"/>
        <v>358392.03142014134</v>
      </c>
      <c r="BX809" s="450">
        <f t="shared" ref="BX809:CO809" ca="1" si="953" xml:space="preserve"> BX630 - BX609 * $I$514</f>
        <v>316563.96778849518</v>
      </c>
      <c r="BY809" s="450">
        <f t="shared" ca="1" si="953"/>
        <v>555517.29750336171</v>
      </c>
      <c r="BZ809" s="450">
        <f t="shared" ca="1" si="953"/>
        <v>1017921.5975403283</v>
      </c>
      <c r="CA809" s="450">
        <f t="shared" ca="1" si="953"/>
        <v>372727.71267694695</v>
      </c>
      <c r="CB809" s="450">
        <f t="shared" ca="1" si="953"/>
        <v>329226.52650003496</v>
      </c>
      <c r="CC809" s="450">
        <f t="shared" ca="1" si="953"/>
        <v>577737.98940349603</v>
      </c>
      <c r="CD809" s="450">
        <f t="shared" ca="1" si="953"/>
        <v>1058638.4614419413</v>
      </c>
      <c r="CE809" s="450">
        <f t="shared" ca="1" si="953"/>
        <v>387636.8211840248</v>
      </c>
      <c r="CF809" s="450">
        <f t="shared" ca="1" si="953"/>
        <v>342395.58756003634</v>
      </c>
      <c r="CG809" s="450">
        <f t="shared" ca="1" si="953"/>
        <v>600847.50897963578</v>
      </c>
      <c r="CH809" s="450">
        <f t="shared" ca="1" si="953"/>
        <v>1100983.9998996188</v>
      </c>
      <c r="CI809" s="450">
        <f t="shared" ca="1" si="953"/>
        <v>403142.2940313858</v>
      </c>
      <c r="CJ809" s="450">
        <f t="shared" ca="1" si="953"/>
        <v>360047.98229646485</v>
      </c>
      <c r="CK809" s="450">
        <f t="shared" ca="1" si="953"/>
        <v>624881.40933882119</v>
      </c>
      <c r="CL809" s="450">
        <f t="shared" ca="1" si="953"/>
        <v>1145023.3598956035</v>
      </c>
      <c r="CM809" s="450">
        <f t="shared" ca="1" si="953"/>
        <v>419267.98579264118</v>
      </c>
      <c r="CN809" s="450">
        <f t="shared" ca="1" si="953"/>
        <v>370335.06750493526</v>
      </c>
      <c r="CO809" s="450">
        <f t="shared" ca="1" si="953"/>
        <v>649876.66571237403</v>
      </c>
    </row>
    <row r="810" spans="1:93">
      <c r="C810" s="17" t="s">
        <v>1111</v>
      </c>
      <c r="G810" s="11" t="str">
        <f>Monetary_Unit</f>
        <v>тыс. руб.</v>
      </c>
      <c r="H810" s="10"/>
      <c r="I810" s="23">
        <f ca="1">SUM(L810:CO810)</f>
        <v>20489933.304055765</v>
      </c>
      <c r="L810" s="450">
        <f t="shared" ref="L810:AQ810" ca="1" si="954" xml:space="preserve"> L627 - L609 * $I$514</f>
        <v>0</v>
      </c>
      <c r="M810" s="450">
        <f t="shared" ca="1" si="954"/>
        <v>0</v>
      </c>
      <c r="N810" s="450">
        <f t="shared" ca="1" si="954"/>
        <v>0</v>
      </c>
      <c r="O810" s="450">
        <f t="shared" ca="1" si="954"/>
        <v>0</v>
      </c>
      <c r="P810" s="450">
        <f t="shared" ca="1" si="954"/>
        <v>0</v>
      </c>
      <c r="Q810" s="450">
        <f t="shared" ca="1" si="954"/>
        <v>0</v>
      </c>
      <c r="R810" s="450">
        <f t="shared" ca="1" si="954"/>
        <v>0</v>
      </c>
      <c r="S810" s="450">
        <f t="shared" ca="1" si="954"/>
        <v>0</v>
      </c>
      <c r="T810" s="450">
        <f t="shared" ca="1" si="954"/>
        <v>0</v>
      </c>
      <c r="U810" s="450">
        <f t="shared" ca="1" si="954"/>
        <v>0</v>
      </c>
      <c r="V810" s="450">
        <f t="shared" ca="1" si="954"/>
        <v>0</v>
      </c>
      <c r="W810" s="450">
        <f t="shared" ca="1" si="954"/>
        <v>0</v>
      </c>
      <c r="X810" s="450">
        <f t="shared" ca="1" si="954"/>
        <v>0</v>
      </c>
      <c r="Y810" s="450">
        <f t="shared" ca="1" si="954"/>
        <v>0</v>
      </c>
      <c r="Z810" s="450">
        <f t="shared" ca="1" si="954"/>
        <v>0</v>
      </c>
      <c r="AA810" s="450">
        <f t="shared" ca="1" si="954"/>
        <v>0</v>
      </c>
      <c r="AB810" s="450">
        <f t="shared" ca="1" si="954"/>
        <v>0</v>
      </c>
      <c r="AC810" s="450">
        <f t="shared" ca="1" si="954"/>
        <v>164545.5185435958</v>
      </c>
      <c r="AD810" s="450">
        <f t="shared" ca="1" si="954"/>
        <v>338057.79545472539</v>
      </c>
      <c r="AE810" s="450">
        <f t="shared" ca="1" si="954"/>
        <v>111597.53426974698</v>
      </c>
      <c r="AF810" s="450">
        <f t="shared" ca="1" si="954"/>
        <v>98668.210048195804</v>
      </c>
      <c r="AG810" s="450">
        <f t="shared" ca="1" si="954"/>
        <v>191937.26881571734</v>
      </c>
      <c r="AH810" s="450">
        <f t="shared" ca="1" si="954"/>
        <v>393072.56264674349</v>
      </c>
      <c r="AI810" s="450">
        <f t="shared" ca="1" si="954"/>
        <v>129366.12159991174</v>
      </c>
      <c r="AJ810" s="450">
        <f t="shared" ca="1" si="954"/>
        <v>114050.45980476905</v>
      </c>
      <c r="AK810" s="450">
        <f t="shared" ca="1" si="954"/>
        <v>221257.0862799389</v>
      </c>
      <c r="AL810" s="450">
        <f t="shared" ca="1" si="954"/>
        <v>451947.61874139553</v>
      </c>
      <c r="AM810" s="450">
        <f t="shared" ca="1" si="954"/>
        <v>148377.63986165813</v>
      </c>
      <c r="AN810" s="450">
        <f t="shared" ca="1" si="954"/>
        <v>131955.48063252197</v>
      </c>
      <c r="AO810" s="450">
        <f t="shared" ca="1" si="954"/>
        <v>252615.38951119297</v>
      </c>
      <c r="AP810" s="450">
        <f t="shared" ca="1" si="954"/>
        <v>503684.20329030126</v>
      </c>
      <c r="AQ810" s="450">
        <f t="shared" ca="1" si="954"/>
        <v>161507.91962295433</v>
      </c>
      <c r="AR810" s="450">
        <f t="shared" ref="AR810:BW810" ca="1" si="955" xml:space="preserve"> AR627 - AR609 * $I$514</f>
        <v>138817.80219631869</v>
      </c>
      <c r="AS810" s="450">
        <f t="shared" ca="1" si="955"/>
        <v>262720.00509164063</v>
      </c>
      <c r="AT810" s="450">
        <f t="shared" ca="1" si="955"/>
        <v>523831.57142191328</v>
      </c>
      <c r="AU810" s="450">
        <f t="shared" ca="1" si="955"/>
        <v>167968.23640787249</v>
      </c>
      <c r="AV810" s="450">
        <f t="shared" ca="1" si="955"/>
        <v>144370.5142841714</v>
      </c>
      <c r="AW810" s="450">
        <f t="shared" ca="1" si="955"/>
        <v>273228.80529530626</v>
      </c>
      <c r="AX810" s="450">
        <f t="shared" ca="1" si="955"/>
        <v>544784.83427878981</v>
      </c>
      <c r="AY810" s="450">
        <f t="shared" ca="1" si="955"/>
        <v>174686.96586418737</v>
      </c>
      <c r="AZ810" s="450">
        <f t="shared" ca="1" si="955"/>
        <v>150145.33485553824</v>
      </c>
      <c r="BA810" s="450">
        <f t="shared" ca="1" si="955"/>
        <v>284157.95750711841</v>
      </c>
      <c r="BB810" s="450">
        <f t="shared" ca="1" si="955"/>
        <v>566576.22764994123</v>
      </c>
      <c r="BC810" s="450">
        <f t="shared" ca="1" si="955"/>
        <v>181674.44449875483</v>
      </c>
      <c r="BD810" s="450">
        <f t="shared" ca="1" si="955"/>
        <v>157886.16100809045</v>
      </c>
      <c r="BE810" s="450">
        <f t="shared" ca="1" si="955"/>
        <v>295524.27580740314</v>
      </c>
      <c r="BF810" s="450">
        <f t="shared" ca="1" si="955"/>
        <v>589239.27675593877</v>
      </c>
      <c r="BG810" s="450">
        <f t="shared" ca="1" si="955"/>
        <v>188941.42227870499</v>
      </c>
      <c r="BH810" s="450">
        <f t="shared" ca="1" si="955"/>
        <v>162397.19417975011</v>
      </c>
      <c r="BI810" s="450">
        <f t="shared" ca="1" si="955"/>
        <v>307345.24683969916</v>
      </c>
      <c r="BJ810" s="450">
        <f t="shared" ca="1" si="955"/>
        <v>612808.84782617621</v>
      </c>
      <c r="BK810" s="450">
        <f t="shared" ca="1" si="955"/>
        <v>196499.07916985318</v>
      </c>
      <c r="BL810" s="450">
        <f t="shared" ca="1" si="955"/>
        <v>168893.08194694016</v>
      </c>
      <c r="BM810" s="450">
        <f t="shared" ca="1" si="955"/>
        <v>319639.05671328714</v>
      </c>
      <c r="BN810" s="450">
        <f t="shared" ca="1" si="955"/>
        <v>637321.20173922309</v>
      </c>
      <c r="BO810" s="450">
        <f t="shared" ca="1" si="955"/>
        <v>204359.04233664728</v>
      </c>
      <c r="BP810" s="450">
        <f t="shared" ca="1" si="955"/>
        <v>175648.80522481768</v>
      </c>
      <c r="BQ810" s="450">
        <f t="shared" ca="1" si="955"/>
        <v>332424.61898181855</v>
      </c>
      <c r="BR810" s="450">
        <f t="shared" ca="1" si="955"/>
        <v>662814.04980879207</v>
      </c>
      <c r="BS810" s="450">
        <f t="shared" ca="1" si="955"/>
        <v>212533.4040301131</v>
      </c>
      <c r="BT810" s="450">
        <f t="shared" ca="1" si="955"/>
        <v>184704.47696085268</v>
      </c>
      <c r="BU810" s="450">
        <f t="shared" ca="1" si="955"/>
        <v>345721.60374109127</v>
      </c>
      <c r="BV810" s="450">
        <f t="shared" ca="1" si="955"/>
        <v>689326.6118011435</v>
      </c>
      <c r="BW810" s="450">
        <f t="shared" ca="1" si="955"/>
        <v>221034.7401913176</v>
      </c>
      <c r="BX810" s="450">
        <f t="shared" ref="BX810:CO810" ca="1" si="956" xml:space="preserve"> BX627 - BX609 * $I$514</f>
        <v>189981.74773116276</v>
      </c>
      <c r="BY810" s="450">
        <f t="shared" ca="1" si="956"/>
        <v>359550.46789073484</v>
      </c>
      <c r="BZ810" s="450">
        <f t="shared" ca="1" si="956"/>
        <v>716899.67627318925</v>
      </c>
      <c r="CA810" s="450">
        <f t="shared" ca="1" si="956"/>
        <v>229876.12979897027</v>
      </c>
      <c r="CB810" s="450">
        <f t="shared" ca="1" si="956"/>
        <v>197581.01764040926</v>
      </c>
      <c r="CC810" s="450">
        <f t="shared" ca="1" si="956"/>
        <v>373932.4866063642</v>
      </c>
      <c r="CD810" s="450">
        <f t="shared" ca="1" si="956"/>
        <v>745575.66332411673</v>
      </c>
      <c r="CE810" s="450">
        <f t="shared" ca="1" si="956"/>
        <v>239071.17499092908</v>
      </c>
      <c r="CF810" s="450">
        <f t="shared" ca="1" si="956"/>
        <v>205484.2583460256</v>
      </c>
      <c r="CG810" s="450">
        <f t="shared" ca="1" si="956"/>
        <v>388889.78607061872</v>
      </c>
      <c r="CH810" s="450">
        <f t="shared" ca="1" si="956"/>
        <v>775398.68985708139</v>
      </c>
      <c r="CI810" s="450">
        <f t="shared" ca="1" si="956"/>
        <v>248634.02199056625</v>
      </c>
      <c r="CJ810" s="450">
        <f t="shared" ca="1" si="956"/>
        <v>216078.11344297626</v>
      </c>
      <c r="CK810" s="450">
        <f t="shared" ca="1" si="956"/>
        <v>404445.37751344353</v>
      </c>
      <c r="CL810" s="450">
        <f t="shared" ca="1" si="956"/>
        <v>806414.63745136454</v>
      </c>
      <c r="CM810" s="450">
        <f t="shared" ca="1" si="956"/>
        <v>258579.38287018886</v>
      </c>
      <c r="CN810" s="450">
        <f t="shared" ca="1" si="956"/>
        <v>222251.77382706126</v>
      </c>
      <c r="CO810" s="450">
        <f t="shared" ca="1" si="956"/>
        <v>420623.1926139812</v>
      </c>
    </row>
    <row r="811" spans="1:93">
      <c r="C811" s="17" t="s">
        <v>1114</v>
      </c>
      <c r="G811" s="11" t="str">
        <f>Monetary_Unit</f>
        <v>тыс. руб.</v>
      </c>
      <c r="H811" s="10"/>
      <c r="I811" s="23">
        <f ca="1">SUM(L811:CO811)</f>
        <v>15242256.713032197</v>
      </c>
      <c r="L811" s="450">
        <f ca="1" xml:space="preserve"> L809 - L777 - L796</f>
        <v>0</v>
      </c>
      <c r="M811" s="450">
        <f t="shared" ref="M811:BX811" ca="1" si="957" xml:space="preserve"> M809 - M777 - M796</f>
        <v>0</v>
      </c>
      <c r="N811" s="450">
        <f t="shared" ca="1" si="957"/>
        <v>0</v>
      </c>
      <c r="O811" s="450">
        <f t="shared" ca="1" si="957"/>
        <v>0</v>
      </c>
      <c r="P811" s="450">
        <f t="shared" ca="1" si="957"/>
        <v>0</v>
      </c>
      <c r="Q811" s="450">
        <f t="shared" ca="1" si="957"/>
        <v>0</v>
      </c>
      <c r="R811" s="450">
        <f t="shared" ca="1" si="957"/>
        <v>0</v>
      </c>
      <c r="S811" s="450">
        <f t="shared" ca="1" si="957"/>
        <v>0</v>
      </c>
      <c r="T811" s="450">
        <f t="shared" ca="1" si="957"/>
        <v>0</v>
      </c>
      <c r="U811" s="450">
        <f t="shared" ca="1" si="957"/>
        <v>0</v>
      </c>
      <c r="V811" s="450">
        <f t="shared" ca="1" si="957"/>
        <v>0</v>
      </c>
      <c r="W811" s="450">
        <f t="shared" ca="1" si="957"/>
        <v>0</v>
      </c>
      <c r="X811" s="450">
        <f t="shared" ca="1" si="957"/>
        <v>0</v>
      </c>
      <c r="Y811" s="450">
        <f t="shared" ca="1" si="957"/>
        <v>0</v>
      </c>
      <c r="Z811" s="450">
        <f t="shared" ca="1" si="957"/>
        <v>0</v>
      </c>
      <c r="AA811" s="450">
        <f t="shared" ca="1" si="957"/>
        <v>0</v>
      </c>
      <c r="AB811" s="450">
        <f t="shared" ca="1" si="957"/>
        <v>0</v>
      </c>
      <c r="AC811" s="450">
        <f t="shared" ca="1" si="957"/>
        <v>123364.48427580856</v>
      </c>
      <c r="AD811" s="450">
        <f t="shared" ca="1" si="957"/>
        <v>245528.37492690835</v>
      </c>
      <c r="AE811" s="450">
        <f t="shared" ca="1" si="957"/>
        <v>85264.635033874016</v>
      </c>
      <c r="AF811" s="450">
        <f t="shared" ca="1" si="957"/>
        <v>76215.113865542706</v>
      </c>
      <c r="AG811" s="450">
        <f t="shared" ca="1" si="957"/>
        <v>143900.86336191974</v>
      </c>
      <c r="AH811" s="450">
        <f t="shared" ca="1" si="957"/>
        <v>285485.11181407009</v>
      </c>
      <c r="AI811" s="450">
        <f t="shared" ca="1" si="957"/>
        <v>98840.49155873213</v>
      </c>
      <c r="AJ811" s="450">
        <f t="shared" ca="1" si="957"/>
        <v>88096.954188102449</v>
      </c>
      <c r="AK811" s="450">
        <f t="shared" ca="1" si="957"/>
        <v>165882.76960007846</v>
      </c>
      <c r="AL811" s="450">
        <f t="shared" ca="1" si="957"/>
        <v>328245.54225232179</v>
      </c>
      <c r="AM811" s="450">
        <f t="shared" ca="1" si="957"/>
        <v>113365.99318952463</v>
      </c>
      <c r="AN811" s="450">
        <f t="shared" ca="1" si="957"/>
        <v>101927.47974932959</v>
      </c>
      <c r="AO811" s="450">
        <f t="shared" ca="1" si="957"/>
        <v>189392.98695591078</v>
      </c>
      <c r="AP811" s="450">
        <f t="shared" ca="1" si="957"/>
        <v>365821.36419565172</v>
      </c>
      <c r="AQ811" s="450">
        <f t="shared" ca="1" si="957"/>
        <v>123398.01154069604</v>
      </c>
      <c r="AR811" s="450">
        <f t="shared" ca="1" si="957"/>
        <v>107228.20040810366</v>
      </c>
      <c r="AS811" s="450">
        <f t="shared" ca="1" si="957"/>
        <v>196968.70643414714</v>
      </c>
      <c r="AT811" s="450">
        <f t="shared" ca="1" si="957"/>
        <v>380454.21876347775</v>
      </c>
      <c r="AU811" s="450">
        <f t="shared" ca="1" si="957"/>
        <v>128333.93200232388</v>
      </c>
      <c r="AV811" s="450">
        <f t="shared" ca="1" si="957"/>
        <v>111517.32842442782</v>
      </c>
      <c r="AW811" s="450">
        <f t="shared" ca="1" si="957"/>
        <v>204847.45469151309</v>
      </c>
      <c r="AX811" s="450">
        <f t="shared" ca="1" si="957"/>
        <v>395672.38751401688</v>
      </c>
      <c r="AY811" s="450">
        <f t="shared" ca="1" si="957"/>
        <v>133467.28928241684</v>
      </c>
      <c r="AZ811" s="450">
        <f t="shared" ca="1" si="957"/>
        <v>115978.02156140492</v>
      </c>
      <c r="BA811" s="450">
        <f t="shared" ca="1" si="957"/>
        <v>213041.3528791735</v>
      </c>
      <c r="BB811" s="450">
        <f t="shared" ca="1" si="957"/>
        <v>411499.28301457752</v>
      </c>
      <c r="BC811" s="450">
        <f t="shared" ca="1" si="957"/>
        <v>138805.98085371344</v>
      </c>
      <c r="BD811" s="450">
        <f t="shared" ca="1" si="957"/>
        <v>121957.33289523737</v>
      </c>
      <c r="BE811" s="450">
        <f t="shared" ca="1" si="957"/>
        <v>221563.00699434048</v>
      </c>
      <c r="BF811" s="450">
        <f t="shared" ca="1" si="957"/>
        <v>427959.25433516031</v>
      </c>
      <c r="BG811" s="450">
        <f t="shared" ca="1" si="957"/>
        <v>144358.22008786202</v>
      </c>
      <c r="BH811" s="450">
        <f t="shared" ca="1" si="957"/>
        <v>125441.82812081551</v>
      </c>
      <c r="BI811" s="450">
        <f t="shared" ca="1" si="957"/>
        <v>230425.52727411402</v>
      </c>
      <c r="BJ811" s="450">
        <f t="shared" ca="1" si="957"/>
        <v>445077.62450856675</v>
      </c>
      <c r="BK811" s="450">
        <f t="shared" ca="1" si="957"/>
        <v>150132.54889137647</v>
      </c>
      <c r="BL811" s="450">
        <f t="shared" ca="1" si="957"/>
        <v>130459.50124564816</v>
      </c>
      <c r="BM811" s="450">
        <f t="shared" ca="1" si="957"/>
        <v>239642.54836507852</v>
      </c>
      <c r="BN811" s="450">
        <f t="shared" ca="1" si="957"/>
        <v>462880.72948890924</v>
      </c>
      <c r="BO811" s="450">
        <f t="shared" ca="1" si="957"/>
        <v>156137.85084703157</v>
      </c>
      <c r="BP811" s="450">
        <f t="shared" ca="1" si="957"/>
        <v>135677.88129547404</v>
      </c>
      <c r="BQ811" s="450">
        <f t="shared" ca="1" si="957"/>
        <v>249228.25029968165</v>
      </c>
      <c r="BR811" s="450">
        <f t="shared" ca="1" si="957"/>
        <v>481395.95866846573</v>
      </c>
      <c r="BS811" s="450">
        <f t="shared" ca="1" si="957"/>
        <v>162383.3648809127</v>
      </c>
      <c r="BT811" s="450">
        <f t="shared" ca="1" si="957"/>
        <v>142672.82984226284</v>
      </c>
      <c r="BU811" s="450">
        <f t="shared" ca="1" si="957"/>
        <v>259197.38031166885</v>
      </c>
      <c r="BV811" s="450">
        <f t="shared" ca="1" si="957"/>
        <v>500651.79701520415</v>
      </c>
      <c r="BW811" s="450">
        <f t="shared" ca="1" si="957"/>
        <v>168878.69947614922</v>
      </c>
      <c r="BX811" s="450">
        <f t="shared" ca="1" si="957"/>
        <v>146749.19640918463</v>
      </c>
      <c r="BY811" s="450">
        <f t="shared" ref="BY811:CO811" ca="1" si="958" xml:space="preserve"> BY809 - BY777 - BY796</f>
        <v>269565.27552413568</v>
      </c>
      <c r="BZ811" s="450">
        <f t="shared" ca="1" si="958"/>
        <v>520677.86889581231</v>
      </c>
      <c r="CA811" s="450">
        <f t="shared" ca="1" si="958"/>
        <v>175633.84745519518</v>
      </c>
      <c r="CB811" s="450">
        <f t="shared" ca="1" si="958"/>
        <v>152619.16426555201</v>
      </c>
      <c r="CC811" s="450">
        <f t="shared" ca="1" si="958"/>
        <v>280347.88654510095</v>
      </c>
      <c r="CD811" s="450">
        <f t="shared" ca="1" si="958"/>
        <v>541504.98365164478</v>
      </c>
      <c r="CE811" s="450">
        <f t="shared" ca="1" si="958"/>
        <v>182659.2013534029</v>
      </c>
      <c r="CF811" s="450">
        <f t="shared" ca="1" si="958"/>
        <v>158723.93083617414</v>
      </c>
      <c r="CG811" s="450">
        <f t="shared" ca="1" si="958"/>
        <v>291561.80200690491</v>
      </c>
      <c r="CH811" s="450">
        <f t="shared" ca="1" si="958"/>
        <v>563165.1829977103</v>
      </c>
      <c r="CI811" s="450">
        <f t="shared" ca="1" si="958"/>
        <v>189965.56940753901</v>
      </c>
      <c r="CJ811" s="450">
        <f t="shared" ca="1" si="958"/>
        <v>166907.03127039457</v>
      </c>
      <c r="CK811" s="450">
        <f t="shared" ca="1" si="958"/>
        <v>303224.27408718108</v>
      </c>
      <c r="CL811" s="450">
        <f t="shared" ca="1" si="958"/>
        <v>585691.79031761875</v>
      </c>
      <c r="CM811" s="450">
        <f t="shared" ca="1" si="958"/>
        <v>197564.19218384064</v>
      </c>
      <c r="CN811" s="450">
        <f t="shared" ca="1" si="958"/>
        <v>171675.80359240595</v>
      </c>
      <c r="CO811" s="450">
        <f t="shared" ca="1" si="958"/>
        <v>315353.24505066848</v>
      </c>
    </row>
    <row r="812" spans="1:93"/>
    <row r="813" spans="1:93">
      <c r="C813" s="17" t="s">
        <v>709</v>
      </c>
      <c r="E813" s="240">
        <f xml:space="preserve"> E800</f>
        <v>1.4999999999999999E-2</v>
      </c>
      <c r="G813" s="242" t="str">
        <f t="shared" ref="G813:G819" si="959">Monetary_Unit</f>
        <v>тыс. руб.</v>
      </c>
      <c r="I813" s="23">
        <f t="shared" ref="I813:I819" ca="1" si="960">SUM(L813:CO813)</f>
        <v>465283.06888543273</v>
      </c>
      <c r="L813" s="10">
        <f ca="1" xml:space="preserve"> L$809 * $E813 * $I$698</f>
        <v>0</v>
      </c>
      <c r="M813" s="10">
        <f t="shared" ref="M813:BX814" ca="1" si="961" xml:space="preserve"> M$809 * $E813 * $I$698</f>
        <v>0</v>
      </c>
      <c r="N813" s="10">
        <f t="shared" ca="1" si="961"/>
        <v>0</v>
      </c>
      <c r="O813" s="10">
        <f t="shared" ca="1" si="961"/>
        <v>0</v>
      </c>
      <c r="P813" s="10">
        <f t="shared" ca="1" si="961"/>
        <v>0</v>
      </c>
      <c r="Q813" s="10">
        <f t="shared" ca="1" si="961"/>
        <v>0</v>
      </c>
      <c r="R813" s="10">
        <f t="shared" ca="1" si="961"/>
        <v>0</v>
      </c>
      <c r="S813" s="10">
        <f t="shared" ca="1" si="961"/>
        <v>0</v>
      </c>
      <c r="T813" s="10">
        <f t="shared" ca="1" si="961"/>
        <v>0</v>
      </c>
      <c r="U813" s="10">
        <f t="shared" ca="1" si="961"/>
        <v>0</v>
      </c>
      <c r="V813" s="10">
        <f t="shared" ca="1" si="961"/>
        <v>0</v>
      </c>
      <c r="W813" s="10">
        <f t="shared" ca="1" si="961"/>
        <v>0</v>
      </c>
      <c r="X813" s="10">
        <f t="shared" ca="1" si="961"/>
        <v>0</v>
      </c>
      <c r="Y813" s="10">
        <f t="shared" ca="1" si="961"/>
        <v>0</v>
      </c>
      <c r="Z813" s="10">
        <f t="shared" ca="1" si="961"/>
        <v>0</v>
      </c>
      <c r="AA813" s="10">
        <f t="shared" ca="1" si="961"/>
        <v>0</v>
      </c>
      <c r="AB813" s="10">
        <f t="shared" ca="1" si="961"/>
        <v>0</v>
      </c>
      <c r="AC813" s="10">
        <f t="shared" ca="1" si="961"/>
        <v>3813.42356389615</v>
      </c>
      <c r="AD813" s="10">
        <f t="shared" ca="1" si="961"/>
        <v>7200.0938750410951</v>
      </c>
      <c r="AE813" s="10">
        <f t="shared" ca="1" si="961"/>
        <v>2714.2113706059304</v>
      </c>
      <c r="AF813" s="10">
        <f t="shared" ca="1" si="961"/>
        <v>2466.1421773773441</v>
      </c>
      <c r="AG813" s="10">
        <f t="shared" ca="1" si="961"/>
        <v>4448.2408890267143</v>
      </c>
      <c r="AH813" s="10">
        <f t="shared" ca="1" si="961"/>
        <v>8371.8209986923848</v>
      </c>
      <c r="AI813" s="10">
        <f t="shared" ca="1" si="961"/>
        <v>3146.3687841789269</v>
      </c>
      <c r="AJ813" s="10">
        <f t="shared" ca="1" si="961"/>
        <v>2850.6106387906793</v>
      </c>
      <c r="AK813" s="10">
        <f t="shared" ca="1" si="961"/>
        <v>5127.74212246549</v>
      </c>
      <c r="AL813" s="10">
        <f t="shared" ca="1" si="961"/>
        <v>9625.7661420357126</v>
      </c>
      <c r="AM813" s="10">
        <f t="shared" ca="1" si="961"/>
        <v>3608.7560526447937</v>
      </c>
      <c r="AN813" s="10">
        <f t="shared" ca="1" si="961"/>
        <v>3298.133980184758</v>
      </c>
      <c r="AO813" s="10">
        <f t="shared" ca="1" si="961"/>
        <v>5854.4862691569233</v>
      </c>
      <c r="AP813" s="10">
        <f t="shared" ca="1" si="961"/>
        <v>10727.673184365729</v>
      </c>
      <c r="AQ813" s="10">
        <f t="shared" ca="1" si="961"/>
        <v>3928.1032036419133</v>
      </c>
      <c r="AR813" s="10">
        <f t="shared" ca="1" si="961"/>
        <v>3469.652857794259</v>
      </c>
      <c r="AS813" s="10">
        <f t="shared" ca="1" si="961"/>
        <v>6088.6657199231986</v>
      </c>
      <c r="AT813" s="10">
        <f t="shared" ca="1" si="961"/>
        <v>11156.780111740358</v>
      </c>
      <c r="AU813" s="10">
        <f t="shared" ca="1" si="961"/>
        <v>4085.2273317875893</v>
      </c>
      <c r="AV813" s="10">
        <f t="shared" ca="1" si="961"/>
        <v>3608.4389721060288</v>
      </c>
      <c r="AW813" s="10">
        <f t="shared" ca="1" si="961"/>
        <v>6332.212348720127</v>
      </c>
      <c r="AX813" s="10">
        <f t="shared" ca="1" si="961"/>
        <v>11603.051316209971</v>
      </c>
      <c r="AY813" s="10">
        <f t="shared" ca="1" si="961"/>
        <v>4248.6364250590923</v>
      </c>
      <c r="AZ813" s="10">
        <f t="shared" ca="1" si="961"/>
        <v>3752.7765309902697</v>
      </c>
      <c r="BA813" s="10">
        <f t="shared" ca="1" si="961"/>
        <v>6585.5008426689301</v>
      </c>
      <c r="BB813" s="10">
        <f t="shared" ca="1" si="961"/>
        <v>12067.173368858366</v>
      </c>
      <c r="BC813" s="10">
        <f t="shared" ca="1" si="961"/>
        <v>4418.581882061455</v>
      </c>
      <c r="BD813" s="10">
        <f t="shared" ca="1" si="961"/>
        <v>3946.2530099213232</v>
      </c>
      <c r="BE813" s="10">
        <f t="shared" ca="1" si="961"/>
        <v>6848.9208763756869</v>
      </c>
      <c r="BF813" s="10">
        <f t="shared" ca="1" si="961"/>
        <v>12549.860303612699</v>
      </c>
      <c r="BG813" s="10">
        <f t="shared" ca="1" si="961"/>
        <v>4595.3251573439129</v>
      </c>
      <c r="BH813" s="10">
        <f t="shared" ca="1" si="961"/>
        <v>4059.0030959190749</v>
      </c>
      <c r="BI813" s="10">
        <f t="shared" ca="1" si="961"/>
        <v>7122.8777114307122</v>
      </c>
      <c r="BJ813" s="10">
        <f t="shared" ca="1" si="961"/>
        <v>13051.854715757203</v>
      </c>
      <c r="BK813" s="10">
        <f t="shared" ca="1" si="961"/>
        <v>4779.1381636376691</v>
      </c>
      <c r="BL813" s="10">
        <f t="shared" ca="1" si="961"/>
        <v>4221.3632197558381</v>
      </c>
      <c r="BM813" s="10">
        <f t="shared" ca="1" si="961"/>
        <v>7407.7928198879408</v>
      </c>
      <c r="BN813" s="10">
        <f t="shared" ca="1" si="961"/>
        <v>13573.928904387489</v>
      </c>
      <c r="BO813" s="10">
        <f t="shared" ca="1" si="961"/>
        <v>4970.3036901831756</v>
      </c>
      <c r="BP813" s="10">
        <f t="shared" ca="1" si="961"/>
        <v>4390.2177485460697</v>
      </c>
      <c r="BQ813" s="10">
        <f t="shared" ca="1" si="961"/>
        <v>7704.1045326834565</v>
      </c>
      <c r="BR813" s="10">
        <f t="shared" ca="1" si="961"/>
        <v>14116.886060562987</v>
      </c>
      <c r="BS813" s="10">
        <f t="shared" ca="1" si="961"/>
        <v>5169.1158377905003</v>
      </c>
      <c r="BT813" s="10">
        <f t="shared" ca="1" si="961"/>
        <v>4616.5578635822212</v>
      </c>
      <c r="BU813" s="10">
        <f t="shared" ca="1" si="961"/>
        <v>8012.2687139907939</v>
      </c>
      <c r="BV813" s="10">
        <f t="shared" ca="1" si="961"/>
        <v>14681.561502985503</v>
      </c>
      <c r="BW813" s="10">
        <f t="shared" ca="1" si="961"/>
        <v>5375.88047130212</v>
      </c>
      <c r="BX813" s="10">
        <f t="shared" ca="1" si="961"/>
        <v>4748.4595168274273</v>
      </c>
      <c r="BY813" s="10">
        <f t="shared" ref="BY813:CO814" ca="1" si="962" xml:space="preserve"> BY$809 * $E813 * $I$698</f>
        <v>8332.7594625504262</v>
      </c>
      <c r="BZ813" s="10">
        <f t="shared" ca="1" si="962"/>
        <v>15268.823963104924</v>
      </c>
      <c r="CA813" s="10">
        <f t="shared" ca="1" si="962"/>
        <v>5590.9156901542037</v>
      </c>
      <c r="CB813" s="10">
        <f t="shared" ca="1" si="962"/>
        <v>4938.3978975005239</v>
      </c>
      <c r="CC813" s="10">
        <f t="shared" ca="1" si="962"/>
        <v>8666.0698410524401</v>
      </c>
      <c r="CD813" s="10">
        <f t="shared" ca="1" si="962"/>
        <v>15879.576921629119</v>
      </c>
      <c r="CE813" s="10">
        <f t="shared" ca="1" si="962"/>
        <v>5814.5523177603718</v>
      </c>
      <c r="CF813" s="10">
        <f t="shared" ca="1" si="962"/>
        <v>5135.9338134005448</v>
      </c>
      <c r="CG813" s="10">
        <f t="shared" ca="1" si="962"/>
        <v>9012.712634694537</v>
      </c>
      <c r="CH813" s="10">
        <f t="shared" ca="1" si="962"/>
        <v>16514.759998494283</v>
      </c>
      <c r="CI813" s="10">
        <f t="shared" ca="1" si="962"/>
        <v>6047.1344104707869</v>
      </c>
      <c r="CJ813" s="10">
        <f t="shared" ca="1" si="962"/>
        <v>5400.7197344469723</v>
      </c>
      <c r="CK813" s="10">
        <f t="shared" ca="1" si="962"/>
        <v>9373.221140082318</v>
      </c>
      <c r="CL813" s="10">
        <f t="shared" ca="1" si="962"/>
        <v>17175.350398434053</v>
      </c>
      <c r="CM813" s="10">
        <f t="shared" ca="1" si="962"/>
        <v>6289.0197868896175</v>
      </c>
      <c r="CN813" s="10">
        <f t="shared" ca="1" si="962"/>
        <v>5555.0260125740288</v>
      </c>
      <c r="CO813" s="10">
        <f t="shared" ca="1" si="962"/>
        <v>9748.1499856856099</v>
      </c>
    </row>
    <row r="814" spans="1:93">
      <c r="C814" s="17" t="s">
        <v>711</v>
      </c>
      <c r="E814" s="240">
        <f xml:space="preserve"> E801</f>
        <v>0.02</v>
      </c>
      <c r="G814" s="242" t="str">
        <f t="shared" si="959"/>
        <v>тыс. руб.</v>
      </c>
      <c r="I814" s="23">
        <f t="shared" ca="1" si="960"/>
        <v>620377.42518057709</v>
      </c>
      <c r="L814" s="10">
        <f ca="1" xml:space="preserve"> L$809 * $E814 * $I$698</f>
        <v>0</v>
      </c>
      <c r="M814" s="10">
        <f t="shared" ca="1" si="961"/>
        <v>0</v>
      </c>
      <c r="N814" s="10">
        <f t="shared" ca="1" si="961"/>
        <v>0</v>
      </c>
      <c r="O814" s="10">
        <f t="shared" ca="1" si="961"/>
        <v>0</v>
      </c>
      <c r="P814" s="10">
        <f t="shared" ca="1" si="961"/>
        <v>0</v>
      </c>
      <c r="Q814" s="10">
        <f t="shared" ca="1" si="961"/>
        <v>0</v>
      </c>
      <c r="R814" s="10">
        <f t="shared" ca="1" si="961"/>
        <v>0</v>
      </c>
      <c r="S814" s="10">
        <f t="shared" ca="1" si="961"/>
        <v>0</v>
      </c>
      <c r="T814" s="10">
        <f t="shared" ca="1" si="961"/>
        <v>0</v>
      </c>
      <c r="U814" s="10">
        <f t="shared" ca="1" si="961"/>
        <v>0</v>
      </c>
      <c r="V814" s="10">
        <f t="shared" ca="1" si="961"/>
        <v>0</v>
      </c>
      <c r="W814" s="10">
        <f t="shared" ca="1" si="961"/>
        <v>0</v>
      </c>
      <c r="X814" s="10">
        <f t="shared" ca="1" si="961"/>
        <v>0</v>
      </c>
      <c r="Y814" s="10">
        <f t="shared" ca="1" si="961"/>
        <v>0</v>
      </c>
      <c r="Z814" s="10">
        <f t="shared" ca="1" si="961"/>
        <v>0</v>
      </c>
      <c r="AA814" s="10">
        <f t="shared" ca="1" si="961"/>
        <v>0</v>
      </c>
      <c r="AB814" s="10">
        <f t="shared" ca="1" si="961"/>
        <v>0</v>
      </c>
      <c r="AC814" s="10">
        <f t="shared" ca="1" si="961"/>
        <v>5084.5647518615342</v>
      </c>
      <c r="AD814" s="10">
        <f t="shared" ca="1" si="961"/>
        <v>9600.1251667214601</v>
      </c>
      <c r="AE814" s="10">
        <f t="shared" ca="1" si="961"/>
        <v>3618.9484941412406</v>
      </c>
      <c r="AF814" s="10">
        <f t="shared" ca="1" si="961"/>
        <v>3288.1895698364592</v>
      </c>
      <c r="AG814" s="10">
        <f t="shared" ca="1" si="961"/>
        <v>5930.9878520356187</v>
      </c>
      <c r="AH814" s="10">
        <f t="shared" ca="1" si="961"/>
        <v>11162.427998256513</v>
      </c>
      <c r="AI814" s="10">
        <f t="shared" ca="1" si="961"/>
        <v>4195.1583789052365</v>
      </c>
      <c r="AJ814" s="10">
        <f t="shared" ca="1" si="961"/>
        <v>3800.8141850542393</v>
      </c>
      <c r="AK814" s="10">
        <f t="shared" ca="1" si="961"/>
        <v>6836.9894966206539</v>
      </c>
      <c r="AL814" s="10">
        <f t="shared" ca="1" si="961"/>
        <v>12834.354856047617</v>
      </c>
      <c r="AM814" s="10">
        <f t="shared" ca="1" si="961"/>
        <v>4811.6747368597253</v>
      </c>
      <c r="AN814" s="10">
        <f t="shared" ca="1" si="961"/>
        <v>4397.511973579677</v>
      </c>
      <c r="AO814" s="10">
        <f t="shared" ca="1" si="961"/>
        <v>7805.9816922092314</v>
      </c>
      <c r="AP814" s="10">
        <f t="shared" ca="1" si="961"/>
        <v>14303.564245820973</v>
      </c>
      <c r="AQ814" s="10">
        <f t="shared" ca="1" si="961"/>
        <v>5237.470938189218</v>
      </c>
      <c r="AR814" s="10">
        <f t="shared" ca="1" si="961"/>
        <v>4626.203810392346</v>
      </c>
      <c r="AS814" s="10">
        <f t="shared" ca="1" si="961"/>
        <v>8118.2209598975987</v>
      </c>
      <c r="AT814" s="10">
        <f t="shared" ca="1" si="961"/>
        <v>14875.706815653812</v>
      </c>
      <c r="AU814" s="10">
        <f t="shared" ca="1" si="961"/>
        <v>5446.969775716786</v>
      </c>
      <c r="AV814" s="10">
        <f t="shared" ca="1" si="961"/>
        <v>4811.251962808039</v>
      </c>
      <c r="AW814" s="10">
        <f t="shared" ca="1" si="961"/>
        <v>8442.9497982935027</v>
      </c>
      <c r="AX814" s="10">
        <f t="shared" ca="1" si="961"/>
        <v>15470.735088279962</v>
      </c>
      <c r="AY814" s="10">
        <f t="shared" ca="1" si="961"/>
        <v>5664.848566745457</v>
      </c>
      <c r="AZ814" s="10">
        <f t="shared" ca="1" si="961"/>
        <v>5003.70204132036</v>
      </c>
      <c r="BA814" s="10">
        <f t="shared" ca="1" si="961"/>
        <v>8780.6677902252395</v>
      </c>
      <c r="BB814" s="10">
        <f t="shared" ca="1" si="961"/>
        <v>16089.564491811156</v>
      </c>
      <c r="BC814" s="10">
        <f t="shared" ca="1" si="961"/>
        <v>5891.442509415273</v>
      </c>
      <c r="BD814" s="10">
        <f t="shared" ca="1" si="961"/>
        <v>5261.6706798950981</v>
      </c>
      <c r="BE814" s="10">
        <f t="shared" ca="1" si="961"/>
        <v>9131.8945018342492</v>
      </c>
      <c r="BF814" s="10">
        <f t="shared" ca="1" si="961"/>
        <v>16733.1470714836</v>
      </c>
      <c r="BG814" s="10">
        <f t="shared" ca="1" si="961"/>
        <v>6127.1002097918836</v>
      </c>
      <c r="BH814" s="10">
        <f t="shared" ca="1" si="961"/>
        <v>5412.0041278920999</v>
      </c>
      <c r="BI814" s="10">
        <f t="shared" ca="1" si="961"/>
        <v>9497.1702819076163</v>
      </c>
      <c r="BJ814" s="10">
        <f t="shared" ca="1" si="961"/>
        <v>17402.472954342938</v>
      </c>
      <c r="BK814" s="10">
        <f t="shared" ca="1" si="961"/>
        <v>6372.1842181835591</v>
      </c>
      <c r="BL814" s="10">
        <f t="shared" ca="1" si="961"/>
        <v>5628.4842930077848</v>
      </c>
      <c r="BM814" s="10">
        <f t="shared" ca="1" si="961"/>
        <v>9877.0570931839211</v>
      </c>
      <c r="BN814" s="10">
        <f t="shared" ca="1" si="961"/>
        <v>18098.571872516652</v>
      </c>
      <c r="BO814" s="10">
        <f t="shared" ca="1" si="961"/>
        <v>6627.0715869109008</v>
      </c>
      <c r="BP814" s="10">
        <f t="shared" ca="1" si="961"/>
        <v>5853.6236647280939</v>
      </c>
      <c r="BQ814" s="10">
        <f t="shared" ca="1" si="961"/>
        <v>10272.139376911275</v>
      </c>
      <c r="BR814" s="10">
        <f t="shared" ca="1" si="961"/>
        <v>18822.514747417317</v>
      </c>
      <c r="BS814" s="10">
        <f t="shared" ca="1" si="961"/>
        <v>6892.1544503873347</v>
      </c>
      <c r="BT814" s="10">
        <f t="shared" ca="1" si="961"/>
        <v>6155.4104847762956</v>
      </c>
      <c r="BU814" s="10">
        <f t="shared" ca="1" si="961"/>
        <v>10683.024951987725</v>
      </c>
      <c r="BV814" s="10">
        <f t="shared" ca="1" si="961"/>
        <v>19575.415337314007</v>
      </c>
      <c r="BW814" s="10">
        <f t="shared" ca="1" si="961"/>
        <v>7167.840628402827</v>
      </c>
      <c r="BX814" s="10">
        <f t="shared" ca="1" si="961"/>
        <v>6331.2793557699042</v>
      </c>
      <c r="BY814" s="10">
        <f t="shared" ca="1" si="962"/>
        <v>11110.345950067234</v>
      </c>
      <c r="BZ814" s="10">
        <f t="shared" ca="1" si="962"/>
        <v>20358.431950806567</v>
      </c>
      <c r="CA814" s="10">
        <f t="shared" ca="1" si="962"/>
        <v>7454.5542535389395</v>
      </c>
      <c r="CB814" s="10">
        <f t="shared" ca="1" si="962"/>
        <v>6584.5305300006994</v>
      </c>
      <c r="CC814" s="10">
        <f t="shared" ca="1" si="962"/>
        <v>11554.759788069921</v>
      </c>
      <c r="CD814" s="10">
        <f t="shared" ca="1" si="962"/>
        <v>21172.769228838828</v>
      </c>
      <c r="CE814" s="10">
        <f t="shared" ca="1" si="962"/>
        <v>7752.736423680496</v>
      </c>
      <c r="CF814" s="10">
        <f t="shared" ca="1" si="962"/>
        <v>6847.9117512007269</v>
      </c>
      <c r="CG814" s="10">
        <f t="shared" ca="1" si="962"/>
        <v>12016.950179592715</v>
      </c>
      <c r="CH814" s="10">
        <f t="shared" ca="1" si="962"/>
        <v>22019.679997992378</v>
      </c>
      <c r="CI814" s="10">
        <f t="shared" ca="1" si="962"/>
        <v>8062.8458806277158</v>
      </c>
      <c r="CJ814" s="10">
        <f t="shared" ca="1" si="962"/>
        <v>7200.959645929297</v>
      </c>
      <c r="CK814" s="10">
        <f t="shared" ca="1" si="962"/>
        <v>12497.628186776425</v>
      </c>
      <c r="CL814" s="10">
        <f t="shared" ca="1" si="962"/>
        <v>22900.467197912072</v>
      </c>
      <c r="CM814" s="10">
        <f t="shared" ca="1" si="962"/>
        <v>8385.3597158528246</v>
      </c>
      <c r="CN814" s="10">
        <f t="shared" ca="1" si="962"/>
        <v>7406.701350098705</v>
      </c>
      <c r="CO814" s="10">
        <f t="shared" ca="1" si="962"/>
        <v>12997.533314247481</v>
      </c>
    </row>
    <row r="815" spans="1:93">
      <c r="C815" s="17" t="s">
        <v>710</v>
      </c>
      <c r="E815" s="240">
        <f xml:space="preserve"> E802</f>
        <v>0</v>
      </c>
      <c r="G815" s="242" t="str">
        <f t="shared" si="959"/>
        <v>тыс. руб.</v>
      </c>
      <c r="I815" s="23">
        <f t="shared" ca="1" si="960"/>
        <v>0</v>
      </c>
      <c r="L815" s="10">
        <f ca="1" xml:space="preserve"> L$810 * $E815 * $I$698</f>
        <v>0</v>
      </c>
      <c r="M815" s="10">
        <f t="shared" ref="M815:BX815" ca="1" si="963" xml:space="preserve"> M$810 * $E815 * $I$698</f>
        <v>0</v>
      </c>
      <c r="N815" s="10">
        <f t="shared" ca="1" si="963"/>
        <v>0</v>
      </c>
      <c r="O815" s="10">
        <f t="shared" ca="1" si="963"/>
        <v>0</v>
      </c>
      <c r="P815" s="10">
        <f t="shared" ca="1" si="963"/>
        <v>0</v>
      </c>
      <c r="Q815" s="10">
        <f t="shared" ca="1" si="963"/>
        <v>0</v>
      </c>
      <c r="R815" s="10">
        <f t="shared" ca="1" si="963"/>
        <v>0</v>
      </c>
      <c r="S815" s="10">
        <f t="shared" ca="1" si="963"/>
        <v>0</v>
      </c>
      <c r="T815" s="10">
        <f t="shared" ca="1" si="963"/>
        <v>0</v>
      </c>
      <c r="U815" s="10">
        <f t="shared" ca="1" si="963"/>
        <v>0</v>
      </c>
      <c r="V815" s="10">
        <f t="shared" ca="1" si="963"/>
        <v>0</v>
      </c>
      <c r="W815" s="10">
        <f t="shared" ca="1" si="963"/>
        <v>0</v>
      </c>
      <c r="X815" s="10">
        <f t="shared" ca="1" si="963"/>
        <v>0</v>
      </c>
      <c r="Y815" s="10">
        <f t="shared" ca="1" si="963"/>
        <v>0</v>
      </c>
      <c r="Z815" s="10">
        <f t="shared" ca="1" si="963"/>
        <v>0</v>
      </c>
      <c r="AA815" s="10">
        <f t="shared" ca="1" si="963"/>
        <v>0</v>
      </c>
      <c r="AB815" s="10">
        <f t="shared" ca="1" si="963"/>
        <v>0</v>
      </c>
      <c r="AC815" s="10">
        <f t="shared" ca="1" si="963"/>
        <v>0</v>
      </c>
      <c r="AD815" s="10">
        <f t="shared" ca="1" si="963"/>
        <v>0</v>
      </c>
      <c r="AE815" s="10">
        <f t="shared" ca="1" si="963"/>
        <v>0</v>
      </c>
      <c r="AF815" s="10">
        <f t="shared" ca="1" si="963"/>
        <v>0</v>
      </c>
      <c r="AG815" s="10">
        <f t="shared" ca="1" si="963"/>
        <v>0</v>
      </c>
      <c r="AH815" s="10">
        <f t="shared" ca="1" si="963"/>
        <v>0</v>
      </c>
      <c r="AI815" s="10">
        <f t="shared" ca="1" si="963"/>
        <v>0</v>
      </c>
      <c r="AJ815" s="10">
        <f t="shared" ca="1" si="963"/>
        <v>0</v>
      </c>
      <c r="AK815" s="10">
        <f t="shared" ca="1" si="963"/>
        <v>0</v>
      </c>
      <c r="AL815" s="10">
        <f t="shared" ca="1" si="963"/>
        <v>0</v>
      </c>
      <c r="AM815" s="10">
        <f t="shared" ca="1" si="963"/>
        <v>0</v>
      </c>
      <c r="AN815" s="10">
        <f t="shared" ca="1" si="963"/>
        <v>0</v>
      </c>
      <c r="AO815" s="10">
        <f t="shared" ca="1" si="963"/>
        <v>0</v>
      </c>
      <c r="AP815" s="10">
        <f t="shared" ca="1" si="963"/>
        <v>0</v>
      </c>
      <c r="AQ815" s="10">
        <f t="shared" ca="1" si="963"/>
        <v>0</v>
      </c>
      <c r="AR815" s="10">
        <f t="shared" ca="1" si="963"/>
        <v>0</v>
      </c>
      <c r="AS815" s="10">
        <f t="shared" ca="1" si="963"/>
        <v>0</v>
      </c>
      <c r="AT815" s="10">
        <f t="shared" ca="1" si="963"/>
        <v>0</v>
      </c>
      <c r="AU815" s="10">
        <f t="shared" ca="1" si="963"/>
        <v>0</v>
      </c>
      <c r="AV815" s="10">
        <f t="shared" ca="1" si="963"/>
        <v>0</v>
      </c>
      <c r="AW815" s="10">
        <f t="shared" ca="1" si="963"/>
        <v>0</v>
      </c>
      <c r="AX815" s="10">
        <f t="shared" ca="1" si="963"/>
        <v>0</v>
      </c>
      <c r="AY815" s="10">
        <f t="shared" ca="1" si="963"/>
        <v>0</v>
      </c>
      <c r="AZ815" s="10">
        <f t="shared" ca="1" si="963"/>
        <v>0</v>
      </c>
      <c r="BA815" s="10">
        <f t="shared" ca="1" si="963"/>
        <v>0</v>
      </c>
      <c r="BB815" s="10">
        <f t="shared" ca="1" si="963"/>
        <v>0</v>
      </c>
      <c r="BC815" s="10">
        <f t="shared" ca="1" si="963"/>
        <v>0</v>
      </c>
      <c r="BD815" s="10">
        <f t="shared" ca="1" si="963"/>
        <v>0</v>
      </c>
      <c r="BE815" s="10">
        <f t="shared" ca="1" si="963"/>
        <v>0</v>
      </c>
      <c r="BF815" s="10">
        <f t="shared" ca="1" si="963"/>
        <v>0</v>
      </c>
      <c r="BG815" s="10">
        <f t="shared" ca="1" si="963"/>
        <v>0</v>
      </c>
      <c r="BH815" s="10">
        <f t="shared" ca="1" si="963"/>
        <v>0</v>
      </c>
      <c r="BI815" s="10">
        <f t="shared" ca="1" si="963"/>
        <v>0</v>
      </c>
      <c r="BJ815" s="10">
        <f t="shared" ca="1" si="963"/>
        <v>0</v>
      </c>
      <c r="BK815" s="10">
        <f t="shared" ca="1" si="963"/>
        <v>0</v>
      </c>
      <c r="BL815" s="10">
        <f t="shared" ca="1" si="963"/>
        <v>0</v>
      </c>
      <c r="BM815" s="10">
        <f t="shared" ca="1" si="963"/>
        <v>0</v>
      </c>
      <c r="BN815" s="10">
        <f t="shared" ca="1" si="963"/>
        <v>0</v>
      </c>
      <c r="BO815" s="10">
        <f t="shared" ca="1" si="963"/>
        <v>0</v>
      </c>
      <c r="BP815" s="10">
        <f t="shared" ca="1" si="963"/>
        <v>0</v>
      </c>
      <c r="BQ815" s="10">
        <f t="shared" ca="1" si="963"/>
        <v>0</v>
      </c>
      <c r="BR815" s="10">
        <f t="shared" ca="1" si="963"/>
        <v>0</v>
      </c>
      <c r="BS815" s="10">
        <f t="shared" ca="1" si="963"/>
        <v>0</v>
      </c>
      <c r="BT815" s="10">
        <f t="shared" ca="1" si="963"/>
        <v>0</v>
      </c>
      <c r="BU815" s="10">
        <f t="shared" ca="1" si="963"/>
        <v>0</v>
      </c>
      <c r="BV815" s="10">
        <f t="shared" ca="1" si="963"/>
        <v>0</v>
      </c>
      <c r="BW815" s="10">
        <f t="shared" ca="1" si="963"/>
        <v>0</v>
      </c>
      <c r="BX815" s="10">
        <f t="shared" ca="1" si="963"/>
        <v>0</v>
      </c>
      <c r="BY815" s="10">
        <f t="shared" ref="BY815:CO815" ca="1" si="964" xml:space="preserve"> BY$810 * $E815 * $I$698</f>
        <v>0</v>
      </c>
      <c r="BZ815" s="10">
        <f t="shared" ca="1" si="964"/>
        <v>0</v>
      </c>
      <c r="CA815" s="10">
        <f t="shared" ca="1" si="964"/>
        <v>0</v>
      </c>
      <c r="CB815" s="10">
        <f t="shared" ca="1" si="964"/>
        <v>0</v>
      </c>
      <c r="CC815" s="10">
        <f t="shared" ca="1" si="964"/>
        <v>0</v>
      </c>
      <c r="CD815" s="10">
        <f t="shared" ca="1" si="964"/>
        <v>0</v>
      </c>
      <c r="CE815" s="10">
        <f t="shared" ca="1" si="964"/>
        <v>0</v>
      </c>
      <c r="CF815" s="10">
        <f t="shared" ca="1" si="964"/>
        <v>0</v>
      </c>
      <c r="CG815" s="10">
        <f t="shared" ca="1" si="964"/>
        <v>0</v>
      </c>
      <c r="CH815" s="10">
        <f t="shared" ca="1" si="964"/>
        <v>0</v>
      </c>
      <c r="CI815" s="10">
        <f t="shared" ca="1" si="964"/>
        <v>0</v>
      </c>
      <c r="CJ815" s="10">
        <f t="shared" ca="1" si="964"/>
        <v>0</v>
      </c>
      <c r="CK815" s="10">
        <f t="shared" ca="1" si="964"/>
        <v>0</v>
      </c>
      <c r="CL815" s="10">
        <f t="shared" ca="1" si="964"/>
        <v>0</v>
      </c>
      <c r="CM815" s="10">
        <f t="shared" ca="1" si="964"/>
        <v>0</v>
      </c>
      <c r="CN815" s="10">
        <f t="shared" ca="1" si="964"/>
        <v>0</v>
      </c>
      <c r="CO815" s="10">
        <f t="shared" ca="1" si="964"/>
        <v>0</v>
      </c>
    </row>
    <row r="816" spans="1:93">
      <c r="C816" s="17" t="s">
        <v>713</v>
      </c>
      <c r="E816" s="240">
        <f xml:space="preserve"> E803</f>
        <v>0.02</v>
      </c>
      <c r="G816" s="242" t="str">
        <f t="shared" si="959"/>
        <v>тыс. руб.</v>
      </c>
      <c r="I816" s="23">
        <f t="shared" ca="1" si="960"/>
        <v>620377.42518057709</v>
      </c>
      <c r="L816" s="10">
        <f ca="1" xml:space="preserve"> L$809 * $E816 * $I$698</f>
        <v>0</v>
      </c>
      <c r="M816" s="10">
        <f t="shared" ref="M816:BX816" ca="1" si="965" xml:space="preserve"> M$809 * $E816 * $I$698</f>
        <v>0</v>
      </c>
      <c r="N816" s="10">
        <f t="shared" ca="1" si="965"/>
        <v>0</v>
      </c>
      <c r="O816" s="10">
        <f t="shared" ca="1" si="965"/>
        <v>0</v>
      </c>
      <c r="P816" s="10">
        <f t="shared" ca="1" si="965"/>
        <v>0</v>
      </c>
      <c r="Q816" s="10">
        <f t="shared" ca="1" si="965"/>
        <v>0</v>
      </c>
      <c r="R816" s="10">
        <f t="shared" ca="1" si="965"/>
        <v>0</v>
      </c>
      <c r="S816" s="10">
        <f t="shared" ca="1" si="965"/>
        <v>0</v>
      </c>
      <c r="T816" s="10">
        <f t="shared" ca="1" si="965"/>
        <v>0</v>
      </c>
      <c r="U816" s="10">
        <f t="shared" ca="1" si="965"/>
        <v>0</v>
      </c>
      <c r="V816" s="10">
        <f t="shared" ca="1" si="965"/>
        <v>0</v>
      </c>
      <c r="W816" s="10">
        <f t="shared" ca="1" si="965"/>
        <v>0</v>
      </c>
      <c r="X816" s="10">
        <f t="shared" ca="1" si="965"/>
        <v>0</v>
      </c>
      <c r="Y816" s="10">
        <f t="shared" ca="1" si="965"/>
        <v>0</v>
      </c>
      <c r="Z816" s="10">
        <f t="shared" ca="1" si="965"/>
        <v>0</v>
      </c>
      <c r="AA816" s="10">
        <f t="shared" ca="1" si="965"/>
        <v>0</v>
      </c>
      <c r="AB816" s="10">
        <f t="shared" ca="1" si="965"/>
        <v>0</v>
      </c>
      <c r="AC816" s="10">
        <f t="shared" ca="1" si="965"/>
        <v>5084.5647518615342</v>
      </c>
      <c r="AD816" s="10">
        <f t="shared" ca="1" si="965"/>
        <v>9600.1251667214601</v>
      </c>
      <c r="AE816" s="10">
        <f t="shared" ca="1" si="965"/>
        <v>3618.9484941412406</v>
      </c>
      <c r="AF816" s="10">
        <f t="shared" ca="1" si="965"/>
        <v>3288.1895698364592</v>
      </c>
      <c r="AG816" s="10">
        <f t="shared" ca="1" si="965"/>
        <v>5930.9878520356187</v>
      </c>
      <c r="AH816" s="10">
        <f t="shared" ca="1" si="965"/>
        <v>11162.427998256513</v>
      </c>
      <c r="AI816" s="10">
        <f t="shared" ca="1" si="965"/>
        <v>4195.1583789052365</v>
      </c>
      <c r="AJ816" s="10">
        <f t="shared" ca="1" si="965"/>
        <v>3800.8141850542393</v>
      </c>
      <c r="AK816" s="10">
        <f t="shared" ca="1" si="965"/>
        <v>6836.9894966206539</v>
      </c>
      <c r="AL816" s="10">
        <f t="shared" ca="1" si="965"/>
        <v>12834.354856047617</v>
      </c>
      <c r="AM816" s="10">
        <f t="shared" ca="1" si="965"/>
        <v>4811.6747368597253</v>
      </c>
      <c r="AN816" s="10">
        <f t="shared" ca="1" si="965"/>
        <v>4397.511973579677</v>
      </c>
      <c r="AO816" s="10">
        <f t="shared" ca="1" si="965"/>
        <v>7805.9816922092314</v>
      </c>
      <c r="AP816" s="10">
        <f t="shared" ca="1" si="965"/>
        <v>14303.564245820973</v>
      </c>
      <c r="AQ816" s="10">
        <f t="shared" ca="1" si="965"/>
        <v>5237.470938189218</v>
      </c>
      <c r="AR816" s="10">
        <f t="shared" ca="1" si="965"/>
        <v>4626.203810392346</v>
      </c>
      <c r="AS816" s="10">
        <f t="shared" ca="1" si="965"/>
        <v>8118.2209598975987</v>
      </c>
      <c r="AT816" s="10">
        <f t="shared" ca="1" si="965"/>
        <v>14875.706815653812</v>
      </c>
      <c r="AU816" s="10">
        <f t="shared" ca="1" si="965"/>
        <v>5446.969775716786</v>
      </c>
      <c r="AV816" s="10">
        <f t="shared" ca="1" si="965"/>
        <v>4811.251962808039</v>
      </c>
      <c r="AW816" s="10">
        <f t="shared" ca="1" si="965"/>
        <v>8442.9497982935027</v>
      </c>
      <c r="AX816" s="10">
        <f t="shared" ca="1" si="965"/>
        <v>15470.735088279962</v>
      </c>
      <c r="AY816" s="10">
        <f t="shared" ca="1" si="965"/>
        <v>5664.848566745457</v>
      </c>
      <c r="AZ816" s="10">
        <f t="shared" ca="1" si="965"/>
        <v>5003.70204132036</v>
      </c>
      <c r="BA816" s="10">
        <f t="shared" ca="1" si="965"/>
        <v>8780.6677902252395</v>
      </c>
      <c r="BB816" s="10">
        <f t="shared" ca="1" si="965"/>
        <v>16089.564491811156</v>
      </c>
      <c r="BC816" s="10">
        <f t="shared" ca="1" si="965"/>
        <v>5891.442509415273</v>
      </c>
      <c r="BD816" s="10">
        <f t="shared" ca="1" si="965"/>
        <v>5261.6706798950981</v>
      </c>
      <c r="BE816" s="10">
        <f t="shared" ca="1" si="965"/>
        <v>9131.8945018342492</v>
      </c>
      <c r="BF816" s="10">
        <f t="shared" ca="1" si="965"/>
        <v>16733.1470714836</v>
      </c>
      <c r="BG816" s="10">
        <f t="shared" ca="1" si="965"/>
        <v>6127.1002097918836</v>
      </c>
      <c r="BH816" s="10">
        <f t="shared" ca="1" si="965"/>
        <v>5412.0041278920999</v>
      </c>
      <c r="BI816" s="10">
        <f t="shared" ca="1" si="965"/>
        <v>9497.1702819076163</v>
      </c>
      <c r="BJ816" s="10">
        <f t="shared" ca="1" si="965"/>
        <v>17402.472954342938</v>
      </c>
      <c r="BK816" s="10">
        <f t="shared" ca="1" si="965"/>
        <v>6372.1842181835591</v>
      </c>
      <c r="BL816" s="10">
        <f t="shared" ca="1" si="965"/>
        <v>5628.4842930077848</v>
      </c>
      <c r="BM816" s="10">
        <f t="shared" ca="1" si="965"/>
        <v>9877.0570931839211</v>
      </c>
      <c r="BN816" s="10">
        <f t="shared" ca="1" si="965"/>
        <v>18098.571872516652</v>
      </c>
      <c r="BO816" s="10">
        <f t="shared" ca="1" si="965"/>
        <v>6627.0715869109008</v>
      </c>
      <c r="BP816" s="10">
        <f t="shared" ca="1" si="965"/>
        <v>5853.6236647280939</v>
      </c>
      <c r="BQ816" s="10">
        <f t="shared" ca="1" si="965"/>
        <v>10272.139376911275</v>
      </c>
      <c r="BR816" s="10">
        <f t="shared" ca="1" si="965"/>
        <v>18822.514747417317</v>
      </c>
      <c r="BS816" s="10">
        <f t="shared" ca="1" si="965"/>
        <v>6892.1544503873347</v>
      </c>
      <c r="BT816" s="10">
        <f t="shared" ca="1" si="965"/>
        <v>6155.4104847762956</v>
      </c>
      <c r="BU816" s="10">
        <f t="shared" ca="1" si="965"/>
        <v>10683.024951987725</v>
      </c>
      <c r="BV816" s="10">
        <f t="shared" ca="1" si="965"/>
        <v>19575.415337314007</v>
      </c>
      <c r="BW816" s="10">
        <f t="shared" ca="1" si="965"/>
        <v>7167.840628402827</v>
      </c>
      <c r="BX816" s="10">
        <f t="shared" ca="1" si="965"/>
        <v>6331.2793557699042</v>
      </c>
      <c r="BY816" s="10">
        <f t="shared" ref="BY816:CO816" ca="1" si="966" xml:space="preserve"> BY$809 * $E816 * $I$698</f>
        <v>11110.345950067234</v>
      </c>
      <c r="BZ816" s="10">
        <f t="shared" ca="1" si="966"/>
        <v>20358.431950806567</v>
      </c>
      <c r="CA816" s="10">
        <f t="shared" ca="1" si="966"/>
        <v>7454.5542535389395</v>
      </c>
      <c r="CB816" s="10">
        <f t="shared" ca="1" si="966"/>
        <v>6584.5305300006994</v>
      </c>
      <c r="CC816" s="10">
        <f t="shared" ca="1" si="966"/>
        <v>11554.759788069921</v>
      </c>
      <c r="CD816" s="10">
        <f t="shared" ca="1" si="966"/>
        <v>21172.769228838828</v>
      </c>
      <c r="CE816" s="10">
        <f t="shared" ca="1" si="966"/>
        <v>7752.736423680496</v>
      </c>
      <c r="CF816" s="10">
        <f t="shared" ca="1" si="966"/>
        <v>6847.9117512007269</v>
      </c>
      <c r="CG816" s="10">
        <f t="shared" ca="1" si="966"/>
        <v>12016.950179592715</v>
      </c>
      <c r="CH816" s="10">
        <f t="shared" ca="1" si="966"/>
        <v>22019.679997992378</v>
      </c>
      <c r="CI816" s="10">
        <f t="shared" ca="1" si="966"/>
        <v>8062.8458806277158</v>
      </c>
      <c r="CJ816" s="10">
        <f t="shared" ca="1" si="966"/>
        <v>7200.959645929297</v>
      </c>
      <c r="CK816" s="10">
        <f t="shared" ca="1" si="966"/>
        <v>12497.628186776425</v>
      </c>
      <c r="CL816" s="10">
        <f t="shared" ca="1" si="966"/>
        <v>22900.467197912072</v>
      </c>
      <c r="CM816" s="10">
        <f t="shared" ca="1" si="966"/>
        <v>8385.3597158528246</v>
      </c>
      <c r="CN816" s="10">
        <f t="shared" ca="1" si="966"/>
        <v>7406.701350098705</v>
      </c>
      <c r="CO816" s="10">
        <f t="shared" ca="1" si="966"/>
        <v>12997.533314247481</v>
      </c>
    </row>
    <row r="817" spans="1:93">
      <c r="C817" s="17" t="s">
        <v>712</v>
      </c>
      <c r="E817" s="240">
        <f xml:space="preserve"> E804</f>
        <v>6.5000000000000002E-2</v>
      </c>
      <c r="G817" s="242" t="str">
        <f t="shared" si="959"/>
        <v>тыс. руб.</v>
      </c>
      <c r="I817" s="23">
        <f t="shared" ca="1" si="960"/>
        <v>990746.68634709285</v>
      </c>
      <c r="L817" s="10">
        <f ca="1" xml:space="preserve"> L$811 * $E817 * $I$698</f>
        <v>0</v>
      </c>
      <c r="M817" s="10">
        <f t="shared" ref="M817:BX817" ca="1" si="967" xml:space="preserve"> M$811 * $E817 * $I$698</f>
        <v>0</v>
      </c>
      <c r="N817" s="10">
        <f t="shared" ca="1" si="967"/>
        <v>0</v>
      </c>
      <c r="O817" s="10">
        <f t="shared" ca="1" si="967"/>
        <v>0</v>
      </c>
      <c r="P817" s="10">
        <f t="shared" ca="1" si="967"/>
        <v>0</v>
      </c>
      <c r="Q817" s="10">
        <f t="shared" ca="1" si="967"/>
        <v>0</v>
      </c>
      <c r="R817" s="10">
        <f t="shared" ca="1" si="967"/>
        <v>0</v>
      </c>
      <c r="S817" s="10">
        <f t="shared" ca="1" si="967"/>
        <v>0</v>
      </c>
      <c r="T817" s="10">
        <f t="shared" ca="1" si="967"/>
        <v>0</v>
      </c>
      <c r="U817" s="10">
        <f t="shared" ca="1" si="967"/>
        <v>0</v>
      </c>
      <c r="V817" s="10">
        <f t="shared" ca="1" si="967"/>
        <v>0</v>
      </c>
      <c r="W817" s="10">
        <f t="shared" ca="1" si="967"/>
        <v>0</v>
      </c>
      <c r="X817" s="10">
        <f t="shared" ca="1" si="967"/>
        <v>0</v>
      </c>
      <c r="Y817" s="10">
        <f t="shared" ca="1" si="967"/>
        <v>0</v>
      </c>
      <c r="Z817" s="10">
        <f t="shared" ca="1" si="967"/>
        <v>0</v>
      </c>
      <c r="AA817" s="10">
        <f t="shared" ca="1" si="967"/>
        <v>0</v>
      </c>
      <c r="AB817" s="10">
        <f t="shared" ca="1" si="967"/>
        <v>0</v>
      </c>
      <c r="AC817" s="10">
        <f t="shared" ca="1" si="967"/>
        <v>8018.6914779275567</v>
      </c>
      <c r="AD817" s="10">
        <f t="shared" ca="1" si="967"/>
        <v>15959.344370249044</v>
      </c>
      <c r="AE817" s="10">
        <f t="shared" ca="1" si="967"/>
        <v>5542.2012772018115</v>
      </c>
      <c r="AF817" s="10">
        <f t="shared" ca="1" si="967"/>
        <v>4953.9824012602758</v>
      </c>
      <c r="AG817" s="10">
        <f t="shared" ca="1" si="967"/>
        <v>9353.5561185247825</v>
      </c>
      <c r="AH817" s="10">
        <f t="shared" ca="1" si="967"/>
        <v>18556.532267914557</v>
      </c>
      <c r="AI817" s="10">
        <f t="shared" ca="1" si="967"/>
        <v>6424.6319513175886</v>
      </c>
      <c r="AJ817" s="10">
        <f t="shared" ca="1" si="967"/>
        <v>5726.3020222266596</v>
      </c>
      <c r="AK817" s="10">
        <f t="shared" ca="1" si="967"/>
        <v>10782.3800240051</v>
      </c>
      <c r="AL817" s="10">
        <f t="shared" ca="1" si="967"/>
        <v>21335.960246400919</v>
      </c>
      <c r="AM817" s="10">
        <f t="shared" ca="1" si="967"/>
        <v>7368.7895573191008</v>
      </c>
      <c r="AN817" s="10">
        <f t="shared" ca="1" si="967"/>
        <v>6625.2861837064238</v>
      </c>
      <c r="AO817" s="10">
        <f t="shared" ca="1" si="967"/>
        <v>12310.5441521342</v>
      </c>
      <c r="AP817" s="10">
        <f t="shared" ca="1" si="967"/>
        <v>23778.388672717363</v>
      </c>
      <c r="AQ817" s="10">
        <f t="shared" ca="1" si="967"/>
        <v>8020.8707501452427</v>
      </c>
      <c r="AR817" s="10">
        <f t="shared" ca="1" si="967"/>
        <v>6969.8330265267377</v>
      </c>
      <c r="AS817" s="10">
        <f t="shared" ca="1" si="967"/>
        <v>12802.965918219565</v>
      </c>
      <c r="AT817" s="10">
        <f t="shared" ca="1" si="967"/>
        <v>24729.524219626055</v>
      </c>
      <c r="AU817" s="10">
        <f t="shared" ca="1" si="967"/>
        <v>8341.7055801510523</v>
      </c>
      <c r="AV817" s="10">
        <f t="shared" ca="1" si="967"/>
        <v>7248.6263475878086</v>
      </c>
      <c r="AW817" s="10">
        <f t="shared" ca="1" si="967"/>
        <v>13315.084554948351</v>
      </c>
      <c r="AX817" s="10">
        <f t="shared" ca="1" si="967"/>
        <v>25718.705188411099</v>
      </c>
      <c r="AY817" s="10">
        <f t="shared" ca="1" si="967"/>
        <v>8675.3738033570953</v>
      </c>
      <c r="AZ817" s="10">
        <f t="shared" ca="1" si="967"/>
        <v>7538.5714014913201</v>
      </c>
      <c r="BA817" s="10">
        <f t="shared" ca="1" si="967"/>
        <v>13847.687937146278</v>
      </c>
      <c r="BB817" s="10">
        <f t="shared" ca="1" si="967"/>
        <v>26747.453395947541</v>
      </c>
      <c r="BC817" s="10">
        <f t="shared" ca="1" si="967"/>
        <v>9022.3887554913745</v>
      </c>
      <c r="BD817" s="10">
        <f t="shared" ca="1" si="967"/>
        <v>7927.2266381904292</v>
      </c>
      <c r="BE817" s="10">
        <f t="shared" ca="1" si="967"/>
        <v>14401.595454632132</v>
      </c>
      <c r="BF817" s="10">
        <f t="shared" ca="1" si="967"/>
        <v>27817.351531785422</v>
      </c>
      <c r="BG817" s="10">
        <f t="shared" ca="1" si="967"/>
        <v>9383.2843057110313</v>
      </c>
      <c r="BH817" s="10">
        <f t="shared" ca="1" si="967"/>
        <v>8153.7188278530084</v>
      </c>
      <c r="BI817" s="10">
        <f t="shared" ca="1" si="967"/>
        <v>14977.659272817413</v>
      </c>
      <c r="BJ817" s="10">
        <f t="shared" ca="1" si="967"/>
        <v>28930.045593056839</v>
      </c>
      <c r="BK817" s="10">
        <f t="shared" ca="1" si="967"/>
        <v>9758.6156779394714</v>
      </c>
      <c r="BL817" s="10">
        <f t="shared" ca="1" si="967"/>
        <v>8479.8675809671313</v>
      </c>
      <c r="BM817" s="10">
        <f t="shared" ca="1" si="967"/>
        <v>15576.765643730105</v>
      </c>
      <c r="BN817" s="10">
        <f t="shared" ca="1" si="967"/>
        <v>30087.247416779101</v>
      </c>
      <c r="BO817" s="10">
        <f t="shared" ca="1" si="967"/>
        <v>10148.960305057053</v>
      </c>
      <c r="BP817" s="10">
        <f t="shared" ca="1" si="967"/>
        <v>8819.0622842058128</v>
      </c>
      <c r="BQ817" s="10">
        <f t="shared" ca="1" si="967"/>
        <v>16199.836269479307</v>
      </c>
      <c r="BR817" s="10">
        <f t="shared" ca="1" si="967"/>
        <v>31290.737313450274</v>
      </c>
      <c r="BS817" s="10">
        <f t="shared" ca="1" si="967"/>
        <v>10554.918717259327</v>
      </c>
      <c r="BT817" s="10">
        <f t="shared" ca="1" si="967"/>
        <v>9273.733939747086</v>
      </c>
      <c r="BU817" s="10">
        <f t="shared" ca="1" si="967"/>
        <v>16847.829720258476</v>
      </c>
      <c r="BV817" s="10">
        <f t="shared" ca="1" si="967"/>
        <v>32542.366805988269</v>
      </c>
      <c r="BW817" s="10">
        <f t="shared" ca="1" si="967"/>
        <v>10977.115465949701</v>
      </c>
      <c r="BX817" s="10">
        <f t="shared" ca="1" si="967"/>
        <v>9538.6977665970007</v>
      </c>
      <c r="BY817" s="10">
        <f t="shared" ref="BY817:CO817" ca="1" si="968" xml:space="preserve"> BY$811 * $E817 * $I$698</f>
        <v>17521.74290906882</v>
      </c>
      <c r="BZ817" s="10">
        <f t="shared" ca="1" si="968"/>
        <v>33844.061478227799</v>
      </c>
      <c r="CA817" s="10">
        <f t="shared" ca="1" si="968"/>
        <v>11416.200084587686</v>
      </c>
      <c r="CB817" s="10">
        <f t="shared" ca="1" si="968"/>
        <v>9920.2456772608803</v>
      </c>
      <c r="CC817" s="10">
        <f t="shared" ca="1" si="968"/>
        <v>18222.61262543156</v>
      </c>
      <c r="CD817" s="10">
        <f t="shared" ca="1" si="968"/>
        <v>35197.823937356909</v>
      </c>
      <c r="CE817" s="10">
        <f t="shared" ca="1" si="968"/>
        <v>11872.848087971188</v>
      </c>
      <c r="CF817" s="10">
        <f t="shared" ca="1" si="968"/>
        <v>10317.05550435132</v>
      </c>
      <c r="CG817" s="10">
        <f t="shared" ca="1" si="968"/>
        <v>18951.517130448821</v>
      </c>
      <c r="CH817" s="10">
        <f t="shared" ca="1" si="968"/>
        <v>36605.736894851172</v>
      </c>
      <c r="CI817" s="10">
        <f t="shared" ca="1" si="968"/>
        <v>12347.762011490036</v>
      </c>
      <c r="CJ817" s="10">
        <f t="shared" ca="1" si="968"/>
        <v>10848.957032575647</v>
      </c>
      <c r="CK817" s="10">
        <f t="shared" ca="1" si="968"/>
        <v>19709.577815666769</v>
      </c>
      <c r="CL817" s="10">
        <f t="shared" ca="1" si="968"/>
        <v>38069.966370645219</v>
      </c>
      <c r="CM817" s="10">
        <f t="shared" ca="1" si="968"/>
        <v>12841.672491949643</v>
      </c>
      <c r="CN817" s="10">
        <f t="shared" ca="1" si="968"/>
        <v>11158.927233506387</v>
      </c>
      <c r="CO817" s="10">
        <f t="shared" ca="1" si="968"/>
        <v>20497.960928293451</v>
      </c>
    </row>
    <row r="818" spans="1:93" ht="15.75" thickBot="1">
      <c r="A818" s="10"/>
      <c r="B818" s="10"/>
      <c r="C818" s="17" t="s">
        <v>1157</v>
      </c>
      <c r="D818" s="10"/>
      <c r="E818" s="460">
        <f>E805</f>
        <v>0</v>
      </c>
      <c r="F818" s="10"/>
      <c r="G818" s="11" t="str">
        <f t="shared" si="959"/>
        <v>тыс. руб.</v>
      </c>
      <c r="H818" s="10"/>
      <c r="I818" s="23">
        <f ca="1">SUM(L818:CO818)</f>
        <v>0</v>
      </c>
      <c r="K818" s="10"/>
      <c r="L818" s="10">
        <f t="shared" ref="L818:AQ818" ca="1" si="969" xml:space="preserve"> $E818 * CPI_Accumulated_From_Date * (Period_length) * L$49 * $I$698</f>
        <v>0</v>
      </c>
      <c r="M818" s="10">
        <f t="shared" ca="1" si="969"/>
        <v>0</v>
      </c>
      <c r="N818" s="10">
        <f t="shared" ca="1" si="969"/>
        <v>0</v>
      </c>
      <c r="O818" s="10">
        <f t="shared" ca="1" si="969"/>
        <v>0</v>
      </c>
      <c r="P818" s="10">
        <f t="shared" ca="1" si="969"/>
        <v>0</v>
      </c>
      <c r="Q818" s="10">
        <f t="shared" ca="1" si="969"/>
        <v>0</v>
      </c>
      <c r="R818" s="10">
        <f t="shared" ca="1" si="969"/>
        <v>0</v>
      </c>
      <c r="S818" s="10">
        <f t="shared" ca="1" si="969"/>
        <v>0</v>
      </c>
      <c r="T818" s="10">
        <f t="shared" ca="1" si="969"/>
        <v>0</v>
      </c>
      <c r="U818" s="10">
        <f t="shared" ca="1" si="969"/>
        <v>0</v>
      </c>
      <c r="V818" s="10">
        <f t="shared" ca="1" si="969"/>
        <v>0</v>
      </c>
      <c r="W818" s="10">
        <f t="shared" ca="1" si="969"/>
        <v>0</v>
      </c>
      <c r="X818" s="10">
        <f t="shared" ca="1" si="969"/>
        <v>0</v>
      </c>
      <c r="Y818" s="10">
        <f t="shared" ca="1" si="969"/>
        <v>0</v>
      </c>
      <c r="Z818" s="10">
        <f t="shared" ca="1" si="969"/>
        <v>0</v>
      </c>
      <c r="AA818" s="10">
        <f t="shared" ca="1" si="969"/>
        <v>0</v>
      </c>
      <c r="AB818" s="10">
        <f t="shared" ca="1" si="969"/>
        <v>0</v>
      </c>
      <c r="AC818" s="10">
        <f t="shared" ca="1" si="969"/>
        <v>0</v>
      </c>
      <c r="AD818" s="10">
        <f t="shared" ca="1" si="969"/>
        <v>0</v>
      </c>
      <c r="AE818" s="10">
        <f t="shared" ca="1" si="969"/>
        <v>0</v>
      </c>
      <c r="AF818" s="10">
        <f t="shared" ca="1" si="969"/>
        <v>0</v>
      </c>
      <c r="AG818" s="10">
        <f t="shared" ca="1" si="969"/>
        <v>0</v>
      </c>
      <c r="AH818" s="10">
        <f t="shared" ca="1" si="969"/>
        <v>0</v>
      </c>
      <c r="AI818" s="10">
        <f t="shared" ca="1" si="969"/>
        <v>0</v>
      </c>
      <c r="AJ818" s="10">
        <f t="shared" ca="1" si="969"/>
        <v>0</v>
      </c>
      <c r="AK818" s="10">
        <f t="shared" ca="1" si="969"/>
        <v>0</v>
      </c>
      <c r="AL818" s="10">
        <f t="shared" ca="1" si="969"/>
        <v>0</v>
      </c>
      <c r="AM818" s="10">
        <f t="shared" ca="1" si="969"/>
        <v>0</v>
      </c>
      <c r="AN818" s="10">
        <f t="shared" ca="1" si="969"/>
        <v>0</v>
      </c>
      <c r="AO818" s="10">
        <f t="shared" ca="1" si="969"/>
        <v>0</v>
      </c>
      <c r="AP818" s="10">
        <f t="shared" ca="1" si="969"/>
        <v>0</v>
      </c>
      <c r="AQ818" s="10">
        <f t="shared" ca="1" si="969"/>
        <v>0</v>
      </c>
      <c r="AR818" s="10">
        <f t="shared" ref="AR818:BW818" ca="1" si="970" xml:space="preserve"> $E818 * CPI_Accumulated_From_Date * (Period_length) * AR$49 * $I$698</f>
        <v>0</v>
      </c>
      <c r="AS818" s="10">
        <f t="shared" ca="1" si="970"/>
        <v>0</v>
      </c>
      <c r="AT818" s="10">
        <f t="shared" ca="1" si="970"/>
        <v>0</v>
      </c>
      <c r="AU818" s="10">
        <f t="shared" ca="1" si="970"/>
        <v>0</v>
      </c>
      <c r="AV818" s="10">
        <f t="shared" ca="1" si="970"/>
        <v>0</v>
      </c>
      <c r="AW818" s="10">
        <f t="shared" ca="1" si="970"/>
        <v>0</v>
      </c>
      <c r="AX818" s="10">
        <f t="shared" ca="1" si="970"/>
        <v>0</v>
      </c>
      <c r="AY818" s="10">
        <f t="shared" ca="1" si="970"/>
        <v>0</v>
      </c>
      <c r="AZ818" s="10">
        <f t="shared" ca="1" si="970"/>
        <v>0</v>
      </c>
      <c r="BA818" s="10">
        <f t="shared" ca="1" si="970"/>
        <v>0</v>
      </c>
      <c r="BB818" s="10">
        <f t="shared" ca="1" si="970"/>
        <v>0</v>
      </c>
      <c r="BC818" s="10">
        <f t="shared" ca="1" si="970"/>
        <v>0</v>
      </c>
      <c r="BD818" s="10">
        <f t="shared" ca="1" si="970"/>
        <v>0</v>
      </c>
      <c r="BE818" s="10">
        <f t="shared" ca="1" si="970"/>
        <v>0</v>
      </c>
      <c r="BF818" s="10">
        <f t="shared" ca="1" si="970"/>
        <v>0</v>
      </c>
      <c r="BG818" s="10">
        <f t="shared" ca="1" si="970"/>
        <v>0</v>
      </c>
      <c r="BH818" s="10">
        <f t="shared" ca="1" si="970"/>
        <v>0</v>
      </c>
      <c r="BI818" s="10">
        <f t="shared" ca="1" si="970"/>
        <v>0</v>
      </c>
      <c r="BJ818" s="10">
        <f t="shared" ca="1" si="970"/>
        <v>0</v>
      </c>
      <c r="BK818" s="10">
        <f t="shared" ca="1" si="970"/>
        <v>0</v>
      </c>
      <c r="BL818" s="10">
        <f t="shared" ca="1" si="970"/>
        <v>0</v>
      </c>
      <c r="BM818" s="10">
        <f t="shared" ca="1" si="970"/>
        <v>0</v>
      </c>
      <c r="BN818" s="10">
        <f t="shared" ca="1" si="970"/>
        <v>0</v>
      </c>
      <c r="BO818" s="10">
        <f t="shared" ca="1" si="970"/>
        <v>0</v>
      </c>
      <c r="BP818" s="10">
        <f t="shared" ca="1" si="970"/>
        <v>0</v>
      </c>
      <c r="BQ818" s="10">
        <f t="shared" ca="1" si="970"/>
        <v>0</v>
      </c>
      <c r="BR818" s="10">
        <f t="shared" ca="1" si="970"/>
        <v>0</v>
      </c>
      <c r="BS818" s="10">
        <f t="shared" ca="1" si="970"/>
        <v>0</v>
      </c>
      <c r="BT818" s="10">
        <f t="shared" ca="1" si="970"/>
        <v>0</v>
      </c>
      <c r="BU818" s="10">
        <f t="shared" ca="1" si="970"/>
        <v>0</v>
      </c>
      <c r="BV818" s="10">
        <f t="shared" ca="1" si="970"/>
        <v>0</v>
      </c>
      <c r="BW818" s="10">
        <f t="shared" ca="1" si="970"/>
        <v>0</v>
      </c>
      <c r="BX818" s="10">
        <f t="shared" ref="BX818:CO818" ca="1" si="971" xml:space="preserve"> $E818 * CPI_Accumulated_From_Date * (Period_length) * BX$49 * $I$698</f>
        <v>0</v>
      </c>
      <c r="BY818" s="10">
        <f t="shared" ca="1" si="971"/>
        <v>0</v>
      </c>
      <c r="BZ818" s="10">
        <f t="shared" ca="1" si="971"/>
        <v>0</v>
      </c>
      <c r="CA818" s="10">
        <f t="shared" ca="1" si="971"/>
        <v>0</v>
      </c>
      <c r="CB818" s="10">
        <f t="shared" ca="1" si="971"/>
        <v>0</v>
      </c>
      <c r="CC818" s="10">
        <f t="shared" ca="1" si="971"/>
        <v>0</v>
      </c>
      <c r="CD818" s="10">
        <f t="shared" ca="1" si="971"/>
        <v>0</v>
      </c>
      <c r="CE818" s="10">
        <f t="shared" ca="1" si="971"/>
        <v>0</v>
      </c>
      <c r="CF818" s="10">
        <f t="shared" ca="1" si="971"/>
        <v>0</v>
      </c>
      <c r="CG818" s="10">
        <f t="shared" ca="1" si="971"/>
        <v>0</v>
      </c>
      <c r="CH818" s="10">
        <f t="shared" ca="1" si="971"/>
        <v>0</v>
      </c>
      <c r="CI818" s="10">
        <f t="shared" ca="1" si="971"/>
        <v>0</v>
      </c>
      <c r="CJ818" s="10">
        <f t="shared" ca="1" si="971"/>
        <v>0</v>
      </c>
      <c r="CK818" s="10">
        <f t="shared" ca="1" si="971"/>
        <v>0</v>
      </c>
      <c r="CL818" s="10">
        <f t="shared" ca="1" si="971"/>
        <v>0</v>
      </c>
      <c r="CM818" s="10">
        <f t="shared" ca="1" si="971"/>
        <v>0</v>
      </c>
      <c r="CN818" s="10">
        <f t="shared" ca="1" si="971"/>
        <v>0</v>
      </c>
      <c r="CO818" s="10">
        <f t="shared" ca="1" si="971"/>
        <v>0</v>
      </c>
    </row>
    <row r="819" spans="1:93" ht="15.75" thickTop="1">
      <c r="A819" s="233"/>
      <c r="B819" s="101"/>
      <c r="C819" s="49" t="s">
        <v>745</v>
      </c>
      <c r="D819" s="49"/>
      <c r="E819" s="136"/>
      <c r="F819" s="49"/>
      <c r="G819" s="159" t="str">
        <f t="shared" si="959"/>
        <v>тыс. руб.</v>
      </c>
      <c r="H819" s="49"/>
      <c r="I819" s="23">
        <f t="shared" ca="1" si="960"/>
        <v>2696784.6055936799</v>
      </c>
      <c r="J819" s="49"/>
      <c r="K819" s="49"/>
      <c r="L819" s="49">
        <f ca="1">SUM(L813:L818)</f>
        <v>0</v>
      </c>
      <c r="M819" s="49">
        <f t="shared" ref="M819:BX819" ca="1" si="972">SUM(M813:M818)</f>
        <v>0</v>
      </c>
      <c r="N819" s="49">
        <f t="shared" ca="1" si="972"/>
        <v>0</v>
      </c>
      <c r="O819" s="49">
        <f t="shared" ca="1" si="972"/>
        <v>0</v>
      </c>
      <c r="P819" s="49">
        <f t="shared" ca="1" si="972"/>
        <v>0</v>
      </c>
      <c r="Q819" s="49">
        <f t="shared" ca="1" si="972"/>
        <v>0</v>
      </c>
      <c r="R819" s="49">
        <f t="shared" ca="1" si="972"/>
        <v>0</v>
      </c>
      <c r="S819" s="49">
        <f t="shared" ca="1" si="972"/>
        <v>0</v>
      </c>
      <c r="T819" s="49">
        <f t="shared" ca="1" si="972"/>
        <v>0</v>
      </c>
      <c r="U819" s="49">
        <f t="shared" ca="1" si="972"/>
        <v>0</v>
      </c>
      <c r="V819" s="49">
        <f t="shared" ca="1" si="972"/>
        <v>0</v>
      </c>
      <c r="W819" s="49">
        <f t="shared" ca="1" si="972"/>
        <v>0</v>
      </c>
      <c r="X819" s="49">
        <f t="shared" ca="1" si="972"/>
        <v>0</v>
      </c>
      <c r="Y819" s="49">
        <f t="shared" ca="1" si="972"/>
        <v>0</v>
      </c>
      <c r="Z819" s="49">
        <f t="shared" ca="1" si="972"/>
        <v>0</v>
      </c>
      <c r="AA819" s="49">
        <f t="shared" ca="1" si="972"/>
        <v>0</v>
      </c>
      <c r="AB819" s="49">
        <f t="shared" ca="1" si="972"/>
        <v>0</v>
      </c>
      <c r="AC819" s="49">
        <f t="shared" ca="1" si="972"/>
        <v>22001.244545546775</v>
      </c>
      <c r="AD819" s="49">
        <f t="shared" ca="1" si="972"/>
        <v>42359.688578733054</v>
      </c>
      <c r="AE819" s="49">
        <f t="shared" ca="1" si="972"/>
        <v>15494.309636090224</v>
      </c>
      <c r="AF819" s="49">
        <f t="shared" ca="1" si="972"/>
        <v>13996.503718310538</v>
      </c>
      <c r="AG819" s="49">
        <f t="shared" ca="1" si="972"/>
        <v>25663.772711622732</v>
      </c>
      <c r="AH819" s="49">
        <f t="shared" ca="1" si="972"/>
        <v>49253.209263119963</v>
      </c>
      <c r="AI819" s="49">
        <f t="shared" ca="1" si="972"/>
        <v>17961.317493306989</v>
      </c>
      <c r="AJ819" s="49">
        <f t="shared" ca="1" si="972"/>
        <v>16178.541031125817</v>
      </c>
      <c r="AK819" s="49">
        <f t="shared" ca="1" si="972"/>
        <v>29584.1011397119</v>
      </c>
      <c r="AL819" s="49">
        <f t="shared" ca="1" si="972"/>
        <v>56630.436100531864</v>
      </c>
      <c r="AM819" s="49">
        <f t="shared" ca="1" si="972"/>
        <v>20600.895083683346</v>
      </c>
      <c r="AN819" s="49">
        <f t="shared" ca="1" si="972"/>
        <v>18718.444111050536</v>
      </c>
      <c r="AO819" s="49">
        <f t="shared" ca="1" si="972"/>
        <v>33776.993805709586</v>
      </c>
      <c r="AP819" s="49">
        <f t="shared" ca="1" si="972"/>
        <v>63113.190348725038</v>
      </c>
      <c r="AQ819" s="49">
        <f t="shared" ca="1" si="972"/>
        <v>22423.915830165592</v>
      </c>
      <c r="AR819" s="49">
        <f t="shared" ca="1" si="972"/>
        <v>19691.893505105691</v>
      </c>
      <c r="AS819" s="49">
        <f t="shared" ca="1" si="972"/>
        <v>35128.073557937954</v>
      </c>
      <c r="AT819" s="49">
        <f t="shared" ca="1" si="972"/>
        <v>65637.71796267404</v>
      </c>
      <c r="AU819" s="49">
        <f t="shared" ca="1" si="972"/>
        <v>23320.872463372216</v>
      </c>
      <c r="AV819" s="49">
        <f t="shared" ca="1" si="972"/>
        <v>20479.569245309915</v>
      </c>
      <c r="AW819" s="49">
        <f t="shared" ca="1" si="972"/>
        <v>36533.196500255486</v>
      </c>
      <c r="AX819" s="49">
        <f t="shared" ca="1" si="972"/>
        <v>68263.226681180997</v>
      </c>
      <c r="AY819" s="49">
        <f t="shared" ca="1" si="972"/>
        <v>24253.707361907102</v>
      </c>
      <c r="AZ819" s="49">
        <f t="shared" ca="1" si="972"/>
        <v>21298.752015122311</v>
      </c>
      <c r="BA819" s="49">
        <f t="shared" ca="1" si="972"/>
        <v>37994.524360265685</v>
      </c>
      <c r="BB819" s="49">
        <f t="shared" ca="1" si="972"/>
        <v>70993.755748428215</v>
      </c>
      <c r="BC819" s="49">
        <f t="shared" ca="1" si="972"/>
        <v>25223.855656383374</v>
      </c>
      <c r="BD819" s="49">
        <f t="shared" ca="1" si="972"/>
        <v>22396.821007901948</v>
      </c>
      <c r="BE819" s="49">
        <f t="shared" ca="1" si="972"/>
        <v>39514.305334676319</v>
      </c>
      <c r="BF819" s="49">
        <f t="shared" ca="1" si="972"/>
        <v>73833.505978365312</v>
      </c>
      <c r="BG819" s="49">
        <f t="shared" ca="1" si="972"/>
        <v>26232.809882638714</v>
      </c>
      <c r="BH819" s="49">
        <f t="shared" ca="1" si="972"/>
        <v>23036.730179556282</v>
      </c>
      <c r="BI819" s="49">
        <f t="shared" ca="1" si="972"/>
        <v>41094.877548063356</v>
      </c>
      <c r="BJ819" s="49">
        <f t="shared" ca="1" si="972"/>
        <v>76786.846217499915</v>
      </c>
      <c r="BK819" s="49">
        <f t="shared" ca="1" si="972"/>
        <v>27282.122277944261</v>
      </c>
      <c r="BL819" s="49">
        <f t="shared" ca="1" si="972"/>
        <v>23958.199386738539</v>
      </c>
      <c r="BM819" s="49">
        <f t="shared" ca="1" si="972"/>
        <v>42738.672649985892</v>
      </c>
      <c r="BN819" s="49">
        <f t="shared" ca="1" si="972"/>
        <v>79858.3200661999</v>
      </c>
      <c r="BO819" s="49">
        <f t="shared" ca="1" si="972"/>
        <v>28373.407169062033</v>
      </c>
      <c r="BP819" s="49">
        <f t="shared" ca="1" si="972"/>
        <v>24916.527362208071</v>
      </c>
      <c r="BQ819" s="49">
        <f t="shared" ca="1" si="972"/>
        <v>44448.219555985313</v>
      </c>
      <c r="BR819" s="49">
        <f t="shared" ca="1" si="972"/>
        <v>83052.652868847887</v>
      </c>
      <c r="BS819" s="49">
        <f t="shared" ca="1" si="972"/>
        <v>29508.343455824495</v>
      </c>
      <c r="BT819" s="49">
        <f t="shared" ca="1" si="972"/>
        <v>26201.112772881897</v>
      </c>
      <c r="BU819" s="49">
        <f t="shared" ca="1" si="972"/>
        <v>46226.148338224724</v>
      </c>
      <c r="BV819" s="49">
        <f t="shared" ca="1" si="972"/>
        <v>86374.758983601787</v>
      </c>
      <c r="BW819" s="49">
        <f t="shared" ca="1" si="972"/>
        <v>30688.677194057476</v>
      </c>
      <c r="BX819" s="49">
        <f t="shared" ca="1" si="972"/>
        <v>26949.715994964237</v>
      </c>
      <c r="BY819" s="49">
        <f t="shared" ref="BY819:CO819" ca="1" si="973">SUM(BY813:BY818)</f>
        <v>48075.194271753717</v>
      </c>
      <c r="BZ819" s="49">
        <f t="shared" ca="1" si="973"/>
        <v>89829.749342945855</v>
      </c>
      <c r="CA819" s="49">
        <f t="shared" ca="1" si="973"/>
        <v>31916.22428181977</v>
      </c>
      <c r="CB819" s="49">
        <f t="shared" ca="1" si="973"/>
        <v>28027.704634762806</v>
      </c>
      <c r="CC819" s="49">
        <f t="shared" ca="1" si="973"/>
        <v>49998.202042623845</v>
      </c>
      <c r="CD819" s="49">
        <f t="shared" ca="1" si="973"/>
        <v>93422.939316663687</v>
      </c>
      <c r="CE819" s="49">
        <f t="shared" ca="1" si="973"/>
        <v>33192.873253092555</v>
      </c>
      <c r="CF819" s="49">
        <f t="shared" ca="1" si="973"/>
        <v>29148.812820153318</v>
      </c>
      <c r="CG819" s="49">
        <f t="shared" ca="1" si="973"/>
        <v>51998.130124328789</v>
      </c>
      <c r="CH819" s="49">
        <f t="shared" ca="1" si="973"/>
        <v>97159.856889330214</v>
      </c>
      <c r="CI819" s="49">
        <f t="shared" ca="1" si="973"/>
        <v>34520.588183216256</v>
      </c>
      <c r="CJ819" s="49">
        <f t="shared" ca="1" si="973"/>
        <v>30651.596058881212</v>
      </c>
      <c r="CK819" s="49">
        <f t="shared" ca="1" si="973"/>
        <v>54078.055329301933</v>
      </c>
      <c r="CL819" s="49">
        <f t="shared" ca="1" si="973"/>
        <v>101046.25116490343</v>
      </c>
      <c r="CM819" s="49">
        <f t="shared" ca="1" si="973"/>
        <v>35901.411710544911</v>
      </c>
      <c r="CN819" s="49">
        <f t="shared" ca="1" si="973"/>
        <v>31527.355946277825</v>
      </c>
      <c r="CO819" s="49">
        <f t="shared" ca="1" si="973"/>
        <v>56241.177542474019</v>
      </c>
    </row>
    <row r="820" spans="1:93">
      <c r="A820" s="10"/>
      <c r="B820" s="10"/>
      <c r="C820" s="10"/>
      <c r="D820" s="10"/>
      <c r="E820" s="10"/>
      <c r="F820" s="10"/>
      <c r="G820" s="11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  <c r="BA820" s="10"/>
      <c r="BB820" s="10"/>
      <c r="BC820" s="10"/>
      <c r="BD820" s="10"/>
      <c r="BE820" s="10"/>
      <c r="BF820" s="10"/>
      <c r="BG820" s="10"/>
      <c r="BH820" s="10"/>
      <c r="BI820" s="10"/>
      <c r="BJ820" s="10"/>
      <c r="BK820" s="10"/>
      <c r="BL820" s="10"/>
      <c r="BM820" s="10"/>
      <c r="BN820" s="10"/>
      <c r="BO820" s="10"/>
      <c r="BP820" s="10"/>
      <c r="BQ820" s="10"/>
      <c r="BR820" s="10"/>
      <c r="BS820" s="10"/>
      <c r="BT820" s="10"/>
      <c r="BU820" s="10"/>
      <c r="BV820" s="10"/>
      <c r="BW820" s="10"/>
      <c r="BX820" s="10"/>
      <c r="BY820" s="10"/>
      <c r="BZ820" s="10"/>
      <c r="CA820" s="10"/>
      <c r="CB820" s="10"/>
      <c r="CC820" s="10"/>
      <c r="CD820" s="10"/>
      <c r="CE820" s="10"/>
      <c r="CF820" s="10"/>
      <c r="CG820" s="10"/>
      <c r="CH820" s="10"/>
      <c r="CI820" s="10"/>
      <c r="CJ820" s="10"/>
      <c r="CK820" s="10"/>
      <c r="CL820" s="10"/>
      <c r="CM820" s="10"/>
      <c r="CN820" s="10"/>
      <c r="CO820" s="10"/>
    </row>
    <row r="821" spans="1:93" ht="16.5" thickBot="1">
      <c r="A821" s="10"/>
      <c r="B821" s="10"/>
      <c r="C821" s="26" t="s">
        <v>871</v>
      </c>
      <c r="D821" s="26"/>
      <c r="E821" s="26"/>
      <c r="F821" s="26"/>
      <c r="G821" s="26"/>
      <c r="H821" s="26"/>
      <c r="I821" s="26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  <c r="BA821" s="10"/>
      <c r="BB821" s="10"/>
      <c r="BC821" s="10"/>
      <c r="BD821" s="10"/>
      <c r="BE821" s="10"/>
      <c r="BF821" s="10"/>
      <c r="BG821" s="10"/>
      <c r="BH821" s="10"/>
      <c r="BI821" s="10"/>
      <c r="BJ821" s="10"/>
      <c r="BK821" s="10"/>
      <c r="BL821" s="10"/>
      <c r="BM821" s="10"/>
      <c r="BN821" s="10"/>
      <c r="BO821" s="10"/>
      <c r="BP821" s="10"/>
      <c r="BQ821" s="10"/>
      <c r="BR821" s="10"/>
      <c r="BS821" s="10"/>
      <c r="BT821" s="10"/>
      <c r="BU821" s="10"/>
      <c r="BV821" s="10"/>
      <c r="BW821" s="10"/>
      <c r="BX821" s="10"/>
      <c r="BY821" s="10"/>
      <c r="BZ821" s="10"/>
      <c r="CA821" s="10"/>
      <c r="CB821" s="10"/>
      <c r="CC821" s="10"/>
      <c r="CD821" s="10"/>
      <c r="CE821" s="10"/>
      <c r="CF821" s="10"/>
      <c r="CG821" s="10"/>
      <c r="CH821" s="10"/>
      <c r="CI821" s="10"/>
      <c r="CJ821" s="10"/>
      <c r="CK821" s="10"/>
      <c r="CL821" s="10"/>
      <c r="CM821" s="10"/>
      <c r="CN821" s="10"/>
      <c r="CO821" s="10"/>
    </row>
    <row r="822" spans="1:93" ht="15.75" thickTop="1">
      <c r="A822" s="10"/>
      <c r="B822" s="10"/>
      <c r="C822" s="10"/>
      <c r="D822" s="10"/>
      <c r="E822" s="10"/>
      <c r="F822" s="10"/>
      <c r="G822" s="11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  <c r="BA822" s="10"/>
      <c r="BB822" s="10"/>
      <c r="BC822" s="10"/>
      <c r="BD822" s="10"/>
      <c r="BE822" s="10"/>
      <c r="BF822" s="10"/>
      <c r="BG822" s="10"/>
      <c r="BH822" s="10"/>
      <c r="BI822" s="10"/>
      <c r="BJ822" s="10"/>
      <c r="BK822" s="10"/>
      <c r="BL822" s="10"/>
      <c r="BM822" s="10"/>
      <c r="BN822" s="10"/>
      <c r="BO822" s="10"/>
      <c r="BP822" s="10"/>
      <c r="BQ822" s="10"/>
      <c r="BR822" s="10"/>
      <c r="BS822" s="10"/>
      <c r="BT822" s="10"/>
      <c r="BU822" s="10"/>
      <c r="BV822" s="10"/>
      <c r="BW822" s="10"/>
      <c r="BX822" s="10"/>
      <c r="BY822" s="10"/>
      <c r="BZ822" s="10"/>
      <c r="CA822" s="10"/>
      <c r="CB822" s="10"/>
      <c r="CC822" s="10"/>
      <c r="CD822" s="10"/>
      <c r="CE822" s="10"/>
      <c r="CF822" s="10"/>
      <c r="CG822" s="10"/>
      <c r="CH822" s="10"/>
      <c r="CI822" s="10"/>
      <c r="CJ822" s="10"/>
      <c r="CK822" s="10"/>
      <c r="CL822" s="10"/>
      <c r="CM822" s="10"/>
      <c r="CN822" s="10"/>
      <c r="CO822" s="10"/>
    </row>
    <row r="823" spans="1:93">
      <c r="A823" s="10"/>
      <c r="B823" s="10"/>
      <c r="C823" s="17" t="s">
        <v>700</v>
      </c>
      <c r="D823" s="10"/>
      <c r="E823" s="10"/>
      <c r="F823" s="10"/>
      <c r="G823" s="11" t="str">
        <f>Monetary_Unit</f>
        <v>тыс. руб.</v>
      </c>
      <c r="H823" s="10"/>
      <c r="I823" s="23">
        <f ca="1">SUM(L823:CO823)</f>
        <v>11379124.960866706</v>
      </c>
      <c r="J823" s="10"/>
      <c r="K823" s="10"/>
      <c r="L823" s="10">
        <f ca="1" xml:space="preserve"> L777</f>
        <v>0</v>
      </c>
      <c r="M823" s="10">
        <f t="shared" ref="M823:BX823" ca="1" si="974" xml:space="preserve"> M777</f>
        <v>0</v>
      </c>
      <c r="N823" s="10">
        <f t="shared" ca="1" si="974"/>
        <v>0</v>
      </c>
      <c r="O823" s="10">
        <f t="shared" ca="1" si="974"/>
        <v>0</v>
      </c>
      <c r="P823" s="10">
        <f t="shared" ca="1" si="974"/>
        <v>0</v>
      </c>
      <c r="Q823" s="10">
        <f t="shared" ca="1" si="974"/>
        <v>0</v>
      </c>
      <c r="R823" s="10">
        <f t="shared" ca="1" si="974"/>
        <v>0</v>
      </c>
      <c r="S823" s="10">
        <f t="shared" ca="1" si="974"/>
        <v>0</v>
      </c>
      <c r="T823" s="10">
        <f t="shared" ca="1" si="974"/>
        <v>0</v>
      </c>
      <c r="U823" s="10">
        <f t="shared" ca="1" si="974"/>
        <v>0</v>
      </c>
      <c r="V823" s="10">
        <f t="shared" ca="1" si="974"/>
        <v>0</v>
      </c>
      <c r="W823" s="10">
        <f t="shared" ca="1" si="974"/>
        <v>0</v>
      </c>
      <c r="X823" s="10">
        <f t="shared" ca="1" si="974"/>
        <v>0</v>
      </c>
      <c r="Y823" s="10">
        <f t="shared" ca="1" si="974"/>
        <v>0</v>
      </c>
      <c r="Z823" s="10">
        <f t="shared" ca="1" si="974"/>
        <v>0</v>
      </c>
      <c r="AA823" s="10">
        <f t="shared" ca="1" si="974"/>
        <v>0</v>
      </c>
      <c r="AB823" s="10">
        <f t="shared" ca="1" si="974"/>
        <v>0</v>
      </c>
      <c r="AC823" s="10">
        <f t="shared" ca="1" si="974"/>
        <v>94863.539648256483</v>
      </c>
      <c r="AD823" s="10">
        <f t="shared" ca="1" si="974"/>
        <v>166172.70922133251</v>
      </c>
      <c r="AE823" s="10">
        <f t="shared" ca="1" si="974"/>
        <v>70126.773346674221</v>
      </c>
      <c r="AF823" s="10">
        <f t="shared" ca="1" si="974"/>
        <v>65007.321226096312</v>
      </c>
      <c r="AG823" s="10">
        <f t="shared" ca="1" si="974"/>
        <v>110655.39111266496</v>
      </c>
      <c r="AH823" s="10">
        <f t="shared" ca="1" si="974"/>
        <v>193215.28310779354</v>
      </c>
      <c r="AI823" s="10">
        <f t="shared" ca="1" si="974"/>
        <v>81292.375745927609</v>
      </c>
      <c r="AJ823" s="10">
        <f t="shared" ca="1" si="974"/>
        <v>75141.880782990585</v>
      </c>
      <c r="AK823" s="10">
        <f t="shared" ca="1" si="974"/>
        <v>127558.80903078901</v>
      </c>
      <c r="AL823" s="10">
        <f t="shared" ca="1" si="974"/>
        <v>222155.38657041721</v>
      </c>
      <c r="AM823" s="10">
        <f t="shared" ca="1" si="974"/>
        <v>93239.023499766627</v>
      </c>
      <c r="AN823" s="10">
        <f t="shared" ca="1" si="974"/>
        <v>86938.562205924405</v>
      </c>
      <c r="AO823" s="10">
        <f t="shared" ca="1" si="974"/>
        <v>145637.4517565826</v>
      </c>
      <c r="AP823" s="10">
        <f t="shared" ca="1" si="974"/>
        <v>247586.56590111722</v>
      </c>
      <c r="AQ823" s="10">
        <f t="shared" ca="1" si="974"/>
        <v>101489.95985623827</v>
      </c>
      <c r="AR823" s="10">
        <f t="shared" ca="1" si="974"/>
        <v>91459.786843896436</v>
      </c>
      <c r="AS823" s="10">
        <f t="shared" ca="1" si="974"/>
        <v>151462.94982684593</v>
      </c>
      <c r="AT823" s="10">
        <f t="shared" ca="1" si="974"/>
        <v>257490.02853716194</v>
      </c>
      <c r="AU823" s="10">
        <f t="shared" ca="1" si="974"/>
        <v>105549.5582504878</v>
      </c>
      <c r="AV823" s="10">
        <f t="shared" ca="1" si="974"/>
        <v>95118.178317652259</v>
      </c>
      <c r="AW823" s="10">
        <f t="shared" ca="1" si="974"/>
        <v>157521.46781991969</v>
      </c>
      <c r="AX823" s="10">
        <f t="shared" ca="1" si="974"/>
        <v>267789.62967864831</v>
      </c>
      <c r="AY823" s="10">
        <f t="shared" ca="1" si="974"/>
        <v>109771.54058050728</v>
      </c>
      <c r="AZ823" s="10">
        <f t="shared" ca="1" si="974"/>
        <v>98922.905450358317</v>
      </c>
      <c r="BA823" s="10">
        <f t="shared" ca="1" si="974"/>
        <v>163822.32653271643</v>
      </c>
      <c r="BB823" s="10">
        <f t="shared" ca="1" si="974"/>
        <v>278501.21486579411</v>
      </c>
      <c r="BC823" s="10">
        <f t="shared" ca="1" si="974"/>
        <v>114162.40220372754</v>
      </c>
      <c r="BD823" s="10">
        <f t="shared" ca="1" si="974"/>
        <v>104022.93079802122</v>
      </c>
      <c r="BE823" s="10">
        <f t="shared" ca="1" si="974"/>
        <v>170375.21959402511</v>
      </c>
      <c r="BF823" s="10">
        <f t="shared" ca="1" si="974"/>
        <v>289641.26346042601</v>
      </c>
      <c r="BG823" s="10">
        <f t="shared" ca="1" si="974"/>
        <v>118728.8982918766</v>
      </c>
      <c r="BH823" s="10">
        <f t="shared" ca="1" si="974"/>
        <v>106995.01453510756</v>
      </c>
      <c r="BI823" s="10">
        <f t="shared" ca="1" si="974"/>
        <v>177190.22837778606</v>
      </c>
      <c r="BJ823" s="10">
        <f t="shared" ca="1" si="974"/>
        <v>301226.91399884282</v>
      </c>
      <c r="BK823" s="10">
        <f t="shared" ca="1" si="974"/>
        <v>123478.05422355169</v>
      </c>
      <c r="BL823" s="10">
        <f t="shared" ca="1" si="974"/>
        <v>111274.81511651186</v>
      </c>
      <c r="BM823" s="10">
        <f t="shared" ca="1" si="974"/>
        <v>184277.83751289753</v>
      </c>
      <c r="BN823" s="10">
        <f t="shared" ca="1" si="974"/>
        <v>313275.99055879656</v>
      </c>
      <c r="BO823" s="10">
        <f t="shared" ca="1" si="974"/>
        <v>128417.17639249371</v>
      </c>
      <c r="BP823" s="10">
        <f t="shared" ca="1" si="974"/>
        <v>115725.80772117228</v>
      </c>
      <c r="BQ823" s="10">
        <f t="shared" ca="1" si="974"/>
        <v>191648.95101341332</v>
      </c>
      <c r="BR823" s="10">
        <f t="shared" ca="1" si="974"/>
        <v>325807.03018114838</v>
      </c>
      <c r="BS823" s="10">
        <f t="shared" ca="1" si="974"/>
        <v>133553.86344819347</v>
      </c>
      <c r="BT823" s="10">
        <f t="shared" ca="1" si="974"/>
        <v>121692.1160303527</v>
      </c>
      <c r="BU823" s="10">
        <f t="shared" ca="1" si="974"/>
        <v>199314.90905394987</v>
      </c>
      <c r="BV823" s="10">
        <f t="shared" ca="1" si="974"/>
        <v>338839.31138839421</v>
      </c>
      <c r="BW823" s="10">
        <f t="shared" ca="1" si="974"/>
        <v>138896.01798612115</v>
      </c>
      <c r="BX823" s="10">
        <f t="shared" ca="1" si="974"/>
        <v>125169.03363121992</v>
      </c>
      <c r="BY823" s="10">
        <f t="shared" ref="BY823:CO823" ca="1" si="975" xml:space="preserve"> BY777</f>
        <v>207287.5054161078</v>
      </c>
      <c r="BZ823" s="10">
        <f t="shared" ca="1" si="975"/>
        <v>352392.88384393003</v>
      </c>
      <c r="CA823" s="10">
        <f t="shared" ca="1" si="975"/>
        <v>144451.85870556597</v>
      </c>
      <c r="CB823" s="10">
        <f t="shared" ca="1" si="975"/>
        <v>130175.79497646871</v>
      </c>
      <c r="CC823" s="10">
        <f t="shared" ca="1" si="975"/>
        <v>215579.00563275215</v>
      </c>
      <c r="CD823" s="10">
        <f t="shared" ca="1" si="975"/>
        <v>366488.59919768717</v>
      </c>
      <c r="CE823" s="10">
        <f t="shared" ca="1" si="975"/>
        <v>150229.93305378867</v>
      </c>
      <c r="CF823" s="10">
        <f t="shared" ca="1" si="975"/>
        <v>135382.82677552741</v>
      </c>
      <c r="CG823" s="10">
        <f t="shared" ca="1" si="975"/>
        <v>224202.16585806219</v>
      </c>
      <c r="CH823" s="10">
        <f t="shared" ca="1" si="975"/>
        <v>381148.14316559478</v>
      </c>
      <c r="CI823" s="10">
        <f t="shared" ca="1" si="975"/>
        <v>156239.13037594024</v>
      </c>
      <c r="CJ823" s="10">
        <f t="shared" ca="1" si="975"/>
        <v>142362.56362262132</v>
      </c>
      <c r="CK823" s="10">
        <f t="shared" ca="1" si="975"/>
        <v>233170.25249238469</v>
      </c>
      <c r="CL823" s="10">
        <f t="shared" ca="1" si="975"/>
        <v>396394.06889221846</v>
      </c>
      <c r="CM823" s="10">
        <f t="shared" ca="1" si="975"/>
        <v>162488.69559097773</v>
      </c>
      <c r="CN823" s="10">
        <f t="shared" ca="1" si="975"/>
        <v>146430.0654404104</v>
      </c>
      <c r="CO823" s="10">
        <f t="shared" ca="1" si="975"/>
        <v>242497.06259208001</v>
      </c>
    </row>
    <row r="824" spans="1:93">
      <c r="A824" s="10"/>
      <c r="B824" s="10"/>
      <c r="C824" s="17" t="s">
        <v>728</v>
      </c>
      <c r="D824" s="10"/>
      <c r="E824" s="10"/>
      <c r="F824" s="10"/>
      <c r="G824" s="11" t="str">
        <f>Monetary_Unit</f>
        <v>тыс. руб.</v>
      </c>
      <c r="H824" s="10"/>
      <c r="I824" s="23">
        <f ca="1">SUM(L824:CO824)</f>
        <v>4397489.5851299511</v>
      </c>
      <c r="J824" s="10"/>
      <c r="K824" s="10"/>
      <c r="L824" s="10">
        <f ca="1" xml:space="preserve"> L796</f>
        <v>0</v>
      </c>
      <c r="M824" s="10">
        <f t="shared" ref="M824:BX824" ca="1" si="976" xml:space="preserve"> M796</f>
        <v>0</v>
      </c>
      <c r="N824" s="10">
        <f t="shared" ca="1" si="976"/>
        <v>0</v>
      </c>
      <c r="O824" s="10">
        <f t="shared" ca="1" si="976"/>
        <v>0</v>
      </c>
      <c r="P824" s="10">
        <f t="shared" ca="1" si="976"/>
        <v>0</v>
      </c>
      <c r="Q824" s="10">
        <f t="shared" ca="1" si="976"/>
        <v>0</v>
      </c>
      <c r="R824" s="10">
        <f t="shared" ca="1" si="976"/>
        <v>0</v>
      </c>
      <c r="S824" s="10">
        <f t="shared" ca="1" si="976"/>
        <v>0</v>
      </c>
      <c r="T824" s="10">
        <f t="shared" ca="1" si="976"/>
        <v>0</v>
      </c>
      <c r="U824" s="10">
        <f t="shared" ca="1" si="976"/>
        <v>0</v>
      </c>
      <c r="V824" s="10">
        <f t="shared" ca="1" si="976"/>
        <v>0</v>
      </c>
      <c r="W824" s="10">
        <f t="shared" ca="1" si="976"/>
        <v>0</v>
      </c>
      <c r="X824" s="10">
        <f t="shared" ca="1" si="976"/>
        <v>0</v>
      </c>
      <c r="Y824" s="10">
        <f t="shared" ca="1" si="976"/>
        <v>0</v>
      </c>
      <c r="Z824" s="10">
        <f t="shared" ca="1" si="976"/>
        <v>0</v>
      </c>
      <c r="AA824" s="10">
        <f t="shared" ca="1" si="976"/>
        <v>0</v>
      </c>
      <c r="AB824" s="10">
        <f t="shared" ca="1" si="976"/>
        <v>0</v>
      </c>
      <c r="AC824" s="10">
        <f t="shared" ca="1" si="976"/>
        <v>36000.213669011653</v>
      </c>
      <c r="AD824" s="10">
        <f t="shared" ca="1" si="976"/>
        <v>68305.174187832148</v>
      </c>
      <c r="AE824" s="10">
        <f t="shared" ca="1" si="976"/>
        <v>25556.016326513789</v>
      </c>
      <c r="AF824" s="10">
        <f t="shared" ca="1" si="976"/>
        <v>23187.043400183946</v>
      </c>
      <c r="AG824" s="10">
        <f t="shared" ca="1" si="976"/>
        <v>41993.13812719626</v>
      </c>
      <c r="AH824" s="10">
        <f t="shared" ca="1" si="976"/>
        <v>79421.004990962057</v>
      </c>
      <c r="AI824" s="10">
        <f t="shared" ca="1" si="976"/>
        <v>29625.051640602065</v>
      </c>
      <c r="AJ824" s="10">
        <f t="shared" ca="1" si="976"/>
        <v>26801.874281618937</v>
      </c>
      <c r="AK824" s="10">
        <f t="shared" ca="1" si="976"/>
        <v>48407.896200165225</v>
      </c>
      <c r="AL824" s="10">
        <f t="shared" ca="1" si="976"/>
        <v>91316.81397964184</v>
      </c>
      <c r="AM824" s="10">
        <f t="shared" ca="1" si="976"/>
        <v>33978.720153694994</v>
      </c>
      <c r="AN824" s="10">
        <f t="shared" ca="1" si="976"/>
        <v>31009.556723729853</v>
      </c>
      <c r="AO824" s="10">
        <f t="shared" ca="1" si="976"/>
        <v>55268.64589796817</v>
      </c>
      <c r="AP824" s="10">
        <f t="shared" ca="1" si="976"/>
        <v>101770.28219427969</v>
      </c>
      <c r="AQ824" s="10">
        <f t="shared" ca="1" si="976"/>
        <v>36985.575512526571</v>
      </c>
      <c r="AR824" s="10">
        <f t="shared" ca="1" si="976"/>
        <v>32622.203267617191</v>
      </c>
      <c r="AS824" s="10">
        <f t="shared" ca="1" si="976"/>
        <v>57479.391733886892</v>
      </c>
      <c r="AT824" s="10">
        <f t="shared" ca="1" si="976"/>
        <v>105841.09348205087</v>
      </c>
      <c r="AU824" s="10">
        <f t="shared" ca="1" si="976"/>
        <v>38464.998533027618</v>
      </c>
      <c r="AV824" s="10">
        <f t="shared" ca="1" si="976"/>
        <v>33927.091398321863</v>
      </c>
      <c r="AW824" s="10">
        <f t="shared" ca="1" si="976"/>
        <v>59778.567403242356</v>
      </c>
      <c r="AX824" s="10">
        <f t="shared" ca="1" si="976"/>
        <v>110074.73722133289</v>
      </c>
      <c r="AY824" s="10">
        <f t="shared" ca="1" si="976"/>
        <v>40003.598474348728</v>
      </c>
      <c r="AZ824" s="10">
        <f t="shared" ca="1" si="976"/>
        <v>35284.175054254738</v>
      </c>
      <c r="BA824" s="10">
        <f t="shared" ca="1" si="976"/>
        <v>62169.710099372045</v>
      </c>
      <c r="BB824" s="10">
        <f t="shared" ca="1" si="976"/>
        <v>114477.72671018618</v>
      </c>
      <c r="BC824" s="10">
        <f t="shared" ca="1" si="976"/>
        <v>41603.742413322667</v>
      </c>
      <c r="BD824" s="10">
        <f t="shared" ca="1" si="976"/>
        <v>37103.270301496319</v>
      </c>
      <c r="BE824" s="10">
        <f t="shared" ca="1" si="976"/>
        <v>64656.498503346906</v>
      </c>
      <c r="BF824" s="10">
        <f t="shared" ca="1" si="976"/>
        <v>119056.83577859361</v>
      </c>
      <c r="BG824" s="10">
        <f t="shared" ca="1" si="976"/>
        <v>43267.892109855566</v>
      </c>
      <c r="BH824" s="10">
        <f t="shared" ca="1" si="976"/>
        <v>38163.36373868191</v>
      </c>
      <c r="BI824" s="10">
        <f t="shared" ca="1" si="976"/>
        <v>67242.75844348078</v>
      </c>
      <c r="BJ824" s="10">
        <f t="shared" ca="1" si="976"/>
        <v>123819.10920973732</v>
      </c>
      <c r="BK824" s="10">
        <f t="shared" ca="1" si="976"/>
        <v>44998.607794249787</v>
      </c>
      <c r="BL824" s="10">
        <f t="shared" ca="1" si="976"/>
        <v>39689.898288229197</v>
      </c>
      <c r="BM824" s="10">
        <f t="shared" ca="1" si="976"/>
        <v>69932.468781220014</v>
      </c>
      <c r="BN824" s="10">
        <f t="shared" ca="1" si="976"/>
        <v>128771.87357812679</v>
      </c>
      <c r="BO824" s="10">
        <f t="shared" ca="1" si="976"/>
        <v>46798.552106019764</v>
      </c>
      <c r="BP824" s="10">
        <f t="shared" ca="1" si="976"/>
        <v>41277.494219758344</v>
      </c>
      <c r="BQ824" s="10">
        <f t="shared" ca="1" si="976"/>
        <v>72729.767532468803</v>
      </c>
      <c r="BR824" s="10">
        <f t="shared" ca="1" si="976"/>
        <v>133922.74852125187</v>
      </c>
      <c r="BS824" s="10">
        <f t="shared" ca="1" si="976"/>
        <v>48670.49419026055</v>
      </c>
      <c r="BT824" s="10">
        <f t="shared" ca="1" si="976"/>
        <v>43405.57836619921</v>
      </c>
      <c r="BU824" s="10">
        <f t="shared" ca="1" si="976"/>
        <v>75638.958233767524</v>
      </c>
      <c r="BV824" s="10">
        <f t="shared" ca="1" si="976"/>
        <v>139279.65846210188</v>
      </c>
      <c r="BW824" s="10">
        <f t="shared" ca="1" si="976"/>
        <v>50617.31395787096</v>
      </c>
      <c r="BX824" s="10">
        <f t="shared" ca="1" si="976"/>
        <v>44645.737748090614</v>
      </c>
      <c r="BY824" s="10">
        <f t="shared" ref="BY824:CO824" ca="1" si="977" xml:space="preserve"> BY796</f>
        <v>78664.516563118217</v>
      </c>
      <c r="BZ824" s="10">
        <f t="shared" ca="1" si="977"/>
        <v>144850.84480058597</v>
      </c>
      <c r="CA824" s="10">
        <f t="shared" ca="1" si="977"/>
        <v>52642.006516185793</v>
      </c>
      <c r="CB824" s="10">
        <f t="shared" ca="1" si="977"/>
        <v>46431.567258014242</v>
      </c>
      <c r="CC824" s="10">
        <f t="shared" ca="1" si="977"/>
        <v>81811.097225642938</v>
      </c>
      <c r="CD824" s="10">
        <f t="shared" ca="1" si="977"/>
        <v>150644.87859260937</v>
      </c>
      <c r="CE824" s="10">
        <f t="shared" ca="1" si="977"/>
        <v>54747.686776833223</v>
      </c>
      <c r="CF824" s="10">
        <f t="shared" ca="1" si="977"/>
        <v>48288.829948334787</v>
      </c>
      <c r="CG824" s="10">
        <f t="shared" ca="1" si="977"/>
        <v>85083.541114668638</v>
      </c>
      <c r="CH824" s="10">
        <f t="shared" ca="1" si="977"/>
        <v>156670.67373631377</v>
      </c>
      <c r="CI824" s="10">
        <f t="shared" ca="1" si="977"/>
        <v>56937.594247906549</v>
      </c>
      <c r="CJ824" s="10">
        <f t="shared" ca="1" si="977"/>
        <v>50778.387403448949</v>
      </c>
      <c r="CK824" s="10">
        <f t="shared" ca="1" si="977"/>
        <v>88486.882759255401</v>
      </c>
      <c r="CL824" s="10">
        <f t="shared" ca="1" si="977"/>
        <v>162937.50068576628</v>
      </c>
      <c r="CM824" s="10">
        <f t="shared" ca="1" si="977"/>
        <v>59215.098017822806</v>
      </c>
      <c r="CN824" s="10">
        <f t="shared" ca="1" si="977"/>
        <v>52229.198472118907</v>
      </c>
      <c r="CO824" s="10">
        <f t="shared" ca="1" si="977"/>
        <v>92026.358069625596</v>
      </c>
    </row>
    <row r="825" spans="1:93" ht="15.75" thickBot="1">
      <c r="A825" s="10"/>
      <c r="B825" s="10"/>
      <c r="C825" s="17" t="s">
        <v>730</v>
      </c>
      <c r="D825" s="10"/>
      <c r="E825" s="10"/>
      <c r="F825" s="10"/>
      <c r="G825" s="11" t="str">
        <f>Monetary_Unit</f>
        <v>тыс. руб.</v>
      </c>
      <c r="H825" s="10"/>
      <c r="I825" s="23">
        <f ca="1">SUM(L825:CO825)</f>
        <v>2696784.6055936799</v>
      </c>
      <c r="J825" s="10"/>
      <c r="K825" s="10"/>
      <c r="L825" s="10">
        <f ca="1" xml:space="preserve"> L819</f>
        <v>0</v>
      </c>
      <c r="M825" s="10">
        <f t="shared" ref="M825:BX825" ca="1" si="978" xml:space="preserve"> M819</f>
        <v>0</v>
      </c>
      <c r="N825" s="10">
        <f t="shared" ca="1" si="978"/>
        <v>0</v>
      </c>
      <c r="O825" s="10">
        <f t="shared" ca="1" si="978"/>
        <v>0</v>
      </c>
      <c r="P825" s="10">
        <f t="shared" ca="1" si="978"/>
        <v>0</v>
      </c>
      <c r="Q825" s="10">
        <f t="shared" ca="1" si="978"/>
        <v>0</v>
      </c>
      <c r="R825" s="10">
        <f t="shared" ca="1" si="978"/>
        <v>0</v>
      </c>
      <c r="S825" s="10">
        <f t="shared" ca="1" si="978"/>
        <v>0</v>
      </c>
      <c r="T825" s="10">
        <f t="shared" ca="1" si="978"/>
        <v>0</v>
      </c>
      <c r="U825" s="10">
        <f t="shared" ca="1" si="978"/>
        <v>0</v>
      </c>
      <c r="V825" s="10">
        <f t="shared" ca="1" si="978"/>
        <v>0</v>
      </c>
      <c r="W825" s="10">
        <f t="shared" ca="1" si="978"/>
        <v>0</v>
      </c>
      <c r="X825" s="10">
        <f t="shared" ca="1" si="978"/>
        <v>0</v>
      </c>
      <c r="Y825" s="10">
        <f t="shared" ca="1" si="978"/>
        <v>0</v>
      </c>
      <c r="Z825" s="10">
        <f t="shared" ca="1" si="978"/>
        <v>0</v>
      </c>
      <c r="AA825" s="10">
        <f t="shared" ca="1" si="978"/>
        <v>0</v>
      </c>
      <c r="AB825" s="10">
        <f t="shared" ca="1" si="978"/>
        <v>0</v>
      </c>
      <c r="AC825" s="10">
        <f t="shared" ca="1" si="978"/>
        <v>22001.244545546775</v>
      </c>
      <c r="AD825" s="10">
        <f t="shared" ca="1" si="978"/>
        <v>42359.688578733054</v>
      </c>
      <c r="AE825" s="10">
        <f t="shared" ca="1" si="978"/>
        <v>15494.309636090224</v>
      </c>
      <c r="AF825" s="10">
        <f t="shared" ca="1" si="978"/>
        <v>13996.503718310538</v>
      </c>
      <c r="AG825" s="10">
        <f t="shared" ca="1" si="978"/>
        <v>25663.772711622732</v>
      </c>
      <c r="AH825" s="10">
        <f t="shared" ca="1" si="978"/>
        <v>49253.209263119963</v>
      </c>
      <c r="AI825" s="10">
        <f t="shared" ca="1" si="978"/>
        <v>17961.317493306989</v>
      </c>
      <c r="AJ825" s="10">
        <f t="shared" ca="1" si="978"/>
        <v>16178.541031125817</v>
      </c>
      <c r="AK825" s="10">
        <f t="shared" ca="1" si="978"/>
        <v>29584.1011397119</v>
      </c>
      <c r="AL825" s="10">
        <f t="shared" ca="1" si="978"/>
        <v>56630.436100531864</v>
      </c>
      <c r="AM825" s="10">
        <f t="shared" ca="1" si="978"/>
        <v>20600.895083683346</v>
      </c>
      <c r="AN825" s="10">
        <f t="shared" ca="1" si="978"/>
        <v>18718.444111050536</v>
      </c>
      <c r="AO825" s="10">
        <f t="shared" ca="1" si="978"/>
        <v>33776.993805709586</v>
      </c>
      <c r="AP825" s="10">
        <f t="shared" ca="1" si="978"/>
        <v>63113.190348725038</v>
      </c>
      <c r="AQ825" s="10">
        <f t="shared" ca="1" si="978"/>
        <v>22423.915830165592</v>
      </c>
      <c r="AR825" s="10">
        <f t="shared" ca="1" si="978"/>
        <v>19691.893505105691</v>
      </c>
      <c r="AS825" s="10">
        <f t="shared" ca="1" si="978"/>
        <v>35128.073557937954</v>
      </c>
      <c r="AT825" s="10">
        <f t="shared" ca="1" si="978"/>
        <v>65637.71796267404</v>
      </c>
      <c r="AU825" s="10">
        <f t="shared" ca="1" si="978"/>
        <v>23320.872463372216</v>
      </c>
      <c r="AV825" s="10">
        <f t="shared" ca="1" si="978"/>
        <v>20479.569245309915</v>
      </c>
      <c r="AW825" s="10">
        <f t="shared" ca="1" si="978"/>
        <v>36533.196500255486</v>
      </c>
      <c r="AX825" s="10">
        <f t="shared" ca="1" si="978"/>
        <v>68263.226681180997</v>
      </c>
      <c r="AY825" s="10">
        <f t="shared" ca="1" si="978"/>
        <v>24253.707361907102</v>
      </c>
      <c r="AZ825" s="10">
        <f t="shared" ca="1" si="978"/>
        <v>21298.752015122311</v>
      </c>
      <c r="BA825" s="10">
        <f t="shared" ca="1" si="978"/>
        <v>37994.524360265685</v>
      </c>
      <c r="BB825" s="10">
        <f t="shared" ca="1" si="978"/>
        <v>70993.755748428215</v>
      </c>
      <c r="BC825" s="10">
        <f t="shared" ca="1" si="978"/>
        <v>25223.855656383374</v>
      </c>
      <c r="BD825" s="10">
        <f t="shared" ca="1" si="978"/>
        <v>22396.821007901948</v>
      </c>
      <c r="BE825" s="10">
        <f t="shared" ca="1" si="978"/>
        <v>39514.305334676319</v>
      </c>
      <c r="BF825" s="10">
        <f t="shared" ca="1" si="978"/>
        <v>73833.505978365312</v>
      </c>
      <c r="BG825" s="10">
        <f t="shared" ca="1" si="978"/>
        <v>26232.809882638714</v>
      </c>
      <c r="BH825" s="10">
        <f t="shared" ca="1" si="978"/>
        <v>23036.730179556282</v>
      </c>
      <c r="BI825" s="10">
        <f t="shared" ca="1" si="978"/>
        <v>41094.877548063356</v>
      </c>
      <c r="BJ825" s="10">
        <f t="shared" ca="1" si="978"/>
        <v>76786.846217499915</v>
      </c>
      <c r="BK825" s="10">
        <f t="shared" ca="1" si="978"/>
        <v>27282.122277944261</v>
      </c>
      <c r="BL825" s="10">
        <f t="shared" ca="1" si="978"/>
        <v>23958.199386738539</v>
      </c>
      <c r="BM825" s="10">
        <f t="shared" ca="1" si="978"/>
        <v>42738.672649985892</v>
      </c>
      <c r="BN825" s="10">
        <f t="shared" ca="1" si="978"/>
        <v>79858.3200661999</v>
      </c>
      <c r="BO825" s="10">
        <f t="shared" ca="1" si="978"/>
        <v>28373.407169062033</v>
      </c>
      <c r="BP825" s="10">
        <f t="shared" ca="1" si="978"/>
        <v>24916.527362208071</v>
      </c>
      <c r="BQ825" s="10">
        <f t="shared" ca="1" si="978"/>
        <v>44448.219555985313</v>
      </c>
      <c r="BR825" s="10">
        <f t="shared" ca="1" si="978"/>
        <v>83052.652868847887</v>
      </c>
      <c r="BS825" s="10">
        <f t="shared" ca="1" si="978"/>
        <v>29508.343455824495</v>
      </c>
      <c r="BT825" s="10">
        <f t="shared" ca="1" si="978"/>
        <v>26201.112772881897</v>
      </c>
      <c r="BU825" s="10">
        <f t="shared" ca="1" si="978"/>
        <v>46226.148338224724</v>
      </c>
      <c r="BV825" s="10">
        <f t="shared" ca="1" si="978"/>
        <v>86374.758983601787</v>
      </c>
      <c r="BW825" s="10">
        <f t="shared" ca="1" si="978"/>
        <v>30688.677194057476</v>
      </c>
      <c r="BX825" s="10">
        <f t="shared" ca="1" si="978"/>
        <v>26949.715994964237</v>
      </c>
      <c r="BY825" s="10">
        <f t="shared" ref="BY825:CO825" ca="1" si="979" xml:space="preserve"> BY819</f>
        <v>48075.194271753717</v>
      </c>
      <c r="BZ825" s="10">
        <f t="shared" ca="1" si="979"/>
        <v>89829.749342945855</v>
      </c>
      <c r="CA825" s="10">
        <f t="shared" ca="1" si="979"/>
        <v>31916.22428181977</v>
      </c>
      <c r="CB825" s="10">
        <f t="shared" ca="1" si="979"/>
        <v>28027.704634762806</v>
      </c>
      <c r="CC825" s="10">
        <f t="shared" ca="1" si="979"/>
        <v>49998.202042623845</v>
      </c>
      <c r="CD825" s="10">
        <f t="shared" ca="1" si="979"/>
        <v>93422.939316663687</v>
      </c>
      <c r="CE825" s="10">
        <f t="shared" ca="1" si="979"/>
        <v>33192.873253092555</v>
      </c>
      <c r="CF825" s="10">
        <f t="shared" ca="1" si="979"/>
        <v>29148.812820153318</v>
      </c>
      <c r="CG825" s="10">
        <f t="shared" ca="1" si="979"/>
        <v>51998.130124328789</v>
      </c>
      <c r="CH825" s="10">
        <f t="shared" ca="1" si="979"/>
        <v>97159.856889330214</v>
      </c>
      <c r="CI825" s="10">
        <f t="shared" ca="1" si="979"/>
        <v>34520.588183216256</v>
      </c>
      <c r="CJ825" s="10">
        <f t="shared" ca="1" si="979"/>
        <v>30651.596058881212</v>
      </c>
      <c r="CK825" s="10">
        <f t="shared" ca="1" si="979"/>
        <v>54078.055329301933</v>
      </c>
      <c r="CL825" s="10">
        <f t="shared" ca="1" si="979"/>
        <v>101046.25116490343</v>
      </c>
      <c r="CM825" s="10">
        <f t="shared" ca="1" si="979"/>
        <v>35901.411710544911</v>
      </c>
      <c r="CN825" s="10">
        <f t="shared" ca="1" si="979"/>
        <v>31527.355946277825</v>
      </c>
      <c r="CO825" s="10">
        <f t="shared" ca="1" si="979"/>
        <v>56241.177542474019</v>
      </c>
    </row>
    <row r="826" spans="1:93" ht="15.75" thickTop="1">
      <c r="B826" s="101"/>
      <c r="C826" s="49" t="str">
        <f xml:space="preserve"> "Итого: эксплуатационные расходы " &amp; C35 &amp; " в прогнозных ценах без НДС"</f>
        <v>Итого: эксплуатационные расходы Объект размещения (отель) в прогнозных ценах без НДС</v>
      </c>
      <c r="D826" s="49"/>
      <c r="E826" s="136"/>
      <c r="F826" s="49"/>
      <c r="G826" s="159" t="str">
        <f xml:space="preserve"> Monetary_Unit</f>
        <v>тыс. руб.</v>
      </c>
      <c r="H826" s="49"/>
      <c r="I826" s="23">
        <f ca="1">SUM(L826:CO826)</f>
        <v>18473399.15159034</v>
      </c>
      <c r="J826" s="49"/>
      <c r="K826" s="49"/>
      <c r="L826" s="49">
        <f t="shared" ref="L826:AQ826" ca="1" si="980">SUM(L823:L825)</f>
        <v>0</v>
      </c>
      <c r="M826" s="49">
        <f t="shared" ca="1" si="980"/>
        <v>0</v>
      </c>
      <c r="N826" s="49">
        <f t="shared" ca="1" si="980"/>
        <v>0</v>
      </c>
      <c r="O826" s="49">
        <f t="shared" ca="1" si="980"/>
        <v>0</v>
      </c>
      <c r="P826" s="49">
        <f t="shared" ca="1" si="980"/>
        <v>0</v>
      </c>
      <c r="Q826" s="49">
        <f t="shared" ca="1" si="980"/>
        <v>0</v>
      </c>
      <c r="R826" s="49">
        <f t="shared" ca="1" si="980"/>
        <v>0</v>
      </c>
      <c r="S826" s="49">
        <f t="shared" ca="1" si="980"/>
        <v>0</v>
      </c>
      <c r="T826" s="49">
        <f t="shared" ca="1" si="980"/>
        <v>0</v>
      </c>
      <c r="U826" s="49">
        <f t="shared" ca="1" si="980"/>
        <v>0</v>
      </c>
      <c r="V826" s="49">
        <f t="shared" ca="1" si="980"/>
        <v>0</v>
      </c>
      <c r="W826" s="49">
        <f t="shared" ca="1" si="980"/>
        <v>0</v>
      </c>
      <c r="X826" s="49">
        <f t="shared" ca="1" si="980"/>
        <v>0</v>
      </c>
      <c r="Y826" s="49">
        <f t="shared" ca="1" si="980"/>
        <v>0</v>
      </c>
      <c r="Z826" s="49">
        <f t="shared" ca="1" si="980"/>
        <v>0</v>
      </c>
      <c r="AA826" s="49">
        <f t="shared" ca="1" si="980"/>
        <v>0</v>
      </c>
      <c r="AB826" s="49">
        <f t="shared" ca="1" si="980"/>
        <v>0</v>
      </c>
      <c r="AC826" s="49">
        <f t="shared" ca="1" si="980"/>
        <v>152864.9978628149</v>
      </c>
      <c r="AD826" s="49">
        <f t="shared" ca="1" si="980"/>
        <v>276837.57198789774</v>
      </c>
      <c r="AE826" s="49">
        <f t="shared" ca="1" si="980"/>
        <v>111177.09930927823</v>
      </c>
      <c r="AF826" s="49">
        <f t="shared" ca="1" si="980"/>
        <v>102190.8683445908</v>
      </c>
      <c r="AG826" s="49">
        <f t="shared" ca="1" si="980"/>
        <v>178312.30195148397</v>
      </c>
      <c r="AH826" s="49">
        <f t="shared" ca="1" si="980"/>
        <v>321889.49736187555</v>
      </c>
      <c r="AI826" s="49">
        <f t="shared" ca="1" si="980"/>
        <v>128878.74487983665</v>
      </c>
      <c r="AJ826" s="49">
        <f t="shared" ca="1" si="980"/>
        <v>118122.29609573534</v>
      </c>
      <c r="AK826" s="49">
        <f t="shared" ca="1" si="980"/>
        <v>205550.80637066613</v>
      </c>
      <c r="AL826" s="49">
        <f t="shared" ca="1" si="980"/>
        <v>370102.63665059092</v>
      </c>
      <c r="AM826" s="49">
        <f t="shared" ca="1" si="980"/>
        <v>147818.63873714497</v>
      </c>
      <c r="AN826" s="49">
        <f t="shared" ca="1" si="980"/>
        <v>136666.56304070479</v>
      </c>
      <c r="AO826" s="49">
        <f t="shared" ca="1" si="980"/>
        <v>234683.09146026036</v>
      </c>
      <c r="AP826" s="49">
        <f t="shared" ca="1" si="980"/>
        <v>412470.03844412195</v>
      </c>
      <c r="AQ826" s="49">
        <f t="shared" ca="1" si="980"/>
        <v>160899.45119893042</v>
      </c>
      <c r="AR826" s="49">
        <f t="shared" ref="AR826:BW826" ca="1" si="981">SUM(AR823:AR825)</f>
        <v>143773.88361661934</v>
      </c>
      <c r="AS826" s="49">
        <f t="shared" ca="1" si="981"/>
        <v>244070.41511867076</v>
      </c>
      <c r="AT826" s="49">
        <f t="shared" ca="1" si="981"/>
        <v>428968.83998188685</v>
      </c>
      <c r="AU826" s="49">
        <f t="shared" ca="1" si="981"/>
        <v>167335.42924688762</v>
      </c>
      <c r="AV826" s="49">
        <f t="shared" ca="1" si="981"/>
        <v>149524.83896128403</v>
      </c>
      <c r="AW826" s="49">
        <f t="shared" ca="1" si="981"/>
        <v>253833.23172341753</v>
      </c>
      <c r="AX826" s="49">
        <f t="shared" ca="1" si="981"/>
        <v>446127.59358116222</v>
      </c>
      <c r="AY826" s="49">
        <f t="shared" ca="1" si="981"/>
        <v>174028.84641676309</v>
      </c>
      <c r="AZ826" s="49">
        <f t="shared" ca="1" si="981"/>
        <v>155505.83251973536</v>
      </c>
      <c r="BA826" s="49">
        <f t="shared" ca="1" si="981"/>
        <v>263986.56099235418</v>
      </c>
      <c r="BB826" s="49">
        <f t="shared" ca="1" si="981"/>
        <v>463972.69732440851</v>
      </c>
      <c r="BC826" s="49">
        <f t="shared" ca="1" si="981"/>
        <v>180990.0002734336</v>
      </c>
      <c r="BD826" s="49">
        <f t="shared" ca="1" si="981"/>
        <v>163523.02210741947</v>
      </c>
      <c r="BE826" s="49">
        <f t="shared" ca="1" si="981"/>
        <v>274546.02343204833</v>
      </c>
      <c r="BF826" s="49">
        <f t="shared" ca="1" si="981"/>
        <v>482531.60521738493</v>
      </c>
      <c r="BG826" s="49">
        <f t="shared" ca="1" si="981"/>
        <v>188229.60028437088</v>
      </c>
      <c r="BH826" s="49">
        <f t="shared" ca="1" si="981"/>
        <v>168195.10845334578</v>
      </c>
      <c r="BI826" s="49">
        <f t="shared" ca="1" si="981"/>
        <v>285527.86436933017</v>
      </c>
      <c r="BJ826" s="49">
        <f t="shared" ca="1" si="981"/>
        <v>501832.86942608008</v>
      </c>
      <c r="BK826" s="49">
        <f t="shared" ca="1" si="981"/>
        <v>195758.78429574575</v>
      </c>
      <c r="BL826" s="49">
        <f t="shared" ca="1" si="981"/>
        <v>174922.91279147958</v>
      </c>
      <c r="BM826" s="49">
        <f t="shared" ca="1" si="981"/>
        <v>296948.97894410341</v>
      </c>
      <c r="BN826" s="49">
        <f t="shared" ca="1" si="981"/>
        <v>521906.18420312321</v>
      </c>
      <c r="BO826" s="49">
        <f t="shared" ca="1" si="981"/>
        <v>203589.13566757549</v>
      </c>
      <c r="BP826" s="49">
        <f t="shared" ca="1" si="981"/>
        <v>181919.82930313871</v>
      </c>
      <c r="BQ826" s="49">
        <f t="shared" ca="1" si="981"/>
        <v>308826.93810186745</v>
      </c>
      <c r="BR826" s="49">
        <f t="shared" ca="1" si="981"/>
        <v>542782.43157124822</v>
      </c>
      <c r="BS826" s="49">
        <f t="shared" ca="1" si="981"/>
        <v>211732.70109427851</v>
      </c>
      <c r="BT826" s="49">
        <f t="shared" ca="1" si="981"/>
        <v>191298.8071694338</v>
      </c>
      <c r="BU826" s="49">
        <f t="shared" ca="1" si="981"/>
        <v>321180.01562594215</v>
      </c>
      <c r="BV826" s="49">
        <f t="shared" ca="1" si="981"/>
        <v>564493.72883409786</v>
      </c>
      <c r="BW826" s="49">
        <f t="shared" ca="1" si="981"/>
        <v>220202.00913804959</v>
      </c>
      <c r="BX826" s="49">
        <f t="shared" ref="BX826:CO826" ca="1" si="982">SUM(BX823:BX825)</f>
        <v>196764.48737427476</v>
      </c>
      <c r="BY826" s="49">
        <f t="shared" ca="1" si="982"/>
        <v>334027.21625097975</v>
      </c>
      <c r="BZ826" s="49">
        <f t="shared" ca="1" si="982"/>
        <v>587073.47798746184</v>
      </c>
      <c r="CA826" s="49">
        <f t="shared" ca="1" si="982"/>
        <v>229010.08950357154</v>
      </c>
      <c r="CB826" s="49">
        <f t="shared" ca="1" si="982"/>
        <v>204635.06686924575</v>
      </c>
      <c r="CC826" s="49">
        <f t="shared" ca="1" si="982"/>
        <v>347388.30490101891</v>
      </c>
      <c r="CD826" s="49">
        <f t="shared" ca="1" si="982"/>
        <v>610556.4171069602</v>
      </c>
      <c r="CE826" s="49">
        <f t="shared" ca="1" si="982"/>
        <v>238170.49308371445</v>
      </c>
      <c r="CF826" s="49">
        <f t="shared" ca="1" si="982"/>
        <v>212820.4695440155</v>
      </c>
      <c r="CG826" s="49">
        <f t="shared" ca="1" si="982"/>
        <v>361283.83709705959</v>
      </c>
      <c r="CH826" s="49">
        <f t="shared" ca="1" si="982"/>
        <v>634978.67379123869</v>
      </c>
      <c r="CI826" s="49">
        <f t="shared" ca="1" si="982"/>
        <v>247697.31280706305</v>
      </c>
      <c r="CJ826" s="49">
        <f t="shared" ca="1" si="982"/>
        <v>223792.54708495148</v>
      </c>
      <c r="CK826" s="49">
        <f t="shared" ca="1" si="982"/>
        <v>375735.19058094203</v>
      </c>
      <c r="CL826" s="49">
        <f t="shared" ca="1" si="982"/>
        <v>660377.82074288814</v>
      </c>
      <c r="CM826" s="49">
        <f t="shared" ca="1" si="982"/>
        <v>257605.20531934546</v>
      </c>
      <c r="CN826" s="49">
        <f t="shared" ca="1" si="982"/>
        <v>230186.61985880713</v>
      </c>
      <c r="CO826" s="49">
        <f t="shared" ca="1" si="982"/>
        <v>390764.59820417961</v>
      </c>
    </row>
    <row r="827" spans="1:93">
      <c r="A827" s="10"/>
      <c r="B827" s="10"/>
      <c r="C827" s="10"/>
      <c r="D827" s="10"/>
      <c r="E827" s="10"/>
      <c r="F827" s="10"/>
      <c r="G827" s="11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  <c r="BA827" s="10"/>
      <c r="BB827" s="10"/>
      <c r="BC827" s="10"/>
      <c r="BD827" s="10"/>
      <c r="BE827" s="10"/>
      <c r="BF827" s="10"/>
      <c r="BG827" s="10"/>
      <c r="BH827" s="10"/>
      <c r="BI827" s="10"/>
      <c r="BJ827" s="10"/>
      <c r="BK827" s="10"/>
      <c r="BL827" s="10"/>
      <c r="BM827" s="10"/>
      <c r="BN827" s="10"/>
      <c r="BO827" s="10"/>
      <c r="BP827" s="10"/>
      <c r="BQ827" s="10"/>
      <c r="BR827" s="10"/>
      <c r="BS827" s="10"/>
      <c r="BT827" s="10"/>
      <c r="BU827" s="10"/>
      <c r="BV827" s="10"/>
      <c r="BW827" s="10"/>
      <c r="BX827" s="10"/>
      <c r="BY827" s="10"/>
      <c r="BZ827" s="10"/>
      <c r="CA827" s="10"/>
      <c r="CB827" s="10"/>
      <c r="CC827" s="10"/>
      <c r="CD827" s="10"/>
      <c r="CE827" s="10"/>
      <c r="CF827" s="10"/>
      <c r="CG827" s="10"/>
      <c r="CH827" s="10"/>
      <c r="CI827" s="10"/>
      <c r="CJ827" s="10"/>
      <c r="CK827" s="10"/>
      <c r="CL827" s="10"/>
      <c r="CM827" s="10"/>
      <c r="CN827" s="10"/>
      <c r="CO827" s="10"/>
    </row>
    <row r="828" spans="1:93" ht="15" customHeight="1" thickBot="1">
      <c r="A828" s="10"/>
      <c r="B828" s="3"/>
      <c r="C828" s="382" t="str">
        <f>C693</f>
        <v>Сегмент 2: Развлекательный комплекс</v>
      </c>
      <c r="D828" s="271"/>
      <c r="E828" s="271"/>
      <c r="F828" s="271"/>
      <c r="G828" s="272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  <c r="CA828" s="271"/>
      <c r="CB828" s="271"/>
      <c r="CC828" s="271"/>
      <c r="CD828" s="271"/>
      <c r="CE828" s="271"/>
      <c r="CF828" s="271"/>
      <c r="CG828" s="271"/>
      <c r="CH828" s="271"/>
      <c r="CI828" s="271"/>
      <c r="CJ828" s="271"/>
      <c r="CK828" s="271"/>
      <c r="CL828" s="271"/>
      <c r="CM828" s="271"/>
      <c r="CN828" s="271"/>
      <c r="CO828" s="271"/>
    </row>
    <row r="829" spans="1:93" hidden="1">
      <c r="A829" s="10"/>
      <c r="B829" s="10"/>
      <c r="C829" s="10"/>
      <c r="D829" s="10"/>
      <c r="E829" s="10"/>
      <c r="F829" s="10"/>
      <c r="G829" s="11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  <c r="BA829" s="10"/>
      <c r="BB829" s="10"/>
      <c r="BC829" s="10"/>
      <c r="BD829" s="10"/>
      <c r="BE829" s="10"/>
      <c r="BF829" s="10"/>
      <c r="BG829" s="10"/>
      <c r="BH829" s="10"/>
      <c r="BI829" s="10"/>
      <c r="BJ829" s="10"/>
      <c r="BK829" s="10"/>
      <c r="BL829" s="10"/>
      <c r="BM829" s="10"/>
      <c r="BN829" s="10"/>
      <c r="BO829" s="10"/>
      <c r="BP829" s="10"/>
      <c r="BQ829" s="10"/>
      <c r="BR829" s="10"/>
      <c r="BS829" s="10"/>
      <c r="BT829" s="10"/>
      <c r="BU829" s="10"/>
      <c r="BV829" s="10"/>
      <c r="BW829" s="10"/>
      <c r="BX829" s="10"/>
      <c r="BY829" s="10"/>
      <c r="BZ829" s="10"/>
      <c r="CA829" s="10"/>
      <c r="CB829" s="10"/>
      <c r="CC829" s="10"/>
      <c r="CD829" s="10"/>
      <c r="CE829" s="10"/>
      <c r="CF829" s="10"/>
      <c r="CG829" s="10"/>
      <c r="CH829" s="10"/>
      <c r="CI829" s="10"/>
      <c r="CJ829" s="10"/>
      <c r="CK829" s="10"/>
      <c r="CL829" s="10"/>
      <c r="CM829" s="10"/>
      <c r="CN829" s="10"/>
      <c r="CO829" s="10"/>
    </row>
    <row r="830" spans="1:93" ht="16.5" hidden="1" thickBot="1">
      <c r="A830" s="10"/>
      <c r="B830" s="10"/>
      <c r="C830" s="12" t="s">
        <v>888</v>
      </c>
      <c r="D830" s="12"/>
      <c r="E830" s="12"/>
      <c r="F830" s="12"/>
      <c r="G830" s="360"/>
      <c r="H830" s="12"/>
      <c r="I830" s="12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  <c r="BA830" s="10"/>
      <c r="BB830" s="10"/>
      <c r="BC830" s="10"/>
      <c r="BD830" s="10"/>
      <c r="BE830" s="10"/>
      <c r="BF830" s="10"/>
      <c r="BG830" s="10"/>
      <c r="BH830" s="10"/>
      <c r="BI830" s="10"/>
      <c r="BJ830" s="10"/>
      <c r="BK830" s="10"/>
      <c r="BL830" s="10"/>
      <c r="BM830" s="10"/>
      <c r="BN830" s="10"/>
      <c r="BO830" s="10"/>
      <c r="BP830" s="10"/>
      <c r="BQ830" s="10"/>
      <c r="BR830" s="10"/>
      <c r="BS830" s="10"/>
      <c r="BT830" s="10"/>
      <c r="BU830" s="10"/>
      <c r="BV830" s="10"/>
      <c r="BW830" s="10"/>
      <c r="BX830" s="10"/>
      <c r="BY830" s="10"/>
      <c r="BZ830" s="10"/>
      <c r="CA830" s="10"/>
      <c r="CB830" s="10"/>
      <c r="CC830" s="10"/>
      <c r="CD830" s="10"/>
      <c r="CE830" s="10"/>
      <c r="CF830" s="10"/>
      <c r="CG830" s="10"/>
      <c r="CH830" s="10"/>
      <c r="CI830" s="10"/>
      <c r="CJ830" s="10"/>
      <c r="CK830" s="10"/>
      <c r="CL830" s="10"/>
      <c r="CM830" s="10"/>
      <c r="CN830" s="10"/>
      <c r="CO830" s="10"/>
    </row>
    <row r="831" spans="1:93" hidden="1">
      <c r="A831" s="10"/>
      <c r="B831" s="10"/>
      <c r="C831" s="10"/>
      <c r="D831" s="10"/>
      <c r="E831" s="10"/>
      <c r="F831" s="10"/>
      <c r="G831" s="11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  <c r="BA831" s="10"/>
      <c r="BB831" s="10"/>
      <c r="BC831" s="10"/>
      <c r="BD831" s="10"/>
      <c r="BE831" s="10"/>
      <c r="BF831" s="10"/>
      <c r="BG831" s="10"/>
      <c r="BH831" s="10"/>
      <c r="BI831" s="10"/>
      <c r="BJ831" s="10"/>
      <c r="BK831" s="10"/>
      <c r="BL831" s="10"/>
      <c r="BM831" s="10"/>
      <c r="BN831" s="10"/>
      <c r="BO831" s="10"/>
      <c r="BP831" s="10"/>
      <c r="BQ831" s="10"/>
      <c r="BR831" s="10"/>
      <c r="BS831" s="10"/>
      <c r="BT831" s="10"/>
      <c r="BU831" s="10"/>
      <c r="BV831" s="10"/>
      <c r="BW831" s="10"/>
      <c r="BX831" s="10"/>
      <c r="BY831" s="10"/>
      <c r="BZ831" s="10"/>
      <c r="CA831" s="10"/>
      <c r="CB831" s="10"/>
      <c r="CC831" s="10"/>
      <c r="CD831" s="10"/>
      <c r="CE831" s="10"/>
      <c r="CF831" s="10"/>
      <c r="CG831" s="10"/>
      <c r="CH831" s="10"/>
      <c r="CI831" s="10"/>
      <c r="CJ831" s="10"/>
      <c r="CK831" s="10"/>
      <c r="CL831" s="10"/>
      <c r="CM831" s="10"/>
      <c r="CN831" s="10"/>
      <c r="CO831" s="10"/>
    </row>
    <row r="832" spans="1:93" hidden="1">
      <c r="A832" s="10"/>
      <c r="B832" s="10"/>
      <c r="C832" s="35" t="s">
        <v>883</v>
      </c>
      <c r="D832" s="10"/>
      <c r="E832" s="10"/>
      <c r="F832" s="10"/>
      <c r="G832" s="11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  <c r="BA832" s="10"/>
      <c r="BB832" s="10"/>
      <c r="BC832" s="10"/>
      <c r="BD832" s="10"/>
      <c r="BE832" s="10"/>
      <c r="BF832" s="10"/>
      <c r="BG832" s="10"/>
      <c r="BH832" s="10"/>
      <c r="BI832" s="10"/>
      <c r="BJ832" s="10"/>
      <c r="BK832" s="10"/>
      <c r="BL832" s="10"/>
      <c r="BM832" s="10"/>
      <c r="BN832" s="10"/>
      <c r="BO832" s="10"/>
      <c r="BP832" s="10"/>
      <c r="BQ832" s="10"/>
      <c r="BR832" s="10"/>
      <c r="BS832" s="10"/>
      <c r="BT832" s="10"/>
      <c r="BU832" s="10"/>
      <c r="BV832" s="10"/>
      <c r="BW832" s="10"/>
      <c r="BX832" s="10"/>
      <c r="BY832" s="10"/>
      <c r="BZ832" s="10"/>
      <c r="CA832" s="10"/>
      <c r="CB832" s="10"/>
      <c r="CC832" s="10"/>
      <c r="CD832" s="10"/>
      <c r="CE832" s="10"/>
      <c r="CF832" s="10"/>
      <c r="CG832" s="10"/>
      <c r="CH832" s="10"/>
      <c r="CI832" s="10"/>
      <c r="CJ832" s="10"/>
      <c r="CK832" s="10"/>
      <c r="CL832" s="10"/>
      <c r="CM832" s="10"/>
      <c r="CN832" s="10"/>
      <c r="CO832" s="10"/>
    </row>
    <row r="833" spans="1:93" hidden="1">
      <c r="A833" s="10"/>
      <c r="B833" s="10"/>
      <c r="C833" s="17" t="s">
        <v>884</v>
      </c>
      <c r="D833" s="10"/>
      <c r="E833" s="184">
        <f xml:space="preserve"> Предпосылки!E492</f>
        <v>0</v>
      </c>
      <c r="F833" s="10"/>
      <c r="G833" s="142" t="s">
        <v>887</v>
      </c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  <c r="BA833" s="10"/>
      <c r="BB833" s="10"/>
      <c r="BC833" s="10"/>
      <c r="BD833" s="10"/>
      <c r="BE833" s="10"/>
      <c r="BF833" s="10"/>
      <c r="BG833" s="10"/>
      <c r="BH833" s="10"/>
      <c r="BI833" s="10"/>
      <c r="BJ833" s="10"/>
      <c r="BK833" s="10"/>
      <c r="BL833" s="10"/>
      <c r="BM833" s="10"/>
      <c r="BN833" s="10"/>
      <c r="BO833" s="10"/>
      <c r="BP833" s="10"/>
      <c r="BQ833" s="10"/>
      <c r="BR833" s="10"/>
      <c r="BS833" s="10"/>
      <c r="BT833" s="10"/>
      <c r="BU833" s="10"/>
      <c r="BV833" s="10"/>
      <c r="BW833" s="10"/>
      <c r="BX833" s="10"/>
      <c r="BY833" s="10"/>
      <c r="BZ833" s="10"/>
      <c r="CA833" s="10"/>
      <c r="CB833" s="10"/>
      <c r="CC833" s="10"/>
      <c r="CD833" s="10"/>
      <c r="CE833" s="10"/>
      <c r="CF833" s="10"/>
      <c r="CG833" s="10"/>
      <c r="CH833" s="10"/>
      <c r="CI833" s="10"/>
      <c r="CJ833" s="10"/>
      <c r="CK833" s="10"/>
      <c r="CL833" s="10"/>
      <c r="CM833" s="10"/>
      <c r="CN833" s="10"/>
      <c r="CO833" s="10"/>
    </row>
    <row r="834" spans="1:93" hidden="1">
      <c r="A834" s="10"/>
      <c r="B834" s="10"/>
      <c r="C834" s="17" t="s">
        <v>885</v>
      </c>
      <c r="D834" s="10"/>
      <c r="E834" s="184">
        <f xml:space="preserve"> Предпосылки!E493</f>
        <v>0</v>
      </c>
      <c r="F834" s="10"/>
      <c r="G834" s="142" t="s">
        <v>887</v>
      </c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  <c r="BA834" s="10"/>
      <c r="BB834" s="10"/>
      <c r="BC834" s="10"/>
      <c r="BD834" s="10"/>
      <c r="BE834" s="10"/>
      <c r="BF834" s="10"/>
      <c r="BG834" s="10"/>
      <c r="BH834" s="10"/>
      <c r="BI834" s="10"/>
      <c r="BJ834" s="10"/>
      <c r="BK834" s="10"/>
      <c r="BL834" s="10"/>
      <c r="BM834" s="10"/>
      <c r="BN834" s="10"/>
      <c r="BO834" s="10"/>
      <c r="BP834" s="10"/>
      <c r="BQ834" s="10"/>
      <c r="BR834" s="10"/>
      <c r="BS834" s="10"/>
      <c r="BT834" s="10"/>
      <c r="BU834" s="10"/>
      <c r="BV834" s="10"/>
      <c r="BW834" s="10"/>
      <c r="BX834" s="10"/>
      <c r="BY834" s="10"/>
      <c r="BZ834" s="10"/>
      <c r="CA834" s="10"/>
      <c r="CB834" s="10"/>
      <c r="CC834" s="10"/>
      <c r="CD834" s="10"/>
      <c r="CE834" s="10"/>
      <c r="CF834" s="10"/>
      <c r="CG834" s="10"/>
      <c r="CH834" s="10"/>
      <c r="CI834" s="10"/>
      <c r="CJ834" s="10"/>
      <c r="CK834" s="10"/>
      <c r="CL834" s="10"/>
      <c r="CM834" s="10"/>
      <c r="CN834" s="10"/>
      <c r="CO834" s="10"/>
    </row>
    <row r="835" spans="1:93" hidden="1">
      <c r="A835" s="10"/>
      <c r="B835" s="10"/>
      <c r="C835" s="17" t="s">
        <v>907</v>
      </c>
      <c r="D835" s="10"/>
      <c r="E835" s="184">
        <f xml:space="preserve"> Предпосылки!E494</f>
        <v>0</v>
      </c>
      <c r="F835" s="10"/>
      <c r="G835" s="142" t="s">
        <v>887</v>
      </c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  <c r="BA835" s="10"/>
      <c r="BB835" s="10"/>
      <c r="BC835" s="10"/>
      <c r="BD835" s="10"/>
      <c r="BE835" s="10"/>
      <c r="BF835" s="10"/>
      <c r="BG835" s="10"/>
      <c r="BH835" s="10"/>
      <c r="BI835" s="10"/>
      <c r="BJ835" s="10"/>
      <c r="BK835" s="10"/>
      <c r="BL835" s="10"/>
      <c r="BM835" s="10"/>
      <c r="BN835" s="10"/>
      <c r="BO835" s="10"/>
      <c r="BP835" s="10"/>
      <c r="BQ835" s="10"/>
      <c r="BR835" s="10"/>
      <c r="BS835" s="10"/>
      <c r="BT835" s="10"/>
      <c r="BU835" s="10"/>
      <c r="BV835" s="10"/>
      <c r="BW835" s="10"/>
      <c r="BX835" s="10"/>
      <c r="BY835" s="10"/>
      <c r="BZ835" s="10"/>
      <c r="CA835" s="10"/>
      <c r="CB835" s="10"/>
      <c r="CC835" s="10"/>
      <c r="CD835" s="10"/>
      <c r="CE835" s="10"/>
      <c r="CF835" s="10"/>
      <c r="CG835" s="10"/>
      <c r="CH835" s="10"/>
      <c r="CI835" s="10"/>
      <c r="CJ835" s="10"/>
      <c r="CK835" s="10"/>
      <c r="CL835" s="10"/>
      <c r="CM835" s="10"/>
      <c r="CN835" s="10"/>
      <c r="CO835" s="10"/>
    </row>
    <row r="836" spans="1:93" hidden="1">
      <c r="A836" s="10"/>
      <c r="B836" s="10"/>
      <c r="C836" s="17" t="s">
        <v>886</v>
      </c>
      <c r="D836" s="10"/>
      <c r="E836" s="184">
        <f xml:space="preserve"> Предпосылки!E495</f>
        <v>0</v>
      </c>
      <c r="F836" s="10"/>
      <c r="G836" s="142" t="s">
        <v>887</v>
      </c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  <c r="BA836" s="10"/>
      <c r="BB836" s="10"/>
      <c r="BC836" s="10"/>
      <c r="BD836" s="10"/>
      <c r="BE836" s="10"/>
      <c r="BF836" s="10"/>
      <c r="BG836" s="10"/>
      <c r="BH836" s="10"/>
      <c r="BI836" s="10"/>
      <c r="BJ836" s="10"/>
      <c r="BK836" s="10"/>
      <c r="BL836" s="10"/>
      <c r="BM836" s="10"/>
      <c r="BN836" s="10"/>
      <c r="BO836" s="10"/>
      <c r="BP836" s="10"/>
      <c r="BQ836" s="10"/>
      <c r="BR836" s="10"/>
      <c r="BS836" s="10"/>
      <c r="BT836" s="10"/>
      <c r="BU836" s="10"/>
      <c r="BV836" s="10"/>
      <c r="BW836" s="10"/>
      <c r="BX836" s="10"/>
      <c r="BY836" s="10"/>
      <c r="BZ836" s="10"/>
      <c r="CA836" s="10"/>
      <c r="CB836" s="10"/>
      <c r="CC836" s="10"/>
      <c r="CD836" s="10"/>
      <c r="CE836" s="10"/>
      <c r="CF836" s="10"/>
      <c r="CG836" s="10"/>
      <c r="CH836" s="10"/>
      <c r="CI836" s="10"/>
      <c r="CJ836" s="10"/>
      <c r="CK836" s="10"/>
      <c r="CL836" s="10"/>
      <c r="CM836" s="10"/>
      <c r="CN836" s="10"/>
      <c r="CO836" s="10"/>
    </row>
    <row r="837" spans="1:93" hidden="1">
      <c r="A837" s="10"/>
      <c r="B837" s="10"/>
      <c r="C837" s="10"/>
      <c r="D837" s="10"/>
      <c r="E837" s="59"/>
      <c r="F837" s="3"/>
      <c r="G837" s="142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  <c r="BA837" s="10"/>
      <c r="BB837" s="10"/>
      <c r="BC837" s="10"/>
      <c r="BD837" s="10"/>
      <c r="BE837" s="10"/>
      <c r="BF837" s="10"/>
      <c r="BG837" s="10"/>
      <c r="BH837" s="10"/>
      <c r="BI837" s="10"/>
      <c r="BJ837" s="10"/>
      <c r="BK837" s="10"/>
      <c r="BL837" s="10"/>
      <c r="BM837" s="10"/>
      <c r="BN837" s="10"/>
      <c r="BO837" s="10"/>
      <c r="BP837" s="10"/>
      <c r="BQ837" s="10"/>
      <c r="BR837" s="10"/>
      <c r="BS837" s="10"/>
      <c r="BT837" s="10"/>
      <c r="BU837" s="10"/>
      <c r="BV837" s="10"/>
      <c r="BW837" s="10"/>
      <c r="BX837" s="10"/>
      <c r="BY837" s="10"/>
      <c r="BZ837" s="10"/>
      <c r="CA837" s="10"/>
      <c r="CB837" s="10"/>
      <c r="CC837" s="10"/>
      <c r="CD837" s="10"/>
      <c r="CE837" s="10"/>
      <c r="CF837" s="10"/>
      <c r="CG837" s="10"/>
      <c r="CH837" s="10"/>
      <c r="CI837" s="10"/>
      <c r="CJ837" s="10"/>
      <c r="CK837" s="10"/>
      <c r="CL837" s="10"/>
      <c r="CM837" s="10"/>
      <c r="CN837" s="10"/>
      <c r="CO837" s="10"/>
    </row>
    <row r="838" spans="1:93" hidden="1">
      <c r="A838" s="10"/>
      <c r="B838" s="10"/>
      <c r="C838" s="35" t="s">
        <v>1169</v>
      </c>
      <c r="D838" s="10"/>
      <c r="E838" s="59"/>
      <c r="F838" s="3"/>
      <c r="G838" s="142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  <c r="BA838" s="10"/>
      <c r="BB838" s="10"/>
      <c r="BC838" s="10"/>
      <c r="BD838" s="10"/>
      <c r="BE838" s="10"/>
      <c r="BF838" s="10"/>
      <c r="BG838" s="10"/>
      <c r="BH838" s="10"/>
      <c r="BI838" s="10"/>
      <c r="BJ838" s="10"/>
      <c r="BK838" s="10"/>
      <c r="BL838" s="10"/>
      <c r="BM838" s="10"/>
      <c r="BN838" s="10"/>
      <c r="BO838" s="10"/>
      <c r="BP838" s="10"/>
      <c r="BQ838" s="10"/>
      <c r="BR838" s="10"/>
      <c r="BS838" s="10"/>
      <c r="BT838" s="10"/>
      <c r="BU838" s="10"/>
      <c r="BV838" s="10"/>
      <c r="BW838" s="10"/>
      <c r="BX838" s="10"/>
      <c r="BY838" s="10"/>
      <c r="BZ838" s="10"/>
      <c r="CA838" s="10"/>
      <c r="CB838" s="10"/>
      <c r="CC838" s="10"/>
      <c r="CD838" s="10"/>
      <c r="CE838" s="10"/>
      <c r="CF838" s="10"/>
      <c r="CG838" s="10"/>
      <c r="CH838" s="10"/>
      <c r="CI838" s="10"/>
      <c r="CJ838" s="10"/>
      <c r="CK838" s="10"/>
      <c r="CL838" s="10"/>
      <c r="CM838" s="10"/>
      <c r="CN838" s="10"/>
      <c r="CO838" s="10"/>
    </row>
    <row r="839" spans="1:93" hidden="1">
      <c r="A839" s="10"/>
      <c r="B839" s="10"/>
      <c r="C839" s="17" t="s">
        <v>1027</v>
      </c>
      <c r="D839" s="10"/>
      <c r="E839" s="178">
        <f>Предпосылки!$E$634</f>
        <v>0.22</v>
      </c>
      <c r="F839" s="3"/>
      <c r="G839" s="142" t="s">
        <v>28</v>
      </c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  <c r="BA839" s="10"/>
      <c r="BB839" s="10"/>
      <c r="BC839" s="10"/>
      <c r="BD839" s="10"/>
      <c r="BE839" s="10"/>
      <c r="BF839" s="10"/>
      <c r="BG839" s="10"/>
      <c r="BH839" s="10"/>
      <c r="BI839" s="10"/>
      <c r="BJ839" s="10"/>
      <c r="BK839" s="10"/>
      <c r="BL839" s="10"/>
      <c r="BM839" s="10"/>
      <c r="BN839" s="10"/>
      <c r="BO839" s="10"/>
      <c r="BP839" s="10"/>
      <c r="BQ839" s="10"/>
      <c r="BR839" s="10"/>
      <c r="BS839" s="10"/>
      <c r="BT839" s="10"/>
      <c r="BU839" s="10"/>
      <c r="BV839" s="10"/>
      <c r="BW839" s="10"/>
      <c r="BX839" s="10"/>
      <c r="BY839" s="10"/>
      <c r="BZ839" s="10"/>
      <c r="CA839" s="10"/>
      <c r="CB839" s="10"/>
      <c r="CC839" s="10"/>
      <c r="CD839" s="10"/>
      <c r="CE839" s="10"/>
      <c r="CF839" s="10"/>
      <c r="CG839" s="10"/>
      <c r="CH839" s="10"/>
      <c r="CI839" s="10"/>
      <c r="CJ839" s="10"/>
      <c r="CK839" s="10"/>
      <c r="CL839" s="10"/>
      <c r="CM839" s="10"/>
      <c r="CN839" s="10"/>
      <c r="CO839" s="10"/>
    </row>
    <row r="840" spans="1:93" hidden="1">
      <c r="A840" s="10"/>
      <c r="B840" s="10"/>
      <c r="C840" s="17" t="s">
        <v>1028</v>
      </c>
      <c r="D840" s="10"/>
      <c r="E840" s="178">
        <f>Предпосылки!$E$635</f>
        <v>2.9000000000000001E-2</v>
      </c>
      <c r="F840" s="3"/>
      <c r="G840" s="142" t="s">
        <v>28</v>
      </c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  <c r="BA840" s="10"/>
      <c r="BB840" s="10"/>
      <c r="BC840" s="10"/>
      <c r="BD840" s="10"/>
      <c r="BE840" s="10"/>
      <c r="BF840" s="10"/>
      <c r="BG840" s="10"/>
      <c r="BH840" s="10"/>
      <c r="BI840" s="10"/>
      <c r="BJ840" s="10"/>
      <c r="BK840" s="10"/>
      <c r="BL840" s="10"/>
      <c r="BM840" s="10"/>
      <c r="BN840" s="10"/>
      <c r="BO840" s="10"/>
      <c r="BP840" s="10"/>
      <c r="BQ840" s="10"/>
      <c r="BR840" s="10"/>
      <c r="BS840" s="10"/>
      <c r="BT840" s="10"/>
      <c r="BU840" s="10"/>
      <c r="BV840" s="10"/>
      <c r="BW840" s="10"/>
      <c r="BX840" s="10"/>
      <c r="BY840" s="10"/>
      <c r="BZ840" s="10"/>
      <c r="CA840" s="10"/>
      <c r="CB840" s="10"/>
      <c r="CC840" s="10"/>
      <c r="CD840" s="10"/>
      <c r="CE840" s="10"/>
      <c r="CF840" s="10"/>
      <c r="CG840" s="10"/>
      <c r="CH840" s="10"/>
      <c r="CI840" s="10"/>
      <c r="CJ840" s="10"/>
      <c r="CK840" s="10"/>
      <c r="CL840" s="10"/>
      <c r="CM840" s="10"/>
      <c r="CN840" s="10"/>
      <c r="CO840" s="10"/>
    </row>
    <row r="841" spans="1:93" hidden="1">
      <c r="A841" s="10"/>
      <c r="B841" s="10"/>
      <c r="C841" s="17" t="s">
        <v>1029</v>
      </c>
      <c r="D841" s="10"/>
      <c r="E841" s="178">
        <f>Предпосылки!$E$636</f>
        <v>5.0999999999999997E-2</v>
      </c>
      <c r="F841" s="3"/>
      <c r="G841" s="142" t="s">
        <v>28</v>
      </c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  <c r="BA841" s="10"/>
      <c r="BB841" s="10"/>
      <c r="BC841" s="10"/>
      <c r="BD841" s="10"/>
      <c r="BE841" s="10"/>
      <c r="BF841" s="10"/>
      <c r="BG841" s="10"/>
      <c r="BH841" s="10"/>
      <c r="BI841" s="10"/>
      <c r="BJ841" s="10"/>
      <c r="BK841" s="10"/>
      <c r="BL841" s="10"/>
      <c r="BM841" s="10"/>
      <c r="BN841" s="10"/>
      <c r="BO841" s="10"/>
      <c r="BP841" s="10"/>
      <c r="BQ841" s="10"/>
      <c r="BR841" s="10"/>
      <c r="BS841" s="10"/>
      <c r="BT841" s="10"/>
      <c r="BU841" s="10"/>
      <c r="BV841" s="10"/>
      <c r="BW841" s="10"/>
      <c r="BX841" s="10"/>
      <c r="BY841" s="10"/>
      <c r="BZ841" s="10"/>
      <c r="CA841" s="10"/>
      <c r="CB841" s="10"/>
      <c r="CC841" s="10"/>
      <c r="CD841" s="10"/>
      <c r="CE841" s="10"/>
      <c r="CF841" s="10"/>
      <c r="CG841" s="10"/>
      <c r="CH841" s="10"/>
      <c r="CI841" s="10"/>
      <c r="CJ841" s="10"/>
      <c r="CK841" s="10"/>
      <c r="CL841" s="10"/>
      <c r="CM841" s="10"/>
      <c r="CN841" s="10"/>
      <c r="CO841" s="10"/>
    </row>
    <row r="842" spans="1:93" hidden="1">
      <c r="A842" s="10"/>
      <c r="B842" s="10"/>
      <c r="C842" s="17" t="s">
        <v>1030</v>
      </c>
      <c r="D842" s="10"/>
      <c r="E842" s="178">
        <f>Предпосылки!$E$637</f>
        <v>2E-3</v>
      </c>
      <c r="F842" s="3"/>
      <c r="G842" s="142" t="s">
        <v>28</v>
      </c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  <c r="BA842" s="10"/>
      <c r="BB842" s="10"/>
      <c r="BC842" s="10"/>
      <c r="BD842" s="10"/>
      <c r="BE842" s="10"/>
      <c r="BF842" s="10"/>
      <c r="BG842" s="10"/>
      <c r="BH842" s="10"/>
      <c r="BI842" s="10"/>
      <c r="BJ842" s="10"/>
      <c r="BK842" s="10"/>
      <c r="BL842" s="10"/>
      <c r="BM842" s="10"/>
      <c r="BN842" s="10"/>
      <c r="BO842" s="10"/>
      <c r="BP842" s="10"/>
      <c r="BQ842" s="10"/>
      <c r="BR842" s="10"/>
      <c r="BS842" s="10"/>
      <c r="BT842" s="10"/>
      <c r="BU842" s="10"/>
      <c r="BV842" s="10"/>
      <c r="BW842" s="10"/>
      <c r="BX842" s="10"/>
      <c r="BY842" s="10"/>
      <c r="BZ842" s="10"/>
      <c r="CA842" s="10"/>
      <c r="CB842" s="10"/>
      <c r="CC842" s="10"/>
      <c r="CD842" s="10"/>
      <c r="CE842" s="10"/>
      <c r="CF842" s="10"/>
      <c r="CG842" s="10"/>
      <c r="CH842" s="10"/>
      <c r="CI842" s="10"/>
      <c r="CJ842" s="10"/>
      <c r="CK842" s="10"/>
      <c r="CL842" s="10"/>
      <c r="CM842" s="10"/>
      <c r="CN842" s="10"/>
      <c r="CO842" s="10"/>
    </row>
    <row r="843" spans="1:93" hidden="1">
      <c r="A843" s="10"/>
      <c r="B843" s="10"/>
      <c r="C843" s="10"/>
      <c r="D843" s="10"/>
      <c r="E843" s="10"/>
      <c r="F843" s="10"/>
      <c r="G843" s="11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  <c r="BA843" s="10"/>
      <c r="BB843" s="10"/>
      <c r="BC843" s="10"/>
      <c r="BD843" s="10"/>
      <c r="BE843" s="10"/>
      <c r="BF843" s="10"/>
      <c r="BG843" s="10"/>
      <c r="BH843" s="10"/>
      <c r="BI843" s="10"/>
      <c r="BJ843" s="10"/>
      <c r="BK843" s="10"/>
      <c r="BL843" s="10"/>
      <c r="BM843" s="10"/>
      <c r="BN843" s="10"/>
      <c r="BO843" s="10"/>
      <c r="BP843" s="10"/>
      <c r="BQ843" s="10"/>
      <c r="BR843" s="10"/>
      <c r="BS843" s="10"/>
      <c r="BT843" s="10"/>
      <c r="BU843" s="10"/>
      <c r="BV843" s="10"/>
      <c r="BW843" s="10"/>
      <c r="BX843" s="10"/>
      <c r="BY843" s="10"/>
      <c r="BZ843" s="10"/>
      <c r="CA843" s="10"/>
      <c r="CB843" s="10"/>
      <c r="CC843" s="10"/>
      <c r="CD843" s="10"/>
      <c r="CE843" s="10"/>
      <c r="CF843" s="10"/>
      <c r="CG843" s="10"/>
      <c r="CH843" s="10"/>
      <c r="CI843" s="10"/>
      <c r="CJ843" s="10"/>
      <c r="CK843" s="10"/>
      <c r="CL843" s="10"/>
      <c r="CM843" s="10"/>
      <c r="CN843" s="10"/>
      <c r="CO843" s="10"/>
    </row>
    <row r="844" spans="1:93" hidden="1">
      <c r="A844" s="10"/>
      <c r="B844" s="10"/>
      <c r="C844" s="35" t="s">
        <v>908</v>
      </c>
      <c r="D844" s="10"/>
      <c r="E844" s="10"/>
      <c r="F844" s="10"/>
      <c r="G844" s="11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  <c r="BA844" s="10"/>
      <c r="BB844" s="10"/>
      <c r="BC844" s="10"/>
      <c r="BD844" s="10"/>
      <c r="BE844" s="10"/>
      <c r="BF844" s="10"/>
      <c r="BG844" s="10"/>
      <c r="BH844" s="10"/>
      <c r="BI844" s="10"/>
      <c r="BJ844" s="10"/>
      <c r="BK844" s="10"/>
      <c r="BL844" s="10"/>
      <c r="BM844" s="10"/>
      <c r="BN844" s="10"/>
      <c r="BO844" s="10"/>
      <c r="BP844" s="10"/>
      <c r="BQ844" s="10"/>
      <c r="BR844" s="10"/>
      <c r="BS844" s="10"/>
      <c r="BT844" s="10"/>
      <c r="BU844" s="10"/>
      <c r="BV844" s="10"/>
      <c r="BW844" s="10"/>
      <c r="BX844" s="10"/>
      <c r="BY844" s="10"/>
      <c r="BZ844" s="10"/>
      <c r="CA844" s="10"/>
      <c r="CB844" s="10"/>
      <c r="CC844" s="10"/>
      <c r="CD844" s="10"/>
      <c r="CE844" s="10"/>
      <c r="CF844" s="10"/>
      <c r="CG844" s="10"/>
      <c r="CH844" s="10"/>
      <c r="CI844" s="10"/>
      <c r="CJ844" s="10"/>
      <c r="CK844" s="10"/>
      <c r="CL844" s="10"/>
      <c r="CM844" s="10"/>
      <c r="CN844" s="10"/>
      <c r="CO844" s="10"/>
    </row>
    <row r="845" spans="1:93" hidden="1">
      <c r="A845" s="10"/>
      <c r="B845" s="10"/>
      <c r="C845" s="17" t="s">
        <v>891</v>
      </c>
      <c r="D845" s="10"/>
      <c r="E845" s="184">
        <f xml:space="preserve"> Предпосылки!E498</f>
        <v>0</v>
      </c>
      <c r="F845" s="10"/>
      <c r="G845" s="142" t="s">
        <v>887</v>
      </c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  <c r="BA845" s="10"/>
      <c r="BB845" s="10"/>
      <c r="BC845" s="10"/>
      <c r="BD845" s="10"/>
      <c r="BE845" s="10"/>
      <c r="BF845" s="10"/>
      <c r="BG845" s="10"/>
      <c r="BH845" s="10"/>
      <c r="BI845" s="10"/>
      <c r="BJ845" s="10"/>
      <c r="BK845" s="10"/>
      <c r="BL845" s="10"/>
      <c r="BM845" s="10"/>
      <c r="BN845" s="10"/>
      <c r="BO845" s="10"/>
      <c r="BP845" s="10"/>
      <c r="BQ845" s="10"/>
      <c r="BR845" s="10"/>
      <c r="BS845" s="10"/>
      <c r="BT845" s="10"/>
      <c r="BU845" s="10"/>
      <c r="BV845" s="10"/>
      <c r="BW845" s="10"/>
      <c r="BX845" s="10"/>
      <c r="BY845" s="10"/>
      <c r="BZ845" s="10"/>
      <c r="CA845" s="10"/>
      <c r="CB845" s="10"/>
      <c r="CC845" s="10"/>
      <c r="CD845" s="10"/>
      <c r="CE845" s="10"/>
      <c r="CF845" s="10"/>
      <c r="CG845" s="10"/>
      <c r="CH845" s="10"/>
      <c r="CI845" s="10"/>
      <c r="CJ845" s="10"/>
      <c r="CK845" s="10"/>
      <c r="CL845" s="10"/>
      <c r="CM845" s="10"/>
      <c r="CN845" s="10"/>
      <c r="CO845" s="10"/>
    </row>
    <row r="846" spans="1:93" hidden="1">
      <c r="A846" s="10"/>
      <c r="B846" s="10"/>
      <c r="C846" s="17" t="s">
        <v>892</v>
      </c>
      <c r="D846" s="10"/>
      <c r="E846" s="184">
        <f xml:space="preserve"> Предпосылки!E499</f>
        <v>0</v>
      </c>
      <c r="F846" s="10"/>
      <c r="G846" s="142" t="s">
        <v>887</v>
      </c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  <c r="BA846" s="10"/>
      <c r="BB846" s="10"/>
      <c r="BC846" s="10"/>
      <c r="BD846" s="10"/>
      <c r="BE846" s="10"/>
      <c r="BF846" s="10"/>
      <c r="BG846" s="10"/>
      <c r="BH846" s="10"/>
      <c r="BI846" s="10"/>
      <c r="BJ846" s="10"/>
      <c r="BK846" s="10"/>
      <c r="BL846" s="10"/>
      <c r="BM846" s="10"/>
      <c r="BN846" s="10"/>
      <c r="BO846" s="10"/>
      <c r="BP846" s="10"/>
      <c r="BQ846" s="10"/>
      <c r="BR846" s="10"/>
      <c r="BS846" s="10"/>
      <c r="BT846" s="10"/>
      <c r="BU846" s="10"/>
      <c r="BV846" s="10"/>
      <c r="BW846" s="10"/>
      <c r="BX846" s="10"/>
      <c r="BY846" s="10"/>
      <c r="BZ846" s="10"/>
      <c r="CA846" s="10"/>
      <c r="CB846" s="10"/>
      <c r="CC846" s="10"/>
      <c r="CD846" s="10"/>
      <c r="CE846" s="10"/>
      <c r="CF846" s="10"/>
      <c r="CG846" s="10"/>
      <c r="CH846" s="10"/>
      <c r="CI846" s="10"/>
      <c r="CJ846" s="10"/>
      <c r="CK846" s="10"/>
      <c r="CL846" s="10"/>
      <c r="CM846" s="10"/>
      <c r="CN846" s="10"/>
      <c r="CO846" s="10"/>
    </row>
    <row r="847" spans="1:93" hidden="1">
      <c r="A847" s="10"/>
      <c r="B847" s="10"/>
      <c r="C847" s="17" t="s">
        <v>909</v>
      </c>
      <c r="D847" s="10"/>
      <c r="E847" s="184">
        <f xml:space="preserve"> Предпосылки!E500</f>
        <v>0</v>
      </c>
      <c r="F847" s="10"/>
      <c r="G847" s="142" t="s">
        <v>887</v>
      </c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  <c r="BA847" s="10"/>
      <c r="BB847" s="10"/>
      <c r="BC847" s="10"/>
      <c r="BD847" s="10"/>
      <c r="BE847" s="10"/>
      <c r="BF847" s="10"/>
      <c r="BG847" s="10"/>
      <c r="BH847" s="10"/>
      <c r="BI847" s="10"/>
      <c r="BJ847" s="10"/>
      <c r="BK847" s="10"/>
      <c r="BL847" s="10"/>
      <c r="BM847" s="10"/>
      <c r="BN847" s="10"/>
      <c r="BO847" s="10"/>
      <c r="BP847" s="10"/>
      <c r="BQ847" s="10"/>
      <c r="BR847" s="10"/>
      <c r="BS847" s="10"/>
      <c r="BT847" s="10"/>
      <c r="BU847" s="10"/>
      <c r="BV847" s="10"/>
      <c r="BW847" s="10"/>
      <c r="BX847" s="10"/>
      <c r="BY847" s="10"/>
      <c r="BZ847" s="10"/>
      <c r="CA847" s="10"/>
      <c r="CB847" s="10"/>
      <c r="CC847" s="10"/>
      <c r="CD847" s="10"/>
      <c r="CE847" s="10"/>
      <c r="CF847" s="10"/>
      <c r="CG847" s="10"/>
      <c r="CH847" s="10"/>
      <c r="CI847" s="10"/>
      <c r="CJ847" s="10"/>
      <c r="CK847" s="10"/>
      <c r="CL847" s="10"/>
      <c r="CM847" s="10"/>
      <c r="CN847" s="10"/>
      <c r="CO847" s="10"/>
    </row>
    <row r="848" spans="1:93" hidden="1">
      <c r="A848" s="10"/>
      <c r="B848" s="10"/>
      <c r="C848" s="10"/>
      <c r="D848" s="10"/>
      <c r="E848" s="10"/>
      <c r="F848" s="10"/>
      <c r="G848" s="11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  <c r="BA848" s="10"/>
      <c r="BB848" s="10"/>
      <c r="BC848" s="10"/>
      <c r="BD848" s="10"/>
      <c r="BE848" s="10"/>
      <c r="BF848" s="10"/>
      <c r="BG848" s="10"/>
      <c r="BH848" s="10"/>
      <c r="BI848" s="10"/>
      <c r="BJ848" s="10"/>
      <c r="BK848" s="10"/>
      <c r="BL848" s="10"/>
      <c r="BM848" s="10"/>
      <c r="BN848" s="10"/>
      <c r="BO848" s="10"/>
      <c r="BP848" s="10"/>
      <c r="BQ848" s="10"/>
      <c r="BR848" s="10"/>
      <c r="BS848" s="10"/>
      <c r="BT848" s="10"/>
      <c r="BU848" s="10"/>
      <c r="BV848" s="10"/>
      <c r="BW848" s="10"/>
      <c r="BX848" s="10"/>
      <c r="BY848" s="10"/>
      <c r="BZ848" s="10"/>
      <c r="CA848" s="10"/>
      <c r="CB848" s="10"/>
      <c r="CC848" s="10"/>
      <c r="CD848" s="10"/>
      <c r="CE848" s="10"/>
      <c r="CF848" s="10"/>
      <c r="CG848" s="10"/>
      <c r="CH848" s="10"/>
      <c r="CI848" s="10"/>
      <c r="CJ848" s="10"/>
      <c r="CK848" s="10"/>
      <c r="CL848" s="10"/>
      <c r="CM848" s="10"/>
      <c r="CN848" s="10"/>
      <c r="CO848" s="10"/>
    </row>
    <row r="849" spans="1:93" hidden="1">
      <c r="A849" s="10"/>
      <c r="B849" s="10"/>
      <c r="C849" s="35" t="s">
        <v>893</v>
      </c>
      <c r="D849" s="10"/>
      <c r="E849" s="10"/>
      <c r="F849" s="10"/>
      <c r="G849" s="11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  <c r="BA849" s="10"/>
      <c r="BB849" s="10"/>
      <c r="BC849" s="10"/>
      <c r="BD849" s="10"/>
      <c r="BE849" s="10"/>
      <c r="BF849" s="10"/>
      <c r="BG849" s="10"/>
      <c r="BH849" s="10"/>
      <c r="BI849" s="10"/>
      <c r="BJ849" s="10"/>
      <c r="BK849" s="10"/>
      <c r="BL849" s="10"/>
      <c r="BM849" s="10"/>
      <c r="BN849" s="10"/>
      <c r="BO849" s="10"/>
      <c r="BP849" s="10"/>
      <c r="BQ849" s="10"/>
      <c r="BR849" s="10"/>
      <c r="BS849" s="10"/>
      <c r="BT849" s="10"/>
      <c r="BU849" s="10"/>
      <c r="BV849" s="10"/>
      <c r="BW849" s="10"/>
      <c r="BX849" s="10"/>
      <c r="BY849" s="10"/>
      <c r="BZ849" s="10"/>
      <c r="CA849" s="10"/>
      <c r="CB849" s="10"/>
      <c r="CC849" s="10"/>
      <c r="CD849" s="10"/>
      <c r="CE849" s="10"/>
      <c r="CF849" s="10"/>
      <c r="CG849" s="10"/>
      <c r="CH849" s="10"/>
      <c r="CI849" s="10"/>
      <c r="CJ849" s="10"/>
      <c r="CK849" s="10"/>
      <c r="CL849" s="10"/>
      <c r="CM849" s="10"/>
      <c r="CN849" s="10"/>
      <c r="CO849" s="10"/>
    </row>
    <row r="850" spans="1:93" hidden="1">
      <c r="A850" s="10"/>
      <c r="B850" s="10"/>
      <c r="C850" s="17" t="s">
        <v>891</v>
      </c>
      <c r="D850" s="10"/>
      <c r="E850" s="184">
        <f xml:space="preserve"> Предпосылки!E503</f>
        <v>0</v>
      </c>
      <c r="F850" s="10"/>
      <c r="G850" s="142" t="s">
        <v>887</v>
      </c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  <c r="BA850" s="10"/>
      <c r="BB850" s="10"/>
      <c r="BC850" s="10"/>
      <c r="BD850" s="10"/>
      <c r="BE850" s="10"/>
      <c r="BF850" s="10"/>
      <c r="BG850" s="10"/>
      <c r="BH850" s="10"/>
      <c r="BI850" s="10"/>
      <c r="BJ850" s="10"/>
      <c r="BK850" s="10"/>
      <c r="BL850" s="10"/>
      <c r="BM850" s="10"/>
      <c r="BN850" s="10"/>
      <c r="BO850" s="10"/>
      <c r="BP850" s="10"/>
      <c r="BQ850" s="10"/>
      <c r="BR850" s="10"/>
      <c r="BS850" s="10"/>
      <c r="BT850" s="10"/>
      <c r="BU850" s="10"/>
      <c r="BV850" s="10"/>
      <c r="BW850" s="10"/>
      <c r="BX850" s="10"/>
      <c r="BY850" s="10"/>
      <c r="BZ850" s="10"/>
      <c r="CA850" s="10"/>
      <c r="CB850" s="10"/>
      <c r="CC850" s="10"/>
      <c r="CD850" s="10"/>
      <c r="CE850" s="10"/>
      <c r="CF850" s="10"/>
      <c r="CG850" s="10"/>
      <c r="CH850" s="10"/>
      <c r="CI850" s="10"/>
      <c r="CJ850" s="10"/>
      <c r="CK850" s="10"/>
      <c r="CL850" s="10"/>
      <c r="CM850" s="10"/>
      <c r="CN850" s="10"/>
      <c r="CO850" s="10"/>
    </row>
    <row r="851" spans="1:93" hidden="1">
      <c r="A851" s="10"/>
      <c r="B851" s="10"/>
      <c r="C851" s="17" t="s">
        <v>892</v>
      </c>
      <c r="D851" s="10"/>
      <c r="E851" s="184">
        <f xml:space="preserve"> Предпосылки!E504</f>
        <v>0</v>
      </c>
      <c r="F851" s="10"/>
      <c r="G851" s="142" t="s">
        <v>887</v>
      </c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  <c r="BA851" s="10"/>
      <c r="BB851" s="10"/>
      <c r="BC851" s="10"/>
      <c r="BD851" s="10"/>
      <c r="BE851" s="10"/>
      <c r="BF851" s="10"/>
      <c r="BG851" s="10"/>
      <c r="BH851" s="10"/>
      <c r="BI851" s="10"/>
      <c r="BJ851" s="10"/>
      <c r="BK851" s="10"/>
      <c r="BL851" s="10"/>
      <c r="BM851" s="10"/>
      <c r="BN851" s="10"/>
      <c r="BO851" s="10"/>
      <c r="BP851" s="10"/>
      <c r="BQ851" s="10"/>
      <c r="BR851" s="10"/>
      <c r="BS851" s="10"/>
      <c r="BT851" s="10"/>
      <c r="BU851" s="10"/>
      <c r="BV851" s="10"/>
      <c r="BW851" s="10"/>
      <c r="BX851" s="10"/>
      <c r="BY851" s="10"/>
      <c r="BZ851" s="10"/>
      <c r="CA851" s="10"/>
      <c r="CB851" s="10"/>
      <c r="CC851" s="10"/>
      <c r="CD851" s="10"/>
      <c r="CE851" s="10"/>
      <c r="CF851" s="10"/>
      <c r="CG851" s="10"/>
      <c r="CH851" s="10"/>
      <c r="CI851" s="10"/>
      <c r="CJ851" s="10"/>
      <c r="CK851" s="10"/>
      <c r="CL851" s="10"/>
      <c r="CM851" s="10"/>
      <c r="CN851" s="10"/>
      <c r="CO851" s="10"/>
    </row>
    <row r="852" spans="1:93" hidden="1">
      <c r="A852" s="10"/>
      <c r="B852" s="10"/>
      <c r="C852" s="17" t="s">
        <v>909</v>
      </c>
      <c r="D852" s="10"/>
      <c r="E852" s="184">
        <f xml:space="preserve"> Предпосылки!E505</f>
        <v>0</v>
      </c>
      <c r="F852" s="10"/>
      <c r="G852" s="142" t="s">
        <v>887</v>
      </c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  <c r="BA852" s="10"/>
      <c r="BB852" s="10"/>
      <c r="BC852" s="10"/>
      <c r="BD852" s="10"/>
      <c r="BE852" s="10"/>
      <c r="BF852" s="10"/>
      <c r="BG852" s="10"/>
      <c r="BH852" s="10"/>
      <c r="BI852" s="10"/>
      <c r="BJ852" s="10"/>
      <c r="BK852" s="10"/>
      <c r="BL852" s="10"/>
      <c r="BM852" s="10"/>
      <c r="BN852" s="10"/>
      <c r="BO852" s="10"/>
      <c r="BP852" s="10"/>
      <c r="BQ852" s="10"/>
      <c r="BR852" s="10"/>
      <c r="BS852" s="10"/>
      <c r="BT852" s="10"/>
      <c r="BU852" s="10"/>
      <c r="BV852" s="10"/>
      <c r="BW852" s="10"/>
      <c r="BX852" s="10"/>
      <c r="BY852" s="10"/>
      <c r="BZ852" s="10"/>
      <c r="CA852" s="10"/>
      <c r="CB852" s="10"/>
      <c r="CC852" s="10"/>
      <c r="CD852" s="10"/>
      <c r="CE852" s="10"/>
      <c r="CF852" s="10"/>
      <c r="CG852" s="10"/>
      <c r="CH852" s="10"/>
      <c r="CI852" s="10"/>
      <c r="CJ852" s="10"/>
      <c r="CK852" s="10"/>
      <c r="CL852" s="10"/>
      <c r="CM852" s="10"/>
      <c r="CN852" s="10"/>
      <c r="CO852" s="10"/>
    </row>
    <row r="853" spans="1:93" hidden="1">
      <c r="A853" s="10"/>
      <c r="B853" s="10"/>
      <c r="C853" s="17" t="s">
        <v>894</v>
      </c>
      <c r="D853" s="10"/>
      <c r="E853" s="184">
        <f xml:space="preserve"> Предпосылки!E506</f>
        <v>0</v>
      </c>
      <c r="F853" s="10"/>
      <c r="G853" s="142" t="s">
        <v>887</v>
      </c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  <c r="BA853" s="10"/>
      <c r="BB853" s="10"/>
      <c r="BC853" s="10"/>
      <c r="BD853" s="10"/>
      <c r="BE853" s="10"/>
      <c r="BF853" s="10"/>
      <c r="BG853" s="10"/>
      <c r="BH853" s="10"/>
      <c r="BI853" s="10"/>
      <c r="BJ853" s="10"/>
      <c r="BK853" s="10"/>
      <c r="BL853" s="10"/>
      <c r="BM853" s="10"/>
      <c r="BN853" s="10"/>
      <c r="BO853" s="10"/>
      <c r="BP853" s="10"/>
      <c r="BQ853" s="10"/>
      <c r="BR853" s="10"/>
      <c r="BS853" s="10"/>
      <c r="BT853" s="10"/>
      <c r="BU853" s="10"/>
      <c r="BV853" s="10"/>
      <c r="BW853" s="10"/>
      <c r="BX853" s="10"/>
      <c r="BY853" s="10"/>
      <c r="BZ853" s="10"/>
      <c r="CA853" s="10"/>
      <c r="CB853" s="10"/>
      <c r="CC853" s="10"/>
      <c r="CD853" s="10"/>
      <c r="CE853" s="10"/>
      <c r="CF853" s="10"/>
      <c r="CG853" s="10"/>
      <c r="CH853" s="10"/>
      <c r="CI853" s="10"/>
      <c r="CJ853" s="10"/>
      <c r="CK853" s="10"/>
      <c r="CL853" s="10"/>
      <c r="CM853" s="10"/>
      <c r="CN853" s="10"/>
      <c r="CO853" s="10"/>
    </row>
    <row r="854" spans="1:93" hidden="1">
      <c r="A854" s="10"/>
      <c r="B854" s="10"/>
      <c r="C854" s="17" t="s">
        <v>895</v>
      </c>
      <c r="D854" s="10"/>
      <c r="E854" s="184">
        <f xml:space="preserve"> Предпосылки!E507</f>
        <v>0</v>
      </c>
      <c r="F854" s="10"/>
      <c r="G854" s="142" t="s">
        <v>887</v>
      </c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  <c r="BA854" s="10"/>
      <c r="BB854" s="10"/>
      <c r="BC854" s="10"/>
      <c r="BD854" s="10"/>
      <c r="BE854" s="10"/>
      <c r="BF854" s="10"/>
      <c r="BG854" s="10"/>
      <c r="BH854" s="10"/>
      <c r="BI854" s="10"/>
      <c r="BJ854" s="10"/>
      <c r="BK854" s="10"/>
      <c r="BL854" s="10"/>
      <c r="BM854" s="10"/>
      <c r="BN854" s="10"/>
      <c r="BO854" s="10"/>
      <c r="BP854" s="10"/>
      <c r="BQ854" s="10"/>
      <c r="BR854" s="10"/>
      <c r="BS854" s="10"/>
      <c r="BT854" s="10"/>
      <c r="BU854" s="10"/>
      <c r="BV854" s="10"/>
      <c r="BW854" s="10"/>
      <c r="BX854" s="10"/>
      <c r="BY854" s="10"/>
      <c r="BZ854" s="10"/>
      <c r="CA854" s="10"/>
      <c r="CB854" s="10"/>
      <c r="CC854" s="10"/>
      <c r="CD854" s="10"/>
      <c r="CE854" s="10"/>
      <c r="CF854" s="10"/>
      <c r="CG854" s="10"/>
      <c r="CH854" s="10"/>
      <c r="CI854" s="10"/>
      <c r="CJ854" s="10"/>
      <c r="CK854" s="10"/>
      <c r="CL854" s="10"/>
      <c r="CM854" s="10"/>
      <c r="CN854" s="10"/>
      <c r="CO854" s="10"/>
    </row>
    <row r="855" spans="1:93" hidden="1">
      <c r="A855" s="10"/>
      <c r="B855" s="10"/>
      <c r="C855" s="10"/>
      <c r="D855" s="10"/>
      <c r="E855" s="10"/>
      <c r="F855" s="10"/>
      <c r="G855" s="11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  <c r="BA855" s="10"/>
      <c r="BB855" s="10"/>
      <c r="BC855" s="10"/>
      <c r="BD855" s="10"/>
      <c r="BE855" s="10"/>
      <c r="BF855" s="10"/>
      <c r="BG855" s="10"/>
      <c r="BH855" s="10"/>
      <c r="BI855" s="10"/>
      <c r="BJ855" s="10"/>
      <c r="BK855" s="10"/>
      <c r="BL855" s="10"/>
      <c r="BM855" s="10"/>
      <c r="BN855" s="10"/>
      <c r="BO855" s="10"/>
      <c r="BP855" s="10"/>
      <c r="BQ855" s="10"/>
      <c r="BR855" s="10"/>
      <c r="BS855" s="10"/>
      <c r="BT855" s="10"/>
      <c r="BU855" s="10"/>
      <c r="BV855" s="10"/>
      <c r="BW855" s="10"/>
      <c r="BX855" s="10"/>
      <c r="BY855" s="10"/>
      <c r="BZ855" s="10"/>
      <c r="CA855" s="10"/>
      <c r="CB855" s="10"/>
      <c r="CC855" s="10"/>
      <c r="CD855" s="10"/>
      <c r="CE855" s="10"/>
      <c r="CF855" s="10"/>
      <c r="CG855" s="10"/>
      <c r="CH855" s="10"/>
      <c r="CI855" s="10"/>
      <c r="CJ855" s="10"/>
      <c r="CK855" s="10"/>
      <c r="CL855" s="10"/>
      <c r="CM855" s="10"/>
      <c r="CN855" s="10"/>
      <c r="CO855" s="10"/>
    </row>
    <row r="856" spans="1:93" ht="16.5" hidden="1" thickBot="1">
      <c r="A856" s="10"/>
      <c r="B856" s="10"/>
      <c r="C856" s="12" t="s">
        <v>871</v>
      </c>
      <c r="D856" s="12"/>
      <c r="E856" s="12"/>
      <c r="F856" s="12"/>
      <c r="G856" s="360"/>
      <c r="H856" s="12"/>
      <c r="I856" s="12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  <c r="BA856" s="10"/>
      <c r="BB856" s="10"/>
      <c r="BC856" s="10"/>
      <c r="BD856" s="10"/>
      <c r="BE856" s="10"/>
      <c r="BF856" s="10"/>
      <c r="BG856" s="10"/>
      <c r="BH856" s="10"/>
      <c r="BI856" s="10"/>
      <c r="BJ856" s="10"/>
      <c r="BK856" s="10"/>
      <c r="BL856" s="10"/>
      <c r="BM856" s="10"/>
      <c r="BN856" s="10"/>
      <c r="BO856" s="10"/>
      <c r="BP856" s="10"/>
      <c r="BQ856" s="10"/>
      <c r="BR856" s="10"/>
      <c r="BS856" s="10"/>
      <c r="BT856" s="10"/>
      <c r="BU856" s="10"/>
      <c r="BV856" s="10"/>
      <c r="BW856" s="10"/>
      <c r="BX856" s="10"/>
      <c r="BY856" s="10"/>
      <c r="BZ856" s="10"/>
      <c r="CA856" s="10"/>
      <c r="CB856" s="10"/>
      <c r="CC856" s="10"/>
      <c r="CD856" s="10"/>
      <c r="CE856" s="10"/>
      <c r="CF856" s="10"/>
      <c r="CG856" s="10"/>
      <c r="CH856" s="10"/>
      <c r="CI856" s="10"/>
      <c r="CJ856" s="10"/>
      <c r="CK856" s="10"/>
      <c r="CL856" s="10"/>
      <c r="CM856" s="10"/>
      <c r="CN856" s="10"/>
      <c r="CO856" s="10"/>
    </row>
    <row r="857" spans="1:93" hidden="1">
      <c r="A857" s="10"/>
      <c r="B857" s="10"/>
      <c r="C857" s="10"/>
      <c r="D857" s="10"/>
      <c r="E857" s="10"/>
      <c r="F857" s="10"/>
      <c r="G857" s="11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  <c r="BA857" s="10"/>
      <c r="BB857" s="10"/>
      <c r="BC857" s="10"/>
      <c r="BD857" s="10"/>
      <c r="BE857" s="10"/>
      <c r="BF857" s="10"/>
      <c r="BG857" s="10"/>
      <c r="BH857" s="10"/>
      <c r="BI857" s="10"/>
      <c r="BJ857" s="10"/>
      <c r="BK857" s="10"/>
      <c r="BL857" s="10"/>
      <c r="BM857" s="10"/>
      <c r="BN857" s="10"/>
      <c r="BO857" s="10"/>
      <c r="BP857" s="10"/>
      <c r="BQ857" s="10"/>
      <c r="BR857" s="10"/>
      <c r="BS857" s="10"/>
      <c r="BT857" s="10"/>
      <c r="BU857" s="10"/>
      <c r="BV857" s="10"/>
      <c r="BW857" s="10"/>
      <c r="BX857" s="10"/>
      <c r="BY857" s="10"/>
      <c r="BZ857" s="10"/>
      <c r="CA857" s="10"/>
      <c r="CB857" s="10"/>
      <c r="CC857" s="10"/>
      <c r="CD857" s="10"/>
      <c r="CE857" s="10"/>
      <c r="CF857" s="10"/>
      <c r="CG857" s="10"/>
      <c r="CH857" s="10"/>
      <c r="CI857" s="10"/>
      <c r="CJ857" s="10"/>
      <c r="CK857" s="10"/>
      <c r="CL857" s="10"/>
      <c r="CM857" s="10"/>
      <c r="CN857" s="10"/>
      <c r="CO857" s="10"/>
    </row>
    <row r="858" spans="1:93" hidden="1">
      <c r="A858" s="10"/>
      <c r="B858" s="10"/>
      <c r="C858" s="35" t="s">
        <v>883</v>
      </c>
      <c r="D858" s="10"/>
      <c r="E858" s="10"/>
      <c r="F858" s="10"/>
      <c r="G858" s="11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  <c r="BA858" s="10"/>
      <c r="BB858" s="10"/>
      <c r="BC858" s="10"/>
      <c r="BD858" s="10"/>
      <c r="BE858" s="10"/>
      <c r="BF858" s="10"/>
      <c r="BG858" s="10"/>
      <c r="BH858" s="10"/>
      <c r="BI858" s="10"/>
      <c r="BJ858" s="10"/>
      <c r="BK858" s="10"/>
      <c r="BL858" s="10"/>
      <c r="BM858" s="10"/>
      <c r="BN858" s="10"/>
      <c r="BO858" s="10"/>
      <c r="BP858" s="10"/>
      <c r="BQ858" s="10"/>
      <c r="BR858" s="10"/>
      <c r="BS858" s="10"/>
      <c r="BT858" s="10"/>
      <c r="BU858" s="10"/>
      <c r="BV858" s="10"/>
      <c r="BW858" s="10"/>
      <c r="BX858" s="10"/>
      <c r="BY858" s="10"/>
      <c r="BZ858" s="10"/>
      <c r="CA858" s="10"/>
      <c r="CB858" s="10"/>
      <c r="CC858" s="10"/>
      <c r="CD858" s="10"/>
      <c r="CE858" s="10"/>
      <c r="CF858" s="10"/>
      <c r="CG858" s="10"/>
      <c r="CH858" s="10"/>
      <c r="CI858" s="10"/>
      <c r="CJ858" s="10"/>
      <c r="CK858" s="10"/>
      <c r="CL858" s="10"/>
      <c r="CM858" s="10"/>
      <c r="CN858" s="10"/>
      <c r="CO858" s="10"/>
    </row>
    <row r="859" spans="1:93" hidden="1">
      <c r="A859" s="10"/>
      <c r="B859" s="10"/>
      <c r="C859" s="17" t="s">
        <v>884</v>
      </c>
      <c r="D859" s="10"/>
      <c r="E859" s="10"/>
      <c r="F859" s="10"/>
      <c r="G859" s="11" t="str">
        <f t="shared" ref="G859:G866" si="983">Monetary_Unit</f>
        <v>тыс. руб.</v>
      </c>
      <c r="H859" s="10"/>
      <c r="I859" s="23">
        <f t="shared" ref="I859:I866" ca="1" si="984">SUM(L859:CO859)</f>
        <v>0</v>
      </c>
      <c r="K859" s="10"/>
      <c r="L859" s="10">
        <f t="shared" ref="L859:AQ859" ca="1" si="985" xml:space="preserve"> $E833 * CPI_Accumulated_From_Date * (Period_length) * L$50 * $I$699</f>
        <v>0</v>
      </c>
      <c r="M859" s="10">
        <f t="shared" ca="1" si="985"/>
        <v>0</v>
      </c>
      <c r="N859" s="10">
        <f t="shared" ca="1" si="985"/>
        <v>0</v>
      </c>
      <c r="O859" s="10">
        <f t="shared" ca="1" si="985"/>
        <v>0</v>
      </c>
      <c r="P859" s="10">
        <f t="shared" ca="1" si="985"/>
        <v>0</v>
      </c>
      <c r="Q859" s="10">
        <f t="shared" ca="1" si="985"/>
        <v>0</v>
      </c>
      <c r="R859" s="10">
        <f t="shared" ca="1" si="985"/>
        <v>0</v>
      </c>
      <c r="S859" s="10">
        <f t="shared" ca="1" si="985"/>
        <v>0</v>
      </c>
      <c r="T859" s="10">
        <f t="shared" ca="1" si="985"/>
        <v>0</v>
      </c>
      <c r="U859" s="10">
        <f t="shared" ca="1" si="985"/>
        <v>0</v>
      </c>
      <c r="V859" s="10">
        <f t="shared" ca="1" si="985"/>
        <v>0</v>
      </c>
      <c r="W859" s="10">
        <f t="shared" ca="1" si="985"/>
        <v>0</v>
      </c>
      <c r="X859" s="10">
        <f t="shared" ca="1" si="985"/>
        <v>0</v>
      </c>
      <c r="Y859" s="10">
        <f t="shared" ca="1" si="985"/>
        <v>0</v>
      </c>
      <c r="Z859" s="10">
        <f t="shared" ca="1" si="985"/>
        <v>0</v>
      </c>
      <c r="AA859" s="10">
        <f t="shared" ca="1" si="985"/>
        <v>0</v>
      </c>
      <c r="AB859" s="10">
        <f t="shared" ca="1" si="985"/>
        <v>0</v>
      </c>
      <c r="AC859" s="10">
        <f t="shared" ca="1" si="985"/>
        <v>0</v>
      </c>
      <c r="AD859" s="10">
        <f t="shared" ca="1" si="985"/>
        <v>0</v>
      </c>
      <c r="AE859" s="10">
        <f t="shared" ca="1" si="985"/>
        <v>0</v>
      </c>
      <c r="AF859" s="10">
        <f t="shared" ca="1" si="985"/>
        <v>0</v>
      </c>
      <c r="AG859" s="10">
        <f t="shared" ca="1" si="985"/>
        <v>0</v>
      </c>
      <c r="AH859" s="10">
        <f t="shared" ca="1" si="985"/>
        <v>0</v>
      </c>
      <c r="AI859" s="10">
        <f t="shared" ca="1" si="985"/>
        <v>0</v>
      </c>
      <c r="AJ859" s="10">
        <f t="shared" ca="1" si="985"/>
        <v>0</v>
      </c>
      <c r="AK859" s="10">
        <f t="shared" ca="1" si="985"/>
        <v>0</v>
      </c>
      <c r="AL859" s="10">
        <f t="shared" ca="1" si="985"/>
        <v>0</v>
      </c>
      <c r="AM859" s="10">
        <f t="shared" ca="1" si="985"/>
        <v>0</v>
      </c>
      <c r="AN859" s="10">
        <f t="shared" ca="1" si="985"/>
        <v>0</v>
      </c>
      <c r="AO859" s="10">
        <f t="shared" ca="1" si="985"/>
        <v>0</v>
      </c>
      <c r="AP859" s="10">
        <f t="shared" ca="1" si="985"/>
        <v>0</v>
      </c>
      <c r="AQ859" s="10">
        <f t="shared" ca="1" si="985"/>
        <v>0</v>
      </c>
      <c r="AR859" s="10">
        <f t="shared" ref="AR859:BW859" ca="1" si="986" xml:space="preserve"> $E833 * CPI_Accumulated_From_Date * (Period_length) * AR$50 * $I$699</f>
        <v>0</v>
      </c>
      <c r="AS859" s="10">
        <f t="shared" ca="1" si="986"/>
        <v>0</v>
      </c>
      <c r="AT859" s="10">
        <f t="shared" ca="1" si="986"/>
        <v>0</v>
      </c>
      <c r="AU859" s="10">
        <f t="shared" ca="1" si="986"/>
        <v>0</v>
      </c>
      <c r="AV859" s="10">
        <f t="shared" ca="1" si="986"/>
        <v>0</v>
      </c>
      <c r="AW859" s="10">
        <f t="shared" ca="1" si="986"/>
        <v>0</v>
      </c>
      <c r="AX859" s="10">
        <f t="shared" ca="1" si="986"/>
        <v>0</v>
      </c>
      <c r="AY859" s="10">
        <f t="shared" ca="1" si="986"/>
        <v>0</v>
      </c>
      <c r="AZ859" s="10">
        <f t="shared" ca="1" si="986"/>
        <v>0</v>
      </c>
      <c r="BA859" s="10">
        <f t="shared" ca="1" si="986"/>
        <v>0</v>
      </c>
      <c r="BB859" s="10">
        <f t="shared" ca="1" si="986"/>
        <v>0</v>
      </c>
      <c r="BC859" s="10">
        <f t="shared" ca="1" si="986"/>
        <v>0</v>
      </c>
      <c r="BD859" s="10">
        <f t="shared" ca="1" si="986"/>
        <v>0</v>
      </c>
      <c r="BE859" s="10">
        <f t="shared" ca="1" si="986"/>
        <v>0</v>
      </c>
      <c r="BF859" s="10">
        <f t="shared" ca="1" si="986"/>
        <v>0</v>
      </c>
      <c r="BG859" s="10">
        <f t="shared" ca="1" si="986"/>
        <v>0</v>
      </c>
      <c r="BH859" s="10">
        <f t="shared" ca="1" si="986"/>
        <v>0</v>
      </c>
      <c r="BI859" s="10">
        <f t="shared" ca="1" si="986"/>
        <v>0</v>
      </c>
      <c r="BJ859" s="10">
        <f t="shared" ca="1" si="986"/>
        <v>0</v>
      </c>
      <c r="BK859" s="10">
        <f t="shared" ca="1" si="986"/>
        <v>0</v>
      </c>
      <c r="BL859" s="10">
        <f t="shared" ca="1" si="986"/>
        <v>0</v>
      </c>
      <c r="BM859" s="10">
        <f t="shared" ca="1" si="986"/>
        <v>0</v>
      </c>
      <c r="BN859" s="10">
        <f t="shared" ca="1" si="986"/>
        <v>0</v>
      </c>
      <c r="BO859" s="10">
        <f t="shared" ca="1" si="986"/>
        <v>0</v>
      </c>
      <c r="BP859" s="10">
        <f t="shared" ca="1" si="986"/>
        <v>0</v>
      </c>
      <c r="BQ859" s="10">
        <f t="shared" ca="1" si="986"/>
        <v>0</v>
      </c>
      <c r="BR859" s="10">
        <f t="shared" ca="1" si="986"/>
        <v>0</v>
      </c>
      <c r="BS859" s="10">
        <f t="shared" ca="1" si="986"/>
        <v>0</v>
      </c>
      <c r="BT859" s="10">
        <f t="shared" ca="1" si="986"/>
        <v>0</v>
      </c>
      <c r="BU859" s="10">
        <f t="shared" ca="1" si="986"/>
        <v>0</v>
      </c>
      <c r="BV859" s="10">
        <f t="shared" ca="1" si="986"/>
        <v>0</v>
      </c>
      <c r="BW859" s="10">
        <f t="shared" ca="1" si="986"/>
        <v>0</v>
      </c>
      <c r="BX859" s="10">
        <f t="shared" ref="BX859:CO859" ca="1" si="987" xml:space="preserve"> $E833 * CPI_Accumulated_From_Date * (Period_length) * BX$50 * $I$699</f>
        <v>0</v>
      </c>
      <c r="BY859" s="10">
        <f t="shared" ca="1" si="987"/>
        <v>0</v>
      </c>
      <c r="BZ859" s="10">
        <f t="shared" ca="1" si="987"/>
        <v>0</v>
      </c>
      <c r="CA859" s="10">
        <f t="shared" ca="1" si="987"/>
        <v>0</v>
      </c>
      <c r="CB859" s="10">
        <f t="shared" ca="1" si="987"/>
        <v>0</v>
      </c>
      <c r="CC859" s="10">
        <f t="shared" ca="1" si="987"/>
        <v>0</v>
      </c>
      <c r="CD859" s="10">
        <f t="shared" ca="1" si="987"/>
        <v>0</v>
      </c>
      <c r="CE859" s="10">
        <f t="shared" ca="1" si="987"/>
        <v>0</v>
      </c>
      <c r="CF859" s="10">
        <f t="shared" ca="1" si="987"/>
        <v>0</v>
      </c>
      <c r="CG859" s="10">
        <f t="shared" ca="1" si="987"/>
        <v>0</v>
      </c>
      <c r="CH859" s="10">
        <f t="shared" ca="1" si="987"/>
        <v>0</v>
      </c>
      <c r="CI859" s="10">
        <f t="shared" ca="1" si="987"/>
        <v>0</v>
      </c>
      <c r="CJ859" s="10">
        <f t="shared" ca="1" si="987"/>
        <v>0</v>
      </c>
      <c r="CK859" s="10">
        <f t="shared" ca="1" si="987"/>
        <v>0</v>
      </c>
      <c r="CL859" s="10">
        <f t="shared" ca="1" si="987"/>
        <v>0</v>
      </c>
      <c r="CM859" s="10">
        <f t="shared" ca="1" si="987"/>
        <v>0</v>
      </c>
      <c r="CN859" s="10">
        <f t="shared" ca="1" si="987"/>
        <v>0</v>
      </c>
      <c r="CO859" s="10">
        <f t="shared" ca="1" si="987"/>
        <v>0</v>
      </c>
    </row>
    <row r="860" spans="1:93" hidden="1">
      <c r="A860" s="10"/>
      <c r="B860" s="10"/>
      <c r="C860" s="17" t="s">
        <v>885</v>
      </c>
      <c r="D860" s="10"/>
      <c r="E860" s="10"/>
      <c r="F860" s="10"/>
      <c r="G860" s="11" t="str">
        <f t="shared" si="983"/>
        <v>тыс. руб.</v>
      </c>
      <c r="H860" s="10"/>
      <c r="I860" s="23">
        <f t="shared" ca="1" si="984"/>
        <v>0</v>
      </c>
      <c r="K860" s="10"/>
      <c r="L860" s="10">
        <f t="shared" ref="L860:AQ860" ca="1" si="988" xml:space="preserve"> $E834 * CPI_Accumulated_From_Date * (Period_length) * L$50 * $I$699</f>
        <v>0</v>
      </c>
      <c r="M860" s="10">
        <f t="shared" ca="1" si="988"/>
        <v>0</v>
      </c>
      <c r="N860" s="10">
        <f t="shared" ca="1" si="988"/>
        <v>0</v>
      </c>
      <c r="O860" s="10">
        <f t="shared" ca="1" si="988"/>
        <v>0</v>
      </c>
      <c r="P860" s="10">
        <f t="shared" ca="1" si="988"/>
        <v>0</v>
      </c>
      <c r="Q860" s="10">
        <f t="shared" ca="1" si="988"/>
        <v>0</v>
      </c>
      <c r="R860" s="10">
        <f t="shared" ca="1" si="988"/>
        <v>0</v>
      </c>
      <c r="S860" s="10">
        <f t="shared" ca="1" si="988"/>
        <v>0</v>
      </c>
      <c r="T860" s="10">
        <f t="shared" ca="1" si="988"/>
        <v>0</v>
      </c>
      <c r="U860" s="10">
        <f t="shared" ca="1" si="988"/>
        <v>0</v>
      </c>
      <c r="V860" s="10">
        <f t="shared" ca="1" si="988"/>
        <v>0</v>
      </c>
      <c r="W860" s="10">
        <f t="shared" ca="1" si="988"/>
        <v>0</v>
      </c>
      <c r="X860" s="10">
        <f t="shared" ca="1" si="988"/>
        <v>0</v>
      </c>
      <c r="Y860" s="10">
        <f t="shared" ca="1" si="988"/>
        <v>0</v>
      </c>
      <c r="Z860" s="10">
        <f t="shared" ca="1" si="988"/>
        <v>0</v>
      </c>
      <c r="AA860" s="10">
        <f t="shared" ca="1" si="988"/>
        <v>0</v>
      </c>
      <c r="AB860" s="10">
        <f t="shared" ca="1" si="988"/>
        <v>0</v>
      </c>
      <c r="AC860" s="10">
        <f t="shared" ca="1" si="988"/>
        <v>0</v>
      </c>
      <c r="AD860" s="10">
        <f t="shared" ca="1" si="988"/>
        <v>0</v>
      </c>
      <c r="AE860" s="10">
        <f t="shared" ca="1" si="988"/>
        <v>0</v>
      </c>
      <c r="AF860" s="10">
        <f t="shared" ca="1" si="988"/>
        <v>0</v>
      </c>
      <c r="AG860" s="10">
        <f t="shared" ca="1" si="988"/>
        <v>0</v>
      </c>
      <c r="AH860" s="10">
        <f t="shared" ca="1" si="988"/>
        <v>0</v>
      </c>
      <c r="AI860" s="10">
        <f t="shared" ca="1" si="988"/>
        <v>0</v>
      </c>
      <c r="AJ860" s="10">
        <f t="shared" ca="1" si="988"/>
        <v>0</v>
      </c>
      <c r="AK860" s="10">
        <f t="shared" ca="1" si="988"/>
        <v>0</v>
      </c>
      <c r="AL860" s="10">
        <f t="shared" ca="1" si="988"/>
        <v>0</v>
      </c>
      <c r="AM860" s="10">
        <f t="shared" ca="1" si="988"/>
        <v>0</v>
      </c>
      <c r="AN860" s="10">
        <f t="shared" ca="1" si="988"/>
        <v>0</v>
      </c>
      <c r="AO860" s="10">
        <f t="shared" ca="1" si="988"/>
        <v>0</v>
      </c>
      <c r="AP860" s="10">
        <f t="shared" ca="1" si="988"/>
        <v>0</v>
      </c>
      <c r="AQ860" s="10">
        <f t="shared" ca="1" si="988"/>
        <v>0</v>
      </c>
      <c r="AR860" s="10">
        <f t="shared" ref="AR860:BW860" ca="1" si="989" xml:space="preserve"> $E834 * CPI_Accumulated_From_Date * (Period_length) * AR$50 * $I$699</f>
        <v>0</v>
      </c>
      <c r="AS860" s="10">
        <f t="shared" ca="1" si="989"/>
        <v>0</v>
      </c>
      <c r="AT860" s="10">
        <f t="shared" ca="1" si="989"/>
        <v>0</v>
      </c>
      <c r="AU860" s="10">
        <f t="shared" ca="1" si="989"/>
        <v>0</v>
      </c>
      <c r="AV860" s="10">
        <f t="shared" ca="1" si="989"/>
        <v>0</v>
      </c>
      <c r="AW860" s="10">
        <f t="shared" ca="1" si="989"/>
        <v>0</v>
      </c>
      <c r="AX860" s="10">
        <f t="shared" ca="1" si="989"/>
        <v>0</v>
      </c>
      <c r="AY860" s="10">
        <f t="shared" ca="1" si="989"/>
        <v>0</v>
      </c>
      <c r="AZ860" s="10">
        <f t="shared" ca="1" si="989"/>
        <v>0</v>
      </c>
      <c r="BA860" s="10">
        <f t="shared" ca="1" si="989"/>
        <v>0</v>
      </c>
      <c r="BB860" s="10">
        <f t="shared" ca="1" si="989"/>
        <v>0</v>
      </c>
      <c r="BC860" s="10">
        <f t="shared" ca="1" si="989"/>
        <v>0</v>
      </c>
      <c r="BD860" s="10">
        <f t="shared" ca="1" si="989"/>
        <v>0</v>
      </c>
      <c r="BE860" s="10">
        <f t="shared" ca="1" si="989"/>
        <v>0</v>
      </c>
      <c r="BF860" s="10">
        <f t="shared" ca="1" si="989"/>
        <v>0</v>
      </c>
      <c r="BG860" s="10">
        <f t="shared" ca="1" si="989"/>
        <v>0</v>
      </c>
      <c r="BH860" s="10">
        <f t="shared" ca="1" si="989"/>
        <v>0</v>
      </c>
      <c r="BI860" s="10">
        <f t="shared" ca="1" si="989"/>
        <v>0</v>
      </c>
      <c r="BJ860" s="10">
        <f t="shared" ca="1" si="989"/>
        <v>0</v>
      </c>
      <c r="BK860" s="10">
        <f t="shared" ca="1" si="989"/>
        <v>0</v>
      </c>
      <c r="BL860" s="10">
        <f t="shared" ca="1" si="989"/>
        <v>0</v>
      </c>
      <c r="BM860" s="10">
        <f t="shared" ca="1" si="989"/>
        <v>0</v>
      </c>
      <c r="BN860" s="10">
        <f t="shared" ca="1" si="989"/>
        <v>0</v>
      </c>
      <c r="BO860" s="10">
        <f t="shared" ca="1" si="989"/>
        <v>0</v>
      </c>
      <c r="BP860" s="10">
        <f t="shared" ca="1" si="989"/>
        <v>0</v>
      </c>
      <c r="BQ860" s="10">
        <f t="shared" ca="1" si="989"/>
        <v>0</v>
      </c>
      <c r="BR860" s="10">
        <f t="shared" ca="1" si="989"/>
        <v>0</v>
      </c>
      <c r="BS860" s="10">
        <f t="shared" ca="1" si="989"/>
        <v>0</v>
      </c>
      <c r="BT860" s="10">
        <f t="shared" ca="1" si="989"/>
        <v>0</v>
      </c>
      <c r="BU860" s="10">
        <f t="shared" ca="1" si="989"/>
        <v>0</v>
      </c>
      <c r="BV860" s="10">
        <f t="shared" ca="1" si="989"/>
        <v>0</v>
      </c>
      <c r="BW860" s="10">
        <f t="shared" ca="1" si="989"/>
        <v>0</v>
      </c>
      <c r="BX860" s="10">
        <f t="shared" ref="BX860:CO860" ca="1" si="990" xml:space="preserve"> $E834 * CPI_Accumulated_From_Date * (Period_length) * BX$50 * $I$699</f>
        <v>0</v>
      </c>
      <c r="BY860" s="10">
        <f t="shared" ca="1" si="990"/>
        <v>0</v>
      </c>
      <c r="BZ860" s="10">
        <f t="shared" ca="1" si="990"/>
        <v>0</v>
      </c>
      <c r="CA860" s="10">
        <f t="shared" ca="1" si="990"/>
        <v>0</v>
      </c>
      <c r="CB860" s="10">
        <f t="shared" ca="1" si="990"/>
        <v>0</v>
      </c>
      <c r="CC860" s="10">
        <f t="shared" ca="1" si="990"/>
        <v>0</v>
      </c>
      <c r="CD860" s="10">
        <f t="shared" ca="1" si="990"/>
        <v>0</v>
      </c>
      <c r="CE860" s="10">
        <f t="shared" ca="1" si="990"/>
        <v>0</v>
      </c>
      <c r="CF860" s="10">
        <f t="shared" ca="1" si="990"/>
        <v>0</v>
      </c>
      <c r="CG860" s="10">
        <f t="shared" ca="1" si="990"/>
        <v>0</v>
      </c>
      <c r="CH860" s="10">
        <f t="shared" ca="1" si="990"/>
        <v>0</v>
      </c>
      <c r="CI860" s="10">
        <f t="shared" ca="1" si="990"/>
        <v>0</v>
      </c>
      <c r="CJ860" s="10">
        <f t="shared" ca="1" si="990"/>
        <v>0</v>
      </c>
      <c r="CK860" s="10">
        <f t="shared" ca="1" si="990"/>
        <v>0</v>
      </c>
      <c r="CL860" s="10">
        <f t="shared" ca="1" si="990"/>
        <v>0</v>
      </c>
      <c r="CM860" s="10">
        <f t="shared" ca="1" si="990"/>
        <v>0</v>
      </c>
      <c r="CN860" s="10">
        <f t="shared" ca="1" si="990"/>
        <v>0</v>
      </c>
      <c r="CO860" s="10">
        <f t="shared" ca="1" si="990"/>
        <v>0</v>
      </c>
    </row>
    <row r="861" spans="1:93" hidden="1">
      <c r="A861" s="10"/>
      <c r="B861" s="10"/>
      <c r="C861" s="17" t="s">
        <v>907</v>
      </c>
      <c r="D861" s="10"/>
      <c r="E861" s="10"/>
      <c r="F861" s="10"/>
      <c r="G861" s="11" t="str">
        <f t="shared" si="983"/>
        <v>тыс. руб.</v>
      </c>
      <c r="H861" s="10"/>
      <c r="I861" s="23">
        <f t="shared" ca="1" si="984"/>
        <v>0</v>
      </c>
      <c r="K861" s="10"/>
      <c r="L861" s="10">
        <f t="shared" ref="L861:AQ861" ca="1" si="991" xml:space="preserve"> $E835 * CPI_Accumulated_From_Date * (Period_length) * L$50 * $I$699</f>
        <v>0</v>
      </c>
      <c r="M861" s="10">
        <f t="shared" ca="1" si="991"/>
        <v>0</v>
      </c>
      <c r="N861" s="10">
        <f t="shared" ca="1" si="991"/>
        <v>0</v>
      </c>
      <c r="O861" s="10">
        <f t="shared" ca="1" si="991"/>
        <v>0</v>
      </c>
      <c r="P861" s="10">
        <f t="shared" ca="1" si="991"/>
        <v>0</v>
      </c>
      <c r="Q861" s="10">
        <f t="shared" ca="1" si="991"/>
        <v>0</v>
      </c>
      <c r="R861" s="10">
        <f t="shared" ca="1" si="991"/>
        <v>0</v>
      </c>
      <c r="S861" s="10">
        <f t="shared" ca="1" si="991"/>
        <v>0</v>
      </c>
      <c r="T861" s="10">
        <f t="shared" ca="1" si="991"/>
        <v>0</v>
      </c>
      <c r="U861" s="10">
        <f t="shared" ca="1" si="991"/>
        <v>0</v>
      </c>
      <c r="V861" s="10">
        <f t="shared" ca="1" si="991"/>
        <v>0</v>
      </c>
      <c r="W861" s="10">
        <f t="shared" ca="1" si="991"/>
        <v>0</v>
      </c>
      <c r="X861" s="10">
        <f t="shared" ca="1" si="991"/>
        <v>0</v>
      </c>
      <c r="Y861" s="10">
        <f t="shared" ca="1" si="991"/>
        <v>0</v>
      </c>
      <c r="Z861" s="10">
        <f t="shared" ca="1" si="991"/>
        <v>0</v>
      </c>
      <c r="AA861" s="10">
        <f t="shared" ca="1" si="991"/>
        <v>0</v>
      </c>
      <c r="AB861" s="10">
        <f t="shared" ca="1" si="991"/>
        <v>0</v>
      </c>
      <c r="AC861" s="10">
        <f t="shared" ca="1" si="991"/>
        <v>0</v>
      </c>
      <c r="AD861" s="10">
        <f t="shared" ca="1" si="991"/>
        <v>0</v>
      </c>
      <c r="AE861" s="10">
        <f t="shared" ca="1" si="991"/>
        <v>0</v>
      </c>
      <c r="AF861" s="10">
        <f t="shared" ca="1" si="991"/>
        <v>0</v>
      </c>
      <c r="AG861" s="10">
        <f t="shared" ca="1" si="991"/>
        <v>0</v>
      </c>
      <c r="AH861" s="10">
        <f t="shared" ca="1" si="991"/>
        <v>0</v>
      </c>
      <c r="AI861" s="10">
        <f t="shared" ca="1" si="991"/>
        <v>0</v>
      </c>
      <c r="AJ861" s="10">
        <f t="shared" ca="1" si="991"/>
        <v>0</v>
      </c>
      <c r="AK861" s="10">
        <f t="shared" ca="1" si="991"/>
        <v>0</v>
      </c>
      <c r="AL861" s="10">
        <f t="shared" ca="1" si="991"/>
        <v>0</v>
      </c>
      <c r="AM861" s="10">
        <f t="shared" ca="1" si="991"/>
        <v>0</v>
      </c>
      <c r="AN861" s="10">
        <f t="shared" ca="1" si="991"/>
        <v>0</v>
      </c>
      <c r="AO861" s="10">
        <f t="shared" ca="1" si="991"/>
        <v>0</v>
      </c>
      <c r="AP861" s="10">
        <f t="shared" ca="1" si="991"/>
        <v>0</v>
      </c>
      <c r="AQ861" s="10">
        <f t="shared" ca="1" si="991"/>
        <v>0</v>
      </c>
      <c r="AR861" s="10">
        <f t="shared" ref="AR861:BW861" ca="1" si="992" xml:space="preserve"> $E835 * CPI_Accumulated_From_Date * (Period_length) * AR$50 * $I$699</f>
        <v>0</v>
      </c>
      <c r="AS861" s="10">
        <f t="shared" ca="1" si="992"/>
        <v>0</v>
      </c>
      <c r="AT861" s="10">
        <f t="shared" ca="1" si="992"/>
        <v>0</v>
      </c>
      <c r="AU861" s="10">
        <f t="shared" ca="1" si="992"/>
        <v>0</v>
      </c>
      <c r="AV861" s="10">
        <f t="shared" ca="1" si="992"/>
        <v>0</v>
      </c>
      <c r="AW861" s="10">
        <f t="shared" ca="1" si="992"/>
        <v>0</v>
      </c>
      <c r="AX861" s="10">
        <f t="shared" ca="1" si="992"/>
        <v>0</v>
      </c>
      <c r="AY861" s="10">
        <f t="shared" ca="1" si="992"/>
        <v>0</v>
      </c>
      <c r="AZ861" s="10">
        <f t="shared" ca="1" si="992"/>
        <v>0</v>
      </c>
      <c r="BA861" s="10">
        <f t="shared" ca="1" si="992"/>
        <v>0</v>
      </c>
      <c r="BB861" s="10">
        <f t="shared" ca="1" si="992"/>
        <v>0</v>
      </c>
      <c r="BC861" s="10">
        <f t="shared" ca="1" si="992"/>
        <v>0</v>
      </c>
      <c r="BD861" s="10">
        <f t="shared" ca="1" si="992"/>
        <v>0</v>
      </c>
      <c r="BE861" s="10">
        <f t="shared" ca="1" si="992"/>
        <v>0</v>
      </c>
      <c r="BF861" s="10">
        <f t="shared" ca="1" si="992"/>
        <v>0</v>
      </c>
      <c r="BG861" s="10">
        <f t="shared" ca="1" si="992"/>
        <v>0</v>
      </c>
      <c r="BH861" s="10">
        <f t="shared" ca="1" si="992"/>
        <v>0</v>
      </c>
      <c r="BI861" s="10">
        <f t="shared" ca="1" si="992"/>
        <v>0</v>
      </c>
      <c r="BJ861" s="10">
        <f t="shared" ca="1" si="992"/>
        <v>0</v>
      </c>
      <c r="BK861" s="10">
        <f t="shared" ca="1" si="992"/>
        <v>0</v>
      </c>
      <c r="BL861" s="10">
        <f t="shared" ca="1" si="992"/>
        <v>0</v>
      </c>
      <c r="BM861" s="10">
        <f t="shared" ca="1" si="992"/>
        <v>0</v>
      </c>
      <c r="BN861" s="10">
        <f t="shared" ca="1" si="992"/>
        <v>0</v>
      </c>
      <c r="BO861" s="10">
        <f t="shared" ca="1" si="992"/>
        <v>0</v>
      </c>
      <c r="BP861" s="10">
        <f t="shared" ca="1" si="992"/>
        <v>0</v>
      </c>
      <c r="BQ861" s="10">
        <f t="shared" ca="1" si="992"/>
        <v>0</v>
      </c>
      <c r="BR861" s="10">
        <f t="shared" ca="1" si="992"/>
        <v>0</v>
      </c>
      <c r="BS861" s="10">
        <f t="shared" ca="1" si="992"/>
        <v>0</v>
      </c>
      <c r="BT861" s="10">
        <f t="shared" ca="1" si="992"/>
        <v>0</v>
      </c>
      <c r="BU861" s="10">
        <f t="shared" ca="1" si="992"/>
        <v>0</v>
      </c>
      <c r="BV861" s="10">
        <f t="shared" ca="1" si="992"/>
        <v>0</v>
      </c>
      <c r="BW861" s="10">
        <f t="shared" ca="1" si="992"/>
        <v>0</v>
      </c>
      <c r="BX861" s="10">
        <f t="shared" ref="BX861:CO861" ca="1" si="993" xml:space="preserve"> $E835 * CPI_Accumulated_From_Date * (Period_length) * BX$50 * $I$699</f>
        <v>0</v>
      </c>
      <c r="BY861" s="10">
        <f t="shared" ca="1" si="993"/>
        <v>0</v>
      </c>
      <c r="BZ861" s="10">
        <f t="shared" ca="1" si="993"/>
        <v>0</v>
      </c>
      <c r="CA861" s="10">
        <f t="shared" ca="1" si="993"/>
        <v>0</v>
      </c>
      <c r="CB861" s="10">
        <f t="shared" ca="1" si="993"/>
        <v>0</v>
      </c>
      <c r="CC861" s="10">
        <f t="shared" ca="1" si="993"/>
        <v>0</v>
      </c>
      <c r="CD861" s="10">
        <f t="shared" ca="1" si="993"/>
        <v>0</v>
      </c>
      <c r="CE861" s="10">
        <f t="shared" ca="1" si="993"/>
        <v>0</v>
      </c>
      <c r="CF861" s="10">
        <f t="shared" ca="1" si="993"/>
        <v>0</v>
      </c>
      <c r="CG861" s="10">
        <f t="shared" ca="1" si="993"/>
        <v>0</v>
      </c>
      <c r="CH861" s="10">
        <f t="shared" ca="1" si="993"/>
        <v>0</v>
      </c>
      <c r="CI861" s="10">
        <f t="shared" ca="1" si="993"/>
        <v>0</v>
      </c>
      <c r="CJ861" s="10">
        <f t="shared" ca="1" si="993"/>
        <v>0</v>
      </c>
      <c r="CK861" s="10">
        <f t="shared" ca="1" si="993"/>
        <v>0</v>
      </c>
      <c r="CL861" s="10">
        <f t="shared" ca="1" si="993"/>
        <v>0</v>
      </c>
      <c r="CM861" s="10">
        <f t="shared" ca="1" si="993"/>
        <v>0</v>
      </c>
      <c r="CN861" s="10">
        <f t="shared" ca="1" si="993"/>
        <v>0</v>
      </c>
      <c r="CO861" s="10">
        <f t="shared" ca="1" si="993"/>
        <v>0</v>
      </c>
    </row>
    <row r="862" spans="1:93" hidden="1">
      <c r="A862" s="10"/>
      <c r="B862" s="10"/>
      <c r="C862" s="17" t="s">
        <v>886</v>
      </c>
      <c r="D862" s="10"/>
      <c r="E862" s="10"/>
      <c r="F862" s="10"/>
      <c r="G862" s="11" t="str">
        <f t="shared" si="983"/>
        <v>тыс. руб.</v>
      </c>
      <c r="H862" s="10"/>
      <c r="I862" s="23">
        <f t="shared" ca="1" si="984"/>
        <v>0</v>
      </c>
      <c r="K862" s="10"/>
      <c r="L862" s="10">
        <f t="shared" ref="L862:AQ862" ca="1" si="994" xml:space="preserve"> $E836 * CPI_Accumulated_From_Date * (Period_length) * L$50 * $I$699</f>
        <v>0</v>
      </c>
      <c r="M862" s="10">
        <f t="shared" ca="1" si="994"/>
        <v>0</v>
      </c>
      <c r="N862" s="10">
        <f t="shared" ca="1" si="994"/>
        <v>0</v>
      </c>
      <c r="O862" s="10">
        <f t="shared" ca="1" si="994"/>
        <v>0</v>
      </c>
      <c r="P862" s="10">
        <f t="shared" ca="1" si="994"/>
        <v>0</v>
      </c>
      <c r="Q862" s="10">
        <f t="shared" ca="1" si="994"/>
        <v>0</v>
      </c>
      <c r="R862" s="10">
        <f t="shared" ca="1" si="994"/>
        <v>0</v>
      </c>
      <c r="S862" s="10">
        <f t="shared" ca="1" si="994"/>
        <v>0</v>
      </c>
      <c r="T862" s="10">
        <f t="shared" ca="1" si="994"/>
        <v>0</v>
      </c>
      <c r="U862" s="10">
        <f t="shared" ca="1" si="994"/>
        <v>0</v>
      </c>
      <c r="V862" s="10">
        <f t="shared" ca="1" si="994"/>
        <v>0</v>
      </c>
      <c r="W862" s="10">
        <f t="shared" ca="1" si="994"/>
        <v>0</v>
      </c>
      <c r="X862" s="10">
        <f t="shared" ca="1" si="994"/>
        <v>0</v>
      </c>
      <c r="Y862" s="10">
        <f t="shared" ca="1" si="994"/>
        <v>0</v>
      </c>
      <c r="Z862" s="10">
        <f t="shared" ca="1" si="994"/>
        <v>0</v>
      </c>
      <c r="AA862" s="10">
        <f t="shared" ca="1" si="994"/>
        <v>0</v>
      </c>
      <c r="AB862" s="10">
        <f t="shared" ca="1" si="994"/>
        <v>0</v>
      </c>
      <c r="AC862" s="10">
        <f t="shared" ca="1" si="994"/>
        <v>0</v>
      </c>
      <c r="AD862" s="10">
        <f t="shared" ca="1" si="994"/>
        <v>0</v>
      </c>
      <c r="AE862" s="10">
        <f t="shared" ca="1" si="994"/>
        <v>0</v>
      </c>
      <c r="AF862" s="10">
        <f t="shared" ca="1" si="994"/>
        <v>0</v>
      </c>
      <c r="AG862" s="10">
        <f t="shared" ca="1" si="994"/>
        <v>0</v>
      </c>
      <c r="AH862" s="10">
        <f t="shared" ca="1" si="994"/>
        <v>0</v>
      </c>
      <c r="AI862" s="10">
        <f t="shared" ca="1" si="994"/>
        <v>0</v>
      </c>
      <c r="AJ862" s="10">
        <f t="shared" ca="1" si="994"/>
        <v>0</v>
      </c>
      <c r="AK862" s="10">
        <f t="shared" ca="1" si="994"/>
        <v>0</v>
      </c>
      <c r="AL862" s="10">
        <f t="shared" ca="1" si="994"/>
        <v>0</v>
      </c>
      <c r="AM862" s="10">
        <f t="shared" ca="1" si="994"/>
        <v>0</v>
      </c>
      <c r="AN862" s="10">
        <f t="shared" ca="1" si="994"/>
        <v>0</v>
      </c>
      <c r="AO862" s="10">
        <f t="shared" ca="1" si="994"/>
        <v>0</v>
      </c>
      <c r="AP862" s="10">
        <f t="shared" ca="1" si="994"/>
        <v>0</v>
      </c>
      <c r="AQ862" s="10">
        <f t="shared" ca="1" si="994"/>
        <v>0</v>
      </c>
      <c r="AR862" s="10">
        <f t="shared" ref="AR862:BW862" ca="1" si="995" xml:space="preserve"> $E836 * CPI_Accumulated_From_Date * (Period_length) * AR$50 * $I$699</f>
        <v>0</v>
      </c>
      <c r="AS862" s="10">
        <f t="shared" ca="1" si="995"/>
        <v>0</v>
      </c>
      <c r="AT862" s="10">
        <f t="shared" ca="1" si="995"/>
        <v>0</v>
      </c>
      <c r="AU862" s="10">
        <f t="shared" ca="1" si="995"/>
        <v>0</v>
      </c>
      <c r="AV862" s="10">
        <f t="shared" ca="1" si="995"/>
        <v>0</v>
      </c>
      <c r="AW862" s="10">
        <f t="shared" ca="1" si="995"/>
        <v>0</v>
      </c>
      <c r="AX862" s="10">
        <f t="shared" ca="1" si="995"/>
        <v>0</v>
      </c>
      <c r="AY862" s="10">
        <f t="shared" ca="1" si="995"/>
        <v>0</v>
      </c>
      <c r="AZ862" s="10">
        <f t="shared" ca="1" si="995"/>
        <v>0</v>
      </c>
      <c r="BA862" s="10">
        <f t="shared" ca="1" si="995"/>
        <v>0</v>
      </c>
      <c r="BB862" s="10">
        <f t="shared" ca="1" si="995"/>
        <v>0</v>
      </c>
      <c r="BC862" s="10">
        <f t="shared" ca="1" si="995"/>
        <v>0</v>
      </c>
      <c r="BD862" s="10">
        <f t="shared" ca="1" si="995"/>
        <v>0</v>
      </c>
      <c r="BE862" s="10">
        <f t="shared" ca="1" si="995"/>
        <v>0</v>
      </c>
      <c r="BF862" s="10">
        <f t="shared" ca="1" si="995"/>
        <v>0</v>
      </c>
      <c r="BG862" s="10">
        <f t="shared" ca="1" si="995"/>
        <v>0</v>
      </c>
      <c r="BH862" s="10">
        <f t="shared" ca="1" si="995"/>
        <v>0</v>
      </c>
      <c r="BI862" s="10">
        <f t="shared" ca="1" si="995"/>
        <v>0</v>
      </c>
      <c r="BJ862" s="10">
        <f t="shared" ca="1" si="995"/>
        <v>0</v>
      </c>
      <c r="BK862" s="10">
        <f t="shared" ca="1" si="995"/>
        <v>0</v>
      </c>
      <c r="BL862" s="10">
        <f t="shared" ca="1" si="995"/>
        <v>0</v>
      </c>
      <c r="BM862" s="10">
        <f t="shared" ca="1" si="995"/>
        <v>0</v>
      </c>
      <c r="BN862" s="10">
        <f t="shared" ca="1" si="995"/>
        <v>0</v>
      </c>
      <c r="BO862" s="10">
        <f t="shared" ca="1" si="995"/>
        <v>0</v>
      </c>
      <c r="BP862" s="10">
        <f t="shared" ca="1" si="995"/>
        <v>0</v>
      </c>
      <c r="BQ862" s="10">
        <f t="shared" ca="1" si="995"/>
        <v>0</v>
      </c>
      <c r="BR862" s="10">
        <f t="shared" ca="1" si="995"/>
        <v>0</v>
      </c>
      <c r="BS862" s="10">
        <f t="shared" ca="1" si="995"/>
        <v>0</v>
      </c>
      <c r="BT862" s="10">
        <f t="shared" ca="1" si="995"/>
        <v>0</v>
      </c>
      <c r="BU862" s="10">
        <f t="shared" ca="1" si="995"/>
        <v>0</v>
      </c>
      <c r="BV862" s="10">
        <f t="shared" ca="1" si="995"/>
        <v>0</v>
      </c>
      <c r="BW862" s="10">
        <f t="shared" ca="1" si="995"/>
        <v>0</v>
      </c>
      <c r="BX862" s="10">
        <f t="shared" ref="BX862:CO862" ca="1" si="996" xml:space="preserve"> $E836 * CPI_Accumulated_From_Date * (Period_length) * BX$50 * $I$699</f>
        <v>0</v>
      </c>
      <c r="BY862" s="10">
        <f t="shared" ca="1" si="996"/>
        <v>0</v>
      </c>
      <c r="BZ862" s="10">
        <f t="shared" ca="1" si="996"/>
        <v>0</v>
      </c>
      <c r="CA862" s="10">
        <f t="shared" ca="1" si="996"/>
        <v>0</v>
      </c>
      <c r="CB862" s="10">
        <f t="shared" ca="1" si="996"/>
        <v>0</v>
      </c>
      <c r="CC862" s="10">
        <f t="shared" ca="1" si="996"/>
        <v>0</v>
      </c>
      <c r="CD862" s="10">
        <f t="shared" ca="1" si="996"/>
        <v>0</v>
      </c>
      <c r="CE862" s="10">
        <f t="shared" ca="1" si="996"/>
        <v>0</v>
      </c>
      <c r="CF862" s="10">
        <f t="shared" ca="1" si="996"/>
        <v>0</v>
      </c>
      <c r="CG862" s="10">
        <f t="shared" ca="1" si="996"/>
        <v>0</v>
      </c>
      <c r="CH862" s="10">
        <f t="shared" ca="1" si="996"/>
        <v>0</v>
      </c>
      <c r="CI862" s="10">
        <f t="shared" ca="1" si="996"/>
        <v>0</v>
      </c>
      <c r="CJ862" s="10">
        <f t="shared" ca="1" si="996"/>
        <v>0</v>
      </c>
      <c r="CK862" s="10">
        <f t="shared" ca="1" si="996"/>
        <v>0</v>
      </c>
      <c r="CL862" s="10">
        <f t="shared" ca="1" si="996"/>
        <v>0</v>
      </c>
      <c r="CM862" s="10">
        <f t="shared" ca="1" si="996"/>
        <v>0</v>
      </c>
      <c r="CN862" s="10">
        <f t="shared" ca="1" si="996"/>
        <v>0</v>
      </c>
      <c r="CO862" s="10">
        <f t="shared" ca="1" si="996"/>
        <v>0</v>
      </c>
    </row>
    <row r="863" spans="1:93" hidden="1">
      <c r="A863" s="10"/>
      <c r="B863" s="10"/>
      <c r="C863" s="17" t="s">
        <v>1027</v>
      </c>
      <c r="D863" s="10"/>
      <c r="E863" s="240">
        <f>E839</f>
        <v>0.22</v>
      </c>
      <c r="F863" s="10"/>
      <c r="G863" s="11" t="str">
        <f t="shared" si="983"/>
        <v>тыс. руб.</v>
      </c>
      <c r="H863" s="10"/>
      <c r="I863" s="23">
        <f t="shared" ca="1" si="984"/>
        <v>0</v>
      </c>
      <c r="J863" s="10"/>
      <c r="K863" s="10"/>
      <c r="L863" s="10">
        <f t="shared" ref="L863:AG863" ca="1" si="997" xml:space="preserve"> SUM(L$859:L$862) * $E863</f>
        <v>0</v>
      </c>
      <c r="M863" s="10">
        <f t="shared" ca="1" si="997"/>
        <v>0</v>
      </c>
      <c r="N863" s="10">
        <f t="shared" ca="1" si="997"/>
        <v>0</v>
      </c>
      <c r="O863" s="10">
        <f t="shared" ca="1" si="997"/>
        <v>0</v>
      </c>
      <c r="P863" s="10">
        <f t="shared" ca="1" si="997"/>
        <v>0</v>
      </c>
      <c r="Q863" s="10">
        <f t="shared" ca="1" si="997"/>
        <v>0</v>
      </c>
      <c r="R863" s="10">
        <f t="shared" ca="1" si="997"/>
        <v>0</v>
      </c>
      <c r="S863" s="10">
        <f t="shared" ca="1" si="997"/>
        <v>0</v>
      </c>
      <c r="T863" s="10">
        <f t="shared" ca="1" si="997"/>
        <v>0</v>
      </c>
      <c r="U863" s="10">
        <f t="shared" ca="1" si="997"/>
        <v>0</v>
      </c>
      <c r="V863" s="10">
        <f t="shared" ca="1" si="997"/>
        <v>0</v>
      </c>
      <c r="W863" s="10">
        <f t="shared" ca="1" si="997"/>
        <v>0</v>
      </c>
      <c r="X863" s="10">
        <f t="shared" ca="1" si="997"/>
        <v>0</v>
      </c>
      <c r="Y863" s="10">
        <f t="shared" ca="1" si="997"/>
        <v>0</v>
      </c>
      <c r="Z863" s="10">
        <f t="shared" ca="1" si="997"/>
        <v>0</v>
      </c>
      <c r="AA863" s="10">
        <f t="shared" ca="1" si="997"/>
        <v>0</v>
      </c>
      <c r="AB863" s="10">
        <f t="shared" ca="1" si="997"/>
        <v>0</v>
      </c>
      <c r="AC863" s="10">
        <f t="shared" ca="1" si="997"/>
        <v>0</v>
      </c>
      <c r="AD863" s="10">
        <f t="shared" ca="1" si="997"/>
        <v>0</v>
      </c>
      <c r="AE863" s="10">
        <f t="shared" ca="1" si="997"/>
        <v>0</v>
      </c>
      <c r="AF863" s="10">
        <f t="shared" ca="1" si="997"/>
        <v>0</v>
      </c>
      <c r="AG863" s="10">
        <f t="shared" ca="1" si="997"/>
        <v>0</v>
      </c>
      <c r="AH863" s="10">
        <f t="shared" ref="AH863:AQ864" ca="1" si="998" xml:space="preserve"> SUM(AH$859:AH$862) * $E863</f>
        <v>0</v>
      </c>
      <c r="AI863" s="10">
        <f t="shared" ca="1" si="998"/>
        <v>0</v>
      </c>
      <c r="AJ863" s="10">
        <f t="shared" ca="1" si="998"/>
        <v>0</v>
      </c>
      <c r="AK863" s="10">
        <f t="shared" ca="1" si="998"/>
        <v>0</v>
      </c>
      <c r="AL863" s="10">
        <f t="shared" ca="1" si="998"/>
        <v>0</v>
      </c>
      <c r="AM863" s="10">
        <f t="shared" ca="1" si="998"/>
        <v>0</v>
      </c>
      <c r="AN863" s="10">
        <f t="shared" ca="1" si="998"/>
        <v>0</v>
      </c>
      <c r="AO863" s="10">
        <f t="shared" ca="1" si="998"/>
        <v>0</v>
      </c>
      <c r="AP863" s="10">
        <f t="shared" ca="1" si="998"/>
        <v>0</v>
      </c>
      <c r="AQ863" s="10">
        <f t="shared" ca="1" si="998"/>
        <v>0</v>
      </c>
      <c r="AR863" s="10">
        <f t="shared" ref="AR863:BA864" ca="1" si="999" xml:space="preserve"> SUM(AR$859:AR$862) * $E863</f>
        <v>0</v>
      </c>
      <c r="AS863" s="10">
        <f t="shared" ca="1" si="999"/>
        <v>0</v>
      </c>
      <c r="AT863" s="10">
        <f t="shared" ca="1" si="999"/>
        <v>0</v>
      </c>
      <c r="AU863" s="10">
        <f t="shared" ca="1" si="999"/>
        <v>0</v>
      </c>
      <c r="AV863" s="10">
        <f t="shared" ca="1" si="999"/>
        <v>0</v>
      </c>
      <c r="AW863" s="10">
        <f t="shared" ca="1" si="999"/>
        <v>0</v>
      </c>
      <c r="AX863" s="10">
        <f t="shared" ca="1" si="999"/>
        <v>0</v>
      </c>
      <c r="AY863" s="10">
        <f t="shared" ca="1" si="999"/>
        <v>0</v>
      </c>
      <c r="AZ863" s="10">
        <f t="shared" ca="1" si="999"/>
        <v>0</v>
      </c>
      <c r="BA863" s="10">
        <f t="shared" ca="1" si="999"/>
        <v>0</v>
      </c>
      <c r="BB863" s="10">
        <f t="shared" ref="BB863:BK864" ca="1" si="1000" xml:space="preserve"> SUM(BB$859:BB$862) * $E863</f>
        <v>0</v>
      </c>
      <c r="BC863" s="10">
        <f t="shared" ca="1" si="1000"/>
        <v>0</v>
      </c>
      <c r="BD863" s="10">
        <f t="shared" ca="1" si="1000"/>
        <v>0</v>
      </c>
      <c r="BE863" s="10">
        <f t="shared" ca="1" si="1000"/>
        <v>0</v>
      </c>
      <c r="BF863" s="10">
        <f t="shared" ca="1" si="1000"/>
        <v>0</v>
      </c>
      <c r="BG863" s="10">
        <f t="shared" ca="1" si="1000"/>
        <v>0</v>
      </c>
      <c r="BH863" s="10">
        <f t="shared" ca="1" si="1000"/>
        <v>0</v>
      </c>
      <c r="BI863" s="10">
        <f t="shared" ca="1" si="1000"/>
        <v>0</v>
      </c>
      <c r="BJ863" s="10">
        <f t="shared" ca="1" si="1000"/>
        <v>0</v>
      </c>
      <c r="BK863" s="10">
        <f t="shared" ca="1" si="1000"/>
        <v>0</v>
      </c>
      <c r="BL863" s="10">
        <f t="shared" ref="BL863:BU864" ca="1" si="1001" xml:space="preserve"> SUM(BL$859:BL$862) * $E863</f>
        <v>0</v>
      </c>
      <c r="BM863" s="10">
        <f t="shared" ca="1" si="1001"/>
        <v>0</v>
      </c>
      <c r="BN863" s="10">
        <f t="shared" ca="1" si="1001"/>
        <v>0</v>
      </c>
      <c r="BO863" s="10">
        <f t="shared" ca="1" si="1001"/>
        <v>0</v>
      </c>
      <c r="BP863" s="10">
        <f t="shared" ca="1" si="1001"/>
        <v>0</v>
      </c>
      <c r="BQ863" s="10">
        <f t="shared" ca="1" si="1001"/>
        <v>0</v>
      </c>
      <c r="BR863" s="10">
        <f t="shared" ca="1" si="1001"/>
        <v>0</v>
      </c>
      <c r="BS863" s="10">
        <f t="shared" ca="1" si="1001"/>
        <v>0</v>
      </c>
      <c r="BT863" s="10">
        <f t="shared" ca="1" si="1001"/>
        <v>0</v>
      </c>
      <c r="BU863" s="10">
        <f t="shared" ca="1" si="1001"/>
        <v>0</v>
      </c>
      <c r="BV863" s="10">
        <f t="shared" ref="BV863:CE864" ca="1" si="1002" xml:space="preserve"> SUM(BV$859:BV$862) * $E863</f>
        <v>0</v>
      </c>
      <c r="BW863" s="10">
        <f t="shared" ca="1" si="1002"/>
        <v>0</v>
      </c>
      <c r="BX863" s="10">
        <f t="shared" ca="1" si="1002"/>
        <v>0</v>
      </c>
      <c r="BY863" s="10">
        <f t="shared" ca="1" si="1002"/>
        <v>0</v>
      </c>
      <c r="BZ863" s="10">
        <f t="shared" ca="1" si="1002"/>
        <v>0</v>
      </c>
      <c r="CA863" s="10">
        <f t="shared" ca="1" si="1002"/>
        <v>0</v>
      </c>
      <c r="CB863" s="10">
        <f t="shared" ca="1" si="1002"/>
        <v>0</v>
      </c>
      <c r="CC863" s="10">
        <f t="shared" ca="1" si="1002"/>
        <v>0</v>
      </c>
      <c r="CD863" s="10">
        <f t="shared" ca="1" si="1002"/>
        <v>0</v>
      </c>
      <c r="CE863" s="10">
        <f t="shared" ca="1" si="1002"/>
        <v>0</v>
      </c>
      <c r="CF863" s="10">
        <f t="shared" ref="CF863:CO864" ca="1" si="1003" xml:space="preserve"> SUM(CF$859:CF$862) * $E863</f>
        <v>0</v>
      </c>
      <c r="CG863" s="10">
        <f t="shared" ca="1" si="1003"/>
        <v>0</v>
      </c>
      <c r="CH863" s="10">
        <f t="shared" ca="1" si="1003"/>
        <v>0</v>
      </c>
      <c r="CI863" s="10">
        <f t="shared" ca="1" si="1003"/>
        <v>0</v>
      </c>
      <c r="CJ863" s="10">
        <f t="shared" ca="1" si="1003"/>
        <v>0</v>
      </c>
      <c r="CK863" s="10">
        <f t="shared" ca="1" si="1003"/>
        <v>0</v>
      </c>
      <c r="CL863" s="10">
        <f t="shared" ca="1" si="1003"/>
        <v>0</v>
      </c>
      <c r="CM863" s="10">
        <f t="shared" ca="1" si="1003"/>
        <v>0</v>
      </c>
      <c r="CN863" s="10">
        <f t="shared" ca="1" si="1003"/>
        <v>0</v>
      </c>
      <c r="CO863" s="10">
        <f t="shared" ca="1" si="1003"/>
        <v>0</v>
      </c>
    </row>
    <row r="864" spans="1:93" hidden="1">
      <c r="A864" s="10"/>
      <c r="B864" s="10"/>
      <c r="C864" s="17" t="s">
        <v>1028</v>
      </c>
      <c r="D864" s="10"/>
      <c r="E864" s="240">
        <f>E840</f>
        <v>2.9000000000000001E-2</v>
      </c>
      <c r="F864" s="10"/>
      <c r="G864" s="11" t="str">
        <f t="shared" si="983"/>
        <v>тыс. руб.</v>
      </c>
      <c r="H864" s="10"/>
      <c r="I864" s="23">
        <f t="shared" ca="1" si="984"/>
        <v>0</v>
      </c>
      <c r="J864" s="10"/>
      <c r="K864" s="10"/>
      <c r="L864" s="10">
        <f t="shared" ref="L864:AG864" ca="1" si="1004" xml:space="preserve"> SUM(L$859:L$862) * $E864</f>
        <v>0</v>
      </c>
      <c r="M864" s="10">
        <f t="shared" ca="1" si="1004"/>
        <v>0</v>
      </c>
      <c r="N864" s="10">
        <f t="shared" ca="1" si="1004"/>
        <v>0</v>
      </c>
      <c r="O864" s="10">
        <f t="shared" ca="1" si="1004"/>
        <v>0</v>
      </c>
      <c r="P864" s="10">
        <f t="shared" ca="1" si="1004"/>
        <v>0</v>
      </c>
      <c r="Q864" s="10">
        <f t="shared" ca="1" si="1004"/>
        <v>0</v>
      </c>
      <c r="R864" s="10">
        <f t="shared" ca="1" si="1004"/>
        <v>0</v>
      </c>
      <c r="S864" s="10">
        <f t="shared" ca="1" si="1004"/>
        <v>0</v>
      </c>
      <c r="T864" s="10">
        <f t="shared" ca="1" si="1004"/>
        <v>0</v>
      </c>
      <c r="U864" s="10">
        <f t="shared" ca="1" si="1004"/>
        <v>0</v>
      </c>
      <c r="V864" s="10">
        <f t="shared" ca="1" si="1004"/>
        <v>0</v>
      </c>
      <c r="W864" s="10">
        <f t="shared" ca="1" si="1004"/>
        <v>0</v>
      </c>
      <c r="X864" s="10">
        <f t="shared" ca="1" si="1004"/>
        <v>0</v>
      </c>
      <c r="Y864" s="10">
        <f t="shared" ca="1" si="1004"/>
        <v>0</v>
      </c>
      <c r="Z864" s="10">
        <f t="shared" ca="1" si="1004"/>
        <v>0</v>
      </c>
      <c r="AA864" s="10">
        <f t="shared" ca="1" si="1004"/>
        <v>0</v>
      </c>
      <c r="AB864" s="10">
        <f t="shared" ca="1" si="1004"/>
        <v>0</v>
      </c>
      <c r="AC864" s="10">
        <f t="shared" ca="1" si="1004"/>
        <v>0</v>
      </c>
      <c r="AD864" s="10">
        <f t="shared" ca="1" si="1004"/>
        <v>0</v>
      </c>
      <c r="AE864" s="10">
        <f t="shared" ca="1" si="1004"/>
        <v>0</v>
      </c>
      <c r="AF864" s="10">
        <f t="shared" ca="1" si="1004"/>
        <v>0</v>
      </c>
      <c r="AG864" s="10">
        <f t="shared" ca="1" si="1004"/>
        <v>0</v>
      </c>
      <c r="AH864" s="10">
        <f t="shared" ca="1" si="998"/>
        <v>0</v>
      </c>
      <c r="AI864" s="10">
        <f t="shared" ca="1" si="998"/>
        <v>0</v>
      </c>
      <c r="AJ864" s="10">
        <f t="shared" ca="1" si="998"/>
        <v>0</v>
      </c>
      <c r="AK864" s="10">
        <f t="shared" ca="1" si="998"/>
        <v>0</v>
      </c>
      <c r="AL864" s="10">
        <f t="shared" ca="1" si="998"/>
        <v>0</v>
      </c>
      <c r="AM864" s="10">
        <f t="shared" ca="1" si="998"/>
        <v>0</v>
      </c>
      <c r="AN864" s="10">
        <f t="shared" ca="1" si="998"/>
        <v>0</v>
      </c>
      <c r="AO864" s="10">
        <f t="shared" ca="1" si="998"/>
        <v>0</v>
      </c>
      <c r="AP864" s="10">
        <f t="shared" ca="1" si="998"/>
        <v>0</v>
      </c>
      <c r="AQ864" s="10">
        <f t="shared" ca="1" si="998"/>
        <v>0</v>
      </c>
      <c r="AR864" s="10">
        <f t="shared" ca="1" si="999"/>
        <v>0</v>
      </c>
      <c r="AS864" s="10">
        <f t="shared" ca="1" si="999"/>
        <v>0</v>
      </c>
      <c r="AT864" s="10">
        <f t="shared" ca="1" si="999"/>
        <v>0</v>
      </c>
      <c r="AU864" s="10">
        <f t="shared" ca="1" si="999"/>
        <v>0</v>
      </c>
      <c r="AV864" s="10">
        <f t="shared" ca="1" si="999"/>
        <v>0</v>
      </c>
      <c r="AW864" s="10">
        <f t="shared" ca="1" si="999"/>
        <v>0</v>
      </c>
      <c r="AX864" s="10">
        <f t="shared" ca="1" si="999"/>
        <v>0</v>
      </c>
      <c r="AY864" s="10">
        <f t="shared" ca="1" si="999"/>
        <v>0</v>
      </c>
      <c r="AZ864" s="10">
        <f t="shared" ca="1" si="999"/>
        <v>0</v>
      </c>
      <c r="BA864" s="10">
        <f t="shared" ca="1" si="999"/>
        <v>0</v>
      </c>
      <c r="BB864" s="10">
        <f t="shared" ca="1" si="1000"/>
        <v>0</v>
      </c>
      <c r="BC864" s="10">
        <f t="shared" ca="1" si="1000"/>
        <v>0</v>
      </c>
      <c r="BD864" s="10">
        <f t="shared" ca="1" si="1000"/>
        <v>0</v>
      </c>
      <c r="BE864" s="10">
        <f t="shared" ca="1" si="1000"/>
        <v>0</v>
      </c>
      <c r="BF864" s="10">
        <f t="shared" ca="1" si="1000"/>
        <v>0</v>
      </c>
      <c r="BG864" s="10">
        <f t="shared" ca="1" si="1000"/>
        <v>0</v>
      </c>
      <c r="BH864" s="10">
        <f t="shared" ca="1" si="1000"/>
        <v>0</v>
      </c>
      <c r="BI864" s="10">
        <f t="shared" ca="1" si="1000"/>
        <v>0</v>
      </c>
      <c r="BJ864" s="10">
        <f t="shared" ca="1" si="1000"/>
        <v>0</v>
      </c>
      <c r="BK864" s="10">
        <f t="shared" ca="1" si="1000"/>
        <v>0</v>
      </c>
      <c r="BL864" s="10">
        <f t="shared" ca="1" si="1001"/>
        <v>0</v>
      </c>
      <c r="BM864" s="10">
        <f t="shared" ca="1" si="1001"/>
        <v>0</v>
      </c>
      <c r="BN864" s="10">
        <f t="shared" ca="1" si="1001"/>
        <v>0</v>
      </c>
      <c r="BO864" s="10">
        <f t="shared" ca="1" si="1001"/>
        <v>0</v>
      </c>
      <c r="BP864" s="10">
        <f t="shared" ca="1" si="1001"/>
        <v>0</v>
      </c>
      <c r="BQ864" s="10">
        <f t="shared" ca="1" si="1001"/>
        <v>0</v>
      </c>
      <c r="BR864" s="10">
        <f t="shared" ca="1" si="1001"/>
        <v>0</v>
      </c>
      <c r="BS864" s="10">
        <f t="shared" ca="1" si="1001"/>
        <v>0</v>
      </c>
      <c r="BT864" s="10">
        <f t="shared" ca="1" si="1001"/>
        <v>0</v>
      </c>
      <c r="BU864" s="10">
        <f t="shared" ca="1" si="1001"/>
        <v>0</v>
      </c>
      <c r="BV864" s="10">
        <f t="shared" ca="1" si="1002"/>
        <v>0</v>
      </c>
      <c r="BW864" s="10">
        <f t="shared" ca="1" si="1002"/>
        <v>0</v>
      </c>
      <c r="BX864" s="10">
        <f t="shared" ca="1" si="1002"/>
        <v>0</v>
      </c>
      <c r="BY864" s="10">
        <f t="shared" ca="1" si="1002"/>
        <v>0</v>
      </c>
      <c r="BZ864" s="10">
        <f t="shared" ca="1" si="1002"/>
        <v>0</v>
      </c>
      <c r="CA864" s="10">
        <f t="shared" ca="1" si="1002"/>
        <v>0</v>
      </c>
      <c r="CB864" s="10">
        <f t="shared" ca="1" si="1002"/>
        <v>0</v>
      </c>
      <c r="CC864" s="10">
        <f t="shared" ca="1" si="1002"/>
        <v>0</v>
      </c>
      <c r="CD864" s="10">
        <f t="shared" ca="1" si="1002"/>
        <v>0</v>
      </c>
      <c r="CE864" s="10">
        <f t="shared" ca="1" si="1002"/>
        <v>0</v>
      </c>
      <c r="CF864" s="10">
        <f t="shared" ca="1" si="1003"/>
        <v>0</v>
      </c>
      <c r="CG864" s="10">
        <f t="shared" ca="1" si="1003"/>
        <v>0</v>
      </c>
      <c r="CH864" s="10">
        <f t="shared" ca="1" si="1003"/>
        <v>0</v>
      </c>
      <c r="CI864" s="10">
        <f t="shared" ca="1" si="1003"/>
        <v>0</v>
      </c>
      <c r="CJ864" s="10">
        <f t="shared" ca="1" si="1003"/>
        <v>0</v>
      </c>
      <c r="CK864" s="10">
        <f t="shared" ca="1" si="1003"/>
        <v>0</v>
      </c>
      <c r="CL864" s="10">
        <f t="shared" ca="1" si="1003"/>
        <v>0</v>
      </c>
      <c r="CM864" s="10">
        <f t="shared" ca="1" si="1003"/>
        <v>0</v>
      </c>
      <c r="CN864" s="10">
        <f t="shared" ca="1" si="1003"/>
        <v>0</v>
      </c>
      <c r="CO864" s="10">
        <f t="shared" ca="1" si="1003"/>
        <v>0</v>
      </c>
    </row>
    <row r="865" spans="1:93" hidden="1">
      <c r="A865" s="10"/>
      <c r="B865" s="10"/>
      <c r="C865" s="17" t="s">
        <v>1029</v>
      </c>
      <c r="D865" s="10"/>
      <c r="E865" s="240">
        <f>E841</f>
        <v>5.0999999999999997E-2</v>
      </c>
      <c r="F865" s="10"/>
      <c r="G865" s="11" t="str">
        <f t="shared" si="983"/>
        <v>тыс. руб.</v>
      </c>
      <c r="H865" s="10"/>
      <c r="I865" s="23">
        <f t="shared" ca="1" si="984"/>
        <v>0</v>
      </c>
      <c r="J865" s="10"/>
      <c r="K865" s="10"/>
      <c r="L865" s="10">
        <f t="shared" ref="L865:S866" ca="1" si="1005" xml:space="preserve"> SUM(L$859:L$862) * $E865</f>
        <v>0</v>
      </c>
      <c r="M865" s="10">
        <f t="shared" ca="1" si="1005"/>
        <v>0</v>
      </c>
      <c r="N865" s="10">
        <f t="shared" ca="1" si="1005"/>
        <v>0</v>
      </c>
      <c r="O865" s="10">
        <f t="shared" ca="1" si="1005"/>
        <v>0</v>
      </c>
      <c r="P865" s="10">
        <f t="shared" ca="1" si="1005"/>
        <v>0</v>
      </c>
      <c r="Q865" s="10">
        <f t="shared" ca="1" si="1005"/>
        <v>0</v>
      </c>
      <c r="R865" s="10">
        <f t="shared" ca="1" si="1005"/>
        <v>0</v>
      </c>
      <c r="S865" s="10">
        <f t="shared" ca="1" si="1005"/>
        <v>0</v>
      </c>
      <c r="T865" s="10">
        <f t="shared" ref="T865:CE866" ca="1" si="1006" xml:space="preserve"> SUM(T$859:T$862) * $E865</f>
        <v>0</v>
      </c>
      <c r="U865" s="10">
        <f t="shared" ca="1" si="1006"/>
        <v>0</v>
      </c>
      <c r="V865" s="10">
        <f t="shared" ca="1" si="1006"/>
        <v>0</v>
      </c>
      <c r="W865" s="10">
        <f t="shared" ca="1" si="1006"/>
        <v>0</v>
      </c>
      <c r="X865" s="10">
        <f t="shared" ca="1" si="1006"/>
        <v>0</v>
      </c>
      <c r="Y865" s="10">
        <f t="shared" ca="1" si="1006"/>
        <v>0</v>
      </c>
      <c r="Z865" s="10">
        <f t="shared" ca="1" si="1006"/>
        <v>0</v>
      </c>
      <c r="AA865" s="10">
        <f t="shared" ca="1" si="1006"/>
        <v>0</v>
      </c>
      <c r="AB865" s="10">
        <f t="shared" ca="1" si="1006"/>
        <v>0</v>
      </c>
      <c r="AC865" s="10">
        <f t="shared" ca="1" si="1006"/>
        <v>0</v>
      </c>
      <c r="AD865" s="10">
        <f t="shared" ca="1" si="1006"/>
        <v>0</v>
      </c>
      <c r="AE865" s="10">
        <f t="shared" ca="1" si="1006"/>
        <v>0</v>
      </c>
      <c r="AF865" s="10">
        <f t="shared" ca="1" si="1006"/>
        <v>0</v>
      </c>
      <c r="AG865" s="10">
        <f t="shared" ca="1" si="1006"/>
        <v>0</v>
      </c>
      <c r="AH865" s="10">
        <f t="shared" ca="1" si="1006"/>
        <v>0</v>
      </c>
      <c r="AI865" s="10">
        <f t="shared" ca="1" si="1006"/>
        <v>0</v>
      </c>
      <c r="AJ865" s="10">
        <f t="shared" ca="1" si="1006"/>
        <v>0</v>
      </c>
      <c r="AK865" s="10">
        <f t="shared" ca="1" si="1006"/>
        <v>0</v>
      </c>
      <c r="AL865" s="10">
        <f t="shared" ca="1" si="1006"/>
        <v>0</v>
      </c>
      <c r="AM865" s="10">
        <f t="shared" ca="1" si="1006"/>
        <v>0</v>
      </c>
      <c r="AN865" s="10">
        <f t="shared" ca="1" si="1006"/>
        <v>0</v>
      </c>
      <c r="AO865" s="10">
        <f t="shared" ca="1" si="1006"/>
        <v>0</v>
      </c>
      <c r="AP865" s="10">
        <f t="shared" ca="1" si="1006"/>
        <v>0</v>
      </c>
      <c r="AQ865" s="10">
        <f t="shared" ca="1" si="1006"/>
        <v>0</v>
      </c>
      <c r="AR865" s="10">
        <f t="shared" ca="1" si="1006"/>
        <v>0</v>
      </c>
      <c r="AS865" s="10">
        <f t="shared" ca="1" si="1006"/>
        <v>0</v>
      </c>
      <c r="AT865" s="10">
        <f t="shared" ca="1" si="1006"/>
        <v>0</v>
      </c>
      <c r="AU865" s="10">
        <f t="shared" ca="1" si="1006"/>
        <v>0</v>
      </c>
      <c r="AV865" s="10">
        <f t="shared" ca="1" si="1006"/>
        <v>0</v>
      </c>
      <c r="AW865" s="10">
        <f t="shared" ca="1" si="1006"/>
        <v>0</v>
      </c>
      <c r="AX865" s="10">
        <f t="shared" ca="1" si="1006"/>
        <v>0</v>
      </c>
      <c r="AY865" s="10">
        <f t="shared" ca="1" si="1006"/>
        <v>0</v>
      </c>
      <c r="AZ865" s="10">
        <f t="shared" ca="1" si="1006"/>
        <v>0</v>
      </c>
      <c r="BA865" s="10">
        <f t="shared" ca="1" si="1006"/>
        <v>0</v>
      </c>
      <c r="BB865" s="10">
        <f t="shared" ca="1" si="1006"/>
        <v>0</v>
      </c>
      <c r="BC865" s="10">
        <f t="shared" ca="1" si="1006"/>
        <v>0</v>
      </c>
      <c r="BD865" s="10">
        <f t="shared" ca="1" si="1006"/>
        <v>0</v>
      </c>
      <c r="BE865" s="10">
        <f t="shared" ca="1" si="1006"/>
        <v>0</v>
      </c>
      <c r="BF865" s="10">
        <f t="shared" ca="1" si="1006"/>
        <v>0</v>
      </c>
      <c r="BG865" s="10">
        <f t="shared" ca="1" si="1006"/>
        <v>0</v>
      </c>
      <c r="BH865" s="10">
        <f t="shared" ca="1" si="1006"/>
        <v>0</v>
      </c>
      <c r="BI865" s="10">
        <f t="shared" ca="1" si="1006"/>
        <v>0</v>
      </c>
      <c r="BJ865" s="10">
        <f t="shared" ca="1" si="1006"/>
        <v>0</v>
      </c>
      <c r="BK865" s="10">
        <f t="shared" ca="1" si="1006"/>
        <v>0</v>
      </c>
      <c r="BL865" s="10">
        <f t="shared" ca="1" si="1006"/>
        <v>0</v>
      </c>
      <c r="BM865" s="10">
        <f t="shared" ca="1" si="1006"/>
        <v>0</v>
      </c>
      <c r="BN865" s="10">
        <f t="shared" ca="1" si="1006"/>
        <v>0</v>
      </c>
      <c r="BO865" s="10">
        <f t="shared" ca="1" si="1006"/>
        <v>0</v>
      </c>
      <c r="BP865" s="10">
        <f t="shared" ca="1" si="1006"/>
        <v>0</v>
      </c>
      <c r="BQ865" s="10">
        <f t="shared" ca="1" si="1006"/>
        <v>0</v>
      </c>
      <c r="BR865" s="10">
        <f t="shared" ca="1" si="1006"/>
        <v>0</v>
      </c>
      <c r="BS865" s="10">
        <f t="shared" ca="1" si="1006"/>
        <v>0</v>
      </c>
      <c r="BT865" s="10">
        <f t="shared" ca="1" si="1006"/>
        <v>0</v>
      </c>
      <c r="BU865" s="10">
        <f t="shared" ca="1" si="1006"/>
        <v>0</v>
      </c>
      <c r="BV865" s="10">
        <f t="shared" ca="1" si="1006"/>
        <v>0</v>
      </c>
      <c r="BW865" s="10">
        <f t="shared" ca="1" si="1006"/>
        <v>0</v>
      </c>
      <c r="BX865" s="10">
        <f t="shared" ca="1" si="1006"/>
        <v>0</v>
      </c>
      <c r="BY865" s="10">
        <f t="shared" ca="1" si="1006"/>
        <v>0</v>
      </c>
      <c r="BZ865" s="10">
        <f t="shared" ca="1" si="1006"/>
        <v>0</v>
      </c>
      <c r="CA865" s="10">
        <f t="shared" ca="1" si="1006"/>
        <v>0</v>
      </c>
      <c r="CB865" s="10">
        <f t="shared" ca="1" si="1006"/>
        <v>0</v>
      </c>
      <c r="CC865" s="10">
        <f t="shared" ca="1" si="1006"/>
        <v>0</v>
      </c>
      <c r="CD865" s="10">
        <f t="shared" ca="1" si="1006"/>
        <v>0</v>
      </c>
      <c r="CE865" s="10">
        <f t="shared" ca="1" si="1006"/>
        <v>0</v>
      </c>
      <c r="CF865" s="10">
        <f t="shared" ref="CF865:CO866" ca="1" si="1007" xml:space="preserve"> SUM(CF$859:CF$862) * $E865</f>
        <v>0</v>
      </c>
      <c r="CG865" s="10">
        <f t="shared" ca="1" si="1007"/>
        <v>0</v>
      </c>
      <c r="CH865" s="10">
        <f t="shared" ca="1" si="1007"/>
        <v>0</v>
      </c>
      <c r="CI865" s="10">
        <f t="shared" ca="1" si="1007"/>
        <v>0</v>
      </c>
      <c r="CJ865" s="10">
        <f t="shared" ca="1" si="1007"/>
        <v>0</v>
      </c>
      <c r="CK865" s="10">
        <f t="shared" ca="1" si="1007"/>
        <v>0</v>
      </c>
      <c r="CL865" s="10">
        <f t="shared" ca="1" si="1007"/>
        <v>0</v>
      </c>
      <c r="CM865" s="10">
        <f t="shared" ca="1" si="1007"/>
        <v>0</v>
      </c>
      <c r="CN865" s="10">
        <f t="shared" ca="1" si="1007"/>
        <v>0</v>
      </c>
      <c r="CO865" s="10">
        <f t="shared" ca="1" si="1007"/>
        <v>0</v>
      </c>
    </row>
    <row r="866" spans="1:93" hidden="1">
      <c r="A866" s="10"/>
      <c r="B866" s="10"/>
      <c r="C866" s="17" t="s">
        <v>1030</v>
      </c>
      <c r="D866" s="10"/>
      <c r="E866" s="240">
        <f>E842</f>
        <v>2E-3</v>
      </c>
      <c r="F866" s="10"/>
      <c r="G866" s="11" t="str">
        <f t="shared" si="983"/>
        <v>тыс. руб.</v>
      </c>
      <c r="H866" s="10"/>
      <c r="I866" s="23">
        <f t="shared" ca="1" si="984"/>
        <v>0</v>
      </c>
      <c r="J866" s="10"/>
      <c r="K866" s="10"/>
      <c r="L866" s="10">
        <f t="shared" ca="1" si="1005"/>
        <v>0</v>
      </c>
      <c r="M866" s="10">
        <f t="shared" ca="1" si="1005"/>
        <v>0</v>
      </c>
      <c r="N866" s="10">
        <f t="shared" ca="1" si="1005"/>
        <v>0</v>
      </c>
      <c r="O866" s="10">
        <f t="shared" ca="1" si="1005"/>
        <v>0</v>
      </c>
      <c r="P866" s="10">
        <f t="shared" ca="1" si="1005"/>
        <v>0</v>
      </c>
      <c r="Q866" s="10">
        <f t="shared" ca="1" si="1005"/>
        <v>0</v>
      </c>
      <c r="R866" s="10">
        <f t="shared" ca="1" si="1005"/>
        <v>0</v>
      </c>
      <c r="S866" s="10">
        <f t="shared" ca="1" si="1005"/>
        <v>0</v>
      </c>
      <c r="T866" s="10">
        <f t="shared" ca="1" si="1006"/>
        <v>0</v>
      </c>
      <c r="U866" s="10">
        <f t="shared" ca="1" si="1006"/>
        <v>0</v>
      </c>
      <c r="V866" s="10">
        <f t="shared" ca="1" si="1006"/>
        <v>0</v>
      </c>
      <c r="W866" s="10">
        <f t="shared" ca="1" si="1006"/>
        <v>0</v>
      </c>
      <c r="X866" s="10">
        <f t="shared" ca="1" si="1006"/>
        <v>0</v>
      </c>
      <c r="Y866" s="10">
        <f t="shared" ca="1" si="1006"/>
        <v>0</v>
      </c>
      <c r="Z866" s="10">
        <f t="shared" ca="1" si="1006"/>
        <v>0</v>
      </c>
      <c r="AA866" s="10">
        <f t="shared" ca="1" si="1006"/>
        <v>0</v>
      </c>
      <c r="AB866" s="10">
        <f t="shared" ca="1" si="1006"/>
        <v>0</v>
      </c>
      <c r="AC866" s="10">
        <f t="shared" ca="1" si="1006"/>
        <v>0</v>
      </c>
      <c r="AD866" s="10">
        <f t="shared" ca="1" si="1006"/>
        <v>0</v>
      </c>
      <c r="AE866" s="10">
        <f t="shared" ca="1" si="1006"/>
        <v>0</v>
      </c>
      <c r="AF866" s="10">
        <f t="shared" ca="1" si="1006"/>
        <v>0</v>
      </c>
      <c r="AG866" s="10">
        <f t="shared" ca="1" si="1006"/>
        <v>0</v>
      </c>
      <c r="AH866" s="10">
        <f t="shared" ca="1" si="1006"/>
        <v>0</v>
      </c>
      <c r="AI866" s="10">
        <f t="shared" ca="1" si="1006"/>
        <v>0</v>
      </c>
      <c r="AJ866" s="10">
        <f t="shared" ca="1" si="1006"/>
        <v>0</v>
      </c>
      <c r="AK866" s="10">
        <f t="shared" ca="1" si="1006"/>
        <v>0</v>
      </c>
      <c r="AL866" s="10">
        <f t="shared" ca="1" si="1006"/>
        <v>0</v>
      </c>
      <c r="AM866" s="10">
        <f t="shared" ca="1" si="1006"/>
        <v>0</v>
      </c>
      <c r="AN866" s="10">
        <f t="shared" ca="1" si="1006"/>
        <v>0</v>
      </c>
      <c r="AO866" s="10">
        <f t="shared" ca="1" si="1006"/>
        <v>0</v>
      </c>
      <c r="AP866" s="10">
        <f t="shared" ca="1" si="1006"/>
        <v>0</v>
      </c>
      <c r="AQ866" s="10">
        <f t="shared" ca="1" si="1006"/>
        <v>0</v>
      </c>
      <c r="AR866" s="10">
        <f t="shared" ca="1" si="1006"/>
        <v>0</v>
      </c>
      <c r="AS866" s="10">
        <f t="shared" ca="1" si="1006"/>
        <v>0</v>
      </c>
      <c r="AT866" s="10">
        <f t="shared" ca="1" si="1006"/>
        <v>0</v>
      </c>
      <c r="AU866" s="10">
        <f t="shared" ca="1" si="1006"/>
        <v>0</v>
      </c>
      <c r="AV866" s="10">
        <f t="shared" ca="1" si="1006"/>
        <v>0</v>
      </c>
      <c r="AW866" s="10">
        <f t="shared" ca="1" si="1006"/>
        <v>0</v>
      </c>
      <c r="AX866" s="10">
        <f t="shared" ca="1" si="1006"/>
        <v>0</v>
      </c>
      <c r="AY866" s="10">
        <f t="shared" ca="1" si="1006"/>
        <v>0</v>
      </c>
      <c r="AZ866" s="10">
        <f t="shared" ca="1" si="1006"/>
        <v>0</v>
      </c>
      <c r="BA866" s="10">
        <f t="shared" ca="1" si="1006"/>
        <v>0</v>
      </c>
      <c r="BB866" s="10">
        <f t="shared" ca="1" si="1006"/>
        <v>0</v>
      </c>
      <c r="BC866" s="10">
        <f t="shared" ca="1" si="1006"/>
        <v>0</v>
      </c>
      <c r="BD866" s="10">
        <f t="shared" ca="1" si="1006"/>
        <v>0</v>
      </c>
      <c r="BE866" s="10">
        <f t="shared" ca="1" si="1006"/>
        <v>0</v>
      </c>
      <c r="BF866" s="10">
        <f t="shared" ca="1" si="1006"/>
        <v>0</v>
      </c>
      <c r="BG866" s="10">
        <f t="shared" ca="1" si="1006"/>
        <v>0</v>
      </c>
      <c r="BH866" s="10">
        <f t="shared" ca="1" si="1006"/>
        <v>0</v>
      </c>
      <c r="BI866" s="10">
        <f t="shared" ca="1" si="1006"/>
        <v>0</v>
      </c>
      <c r="BJ866" s="10">
        <f t="shared" ca="1" si="1006"/>
        <v>0</v>
      </c>
      <c r="BK866" s="10">
        <f t="shared" ca="1" si="1006"/>
        <v>0</v>
      </c>
      <c r="BL866" s="10">
        <f t="shared" ca="1" si="1006"/>
        <v>0</v>
      </c>
      <c r="BM866" s="10">
        <f t="shared" ca="1" si="1006"/>
        <v>0</v>
      </c>
      <c r="BN866" s="10">
        <f t="shared" ca="1" si="1006"/>
        <v>0</v>
      </c>
      <c r="BO866" s="10">
        <f t="shared" ca="1" si="1006"/>
        <v>0</v>
      </c>
      <c r="BP866" s="10">
        <f t="shared" ca="1" si="1006"/>
        <v>0</v>
      </c>
      <c r="BQ866" s="10">
        <f t="shared" ca="1" si="1006"/>
        <v>0</v>
      </c>
      <c r="BR866" s="10">
        <f t="shared" ca="1" si="1006"/>
        <v>0</v>
      </c>
      <c r="BS866" s="10">
        <f t="shared" ca="1" si="1006"/>
        <v>0</v>
      </c>
      <c r="BT866" s="10">
        <f t="shared" ca="1" si="1006"/>
        <v>0</v>
      </c>
      <c r="BU866" s="10">
        <f t="shared" ca="1" si="1006"/>
        <v>0</v>
      </c>
      <c r="BV866" s="10">
        <f t="shared" ca="1" si="1006"/>
        <v>0</v>
      </c>
      <c r="BW866" s="10">
        <f t="shared" ca="1" si="1006"/>
        <v>0</v>
      </c>
      <c r="BX866" s="10">
        <f t="shared" ca="1" si="1006"/>
        <v>0</v>
      </c>
      <c r="BY866" s="10">
        <f t="shared" ca="1" si="1006"/>
        <v>0</v>
      </c>
      <c r="BZ866" s="10">
        <f t="shared" ca="1" si="1006"/>
        <v>0</v>
      </c>
      <c r="CA866" s="10">
        <f t="shared" ca="1" si="1006"/>
        <v>0</v>
      </c>
      <c r="CB866" s="10">
        <f t="shared" ca="1" si="1006"/>
        <v>0</v>
      </c>
      <c r="CC866" s="10">
        <f t="shared" ca="1" si="1006"/>
        <v>0</v>
      </c>
      <c r="CD866" s="10">
        <f t="shared" ca="1" si="1006"/>
        <v>0</v>
      </c>
      <c r="CE866" s="10">
        <f t="shared" ca="1" si="1006"/>
        <v>0</v>
      </c>
      <c r="CF866" s="10">
        <f t="shared" ca="1" si="1007"/>
        <v>0</v>
      </c>
      <c r="CG866" s="10">
        <f t="shared" ca="1" si="1007"/>
        <v>0</v>
      </c>
      <c r="CH866" s="10">
        <f t="shared" ca="1" si="1007"/>
        <v>0</v>
      </c>
      <c r="CI866" s="10">
        <f t="shared" ca="1" si="1007"/>
        <v>0</v>
      </c>
      <c r="CJ866" s="10">
        <f t="shared" ca="1" si="1007"/>
        <v>0</v>
      </c>
      <c r="CK866" s="10">
        <f t="shared" ca="1" si="1007"/>
        <v>0</v>
      </c>
      <c r="CL866" s="10">
        <f t="shared" ca="1" si="1007"/>
        <v>0</v>
      </c>
      <c r="CM866" s="10">
        <f t="shared" ca="1" si="1007"/>
        <v>0</v>
      </c>
      <c r="CN866" s="10">
        <f t="shared" ca="1" si="1007"/>
        <v>0</v>
      </c>
      <c r="CO866" s="10">
        <f t="shared" ca="1" si="1007"/>
        <v>0</v>
      </c>
    </row>
    <row r="867" spans="1:93" hidden="1">
      <c r="A867" s="10"/>
      <c r="B867" s="10"/>
      <c r="C867" s="10"/>
      <c r="D867" s="10"/>
      <c r="E867" s="10"/>
      <c r="F867" s="10"/>
      <c r="G867" s="11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  <c r="BA867" s="10"/>
      <c r="BB867" s="10"/>
      <c r="BC867" s="10"/>
      <c r="BD867" s="10"/>
      <c r="BE867" s="10"/>
      <c r="BF867" s="10"/>
      <c r="BG867" s="10"/>
      <c r="BH867" s="10"/>
      <c r="BI867" s="10"/>
      <c r="BJ867" s="10"/>
      <c r="BK867" s="10"/>
      <c r="BL867" s="10"/>
      <c r="BM867" s="10"/>
      <c r="BN867" s="10"/>
      <c r="BO867" s="10"/>
      <c r="BP867" s="10"/>
      <c r="BQ867" s="10"/>
      <c r="BR867" s="10"/>
      <c r="BS867" s="10"/>
      <c r="BT867" s="10"/>
      <c r="BU867" s="10"/>
      <c r="BV867" s="10"/>
      <c r="BW867" s="10"/>
      <c r="BX867" s="10"/>
      <c r="BY867" s="10"/>
      <c r="BZ867" s="10"/>
      <c r="CA867" s="10"/>
      <c r="CB867" s="10"/>
      <c r="CC867" s="10"/>
      <c r="CD867" s="10"/>
      <c r="CE867" s="10"/>
      <c r="CF867" s="10"/>
      <c r="CG867" s="10"/>
      <c r="CH867" s="10"/>
      <c r="CI867" s="10"/>
      <c r="CJ867" s="10"/>
      <c r="CK867" s="10"/>
      <c r="CL867" s="10"/>
      <c r="CM867" s="10"/>
      <c r="CN867" s="10"/>
      <c r="CO867" s="10"/>
    </row>
    <row r="868" spans="1:93" hidden="1">
      <c r="A868" s="10"/>
      <c r="B868" s="10"/>
      <c r="C868" s="35" t="s">
        <v>908</v>
      </c>
      <c r="D868" s="10"/>
      <c r="E868" s="10"/>
      <c r="F868" s="10"/>
      <c r="G868" s="11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  <c r="BA868" s="10"/>
      <c r="BB868" s="10"/>
      <c r="BC868" s="10"/>
      <c r="BD868" s="10"/>
      <c r="BE868" s="10"/>
      <c r="BF868" s="10"/>
      <c r="BG868" s="10"/>
      <c r="BH868" s="10"/>
      <c r="BI868" s="10"/>
      <c r="BJ868" s="10"/>
      <c r="BK868" s="10"/>
      <c r="BL868" s="10"/>
      <c r="BM868" s="10"/>
      <c r="BN868" s="10"/>
      <c r="BO868" s="10"/>
      <c r="BP868" s="10"/>
      <c r="BQ868" s="10"/>
      <c r="BR868" s="10"/>
      <c r="BS868" s="10"/>
      <c r="BT868" s="10"/>
      <c r="BU868" s="10"/>
      <c r="BV868" s="10"/>
      <c r="BW868" s="10"/>
      <c r="BX868" s="10"/>
      <c r="BY868" s="10"/>
      <c r="BZ868" s="10"/>
      <c r="CA868" s="10"/>
      <c r="CB868" s="10"/>
      <c r="CC868" s="10"/>
      <c r="CD868" s="10"/>
      <c r="CE868" s="10"/>
      <c r="CF868" s="10"/>
      <c r="CG868" s="10"/>
      <c r="CH868" s="10"/>
      <c r="CI868" s="10"/>
      <c r="CJ868" s="10"/>
      <c r="CK868" s="10"/>
      <c r="CL868" s="10"/>
      <c r="CM868" s="10"/>
      <c r="CN868" s="10"/>
      <c r="CO868" s="10"/>
    </row>
    <row r="869" spans="1:93" hidden="1">
      <c r="A869" s="10"/>
      <c r="B869" s="10"/>
      <c r="C869" s="17" t="s">
        <v>891</v>
      </c>
      <c r="D869" s="10"/>
      <c r="E869" s="10"/>
      <c r="F869" s="10"/>
      <c r="G869" s="11" t="str">
        <f>Monetary_Unit</f>
        <v>тыс. руб.</v>
      </c>
      <c r="H869" s="10"/>
      <c r="I869" s="23">
        <f ca="1">SUM(L869:CO869)</f>
        <v>0</v>
      </c>
      <c r="K869" s="10"/>
      <c r="L869" s="10">
        <f t="shared" ref="L869:AQ869" ca="1" si="1008" xml:space="preserve"> $E845 * CPI_Accumulated_From_Date * (Period_length) * L$50 * $I$699</f>
        <v>0</v>
      </c>
      <c r="M869" s="10">
        <f t="shared" ca="1" si="1008"/>
        <v>0</v>
      </c>
      <c r="N869" s="10">
        <f t="shared" ca="1" si="1008"/>
        <v>0</v>
      </c>
      <c r="O869" s="10">
        <f t="shared" ca="1" si="1008"/>
        <v>0</v>
      </c>
      <c r="P869" s="10">
        <f t="shared" ca="1" si="1008"/>
        <v>0</v>
      </c>
      <c r="Q869" s="10">
        <f t="shared" ca="1" si="1008"/>
        <v>0</v>
      </c>
      <c r="R869" s="10">
        <f t="shared" ca="1" si="1008"/>
        <v>0</v>
      </c>
      <c r="S869" s="10">
        <f t="shared" ca="1" si="1008"/>
        <v>0</v>
      </c>
      <c r="T869" s="10">
        <f t="shared" ca="1" si="1008"/>
        <v>0</v>
      </c>
      <c r="U869" s="10">
        <f t="shared" ca="1" si="1008"/>
        <v>0</v>
      </c>
      <c r="V869" s="10">
        <f t="shared" ca="1" si="1008"/>
        <v>0</v>
      </c>
      <c r="W869" s="10">
        <f t="shared" ca="1" si="1008"/>
        <v>0</v>
      </c>
      <c r="X869" s="10">
        <f t="shared" ca="1" si="1008"/>
        <v>0</v>
      </c>
      <c r="Y869" s="10">
        <f t="shared" ca="1" si="1008"/>
        <v>0</v>
      </c>
      <c r="Z869" s="10">
        <f t="shared" ca="1" si="1008"/>
        <v>0</v>
      </c>
      <c r="AA869" s="10">
        <f t="shared" ca="1" si="1008"/>
        <v>0</v>
      </c>
      <c r="AB869" s="10">
        <f t="shared" ca="1" si="1008"/>
        <v>0</v>
      </c>
      <c r="AC869" s="10">
        <f t="shared" ca="1" si="1008"/>
        <v>0</v>
      </c>
      <c r="AD869" s="10">
        <f t="shared" ca="1" si="1008"/>
        <v>0</v>
      </c>
      <c r="AE869" s="10">
        <f t="shared" ca="1" si="1008"/>
        <v>0</v>
      </c>
      <c r="AF869" s="10">
        <f t="shared" ca="1" si="1008"/>
        <v>0</v>
      </c>
      <c r="AG869" s="10">
        <f t="shared" ca="1" si="1008"/>
        <v>0</v>
      </c>
      <c r="AH869" s="10">
        <f t="shared" ca="1" si="1008"/>
        <v>0</v>
      </c>
      <c r="AI869" s="10">
        <f t="shared" ca="1" si="1008"/>
        <v>0</v>
      </c>
      <c r="AJ869" s="10">
        <f t="shared" ca="1" si="1008"/>
        <v>0</v>
      </c>
      <c r="AK869" s="10">
        <f t="shared" ca="1" si="1008"/>
        <v>0</v>
      </c>
      <c r="AL869" s="10">
        <f t="shared" ca="1" si="1008"/>
        <v>0</v>
      </c>
      <c r="AM869" s="10">
        <f t="shared" ca="1" si="1008"/>
        <v>0</v>
      </c>
      <c r="AN869" s="10">
        <f t="shared" ca="1" si="1008"/>
        <v>0</v>
      </c>
      <c r="AO869" s="10">
        <f t="shared" ca="1" si="1008"/>
        <v>0</v>
      </c>
      <c r="AP869" s="10">
        <f t="shared" ca="1" si="1008"/>
        <v>0</v>
      </c>
      <c r="AQ869" s="10">
        <f t="shared" ca="1" si="1008"/>
        <v>0</v>
      </c>
      <c r="AR869" s="10">
        <f t="shared" ref="AR869:BW869" ca="1" si="1009" xml:space="preserve"> $E845 * CPI_Accumulated_From_Date * (Period_length) * AR$50 * $I$699</f>
        <v>0</v>
      </c>
      <c r="AS869" s="10">
        <f t="shared" ca="1" si="1009"/>
        <v>0</v>
      </c>
      <c r="AT869" s="10">
        <f t="shared" ca="1" si="1009"/>
        <v>0</v>
      </c>
      <c r="AU869" s="10">
        <f t="shared" ca="1" si="1009"/>
        <v>0</v>
      </c>
      <c r="AV869" s="10">
        <f t="shared" ca="1" si="1009"/>
        <v>0</v>
      </c>
      <c r="AW869" s="10">
        <f t="shared" ca="1" si="1009"/>
        <v>0</v>
      </c>
      <c r="AX869" s="10">
        <f t="shared" ca="1" si="1009"/>
        <v>0</v>
      </c>
      <c r="AY869" s="10">
        <f t="shared" ca="1" si="1009"/>
        <v>0</v>
      </c>
      <c r="AZ869" s="10">
        <f t="shared" ca="1" si="1009"/>
        <v>0</v>
      </c>
      <c r="BA869" s="10">
        <f t="shared" ca="1" si="1009"/>
        <v>0</v>
      </c>
      <c r="BB869" s="10">
        <f t="shared" ca="1" si="1009"/>
        <v>0</v>
      </c>
      <c r="BC869" s="10">
        <f t="shared" ca="1" si="1009"/>
        <v>0</v>
      </c>
      <c r="BD869" s="10">
        <f t="shared" ca="1" si="1009"/>
        <v>0</v>
      </c>
      <c r="BE869" s="10">
        <f t="shared" ca="1" si="1009"/>
        <v>0</v>
      </c>
      <c r="BF869" s="10">
        <f t="shared" ca="1" si="1009"/>
        <v>0</v>
      </c>
      <c r="BG869" s="10">
        <f t="shared" ca="1" si="1009"/>
        <v>0</v>
      </c>
      <c r="BH869" s="10">
        <f t="shared" ca="1" si="1009"/>
        <v>0</v>
      </c>
      <c r="BI869" s="10">
        <f t="shared" ca="1" si="1009"/>
        <v>0</v>
      </c>
      <c r="BJ869" s="10">
        <f t="shared" ca="1" si="1009"/>
        <v>0</v>
      </c>
      <c r="BK869" s="10">
        <f t="shared" ca="1" si="1009"/>
        <v>0</v>
      </c>
      <c r="BL869" s="10">
        <f t="shared" ca="1" si="1009"/>
        <v>0</v>
      </c>
      <c r="BM869" s="10">
        <f t="shared" ca="1" si="1009"/>
        <v>0</v>
      </c>
      <c r="BN869" s="10">
        <f t="shared" ca="1" si="1009"/>
        <v>0</v>
      </c>
      <c r="BO869" s="10">
        <f t="shared" ca="1" si="1009"/>
        <v>0</v>
      </c>
      <c r="BP869" s="10">
        <f t="shared" ca="1" si="1009"/>
        <v>0</v>
      </c>
      <c r="BQ869" s="10">
        <f t="shared" ca="1" si="1009"/>
        <v>0</v>
      </c>
      <c r="BR869" s="10">
        <f t="shared" ca="1" si="1009"/>
        <v>0</v>
      </c>
      <c r="BS869" s="10">
        <f t="shared" ca="1" si="1009"/>
        <v>0</v>
      </c>
      <c r="BT869" s="10">
        <f t="shared" ca="1" si="1009"/>
        <v>0</v>
      </c>
      <c r="BU869" s="10">
        <f t="shared" ca="1" si="1009"/>
        <v>0</v>
      </c>
      <c r="BV869" s="10">
        <f t="shared" ca="1" si="1009"/>
        <v>0</v>
      </c>
      <c r="BW869" s="10">
        <f t="shared" ca="1" si="1009"/>
        <v>0</v>
      </c>
      <c r="BX869" s="10">
        <f t="shared" ref="BX869:CO869" ca="1" si="1010" xml:space="preserve"> $E845 * CPI_Accumulated_From_Date * (Period_length) * BX$50 * $I$699</f>
        <v>0</v>
      </c>
      <c r="BY869" s="10">
        <f t="shared" ca="1" si="1010"/>
        <v>0</v>
      </c>
      <c r="BZ869" s="10">
        <f t="shared" ca="1" si="1010"/>
        <v>0</v>
      </c>
      <c r="CA869" s="10">
        <f t="shared" ca="1" si="1010"/>
        <v>0</v>
      </c>
      <c r="CB869" s="10">
        <f t="shared" ca="1" si="1010"/>
        <v>0</v>
      </c>
      <c r="CC869" s="10">
        <f t="shared" ca="1" si="1010"/>
        <v>0</v>
      </c>
      <c r="CD869" s="10">
        <f t="shared" ca="1" si="1010"/>
        <v>0</v>
      </c>
      <c r="CE869" s="10">
        <f t="shared" ca="1" si="1010"/>
        <v>0</v>
      </c>
      <c r="CF869" s="10">
        <f t="shared" ca="1" si="1010"/>
        <v>0</v>
      </c>
      <c r="CG869" s="10">
        <f t="shared" ca="1" si="1010"/>
        <v>0</v>
      </c>
      <c r="CH869" s="10">
        <f t="shared" ca="1" si="1010"/>
        <v>0</v>
      </c>
      <c r="CI869" s="10">
        <f t="shared" ca="1" si="1010"/>
        <v>0</v>
      </c>
      <c r="CJ869" s="10">
        <f t="shared" ca="1" si="1010"/>
        <v>0</v>
      </c>
      <c r="CK869" s="10">
        <f t="shared" ca="1" si="1010"/>
        <v>0</v>
      </c>
      <c r="CL869" s="10">
        <f t="shared" ca="1" si="1010"/>
        <v>0</v>
      </c>
      <c r="CM869" s="10">
        <f t="shared" ca="1" si="1010"/>
        <v>0</v>
      </c>
      <c r="CN869" s="10">
        <f t="shared" ca="1" si="1010"/>
        <v>0</v>
      </c>
      <c r="CO869" s="10">
        <f t="shared" ca="1" si="1010"/>
        <v>0</v>
      </c>
    </row>
    <row r="870" spans="1:93" hidden="1">
      <c r="A870" s="10"/>
      <c r="B870" s="10"/>
      <c r="C870" s="17" t="s">
        <v>892</v>
      </c>
      <c r="D870" s="10"/>
      <c r="E870" s="10"/>
      <c r="F870" s="10"/>
      <c r="G870" s="11" t="str">
        <f>Monetary_Unit</f>
        <v>тыс. руб.</v>
      </c>
      <c r="H870" s="10"/>
      <c r="I870" s="23">
        <f ca="1">SUM(L870:CO870)</f>
        <v>0</v>
      </c>
      <c r="K870" s="10"/>
      <c r="L870" s="10">
        <f t="shared" ref="L870:AQ870" ca="1" si="1011" xml:space="preserve"> $E846 * CPI_Accumulated_From_Date * (Period_length) * L$50 * $I$699</f>
        <v>0</v>
      </c>
      <c r="M870" s="10">
        <f t="shared" ca="1" si="1011"/>
        <v>0</v>
      </c>
      <c r="N870" s="10">
        <f t="shared" ca="1" si="1011"/>
        <v>0</v>
      </c>
      <c r="O870" s="10">
        <f t="shared" ca="1" si="1011"/>
        <v>0</v>
      </c>
      <c r="P870" s="10">
        <f t="shared" ca="1" si="1011"/>
        <v>0</v>
      </c>
      <c r="Q870" s="10">
        <f t="shared" ca="1" si="1011"/>
        <v>0</v>
      </c>
      <c r="R870" s="10">
        <f t="shared" ca="1" si="1011"/>
        <v>0</v>
      </c>
      <c r="S870" s="10">
        <f t="shared" ca="1" si="1011"/>
        <v>0</v>
      </c>
      <c r="T870" s="10">
        <f t="shared" ca="1" si="1011"/>
        <v>0</v>
      </c>
      <c r="U870" s="10">
        <f t="shared" ca="1" si="1011"/>
        <v>0</v>
      </c>
      <c r="V870" s="10">
        <f t="shared" ca="1" si="1011"/>
        <v>0</v>
      </c>
      <c r="W870" s="10">
        <f t="shared" ca="1" si="1011"/>
        <v>0</v>
      </c>
      <c r="X870" s="10">
        <f t="shared" ca="1" si="1011"/>
        <v>0</v>
      </c>
      <c r="Y870" s="10">
        <f t="shared" ca="1" si="1011"/>
        <v>0</v>
      </c>
      <c r="Z870" s="10">
        <f t="shared" ca="1" si="1011"/>
        <v>0</v>
      </c>
      <c r="AA870" s="10">
        <f t="shared" ca="1" si="1011"/>
        <v>0</v>
      </c>
      <c r="AB870" s="10">
        <f t="shared" ca="1" si="1011"/>
        <v>0</v>
      </c>
      <c r="AC870" s="10">
        <f t="shared" ca="1" si="1011"/>
        <v>0</v>
      </c>
      <c r="AD870" s="10">
        <f t="shared" ca="1" si="1011"/>
        <v>0</v>
      </c>
      <c r="AE870" s="10">
        <f t="shared" ca="1" si="1011"/>
        <v>0</v>
      </c>
      <c r="AF870" s="10">
        <f t="shared" ca="1" si="1011"/>
        <v>0</v>
      </c>
      <c r="AG870" s="10">
        <f t="shared" ca="1" si="1011"/>
        <v>0</v>
      </c>
      <c r="AH870" s="10">
        <f t="shared" ca="1" si="1011"/>
        <v>0</v>
      </c>
      <c r="AI870" s="10">
        <f t="shared" ca="1" si="1011"/>
        <v>0</v>
      </c>
      <c r="AJ870" s="10">
        <f t="shared" ca="1" si="1011"/>
        <v>0</v>
      </c>
      <c r="AK870" s="10">
        <f t="shared" ca="1" si="1011"/>
        <v>0</v>
      </c>
      <c r="AL870" s="10">
        <f t="shared" ca="1" si="1011"/>
        <v>0</v>
      </c>
      <c r="AM870" s="10">
        <f t="shared" ca="1" si="1011"/>
        <v>0</v>
      </c>
      <c r="AN870" s="10">
        <f t="shared" ca="1" si="1011"/>
        <v>0</v>
      </c>
      <c r="AO870" s="10">
        <f t="shared" ca="1" si="1011"/>
        <v>0</v>
      </c>
      <c r="AP870" s="10">
        <f t="shared" ca="1" si="1011"/>
        <v>0</v>
      </c>
      <c r="AQ870" s="10">
        <f t="shared" ca="1" si="1011"/>
        <v>0</v>
      </c>
      <c r="AR870" s="10">
        <f t="shared" ref="AR870:BW870" ca="1" si="1012" xml:space="preserve"> $E846 * CPI_Accumulated_From_Date * (Period_length) * AR$50 * $I$699</f>
        <v>0</v>
      </c>
      <c r="AS870" s="10">
        <f t="shared" ca="1" si="1012"/>
        <v>0</v>
      </c>
      <c r="AT870" s="10">
        <f t="shared" ca="1" si="1012"/>
        <v>0</v>
      </c>
      <c r="AU870" s="10">
        <f t="shared" ca="1" si="1012"/>
        <v>0</v>
      </c>
      <c r="AV870" s="10">
        <f t="shared" ca="1" si="1012"/>
        <v>0</v>
      </c>
      <c r="AW870" s="10">
        <f t="shared" ca="1" si="1012"/>
        <v>0</v>
      </c>
      <c r="AX870" s="10">
        <f t="shared" ca="1" si="1012"/>
        <v>0</v>
      </c>
      <c r="AY870" s="10">
        <f t="shared" ca="1" si="1012"/>
        <v>0</v>
      </c>
      <c r="AZ870" s="10">
        <f t="shared" ca="1" si="1012"/>
        <v>0</v>
      </c>
      <c r="BA870" s="10">
        <f t="shared" ca="1" si="1012"/>
        <v>0</v>
      </c>
      <c r="BB870" s="10">
        <f t="shared" ca="1" si="1012"/>
        <v>0</v>
      </c>
      <c r="BC870" s="10">
        <f t="shared" ca="1" si="1012"/>
        <v>0</v>
      </c>
      <c r="BD870" s="10">
        <f t="shared" ca="1" si="1012"/>
        <v>0</v>
      </c>
      <c r="BE870" s="10">
        <f t="shared" ca="1" si="1012"/>
        <v>0</v>
      </c>
      <c r="BF870" s="10">
        <f t="shared" ca="1" si="1012"/>
        <v>0</v>
      </c>
      <c r="BG870" s="10">
        <f t="shared" ca="1" si="1012"/>
        <v>0</v>
      </c>
      <c r="BH870" s="10">
        <f t="shared" ca="1" si="1012"/>
        <v>0</v>
      </c>
      <c r="BI870" s="10">
        <f t="shared" ca="1" si="1012"/>
        <v>0</v>
      </c>
      <c r="BJ870" s="10">
        <f t="shared" ca="1" si="1012"/>
        <v>0</v>
      </c>
      <c r="BK870" s="10">
        <f t="shared" ca="1" si="1012"/>
        <v>0</v>
      </c>
      <c r="BL870" s="10">
        <f t="shared" ca="1" si="1012"/>
        <v>0</v>
      </c>
      <c r="BM870" s="10">
        <f t="shared" ca="1" si="1012"/>
        <v>0</v>
      </c>
      <c r="BN870" s="10">
        <f t="shared" ca="1" si="1012"/>
        <v>0</v>
      </c>
      <c r="BO870" s="10">
        <f t="shared" ca="1" si="1012"/>
        <v>0</v>
      </c>
      <c r="BP870" s="10">
        <f t="shared" ca="1" si="1012"/>
        <v>0</v>
      </c>
      <c r="BQ870" s="10">
        <f t="shared" ca="1" si="1012"/>
        <v>0</v>
      </c>
      <c r="BR870" s="10">
        <f t="shared" ca="1" si="1012"/>
        <v>0</v>
      </c>
      <c r="BS870" s="10">
        <f t="shared" ca="1" si="1012"/>
        <v>0</v>
      </c>
      <c r="BT870" s="10">
        <f t="shared" ca="1" si="1012"/>
        <v>0</v>
      </c>
      <c r="BU870" s="10">
        <f t="shared" ca="1" si="1012"/>
        <v>0</v>
      </c>
      <c r="BV870" s="10">
        <f t="shared" ca="1" si="1012"/>
        <v>0</v>
      </c>
      <c r="BW870" s="10">
        <f t="shared" ca="1" si="1012"/>
        <v>0</v>
      </c>
      <c r="BX870" s="10">
        <f t="shared" ref="BX870:CO870" ca="1" si="1013" xml:space="preserve"> $E846 * CPI_Accumulated_From_Date * (Period_length) * BX$50 * $I$699</f>
        <v>0</v>
      </c>
      <c r="BY870" s="10">
        <f t="shared" ca="1" si="1013"/>
        <v>0</v>
      </c>
      <c r="BZ870" s="10">
        <f t="shared" ca="1" si="1013"/>
        <v>0</v>
      </c>
      <c r="CA870" s="10">
        <f t="shared" ca="1" si="1013"/>
        <v>0</v>
      </c>
      <c r="CB870" s="10">
        <f t="shared" ca="1" si="1013"/>
        <v>0</v>
      </c>
      <c r="CC870" s="10">
        <f t="shared" ca="1" si="1013"/>
        <v>0</v>
      </c>
      <c r="CD870" s="10">
        <f t="shared" ca="1" si="1013"/>
        <v>0</v>
      </c>
      <c r="CE870" s="10">
        <f t="shared" ca="1" si="1013"/>
        <v>0</v>
      </c>
      <c r="CF870" s="10">
        <f t="shared" ca="1" si="1013"/>
        <v>0</v>
      </c>
      <c r="CG870" s="10">
        <f t="shared" ca="1" si="1013"/>
        <v>0</v>
      </c>
      <c r="CH870" s="10">
        <f t="shared" ca="1" si="1013"/>
        <v>0</v>
      </c>
      <c r="CI870" s="10">
        <f t="shared" ca="1" si="1013"/>
        <v>0</v>
      </c>
      <c r="CJ870" s="10">
        <f t="shared" ca="1" si="1013"/>
        <v>0</v>
      </c>
      <c r="CK870" s="10">
        <f t="shared" ca="1" si="1013"/>
        <v>0</v>
      </c>
      <c r="CL870" s="10">
        <f t="shared" ca="1" si="1013"/>
        <v>0</v>
      </c>
      <c r="CM870" s="10">
        <f t="shared" ca="1" si="1013"/>
        <v>0</v>
      </c>
      <c r="CN870" s="10">
        <f t="shared" ca="1" si="1013"/>
        <v>0</v>
      </c>
      <c r="CO870" s="10">
        <f t="shared" ca="1" si="1013"/>
        <v>0</v>
      </c>
    </row>
    <row r="871" spans="1:93" hidden="1">
      <c r="A871" s="10"/>
      <c r="B871" s="10"/>
      <c r="C871" s="17" t="s">
        <v>909</v>
      </c>
      <c r="D871" s="10"/>
      <c r="E871" s="10"/>
      <c r="F871" s="10"/>
      <c r="G871" s="11" t="str">
        <f>Monetary_Unit</f>
        <v>тыс. руб.</v>
      </c>
      <c r="H871" s="10"/>
      <c r="I871" s="23">
        <f ca="1">SUM(L871:CO871)</f>
        <v>0</v>
      </c>
      <c r="K871" s="10"/>
      <c r="L871" s="10">
        <f t="shared" ref="L871:AQ871" ca="1" si="1014" xml:space="preserve"> $E847 * CPI_Accumulated_From_Date * (Period_length) * L$50 * $I$699</f>
        <v>0</v>
      </c>
      <c r="M871" s="10">
        <f t="shared" ca="1" si="1014"/>
        <v>0</v>
      </c>
      <c r="N871" s="10">
        <f t="shared" ca="1" si="1014"/>
        <v>0</v>
      </c>
      <c r="O871" s="10">
        <f t="shared" ca="1" si="1014"/>
        <v>0</v>
      </c>
      <c r="P871" s="10">
        <f t="shared" ca="1" si="1014"/>
        <v>0</v>
      </c>
      <c r="Q871" s="10">
        <f t="shared" ca="1" si="1014"/>
        <v>0</v>
      </c>
      <c r="R871" s="10">
        <f t="shared" ca="1" si="1014"/>
        <v>0</v>
      </c>
      <c r="S871" s="10">
        <f t="shared" ca="1" si="1014"/>
        <v>0</v>
      </c>
      <c r="T871" s="10">
        <f t="shared" ca="1" si="1014"/>
        <v>0</v>
      </c>
      <c r="U871" s="10">
        <f t="shared" ca="1" si="1014"/>
        <v>0</v>
      </c>
      <c r="V871" s="10">
        <f t="shared" ca="1" si="1014"/>
        <v>0</v>
      </c>
      <c r="W871" s="10">
        <f t="shared" ca="1" si="1014"/>
        <v>0</v>
      </c>
      <c r="X871" s="10">
        <f t="shared" ca="1" si="1014"/>
        <v>0</v>
      </c>
      <c r="Y871" s="10">
        <f t="shared" ca="1" si="1014"/>
        <v>0</v>
      </c>
      <c r="Z871" s="10">
        <f t="shared" ca="1" si="1014"/>
        <v>0</v>
      </c>
      <c r="AA871" s="10">
        <f t="shared" ca="1" si="1014"/>
        <v>0</v>
      </c>
      <c r="AB871" s="10">
        <f t="shared" ca="1" si="1014"/>
        <v>0</v>
      </c>
      <c r="AC871" s="10">
        <f t="shared" ca="1" si="1014"/>
        <v>0</v>
      </c>
      <c r="AD871" s="10">
        <f t="shared" ca="1" si="1014"/>
        <v>0</v>
      </c>
      <c r="AE871" s="10">
        <f t="shared" ca="1" si="1014"/>
        <v>0</v>
      </c>
      <c r="AF871" s="10">
        <f t="shared" ca="1" si="1014"/>
        <v>0</v>
      </c>
      <c r="AG871" s="10">
        <f t="shared" ca="1" si="1014"/>
        <v>0</v>
      </c>
      <c r="AH871" s="10">
        <f t="shared" ca="1" si="1014"/>
        <v>0</v>
      </c>
      <c r="AI871" s="10">
        <f t="shared" ca="1" si="1014"/>
        <v>0</v>
      </c>
      <c r="AJ871" s="10">
        <f t="shared" ca="1" si="1014"/>
        <v>0</v>
      </c>
      <c r="AK871" s="10">
        <f t="shared" ca="1" si="1014"/>
        <v>0</v>
      </c>
      <c r="AL871" s="10">
        <f t="shared" ca="1" si="1014"/>
        <v>0</v>
      </c>
      <c r="AM871" s="10">
        <f t="shared" ca="1" si="1014"/>
        <v>0</v>
      </c>
      <c r="AN871" s="10">
        <f t="shared" ca="1" si="1014"/>
        <v>0</v>
      </c>
      <c r="AO871" s="10">
        <f t="shared" ca="1" si="1014"/>
        <v>0</v>
      </c>
      <c r="AP871" s="10">
        <f t="shared" ca="1" si="1014"/>
        <v>0</v>
      </c>
      <c r="AQ871" s="10">
        <f t="shared" ca="1" si="1014"/>
        <v>0</v>
      </c>
      <c r="AR871" s="10">
        <f t="shared" ref="AR871:BW871" ca="1" si="1015" xml:space="preserve"> $E847 * CPI_Accumulated_From_Date * (Period_length) * AR$50 * $I$699</f>
        <v>0</v>
      </c>
      <c r="AS871" s="10">
        <f t="shared" ca="1" si="1015"/>
        <v>0</v>
      </c>
      <c r="AT871" s="10">
        <f t="shared" ca="1" si="1015"/>
        <v>0</v>
      </c>
      <c r="AU871" s="10">
        <f t="shared" ca="1" si="1015"/>
        <v>0</v>
      </c>
      <c r="AV871" s="10">
        <f t="shared" ca="1" si="1015"/>
        <v>0</v>
      </c>
      <c r="AW871" s="10">
        <f t="shared" ca="1" si="1015"/>
        <v>0</v>
      </c>
      <c r="AX871" s="10">
        <f t="shared" ca="1" si="1015"/>
        <v>0</v>
      </c>
      <c r="AY871" s="10">
        <f t="shared" ca="1" si="1015"/>
        <v>0</v>
      </c>
      <c r="AZ871" s="10">
        <f t="shared" ca="1" si="1015"/>
        <v>0</v>
      </c>
      <c r="BA871" s="10">
        <f t="shared" ca="1" si="1015"/>
        <v>0</v>
      </c>
      <c r="BB871" s="10">
        <f t="shared" ca="1" si="1015"/>
        <v>0</v>
      </c>
      <c r="BC871" s="10">
        <f t="shared" ca="1" si="1015"/>
        <v>0</v>
      </c>
      <c r="BD871" s="10">
        <f t="shared" ca="1" si="1015"/>
        <v>0</v>
      </c>
      <c r="BE871" s="10">
        <f t="shared" ca="1" si="1015"/>
        <v>0</v>
      </c>
      <c r="BF871" s="10">
        <f t="shared" ca="1" si="1015"/>
        <v>0</v>
      </c>
      <c r="BG871" s="10">
        <f t="shared" ca="1" si="1015"/>
        <v>0</v>
      </c>
      <c r="BH871" s="10">
        <f t="shared" ca="1" si="1015"/>
        <v>0</v>
      </c>
      <c r="BI871" s="10">
        <f t="shared" ca="1" si="1015"/>
        <v>0</v>
      </c>
      <c r="BJ871" s="10">
        <f t="shared" ca="1" si="1015"/>
        <v>0</v>
      </c>
      <c r="BK871" s="10">
        <f t="shared" ca="1" si="1015"/>
        <v>0</v>
      </c>
      <c r="BL871" s="10">
        <f t="shared" ca="1" si="1015"/>
        <v>0</v>
      </c>
      <c r="BM871" s="10">
        <f t="shared" ca="1" si="1015"/>
        <v>0</v>
      </c>
      <c r="BN871" s="10">
        <f t="shared" ca="1" si="1015"/>
        <v>0</v>
      </c>
      <c r="BO871" s="10">
        <f t="shared" ca="1" si="1015"/>
        <v>0</v>
      </c>
      <c r="BP871" s="10">
        <f t="shared" ca="1" si="1015"/>
        <v>0</v>
      </c>
      <c r="BQ871" s="10">
        <f t="shared" ca="1" si="1015"/>
        <v>0</v>
      </c>
      <c r="BR871" s="10">
        <f t="shared" ca="1" si="1015"/>
        <v>0</v>
      </c>
      <c r="BS871" s="10">
        <f t="shared" ca="1" si="1015"/>
        <v>0</v>
      </c>
      <c r="BT871" s="10">
        <f t="shared" ca="1" si="1015"/>
        <v>0</v>
      </c>
      <c r="BU871" s="10">
        <f t="shared" ca="1" si="1015"/>
        <v>0</v>
      </c>
      <c r="BV871" s="10">
        <f t="shared" ca="1" si="1015"/>
        <v>0</v>
      </c>
      <c r="BW871" s="10">
        <f t="shared" ca="1" si="1015"/>
        <v>0</v>
      </c>
      <c r="BX871" s="10">
        <f t="shared" ref="BX871:CO871" ca="1" si="1016" xml:space="preserve"> $E847 * CPI_Accumulated_From_Date * (Period_length) * BX$50 * $I$699</f>
        <v>0</v>
      </c>
      <c r="BY871" s="10">
        <f t="shared" ca="1" si="1016"/>
        <v>0</v>
      </c>
      <c r="BZ871" s="10">
        <f t="shared" ca="1" si="1016"/>
        <v>0</v>
      </c>
      <c r="CA871" s="10">
        <f t="shared" ca="1" si="1016"/>
        <v>0</v>
      </c>
      <c r="CB871" s="10">
        <f t="shared" ca="1" si="1016"/>
        <v>0</v>
      </c>
      <c r="CC871" s="10">
        <f t="shared" ca="1" si="1016"/>
        <v>0</v>
      </c>
      <c r="CD871" s="10">
        <f t="shared" ca="1" si="1016"/>
        <v>0</v>
      </c>
      <c r="CE871" s="10">
        <f t="shared" ca="1" si="1016"/>
        <v>0</v>
      </c>
      <c r="CF871" s="10">
        <f t="shared" ca="1" si="1016"/>
        <v>0</v>
      </c>
      <c r="CG871" s="10">
        <f t="shared" ca="1" si="1016"/>
        <v>0</v>
      </c>
      <c r="CH871" s="10">
        <f t="shared" ca="1" si="1016"/>
        <v>0</v>
      </c>
      <c r="CI871" s="10">
        <f t="shared" ca="1" si="1016"/>
        <v>0</v>
      </c>
      <c r="CJ871" s="10">
        <f t="shared" ca="1" si="1016"/>
        <v>0</v>
      </c>
      <c r="CK871" s="10">
        <f t="shared" ca="1" si="1016"/>
        <v>0</v>
      </c>
      <c r="CL871" s="10">
        <f t="shared" ca="1" si="1016"/>
        <v>0</v>
      </c>
      <c r="CM871" s="10">
        <f t="shared" ca="1" si="1016"/>
        <v>0</v>
      </c>
      <c r="CN871" s="10">
        <f t="shared" ca="1" si="1016"/>
        <v>0</v>
      </c>
      <c r="CO871" s="10">
        <f t="shared" ca="1" si="1016"/>
        <v>0</v>
      </c>
    </row>
    <row r="872" spans="1:93" hidden="1">
      <c r="A872" s="10"/>
      <c r="B872" s="10"/>
      <c r="C872" s="10"/>
      <c r="D872" s="10"/>
      <c r="E872" s="10"/>
      <c r="F872" s="10"/>
      <c r="G872" s="11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  <c r="BA872" s="10"/>
      <c r="BB872" s="10"/>
      <c r="BC872" s="10"/>
      <c r="BD872" s="10"/>
      <c r="BE872" s="10"/>
      <c r="BF872" s="10"/>
      <c r="BG872" s="10"/>
      <c r="BH872" s="10"/>
      <c r="BI872" s="10"/>
      <c r="BJ872" s="10"/>
      <c r="BK872" s="10"/>
      <c r="BL872" s="10"/>
      <c r="BM872" s="10"/>
      <c r="BN872" s="10"/>
      <c r="BO872" s="10"/>
      <c r="BP872" s="10"/>
      <c r="BQ872" s="10"/>
      <c r="BR872" s="10"/>
      <c r="BS872" s="10"/>
      <c r="BT872" s="10"/>
      <c r="BU872" s="10"/>
      <c r="BV872" s="10"/>
      <c r="BW872" s="10"/>
      <c r="BX872" s="10"/>
      <c r="BY872" s="10"/>
      <c r="BZ872" s="10"/>
      <c r="CA872" s="10"/>
      <c r="CB872" s="10"/>
      <c r="CC872" s="10"/>
      <c r="CD872" s="10"/>
      <c r="CE872" s="10"/>
      <c r="CF872" s="10"/>
      <c r="CG872" s="10"/>
      <c r="CH872" s="10"/>
      <c r="CI872" s="10"/>
      <c r="CJ872" s="10"/>
      <c r="CK872" s="10"/>
      <c r="CL872" s="10"/>
      <c r="CM872" s="10"/>
      <c r="CN872" s="10"/>
      <c r="CO872" s="10"/>
    </row>
    <row r="873" spans="1:93" hidden="1">
      <c r="A873" s="10"/>
      <c r="B873" s="10"/>
      <c r="C873" s="35" t="s">
        <v>893</v>
      </c>
      <c r="D873" s="10"/>
      <c r="E873" s="10"/>
      <c r="F873" s="10"/>
      <c r="G873" s="11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  <c r="BA873" s="10"/>
      <c r="BB873" s="10"/>
      <c r="BC873" s="10"/>
      <c r="BD873" s="10"/>
      <c r="BE873" s="10"/>
      <c r="BF873" s="10"/>
      <c r="BG873" s="10"/>
      <c r="BH873" s="10"/>
      <c r="BI873" s="10"/>
      <c r="BJ873" s="10"/>
      <c r="BK873" s="10"/>
      <c r="BL873" s="10"/>
      <c r="BM873" s="10"/>
      <c r="BN873" s="10"/>
      <c r="BO873" s="10"/>
      <c r="BP873" s="10"/>
      <c r="BQ873" s="10"/>
      <c r="BR873" s="10"/>
      <c r="BS873" s="10"/>
      <c r="BT873" s="10"/>
      <c r="BU873" s="10"/>
      <c r="BV873" s="10"/>
      <c r="BW873" s="10"/>
      <c r="BX873" s="10"/>
      <c r="BY873" s="10"/>
      <c r="BZ873" s="10"/>
      <c r="CA873" s="10"/>
      <c r="CB873" s="10"/>
      <c r="CC873" s="10"/>
      <c r="CD873" s="10"/>
      <c r="CE873" s="10"/>
      <c r="CF873" s="10"/>
      <c r="CG873" s="10"/>
      <c r="CH873" s="10"/>
      <c r="CI873" s="10"/>
      <c r="CJ873" s="10"/>
      <c r="CK873" s="10"/>
      <c r="CL873" s="10"/>
      <c r="CM873" s="10"/>
      <c r="CN873" s="10"/>
      <c r="CO873" s="10"/>
    </row>
    <row r="874" spans="1:93" hidden="1">
      <c r="A874" s="10"/>
      <c r="B874" s="10"/>
      <c r="C874" s="17" t="s">
        <v>891</v>
      </c>
      <c r="D874" s="10"/>
      <c r="E874" s="10"/>
      <c r="F874" s="10"/>
      <c r="G874" s="11" t="str">
        <f>Monetary_Unit</f>
        <v>тыс. руб.</v>
      </c>
      <c r="H874" s="10"/>
      <c r="I874" s="23">
        <f t="shared" ref="I874:I879" ca="1" si="1017">SUM(L874:CO874)</f>
        <v>0</v>
      </c>
      <c r="K874" s="10"/>
      <c r="L874" s="10">
        <f t="shared" ref="L874:AQ874" ca="1" si="1018" xml:space="preserve"> $E850 * CPI_Accumulated_From_Date * (Period_length) * L$50 * $I$699</f>
        <v>0</v>
      </c>
      <c r="M874" s="10">
        <f t="shared" ca="1" si="1018"/>
        <v>0</v>
      </c>
      <c r="N874" s="10">
        <f t="shared" ca="1" si="1018"/>
        <v>0</v>
      </c>
      <c r="O874" s="10">
        <f t="shared" ca="1" si="1018"/>
        <v>0</v>
      </c>
      <c r="P874" s="10">
        <f t="shared" ca="1" si="1018"/>
        <v>0</v>
      </c>
      <c r="Q874" s="10">
        <f t="shared" ca="1" si="1018"/>
        <v>0</v>
      </c>
      <c r="R874" s="10">
        <f t="shared" ca="1" si="1018"/>
        <v>0</v>
      </c>
      <c r="S874" s="10">
        <f t="shared" ca="1" si="1018"/>
        <v>0</v>
      </c>
      <c r="T874" s="10">
        <f t="shared" ca="1" si="1018"/>
        <v>0</v>
      </c>
      <c r="U874" s="10">
        <f t="shared" ca="1" si="1018"/>
        <v>0</v>
      </c>
      <c r="V874" s="10">
        <f t="shared" ca="1" si="1018"/>
        <v>0</v>
      </c>
      <c r="W874" s="10">
        <f t="shared" ca="1" si="1018"/>
        <v>0</v>
      </c>
      <c r="X874" s="10">
        <f t="shared" ca="1" si="1018"/>
        <v>0</v>
      </c>
      <c r="Y874" s="10">
        <f t="shared" ca="1" si="1018"/>
        <v>0</v>
      </c>
      <c r="Z874" s="10">
        <f t="shared" ca="1" si="1018"/>
        <v>0</v>
      </c>
      <c r="AA874" s="10">
        <f t="shared" ca="1" si="1018"/>
        <v>0</v>
      </c>
      <c r="AB874" s="10">
        <f t="shared" ca="1" si="1018"/>
        <v>0</v>
      </c>
      <c r="AC874" s="10">
        <f t="shared" ca="1" si="1018"/>
        <v>0</v>
      </c>
      <c r="AD874" s="10">
        <f t="shared" ca="1" si="1018"/>
        <v>0</v>
      </c>
      <c r="AE874" s="10">
        <f t="shared" ca="1" si="1018"/>
        <v>0</v>
      </c>
      <c r="AF874" s="10">
        <f t="shared" ca="1" si="1018"/>
        <v>0</v>
      </c>
      <c r="AG874" s="10">
        <f t="shared" ca="1" si="1018"/>
        <v>0</v>
      </c>
      <c r="AH874" s="10">
        <f t="shared" ca="1" si="1018"/>
        <v>0</v>
      </c>
      <c r="AI874" s="10">
        <f t="shared" ca="1" si="1018"/>
        <v>0</v>
      </c>
      <c r="AJ874" s="10">
        <f t="shared" ca="1" si="1018"/>
        <v>0</v>
      </c>
      <c r="AK874" s="10">
        <f t="shared" ca="1" si="1018"/>
        <v>0</v>
      </c>
      <c r="AL874" s="10">
        <f t="shared" ca="1" si="1018"/>
        <v>0</v>
      </c>
      <c r="AM874" s="10">
        <f t="shared" ca="1" si="1018"/>
        <v>0</v>
      </c>
      <c r="AN874" s="10">
        <f t="shared" ca="1" si="1018"/>
        <v>0</v>
      </c>
      <c r="AO874" s="10">
        <f t="shared" ca="1" si="1018"/>
        <v>0</v>
      </c>
      <c r="AP874" s="10">
        <f t="shared" ca="1" si="1018"/>
        <v>0</v>
      </c>
      <c r="AQ874" s="10">
        <f t="shared" ca="1" si="1018"/>
        <v>0</v>
      </c>
      <c r="AR874" s="10">
        <f t="shared" ref="AR874:BW874" ca="1" si="1019" xml:space="preserve"> $E850 * CPI_Accumulated_From_Date * (Period_length) * AR$50 * $I$699</f>
        <v>0</v>
      </c>
      <c r="AS874" s="10">
        <f t="shared" ca="1" si="1019"/>
        <v>0</v>
      </c>
      <c r="AT874" s="10">
        <f t="shared" ca="1" si="1019"/>
        <v>0</v>
      </c>
      <c r="AU874" s="10">
        <f t="shared" ca="1" si="1019"/>
        <v>0</v>
      </c>
      <c r="AV874" s="10">
        <f t="shared" ca="1" si="1019"/>
        <v>0</v>
      </c>
      <c r="AW874" s="10">
        <f t="shared" ca="1" si="1019"/>
        <v>0</v>
      </c>
      <c r="AX874" s="10">
        <f t="shared" ca="1" si="1019"/>
        <v>0</v>
      </c>
      <c r="AY874" s="10">
        <f t="shared" ca="1" si="1019"/>
        <v>0</v>
      </c>
      <c r="AZ874" s="10">
        <f t="shared" ca="1" si="1019"/>
        <v>0</v>
      </c>
      <c r="BA874" s="10">
        <f t="shared" ca="1" si="1019"/>
        <v>0</v>
      </c>
      <c r="BB874" s="10">
        <f t="shared" ca="1" si="1019"/>
        <v>0</v>
      </c>
      <c r="BC874" s="10">
        <f t="shared" ca="1" si="1019"/>
        <v>0</v>
      </c>
      <c r="BD874" s="10">
        <f t="shared" ca="1" si="1019"/>
        <v>0</v>
      </c>
      <c r="BE874" s="10">
        <f t="shared" ca="1" si="1019"/>
        <v>0</v>
      </c>
      <c r="BF874" s="10">
        <f t="shared" ca="1" si="1019"/>
        <v>0</v>
      </c>
      <c r="BG874" s="10">
        <f t="shared" ca="1" si="1019"/>
        <v>0</v>
      </c>
      <c r="BH874" s="10">
        <f t="shared" ca="1" si="1019"/>
        <v>0</v>
      </c>
      <c r="BI874" s="10">
        <f t="shared" ca="1" si="1019"/>
        <v>0</v>
      </c>
      <c r="BJ874" s="10">
        <f t="shared" ca="1" si="1019"/>
        <v>0</v>
      </c>
      <c r="BK874" s="10">
        <f t="shared" ca="1" si="1019"/>
        <v>0</v>
      </c>
      <c r="BL874" s="10">
        <f t="shared" ca="1" si="1019"/>
        <v>0</v>
      </c>
      <c r="BM874" s="10">
        <f t="shared" ca="1" si="1019"/>
        <v>0</v>
      </c>
      <c r="BN874" s="10">
        <f t="shared" ca="1" si="1019"/>
        <v>0</v>
      </c>
      <c r="BO874" s="10">
        <f t="shared" ca="1" si="1019"/>
        <v>0</v>
      </c>
      <c r="BP874" s="10">
        <f t="shared" ca="1" si="1019"/>
        <v>0</v>
      </c>
      <c r="BQ874" s="10">
        <f t="shared" ca="1" si="1019"/>
        <v>0</v>
      </c>
      <c r="BR874" s="10">
        <f t="shared" ca="1" si="1019"/>
        <v>0</v>
      </c>
      <c r="BS874" s="10">
        <f t="shared" ca="1" si="1019"/>
        <v>0</v>
      </c>
      <c r="BT874" s="10">
        <f t="shared" ca="1" si="1019"/>
        <v>0</v>
      </c>
      <c r="BU874" s="10">
        <f t="shared" ca="1" si="1019"/>
        <v>0</v>
      </c>
      <c r="BV874" s="10">
        <f t="shared" ca="1" si="1019"/>
        <v>0</v>
      </c>
      <c r="BW874" s="10">
        <f t="shared" ca="1" si="1019"/>
        <v>0</v>
      </c>
      <c r="BX874" s="10">
        <f t="shared" ref="BX874:CO874" ca="1" si="1020" xml:space="preserve"> $E850 * CPI_Accumulated_From_Date * (Period_length) * BX$50 * $I$699</f>
        <v>0</v>
      </c>
      <c r="BY874" s="10">
        <f t="shared" ca="1" si="1020"/>
        <v>0</v>
      </c>
      <c r="BZ874" s="10">
        <f t="shared" ca="1" si="1020"/>
        <v>0</v>
      </c>
      <c r="CA874" s="10">
        <f t="shared" ca="1" si="1020"/>
        <v>0</v>
      </c>
      <c r="CB874" s="10">
        <f t="shared" ca="1" si="1020"/>
        <v>0</v>
      </c>
      <c r="CC874" s="10">
        <f t="shared" ca="1" si="1020"/>
        <v>0</v>
      </c>
      <c r="CD874" s="10">
        <f t="shared" ca="1" si="1020"/>
        <v>0</v>
      </c>
      <c r="CE874" s="10">
        <f t="shared" ca="1" si="1020"/>
        <v>0</v>
      </c>
      <c r="CF874" s="10">
        <f t="shared" ca="1" si="1020"/>
        <v>0</v>
      </c>
      <c r="CG874" s="10">
        <f t="shared" ca="1" si="1020"/>
        <v>0</v>
      </c>
      <c r="CH874" s="10">
        <f t="shared" ca="1" si="1020"/>
        <v>0</v>
      </c>
      <c r="CI874" s="10">
        <f t="shared" ca="1" si="1020"/>
        <v>0</v>
      </c>
      <c r="CJ874" s="10">
        <f t="shared" ca="1" si="1020"/>
        <v>0</v>
      </c>
      <c r="CK874" s="10">
        <f t="shared" ca="1" si="1020"/>
        <v>0</v>
      </c>
      <c r="CL874" s="10">
        <f t="shared" ca="1" si="1020"/>
        <v>0</v>
      </c>
      <c r="CM874" s="10">
        <f t="shared" ca="1" si="1020"/>
        <v>0</v>
      </c>
      <c r="CN874" s="10">
        <f t="shared" ca="1" si="1020"/>
        <v>0</v>
      </c>
      <c r="CO874" s="10">
        <f t="shared" ca="1" si="1020"/>
        <v>0</v>
      </c>
    </row>
    <row r="875" spans="1:93" hidden="1">
      <c r="A875" s="10"/>
      <c r="B875" s="10"/>
      <c r="C875" s="17" t="s">
        <v>892</v>
      </c>
      <c r="D875" s="10"/>
      <c r="E875" s="10"/>
      <c r="F875" s="10"/>
      <c r="G875" s="11" t="str">
        <f>Monetary_Unit</f>
        <v>тыс. руб.</v>
      </c>
      <c r="H875" s="10"/>
      <c r="I875" s="23">
        <f t="shared" ca="1" si="1017"/>
        <v>0</v>
      </c>
      <c r="K875" s="10"/>
      <c r="L875" s="10">
        <f t="shared" ref="L875:AQ875" ca="1" si="1021" xml:space="preserve"> $E851 * CPI_Accumulated_From_Date * (Period_length) * L$50 * $I$699</f>
        <v>0</v>
      </c>
      <c r="M875" s="10">
        <f t="shared" ca="1" si="1021"/>
        <v>0</v>
      </c>
      <c r="N875" s="10">
        <f t="shared" ca="1" si="1021"/>
        <v>0</v>
      </c>
      <c r="O875" s="10">
        <f t="shared" ca="1" si="1021"/>
        <v>0</v>
      </c>
      <c r="P875" s="10">
        <f t="shared" ca="1" si="1021"/>
        <v>0</v>
      </c>
      <c r="Q875" s="10">
        <f t="shared" ca="1" si="1021"/>
        <v>0</v>
      </c>
      <c r="R875" s="10">
        <f t="shared" ca="1" si="1021"/>
        <v>0</v>
      </c>
      <c r="S875" s="10">
        <f t="shared" ca="1" si="1021"/>
        <v>0</v>
      </c>
      <c r="T875" s="10">
        <f t="shared" ca="1" si="1021"/>
        <v>0</v>
      </c>
      <c r="U875" s="10">
        <f t="shared" ca="1" si="1021"/>
        <v>0</v>
      </c>
      <c r="V875" s="10">
        <f t="shared" ca="1" si="1021"/>
        <v>0</v>
      </c>
      <c r="W875" s="10">
        <f t="shared" ca="1" si="1021"/>
        <v>0</v>
      </c>
      <c r="X875" s="10">
        <f t="shared" ca="1" si="1021"/>
        <v>0</v>
      </c>
      <c r="Y875" s="10">
        <f t="shared" ca="1" si="1021"/>
        <v>0</v>
      </c>
      <c r="Z875" s="10">
        <f t="shared" ca="1" si="1021"/>
        <v>0</v>
      </c>
      <c r="AA875" s="10">
        <f t="shared" ca="1" si="1021"/>
        <v>0</v>
      </c>
      <c r="AB875" s="10">
        <f t="shared" ca="1" si="1021"/>
        <v>0</v>
      </c>
      <c r="AC875" s="10">
        <f t="shared" ca="1" si="1021"/>
        <v>0</v>
      </c>
      <c r="AD875" s="10">
        <f t="shared" ca="1" si="1021"/>
        <v>0</v>
      </c>
      <c r="AE875" s="10">
        <f t="shared" ca="1" si="1021"/>
        <v>0</v>
      </c>
      <c r="AF875" s="10">
        <f t="shared" ca="1" si="1021"/>
        <v>0</v>
      </c>
      <c r="AG875" s="10">
        <f t="shared" ca="1" si="1021"/>
        <v>0</v>
      </c>
      <c r="AH875" s="10">
        <f t="shared" ca="1" si="1021"/>
        <v>0</v>
      </c>
      <c r="AI875" s="10">
        <f t="shared" ca="1" si="1021"/>
        <v>0</v>
      </c>
      <c r="AJ875" s="10">
        <f t="shared" ca="1" si="1021"/>
        <v>0</v>
      </c>
      <c r="AK875" s="10">
        <f t="shared" ca="1" si="1021"/>
        <v>0</v>
      </c>
      <c r="AL875" s="10">
        <f t="shared" ca="1" si="1021"/>
        <v>0</v>
      </c>
      <c r="AM875" s="10">
        <f t="shared" ca="1" si="1021"/>
        <v>0</v>
      </c>
      <c r="AN875" s="10">
        <f t="shared" ca="1" si="1021"/>
        <v>0</v>
      </c>
      <c r="AO875" s="10">
        <f t="shared" ca="1" si="1021"/>
        <v>0</v>
      </c>
      <c r="AP875" s="10">
        <f t="shared" ca="1" si="1021"/>
        <v>0</v>
      </c>
      <c r="AQ875" s="10">
        <f t="shared" ca="1" si="1021"/>
        <v>0</v>
      </c>
      <c r="AR875" s="10">
        <f t="shared" ref="AR875:BW875" ca="1" si="1022" xml:space="preserve"> $E851 * CPI_Accumulated_From_Date * (Period_length) * AR$50 * $I$699</f>
        <v>0</v>
      </c>
      <c r="AS875" s="10">
        <f t="shared" ca="1" si="1022"/>
        <v>0</v>
      </c>
      <c r="AT875" s="10">
        <f t="shared" ca="1" si="1022"/>
        <v>0</v>
      </c>
      <c r="AU875" s="10">
        <f t="shared" ca="1" si="1022"/>
        <v>0</v>
      </c>
      <c r="AV875" s="10">
        <f t="shared" ca="1" si="1022"/>
        <v>0</v>
      </c>
      <c r="AW875" s="10">
        <f t="shared" ca="1" si="1022"/>
        <v>0</v>
      </c>
      <c r="AX875" s="10">
        <f t="shared" ca="1" si="1022"/>
        <v>0</v>
      </c>
      <c r="AY875" s="10">
        <f t="shared" ca="1" si="1022"/>
        <v>0</v>
      </c>
      <c r="AZ875" s="10">
        <f t="shared" ca="1" si="1022"/>
        <v>0</v>
      </c>
      <c r="BA875" s="10">
        <f t="shared" ca="1" si="1022"/>
        <v>0</v>
      </c>
      <c r="BB875" s="10">
        <f t="shared" ca="1" si="1022"/>
        <v>0</v>
      </c>
      <c r="BC875" s="10">
        <f t="shared" ca="1" si="1022"/>
        <v>0</v>
      </c>
      <c r="BD875" s="10">
        <f t="shared" ca="1" si="1022"/>
        <v>0</v>
      </c>
      <c r="BE875" s="10">
        <f t="shared" ca="1" si="1022"/>
        <v>0</v>
      </c>
      <c r="BF875" s="10">
        <f t="shared" ca="1" si="1022"/>
        <v>0</v>
      </c>
      <c r="BG875" s="10">
        <f t="shared" ca="1" si="1022"/>
        <v>0</v>
      </c>
      <c r="BH875" s="10">
        <f t="shared" ca="1" si="1022"/>
        <v>0</v>
      </c>
      <c r="BI875" s="10">
        <f t="shared" ca="1" si="1022"/>
        <v>0</v>
      </c>
      <c r="BJ875" s="10">
        <f t="shared" ca="1" si="1022"/>
        <v>0</v>
      </c>
      <c r="BK875" s="10">
        <f t="shared" ca="1" si="1022"/>
        <v>0</v>
      </c>
      <c r="BL875" s="10">
        <f t="shared" ca="1" si="1022"/>
        <v>0</v>
      </c>
      <c r="BM875" s="10">
        <f t="shared" ca="1" si="1022"/>
        <v>0</v>
      </c>
      <c r="BN875" s="10">
        <f t="shared" ca="1" si="1022"/>
        <v>0</v>
      </c>
      <c r="BO875" s="10">
        <f t="shared" ca="1" si="1022"/>
        <v>0</v>
      </c>
      <c r="BP875" s="10">
        <f t="shared" ca="1" si="1022"/>
        <v>0</v>
      </c>
      <c r="BQ875" s="10">
        <f t="shared" ca="1" si="1022"/>
        <v>0</v>
      </c>
      <c r="BR875" s="10">
        <f t="shared" ca="1" si="1022"/>
        <v>0</v>
      </c>
      <c r="BS875" s="10">
        <f t="shared" ca="1" si="1022"/>
        <v>0</v>
      </c>
      <c r="BT875" s="10">
        <f t="shared" ca="1" si="1022"/>
        <v>0</v>
      </c>
      <c r="BU875" s="10">
        <f t="shared" ca="1" si="1022"/>
        <v>0</v>
      </c>
      <c r="BV875" s="10">
        <f t="shared" ca="1" si="1022"/>
        <v>0</v>
      </c>
      <c r="BW875" s="10">
        <f t="shared" ca="1" si="1022"/>
        <v>0</v>
      </c>
      <c r="BX875" s="10">
        <f t="shared" ref="BX875:CO875" ca="1" si="1023" xml:space="preserve"> $E851 * CPI_Accumulated_From_Date * (Period_length) * BX$50 * $I$699</f>
        <v>0</v>
      </c>
      <c r="BY875" s="10">
        <f t="shared" ca="1" si="1023"/>
        <v>0</v>
      </c>
      <c r="BZ875" s="10">
        <f t="shared" ca="1" si="1023"/>
        <v>0</v>
      </c>
      <c r="CA875" s="10">
        <f t="shared" ca="1" si="1023"/>
        <v>0</v>
      </c>
      <c r="CB875" s="10">
        <f t="shared" ca="1" si="1023"/>
        <v>0</v>
      </c>
      <c r="CC875" s="10">
        <f t="shared" ca="1" si="1023"/>
        <v>0</v>
      </c>
      <c r="CD875" s="10">
        <f t="shared" ca="1" si="1023"/>
        <v>0</v>
      </c>
      <c r="CE875" s="10">
        <f t="shared" ca="1" si="1023"/>
        <v>0</v>
      </c>
      <c r="CF875" s="10">
        <f t="shared" ca="1" si="1023"/>
        <v>0</v>
      </c>
      <c r="CG875" s="10">
        <f t="shared" ca="1" si="1023"/>
        <v>0</v>
      </c>
      <c r="CH875" s="10">
        <f t="shared" ca="1" si="1023"/>
        <v>0</v>
      </c>
      <c r="CI875" s="10">
        <f t="shared" ca="1" si="1023"/>
        <v>0</v>
      </c>
      <c r="CJ875" s="10">
        <f t="shared" ca="1" si="1023"/>
        <v>0</v>
      </c>
      <c r="CK875" s="10">
        <f t="shared" ca="1" si="1023"/>
        <v>0</v>
      </c>
      <c r="CL875" s="10">
        <f t="shared" ca="1" si="1023"/>
        <v>0</v>
      </c>
      <c r="CM875" s="10">
        <f t="shared" ca="1" si="1023"/>
        <v>0</v>
      </c>
      <c r="CN875" s="10">
        <f t="shared" ca="1" si="1023"/>
        <v>0</v>
      </c>
      <c r="CO875" s="10">
        <f t="shared" ca="1" si="1023"/>
        <v>0</v>
      </c>
    </row>
    <row r="876" spans="1:93" hidden="1">
      <c r="A876" s="10"/>
      <c r="B876" s="10"/>
      <c r="C876" s="17" t="s">
        <v>909</v>
      </c>
      <c r="D876" s="10"/>
      <c r="E876" s="10"/>
      <c r="F876" s="10"/>
      <c r="G876" s="11" t="str">
        <f>Monetary_Unit</f>
        <v>тыс. руб.</v>
      </c>
      <c r="H876" s="10"/>
      <c r="I876" s="23">
        <f t="shared" ca="1" si="1017"/>
        <v>0</v>
      </c>
      <c r="K876" s="10"/>
      <c r="L876" s="10">
        <f t="shared" ref="L876:AQ876" ca="1" si="1024" xml:space="preserve"> $E852 * CPI_Accumulated_From_Date * (Period_length) * L$50 * $I$699</f>
        <v>0</v>
      </c>
      <c r="M876" s="10">
        <f t="shared" ca="1" si="1024"/>
        <v>0</v>
      </c>
      <c r="N876" s="10">
        <f t="shared" ca="1" si="1024"/>
        <v>0</v>
      </c>
      <c r="O876" s="10">
        <f t="shared" ca="1" si="1024"/>
        <v>0</v>
      </c>
      <c r="P876" s="10">
        <f t="shared" ca="1" si="1024"/>
        <v>0</v>
      </c>
      <c r="Q876" s="10">
        <f t="shared" ca="1" si="1024"/>
        <v>0</v>
      </c>
      <c r="R876" s="10">
        <f t="shared" ca="1" si="1024"/>
        <v>0</v>
      </c>
      <c r="S876" s="10">
        <f t="shared" ca="1" si="1024"/>
        <v>0</v>
      </c>
      <c r="T876" s="10">
        <f t="shared" ca="1" si="1024"/>
        <v>0</v>
      </c>
      <c r="U876" s="10">
        <f t="shared" ca="1" si="1024"/>
        <v>0</v>
      </c>
      <c r="V876" s="10">
        <f t="shared" ca="1" si="1024"/>
        <v>0</v>
      </c>
      <c r="W876" s="10">
        <f t="shared" ca="1" si="1024"/>
        <v>0</v>
      </c>
      <c r="X876" s="10">
        <f t="shared" ca="1" si="1024"/>
        <v>0</v>
      </c>
      <c r="Y876" s="10">
        <f t="shared" ca="1" si="1024"/>
        <v>0</v>
      </c>
      <c r="Z876" s="10">
        <f t="shared" ca="1" si="1024"/>
        <v>0</v>
      </c>
      <c r="AA876" s="10">
        <f t="shared" ca="1" si="1024"/>
        <v>0</v>
      </c>
      <c r="AB876" s="10">
        <f t="shared" ca="1" si="1024"/>
        <v>0</v>
      </c>
      <c r="AC876" s="10">
        <f t="shared" ca="1" si="1024"/>
        <v>0</v>
      </c>
      <c r="AD876" s="10">
        <f t="shared" ca="1" si="1024"/>
        <v>0</v>
      </c>
      <c r="AE876" s="10">
        <f t="shared" ca="1" si="1024"/>
        <v>0</v>
      </c>
      <c r="AF876" s="10">
        <f t="shared" ca="1" si="1024"/>
        <v>0</v>
      </c>
      <c r="AG876" s="10">
        <f t="shared" ca="1" si="1024"/>
        <v>0</v>
      </c>
      <c r="AH876" s="10">
        <f t="shared" ca="1" si="1024"/>
        <v>0</v>
      </c>
      <c r="AI876" s="10">
        <f t="shared" ca="1" si="1024"/>
        <v>0</v>
      </c>
      <c r="AJ876" s="10">
        <f t="shared" ca="1" si="1024"/>
        <v>0</v>
      </c>
      <c r="AK876" s="10">
        <f t="shared" ca="1" si="1024"/>
        <v>0</v>
      </c>
      <c r="AL876" s="10">
        <f t="shared" ca="1" si="1024"/>
        <v>0</v>
      </c>
      <c r="AM876" s="10">
        <f t="shared" ca="1" si="1024"/>
        <v>0</v>
      </c>
      <c r="AN876" s="10">
        <f t="shared" ca="1" si="1024"/>
        <v>0</v>
      </c>
      <c r="AO876" s="10">
        <f t="shared" ca="1" si="1024"/>
        <v>0</v>
      </c>
      <c r="AP876" s="10">
        <f t="shared" ca="1" si="1024"/>
        <v>0</v>
      </c>
      <c r="AQ876" s="10">
        <f t="shared" ca="1" si="1024"/>
        <v>0</v>
      </c>
      <c r="AR876" s="10">
        <f t="shared" ref="AR876:BW876" ca="1" si="1025" xml:space="preserve"> $E852 * CPI_Accumulated_From_Date * (Period_length) * AR$50 * $I$699</f>
        <v>0</v>
      </c>
      <c r="AS876" s="10">
        <f t="shared" ca="1" si="1025"/>
        <v>0</v>
      </c>
      <c r="AT876" s="10">
        <f t="shared" ca="1" si="1025"/>
        <v>0</v>
      </c>
      <c r="AU876" s="10">
        <f t="shared" ca="1" si="1025"/>
        <v>0</v>
      </c>
      <c r="AV876" s="10">
        <f t="shared" ca="1" si="1025"/>
        <v>0</v>
      </c>
      <c r="AW876" s="10">
        <f t="shared" ca="1" si="1025"/>
        <v>0</v>
      </c>
      <c r="AX876" s="10">
        <f t="shared" ca="1" si="1025"/>
        <v>0</v>
      </c>
      <c r="AY876" s="10">
        <f t="shared" ca="1" si="1025"/>
        <v>0</v>
      </c>
      <c r="AZ876" s="10">
        <f t="shared" ca="1" si="1025"/>
        <v>0</v>
      </c>
      <c r="BA876" s="10">
        <f t="shared" ca="1" si="1025"/>
        <v>0</v>
      </c>
      <c r="BB876" s="10">
        <f t="shared" ca="1" si="1025"/>
        <v>0</v>
      </c>
      <c r="BC876" s="10">
        <f t="shared" ca="1" si="1025"/>
        <v>0</v>
      </c>
      <c r="BD876" s="10">
        <f t="shared" ca="1" si="1025"/>
        <v>0</v>
      </c>
      <c r="BE876" s="10">
        <f t="shared" ca="1" si="1025"/>
        <v>0</v>
      </c>
      <c r="BF876" s="10">
        <f t="shared" ca="1" si="1025"/>
        <v>0</v>
      </c>
      <c r="BG876" s="10">
        <f t="shared" ca="1" si="1025"/>
        <v>0</v>
      </c>
      <c r="BH876" s="10">
        <f t="shared" ca="1" si="1025"/>
        <v>0</v>
      </c>
      <c r="BI876" s="10">
        <f t="shared" ca="1" si="1025"/>
        <v>0</v>
      </c>
      <c r="BJ876" s="10">
        <f t="shared" ca="1" si="1025"/>
        <v>0</v>
      </c>
      <c r="BK876" s="10">
        <f t="shared" ca="1" si="1025"/>
        <v>0</v>
      </c>
      <c r="BL876" s="10">
        <f t="shared" ca="1" si="1025"/>
        <v>0</v>
      </c>
      <c r="BM876" s="10">
        <f t="shared" ca="1" si="1025"/>
        <v>0</v>
      </c>
      <c r="BN876" s="10">
        <f t="shared" ca="1" si="1025"/>
        <v>0</v>
      </c>
      <c r="BO876" s="10">
        <f t="shared" ca="1" si="1025"/>
        <v>0</v>
      </c>
      <c r="BP876" s="10">
        <f t="shared" ca="1" si="1025"/>
        <v>0</v>
      </c>
      <c r="BQ876" s="10">
        <f t="shared" ca="1" si="1025"/>
        <v>0</v>
      </c>
      <c r="BR876" s="10">
        <f t="shared" ca="1" si="1025"/>
        <v>0</v>
      </c>
      <c r="BS876" s="10">
        <f t="shared" ca="1" si="1025"/>
        <v>0</v>
      </c>
      <c r="BT876" s="10">
        <f t="shared" ca="1" si="1025"/>
        <v>0</v>
      </c>
      <c r="BU876" s="10">
        <f t="shared" ca="1" si="1025"/>
        <v>0</v>
      </c>
      <c r="BV876" s="10">
        <f t="shared" ca="1" si="1025"/>
        <v>0</v>
      </c>
      <c r="BW876" s="10">
        <f t="shared" ca="1" si="1025"/>
        <v>0</v>
      </c>
      <c r="BX876" s="10">
        <f t="shared" ref="BX876:CO876" ca="1" si="1026" xml:space="preserve"> $E852 * CPI_Accumulated_From_Date * (Period_length) * BX$50 * $I$699</f>
        <v>0</v>
      </c>
      <c r="BY876" s="10">
        <f t="shared" ca="1" si="1026"/>
        <v>0</v>
      </c>
      <c r="BZ876" s="10">
        <f t="shared" ca="1" si="1026"/>
        <v>0</v>
      </c>
      <c r="CA876" s="10">
        <f t="shared" ca="1" si="1026"/>
        <v>0</v>
      </c>
      <c r="CB876" s="10">
        <f t="shared" ca="1" si="1026"/>
        <v>0</v>
      </c>
      <c r="CC876" s="10">
        <f t="shared" ca="1" si="1026"/>
        <v>0</v>
      </c>
      <c r="CD876" s="10">
        <f t="shared" ca="1" si="1026"/>
        <v>0</v>
      </c>
      <c r="CE876" s="10">
        <f t="shared" ca="1" si="1026"/>
        <v>0</v>
      </c>
      <c r="CF876" s="10">
        <f t="shared" ca="1" si="1026"/>
        <v>0</v>
      </c>
      <c r="CG876" s="10">
        <f t="shared" ca="1" si="1026"/>
        <v>0</v>
      </c>
      <c r="CH876" s="10">
        <f t="shared" ca="1" si="1026"/>
        <v>0</v>
      </c>
      <c r="CI876" s="10">
        <f t="shared" ca="1" si="1026"/>
        <v>0</v>
      </c>
      <c r="CJ876" s="10">
        <f t="shared" ca="1" si="1026"/>
        <v>0</v>
      </c>
      <c r="CK876" s="10">
        <f t="shared" ca="1" si="1026"/>
        <v>0</v>
      </c>
      <c r="CL876" s="10">
        <f t="shared" ca="1" si="1026"/>
        <v>0</v>
      </c>
      <c r="CM876" s="10">
        <f t="shared" ca="1" si="1026"/>
        <v>0</v>
      </c>
      <c r="CN876" s="10">
        <f t="shared" ca="1" si="1026"/>
        <v>0</v>
      </c>
      <c r="CO876" s="10">
        <f t="shared" ca="1" si="1026"/>
        <v>0</v>
      </c>
    </row>
    <row r="877" spans="1:93" hidden="1">
      <c r="A877" s="10"/>
      <c r="B877" s="10"/>
      <c r="C877" s="17" t="s">
        <v>894</v>
      </c>
      <c r="D877" s="10"/>
      <c r="E877" s="10"/>
      <c r="F877" s="10"/>
      <c r="G877" s="11" t="str">
        <f>Monetary_Unit</f>
        <v>тыс. руб.</v>
      </c>
      <c r="H877" s="10"/>
      <c r="I877" s="23">
        <f t="shared" ca="1" si="1017"/>
        <v>0</v>
      </c>
      <c r="K877" s="10"/>
      <c r="L877" s="10">
        <f t="shared" ref="L877:AQ877" ca="1" si="1027" xml:space="preserve"> $E853 * CPI_Accumulated_From_Date * (Period_length) * L$50 * $I$699</f>
        <v>0</v>
      </c>
      <c r="M877" s="10">
        <f t="shared" ca="1" si="1027"/>
        <v>0</v>
      </c>
      <c r="N877" s="10">
        <f t="shared" ca="1" si="1027"/>
        <v>0</v>
      </c>
      <c r="O877" s="10">
        <f t="shared" ca="1" si="1027"/>
        <v>0</v>
      </c>
      <c r="P877" s="10">
        <f t="shared" ca="1" si="1027"/>
        <v>0</v>
      </c>
      <c r="Q877" s="10">
        <f t="shared" ca="1" si="1027"/>
        <v>0</v>
      </c>
      <c r="R877" s="10">
        <f t="shared" ca="1" si="1027"/>
        <v>0</v>
      </c>
      <c r="S877" s="10">
        <f t="shared" ca="1" si="1027"/>
        <v>0</v>
      </c>
      <c r="T877" s="10">
        <f t="shared" ca="1" si="1027"/>
        <v>0</v>
      </c>
      <c r="U877" s="10">
        <f t="shared" ca="1" si="1027"/>
        <v>0</v>
      </c>
      <c r="V877" s="10">
        <f t="shared" ca="1" si="1027"/>
        <v>0</v>
      </c>
      <c r="W877" s="10">
        <f t="shared" ca="1" si="1027"/>
        <v>0</v>
      </c>
      <c r="X877" s="10">
        <f t="shared" ca="1" si="1027"/>
        <v>0</v>
      </c>
      <c r="Y877" s="10">
        <f t="shared" ca="1" si="1027"/>
        <v>0</v>
      </c>
      <c r="Z877" s="10">
        <f t="shared" ca="1" si="1027"/>
        <v>0</v>
      </c>
      <c r="AA877" s="10">
        <f t="shared" ca="1" si="1027"/>
        <v>0</v>
      </c>
      <c r="AB877" s="10">
        <f t="shared" ca="1" si="1027"/>
        <v>0</v>
      </c>
      <c r="AC877" s="10">
        <f t="shared" ca="1" si="1027"/>
        <v>0</v>
      </c>
      <c r="AD877" s="10">
        <f t="shared" ca="1" si="1027"/>
        <v>0</v>
      </c>
      <c r="AE877" s="10">
        <f t="shared" ca="1" si="1027"/>
        <v>0</v>
      </c>
      <c r="AF877" s="10">
        <f t="shared" ca="1" si="1027"/>
        <v>0</v>
      </c>
      <c r="AG877" s="10">
        <f t="shared" ca="1" si="1027"/>
        <v>0</v>
      </c>
      <c r="AH877" s="10">
        <f t="shared" ca="1" si="1027"/>
        <v>0</v>
      </c>
      <c r="AI877" s="10">
        <f t="shared" ca="1" si="1027"/>
        <v>0</v>
      </c>
      <c r="AJ877" s="10">
        <f t="shared" ca="1" si="1027"/>
        <v>0</v>
      </c>
      <c r="AK877" s="10">
        <f t="shared" ca="1" si="1027"/>
        <v>0</v>
      </c>
      <c r="AL877" s="10">
        <f t="shared" ca="1" si="1027"/>
        <v>0</v>
      </c>
      <c r="AM877" s="10">
        <f t="shared" ca="1" si="1027"/>
        <v>0</v>
      </c>
      <c r="AN877" s="10">
        <f t="shared" ca="1" si="1027"/>
        <v>0</v>
      </c>
      <c r="AO877" s="10">
        <f t="shared" ca="1" si="1027"/>
        <v>0</v>
      </c>
      <c r="AP877" s="10">
        <f t="shared" ca="1" si="1027"/>
        <v>0</v>
      </c>
      <c r="AQ877" s="10">
        <f t="shared" ca="1" si="1027"/>
        <v>0</v>
      </c>
      <c r="AR877" s="10">
        <f t="shared" ref="AR877:BW877" ca="1" si="1028" xml:space="preserve"> $E853 * CPI_Accumulated_From_Date * (Period_length) * AR$50 * $I$699</f>
        <v>0</v>
      </c>
      <c r="AS877" s="10">
        <f t="shared" ca="1" si="1028"/>
        <v>0</v>
      </c>
      <c r="AT877" s="10">
        <f t="shared" ca="1" si="1028"/>
        <v>0</v>
      </c>
      <c r="AU877" s="10">
        <f t="shared" ca="1" si="1028"/>
        <v>0</v>
      </c>
      <c r="AV877" s="10">
        <f t="shared" ca="1" si="1028"/>
        <v>0</v>
      </c>
      <c r="AW877" s="10">
        <f t="shared" ca="1" si="1028"/>
        <v>0</v>
      </c>
      <c r="AX877" s="10">
        <f t="shared" ca="1" si="1028"/>
        <v>0</v>
      </c>
      <c r="AY877" s="10">
        <f t="shared" ca="1" si="1028"/>
        <v>0</v>
      </c>
      <c r="AZ877" s="10">
        <f t="shared" ca="1" si="1028"/>
        <v>0</v>
      </c>
      <c r="BA877" s="10">
        <f t="shared" ca="1" si="1028"/>
        <v>0</v>
      </c>
      <c r="BB877" s="10">
        <f t="shared" ca="1" si="1028"/>
        <v>0</v>
      </c>
      <c r="BC877" s="10">
        <f t="shared" ca="1" si="1028"/>
        <v>0</v>
      </c>
      <c r="BD877" s="10">
        <f t="shared" ca="1" si="1028"/>
        <v>0</v>
      </c>
      <c r="BE877" s="10">
        <f t="shared" ca="1" si="1028"/>
        <v>0</v>
      </c>
      <c r="BF877" s="10">
        <f t="shared" ca="1" si="1028"/>
        <v>0</v>
      </c>
      <c r="BG877" s="10">
        <f t="shared" ca="1" si="1028"/>
        <v>0</v>
      </c>
      <c r="BH877" s="10">
        <f t="shared" ca="1" si="1028"/>
        <v>0</v>
      </c>
      <c r="BI877" s="10">
        <f t="shared" ca="1" si="1028"/>
        <v>0</v>
      </c>
      <c r="BJ877" s="10">
        <f t="shared" ca="1" si="1028"/>
        <v>0</v>
      </c>
      <c r="BK877" s="10">
        <f t="shared" ca="1" si="1028"/>
        <v>0</v>
      </c>
      <c r="BL877" s="10">
        <f t="shared" ca="1" si="1028"/>
        <v>0</v>
      </c>
      <c r="BM877" s="10">
        <f t="shared" ca="1" si="1028"/>
        <v>0</v>
      </c>
      <c r="BN877" s="10">
        <f t="shared" ca="1" si="1028"/>
        <v>0</v>
      </c>
      <c r="BO877" s="10">
        <f t="shared" ca="1" si="1028"/>
        <v>0</v>
      </c>
      <c r="BP877" s="10">
        <f t="shared" ca="1" si="1028"/>
        <v>0</v>
      </c>
      <c r="BQ877" s="10">
        <f t="shared" ca="1" si="1028"/>
        <v>0</v>
      </c>
      <c r="BR877" s="10">
        <f t="shared" ca="1" si="1028"/>
        <v>0</v>
      </c>
      <c r="BS877" s="10">
        <f t="shared" ca="1" si="1028"/>
        <v>0</v>
      </c>
      <c r="BT877" s="10">
        <f t="shared" ca="1" si="1028"/>
        <v>0</v>
      </c>
      <c r="BU877" s="10">
        <f t="shared" ca="1" si="1028"/>
        <v>0</v>
      </c>
      <c r="BV877" s="10">
        <f t="shared" ca="1" si="1028"/>
        <v>0</v>
      </c>
      <c r="BW877" s="10">
        <f t="shared" ca="1" si="1028"/>
        <v>0</v>
      </c>
      <c r="BX877" s="10">
        <f t="shared" ref="BX877:CO877" ca="1" si="1029" xml:space="preserve"> $E853 * CPI_Accumulated_From_Date * (Period_length) * BX$50 * $I$699</f>
        <v>0</v>
      </c>
      <c r="BY877" s="10">
        <f t="shared" ca="1" si="1029"/>
        <v>0</v>
      </c>
      <c r="BZ877" s="10">
        <f t="shared" ca="1" si="1029"/>
        <v>0</v>
      </c>
      <c r="CA877" s="10">
        <f t="shared" ca="1" si="1029"/>
        <v>0</v>
      </c>
      <c r="CB877" s="10">
        <f t="shared" ca="1" si="1029"/>
        <v>0</v>
      </c>
      <c r="CC877" s="10">
        <f t="shared" ca="1" si="1029"/>
        <v>0</v>
      </c>
      <c r="CD877" s="10">
        <f t="shared" ca="1" si="1029"/>
        <v>0</v>
      </c>
      <c r="CE877" s="10">
        <f t="shared" ca="1" si="1029"/>
        <v>0</v>
      </c>
      <c r="CF877" s="10">
        <f t="shared" ca="1" si="1029"/>
        <v>0</v>
      </c>
      <c r="CG877" s="10">
        <f t="shared" ca="1" si="1029"/>
        <v>0</v>
      </c>
      <c r="CH877" s="10">
        <f t="shared" ca="1" si="1029"/>
        <v>0</v>
      </c>
      <c r="CI877" s="10">
        <f t="shared" ca="1" si="1029"/>
        <v>0</v>
      </c>
      <c r="CJ877" s="10">
        <f t="shared" ca="1" si="1029"/>
        <v>0</v>
      </c>
      <c r="CK877" s="10">
        <f t="shared" ca="1" si="1029"/>
        <v>0</v>
      </c>
      <c r="CL877" s="10">
        <f t="shared" ca="1" si="1029"/>
        <v>0</v>
      </c>
      <c r="CM877" s="10">
        <f t="shared" ca="1" si="1029"/>
        <v>0</v>
      </c>
      <c r="CN877" s="10">
        <f t="shared" ca="1" si="1029"/>
        <v>0</v>
      </c>
      <c r="CO877" s="10">
        <f t="shared" ca="1" si="1029"/>
        <v>0</v>
      </c>
    </row>
    <row r="878" spans="1:93" ht="15.75" hidden="1" thickBot="1">
      <c r="A878" s="10"/>
      <c r="B878" s="10"/>
      <c r="C878" s="17" t="s">
        <v>895</v>
      </c>
      <c r="D878" s="10"/>
      <c r="E878" s="10"/>
      <c r="F878" s="10"/>
      <c r="G878" s="11" t="str">
        <f>Monetary_Unit</f>
        <v>тыс. руб.</v>
      </c>
      <c r="H878" s="10"/>
      <c r="I878" s="23">
        <f t="shared" ca="1" si="1017"/>
        <v>0</v>
      </c>
      <c r="K878" s="10"/>
      <c r="L878" s="10">
        <f t="shared" ref="L878:AQ878" ca="1" si="1030" xml:space="preserve"> $E854 * CPI_Accumulated_From_Date * (Period_length) * L$50 * $I$699</f>
        <v>0</v>
      </c>
      <c r="M878" s="10">
        <f t="shared" ca="1" si="1030"/>
        <v>0</v>
      </c>
      <c r="N878" s="10">
        <f t="shared" ca="1" si="1030"/>
        <v>0</v>
      </c>
      <c r="O878" s="10">
        <f t="shared" ca="1" si="1030"/>
        <v>0</v>
      </c>
      <c r="P878" s="10">
        <f t="shared" ca="1" si="1030"/>
        <v>0</v>
      </c>
      <c r="Q878" s="10">
        <f t="shared" ca="1" si="1030"/>
        <v>0</v>
      </c>
      <c r="R878" s="10">
        <f t="shared" ca="1" si="1030"/>
        <v>0</v>
      </c>
      <c r="S878" s="10">
        <f t="shared" ca="1" si="1030"/>
        <v>0</v>
      </c>
      <c r="T878" s="10">
        <f t="shared" ca="1" si="1030"/>
        <v>0</v>
      </c>
      <c r="U878" s="10">
        <f t="shared" ca="1" si="1030"/>
        <v>0</v>
      </c>
      <c r="V878" s="10">
        <f t="shared" ca="1" si="1030"/>
        <v>0</v>
      </c>
      <c r="W878" s="10">
        <f t="shared" ca="1" si="1030"/>
        <v>0</v>
      </c>
      <c r="X878" s="10">
        <f t="shared" ca="1" si="1030"/>
        <v>0</v>
      </c>
      <c r="Y878" s="10">
        <f t="shared" ca="1" si="1030"/>
        <v>0</v>
      </c>
      <c r="Z878" s="10">
        <f t="shared" ca="1" si="1030"/>
        <v>0</v>
      </c>
      <c r="AA878" s="10">
        <f t="shared" ca="1" si="1030"/>
        <v>0</v>
      </c>
      <c r="AB878" s="10">
        <f t="shared" ca="1" si="1030"/>
        <v>0</v>
      </c>
      <c r="AC878" s="10">
        <f t="shared" ca="1" si="1030"/>
        <v>0</v>
      </c>
      <c r="AD878" s="10">
        <f t="shared" ca="1" si="1030"/>
        <v>0</v>
      </c>
      <c r="AE878" s="10">
        <f t="shared" ca="1" si="1030"/>
        <v>0</v>
      </c>
      <c r="AF878" s="10">
        <f t="shared" ca="1" si="1030"/>
        <v>0</v>
      </c>
      <c r="AG878" s="10">
        <f t="shared" ca="1" si="1030"/>
        <v>0</v>
      </c>
      <c r="AH878" s="10">
        <f t="shared" ca="1" si="1030"/>
        <v>0</v>
      </c>
      <c r="AI878" s="10">
        <f t="shared" ca="1" si="1030"/>
        <v>0</v>
      </c>
      <c r="AJ878" s="10">
        <f t="shared" ca="1" si="1030"/>
        <v>0</v>
      </c>
      <c r="AK878" s="10">
        <f t="shared" ca="1" si="1030"/>
        <v>0</v>
      </c>
      <c r="AL878" s="10">
        <f t="shared" ca="1" si="1030"/>
        <v>0</v>
      </c>
      <c r="AM878" s="10">
        <f t="shared" ca="1" si="1030"/>
        <v>0</v>
      </c>
      <c r="AN878" s="10">
        <f t="shared" ca="1" si="1030"/>
        <v>0</v>
      </c>
      <c r="AO878" s="10">
        <f t="shared" ca="1" si="1030"/>
        <v>0</v>
      </c>
      <c r="AP878" s="10">
        <f t="shared" ca="1" si="1030"/>
        <v>0</v>
      </c>
      <c r="AQ878" s="10">
        <f t="shared" ca="1" si="1030"/>
        <v>0</v>
      </c>
      <c r="AR878" s="10">
        <f t="shared" ref="AR878:BW878" ca="1" si="1031" xml:space="preserve"> $E854 * CPI_Accumulated_From_Date * (Period_length) * AR$50 * $I$699</f>
        <v>0</v>
      </c>
      <c r="AS878" s="10">
        <f t="shared" ca="1" si="1031"/>
        <v>0</v>
      </c>
      <c r="AT878" s="10">
        <f t="shared" ca="1" si="1031"/>
        <v>0</v>
      </c>
      <c r="AU878" s="10">
        <f t="shared" ca="1" si="1031"/>
        <v>0</v>
      </c>
      <c r="AV878" s="10">
        <f t="shared" ca="1" si="1031"/>
        <v>0</v>
      </c>
      <c r="AW878" s="10">
        <f t="shared" ca="1" si="1031"/>
        <v>0</v>
      </c>
      <c r="AX878" s="10">
        <f t="shared" ca="1" si="1031"/>
        <v>0</v>
      </c>
      <c r="AY878" s="10">
        <f t="shared" ca="1" si="1031"/>
        <v>0</v>
      </c>
      <c r="AZ878" s="10">
        <f t="shared" ca="1" si="1031"/>
        <v>0</v>
      </c>
      <c r="BA878" s="10">
        <f t="shared" ca="1" si="1031"/>
        <v>0</v>
      </c>
      <c r="BB878" s="10">
        <f t="shared" ca="1" si="1031"/>
        <v>0</v>
      </c>
      <c r="BC878" s="10">
        <f t="shared" ca="1" si="1031"/>
        <v>0</v>
      </c>
      <c r="BD878" s="10">
        <f t="shared" ca="1" si="1031"/>
        <v>0</v>
      </c>
      <c r="BE878" s="10">
        <f t="shared" ca="1" si="1031"/>
        <v>0</v>
      </c>
      <c r="BF878" s="10">
        <f t="shared" ca="1" si="1031"/>
        <v>0</v>
      </c>
      <c r="BG878" s="10">
        <f t="shared" ca="1" si="1031"/>
        <v>0</v>
      </c>
      <c r="BH878" s="10">
        <f t="shared" ca="1" si="1031"/>
        <v>0</v>
      </c>
      <c r="BI878" s="10">
        <f t="shared" ca="1" si="1031"/>
        <v>0</v>
      </c>
      <c r="BJ878" s="10">
        <f t="shared" ca="1" si="1031"/>
        <v>0</v>
      </c>
      <c r="BK878" s="10">
        <f t="shared" ca="1" si="1031"/>
        <v>0</v>
      </c>
      <c r="BL878" s="10">
        <f t="shared" ca="1" si="1031"/>
        <v>0</v>
      </c>
      <c r="BM878" s="10">
        <f t="shared" ca="1" si="1031"/>
        <v>0</v>
      </c>
      <c r="BN878" s="10">
        <f t="shared" ca="1" si="1031"/>
        <v>0</v>
      </c>
      <c r="BO878" s="10">
        <f t="shared" ca="1" si="1031"/>
        <v>0</v>
      </c>
      <c r="BP878" s="10">
        <f t="shared" ca="1" si="1031"/>
        <v>0</v>
      </c>
      <c r="BQ878" s="10">
        <f t="shared" ca="1" si="1031"/>
        <v>0</v>
      </c>
      <c r="BR878" s="10">
        <f t="shared" ca="1" si="1031"/>
        <v>0</v>
      </c>
      <c r="BS878" s="10">
        <f t="shared" ca="1" si="1031"/>
        <v>0</v>
      </c>
      <c r="BT878" s="10">
        <f t="shared" ca="1" si="1031"/>
        <v>0</v>
      </c>
      <c r="BU878" s="10">
        <f t="shared" ca="1" si="1031"/>
        <v>0</v>
      </c>
      <c r="BV878" s="10">
        <f t="shared" ca="1" si="1031"/>
        <v>0</v>
      </c>
      <c r="BW878" s="10">
        <f t="shared" ca="1" si="1031"/>
        <v>0</v>
      </c>
      <c r="BX878" s="10">
        <f t="shared" ref="BX878:CO878" ca="1" si="1032" xml:space="preserve"> $E854 * CPI_Accumulated_From_Date * (Period_length) * BX$50 * $I$699</f>
        <v>0</v>
      </c>
      <c r="BY878" s="10">
        <f t="shared" ca="1" si="1032"/>
        <v>0</v>
      </c>
      <c r="BZ878" s="10">
        <f t="shared" ca="1" si="1032"/>
        <v>0</v>
      </c>
      <c r="CA878" s="10">
        <f t="shared" ca="1" si="1032"/>
        <v>0</v>
      </c>
      <c r="CB878" s="10">
        <f t="shared" ca="1" si="1032"/>
        <v>0</v>
      </c>
      <c r="CC878" s="10">
        <f t="shared" ca="1" si="1032"/>
        <v>0</v>
      </c>
      <c r="CD878" s="10">
        <f t="shared" ca="1" si="1032"/>
        <v>0</v>
      </c>
      <c r="CE878" s="10">
        <f t="shared" ca="1" si="1032"/>
        <v>0</v>
      </c>
      <c r="CF878" s="10">
        <f t="shared" ca="1" si="1032"/>
        <v>0</v>
      </c>
      <c r="CG878" s="10">
        <f t="shared" ca="1" si="1032"/>
        <v>0</v>
      </c>
      <c r="CH878" s="10">
        <f t="shared" ca="1" si="1032"/>
        <v>0</v>
      </c>
      <c r="CI878" s="10">
        <f t="shared" ca="1" si="1032"/>
        <v>0</v>
      </c>
      <c r="CJ878" s="10">
        <f t="shared" ca="1" si="1032"/>
        <v>0</v>
      </c>
      <c r="CK878" s="10">
        <f t="shared" ca="1" si="1032"/>
        <v>0</v>
      </c>
      <c r="CL878" s="10">
        <f t="shared" ca="1" si="1032"/>
        <v>0</v>
      </c>
      <c r="CM878" s="10">
        <f t="shared" ca="1" si="1032"/>
        <v>0</v>
      </c>
      <c r="CN878" s="10">
        <f t="shared" ca="1" si="1032"/>
        <v>0</v>
      </c>
      <c r="CO878" s="10">
        <f t="shared" ca="1" si="1032"/>
        <v>0</v>
      </c>
    </row>
    <row r="879" spans="1:93" ht="15.75" thickTop="1">
      <c r="B879" s="101"/>
      <c r="C879" s="49" t="str">
        <f xml:space="preserve"> "Итого: эксплуатационные расходы " &amp; C36 &amp; " в прогнозных ценах без НДС"</f>
        <v>Итого: эксплуатационные расходы Развлекательный комплекс в прогнозных ценах без НДС</v>
      </c>
      <c r="D879" s="49"/>
      <c r="E879" s="136"/>
      <c r="F879" s="49"/>
      <c r="G879" s="159" t="str">
        <f xml:space="preserve"> Monetary_Unit</f>
        <v>тыс. руб.</v>
      </c>
      <c r="H879" s="49"/>
      <c r="I879" s="23">
        <f t="shared" ca="1" si="1017"/>
        <v>0</v>
      </c>
      <c r="J879" s="49"/>
      <c r="K879" s="49"/>
      <c r="L879" s="49">
        <f t="shared" ref="L879:AQ879" ca="1" si="1033">SUM(L859:L866,L869:L871,L874:L878)</f>
        <v>0</v>
      </c>
      <c r="M879" s="49">
        <f t="shared" ca="1" si="1033"/>
        <v>0</v>
      </c>
      <c r="N879" s="49">
        <f t="shared" ca="1" si="1033"/>
        <v>0</v>
      </c>
      <c r="O879" s="49">
        <f t="shared" ca="1" si="1033"/>
        <v>0</v>
      </c>
      <c r="P879" s="49">
        <f t="shared" ca="1" si="1033"/>
        <v>0</v>
      </c>
      <c r="Q879" s="49">
        <f t="shared" ca="1" si="1033"/>
        <v>0</v>
      </c>
      <c r="R879" s="49">
        <f t="shared" ca="1" si="1033"/>
        <v>0</v>
      </c>
      <c r="S879" s="49">
        <f t="shared" ca="1" si="1033"/>
        <v>0</v>
      </c>
      <c r="T879" s="49">
        <f t="shared" ca="1" si="1033"/>
        <v>0</v>
      </c>
      <c r="U879" s="49">
        <f t="shared" ca="1" si="1033"/>
        <v>0</v>
      </c>
      <c r="V879" s="49">
        <f t="shared" ca="1" si="1033"/>
        <v>0</v>
      </c>
      <c r="W879" s="49">
        <f t="shared" ca="1" si="1033"/>
        <v>0</v>
      </c>
      <c r="X879" s="49">
        <f t="shared" ca="1" si="1033"/>
        <v>0</v>
      </c>
      <c r="Y879" s="49">
        <f t="shared" ca="1" si="1033"/>
        <v>0</v>
      </c>
      <c r="Z879" s="49">
        <f t="shared" ca="1" si="1033"/>
        <v>0</v>
      </c>
      <c r="AA879" s="49">
        <f t="shared" ca="1" si="1033"/>
        <v>0</v>
      </c>
      <c r="AB879" s="49">
        <f t="shared" ca="1" si="1033"/>
        <v>0</v>
      </c>
      <c r="AC879" s="49">
        <f t="shared" ca="1" si="1033"/>
        <v>0</v>
      </c>
      <c r="AD879" s="49">
        <f t="shared" ca="1" si="1033"/>
        <v>0</v>
      </c>
      <c r="AE879" s="49">
        <f t="shared" ca="1" si="1033"/>
        <v>0</v>
      </c>
      <c r="AF879" s="49">
        <f t="shared" ca="1" si="1033"/>
        <v>0</v>
      </c>
      <c r="AG879" s="49">
        <f t="shared" ca="1" si="1033"/>
        <v>0</v>
      </c>
      <c r="AH879" s="49">
        <f t="shared" ca="1" si="1033"/>
        <v>0</v>
      </c>
      <c r="AI879" s="49">
        <f t="shared" ca="1" si="1033"/>
        <v>0</v>
      </c>
      <c r="AJ879" s="49">
        <f t="shared" ca="1" si="1033"/>
        <v>0</v>
      </c>
      <c r="AK879" s="49">
        <f t="shared" ca="1" si="1033"/>
        <v>0</v>
      </c>
      <c r="AL879" s="49">
        <f t="shared" ca="1" si="1033"/>
        <v>0</v>
      </c>
      <c r="AM879" s="49">
        <f t="shared" ca="1" si="1033"/>
        <v>0</v>
      </c>
      <c r="AN879" s="49">
        <f t="shared" ca="1" si="1033"/>
        <v>0</v>
      </c>
      <c r="AO879" s="49">
        <f t="shared" ca="1" si="1033"/>
        <v>0</v>
      </c>
      <c r="AP879" s="49">
        <f t="shared" ca="1" si="1033"/>
        <v>0</v>
      </c>
      <c r="AQ879" s="49">
        <f t="shared" ca="1" si="1033"/>
        <v>0</v>
      </c>
      <c r="AR879" s="49">
        <f t="shared" ref="AR879:BW879" ca="1" si="1034">SUM(AR859:AR866,AR869:AR871,AR874:AR878)</f>
        <v>0</v>
      </c>
      <c r="AS879" s="49">
        <f t="shared" ca="1" si="1034"/>
        <v>0</v>
      </c>
      <c r="AT879" s="49">
        <f t="shared" ca="1" si="1034"/>
        <v>0</v>
      </c>
      <c r="AU879" s="49">
        <f t="shared" ca="1" si="1034"/>
        <v>0</v>
      </c>
      <c r="AV879" s="49">
        <f t="shared" ca="1" si="1034"/>
        <v>0</v>
      </c>
      <c r="AW879" s="49">
        <f t="shared" ca="1" si="1034"/>
        <v>0</v>
      </c>
      <c r="AX879" s="49">
        <f t="shared" ca="1" si="1034"/>
        <v>0</v>
      </c>
      <c r="AY879" s="49">
        <f t="shared" ca="1" si="1034"/>
        <v>0</v>
      </c>
      <c r="AZ879" s="49">
        <f t="shared" ca="1" si="1034"/>
        <v>0</v>
      </c>
      <c r="BA879" s="49">
        <f t="shared" ca="1" si="1034"/>
        <v>0</v>
      </c>
      <c r="BB879" s="49">
        <f t="shared" ca="1" si="1034"/>
        <v>0</v>
      </c>
      <c r="BC879" s="49">
        <f t="shared" ca="1" si="1034"/>
        <v>0</v>
      </c>
      <c r="BD879" s="49">
        <f t="shared" ca="1" si="1034"/>
        <v>0</v>
      </c>
      <c r="BE879" s="49">
        <f t="shared" ca="1" si="1034"/>
        <v>0</v>
      </c>
      <c r="BF879" s="49">
        <f t="shared" ca="1" si="1034"/>
        <v>0</v>
      </c>
      <c r="BG879" s="49">
        <f t="shared" ca="1" si="1034"/>
        <v>0</v>
      </c>
      <c r="BH879" s="49">
        <f t="shared" ca="1" si="1034"/>
        <v>0</v>
      </c>
      <c r="BI879" s="49">
        <f t="shared" ca="1" si="1034"/>
        <v>0</v>
      </c>
      <c r="BJ879" s="49">
        <f t="shared" ca="1" si="1034"/>
        <v>0</v>
      </c>
      <c r="BK879" s="49">
        <f t="shared" ca="1" si="1034"/>
        <v>0</v>
      </c>
      <c r="BL879" s="49">
        <f t="shared" ca="1" si="1034"/>
        <v>0</v>
      </c>
      <c r="BM879" s="49">
        <f t="shared" ca="1" si="1034"/>
        <v>0</v>
      </c>
      <c r="BN879" s="49">
        <f t="shared" ca="1" si="1034"/>
        <v>0</v>
      </c>
      <c r="BO879" s="49">
        <f t="shared" ca="1" si="1034"/>
        <v>0</v>
      </c>
      <c r="BP879" s="49">
        <f t="shared" ca="1" si="1034"/>
        <v>0</v>
      </c>
      <c r="BQ879" s="49">
        <f t="shared" ca="1" si="1034"/>
        <v>0</v>
      </c>
      <c r="BR879" s="49">
        <f t="shared" ca="1" si="1034"/>
        <v>0</v>
      </c>
      <c r="BS879" s="49">
        <f t="shared" ca="1" si="1034"/>
        <v>0</v>
      </c>
      <c r="BT879" s="49">
        <f t="shared" ca="1" si="1034"/>
        <v>0</v>
      </c>
      <c r="BU879" s="49">
        <f t="shared" ca="1" si="1034"/>
        <v>0</v>
      </c>
      <c r="BV879" s="49">
        <f t="shared" ca="1" si="1034"/>
        <v>0</v>
      </c>
      <c r="BW879" s="49">
        <f t="shared" ca="1" si="1034"/>
        <v>0</v>
      </c>
      <c r="BX879" s="49">
        <f t="shared" ref="BX879:CO879" ca="1" si="1035">SUM(BX859:BX866,BX869:BX871,BX874:BX878)</f>
        <v>0</v>
      </c>
      <c r="BY879" s="49">
        <f t="shared" ca="1" si="1035"/>
        <v>0</v>
      </c>
      <c r="BZ879" s="49">
        <f t="shared" ca="1" si="1035"/>
        <v>0</v>
      </c>
      <c r="CA879" s="49">
        <f t="shared" ca="1" si="1035"/>
        <v>0</v>
      </c>
      <c r="CB879" s="49">
        <f t="shared" ca="1" si="1035"/>
        <v>0</v>
      </c>
      <c r="CC879" s="49">
        <f t="shared" ca="1" si="1035"/>
        <v>0</v>
      </c>
      <c r="CD879" s="49">
        <f t="shared" ca="1" si="1035"/>
        <v>0</v>
      </c>
      <c r="CE879" s="49">
        <f t="shared" ca="1" si="1035"/>
        <v>0</v>
      </c>
      <c r="CF879" s="49">
        <f t="shared" ca="1" si="1035"/>
        <v>0</v>
      </c>
      <c r="CG879" s="49">
        <f t="shared" ca="1" si="1035"/>
        <v>0</v>
      </c>
      <c r="CH879" s="49">
        <f t="shared" ca="1" si="1035"/>
        <v>0</v>
      </c>
      <c r="CI879" s="49">
        <f t="shared" ca="1" si="1035"/>
        <v>0</v>
      </c>
      <c r="CJ879" s="49">
        <f t="shared" ca="1" si="1035"/>
        <v>0</v>
      </c>
      <c r="CK879" s="49">
        <f t="shared" ca="1" si="1035"/>
        <v>0</v>
      </c>
      <c r="CL879" s="49">
        <f t="shared" ca="1" si="1035"/>
        <v>0</v>
      </c>
      <c r="CM879" s="49">
        <f t="shared" ca="1" si="1035"/>
        <v>0</v>
      </c>
      <c r="CN879" s="49">
        <f t="shared" ca="1" si="1035"/>
        <v>0</v>
      </c>
      <c r="CO879" s="49">
        <f t="shared" ca="1" si="1035"/>
        <v>0</v>
      </c>
    </row>
    <row r="880" spans="1:93">
      <c r="A880" s="10"/>
      <c r="B880" s="10"/>
      <c r="C880" s="10"/>
      <c r="D880" s="10"/>
      <c r="E880" s="10"/>
      <c r="F880" s="10"/>
      <c r="G880" s="11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  <c r="BA880" s="10"/>
      <c r="BB880" s="10"/>
      <c r="BC880" s="10"/>
      <c r="BD880" s="10"/>
      <c r="BE880" s="10"/>
      <c r="BF880" s="10"/>
      <c r="BG880" s="10"/>
      <c r="BH880" s="10"/>
      <c r="BI880" s="10"/>
      <c r="BJ880" s="10"/>
      <c r="BK880" s="10"/>
      <c r="BL880" s="10"/>
      <c r="BM880" s="10"/>
      <c r="BN880" s="10"/>
      <c r="BO880" s="10"/>
      <c r="BP880" s="10"/>
      <c r="BQ880" s="10"/>
      <c r="BR880" s="10"/>
      <c r="BS880" s="10"/>
      <c r="BT880" s="10"/>
      <c r="BU880" s="10"/>
      <c r="BV880" s="10"/>
      <c r="BW880" s="10"/>
      <c r="BX880" s="10"/>
      <c r="BY880" s="10"/>
      <c r="BZ880" s="10"/>
      <c r="CA880" s="10"/>
      <c r="CB880" s="10"/>
      <c r="CC880" s="10"/>
      <c r="CD880" s="10"/>
      <c r="CE880" s="10"/>
      <c r="CF880" s="10"/>
      <c r="CG880" s="10"/>
      <c r="CH880" s="10"/>
      <c r="CI880" s="10"/>
      <c r="CJ880" s="10"/>
      <c r="CK880" s="10"/>
      <c r="CL880" s="10"/>
      <c r="CM880" s="10"/>
      <c r="CN880" s="10"/>
      <c r="CO880" s="10"/>
    </row>
    <row r="881" spans="1:93" ht="15" customHeight="1">
      <c r="A881" s="10"/>
      <c r="B881" s="3"/>
      <c r="C881" s="382" t="str">
        <f>C694</f>
        <v>Сегмент 3: Крытый парк развлечений</v>
      </c>
      <c r="D881" s="271"/>
      <c r="E881" s="271"/>
      <c r="F881" s="271"/>
      <c r="G881" s="272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  <c r="CA881" s="271"/>
      <c r="CB881" s="271"/>
      <c r="CC881" s="271"/>
      <c r="CD881" s="271"/>
      <c r="CE881" s="271"/>
      <c r="CF881" s="271"/>
      <c r="CG881" s="271"/>
      <c r="CH881" s="271"/>
      <c r="CI881" s="271"/>
      <c r="CJ881" s="271"/>
      <c r="CK881" s="271"/>
      <c r="CL881" s="271"/>
      <c r="CM881" s="271"/>
      <c r="CN881" s="271"/>
      <c r="CO881" s="271"/>
    </row>
    <row r="882" spans="1:93">
      <c r="A882" s="10"/>
      <c r="B882" s="10"/>
      <c r="C882" s="10"/>
      <c r="D882" s="10"/>
      <c r="E882" s="10"/>
      <c r="F882" s="10"/>
      <c r="G882" s="11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  <c r="BA882" s="10"/>
      <c r="BB882" s="10"/>
      <c r="BC882" s="10"/>
      <c r="BD882" s="10"/>
      <c r="BE882" s="10"/>
      <c r="BF882" s="10"/>
      <c r="BG882" s="10"/>
      <c r="BH882" s="10"/>
      <c r="BI882" s="10"/>
      <c r="BJ882" s="10"/>
      <c r="BK882" s="10"/>
      <c r="BL882" s="10"/>
      <c r="BM882" s="10"/>
      <c r="BN882" s="10"/>
      <c r="BO882" s="10"/>
      <c r="BP882" s="10"/>
      <c r="BQ882" s="10"/>
      <c r="BR882" s="10"/>
      <c r="BS882" s="10"/>
      <c r="BT882" s="10"/>
      <c r="BU882" s="10"/>
      <c r="BV882" s="10"/>
      <c r="BW882" s="10"/>
      <c r="BX882" s="10"/>
      <c r="BY882" s="10"/>
      <c r="BZ882" s="10"/>
      <c r="CA882" s="10"/>
      <c r="CB882" s="10"/>
      <c r="CC882" s="10"/>
      <c r="CD882" s="10"/>
      <c r="CE882" s="10"/>
      <c r="CF882" s="10"/>
      <c r="CG882" s="10"/>
      <c r="CH882" s="10"/>
      <c r="CI882" s="10"/>
      <c r="CJ882" s="10"/>
      <c r="CK882" s="10"/>
      <c r="CL882" s="10"/>
      <c r="CM882" s="10"/>
      <c r="CN882" s="10"/>
      <c r="CO882" s="10"/>
    </row>
    <row r="883" spans="1:93" ht="16.5" thickBot="1">
      <c r="A883" s="10"/>
      <c r="B883" s="10"/>
      <c r="C883" s="12" t="s">
        <v>888</v>
      </c>
      <c r="D883" s="12"/>
      <c r="E883" s="12"/>
      <c r="F883" s="12"/>
      <c r="G883" s="360"/>
      <c r="H883" s="12"/>
      <c r="I883" s="12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  <c r="BA883" s="10"/>
      <c r="BB883" s="10"/>
      <c r="BC883" s="10"/>
      <c r="BD883" s="10"/>
      <c r="BE883" s="10"/>
      <c r="BF883" s="10"/>
      <c r="BG883" s="10"/>
      <c r="BH883" s="10"/>
      <c r="BI883" s="10"/>
      <c r="BJ883" s="10"/>
      <c r="BK883" s="10"/>
      <c r="BL883" s="10"/>
      <c r="BM883" s="10"/>
      <c r="BN883" s="10"/>
      <c r="BO883" s="10"/>
      <c r="BP883" s="10"/>
      <c r="BQ883" s="10"/>
      <c r="BR883" s="10"/>
      <c r="BS883" s="10"/>
      <c r="BT883" s="10"/>
      <c r="BU883" s="10"/>
      <c r="BV883" s="10"/>
      <c r="BW883" s="10"/>
      <c r="BX883" s="10"/>
      <c r="BY883" s="10"/>
      <c r="BZ883" s="10"/>
      <c r="CA883" s="10"/>
      <c r="CB883" s="10"/>
      <c r="CC883" s="10"/>
      <c r="CD883" s="10"/>
      <c r="CE883" s="10"/>
      <c r="CF883" s="10"/>
      <c r="CG883" s="10"/>
      <c r="CH883" s="10"/>
      <c r="CI883" s="10"/>
      <c r="CJ883" s="10"/>
      <c r="CK883" s="10"/>
      <c r="CL883" s="10"/>
      <c r="CM883" s="10"/>
      <c r="CN883" s="10"/>
      <c r="CO883" s="10"/>
    </row>
    <row r="884" spans="1:93">
      <c r="A884" s="10"/>
      <c r="B884" s="10"/>
      <c r="C884" s="10"/>
      <c r="D884" s="10"/>
      <c r="E884" s="10"/>
      <c r="F884" s="10"/>
      <c r="G884" s="11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  <c r="BA884" s="10"/>
      <c r="BB884" s="10"/>
      <c r="BC884" s="10"/>
      <c r="BD884" s="10"/>
      <c r="BE884" s="10"/>
      <c r="BF884" s="10"/>
      <c r="BG884" s="10"/>
      <c r="BH884" s="10"/>
      <c r="BI884" s="10"/>
      <c r="BJ884" s="10"/>
      <c r="BK884" s="10"/>
      <c r="BL884" s="10"/>
      <c r="BM884" s="10"/>
      <c r="BN884" s="10"/>
      <c r="BO884" s="10"/>
      <c r="BP884" s="10"/>
      <c r="BQ884" s="10"/>
      <c r="BR884" s="10"/>
      <c r="BS884" s="10"/>
      <c r="BT884" s="10"/>
      <c r="BU884" s="10"/>
      <c r="BV884" s="10"/>
      <c r="BW884" s="10"/>
      <c r="BX884" s="10"/>
      <c r="BY884" s="10"/>
      <c r="BZ884" s="10"/>
      <c r="CA884" s="10"/>
      <c r="CB884" s="10"/>
      <c r="CC884" s="10"/>
      <c r="CD884" s="10"/>
      <c r="CE884" s="10"/>
      <c r="CF884" s="10"/>
      <c r="CG884" s="10"/>
      <c r="CH884" s="10"/>
      <c r="CI884" s="10"/>
      <c r="CJ884" s="10"/>
      <c r="CK884" s="10"/>
      <c r="CL884" s="10"/>
      <c r="CM884" s="10"/>
      <c r="CN884" s="10"/>
      <c r="CO884" s="10"/>
    </row>
    <row r="885" spans="1:93">
      <c r="A885" s="10"/>
      <c r="B885" s="10"/>
      <c r="C885" s="10" t="s">
        <v>896</v>
      </c>
      <c r="D885" s="10"/>
      <c r="E885" s="178"/>
      <c r="F885" s="3"/>
      <c r="G885" s="142" t="s">
        <v>716</v>
      </c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  <c r="BA885" s="10"/>
      <c r="BB885" s="10"/>
      <c r="BC885" s="10"/>
      <c r="BD885" s="10"/>
      <c r="BE885" s="10"/>
      <c r="BF885" s="10"/>
      <c r="BG885" s="10"/>
      <c r="BH885" s="10"/>
      <c r="BI885" s="10"/>
      <c r="BJ885" s="10"/>
      <c r="BK885" s="10"/>
      <c r="BL885" s="10"/>
      <c r="BM885" s="10"/>
      <c r="BN885" s="10"/>
      <c r="BO885" s="10"/>
      <c r="BP885" s="10"/>
      <c r="BQ885" s="10"/>
      <c r="BR885" s="10"/>
      <c r="BS885" s="10"/>
      <c r="BT885" s="10"/>
      <c r="BU885" s="10"/>
      <c r="BV885" s="10"/>
      <c r="BW885" s="10"/>
      <c r="BX885" s="10"/>
      <c r="BY885" s="10"/>
      <c r="BZ885" s="10"/>
      <c r="CA885" s="10"/>
      <c r="CB885" s="10"/>
      <c r="CC885" s="10"/>
      <c r="CD885" s="10"/>
      <c r="CE885" s="10"/>
      <c r="CF885" s="10"/>
      <c r="CG885" s="10"/>
      <c r="CH885" s="10"/>
      <c r="CI885" s="10"/>
      <c r="CJ885" s="10"/>
      <c r="CK885" s="10"/>
      <c r="CL885" s="10"/>
      <c r="CM885" s="10"/>
      <c r="CN885" s="10"/>
      <c r="CO885" s="10"/>
    </row>
    <row r="886" spans="1:93">
      <c r="A886" s="10"/>
      <c r="B886" s="10"/>
      <c r="C886" s="10"/>
      <c r="D886" s="10"/>
      <c r="E886" s="10"/>
      <c r="F886" s="10"/>
      <c r="G886" s="11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  <c r="BA886" s="10"/>
      <c r="BB886" s="10"/>
      <c r="BC886" s="10"/>
      <c r="BD886" s="10"/>
      <c r="BE886" s="10"/>
      <c r="BF886" s="10"/>
      <c r="BG886" s="10"/>
      <c r="BH886" s="10"/>
      <c r="BI886" s="10"/>
      <c r="BJ886" s="10"/>
      <c r="BK886" s="10"/>
      <c r="BL886" s="10"/>
      <c r="BM886" s="10"/>
      <c r="BN886" s="10"/>
      <c r="BO886" s="10"/>
      <c r="BP886" s="10"/>
      <c r="BQ886" s="10"/>
      <c r="BR886" s="10"/>
      <c r="BS886" s="10"/>
      <c r="BT886" s="10"/>
      <c r="BU886" s="10"/>
      <c r="BV886" s="10"/>
      <c r="BW886" s="10"/>
      <c r="BX886" s="10"/>
      <c r="BY886" s="10"/>
      <c r="BZ886" s="10"/>
      <c r="CA886" s="10"/>
      <c r="CB886" s="10"/>
      <c r="CC886" s="10"/>
      <c r="CD886" s="10"/>
      <c r="CE886" s="10"/>
      <c r="CF886" s="10"/>
      <c r="CG886" s="10"/>
      <c r="CH886" s="10"/>
      <c r="CI886" s="10"/>
      <c r="CJ886" s="10"/>
      <c r="CK886" s="10"/>
      <c r="CL886" s="10"/>
      <c r="CM886" s="10"/>
      <c r="CN886" s="10"/>
      <c r="CO886" s="10"/>
    </row>
    <row r="887" spans="1:93" ht="16.5" thickBot="1">
      <c r="A887" s="10"/>
      <c r="B887" s="10"/>
      <c r="C887" s="12" t="s">
        <v>871</v>
      </c>
      <c r="D887" s="12"/>
      <c r="E887" s="12"/>
      <c r="F887" s="12"/>
      <c r="G887" s="360"/>
      <c r="H887" s="12"/>
      <c r="I887" s="12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  <c r="BA887" s="10"/>
      <c r="BB887" s="10"/>
      <c r="BC887" s="10"/>
      <c r="BD887" s="10"/>
      <c r="BE887" s="10"/>
      <c r="BF887" s="10"/>
      <c r="BG887" s="10"/>
      <c r="BH887" s="10"/>
      <c r="BI887" s="10"/>
      <c r="BJ887" s="10"/>
      <c r="BK887" s="10"/>
      <c r="BL887" s="10"/>
      <c r="BM887" s="10"/>
      <c r="BN887" s="10"/>
      <c r="BO887" s="10"/>
      <c r="BP887" s="10"/>
      <c r="BQ887" s="10"/>
      <c r="BR887" s="10"/>
      <c r="BS887" s="10"/>
      <c r="BT887" s="10"/>
      <c r="BU887" s="10"/>
      <c r="BV887" s="10"/>
      <c r="BW887" s="10"/>
      <c r="BX887" s="10"/>
      <c r="BY887" s="10"/>
      <c r="BZ887" s="10"/>
      <c r="CA887" s="10"/>
      <c r="CB887" s="10"/>
      <c r="CC887" s="10"/>
      <c r="CD887" s="10"/>
      <c r="CE887" s="10"/>
      <c r="CF887" s="10"/>
      <c r="CG887" s="10"/>
      <c r="CH887" s="10"/>
      <c r="CI887" s="10"/>
      <c r="CJ887" s="10"/>
      <c r="CK887" s="10"/>
      <c r="CL887" s="10"/>
      <c r="CM887" s="10"/>
      <c r="CN887" s="10"/>
      <c r="CO887" s="10"/>
    </row>
    <row r="888" spans="1:93">
      <c r="A888" s="10"/>
      <c r="B888" s="10"/>
      <c r="C888" s="10"/>
      <c r="D888" s="10"/>
      <c r="E888" s="10"/>
      <c r="F888" s="10"/>
      <c r="G888" s="11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  <c r="BA888" s="10"/>
      <c r="BB888" s="10"/>
      <c r="BC888" s="10"/>
      <c r="BD888" s="10"/>
      <c r="BE888" s="10"/>
      <c r="BF888" s="10"/>
      <c r="BG888" s="10"/>
      <c r="BH888" s="10"/>
      <c r="BI888" s="10"/>
      <c r="BJ888" s="10"/>
      <c r="BK888" s="10"/>
      <c r="BL888" s="10"/>
      <c r="BM888" s="10"/>
      <c r="BN888" s="10"/>
      <c r="BO888" s="10"/>
      <c r="BP888" s="10"/>
      <c r="BQ888" s="10"/>
      <c r="BR888" s="10"/>
      <c r="BS888" s="10"/>
      <c r="BT888" s="10"/>
      <c r="BU888" s="10"/>
      <c r="BV888" s="10"/>
      <c r="BW888" s="10"/>
      <c r="BX888" s="10"/>
      <c r="BY888" s="10"/>
      <c r="BZ888" s="10"/>
      <c r="CA888" s="10"/>
      <c r="CB888" s="10"/>
      <c r="CC888" s="10"/>
      <c r="CD888" s="10"/>
      <c r="CE888" s="10"/>
      <c r="CF888" s="10"/>
      <c r="CG888" s="10"/>
      <c r="CH888" s="10"/>
      <c r="CI888" s="10"/>
      <c r="CJ888" s="10"/>
      <c r="CK888" s="10"/>
      <c r="CL888" s="10"/>
      <c r="CM888" s="10"/>
      <c r="CN888" s="10"/>
      <c r="CO888" s="10"/>
    </row>
    <row r="889" spans="1:93">
      <c r="A889" s="10"/>
      <c r="B889" s="10"/>
      <c r="C889" s="17" t="s">
        <v>897</v>
      </c>
      <c r="D889" s="10"/>
      <c r="E889" s="10"/>
      <c r="F889" s="10"/>
      <c r="G889" s="11" t="str">
        <f>Monetary_Unit</f>
        <v>тыс. руб.</v>
      </c>
      <c r="H889" s="10"/>
      <c r="I889" s="23">
        <f ca="1">SUM(L889:CO889)</f>
        <v>0</v>
      </c>
      <c r="J889" s="10"/>
      <c r="K889" s="10"/>
      <c r="L889" s="10">
        <f t="shared" ref="L889:AQ889" ca="1" si="1036" xml:space="preserve"> IF($I$516, L680 / $I$516, 0)</f>
        <v>0</v>
      </c>
      <c r="M889" s="10">
        <f t="shared" ca="1" si="1036"/>
        <v>0</v>
      </c>
      <c r="N889" s="10">
        <f t="shared" ca="1" si="1036"/>
        <v>0</v>
      </c>
      <c r="O889" s="10">
        <f t="shared" ca="1" si="1036"/>
        <v>0</v>
      </c>
      <c r="P889" s="10">
        <f t="shared" ca="1" si="1036"/>
        <v>0</v>
      </c>
      <c r="Q889" s="10">
        <f t="shared" ca="1" si="1036"/>
        <v>0</v>
      </c>
      <c r="R889" s="10">
        <f t="shared" ca="1" si="1036"/>
        <v>0</v>
      </c>
      <c r="S889" s="10">
        <f t="shared" ca="1" si="1036"/>
        <v>0</v>
      </c>
      <c r="T889" s="10">
        <f t="shared" ca="1" si="1036"/>
        <v>0</v>
      </c>
      <c r="U889" s="10">
        <f t="shared" ca="1" si="1036"/>
        <v>0</v>
      </c>
      <c r="V889" s="10">
        <f t="shared" ca="1" si="1036"/>
        <v>0</v>
      </c>
      <c r="W889" s="10">
        <f t="shared" ca="1" si="1036"/>
        <v>0</v>
      </c>
      <c r="X889" s="10">
        <f t="shared" ca="1" si="1036"/>
        <v>0</v>
      </c>
      <c r="Y889" s="10">
        <f t="shared" ca="1" si="1036"/>
        <v>0</v>
      </c>
      <c r="Z889" s="10">
        <f t="shared" ca="1" si="1036"/>
        <v>0</v>
      </c>
      <c r="AA889" s="10">
        <f t="shared" ca="1" si="1036"/>
        <v>0</v>
      </c>
      <c r="AB889" s="10">
        <f t="shared" ca="1" si="1036"/>
        <v>0</v>
      </c>
      <c r="AC889" s="10">
        <f t="shared" ca="1" si="1036"/>
        <v>0</v>
      </c>
      <c r="AD889" s="10">
        <f t="shared" ca="1" si="1036"/>
        <v>0</v>
      </c>
      <c r="AE889" s="10">
        <f t="shared" ca="1" si="1036"/>
        <v>0</v>
      </c>
      <c r="AF889" s="10">
        <f t="shared" ca="1" si="1036"/>
        <v>0</v>
      </c>
      <c r="AG889" s="10">
        <f t="shared" ca="1" si="1036"/>
        <v>0</v>
      </c>
      <c r="AH889" s="10">
        <f t="shared" ca="1" si="1036"/>
        <v>0</v>
      </c>
      <c r="AI889" s="10">
        <f t="shared" ca="1" si="1036"/>
        <v>0</v>
      </c>
      <c r="AJ889" s="10">
        <f t="shared" ca="1" si="1036"/>
        <v>0</v>
      </c>
      <c r="AK889" s="10">
        <f t="shared" ca="1" si="1036"/>
        <v>0</v>
      </c>
      <c r="AL889" s="10">
        <f t="shared" ca="1" si="1036"/>
        <v>0</v>
      </c>
      <c r="AM889" s="10">
        <f t="shared" ca="1" si="1036"/>
        <v>0</v>
      </c>
      <c r="AN889" s="10">
        <f t="shared" ca="1" si="1036"/>
        <v>0</v>
      </c>
      <c r="AO889" s="10">
        <f t="shared" ca="1" si="1036"/>
        <v>0</v>
      </c>
      <c r="AP889" s="10">
        <f t="shared" ca="1" si="1036"/>
        <v>0</v>
      </c>
      <c r="AQ889" s="10">
        <f t="shared" ca="1" si="1036"/>
        <v>0</v>
      </c>
      <c r="AR889" s="10">
        <f t="shared" ref="AR889:BW889" ca="1" si="1037" xml:space="preserve"> IF($I$516, AR680 / $I$516, 0)</f>
        <v>0</v>
      </c>
      <c r="AS889" s="10">
        <f t="shared" ca="1" si="1037"/>
        <v>0</v>
      </c>
      <c r="AT889" s="10">
        <f t="shared" ca="1" si="1037"/>
        <v>0</v>
      </c>
      <c r="AU889" s="10">
        <f t="shared" ca="1" si="1037"/>
        <v>0</v>
      </c>
      <c r="AV889" s="10">
        <f t="shared" ca="1" si="1037"/>
        <v>0</v>
      </c>
      <c r="AW889" s="10">
        <f t="shared" ca="1" si="1037"/>
        <v>0</v>
      </c>
      <c r="AX889" s="10">
        <f t="shared" ca="1" si="1037"/>
        <v>0</v>
      </c>
      <c r="AY889" s="10">
        <f t="shared" ca="1" si="1037"/>
        <v>0</v>
      </c>
      <c r="AZ889" s="10">
        <f t="shared" ca="1" si="1037"/>
        <v>0</v>
      </c>
      <c r="BA889" s="10">
        <f t="shared" ca="1" si="1037"/>
        <v>0</v>
      </c>
      <c r="BB889" s="10">
        <f t="shared" ca="1" si="1037"/>
        <v>0</v>
      </c>
      <c r="BC889" s="10">
        <f t="shared" ca="1" si="1037"/>
        <v>0</v>
      </c>
      <c r="BD889" s="10">
        <f t="shared" ca="1" si="1037"/>
        <v>0</v>
      </c>
      <c r="BE889" s="10">
        <f t="shared" ca="1" si="1037"/>
        <v>0</v>
      </c>
      <c r="BF889" s="10">
        <f t="shared" ca="1" si="1037"/>
        <v>0</v>
      </c>
      <c r="BG889" s="10">
        <f t="shared" ca="1" si="1037"/>
        <v>0</v>
      </c>
      <c r="BH889" s="10">
        <f t="shared" ca="1" si="1037"/>
        <v>0</v>
      </c>
      <c r="BI889" s="10">
        <f t="shared" ca="1" si="1037"/>
        <v>0</v>
      </c>
      <c r="BJ889" s="10">
        <f t="shared" ca="1" si="1037"/>
        <v>0</v>
      </c>
      <c r="BK889" s="10">
        <f t="shared" ca="1" si="1037"/>
        <v>0</v>
      </c>
      <c r="BL889" s="10">
        <f t="shared" ca="1" si="1037"/>
        <v>0</v>
      </c>
      <c r="BM889" s="10">
        <f t="shared" ca="1" si="1037"/>
        <v>0</v>
      </c>
      <c r="BN889" s="10">
        <f t="shared" ca="1" si="1037"/>
        <v>0</v>
      </c>
      <c r="BO889" s="10">
        <f t="shared" ca="1" si="1037"/>
        <v>0</v>
      </c>
      <c r="BP889" s="10">
        <f t="shared" ca="1" si="1037"/>
        <v>0</v>
      </c>
      <c r="BQ889" s="10">
        <f t="shared" ca="1" si="1037"/>
        <v>0</v>
      </c>
      <c r="BR889" s="10">
        <f t="shared" ca="1" si="1037"/>
        <v>0</v>
      </c>
      <c r="BS889" s="10">
        <f t="shared" ca="1" si="1037"/>
        <v>0</v>
      </c>
      <c r="BT889" s="10">
        <f t="shared" ca="1" si="1037"/>
        <v>0</v>
      </c>
      <c r="BU889" s="10">
        <f t="shared" ca="1" si="1037"/>
        <v>0</v>
      </c>
      <c r="BV889" s="10">
        <f t="shared" ca="1" si="1037"/>
        <v>0</v>
      </c>
      <c r="BW889" s="10">
        <f t="shared" ca="1" si="1037"/>
        <v>0</v>
      </c>
      <c r="BX889" s="10">
        <f t="shared" ref="BX889:CO889" ca="1" si="1038" xml:space="preserve"> IF($I$516, BX680 / $I$516, 0)</f>
        <v>0</v>
      </c>
      <c r="BY889" s="10">
        <f t="shared" ca="1" si="1038"/>
        <v>0</v>
      </c>
      <c r="BZ889" s="10">
        <f t="shared" ca="1" si="1038"/>
        <v>0</v>
      </c>
      <c r="CA889" s="10">
        <f t="shared" ca="1" si="1038"/>
        <v>0</v>
      </c>
      <c r="CB889" s="10">
        <f t="shared" ca="1" si="1038"/>
        <v>0</v>
      </c>
      <c r="CC889" s="10">
        <f t="shared" ca="1" si="1038"/>
        <v>0</v>
      </c>
      <c r="CD889" s="10">
        <f t="shared" ca="1" si="1038"/>
        <v>0</v>
      </c>
      <c r="CE889" s="10">
        <f t="shared" ca="1" si="1038"/>
        <v>0</v>
      </c>
      <c r="CF889" s="10">
        <f t="shared" ca="1" si="1038"/>
        <v>0</v>
      </c>
      <c r="CG889" s="10">
        <f t="shared" ca="1" si="1038"/>
        <v>0</v>
      </c>
      <c r="CH889" s="10">
        <f t="shared" ca="1" si="1038"/>
        <v>0</v>
      </c>
      <c r="CI889" s="10">
        <f t="shared" ca="1" si="1038"/>
        <v>0</v>
      </c>
      <c r="CJ889" s="10">
        <f t="shared" ca="1" si="1038"/>
        <v>0</v>
      </c>
      <c r="CK889" s="10">
        <f t="shared" ca="1" si="1038"/>
        <v>0</v>
      </c>
      <c r="CL889" s="10">
        <f t="shared" ca="1" si="1038"/>
        <v>0</v>
      </c>
      <c r="CM889" s="10">
        <f t="shared" ca="1" si="1038"/>
        <v>0</v>
      </c>
      <c r="CN889" s="10">
        <f t="shared" ca="1" si="1038"/>
        <v>0</v>
      </c>
      <c r="CO889" s="10">
        <f t="shared" ca="1" si="1038"/>
        <v>0</v>
      </c>
    </row>
    <row r="890" spans="1:93" ht="15.75" thickBot="1">
      <c r="A890" s="10"/>
      <c r="B890" s="10"/>
      <c r="C890" s="17" t="s">
        <v>870</v>
      </c>
      <c r="D890" s="10"/>
      <c r="E890" s="10"/>
      <c r="F890" s="10"/>
      <c r="G890" s="11" t="str">
        <f>Monetary_Unit</f>
        <v>тыс. руб.</v>
      </c>
      <c r="H890" s="10"/>
      <c r="I890" s="23">
        <f ca="1">SUM(L890:CO890)</f>
        <v>0</v>
      </c>
      <c r="J890" s="10"/>
      <c r="K890" s="10"/>
      <c r="L890" s="10">
        <f ca="1" xml:space="preserve"> L889 * $E$885 * $I$700</f>
        <v>0</v>
      </c>
      <c r="M890" s="10">
        <f t="shared" ref="M890:BX890" ca="1" si="1039" xml:space="preserve"> M889 * $E$885 * $I$700</f>
        <v>0</v>
      </c>
      <c r="N890" s="10">
        <f t="shared" ca="1" si="1039"/>
        <v>0</v>
      </c>
      <c r="O890" s="10">
        <f t="shared" ca="1" si="1039"/>
        <v>0</v>
      </c>
      <c r="P890" s="10">
        <f t="shared" ca="1" si="1039"/>
        <v>0</v>
      </c>
      <c r="Q890" s="10">
        <f t="shared" ca="1" si="1039"/>
        <v>0</v>
      </c>
      <c r="R890" s="10">
        <f t="shared" ca="1" si="1039"/>
        <v>0</v>
      </c>
      <c r="S890" s="10">
        <f t="shared" ca="1" si="1039"/>
        <v>0</v>
      </c>
      <c r="T890" s="10">
        <f t="shared" ca="1" si="1039"/>
        <v>0</v>
      </c>
      <c r="U890" s="10">
        <f t="shared" ca="1" si="1039"/>
        <v>0</v>
      </c>
      <c r="V890" s="10">
        <f t="shared" ca="1" si="1039"/>
        <v>0</v>
      </c>
      <c r="W890" s="10">
        <f t="shared" ca="1" si="1039"/>
        <v>0</v>
      </c>
      <c r="X890" s="10">
        <f t="shared" ca="1" si="1039"/>
        <v>0</v>
      </c>
      <c r="Y890" s="10">
        <f t="shared" ca="1" si="1039"/>
        <v>0</v>
      </c>
      <c r="Z890" s="10">
        <f t="shared" ca="1" si="1039"/>
        <v>0</v>
      </c>
      <c r="AA890" s="10">
        <f t="shared" ca="1" si="1039"/>
        <v>0</v>
      </c>
      <c r="AB890" s="10">
        <f t="shared" ca="1" si="1039"/>
        <v>0</v>
      </c>
      <c r="AC890" s="10">
        <f t="shared" ca="1" si="1039"/>
        <v>0</v>
      </c>
      <c r="AD890" s="10">
        <f t="shared" ca="1" si="1039"/>
        <v>0</v>
      </c>
      <c r="AE890" s="10">
        <f t="shared" ca="1" si="1039"/>
        <v>0</v>
      </c>
      <c r="AF890" s="10">
        <f t="shared" ca="1" si="1039"/>
        <v>0</v>
      </c>
      <c r="AG890" s="10">
        <f t="shared" ca="1" si="1039"/>
        <v>0</v>
      </c>
      <c r="AH890" s="10">
        <f t="shared" ca="1" si="1039"/>
        <v>0</v>
      </c>
      <c r="AI890" s="10">
        <f t="shared" ca="1" si="1039"/>
        <v>0</v>
      </c>
      <c r="AJ890" s="10">
        <f t="shared" ca="1" si="1039"/>
        <v>0</v>
      </c>
      <c r="AK890" s="10">
        <f t="shared" ca="1" si="1039"/>
        <v>0</v>
      </c>
      <c r="AL890" s="10">
        <f t="shared" ca="1" si="1039"/>
        <v>0</v>
      </c>
      <c r="AM890" s="10">
        <f t="shared" ca="1" si="1039"/>
        <v>0</v>
      </c>
      <c r="AN890" s="10">
        <f t="shared" ca="1" si="1039"/>
        <v>0</v>
      </c>
      <c r="AO890" s="10">
        <f t="shared" ca="1" si="1039"/>
        <v>0</v>
      </c>
      <c r="AP890" s="10">
        <f t="shared" ca="1" si="1039"/>
        <v>0</v>
      </c>
      <c r="AQ890" s="10">
        <f t="shared" ca="1" si="1039"/>
        <v>0</v>
      </c>
      <c r="AR890" s="10">
        <f t="shared" ca="1" si="1039"/>
        <v>0</v>
      </c>
      <c r="AS890" s="10">
        <f t="shared" ca="1" si="1039"/>
        <v>0</v>
      </c>
      <c r="AT890" s="10">
        <f t="shared" ca="1" si="1039"/>
        <v>0</v>
      </c>
      <c r="AU890" s="10">
        <f t="shared" ca="1" si="1039"/>
        <v>0</v>
      </c>
      <c r="AV890" s="10">
        <f t="shared" ca="1" si="1039"/>
        <v>0</v>
      </c>
      <c r="AW890" s="10">
        <f t="shared" ca="1" si="1039"/>
        <v>0</v>
      </c>
      <c r="AX890" s="10">
        <f t="shared" ca="1" si="1039"/>
        <v>0</v>
      </c>
      <c r="AY890" s="10">
        <f t="shared" ca="1" si="1039"/>
        <v>0</v>
      </c>
      <c r="AZ890" s="10">
        <f t="shared" ca="1" si="1039"/>
        <v>0</v>
      </c>
      <c r="BA890" s="10">
        <f t="shared" ca="1" si="1039"/>
        <v>0</v>
      </c>
      <c r="BB890" s="10">
        <f t="shared" ca="1" si="1039"/>
        <v>0</v>
      </c>
      <c r="BC890" s="10">
        <f t="shared" ca="1" si="1039"/>
        <v>0</v>
      </c>
      <c r="BD890" s="10">
        <f t="shared" ca="1" si="1039"/>
        <v>0</v>
      </c>
      <c r="BE890" s="10">
        <f t="shared" ca="1" si="1039"/>
        <v>0</v>
      </c>
      <c r="BF890" s="10">
        <f t="shared" ca="1" si="1039"/>
        <v>0</v>
      </c>
      <c r="BG890" s="10">
        <f t="shared" ca="1" si="1039"/>
        <v>0</v>
      </c>
      <c r="BH890" s="10">
        <f t="shared" ca="1" si="1039"/>
        <v>0</v>
      </c>
      <c r="BI890" s="10">
        <f t="shared" ca="1" si="1039"/>
        <v>0</v>
      </c>
      <c r="BJ890" s="10">
        <f t="shared" ca="1" si="1039"/>
        <v>0</v>
      </c>
      <c r="BK890" s="10">
        <f t="shared" ca="1" si="1039"/>
        <v>0</v>
      </c>
      <c r="BL890" s="10">
        <f t="shared" ca="1" si="1039"/>
        <v>0</v>
      </c>
      <c r="BM890" s="10">
        <f t="shared" ca="1" si="1039"/>
        <v>0</v>
      </c>
      <c r="BN890" s="10">
        <f t="shared" ca="1" si="1039"/>
        <v>0</v>
      </c>
      <c r="BO890" s="10">
        <f t="shared" ca="1" si="1039"/>
        <v>0</v>
      </c>
      <c r="BP890" s="10">
        <f t="shared" ca="1" si="1039"/>
        <v>0</v>
      </c>
      <c r="BQ890" s="10">
        <f t="shared" ca="1" si="1039"/>
        <v>0</v>
      </c>
      <c r="BR890" s="10">
        <f t="shared" ca="1" si="1039"/>
        <v>0</v>
      </c>
      <c r="BS890" s="10">
        <f t="shared" ca="1" si="1039"/>
        <v>0</v>
      </c>
      <c r="BT890" s="10">
        <f t="shared" ca="1" si="1039"/>
        <v>0</v>
      </c>
      <c r="BU890" s="10">
        <f t="shared" ca="1" si="1039"/>
        <v>0</v>
      </c>
      <c r="BV890" s="10">
        <f t="shared" ca="1" si="1039"/>
        <v>0</v>
      </c>
      <c r="BW890" s="10">
        <f t="shared" ca="1" si="1039"/>
        <v>0</v>
      </c>
      <c r="BX890" s="10">
        <f t="shared" ca="1" si="1039"/>
        <v>0</v>
      </c>
      <c r="BY890" s="10">
        <f t="shared" ref="BY890:CO890" ca="1" si="1040" xml:space="preserve"> BY889 * $E$885 * $I$700</f>
        <v>0</v>
      </c>
      <c r="BZ890" s="10">
        <f t="shared" ca="1" si="1040"/>
        <v>0</v>
      </c>
      <c r="CA890" s="10">
        <f t="shared" ca="1" si="1040"/>
        <v>0</v>
      </c>
      <c r="CB890" s="10">
        <f t="shared" ca="1" si="1040"/>
        <v>0</v>
      </c>
      <c r="CC890" s="10">
        <f t="shared" ca="1" si="1040"/>
        <v>0</v>
      </c>
      <c r="CD890" s="10">
        <f t="shared" ca="1" si="1040"/>
        <v>0</v>
      </c>
      <c r="CE890" s="10">
        <f t="shared" ca="1" si="1040"/>
        <v>0</v>
      </c>
      <c r="CF890" s="10">
        <f t="shared" ca="1" si="1040"/>
        <v>0</v>
      </c>
      <c r="CG890" s="10">
        <f t="shared" ca="1" si="1040"/>
        <v>0</v>
      </c>
      <c r="CH890" s="10">
        <f t="shared" ca="1" si="1040"/>
        <v>0</v>
      </c>
      <c r="CI890" s="10">
        <f t="shared" ca="1" si="1040"/>
        <v>0</v>
      </c>
      <c r="CJ890" s="10">
        <f t="shared" ca="1" si="1040"/>
        <v>0</v>
      </c>
      <c r="CK890" s="10">
        <f t="shared" ca="1" si="1040"/>
        <v>0</v>
      </c>
      <c r="CL890" s="10">
        <f t="shared" ca="1" si="1040"/>
        <v>0</v>
      </c>
      <c r="CM890" s="10">
        <f t="shared" ca="1" si="1040"/>
        <v>0</v>
      </c>
      <c r="CN890" s="10">
        <f t="shared" ca="1" si="1040"/>
        <v>0</v>
      </c>
      <c r="CO890" s="10">
        <f t="shared" ca="1" si="1040"/>
        <v>0</v>
      </c>
    </row>
    <row r="891" spans="1:93" ht="15.75" thickTop="1">
      <c r="B891" s="101"/>
      <c r="C891" s="49" t="str">
        <f xml:space="preserve"> "Итого: эксплуатационные расходы " &amp; C37 &amp; " в прогнозных ценах без НДС"</f>
        <v>Итого: эксплуатационные расходы Крытый парк развлечений в прогнозных ценах без НДС</v>
      </c>
      <c r="D891" s="49"/>
      <c r="E891" s="136"/>
      <c r="F891" s="49"/>
      <c r="G891" s="159" t="str">
        <f xml:space="preserve"> Monetary_Unit</f>
        <v>тыс. руб.</v>
      </c>
      <c r="H891" s="49"/>
      <c r="I891" s="23">
        <f ca="1">SUM(L891:CO891)</f>
        <v>0</v>
      </c>
      <c r="J891" s="49"/>
      <c r="K891" s="49"/>
      <c r="L891" s="49">
        <f t="shared" ref="L891:R891" ca="1" si="1041">SUM(L890)</f>
        <v>0</v>
      </c>
      <c r="M891" s="49">
        <f t="shared" ca="1" si="1041"/>
        <v>0</v>
      </c>
      <c r="N891" s="49">
        <f t="shared" ca="1" si="1041"/>
        <v>0</v>
      </c>
      <c r="O891" s="49">
        <f t="shared" ca="1" si="1041"/>
        <v>0</v>
      </c>
      <c r="P891" s="49">
        <f t="shared" ca="1" si="1041"/>
        <v>0</v>
      </c>
      <c r="Q891" s="49">
        <f t="shared" ca="1" si="1041"/>
        <v>0</v>
      </c>
      <c r="R891" s="49">
        <f t="shared" ca="1" si="1041"/>
        <v>0</v>
      </c>
      <c r="S891" s="49">
        <f ca="1">SUM(S890)</f>
        <v>0</v>
      </c>
      <c r="T891" s="49">
        <f t="shared" ref="T891:CE891" ca="1" si="1042">SUM(T890)</f>
        <v>0</v>
      </c>
      <c r="U891" s="49">
        <f t="shared" ca="1" si="1042"/>
        <v>0</v>
      </c>
      <c r="V891" s="49">
        <f t="shared" ca="1" si="1042"/>
        <v>0</v>
      </c>
      <c r="W891" s="49">
        <f t="shared" ca="1" si="1042"/>
        <v>0</v>
      </c>
      <c r="X891" s="49">
        <f t="shared" ca="1" si="1042"/>
        <v>0</v>
      </c>
      <c r="Y891" s="49">
        <f t="shared" ca="1" si="1042"/>
        <v>0</v>
      </c>
      <c r="Z891" s="49">
        <f t="shared" ca="1" si="1042"/>
        <v>0</v>
      </c>
      <c r="AA891" s="49">
        <f t="shared" ca="1" si="1042"/>
        <v>0</v>
      </c>
      <c r="AB891" s="49">
        <f t="shared" ca="1" si="1042"/>
        <v>0</v>
      </c>
      <c r="AC891" s="49">
        <f t="shared" ca="1" si="1042"/>
        <v>0</v>
      </c>
      <c r="AD891" s="49">
        <f t="shared" ca="1" si="1042"/>
        <v>0</v>
      </c>
      <c r="AE891" s="49">
        <f t="shared" ca="1" si="1042"/>
        <v>0</v>
      </c>
      <c r="AF891" s="49">
        <f t="shared" ca="1" si="1042"/>
        <v>0</v>
      </c>
      <c r="AG891" s="49">
        <f t="shared" ca="1" si="1042"/>
        <v>0</v>
      </c>
      <c r="AH891" s="49">
        <f t="shared" ca="1" si="1042"/>
        <v>0</v>
      </c>
      <c r="AI891" s="49">
        <f t="shared" ca="1" si="1042"/>
        <v>0</v>
      </c>
      <c r="AJ891" s="49">
        <f t="shared" ca="1" si="1042"/>
        <v>0</v>
      </c>
      <c r="AK891" s="49">
        <f t="shared" ca="1" si="1042"/>
        <v>0</v>
      </c>
      <c r="AL891" s="49">
        <f t="shared" ca="1" si="1042"/>
        <v>0</v>
      </c>
      <c r="AM891" s="49">
        <f t="shared" ca="1" si="1042"/>
        <v>0</v>
      </c>
      <c r="AN891" s="49">
        <f t="shared" ca="1" si="1042"/>
        <v>0</v>
      </c>
      <c r="AO891" s="49">
        <f t="shared" ca="1" si="1042"/>
        <v>0</v>
      </c>
      <c r="AP891" s="49">
        <f t="shared" ca="1" si="1042"/>
        <v>0</v>
      </c>
      <c r="AQ891" s="49">
        <f t="shared" ca="1" si="1042"/>
        <v>0</v>
      </c>
      <c r="AR891" s="49">
        <f t="shared" ca="1" si="1042"/>
        <v>0</v>
      </c>
      <c r="AS891" s="49">
        <f t="shared" ca="1" si="1042"/>
        <v>0</v>
      </c>
      <c r="AT891" s="49">
        <f t="shared" ca="1" si="1042"/>
        <v>0</v>
      </c>
      <c r="AU891" s="49">
        <f t="shared" ca="1" si="1042"/>
        <v>0</v>
      </c>
      <c r="AV891" s="49">
        <f t="shared" ca="1" si="1042"/>
        <v>0</v>
      </c>
      <c r="AW891" s="49">
        <f t="shared" ca="1" si="1042"/>
        <v>0</v>
      </c>
      <c r="AX891" s="49">
        <f t="shared" ca="1" si="1042"/>
        <v>0</v>
      </c>
      <c r="AY891" s="49">
        <f t="shared" ca="1" si="1042"/>
        <v>0</v>
      </c>
      <c r="AZ891" s="49">
        <f t="shared" ca="1" si="1042"/>
        <v>0</v>
      </c>
      <c r="BA891" s="49">
        <f t="shared" ca="1" si="1042"/>
        <v>0</v>
      </c>
      <c r="BB891" s="49">
        <f t="shared" ca="1" si="1042"/>
        <v>0</v>
      </c>
      <c r="BC891" s="49">
        <f t="shared" ca="1" si="1042"/>
        <v>0</v>
      </c>
      <c r="BD891" s="49">
        <f t="shared" ca="1" si="1042"/>
        <v>0</v>
      </c>
      <c r="BE891" s="49">
        <f t="shared" ca="1" si="1042"/>
        <v>0</v>
      </c>
      <c r="BF891" s="49">
        <f t="shared" ca="1" si="1042"/>
        <v>0</v>
      </c>
      <c r="BG891" s="49">
        <f t="shared" ca="1" si="1042"/>
        <v>0</v>
      </c>
      <c r="BH891" s="49">
        <f t="shared" ca="1" si="1042"/>
        <v>0</v>
      </c>
      <c r="BI891" s="49">
        <f t="shared" ca="1" si="1042"/>
        <v>0</v>
      </c>
      <c r="BJ891" s="49">
        <f t="shared" ca="1" si="1042"/>
        <v>0</v>
      </c>
      <c r="BK891" s="49">
        <f t="shared" ca="1" si="1042"/>
        <v>0</v>
      </c>
      <c r="BL891" s="49">
        <f t="shared" ca="1" si="1042"/>
        <v>0</v>
      </c>
      <c r="BM891" s="49">
        <f t="shared" ca="1" si="1042"/>
        <v>0</v>
      </c>
      <c r="BN891" s="49">
        <f t="shared" ca="1" si="1042"/>
        <v>0</v>
      </c>
      <c r="BO891" s="49">
        <f t="shared" ca="1" si="1042"/>
        <v>0</v>
      </c>
      <c r="BP891" s="49">
        <f t="shared" ca="1" si="1042"/>
        <v>0</v>
      </c>
      <c r="BQ891" s="49">
        <f t="shared" ca="1" si="1042"/>
        <v>0</v>
      </c>
      <c r="BR891" s="49">
        <f t="shared" ca="1" si="1042"/>
        <v>0</v>
      </c>
      <c r="BS891" s="49">
        <f t="shared" ca="1" si="1042"/>
        <v>0</v>
      </c>
      <c r="BT891" s="49">
        <f t="shared" ca="1" si="1042"/>
        <v>0</v>
      </c>
      <c r="BU891" s="49">
        <f t="shared" ca="1" si="1042"/>
        <v>0</v>
      </c>
      <c r="BV891" s="49">
        <f t="shared" ca="1" si="1042"/>
        <v>0</v>
      </c>
      <c r="BW891" s="49">
        <f t="shared" ca="1" si="1042"/>
        <v>0</v>
      </c>
      <c r="BX891" s="49">
        <f t="shared" ca="1" si="1042"/>
        <v>0</v>
      </c>
      <c r="BY891" s="49">
        <f t="shared" ca="1" si="1042"/>
        <v>0</v>
      </c>
      <c r="BZ891" s="49">
        <f t="shared" ca="1" si="1042"/>
        <v>0</v>
      </c>
      <c r="CA891" s="49">
        <f t="shared" ca="1" si="1042"/>
        <v>0</v>
      </c>
      <c r="CB891" s="49">
        <f t="shared" ca="1" si="1042"/>
        <v>0</v>
      </c>
      <c r="CC891" s="49">
        <f t="shared" ca="1" si="1042"/>
        <v>0</v>
      </c>
      <c r="CD891" s="49">
        <f t="shared" ca="1" si="1042"/>
        <v>0</v>
      </c>
      <c r="CE891" s="49">
        <f t="shared" ca="1" si="1042"/>
        <v>0</v>
      </c>
      <c r="CF891" s="49">
        <f t="shared" ref="CF891:CO891" ca="1" si="1043">SUM(CF890)</f>
        <v>0</v>
      </c>
      <c r="CG891" s="49">
        <f t="shared" ca="1" si="1043"/>
        <v>0</v>
      </c>
      <c r="CH891" s="49">
        <f t="shared" ca="1" si="1043"/>
        <v>0</v>
      </c>
      <c r="CI891" s="49">
        <f t="shared" ca="1" si="1043"/>
        <v>0</v>
      </c>
      <c r="CJ891" s="49">
        <f t="shared" ca="1" si="1043"/>
        <v>0</v>
      </c>
      <c r="CK891" s="49">
        <f t="shared" ca="1" si="1043"/>
        <v>0</v>
      </c>
      <c r="CL891" s="49">
        <f t="shared" ca="1" si="1043"/>
        <v>0</v>
      </c>
      <c r="CM891" s="49">
        <f t="shared" ca="1" si="1043"/>
        <v>0</v>
      </c>
      <c r="CN891" s="49">
        <f t="shared" ca="1" si="1043"/>
        <v>0</v>
      </c>
      <c r="CO891" s="49">
        <f t="shared" ca="1" si="1043"/>
        <v>0</v>
      </c>
    </row>
    <row r="892" spans="1:93">
      <c r="A892" s="10"/>
      <c r="B892" s="10"/>
      <c r="C892" s="10"/>
      <c r="D892" s="10"/>
      <c r="E892" s="10"/>
      <c r="F892" s="10"/>
      <c r="G892" s="11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  <c r="BA892" s="10"/>
      <c r="BB892" s="10"/>
      <c r="BC892" s="10"/>
      <c r="BD892" s="10"/>
      <c r="BE892" s="10"/>
      <c r="BF892" s="10"/>
      <c r="BG892" s="10"/>
      <c r="BH892" s="10"/>
      <c r="BI892" s="10"/>
      <c r="BJ892" s="10"/>
      <c r="BK892" s="10"/>
      <c r="BL892" s="10"/>
      <c r="BM892" s="10"/>
      <c r="BN892" s="10"/>
      <c r="BO892" s="10"/>
      <c r="BP892" s="10"/>
      <c r="BQ892" s="10"/>
      <c r="BR892" s="10"/>
      <c r="BS892" s="10"/>
      <c r="BT892" s="10"/>
      <c r="BU892" s="10"/>
      <c r="BV892" s="10"/>
      <c r="BW892" s="10"/>
      <c r="BX892" s="10"/>
      <c r="BY892" s="10"/>
      <c r="BZ892" s="10"/>
      <c r="CA892" s="10"/>
      <c r="CB892" s="10"/>
      <c r="CC892" s="10"/>
      <c r="CD892" s="10"/>
      <c r="CE892" s="10"/>
      <c r="CF892" s="10"/>
      <c r="CG892" s="10"/>
      <c r="CH892" s="10"/>
      <c r="CI892" s="10"/>
      <c r="CJ892" s="10"/>
      <c r="CK892" s="10"/>
      <c r="CL892" s="10"/>
      <c r="CM892" s="10"/>
      <c r="CN892" s="10"/>
      <c r="CO892" s="10"/>
    </row>
    <row r="893" spans="1:93">
      <c r="A893" s="10"/>
      <c r="B893" s="10"/>
      <c r="C893" s="24" t="s">
        <v>870</v>
      </c>
      <c r="D893" s="24"/>
      <c r="E893" s="24"/>
      <c r="F893" s="24"/>
      <c r="G893" s="135" t="str">
        <f>Monetary_Unit</f>
        <v>тыс. руб.</v>
      </c>
      <c r="H893" s="24"/>
      <c r="I893" s="23">
        <f ca="1">SUM(L893:CO893)</f>
        <v>-18493633.551309194</v>
      </c>
      <c r="J893" s="24"/>
      <c r="K893" s="24"/>
      <c r="L893" s="24">
        <f ca="1">-SUM(L719,L826,L879,L891)</f>
        <v>0</v>
      </c>
      <c r="M893" s="24">
        <f t="shared" ref="M893:AQ893" ca="1" si="1044">-SUM(M719,M826,M879,M891)</f>
        <v>0</v>
      </c>
      <c r="N893" s="24">
        <f t="shared" ca="1" si="1044"/>
        <v>0</v>
      </c>
      <c r="O893" s="24">
        <f t="shared" ca="1" si="1044"/>
        <v>0</v>
      </c>
      <c r="P893" s="24">
        <f t="shared" ca="1" si="1044"/>
        <v>0</v>
      </c>
      <c r="Q893" s="24">
        <f t="shared" ca="1" si="1044"/>
        <v>0</v>
      </c>
      <c r="R893" s="24">
        <f t="shared" ca="1" si="1044"/>
        <v>0</v>
      </c>
      <c r="S893" s="24">
        <f t="shared" ca="1" si="1044"/>
        <v>0</v>
      </c>
      <c r="T893" s="24">
        <f t="shared" ca="1" si="1044"/>
        <v>0</v>
      </c>
      <c r="U893" s="24">
        <f t="shared" ca="1" si="1044"/>
        <v>0</v>
      </c>
      <c r="V893" s="24">
        <f t="shared" ca="1" si="1044"/>
        <v>0</v>
      </c>
      <c r="W893" s="24">
        <f t="shared" ca="1" si="1044"/>
        <v>0</v>
      </c>
      <c r="X893" s="24">
        <f ca="1">-SUM(X719,X826,X879,X891)</f>
        <v>0</v>
      </c>
      <c r="Y893" s="24">
        <f t="shared" ca="1" si="1044"/>
        <v>0</v>
      </c>
      <c r="Z893" s="24">
        <f t="shared" ca="1" si="1044"/>
        <v>0</v>
      </c>
      <c r="AA893" s="24">
        <f t="shared" ca="1" si="1044"/>
        <v>0</v>
      </c>
      <c r="AB893" s="24">
        <f t="shared" ca="1" si="1044"/>
        <v>0</v>
      </c>
      <c r="AC893" s="24">
        <f t="shared" ca="1" si="1044"/>
        <v>-153088.06791866009</v>
      </c>
      <c r="AD893" s="24">
        <f t="shared" ca="1" si="1044"/>
        <v>-277065.31551683269</v>
      </c>
      <c r="AE893" s="24">
        <f t="shared" ca="1" si="1044"/>
        <v>-111407.08688779266</v>
      </c>
      <c r="AF893" s="24">
        <f t="shared" ca="1" si="1044"/>
        <v>-102418.07308987781</v>
      </c>
      <c r="AG893" s="24">
        <f t="shared" ca="1" si="1044"/>
        <v>-178544.29480956297</v>
      </c>
      <c r="AH893" s="24">
        <f t="shared" ca="1" si="1044"/>
        <v>-322126.35063196789</v>
      </c>
      <c r="AI893" s="24">
        <f t="shared" ca="1" si="1044"/>
        <v>-129117.93196149165</v>
      </c>
      <c r="AJ893" s="24">
        <f t="shared" ca="1" si="1044"/>
        <v>-118358.58903083384</v>
      </c>
      <c r="AK893" s="24">
        <f t="shared" ca="1" si="1044"/>
        <v>-205792.07894306828</v>
      </c>
      <c r="AL893" s="24">
        <f t="shared" ca="1" si="1044"/>
        <v>-370348.96405148692</v>
      </c>
      <c r="AM893" s="24">
        <f t="shared" ca="1" si="1044"/>
        <v>-148067.39330206616</v>
      </c>
      <c r="AN893" s="24">
        <f t="shared" ca="1" si="1044"/>
        <v>-136914.35929549739</v>
      </c>
      <c r="AO893" s="24">
        <f t="shared" ca="1" si="1044"/>
        <v>-234933.32935229276</v>
      </c>
      <c r="AP893" s="24">
        <f t="shared" ca="1" si="1044"/>
        <v>-412725.51899434091</v>
      </c>
      <c r="AQ893" s="24">
        <f t="shared" ca="1" si="1044"/>
        <v>-161157.44910287601</v>
      </c>
      <c r="AR893" s="24">
        <f t="shared" ref="AR893:BW893" ca="1" si="1045">-SUM(AR719,AR826,AR879,AR891)</f>
        <v>-144029.45805522188</v>
      </c>
      <c r="AS893" s="24">
        <f t="shared" ca="1" si="1045"/>
        <v>-244331.37553298092</v>
      </c>
      <c r="AT893" s="24">
        <f t="shared" ca="1" si="1045"/>
        <v>-429235.267698696</v>
      </c>
      <c r="AU893" s="24">
        <f t="shared" ca="1" si="1045"/>
        <v>-167604.4821843064</v>
      </c>
      <c r="AV893" s="24">
        <f t="shared" ca="1" si="1045"/>
        <v>-149790.63637743067</v>
      </c>
      <c r="AW893" s="24">
        <f t="shared" ca="1" si="1045"/>
        <v>-254104.63055430009</v>
      </c>
      <c r="AX893" s="24">
        <f t="shared" ca="1" si="1045"/>
        <v>-446404.67840664374</v>
      </c>
      <c r="AY893" s="24">
        <f t="shared" ca="1" si="1045"/>
        <v>-174308.66147167861</v>
      </c>
      <c r="AZ893" s="24">
        <f t="shared" ca="1" si="1045"/>
        <v>-155782.26183252787</v>
      </c>
      <c r="BA893" s="24">
        <f t="shared" ca="1" si="1045"/>
        <v>-264268.81577647204</v>
      </c>
      <c r="BB893" s="24">
        <f t="shared" ca="1" si="1045"/>
        <v>-464260.86554290925</v>
      </c>
      <c r="BC893" s="24">
        <f t="shared" ca="1" si="1045"/>
        <v>-181281.00793054575</v>
      </c>
      <c r="BD893" s="24">
        <f t="shared" ca="1" si="1045"/>
        <v>-163812.90867722456</v>
      </c>
      <c r="BE893" s="24">
        <f t="shared" ca="1" si="1045"/>
        <v>-274838.7663720788</v>
      </c>
      <c r="BF893" s="24">
        <f t="shared" ca="1" si="1045"/>
        <v>-482830.48132597207</v>
      </c>
      <c r="BG893" s="24">
        <f t="shared" ca="1" si="1045"/>
        <v>-188531.42134076369</v>
      </c>
      <c r="BH893" s="24">
        <f t="shared" ca="1" si="1045"/>
        <v>-168494.09439806215</v>
      </c>
      <c r="BI893" s="24">
        <f t="shared" ca="1" si="1045"/>
        <v>-285833.15114383207</v>
      </c>
      <c r="BJ893" s="24">
        <f t="shared" ca="1" si="1045"/>
        <v>-502144.55217121053</v>
      </c>
      <c r="BK893" s="24">
        <f t="shared" ca="1" si="1045"/>
        <v>-196073.53817767825</v>
      </c>
      <c r="BL893" s="24">
        <f t="shared" ca="1" si="1045"/>
        <v>-175233.85817398463</v>
      </c>
      <c r="BM893" s="24">
        <f t="shared" ca="1" si="1045"/>
        <v>-297266.47718958539</v>
      </c>
      <c r="BN893" s="24">
        <f t="shared" ca="1" si="1045"/>
        <v>-522230.33425805887</v>
      </c>
      <c r="BO893" s="24">
        <f t="shared" ca="1" si="1045"/>
        <v>-203916.47970478528</v>
      </c>
      <c r="BP893" s="24">
        <f t="shared" ca="1" si="1045"/>
        <v>-182243.21250094395</v>
      </c>
      <c r="BQ893" s="24">
        <f t="shared" ca="1" si="1045"/>
        <v>-309157.1362771687</v>
      </c>
      <c r="BR893" s="24">
        <f t="shared" ca="1" si="1045"/>
        <v>-543119.54762838129</v>
      </c>
      <c r="BS893" s="24">
        <f t="shared" ca="1" si="1045"/>
        <v>-212073.13889297668</v>
      </c>
      <c r="BT893" s="24">
        <f t="shared" ca="1" si="1045"/>
        <v>-191637.93345454932</v>
      </c>
      <c r="BU893" s="24">
        <f t="shared" ca="1" si="1045"/>
        <v>-321522.48346021632</v>
      </c>
      <c r="BV893" s="24">
        <f t="shared" ca="1" si="1045"/>
        <v>-564843.37160810805</v>
      </c>
      <c r="BW893" s="24">
        <f t="shared" ca="1" si="1045"/>
        <v>-220555.09708445895</v>
      </c>
      <c r="BX893" s="24">
        <f t="shared" ref="BX893:CO893" ca="1" si="1046">-SUM(BX719,BX826,BX879,BX891)</f>
        <v>-197114.25864102089</v>
      </c>
      <c r="BY893" s="24">
        <f t="shared" ca="1" si="1046"/>
        <v>-334384.35859738558</v>
      </c>
      <c r="BZ893" s="24">
        <f t="shared" ca="1" si="1046"/>
        <v>-587438.10271485697</v>
      </c>
      <c r="CA893" s="24">
        <f t="shared" ca="1" si="1046"/>
        <v>-229378.30702664348</v>
      </c>
      <c r="CB893" s="24">
        <f t="shared" ca="1" si="1046"/>
        <v>-204998.82898666174</v>
      </c>
      <c r="CC893" s="24">
        <f t="shared" ca="1" si="1046"/>
        <v>-347759.73294128099</v>
      </c>
      <c r="CD893" s="24">
        <f t="shared" ca="1" si="1046"/>
        <v>-610935.62682345114</v>
      </c>
      <c r="CE893" s="24">
        <f t="shared" ca="1" si="1046"/>
        <v>-238553.43930770928</v>
      </c>
      <c r="CF893" s="24">
        <f t="shared" ca="1" si="1046"/>
        <v>-213198.78214612813</v>
      </c>
      <c r="CG893" s="24">
        <f t="shared" ca="1" si="1046"/>
        <v>-361670.12225893216</v>
      </c>
      <c r="CH893" s="24">
        <f t="shared" ca="1" si="1046"/>
        <v>-635373.05189638922</v>
      </c>
      <c r="CI893" s="24">
        <f t="shared" ca="1" si="1046"/>
        <v>-248095.57688001767</v>
      </c>
      <c r="CJ893" s="24">
        <f t="shared" ca="1" si="1046"/>
        <v>-224189.27687251486</v>
      </c>
      <c r="CK893" s="24">
        <f t="shared" ca="1" si="1046"/>
        <v>-376135.82950839237</v>
      </c>
      <c r="CL893" s="24">
        <f t="shared" ca="1" si="1046"/>
        <v>-660786.85333500605</v>
      </c>
      <c r="CM893" s="24">
        <f t="shared" ca="1" si="1046"/>
        <v>-258018.26827588529</v>
      </c>
      <c r="CN893" s="24">
        <f t="shared" ca="1" si="1046"/>
        <v>-230595.80276925216</v>
      </c>
      <c r="CO893" s="24">
        <f t="shared" ca="1" si="1046"/>
        <v>-391182.40423526097</v>
      </c>
    </row>
    <row r="894" spans="1:93">
      <c r="A894" s="10"/>
      <c r="B894" s="10"/>
      <c r="C894" s="21"/>
      <c r="D894" s="10"/>
      <c r="E894" s="10"/>
      <c r="F894" s="10"/>
      <c r="G894" s="11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  <c r="BA894" s="10"/>
      <c r="BB894" s="10"/>
      <c r="BC894" s="10"/>
      <c r="BD894" s="10"/>
      <c r="BE894" s="10"/>
      <c r="BF894" s="10"/>
      <c r="BG894" s="10"/>
      <c r="BH894" s="10"/>
      <c r="BI894" s="10"/>
      <c r="BJ894" s="10"/>
      <c r="BK894" s="10"/>
      <c r="BL894" s="10"/>
      <c r="BM894" s="10"/>
      <c r="BN894" s="10"/>
      <c r="BO894" s="10"/>
      <c r="BP894" s="10"/>
      <c r="BQ894" s="10"/>
      <c r="BR894" s="10"/>
      <c r="BS894" s="10"/>
      <c r="BT894" s="10"/>
      <c r="BU894" s="10"/>
      <c r="BV894" s="10"/>
      <c r="BW894" s="10"/>
      <c r="BX894" s="10"/>
      <c r="BY894" s="10"/>
      <c r="BZ894" s="10"/>
      <c r="CA894" s="10"/>
      <c r="CB894" s="10"/>
      <c r="CC894" s="10"/>
      <c r="CD894" s="10"/>
      <c r="CE894" s="10"/>
      <c r="CF894" s="10"/>
      <c r="CG894" s="10"/>
      <c r="CH894" s="10"/>
      <c r="CI894" s="10"/>
      <c r="CJ894" s="10"/>
      <c r="CK894" s="10"/>
      <c r="CL894" s="10"/>
      <c r="CM894" s="10"/>
      <c r="CN894" s="10"/>
      <c r="CO894" s="10"/>
    </row>
    <row r="895" spans="1:93">
      <c r="A895" s="10"/>
      <c r="B895" s="10"/>
      <c r="C895" s="17" t="s">
        <v>875</v>
      </c>
      <c r="D895" s="10"/>
      <c r="E895" s="10"/>
      <c r="F895" s="10"/>
      <c r="G895" s="134" t="str">
        <f>Monetary_Unit</f>
        <v>тыс. руб.</v>
      </c>
      <c r="H895" s="10"/>
      <c r="I895" s="23">
        <f ca="1">SUM(L895:CO895)</f>
        <v>13851106.004446831</v>
      </c>
      <c r="J895" s="10"/>
      <c r="K895" s="10"/>
      <c r="L895" s="450">
        <f ca="1" xml:space="preserve"> SUM(L719,L754,L762,L763,L771,L796,L813:L817,L869:L871,L874:L878,L891)</f>
        <v>0</v>
      </c>
      <c r="M895" s="450">
        <f t="shared" ref="M895:BX895" ca="1" si="1047" xml:space="preserve"> SUM(M719,M754,M762,M763,M771,M796,M813:M817,M869:M871,M874:M878,M891)</f>
        <v>0</v>
      </c>
      <c r="N895" s="450">
        <f t="shared" ca="1" si="1047"/>
        <v>0</v>
      </c>
      <c r="O895" s="450">
        <f t="shared" ca="1" si="1047"/>
        <v>0</v>
      </c>
      <c r="P895" s="450">
        <f t="shared" ca="1" si="1047"/>
        <v>0</v>
      </c>
      <c r="Q895" s="450">
        <f t="shared" ca="1" si="1047"/>
        <v>0</v>
      </c>
      <c r="R895" s="450">
        <f t="shared" ca="1" si="1047"/>
        <v>0</v>
      </c>
      <c r="S895" s="450">
        <f t="shared" ca="1" si="1047"/>
        <v>0</v>
      </c>
      <c r="T895" s="450">
        <f t="shared" ca="1" si="1047"/>
        <v>0</v>
      </c>
      <c r="U895" s="450">
        <f t="shared" ca="1" si="1047"/>
        <v>0</v>
      </c>
      <c r="V895" s="450">
        <f t="shared" ca="1" si="1047"/>
        <v>0</v>
      </c>
      <c r="W895" s="450">
        <f t="shared" ca="1" si="1047"/>
        <v>0</v>
      </c>
      <c r="X895" s="450">
        <f t="shared" ca="1" si="1047"/>
        <v>0</v>
      </c>
      <c r="Y895" s="450">
        <f t="shared" ca="1" si="1047"/>
        <v>0</v>
      </c>
      <c r="Z895" s="450">
        <f t="shared" ca="1" si="1047"/>
        <v>0</v>
      </c>
      <c r="AA895" s="450">
        <f t="shared" ca="1" si="1047"/>
        <v>0</v>
      </c>
      <c r="AB895" s="450">
        <f t="shared" ca="1" si="1047"/>
        <v>0</v>
      </c>
      <c r="AC895" s="450">
        <f t="shared" ca="1" si="1047"/>
        <v>114332.76307349694</v>
      </c>
      <c r="AD895" s="450">
        <f t="shared" ca="1" si="1047"/>
        <v>209592.85333837618</v>
      </c>
      <c r="AE895" s="450">
        <f t="shared" ca="1" si="1047"/>
        <v>82673.979764693213</v>
      </c>
      <c r="AF895" s="450">
        <f t="shared" ca="1" si="1047"/>
        <v>75742.699526234603</v>
      </c>
      <c r="AG895" s="450">
        <f t="shared" ca="1" si="1047"/>
        <v>133337.42785906428</v>
      </c>
      <c r="AH895" s="450">
        <f t="shared" ca="1" si="1047"/>
        <v>243673.57133457912</v>
      </c>
      <c r="AI895" s="450">
        <f t="shared" ca="1" si="1047"/>
        <v>95809.932332705634</v>
      </c>
      <c r="AJ895" s="450">
        <f t="shared" ca="1" si="1047"/>
        <v>87524.558303901504</v>
      </c>
      <c r="AK895" s="450">
        <f t="shared" ca="1" si="1047"/>
        <v>153679.53340655947</v>
      </c>
      <c r="AL895" s="450">
        <f t="shared" ca="1" si="1047"/>
        <v>280145.39820513682</v>
      </c>
      <c r="AM895" s="450">
        <f t="shared" ca="1" si="1047"/>
        <v>109864.48273853557</v>
      </c>
      <c r="AN895" s="450">
        <f t="shared" ca="1" si="1047"/>
        <v>101239.62943140809</v>
      </c>
      <c r="AO895" s="450">
        <f t="shared" ca="1" si="1047"/>
        <v>175434.98193001375</v>
      </c>
      <c r="AP895" s="450">
        <f t="shared" ca="1" si="1047"/>
        <v>312195.92372002546</v>
      </c>
      <c r="AQ895" s="450">
        <f t="shared" ca="1" si="1047"/>
        <v>119573.87482301575</v>
      </c>
      <c r="AR895" s="450">
        <f t="shared" ca="1" si="1047"/>
        <v>106499.47013852665</v>
      </c>
      <c r="AS895" s="450">
        <f t="shared" ca="1" si="1047"/>
        <v>182453.09421381078</v>
      </c>
      <c r="AT895" s="450">
        <f t="shared" ca="1" si="1047"/>
        <v>324684.48861340794</v>
      </c>
      <c r="AU895" s="450">
        <f t="shared" ca="1" si="1047"/>
        <v>124357.56493325172</v>
      </c>
      <c r="AV895" s="450">
        <f t="shared" ca="1" si="1047"/>
        <v>110759.44894406768</v>
      </c>
      <c r="AW895" s="450">
        <f t="shared" ca="1" si="1047"/>
        <v>189751.21798236319</v>
      </c>
      <c r="AX895" s="450">
        <f t="shared" ca="1" si="1047"/>
        <v>337671.86815794412</v>
      </c>
      <c r="AY895" s="450">
        <f t="shared" ca="1" si="1047"/>
        <v>129331.86753058175</v>
      </c>
      <c r="AZ895" s="450">
        <f t="shared" ca="1" si="1047"/>
        <v>115189.8269018304</v>
      </c>
      <c r="BA895" s="450">
        <f t="shared" ca="1" si="1047"/>
        <v>197341.2667016577</v>
      </c>
      <c r="BB895" s="450">
        <f t="shared" ca="1" si="1047"/>
        <v>351178.74288426182</v>
      </c>
      <c r="BC895" s="450">
        <f t="shared" ca="1" si="1047"/>
        <v>134505.14223180499</v>
      </c>
      <c r="BD895" s="450">
        <f t="shared" ca="1" si="1047"/>
        <v>121127.70821232222</v>
      </c>
      <c r="BE895" s="450">
        <f t="shared" ca="1" si="1047"/>
        <v>205234.1153342718</v>
      </c>
      <c r="BF895" s="450">
        <f t="shared" ca="1" si="1047"/>
        <v>365225.0737609787</v>
      </c>
      <c r="BG895" s="450">
        <f t="shared" ca="1" si="1047"/>
        <v>139884.52101407334</v>
      </c>
      <c r="BH895" s="450">
        <f t="shared" ca="1" si="1047"/>
        <v>124589.31677701969</v>
      </c>
      <c r="BI895" s="450">
        <f t="shared" ca="1" si="1047"/>
        <v>213444.31406451287</v>
      </c>
      <c r="BJ895" s="450">
        <f t="shared" ca="1" si="1047"/>
        <v>379834.92830361752</v>
      </c>
      <c r="BK895" s="450">
        <f t="shared" ca="1" si="1047"/>
        <v>145480.76183792026</v>
      </c>
      <c r="BL895" s="450">
        <f t="shared" ca="1" si="1047"/>
        <v>129572.8894481005</v>
      </c>
      <c r="BM895" s="450">
        <f t="shared" ca="1" si="1047"/>
        <v>221982.08662709338</v>
      </c>
      <c r="BN895" s="450">
        <f t="shared" ca="1" si="1047"/>
        <v>395028.32543576212</v>
      </c>
      <c r="BO895" s="450">
        <f t="shared" ca="1" si="1047"/>
        <v>151299.99231143706</v>
      </c>
      <c r="BP895" s="450">
        <f t="shared" ca="1" si="1047"/>
        <v>134755.80502602446</v>
      </c>
      <c r="BQ895" s="450">
        <f t="shared" ca="1" si="1047"/>
        <v>230861.37009217709</v>
      </c>
      <c r="BR895" s="450">
        <f t="shared" ca="1" si="1047"/>
        <v>410829.45845319255</v>
      </c>
      <c r="BS895" s="450">
        <f t="shared" ca="1" si="1047"/>
        <v>157351.9920038945</v>
      </c>
      <c r="BT895" s="450">
        <f t="shared" ca="1" si="1047"/>
        <v>141702.28630536736</v>
      </c>
      <c r="BU895" s="450">
        <f t="shared" ca="1" si="1047"/>
        <v>240094.88662782504</v>
      </c>
      <c r="BV895" s="450">
        <f t="shared" ca="1" si="1047"/>
        <v>427261.6788659119</v>
      </c>
      <c r="BW895" s="450">
        <f t="shared" ca="1" si="1047"/>
        <v>163645.10431981349</v>
      </c>
      <c r="BX895" s="450">
        <f t="shared" ca="1" si="1047"/>
        <v>145751.87871614803</v>
      </c>
      <c r="BY895" s="450">
        <f t="shared" ref="BY895:CO895" ca="1" si="1048" xml:space="preserve"> SUM(BY719,BY754,BY762,BY763,BY771,BY796,BY813:BY817,BY869:BY871,BY874:BY878,BY891)</f>
        <v>249699.65789169873</v>
      </c>
      <c r="BZ895" s="450">
        <f t="shared" ca="1" si="1048"/>
        <v>444353.14226297301</v>
      </c>
      <c r="CA895" s="450">
        <f t="shared" ca="1" si="1048"/>
        <v>170191.91455141222</v>
      </c>
      <c r="CB895" s="450">
        <f t="shared" ca="1" si="1048"/>
        <v>151581.95386479393</v>
      </c>
      <c r="CC895" s="450">
        <f t="shared" ca="1" si="1048"/>
        <v>259687.6442073666</v>
      </c>
      <c r="CD895" s="450">
        <f t="shared" ca="1" si="1048"/>
        <v>462127.26795349189</v>
      </c>
      <c r="CE895" s="450">
        <f t="shared" ca="1" si="1048"/>
        <v>176999.5911334687</v>
      </c>
      <c r="CF895" s="450">
        <f t="shared" ca="1" si="1048"/>
        <v>157645.2320193857</v>
      </c>
      <c r="CG895" s="450">
        <f t="shared" ca="1" si="1048"/>
        <v>270075.14997566119</v>
      </c>
      <c r="CH895" s="450">
        <f t="shared" ca="1" si="1048"/>
        <v>480612.35867163143</v>
      </c>
      <c r="CI895" s="450">
        <f t="shared" ca="1" si="1048"/>
        <v>184079.57477880744</v>
      </c>
      <c r="CJ895" s="450">
        <f t="shared" ca="1" si="1048"/>
        <v>165771.63260590474</v>
      </c>
      <c r="CK895" s="450">
        <f t="shared" ca="1" si="1048"/>
        <v>280877.05833379057</v>
      </c>
      <c r="CL895" s="450">
        <f t="shared" ca="1" si="1048"/>
        <v>499835.73238125793</v>
      </c>
      <c r="CM895" s="450">
        <f t="shared" ca="1" si="1048"/>
        <v>191441.62609062673</v>
      </c>
      <c r="CN895" s="450">
        <f t="shared" ca="1" si="1048"/>
        <v>170509.08295216755</v>
      </c>
      <c r="CO895" s="450">
        <f t="shared" ca="1" si="1048"/>
        <v>292113.28221367515</v>
      </c>
    </row>
    <row r="896" spans="1:93">
      <c r="A896" s="10"/>
      <c r="B896" s="10"/>
      <c r="C896" s="17" t="s">
        <v>1192</v>
      </c>
      <c r="D896" s="10"/>
      <c r="E896" s="10"/>
      <c r="F896" s="10"/>
      <c r="G896" s="134" t="str">
        <f>Monetary_Unit</f>
        <v>тыс. руб.</v>
      </c>
      <c r="H896" s="10"/>
      <c r="I896" s="23">
        <f ca="1">SUM(L896:CO896)</f>
        <v>0</v>
      </c>
      <c r="J896" s="10"/>
      <c r="K896" s="10"/>
      <c r="L896" s="450">
        <f t="shared" ref="L896:AQ896" ca="1" si="1049">-L818*Flag_Construction</f>
        <v>0</v>
      </c>
      <c r="M896" s="450">
        <f t="shared" ca="1" si="1049"/>
        <v>0</v>
      </c>
      <c r="N896" s="450">
        <f t="shared" ca="1" si="1049"/>
        <v>0</v>
      </c>
      <c r="O896" s="450">
        <f t="shared" ca="1" si="1049"/>
        <v>0</v>
      </c>
      <c r="P896" s="450">
        <f t="shared" ca="1" si="1049"/>
        <v>0</v>
      </c>
      <c r="Q896" s="450">
        <f t="shared" ca="1" si="1049"/>
        <v>0</v>
      </c>
      <c r="R896" s="450">
        <f t="shared" ca="1" si="1049"/>
        <v>0</v>
      </c>
      <c r="S896" s="450">
        <f t="shared" ca="1" si="1049"/>
        <v>0</v>
      </c>
      <c r="T896" s="450">
        <f t="shared" ca="1" si="1049"/>
        <v>0</v>
      </c>
      <c r="U896" s="450">
        <f t="shared" ca="1" si="1049"/>
        <v>0</v>
      </c>
      <c r="V896" s="450">
        <f t="shared" ca="1" si="1049"/>
        <v>0</v>
      </c>
      <c r="W896" s="450">
        <f t="shared" ca="1" si="1049"/>
        <v>0</v>
      </c>
      <c r="X896" s="450">
        <f t="shared" ca="1" si="1049"/>
        <v>0</v>
      </c>
      <c r="Y896" s="450">
        <f t="shared" ca="1" si="1049"/>
        <v>0</v>
      </c>
      <c r="Z896" s="450">
        <f t="shared" ca="1" si="1049"/>
        <v>0</v>
      </c>
      <c r="AA896" s="450">
        <f t="shared" ca="1" si="1049"/>
        <v>0</v>
      </c>
      <c r="AB896" s="450">
        <f t="shared" ca="1" si="1049"/>
        <v>0</v>
      </c>
      <c r="AC896" s="450">
        <f t="shared" ca="1" si="1049"/>
        <v>0</v>
      </c>
      <c r="AD896" s="450">
        <f t="shared" ca="1" si="1049"/>
        <v>0</v>
      </c>
      <c r="AE896" s="450">
        <f t="shared" ca="1" si="1049"/>
        <v>0</v>
      </c>
      <c r="AF896" s="450">
        <f t="shared" ca="1" si="1049"/>
        <v>0</v>
      </c>
      <c r="AG896" s="450">
        <f t="shared" ca="1" si="1049"/>
        <v>0</v>
      </c>
      <c r="AH896" s="450">
        <f t="shared" ca="1" si="1049"/>
        <v>0</v>
      </c>
      <c r="AI896" s="450">
        <f t="shared" ca="1" si="1049"/>
        <v>0</v>
      </c>
      <c r="AJ896" s="450">
        <f t="shared" ca="1" si="1049"/>
        <v>0</v>
      </c>
      <c r="AK896" s="450">
        <f t="shared" ca="1" si="1049"/>
        <v>0</v>
      </c>
      <c r="AL896" s="450">
        <f t="shared" ca="1" si="1049"/>
        <v>0</v>
      </c>
      <c r="AM896" s="450">
        <f t="shared" ca="1" si="1049"/>
        <v>0</v>
      </c>
      <c r="AN896" s="450">
        <f t="shared" ca="1" si="1049"/>
        <v>0</v>
      </c>
      <c r="AO896" s="450">
        <f t="shared" ca="1" si="1049"/>
        <v>0</v>
      </c>
      <c r="AP896" s="450">
        <f t="shared" ca="1" si="1049"/>
        <v>0</v>
      </c>
      <c r="AQ896" s="450">
        <f t="shared" ca="1" si="1049"/>
        <v>0</v>
      </c>
      <c r="AR896" s="450">
        <f t="shared" ref="AR896:BW896" ca="1" si="1050">-AR818*Flag_Construction</f>
        <v>0</v>
      </c>
      <c r="AS896" s="450">
        <f t="shared" ca="1" si="1050"/>
        <v>0</v>
      </c>
      <c r="AT896" s="450">
        <f t="shared" ca="1" si="1050"/>
        <v>0</v>
      </c>
      <c r="AU896" s="450">
        <f t="shared" ca="1" si="1050"/>
        <v>0</v>
      </c>
      <c r="AV896" s="450">
        <f t="shared" ca="1" si="1050"/>
        <v>0</v>
      </c>
      <c r="AW896" s="450">
        <f t="shared" ca="1" si="1050"/>
        <v>0</v>
      </c>
      <c r="AX896" s="450">
        <f t="shared" ca="1" si="1050"/>
        <v>0</v>
      </c>
      <c r="AY896" s="450">
        <f t="shared" ca="1" si="1050"/>
        <v>0</v>
      </c>
      <c r="AZ896" s="450">
        <f t="shared" ca="1" si="1050"/>
        <v>0</v>
      </c>
      <c r="BA896" s="450">
        <f t="shared" ca="1" si="1050"/>
        <v>0</v>
      </c>
      <c r="BB896" s="450">
        <f t="shared" ca="1" si="1050"/>
        <v>0</v>
      </c>
      <c r="BC896" s="450">
        <f t="shared" ca="1" si="1050"/>
        <v>0</v>
      </c>
      <c r="BD896" s="450">
        <f t="shared" ca="1" si="1050"/>
        <v>0</v>
      </c>
      <c r="BE896" s="450">
        <f t="shared" ca="1" si="1050"/>
        <v>0</v>
      </c>
      <c r="BF896" s="450">
        <f t="shared" ca="1" si="1050"/>
        <v>0</v>
      </c>
      <c r="BG896" s="450">
        <f t="shared" ca="1" si="1050"/>
        <v>0</v>
      </c>
      <c r="BH896" s="450">
        <f t="shared" ca="1" si="1050"/>
        <v>0</v>
      </c>
      <c r="BI896" s="450">
        <f t="shared" ca="1" si="1050"/>
        <v>0</v>
      </c>
      <c r="BJ896" s="450">
        <f t="shared" ca="1" si="1050"/>
        <v>0</v>
      </c>
      <c r="BK896" s="450">
        <f t="shared" ca="1" si="1050"/>
        <v>0</v>
      </c>
      <c r="BL896" s="450">
        <f t="shared" ca="1" si="1050"/>
        <v>0</v>
      </c>
      <c r="BM896" s="450">
        <f t="shared" ca="1" si="1050"/>
        <v>0</v>
      </c>
      <c r="BN896" s="450">
        <f t="shared" ca="1" si="1050"/>
        <v>0</v>
      </c>
      <c r="BO896" s="450">
        <f t="shared" ca="1" si="1050"/>
        <v>0</v>
      </c>
      <c r="BP896" s="450">
        <f t="shared" ca="1" si="1050"/>
        <v>0</v>
      </c>
      <c r="BQ896" s="450">
        <f t="shared" ca="1" si="1050"/>
        <v>0</v>
      </c>
      <c r="BR896" s="450">
        <f t="shared" ca="1" si="1050"/>
        <v>0</v>
      </c>
      <c r="BS896" s="450">
        <f t="shared" ca="1" si="1050"/>
        <v>0</v>
      </c>
      <c r="BT896" s="450">
        <f t="shared" ca="1" si="1050"/>
        <v>0</v>
      </c>
      <c r="BU896" s="450">
        <f t="shared" ca="1" si="1050"/>
        <v>0</v>
      </c>
      <c r="BV896" s="450">
        <f t="shared" ca="1" si="1050"/>
        <v>0</v>
      </c>
      <c r="BW896" s="450">
        <f t="shared" ca="1" si="1050"/>
        <v>0</v>
      </c>
      <c r="BX896" s="450">
        <f t="shared" ref="BX896:CO896" ca="1" si="1051">-BX818*Flag_Construction</f>
        <v>0</v>
      </c>
      <c r="BY896" s="450">
        <f t="shared" ca="1" si="1051"/>
        <v>0</v>
      </c>
      <c r="BZ896" s="450">
        <f t="shared" ca="1" si="1051"/>
        <v>0</v>
      </c>
      <c r="CA896" s="450">
        <f t="shared" ca="1" si="1051"/>
        <v>0</v>
      </c>
      <c r="CB896" s="450">
        <f t="shared" ca="1" si="1051"/>
        <v>0</v>
      </c>
      <c r="CC896" s="450">
        <f t="shared" ca="1" si="1051"/>
        <v>0</v>
      </c>
      <c r="CD896" s="450">
        <f t="shared" ca="1" si="1051"/>
        <v>0</v>
      </c>
      <c r="CE896" s="450">
        <f t="shared" ca="1" si="1051"/>
        <v>0</v>
      </c>
      <c r="CF896" s="450">
        <f t="shared" ca="1" si="1051"/>
        <v>0</v>
      </c>
      <c r="CG896" s="450">
        <f t="shared" ca="1" si="1051"/>
        <v>0</v>
      </c>
      <c r="CH896" s="450">
        <f t="shared" ca="1" si="1051"/>
        <v>0</v>
      </c>
      <c r="CI896" s="450">
        <f t="shared" ca="1" si="1051"/>
        <v>0</v>
      </c>
      <c r="CJ896" s="450">
        <f t="shared" ca="1" si="1051"/>
        <v>0</v>
      </c>
      <c r="CK896" s="450">
        <f t="shared" ca="1" si="1051"/>
        <v>0</v>
      </c>
      <c r="CL896" s="450">
        <f t="shared" ca="1" si="1051"/>
        <v>0</v>
      </c>
      <c r="CM896" s="450">
        <f t="shared" ca="1" si="1051"/>
        <v>0</v>
      </c>
      <c r="CN896" s="450">
        <f t="shared" ca="1" si="1051"/>
        <v>0</v>
      </c>
      <c r="CO896" s="450">
        <f t="shared" ca="1" si="1051"/>
        <v>0</v>
      </c>
    </row>
    <row r="897" spans="1:93">
      <c r="A897" s="10"/>
      <c r="B897" s="10"/>
      <c r="C897" s="17" t="s">
        <v>876</v>
      </c>
      <c r="D897" s="10"/>
      <c r="E897" s="10"/>
      <c r="F897" s="10"/>
      <c r="G897" s="134" t="str">
        <f>Monetary_Unit</f>
        <v>тыс. руб.</v>
      </c>
      <c r="H897" s="10"/>
      <c r="I897" s="23">
        <f ca="1">SUM(L897:CO897)</f>
        <v>-18493633.551309194</v>
      </c>
      <c r="J897" s="10"/>
      <c r="K897" s="10"/>
      <c r="L897" s="10">
        <f ca="1">L893-L896</f>
        <v>0</v>
      </c>
      <c r="M897" s="10">
        <f t="shared" ref="M897:BX897" ca="1" si="1052">M893-M896</f>
        <v>0</v>
      </c>
      <c r="N897" s="10">
        <f t="shared" ca="1" si="1052"/>
        <v>0</v>
      </c>
      <c r="O897" s="10">
        <f t="shared" ca="1" si="1052"/>
        <v>0</v>
      </c>
      <c r="P897" s="10">
        <f t="shared" ca="1" si="1052"/>
        <v>0</v>
      </c>
      <c r="Q897" s="10">
        <f t="shared" ca="1" si="1052"/>
        <v>0</v>
      </c>
      <c r="R897" s="10">
        <f t="shared" ca="1" si="1052"/>
        <v>0</v>
      </c>
      <c r="S897" s="10">
        <f t="shared" ca="1" si="1052"/>
        <v>0</v>
      </c>
      <c r="T897" s="10">
        <f t="shared" ca="1" si="1052"/>
        <v>0</v>
      </c>
      <c r="U897" s="10">
        <f t="shared" ca="1" si="1052"/>
        <v>0</v>
      </c>
      <c r="V897" s="10">
        <f t="shared" ca="1" si="1052"/>
        <v>0</v>
      </c>
      <c r="W897" s="10">
        <f t="shared" ca="1" si="1052"/>
        <v>0</v>
      </c>
      <c r="X897" s="10">
        <f t="shared" ca="1" si="1052"/>
        <v>0</v>
      </c>
      <c r="Y897" s="10">
        <f t="shared" ca="1" si="1052"/>
        <v>0</v>
      </c>
      <c r="Z897" s="10">
        <f t="shared" ca="1" si="1052"/>
        <v>0</v>
      </c>
      <c r="AA897" s="10">
        <f t="shared" ca="1" si="1052"/>
        <v>0</v>
      </c>
      <c r="AB897" s="10">
        <f t="shared" ca="1" si="1052"/>
        <v>0</v>
      </c>
      <c r="AC897" s="10">
        <f t="shared" ca="1" si="1052"/>
        <v>-153088.06791866009</v>
      </c>
      <c r="AD897" s="10">
        <f t="shared" ca="1" si="1052"/>
        <v>-277065.31551683269</v>
      </c>
      <c r="AE897" s="10">
        <f t="shared" ca="1" si="1052"/>
        <v>-111407.08688779266</v>
      </c>
      <c r="AF897" s="10">
        <f t="shared" ca="1" si="1052"/>
        <v>-102418.07308987781</v>
      </c>
      <c r="AG897" s="10">
        <f t="shared" ca="1" si="1052"/>
        <v>-178544.29480956297</v>
      </c>
      <c r="AH897" s="10">
        <f t="shared" ca="1" si="1052"/>
        <v>-322126.35063196789</v>
      </c>
      <c r="AI897" s="10">
        <f t="shared" ca="1" si="1052"/>
        <v>-129117.93196149165</v>
      </c>
      <c r="AJ897" s="10">
        <f t="shared" ca="1" si="1052"/>
        <v>-118358.58903083384</v>
      </c>
      <c r="AK897" s="10">
        <f t="shared" ca="1" si="1052"/>
        <v>-205792.07894306828</v>
      </c>
      <c r="AL897" s="10">
        <f t="shared" ca="1" si="1052"/>
        <v>-370348.96405148692</v>
      </c>
      <c r="AM897" s="10">
        <f t="shared" ca="1" si="1052"/>
        <v>-148067.39330206616</v>
      </c>
      <c r="AN897" s="10">
        <f t="shared" ca="1" si="1052"/>
        <v>-136914.35929549739</v>
      </c>
      <c r="AO897" s="10">
        <f t="shared" ca="1" si="1052"/>
        <v>-234933.32935229276</v>
      </c>
      <c r="AP897" s="10">
        <f t="shared" ca="1" si="1052"/>
        <v>-412725.51899434091</v>
      </c>
      <c r="AQ897" s="10">
        <f t="shared" ca="1" si="1052"/>
        <v>-161157.44910287601</v>
      </c>
      <c r="AR897" s="10">
        <f t="shared" ca="1" si="1052"/>
        <v>-144029.45805522188</v>
      </c>
      <c r="AS897" s="10">
        <f t="shared" ca="1" si="1052"/>
        <v>-244331.37553298092</v>
      </c>
      <c r="AT897" s="10">
        <f t="shared" ca="1" si="1052"/>
        <v>-429235.267698696</v>
      </c>
      <c r="AU897" s="10">
        <f t="shared" ca="1" si="1052"/>
        <v>-167604.4821843064</v>
      </c>
      <c r="AV897" s="10">
        <f t="shared" ca="1" si="1052"/>
        <v>-149790.63637743067</v>
      </c>
      <c r="AW897" s="10">
        <f t="shared" ca="1" si="1052"/>
        <v>-254104.63055430009</v>
      </c>
      <c r="AX897" s="10">
        <f t="shared" ca="1" si="1052"/>
        <v>-446404.67840664374</v>
      </c>
      <c r="AY897" s="10">
        <f t="shared" ca="1" si="1052"/>
        <v>-174308.66147167861</v>
      </c>
      <c r="AZ897" s="10">
        <f t="shared" ca="1" si="1052"/>
        <v>-155782.26183252787</v>
      </c>
      <c r="BA897" s="10">
        <f t="shared" ca="1" si="1052"/>
        <v>-264268.81577647204</v>
      </c>
      <c r="BB897" s="10">
        <f t="shared" ca="1" si="1052"/>
        <v>-464260.86554290925</v>
      </c>
      <c r="BC897" s="10">
        <f t="shared" ca="1" si="1052"/>
        <v>-181281.00793054575</v>
      </c>
      <c r="BD897" s="10">
        <f t="shared" ca="1" si="1052"/>
        <v>-163812.90867722456</v>
      </c>
      <c r="BE897" s="10">
        <f t="shared" ca="1" si="1052"/>
        <v>-274838.7663720788</v>
      </c>
      <c r="BF897" s="10">
        <f t="shared" ca="1" si="1052"/>
        <v>-482830.48132597207</v>
      </c>
      <c r="BG897" s="10">
        <f t="shared" ca="1" si="1052"/>
        <v>-188531.42134076369</v>
      </c>
      <c r="BH897" s="10">
        <f t="shared" ca="1" si="1052"/>
        <v>-168494.09439806215</v>
      </c>
      <c r="BI897" s="10">
        <f t="shared" ca="1" si="1052"/>
        <v>-285833.15114383207</v>
      </c>
      <c r="BJ897" s="10">
        <f t="shared" ca="1" si="1052"/>
        <v>-502144.55217121053</v>
      </c>
      <c r="BK897" s="10">
        <f t="shared" ca="1" si="1052"/>
        <v>-196073.53817767825</v>
      </c>
      <c r="BL897" s="10">
        <f t="shared" ca="1" si="1052"/>
        <v>-175233.85817398463</v>
      </c>
      <c r="BM897" s="10">
        <f t="shared" ca="1" si="1052"/>
        <v>-297266.47718958539</v>
      </c>
      <c r="BN897" s="10">
        <f t="shared" ca="1" si="1052"/>
        <v>-522230.33425805887</v>
      </c>
      <c r="BO897" s="10">
        <f t="shared" ca="1" si="1052"/>
        <v>-203916.47970478528</v>
      </c>
      <c r="BP897" s="10">
        <f t="shared" ca="1" si="1052"/>
        <v>-182243.21250094395</v>
      </c>
      <c r="BQ897" s="10">
        <f t="shared" ca="1" si="1052"/>
        <v>-309157.1362771687</v>
      </c>
      <c r="BR897" s="10">
        <f t="shared" ca="1" si="1052"/>
        <v>-543119.54762838129</v>
      </c>
      <c r="BS897" s="10">
        <f t="shared" ca="1" si="1052"/>
        <v>-212073.13889297668</v>
      </c>
      <c r="BT897" s="10">
        <f t="shared" ca="1" si="1052"/>
        <v>-191637.93345454932</v>
      </c>
      <c r="BU897" s="10">
        <f t="shared" ca="1" si="1052"/>
        <v>-321522.48346021632</v>
      </c>
      <c r="BV897" s="10">
        <f t="shared" ca="1" si="1052"/>
        <v>-564843.37160810805</v>
      </c>
      <c r="BW897" s="10">
        <f t="shared" ca="1" si="1052"/>
        <v>-220555.09708445895</v>
      </c>
      <c r="BX897" s="10">
        <f t="shared" ca="1" si="1052"/>
        <v>-197114.25864102089</v>
      </c>
      <c r="BY897" s="10">
        <f t="shared" ref="BY897:CO897" ca="1" si="1053">BY893-BY896</f>
        <v>-334384.35859738558</v>
      </c>
      <c r="BZ897" s="10">
        <f t="shared" ca="1" si="1053"/>
        <v>-587438.10271485697</v>
      </c>
      <c r="CA897" s="10">
        <f t="shared" ca="1" si="1053"/>
        <v>-229378.30702664348</v>
      </c>
      <c r="CB897" s="10">
        <f t="shared" ca="1" si="1053"/>
        <v>-204998.82898666174</v>
      </c>
      <c r="CC897" s="10">
        <f t="shared" ca="1" si="1053"/>
        <v>-347759.73294128099</v>
      </c>
      <c r="CD897" s="10">
        <f t="shared" ca="1" si="1053"/>
        <v>-610935.62682345114</v>
      </c>
      <c r="CE897" s="10">
        <f t="shared" ca="1" si="1053"/>
        <v>-238553.43930770928</v>
      </c>
      <c r="CF897" s="10">
        <f t="shared" ca="1" si="1053"/>
        <v>-213198.78214612813</v>
      </c>
      <c r="CG897" s="10">
        <f t="shared" ca="1" si="1053"/>
        <v>-361670.12225893216</v>
      </c>
      <c r="CH897" s="10">
        <f t="shared" ca="1" si="1053"/>
        <v>-635373.05189638922</v>
      </c>
      <c r="CI897" s="10">
        <f t="shared" ca="1" si="1053"/>
        <v>-248095.57688001767</v>
      </c>
      <c r="CJ897" s="10">
        <f t="shared" ca="1" si="1053"/>
        <v>-224189.27687251486</v>
      </c>
      <c r="CK897" s="10">
        <f t="shared" ca="1" si="1053"/>
        <v>-376135.82950839237</v>
      </c>
      <c r="CL897" s="10">
        <f t="shared" ca="1" si="1053"/>
        <v>-660786.85333500605</v>
      </c>
      <c r="CM897" s="10">
        <f t="shared" ca="1" si="1053"/>
        <v>-258018.26827588529</v>
      </c>
      <c r="CN897" s="10">
        <f t="shared" ca="1" si="1053"/>
        <v>-230595.80276925216</v>
      </c>
      <c r="CO897" s="10">
        <f t="shared" ca="1" si="1053"/>
        <v>-391182.40423526097</v>
      </c>
    </row>
    <row r="898" spans="1:93">
      <c r="A898" s="10"/>
    </row>
    <row r="899" spans="1:93" ht="22.5" customHeight="1">
      <c r="A899" s="10"/>
      <c r="B899" s="5" t="s">
        <v>144</v>
      </c>
      <c r="C899" s="5"/>
      <c r="D899" s="15"/>
      <c r="E899" s="15"/>
      <c r="F899" s="31"/>
      <c r="G899" s="18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  <c r="BM899" s="31"/>
      <c r="BN899" s="31"/>
      <c r="BO899" s="31"/>
      <c r="BP899" s="31"/>
      <c r="BQ899" s="31"/>
      <c r="BR899" s="31"/>
      <c r="BS899" s="31"/>
      <c r="BT899" s="31"/>
      <c r="BU899" s="31"/>
      <c r="BV899" s="31"/>
      <c r="BW899" s="31"/>
      <c r="BX899" s="31"/>
      <c r="BY899" s="31"/>
      <c r="BZ899" s="31"/>
      <c r="CA899" s="31"/>
      <c r="CB899" s="31"/>
      <c r="CC899" s="31"/>
      <c r="CD899" s="31"/>
      <c r="CE899" s="31"/>
      <c r="CF899" s="31"/>
      <c r="CG899" s="31"/>
      <c r="CH899" s="31"/>
      <c r="CI899" s="31"/>
      <c r="CJ899" s="31"/>
      <c r="CK899" s="31"/>
      <c r="CL899" s="31"/>
      <c r="CM899" s="31"/>
      <c r="CN899" s="31"/>
      <c r="CO899" s="31"/>
    </row>
    <row r="900" spans="1:93">
      <c r="A900" s="10"/>
      <c r="B900" s="10"/>
      <c r="C900" s="10"/>
      <c r="D900" s="10"/>
      <c r="E900" s="10"/>
      <c r="F900" s="10"/>
      <c r="G900" s="11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  <c r="BA900" s="10"/>
      <c r="BB900" s="10"/>
      <c r="BC900" s="10"/>
      <c r="BD900" s="10"/>
      <c r="BE900" s="10"/>
      <c r="BF900" s="10"/>
      <c r="BG900" s="10"/>
      <c r="BH900" s="10"/>
      <c r="BI900" s="10"/>
      <c r="BJ900" s="10"/>
      <c r="BK900" s="10"/>
      <c r="BL900" s="10"/>
      <c r="BM900" s="10"/>
      <c r="BN900" s="10"/>
      <c r="BO900" s="10"/>
      <c r="BP900" s="10"/>
      <c r="BQ900" s="10"/>
      <c r="BR900" s="10"/>
      <c r="BS900" s="10"/>
      <c r="BT900" s="10"/>
      <c r="BU900" s="10"/>
      <c r="BV900" s="10"/>
      <c r="BW900" s="10"/>
      <c r="BX900" s="10"/>
      <c r="BY900" s="10"/>
      <c r="BZ900" s="10"/>
      <c r="CA900" s="10"/>
      <c r="CB900" s="10"/>
      <c r="CC900" s="10"/>
      <c r="CD900" s="10"/>
      <c r="CE900" s="10"/>
      <c r="CF900" s="10"/>
      <c r="CG900" s="10"/>
      <c r="CH900" s="10"/>
      <c r="CI900" s="10"/>
      <c r="CJ900" s="10"/>
      <c r="CK900" s="10"/>
      <c r="CL900" s="10"/>
      <c r="CM900" s="10"/>
      <c r="CN900" s="10"/>
      <c r="CO900" s="10"/>
    </row>
    <row r="901" spans="1:93">
      <c r="A901" s="10"/>
      <c r="B901" s="10"/>
      <c r="C901" s="17" t="s">
        <v>714</v>
      </c>
      <c r="D901" s="10"/>
      <c r="E901" s="178">
        <f>Предпосылки!E519</f>
        <v>3.0000000000000001E-3</v>
      </c>
      <c r="F901" s="3"/>
      <c r="G901" s="142" t="s">
        <v>715</v>
      </c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  <c r="BA901" s="10"/>
      <c r="BB901" s="10"/>
      <c r="BC901" s="10"/>
      <c r="BD901" s="10"/>
      <c r="BE901" s="10"/>
      <c r="BF901" s="10"/>
      <c r="BG901" s="10"/>
      <c r="BH901" s="10"/>
      <c r="BI901" s="10"/>
      <c r="BJ901" s="10"/>
      <c r="BK901" s="10"/>
      <c r="BL901" s="10"/>
      <c r="BM901" s="10"/>
      <c r="BN901" s="10"/>
      <c r="BO901" s="10"/>
      <c r="BP901" s="10"/>
      <c r="BQ901" s="10"/>
      <c r="BR901" s="10"/>
      <c r="BS901" s="10"/>
      <c r="BT901" s="10"/>
      <c r="BU901" s="10"/>
      <c r="BV901" s="10"/>
      <c r="BW901" s="10"/>
      <c r="BX901" s="10"/>
      <c r="BY901" s="10"/>
      <c r="BZ901" s="10"/>
      <c r="CA901" s="10"/>
      <c r="CB901" s="10"/>
      <c r="CC901" s="10"/>
      <c r="CD901" s="10"/>
      <c r="CE901" s="10"/>
      <c r="CF901" s="10"/>
      <c r="CG901" s="10"/>
      <c r="CH901" s="10"/>
      <c r="CI901" s="10"/>
      <c r="CJ901" s="10"/>
      <c r="CK901" s="10"/>
      <c r="CL901" s="10"/>
      <c r="CM901" s="10"/>
      <c r="CN901" s="10"/>
      <c r="CO901" s="10"/>
    </row>
    <row r="902" spans="1:93">
      <c r="A902" s="10"/>
      <c r="B902" s="10"/>
      <c r="C902" s="10"/>
      <c r="D902" s="10"/>
      <c r="E902" s="10"/>
      <c r="F902" s="10"/>
      <c r="G902" s="11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  <c r="BA902" s="10"/>
      <c r="BB902" s="10"/>
      <c r="BC902" s="10"/>
      <c r="BD902" s="10"/>
      <c r="BE902" s="10"/>
      <c r="BF902" s="10"/>
      <c r="BG902" s="10"/>
      <c r="BH902" s="10"/>
      <c r="BI902" s="10"/>
      <c r="BJ902" s="10"/>
      <c r="BK902" s="10"/>
      <c r="BL902" s="10"/>
      <c r="BM902" s="10"/>
      <c r="BN902" s="10"/>
      <c r="BO902" s="10"/>
      <c r="BP902" s="10"/>
      <c r="BQ902" s="10"/>
      <c r="BR902" s="10"/>
      <c r="BS902" s="10"/>
      <c r="BT902" s="10"/>
      <c r="BU902" s="10"/>
      <c r="BV902" s="10"/>
      <c r="BW902" s="10"/>
      <c r="BX902" s="10"/>
      <c r="BY902" s="10"/>
      <c r="BZ902" s="10"/>
      <c r="CA902" s="10"/>
      <c r="CB902" s="10"/>
      <c r="CC902" s="10"/>
      <c r="CD902" s="10"/>
      <c r="CE902" s="10"/>
      <c r="CF902" s="10"/>
      <c r="CG902" s="10"/>
      <c r="CH902" s="10"/>
      <c r="CI902" s="10"/>
      <c r="CJ902" s="10"/>
      <c r="CK902" s="10"/>
      <c r="CL902" s="10"/>
      <c r="CM902" s="10"/>
      <c r="CN902" s="10"/>
      <c r="CO902" s="10"/>
    </row>
    <row r="903" spans="1:93">
      <c r="A903" s="10"/>
      <c r="C903" s="17" t="s">
        <v>739</v>
      </c>
      <c r="E903" s="65">
        <f ca="1">SUM(CAPEX)+E273+E274</f>
        <v>3087285.4622873445</v>
      </c>
      <c r="G903" s="207" t="str">
        <f>Monetary_Unit</f>
        <v>тыс. руб.</v>
      </c>
    </row>
    <row r="904" spans="1:93">
      <c r="A904" s="10"/>
      <c r="C904" s="17" t="s">
        <v>741</v>
      </c>
      <c r="E904" s="240">
        <f xml:space="preserve"> E901</f>
        <v>3.0000000000000001E-3</v>
      </c>
      <c r="G904" s="207" t="s">
        <v>28</v>
      </c>
    </row>
    <row r="905" spans="1:93">
      <c r="A905" s="10"/>
    </row>
    <row r="906" spans="1:93">
      <c r="A906" s="10"/>
      <c r="C906" s="17" t="s">
        <v>743</v>
      </c>
      <c r="G906" s="134" t="str">
        <f>Monetary_Unit</f>
        <v>тыс. руб.</v>
      </c>
      <c r="I906" s="23">
        <f ca="1">SUM(L906:CO906)</f>
        <v>150498.82254925682</v>
      </c>
      <c r="L906" s="10">
        <f t="shared" ref="L906:BW906" ca="1" si="1054" xml:space="preserve"> $E$903 * $E$904 * Period_length * Flag_Operations</f>
        <v>0</v>
      </c>
      <c r="M906" s="10">
        <f t="shared" ca="1" si="1054"/>
        <v>0</v>
      </c>
      <c r="N906" s="10">
        <f t="shared" ca="1" si="1054"/>
        <v>0</v>
      </c>
      <c r="O906" s="10">
        <f t="shared" ca="1" si="1054"/>
        <v>0</v>
      </c>
      <c r="P906" s="10">
        <f t="shared" ca="1" si="1054"/>
        <v>0</v>
      </c>
      <c r="Q906" s="10">
        <f t="shared" ca="1" si="1054"/>
        <v>0</v>
      </c>
      <c r="R906" s="10">
        <f t="shared" ca="1" si="1054"/>
        <v>0</v>
      </c>
      <c r="S906" s="10">
        <f t="shared" ca="1" si="1054"/>
        <v>0</v>
      </c>
      <c r="T906" s="10">
        <f t="shared" ca="1" si="1054"/>
        <v>0</v>
      </c>
      <c r="U906" s="10">
        <f t="shared" ca="1" si="1054"/>
        <v>0</v>
      </c>
      <c r="V906" s="10">
        <f t="shared" ca="1" si="1054"/>
        <v>0</v>
      </c>
      <c r="W906" s="10">
        <f t="shared" ca="1" si="1054"/>
        <v>0</v>
      </c>
      <c r="X906" s="10">
        <f t="shared" ca="1" si="1054"/>
        <v>0</v>
      </c>
      <c r="Y906" s="10">
        <f t="shared" ca="1" si="1054"/>
        <v>0</v>
      </c>
      <c r="Z906" s="10">
        <f t="shared" ca="1" si="1054"/>
        <v>0</v>
      </c>
      <c r="AA906" s="10">
        <f t="shared" ca="1" si="1054"/>
        <v>0</v>
      </c>
      <c r="AB906" s="10">
        <f t="shared" ca="1" si="1054"/>
        <v>0</v>
      </c>
      <c r="AC906" s="10">
        <f t="shared" ca="1" si="1054"/>
        <v>2309.1203594642329</v>
      </c>
      <c r="AD906" s="10">
        <f t="shared" ca="1" si="1054"/>
        <v>2334.4953084693348</v>
      </c>
      <c r="AE906" s="10">
        <f t="shared" ca="1" si="1054"/>
        <v>2334.4953084693348</v>
      </c>
      <c r="AF906" s="10">
        <f t="shared" ca="1" si="1054"/>
        <v>2283.7454104591311</v>
      </c>
      <c r="AG906" s="10">
        <f t="shared" ca="1" si="1054"/>
        <v>2309.1203594642329</v>
      </c>
      <c r="AH906" s="10">
        <f t="shared" ca="1" si="1054"/>
        <v>2334.4953084693348</v>
      </c>
      <c r="AI906" s="10">
        <f t="shared" ca="1" si="1054"/>
        <v>2334.4953084693348</v>
      </c>
      <c r="AJ906" s="10">
        <f t="shared" ca="1" si="1054"/>
        <v>2283.7454104591311</v>
      </c>
      <c r="AK906" s="10">
        <f t="shared" ca="1" si="1054"/>
        <v>2309.1203594642329</v>
      </c>
      <c r="AL906" s="10">
        <f t="shared" ca="1" si="1054"/>
        <v>2334.4953084693348</v>
      </c>
      <c r="AM906" s="10">
        <f t="shared" ca="1" si="1054"/>
        <v>2334.4953084693348</v>
      </c>
      <c r="AN906" s="10">
        <f t="shared" ca="1" si="1054"/>
        <v>2302.8112874438389</v>
      </c>
      <c r="AO906" s="10">
        <f t="shared" ca="1" si="1054"/>
        <v>2302.8112874438389</v>
      </c>
      <c r="AP906" s="10">
        <f t="shared" ca="1" si="1054"/>
        <v>2328.1169059871777</v>
      </c>
      <c r="AQ906" s="10">
        <f t="shared" ca="1" si="1054"/>
        <v>2328.1169059871777</v>
      </c>
      <c r="AR906" s="10">
        <f t="shared" ca="1" si="1054"/>
        <v>2283.7454104591311</v>
      </c>
      <c r="AS906" s="10">
        <f t="shared" ca="1" si="1054"/>
        <v>2309.1203594642329</v>
      </c>
      <c r="AT906" s="10">
        <f t="shared" ca="1" si="1054"/>
        <v>2334.4953084693348</v>
      </c>
      <c r="AU906" s="10">
        <f t="shared" ca="1" si="1054"/>
        <v>2334.4953084693348</v>
      </c>
      <c r="AV906" s="10">
        <f t="shared" ca="1" si="1054"/>
        <v>2283.7454104591311</v>
      </c>
      <c r="AW906" s="10">
        <f t="shared" ca="1" si="1054"/>
        <v>2309.1203594642329</v>
      </c>
      <c r="AX906" s="10">
        <f t="shared" ca="1" si="1054"/>
        <v>2334.4953084693348</v>
      </c>
      <c r="AY906" s="10">
        <f t="shared" ca="1" si="1054"/>
        <v>2334.4953084693348</v>
      </c>
      <c r="AZ906" s="10">
        <f t="shared" ca="1" si="1054"/>
        <v>2283.7454104591311</v>
      </c>
      <c r="BA906" s="10">
        <f t="shared" ca="1" si="1054"/>
        <v>2309.1203594642329</v>
      </c>
      <c r="BB906" s="10">
        <f t="shared" ca="1" si="1054"/>
        <v>2334.4953084693348</v>
      </c>
      <c r="BC906" s="10">
        <f t="shared" ca="1" si="1054"/>
        <v>2334.4953084693348</v>
      </c>
      <c r="BD906" s="10">
        <f t="shared" ca="1" si="1054"/>
        <v>2302.8112874438389</v>
      </c>
      <c r="BE906" s="10">
        <f t="shared" ca="1" si="1054"/>
        <v>2302.8112874438389</v>
      </c>
      <c r="BF906" s="10">
        <f t="shared" ca="1" si="1054"/>
        <v>2328.1169059871777</v>
      </c>
      <c r="BG906" s="10">
        <f t="shared" ca="1" si="1054"/>
        <v>2328.1169059871777</v>
      </c>
      <c r="BH906" s="10">
        <f t="shared" ca="1" si="1054"/>
        <v>2283.7454104591311</v>
      </c>
      <c r="BI906" s="10">
        <f t="shared" ca="1" si="1054"/>
        <v>2309.1203594642329</v>
      </c>
      <c r="BJ906" s="10">
        <f t="shared" ca="1" si="1054"/>
        <v>2334.4953084693348</v>
      </c>
      <c r="BK906" s="10">
        <f t="shared" ca="1" si="1054"/>
        <v>2334.4953084693348</v>
      </c>
      <c r="BL906" s="10">
        <f t="shared" ca="1" si="1054"/>
        <v>2283.7454104591311</v>
      </c>
      <c r="BM906" s="10">
        <f t="shared" ca="1" si="1054"/>
        <v>2309.1203594642329</v>
      </c>
      <c r="BN906" s="10">
        <f t="shared" ca="1" si="1054"/>
        <v>2334.4953084693348</v>
      </c>
      <c r="BO906" s="10">
        <f t="shared" ca="1" si="1054"/>
        <v>2334.4953084693348</v>
      </c>
      <c r="BP906" s="10">
        <f t="shared" ca="1" si="1054"/>
        <v>2283.7454104591311</v>
      </c>
      <c r="BQ906" s="10">
        <f t="shared" ca="1" si="1054"/>
        <v>2309.1203594642329</v>
      </c>
      <c r="BR906" s="10">
        <f t="shared" ca="1" si="1054"/>
        <v>2334.4953084693348</v>
      </c>
      <c r="BS906" s="10">
        <f t="shared" ca="1" si="1054"/>
        <v>2334.4953084693348</v>
      </c>
      <c r="BT906" s="10">
        <f t="shared" ca="1" si="1054"/>
        <v>2302.8112874438389</v>
      </c>
      <c r="BU906" s="10">
        <f t="shared" ca="1" si="1054"/>
        <v>2302.8112874438389</v>
      </c>
      <c r="BV906" s="10">
        <f t="shared" ca="1" si="1054"/>
        <v>2328.1169059871777</v>
      </c>
      <c r="BW906" s="10">
        <f t="shared" ca="1" si="1054"/>
        <v>2328.1169059871777</v>
      </c>
      <c r="BX906" s="10">
        <f t="shared" ref="BX906:CO906" ca="1" si="1055" xml:space="preserve"> $E$903 * $E$904 * Period_length * Flag_Operations</f>
        <v>2283.7454104591311</v>
      </c>
      <c r="BY906" s="10">
        <f t="shared" ca="1" si="1055"/>
        <v>2309.1203594642329</v>
      </c>
      <c r="BZ906" s="10">
        <f t="shared" ca="1" si="1055"/>
        <v>2334.4953084693348</v>
      </c>
      <c r="CA906" s="10">
        <f t="shared" ca="1" si="1055"/>
        <v>2334.4953084693348</v>
      </c>
      <c r="CB906" s="10">
        <f t="shared" ca="1" si="1055"/>
        <v>2283.7454104591311</v>
      </c>
      <c r="CC906" s="10">
        <f t="shared" ca="1" si="1055"/>
        <v>2309.1203594642329</v>
      </c>
      <c r="CD906" s="10">
        <f t="shared" ca="1" si="1055"/>
        <v>2334.4953084693348</v>
      </c>
      <c r="CE906" s="10">
        <f t="shared" ca="1" si="1055"/>
        <v>2334.4953084693348</v>
      </c>
      <c r="CF906" s="10">
        <f t="shared" ca="1" si="1055"/>
        <v>2283.7454104591311</v>
      </c>
      <c r="CG906" s="10">
        <f t="shared" ca="1" si="1055"/>
        <v>2309.1203594642329</v>
      </c>
      <c r="CH906" s="10">
        <f t="shared" ca="1" si="1055"/>
        <v>2334.4953084693348</v>
      </c>
      <c r="CI906" s="10">
        <f t="shared" ca="1" si="1055"/>
        <v>2334.4953084693348</v>
      </c>
      <c r="CJ906" s="10">
        <f t="shared" ca="1" si="1055"/>
        <v>2302.8112874438389</v>
      </c>
      <c r="CK906" s="10">
        <f t="shared" ca="1" si="1055"/>
        <v>2302.8112874438389</v>
      </c>
      <c r="CL906" s="10">
        <f t="shared" ca="1" si="1055"/>
        <v>2328.1169059871777</v>
      </c>
      <c r="CM906" s="10">
        <f t="shared" ca="1" si="1055"/>
        <v>2328.1169059871777</v>
      </c>
      <c r="CN906" s="10">
        <f t="shared" ca="1" si="1055"/>
        <v>2283.7454104591311</v>
      </c>
      <c r="CO906" s="10">
        <f t="shared" ca="1" si="1055"/>
        <v>2309.1203594642329</v>
      </c>
    </row>
    <row r="907" spans="1:93">
      <c r="A907" s="10"/>
      <c r="B907" s="10"/>
      <c r="C907" s="17" t="s">
        <v>744</v>
      </c>
      <c r="D907" s="10"/>
      <c r="E907" s="10"/>
      <c r="F907" s="10"/>
      <c r="G907" s="134" t="str">
        <f>Monetary_Unit</f>
        <v>тыс. руб.</v>
      </c>
      <c r="H907" s="10"/>
      <c r="I907" s="23">
        <f ca="1">SUM(L907:CO907)</f>
        <v>205107.61944850432</v>
      </c>
      <c r="J907" s="10"/>
      <c r="K907" s="10"/>
      <c r="L907" s="10">
        <f t="shared" ref="L907:BW907" ca="1" si="1056" xml:space="preserve"> Property_Tax * Flag_Operations</f>
        <v>0</v>
      </c>
      <c r="M907" s="10">
        <f t="shared" ca="1" si="1056"/>
        <v>0</v>
      </c>
      <c r="N907" s="10">
        <f t="shared" ca="1" si="1056"/>
        <v>0</v>
      </c>
      <c r="O907" s="10">
        <f t="shared" ca="1" si="1056"/>
        <v>0</v>
      </c>
      <c r="P907" s="10">
        <f t="shared" ca="1" si="1056"/>
        <v>0</v>
      </c>
      <c r="Q907" s="10">
        <f t="shared" ca="1" si="1056"/>
        <v>0</v>
      </c>
      <c r="R907" s="10">
        <f t="shared" ca="1" si="1056"/>
        <v>0</v>
      </c>
      <c r="S907" s="10">
        <f t="shared" ca="1" si="1056"/>
        <v>0</v>
      </c>
      <c r="T907" s="10">
        <f t="shared" ca="1" si="1056"/>
        <v>0</v>
      </c>
      <c r="U907" s="10">
        <f t="shared" ca="1" si="1056"/>
        <v>0</v>
      </c>
      <c r="V907" s="10">
        <f t="shared" ca="1" si="1056"/>
        <v>0</v>
      </c>
      <c r="W907" s="10">
        <f t="shared" ca="1" si="1056"/>
        <v>0</v>
      </c>
      <c r="X907" s="10">
        <f t="shared" ca="1" si="1056"/>
        <v>0</v>
      </c>
      <c r="Y907" s="10">
        <f t="shared" ca="1" si="1056"/>
        <v>0</v>
      </c>
      <c r="Z907" s="10">
        <f t="shared" ca="1" si="1056"/>
        <v>0</v>
      </c>
      <c r="AA907" s="10">
        <f t="shared" ca="1" si="1056"/>
        <v>0</v>
      </c>
      <c r="AB907" s="10">
        <f t="shared" ca="1" si="1056"/>
        <v>0</v>
      </c>
      <c r="AC907" s="10">
        <f t="shared" ca="1" si="1056"/>
        <v>0</v>
      </c>
      <c r="AD907" s="10">
        <f t="shared" ca="1" si="1056"/>
        <v>0</v>
      </c>
      <c r="AE907" s="10">
        <f t="shared" ca="1" si="1056"/>
        <v>0</v>
      </c>
      <c r="AF907" s="10">
        <f t="shared" ca="1" si="1056"/>
        <v>0</v>
      </c>
      <c r="AG907" s="10">
        <f t="shared" ca="1" si="1056"/>
        <v>0</v>
      </c>
      <c r="AH907" s="10">
        <f t="shared" ca="1" si="1056"/>
        <v>0</v>
      </c>
      <c r="AI907" s="10">
        <f t="shared" ca="1" si="1056"/>
        <v>0</v>
      </c>
      <c r="AJ907" s="10">
        <f t="shared" ca="1" si="1056"/>
        <v>0</v>
      </c>
      <c r="AK907" s="10">
        <f t="shared" ca="1" si="1056"/>
        <v>0</v>
      </c>
      <c r="AL907" s="10">
        <f t="shared" ca="1" si="1056"/>
        <v>0</v>
      </c>
      <c r="AM907" s="10">
        <f t="shared" ca="1" si="1056"/>
        <v>0</v>
      </c>
      <c r="AN907" s="10">
        <f t="shared" ca="1" si="1056"/>
        <v>0</v>
      </c>
      <c r="AO907" s="10">
        <f t="shared" ca="1" si="1056"/>
        <v>0</v>
      </c>
      <c r="AP907" s="10">
        <f t="shared" ca="1" si="1056"/>
        <v>0</v>
      </c>
      <c r="AQ907" s="10">
        <f t="shared" ca="1" si="1056"/>
        <v>0</v>
      </c>
      <c r="AR907" s="10">
        <f t="shared" ca="1" si="1056"/>
        <v>0</v>
      </c>
      <c r="AS907" s="10">
        <f t="shared" ca="1" si="1056"/>
        <v>0</v>
      </c>
      <c r="AT907" s="10">
        <f t="shared" ca="1" si="1056"/>
        <v>0</v>
      </c>
      <c r="AU907" s="10">
        <f t="shared" ca="1" si="1056"/>
        <v>0</v>
      </c>
      <c r="AV907" s="10">
        <f t="shared" ca="1" si="1056"/>
        <v>0</v>
      </c>
      <c r="AW907" s="10">
        <f t="shared" ca="1" si="1056"/>
        <v>0</v>
      </c>
      <c r="AX907" s="10">
        <f t="shared" ca="1" si="1056"/>
        <v>0</v>
      </c>
      <c r="AY907" s="10">
        <f t="shared" ca="1" si="1056"/>
        <v>0</v>
      </c>
      <c r="AZ907" s="10">
        <f t="shared" ca="1" si="1056"/>
        <v>0</v>
      </c>
      <c r="BA907" s="10">
        <f t="shared" ca="1" si="1056"/>
        <v>0</v>
      </c>
      <c r="BB907" s="10">
        <f t="shared" ca="1" si="1056"/>
        <v>0</v>
      </c>
      <c r="BC907" s="10">
        <f t="shared" ca="1" si="1056"/>
        <v>0</v>
      </c>
      <c r="BD907" s="10">
        <f t="shared" ca="1" si="1056"/>
        <v>0</v>
      </c>
      <c r="BE907" s="10">
        <f t="shared" ca="1" si="1056"/>
        <v>0</v>
      </c>
      <c r="BF907" s="10">
        <f t="shared" ca="1" si="1056"/>
        <v>0</v>
      </c>
      <c r="BG907" s="10">
        <f t="shared" ca="1" si="1056"/>
        <v>0</v>
      </c>
      <c r="BH907" s="10">
        <f t="shared" ca="1" si="1056"/>
        <v>0</v>
      </c>
      <c r="BI907" s="10">
        <f t="shared" ca="1" si="1056"/>
        <v>0</v>
      </c>
      <c r="BJ907" s="10">
        <f t="shared" ca="1" si="1056"/>
        <v>0</v>
      </c>
      <c r="BK907" s="10">
        <f t="shared" ca="1" si="1056"/>
        <v>0</v>
      </c>
      <c r="BL907" s="10">
        <f t="shared" ca="1" si="1056"/>
        <v>0</v>
      </c>
      <c r="BM907" s="10">
        <f t="shared" ca="1" si="1056"/>
        <v>0</v>
      </c>
      <c r="BN907" s="10">
        <f t="shared" ca="1" si="1056"/>
        <v>0</v>
      </c>
      <c r="BO907" s="10">
        <f t="shared" ca="1" si="1056"/>
        <v>0</v>
      </c>
      <c r="BP907" s="10">
        <f t="shared" ca="1" si="1056"/>
        <v>0</v>
      </c>
      <c r="BQ907" s="10">
        <f t="shared" ca="1" si="1056"/>
        <v>0</v>
      </c>
      <c r="BR907" s="10">
        <f t="shared" ca="1" si="1056"/>
        <v>10094.087260740896</v>
      </c>
      <c r="BS907" s="10">
        <f t="shared" ca="1" si="1056"/>
        <v>9965.5001618779552</v>
      </c>
      <c r="BT907" s="10">
        <f t="shared" ca="1" si="1056"/>
        <v>9703.4054225482178</v>
      </c>
      <c r="BU907" s="10">
        <f t="shared" ca="1" si="1056"/>
        <v>9576.5635215998773</v>
      </c>
      <c r="BV907" s="10">
        <f t="shared" ca="1" si="1056"/>
        <v>9553.5647153839673</v>
      </c>
      <c r="BW907" s="10">
        <f t="shared" ca="1" si="1056"/>
        <v>9425.3289473922378</v>
      </c>
      <c r="BX907" s="10">
        <f t="shared" ref="BX907:CO907" ca="1" si="1057" xml:space="preserve"> Property_Tax * Flag_Operations</f>
        <v>9119.9002182683926</v>
      </c>
      <c r="BY907" s="10">
        <f t="shared" ca="1" si="1057"/>
        <v>9094.0430299100863</v>
      </c>
      <c r="BZ907" s="10">
        <f t="shared" ca="1" si="1057"/>
        <v>9065.3904698373644</v>
      </c>
      <c r="CA907" s="10">
        <f t="shared" ca="1" si="1057"/>
        <v>8936.8033709744232</v>
      </c>
      <c r="CB907" s="10">
        <f t="shared" ca="1" si="1057"/>
        <v>8616.733309674275</v>
      </c>
      <c r="CC907" s="10">
        <f t="shared" ca="1" si="1057"/>
        <v>8585.2853778871431</v>
      </c>
      <c r="CD907" s="10">
        <f t="shared" ca="1" si="1057"/>
        <v>8551.0420743855975</v>
      </c>
      <c r="CE907" s="10">
        <f t="shared" ca="1" si="1057"/>
        <v>8422.4549755226581</v>
      </c>
      <c r="CF907" s="10">
        <f t="shared" ca="1" si="1057"/>
        <v>8113.5664010801556</v>
      </c>
      <c r="CG907" s="10">
        <f t="shared" ca="1" si="1057"/>
        <v>8076.5277258642009</v>
      </c>
      <c r="CH907" s="10">
        <f t="shared" ca="1" si="1057"/>
        <v>8036.6936789338333</v>
      </c>
      <c r="CI907" s="10">
        <f t="shared" ca="1" si="1057"/>
        <v>7908.106580070893</v>
      </c>
      <c r="CJ907" s="10">
        <f t="shared" ca="1" si="1057"/>
        <v>7673.9350073747337</v>
      </c>
      <c r="CK907" s="10">
        <f t="shared" ca="1" si="1057"/>
        <v>7547.0931064263923</v>
      </c>
      <c r="CL907" s="10">
        <f t="shared" ca="1" si="1057"/>
        <v>7501.7924275162686</v>
      </c>
      <c r="CM907" s="10">
        <f t="shared" ca="1" si="1057"/>
        <v>7373.5566595245382</v>
      </c>
      <c r="CN907" s="10">
        <f t="shared" ca="1" si="1057"/>
        <v>7107.2325838919178</v>
      </c>
      <c r="CO907" s="10">
        <f t="shared" ca="1" si="1057"/>
        <v>7059.0124218183173</v>
      </c>
    </row>
    <row r="908" spans="1:93">
      <c r="A908" s="10"/>
      <c r="B908" s="10"/>
      <c r="C908" s="17" t="s">
        <v>1073</v>
      </c>
      <c r="D908" s="10"/>
      <c r="E908" s="10"/>
      <c r="F908" s="10"/>
      <c r="G908" s="134" t="str">
        <f>Monetary_Unit</f>
        <v>тыс. руб.</v>
      </c>
      <c r="H908" s="10"/>
      <c r="I908" s="23">
        <f ca="1">SUM(L908:CO908)</f>
        <v>0</v>
      </c>
      <c r="J908" s="10"/>
      <c r="K908" s="10"/>
      <c r="L908" s="10">
        <f t="shared" ref="L908:BW908" ca="1" si="1058" xml:space="preserve"> Land_Tax</f>
        <v>0</v>
      </c>
      <c r="M908" s="10">
        <f t="shared" ca="1" si="1058"/>
        <v>0</v>
      </c>
      <c r="N908" s="10">
        <f t="shared" ca="1" si="1058"/>
        <v>0</v>
      </c>
      <c r="O908" s="10">
        <f t="shared" ca="1" si="1058"/>
        <v>0</v>
      </c>
      <c r="P908" s="10">
        <f t="shared" ca="1" si="1058"/>
        <v>0</v>
      </c>
      <c r="Q908" s="10">
        <f t="shared" ca="1" si="1058"/>
        <v>0</v>
      </c>
      <c r="R908" s="10">
        <f t="shared" ca="1" si="1058"/>
        <v>0</v>
      </c>
      <c r="S908" s="10">
        <f t="shared" ca="1" si="1058"/>
        <v>0</v>
      </c>
      <c r="T908" s="10">
        <f t="shared" ca="1" si="1058"/>
        <v>0</v>
      </c>
      <c r="U908" s="10">
        <f t="shared" ca="1" si="1058"/>
        <v>0</v>
      </c>
      <c r="V908" s="10">
        <f t="shared" ca="1" si="1058"/>
        <v>0</v>
      </c>
      <c r="W908" s="10">
        <f t="shared" ca="1" si="1058"/>
        <v>0</v>
      </c>
      <c r="X908" s="10">
        <f t="shared" ca="1" si="1058"/>
        <v>0</v>
      </c>
      <c r="Y908" s="10">
        <f t="shared" ca="1" si="1058"/>
        <v>0</v>
      </c>
      <c r="Z908" s="10">
        <f t="shared" ca="1" si="1058"/>
        <v>0</v>
      </c>
      <c r="AA908" s="10">
        <f t="shared" ca="1" si="1058"/>
        <v>0</v>
      </c>
      <c r="AB908" s="10">
        <f t="shared" ca="1" si="1058"/>
        <v>0</v>
      </c>
      <c r="AC908" s="10">
        <f t="shared" ca="1" si="1058"/>
        <v>0</v>
      </c>
      <c r="AD908" s="10">
        <f t="shared" ca="1" si="1058"/>
        <v>0</v>
      </c>
      <c r="AE908" s="10">
        <f t="shared" ca="1" si="1058"/>
        <v>0</v>
      </c>
      <c r="AF908" s="10">
        <f t="shared" ca="1" si="1058"/>
        <v>0</v>
      </c>
      <c r="AG908" s="10">
        <f t="shared" ca="1" si="1058"/>
        <v>0</v>
      </c>
      <c r="AH908" s="10">
        <f t="shared" ca="1" si="1058"/>
        <v>0</v>
      </c>
      <c r="AI908" s="10">
        <f t="shared" ca="1" si="1058"/>
        <v>0</v>
      </c>
      <c r="AJ908" s="10">
        <f t="shared" ca="1" si="1058"/>
        <v>0</v>
      </c>
      <c r="AK908" s="10">
        <f t="shared" ca="1" si="1058"/>
        <v>0</v>
      </c>
      <c r="AL908" s="10">
        <f t="shared" ca="1" si="1058"/>
        <v>0</v>
      </c>
      <c r="AM908" s="10">
        <f t="shared" ca="1" si="1058"/>
        <v>0</v>
      </c>
      <c r="AN908" s="10">
        <f t="shared" ca="1" si="1058"/>
        <v>0</v>
      </c>
      <c r="AO908" s="10">
        <f t="shared" ca="1" si="1058"/>
        <v>0</v>
      </c>
      <c r="AP908" s="10">
        <f t="shared" ca="1" si="1058"/>
        <v>0</v>
      </c>
      <c r="AQ908" s="10">
        <f t="shared" ca="1" si="1058"/>
        <v>0</v>
      </c>
      <c r="AR908" s="10">
        <f t="shared" ca="1" si="1058"/>
        <v>0</v>
      </c>
      <c r="AS908" s="10">
        <f t="shared" ca="1" si="1058"/>
        <v>0</v>
      </c>
      <c r="AT908" s="10">
        <f t="shared" ca="1" si="1058"/>
        <v>0</v>
      </c>
      <c r="AU908" s="10">
        <f t="shared" ca="1" si="1058"/>
        <v>0</v>
      </c>
      <c r="AV908" s="10">
        <f t="shared" ca="1" si="1058"/>
        <v>0</v>
      </c>
      <c r="AW908" s="10">
        <f t="shared" ca="1" si="1058"/>
        <v>0</v>
      </c>
      <c r="AX908" s="10">
        <f t="shared" ca="1" si="1058"/>
        <v>0</v>
      </c>
      <c r="AY908" s="10">
        <f t="shared" ca="1" si="1058"/>
        <v>0</v>
      </c>
      <c r="AZ908" s="10">
        <f t="shared" ca="1" si="1058"/>
        <v>0</v>
      </c>
      <c r="BA908" s="10">
        <f t="shared" ca="1" si="1058"/>
        <v>0</v>
      </c>
      <c r="BB908" s="10">
        <f t="shared" ca="1" si="1058"/>
        <v>0</v>
      </c>
      <c r="BC908" s="10">
        <f t="shared" ca="1" si="1058"/>
        <v>0</v>
      </c>
      <c r="BD908" s="10">
        <f t="shared" ca="1" si="1058"/>
        <v>0</v>
      </c>
      <c r="BE908" s="10">
        <f t="shared" ca="1" si="1058"/>
        <v>0</v>
      </c>
      <c r="BF908" s="10">
        <f t="shared" ca="1" si="1058"/>
        <v>0</v>
      </c>
      <c r="BG908" s="10">
        <f t="shared" ca="1" si="1058"/>
        <v>0</v>
      </c>
      <c r="BH908" s="10">
        <f t="shared" ca="1" si="1058"/>
        <v>0</v>
      </c>
      <c r="BI908" s="10">
        <f t="shared" ca="1" si="1058"/>
        <v>0</v>
      </c>
      <c r="BJ908" s="10">
        <f t="shared" ca="1" si="1058"/>
        <v>0</v>
      </c>
      <c r="BK908" s="10">
        <f t="shared" ca="1" si="1058"/>
        <v>0</v>
      </c>
      <c r="BL908" s="10">
        <f t="shared" ca="1" si="1058"/>
        <v>0</v>
      </c>
      <c r="BM908" s="10">
        <f t="shared" ca="1" si="1058"/>
        <v>0</v>
      </c>
      <c r="BN908" s="10">
        <f t="shared" ca="1" si="1058"/>
        <v>0</v>
      </c>
      <c r="BO908" s="10">
        <f t="shared" ca="1" si="1058"/>
        <v>0</v>
      </c>
      <c r="BP908" s="10">
        <f t="shared" ca="1" si="1058"/>
        <v>0</v>
      </c>
      <c r="BQ908" s="10">
        <f t="shared" ca="1" si="1058"/>
        <v>0</v>
      </c>
      <c r="BR908" s="10">
        <f t="shared" ca="1" si="1058"/>
        <v>0</v>
      </c>
      <c r="BS908" s="10">
        <f t="shared" ca="1" si="1058"/>
        <v>0</v>
      </c>
      <c r="BT908" s="10">
        <f t="shared" ca="1" si="1058"/>
        <v>0</v>
      </c>
      <c r="BU908" s="10">
        <f t="shared" ca="1" si="1058"/>
        <v>0</v>
      </c>
      <c r="BV908" s="10">
        <f t="shared" ca="1" si="1058"/>
        <v>0</v>
      </c>
      <c r="BW908" s="10">
        <f t="shared" ca="1" si="1058"/>
        <v>0</v>
      </c>
      <c r="BX908" s="10">
        <f t="shared" ref="BX908:CO908" ca="1" si="1059" xml:space="preserve"> Land_Tax</f>
        <v>0</v>
      </c>
      <c r="BY908" s="10">
        <f t="shared" ca="1" si="1059"/>
        <v>0</v>
      </c>
      <c r="BZ908" s="10">
        <f t="shared" ca="1" si="1059"/>
        <v>0</v>
      </c>
      <c r="CA908" s="10">
        <f t="shared" ca="1" si="1059"/>
        <v>0</v>
      </c>
      <c r="CB908" s="10">
        <f t="shared" ca="1" si="1059"/>
        <v>0</v>
      </c>
      <c r="CC908" s="10">
        <f t="shared" ca="1" si="1059"/>
        <v>0</v>
      </c>
      <c r="CD908" s="10">
        <f t="shared" ca="1" si="1059"/>
        <v>0</v>
      </c>
      <c r="CE908" s="10">
        <f t="shared" ca="1" si="1059"/>
        <v>0</v>
      </c>
      <c r="CF908" s="10">
        <f t="shared" ca="1" si="1059"/>
        <v>0</v>
      </c>
      <c r="CG908" s="10">
        <f t="shared" ca="1" si="1059"/>
        <v>0</v>
      </c>
      <c r="CH908" s="10">
        <f t="shared" ca="1" si="1059"/>
        <v>0</v>
      </c>
      <c r="CI908" s="10">
        <f t="shared" ca="1" si="1059"/>
        <v>0</v>
      </c>
      <c r="CJ908" s="10">
        <f t="shared" ca="1" si="1059"/>
        <v>0</v>
      </c>
      <c r="CK908" s="10">
        <f t="shared" ca="1" si="1059"/>
        <v>0</v>
      </c>
      <c r="CL908" s="10">
        <f t="shared" ca="1" si="1059"/>
        <v>0</v>
      </c>
      <c r="CM908" s="10">
        <f t="shared" ca="1" si="1059"/>
        <v>0</v>
      </c>
      <c r="CN908" s="10">
        <f t="shared" ca="1" si="1059"/>
        <v>0</v>
      </c>
      <c r="CO908" s="10">
        <f t="shared" ca="1" si="1059"/>
        <v>0</v>
      </c>
    </row>
    <row r="909" spans="1:93">
      <c r="A909" s="10"/>
      <c r="B909" s="10"/>
      <c r="C909" s="17" t="s">
        <v>1172</v>
      </c>
      <c r="D909" s="10"/>
      <c r="E909" s="10"/>
      <c r="F909" s="10"/>
      <c r="G909" s="134" t="str">
        <f>Monetary_Unit</f>
        <v>тыс. руб.</v>
      </c>
      <c r="H909" s="10"/>
      <c r="I909" s="23">
        <f>SUM(L909:CO909)</f>
        <v>0</v>
      </c>
      <c r="J909" s="10"/>
      <c r="K909" s="10"/>
      <c r="L909" s="10">
        <v>0</v>
      </c>
      <c r="M909" s="10">
        <v>0</v>
      </c>
      <c r="N909" s="10">
        <v>0</v>
      </c>
      <c r="O909" s="10">
        <v>0</v>
      </c>
      <c r="P909" s="10">
        <v>0</v>
      </c>
      <c r="Q909" s="10">
        <v>0</v>
      </c>
      <c r="R909" s="10">
        <v>0</v>
      </c>
      <c r="S909" s="10">
        <v>0</v>
      </c>
      <c r="T909" s="10">
        <v>0</v>
      </c>
      <c r="U909" s="10">
        <v>0</v>
      </c>
      <c r="V909" s="10">
        <v>0</v>
      </c>
      <c r="W909" s="10">
        <v>0</v>
      </c>
      <c r="X909" s="10">
        <v>0</v>
      </c>
      <c r="Y909" s="10">
        <v>0</v>
      </c>
      <c r="Z909" s="10">
        <v>0</v>
      </c>
      <c r="AA909" s="10">
        <v>0</v>
      </c>
      <c r="AB909" s="10">
        <v>0</v>
      </c>
      <c r="AC909" s="10">
        <v>0</v>
      </c>
      <c r="AD909" s="10">
        <v>0</v>
      </c>
      <c r="AE909" s="10">
        <v>0</v>
      </c>
      <c r="AF909" s="10">
        <v>0</v>
      </c>
      <c r="AG909" s="10">
        <v>0</v>
      </c>
      <c r="AH909" s="10">
        <v>0</v>
      </c>
      <c r="AI909" s="10">
        <v>0</v>
      </c>
      <c r="AJ909" s="10">
        <v>0</v>
      </c>
      <c r="AK909" s="10">
        <v>0</v>
      </c>
      <c r="AL909" s="10">
        <v>0</v>
      </c>
      <c r="AM909" s="10">
        <v>0</v>
      </c>
      <c r="AN909" s="10">
        <v>0</v>
      </c>
      <c r="AO909" s="10">
        <v>0</v>
      </c>
      <c r="AP909" s="10">
        <v>0</v>
      </c>
      <c r="AQ909" s="10">
        <v>0</v>
      </c>
      <c r="AR909" s="10">
        <v>0</v>
      </c>
      <c r="AS909" s="10">
        <v>0</v>
      </c>
      <c r="AT909" s="10">
        <v>0</v>
      </c>
      <c r="AU909" s="10">
        <v>0</v>
      </c>
      <c r="AV909" s="10">
        <v>0</v>
      </c>
      <c r="AW909" s="10">
        <v>0</v>
      </c>
      <c r="AX909" s="10">
        <v>0</v>
      </c>
      <c r="AY909" s="10">
        <v>0</v>
      </c>
      <c r="AZ909" s="10">
        <v>0</v>
      </c>
      <c r="BA909" s="10">
        <v>0</v>
      </c>
      <c r="BB909" s="10">
        <v>0</v>
      </c>
      <c r="BC909" s="10">
        <v>0</v>
      </c>
      <c r="BD909" s="10">
        <v>0</v>
      </c>
      <c r="BE909" s="10">
        <v>0</v>
      </c>
      <c r="BF909" s="10">
        <v>0</v>
      </c>
      <c r="BG909" s="10">
        <v>0</v>
      </c>
      <c r="BH909" s="10">
        <v>0</v>
      </c>
      <c r="BI909" s="10">
        <v>0</v>
      </c>
      <c r="BJ909" s="10">
        <v>0</v>
      </c>
      <c r="BK909" s="10">
        <v>0</v>
      </c>
      <c r="BL909" s="10">
        <v>0</v>
      </c>
      <c r="BM909" s="10">
        <v>0</v>
      </c>
      <c r="BN909" s="10">
        <v>0</v>
      </c>
      <c r="BO909" s="10">
        <v>0</v>
      </c>
      <c r="BP909" s="10">
        <v>0</v>
      </c>
      <c r="BQ909" s="10">
        <v>0</v>
      </c>
      <c r="BR909" s="10">
        <v>0</v>
      </c>
      <c r="BS909" s="10">
        <v>0</v>
      </c>
      <c r="BT909" s="10">
        <v>0</v>
      </c>
      <c r="BU909" s="10">
        <v>0</v>
      </c>
      <c r="BV909" s="10">
        <v>0</v>
      </c>
      <c r="BW909" s="10">
        <v>0</v>
      </c>
      <c r="BX909" s="10">
        <v>0</v>
      </c>
      <c r="BY909" s="10">
        <v>0</v>
      </c>
      <c r="BZ909" s="10">
        <v>0</v>
      </c>
      <c r="CA909" s="10">
        <v>0</v>
      </c>
      <c r="CB909" s="10">
        <v>0</v>
      </c>
      <c r="CC909" s="10">
        <v>0</v>
      </c>
      <c r="CD909" s="10">
        <v>0</v>
      </c>
      <c r="CE909" s="10">
        <v>0</v>
      </c>
      <c r="CF909" s="10">
        <v>0</v>
      </c>
      <c r="CG909" s="10">
        <v>0</v>
      </c>
      <c r="CH909" s="10">
        <v>0</v>
      </c>
      <c r="CI909" s="10">
        <v>0</v>
      </c>
      <c r="CJ909" s="10">
        <v>0</v>
      </c>
      <c r="CK909" s="10">
        <v>0</v>
      </c>
      <c r="CL909" s="10">
        <v>0</v>
      </c>
      <c r="CM909" s="10">
        <v>0</v>
      </c>
      <c r="CN909" s="10">
        <v>0</v>
      </c>
      <c r="CO909" s="10">
        <v>0</v>
      </c>
    </row>
    <row r="910" spans="1:93">
      <c r="A910" s="10"/>
      <c r="B910" s="10"/>
      <c r="C910" s="10"/>
      <c r="D910" s="10"/>
      <c r="E910" s="10"/>
      <c r="F910" s="10"/>
      <c r="G910" s="11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/>
      <c r="BB910" s="10"/>
      <c r="BC910" s="10"/>
      <c r="BD910" s="10"/>
      <c r="BE910" s="10"/>
      <c r="BF910" s="10"/>
      <c r="BG910" s="10"/>
      <c r="BH910" s="10"/>
      <c r="BI910" s="10"/>
      <c r="BJ910" s="10"/>
      <c r="BK910" s="10"/>
      <c r="BL910" s="10"/>
      <c r="BM910" s="10"/>
      <c r="BN910" s="10"/>
      <c r="BO910" s="10"/>
      <c r="BP910" s="10"/>
      <c r="BQ910" s="10"/>
      <c r="BR910" s="10"/>
      <c r="BS910" s="10"/>
      <c r="BT910" s="10"/>
      <c r="BU910" s="10"/>
      <c r="BV910" s="10"/>
      <c r="BW910" s="10"/>
      <c r="BX910" s="10"/>
      <c r="BY910" s="10"/>
      <c r="BZ910" s="10"/>
      <c r="CA910" s="10"/>
      <c r="CB910" s="10"/>
      <c r="CC910" s="10"/>
      <c r="CD910" s="10"/>
      <c r="CE910" s="10"/>
      <c r="CF910" s="10"/>
      <c r="CG910" s="10"/>
      <c r="CH910" s="10"/>
      <c r="CI910" s="10"/>
      <c r="CJ910" s="10"/>
      <c r="CK910" s="10"/>
      <c r="CL910" s="10"/>
      <c r="CM910" s="10"/>
      <c r="CN910" s="10"/>
      <c r="CO910" s="10"/>
    </row>
    <row r="911" spans="1:93">
      <c r="A911" s="10"/>
      <c r="B911" s="10"/>
      <c r="C911" s="24" t="s">
        <v>144</v>
      </c>
      <c r="D911" s="24"/>
      <c r="E911" s="24"/>
      <c r="F911" s="24"/>
      <c r="G911" s="135" t="str">
        <f>Monetary_Unit</f>
        <v>тыс. руб.</v>
      </c>
      <c r="H911" s="24"/>
      <c r="I911" s="23">
        <f ca="1">SUM(L911:CO911)</f>
        <v>-355606.44199776108</v>
      </c>
      <c r="J911" s="36"/>
      <c r="K911" s="24"/>
      <c r="L911" s="24">
        <f ca="1" xml:space="preserve"> - SUM(L906:L909)</f>
        <v>0</v>
      </c>
      <c r="M911" s="24">
        <f t="shared" ref="M911:BX911" ca="1" si="1060" xml:space="preserve"> - SUM(M906:M909)</f>
        <v>0</v>
      </c>
      <c r="N911" s="24">
        <f t="shared" ca="1" si="1060"/>
        <v>0</v>
      </c>
      <c r="O911" s="24">
        <f t="shared" ca="1" si="1060"/>
        <v>0</v>
      </c>
      <c r="P911" s="24">
        <f t="shared" ca="1" si="1060"/>
        <v>0</v>
      </c>
      <c r="Q911" s="24">
        <f t="shared" ca="1" si="1060"/>
        <v>0</v>
      </c>
      <c r="R911" s="24">
        <f t="shared" ca="1" si="1060"/>
        <v>0</v>
      </c>
      <c r="S911" s="24">
        <f t="shared" ca="1" si="1060"/>
        <v>0</v>
      </c>
      <c r="T911" s="24">
        <f t="shared" ca="1" si="1060"/>
        <v>0</v>
      </c>
      <c r="U911" s="24">
        <f t="shared" ca="1" si="1060"/>
        <v>0</v>
      </c>
      <c r="V911" s="24">
        <f t="shared" ca="1" si="1060"/>
        <v>0</v>
      </c>
      <c r="W911" s="24">
        <f t="shared" ca="1" si="1060"/>
        <v>0</v>
      </c>
      <c r="X911" s="24">
        <f t="shared" ca="1" si="1060"/>
        <v>0</v>
      </c>
      <c r="Y911" s="24">
        <f t="shared" ca="1" si="1060"/>
        <v>0</v>
      </c>
      <c r="Z911" s="24">
        <f t="shared" ca="1" si="1060"/>
        <v>0</v>
      </c>
      <c r="AA911" s="24">
        <f t="shared" ca="1" si="1060"/>
        <v>0</v>
      </c>
      <c r="AB911" s="24">
        <f t="shared" ca="1" si="1060"/>
        <v>0</v>
      </c>
      <c r="AC911" s="24">
        <f t="shared" ca="1" si="1060"/>
        <v>-2309.1203594642329</v>
      </c>
      <c r="AD911" s="24">
        <f t="shared" ca="1" si="1060"/>
        <v>-2334.4953084693348</v>
      </c>
      <c r="AE911" s="24">
        <f t="shared" ca="1" si="1060"/>
        <v>-2334.4953084693348</v>
      </c>
      <c r="AF911" s="24">
        <f t="shared" ca="1" si="1060"/>
        <v>-2283.7454104591311</v>
      </c>
      <c r="AG911" s="24">
        <f t="shared" ca="1" si="1060"/>
        <v>-2309.1203594642329</v>
      </c>
      <c r="AH911" s="24">
        <f t="shared" ca="1" si="1060"/>
        <v>-2334.4953084693348</v>
      </c>
      <c r="AI911" s="24">
        <f t="shared" ca="1" si="1060"/>
        <v>-2334.4953084693348</v>
      </c>
      <c r="AJ911" s="24">
        <f t="shared" ca="1" si="1060"/>
        <v>-2283.7454104591311</v>
      </c>
      <c r="AK911" s="24">
        <f t="shared" ca="1" si="1060"/>
        <v>-2309.1203594642329</v>
      </c>
      <c r="AL911" s="24">
        <f t="shared" ca="1" si="1060"/>
        <v>-2334.4953084693348</v>
      </c>
      <c r="AM911" s="24">
        <f t="shared" ca="1" si="1060"/>
        <v>-2334.4953084693348</v>
      </c>
      <c r="AN911" s="24">
        <f t="shared" ca="1" si="1060"/>
        <v>-2302.8112874438389</v>
      </c>
      <c r="AO911" s="24">
        <f t="shared" ca="1" si="1060"/>
        <v>-2302.8112874438389</v>
      </c>
      <c r="AP911" s="24">
        <f t="shared" ca="1" si="1060"/>
        <v>-2328.1169059871777</v>
      </c>
      <c r="AQ911" s="24">
        <f t="shared" ca="1" si="1060"/>
        <v>-2328.1169059871777</v>
      </c>
      <c r="AR911" s="24">
        <f t="shared" ca="1" si="1060"/>
        <v>-2283.7454104591311</v>
      </c>
      <c r="AS911" s="24">
        <f t="shared" ca="1" si="1060"/>
        <v>-2309.1203594642329</v>
      </c>
      <c r="AT911" s="24">
        <f t="shared" ca="1" si="1060"/>
        <v>-2334.4953084693348</v>
      </c>
      <c r="AU911" s="24">
        <f t="shared" ca="1" si="1060"/>
        <v>-2334.4953084693348</v>
      </c>
      <c r="AV911" s="24">
        <f t="shared" ca="1" si="1060"/>
        <v>-2283.7454104591311</v>
      </c>
      <c r="AW911" s="24">
        <f t="shared" ca="1" si="1060"/>
        <v>-2309.1203594642329</v>
      </c>
      <c r="AX911" s="24">
        <f t="shared" ca="1" si="1060"/>
        <v>-2334.4953084693348</v>
      </c>
      <c r="AY911" s="24">
        <f t="shared" ca="1" si="1060"/>
        <v>-2334.4953084693348</v>
      </c>
      <c r="AZ911" s="24">
        <f t="shared" ca="1" si="1060"/>
        <v>-2283.7454104591311</v>
      </c>
      <c r="BA911" s="24">
        <f t="shared" ca="1" si="1060"/>
        <v>-2309.1203594642329</v>
      </c>
      <c r="BB911" s="24">
        <f t="shared" ca="1" si="1060"/>
        <v>-2334.4953084693348</v>
      </c>
      <c r="BC911" s="24">
        <f t="shared" ca="1" si="1060"/>
        <v>-2334.4953084693348</v>
      </c>
      <c r="BD911" s="24">
        <f t="shared" ca="1" si="1060"/>
        <v>-2302.8112874438389</v>
      </c>
      <c r="BE911" s="24">
        <f t="shared" ca="1" si="1060"/>
        <v>-2302.8112874438389</v>
      </c>
      <c r="BF911" s="24">
        <f t="shared" ca="1" si="1060"/>
        <v>-2328.1169059871777</v>
      </c>
      <c r="BG911" s="24">
        <f t="shared" ca="1" si="1060"/>
        <v>-2328.1169059871777</v>
      </c>
      <c r="BH911" s="24">
        <f t="shared" ca="1" si="1060"/>
        <v>-2283.7454104591311</v>
      </c>
      <c r="BI911" s="24">
        <f t="shared" ca="1" si="1060"/>
        <v>-2309.1203594642329</v>
      </c>
      <c r="BJ911" s="24">
        <f t="shared" ca="1" si="1060"/>
        <v>-2334.4953084693348</v>
      </c>
      <c r="BK911" s="24">
        <f t="shared" ca="1" si="1060"/>
        <v>-2334.4953084693348</v>
      </c>
      <c r="BL911" s="24">
        <f t="shared" ca="1" si="1060"/>
        <v>-2283.7454104591311</v>
      </c>
      <c r="BM911" s="24">
        <f t="shared" ca="1" si="1060"/>
        <v>-2309.1203594642329</v>
      </c>
      <c r="BN911" s="24">
        <f t="shared" ca="1" si="1060"/>
        <v>-2334.4953084693348</v>
      </c>
      <c r="BO911" s="24">
        <f t="shared" ca="1" si="1060"/>
        <v>-2334.4953084693348</v>
      </c>
      <c r="BP911" s="24">
        <f t="shared" ca="1" si="1060"/>
        <v>-2283.7454104591311</v>
      </c>
      <c r="BQ911" s="24">
        <f t="shared" ca="1" si="1060"/>
        <v>-2309.1203594642329</v>
      </c>
      <c r="BR911" s="24">
        <f t="shared" ca="1" si="1060"/>
        <v>-12428.582569210232</v>
      </c>
      <c r="BS911" s="24">
        <f t="shared" ca="1" si="1060"/>
        <v>-12299.99547034729</v>
      </c>
      <c r="BT911" s="24">
        <f t="shared" ca="1" si="1060"/>
        <v>-12006.216709992057</v>
      </c>
      <c r="BU911" s="24">
        <f t="shared" ca="1" si="1060"/>
        <v>-11879.374809043717</v>
      </c>
      <c r="BV911" s="24">
        <f t="shared" ca="1" si="1060"/>
        <v>-11881.681621371145</v>
      </c>
      <c r="BW911" s="24">
        <f t="shared" ca="1" si="1060"/>
        <v>-11753.445853379415</v>
      </c>
      <c r="BX911" s="24">
        <f t="shared" ca="1" si="1060"/>
        <v>-11403.645628727523</v>
      </c>
      <c r="BY911" s="24">
        <f t="shared" ref="BY911:CO911" ca="1" si="1061" xml:space="preserve"> - SUM(BY906:BY909)</f>
        <v>-11403.16338937432</v>
      </c>
      <c r="BZ911" s="24">
        <f t="shared" ca="1" si="1061"/>
        <v>-11399.8857783067</v>
      </c>
      <c r="CA911" s="24">
        <f t="shared" ca="1" si="1061"/>
        <v>-11271.298679443758</v>
      </c>
      <c r="CB911" s="24">
        <f t="shared" ca="1" si="1061"/>
        <v>-10900.478720133406</v>
      </c>
      <c r="CC911" s="24">
        <f t="shared" ca="1" si="1061"/>
        <v>-10894.405737351375</v>
      </c>
      <c r="CD911" s="24">
        <f t="shared" ca="1" si="1061"/>
        <v>-10885.537382854933</v>
      </c>
      <c r="CE911" s="24">
        <f t="shared" ca="1" si="1061"/>
        <v>-10756.950283991993</v>
      </c>
      <c r="CF911" s="24">
        <f t="shared" ca="1" si="1061"/>
        <v>-10397.311811539286</v>
      </c>
      <c r="CG911" s="24">
        <f t="shared" ca="1" si="1061"/>
        <v>-10385.648085328434</v>
      </c>
      <c r="CH911" s="24">
        <f t="shared" ca="1" si="1061"/>
        <v>-10371.188987403168</v>
      </c>
      <c r="CI911" s="24">
        <f t="shared" ca="1" si="1061"/>
        <v>-10242.601888540228</v>
      </c>
      <c r="CJ911" s="24">
        <f t="shared" ca="1" si="1061"/>
        <v>-9976.746294818573</v>
      </c>
      <c r="CK911" s="24">
        <f t="shared" ca="1" si="1061"/>
        <v>-9849.9043938702307</v>
      </c>
      <c r="CL911" s="24">
        <f t="shared" ca="1" si="1061"/>
        <v>-9829.9093335034468</v>
      </c>
      <c r="CM911" s="24">
        <f t="shared" ca="1" si="1061"/>
        <v>-9701.6735655117154</v>
      </c>
      <c r="CN911" s="24">
        <f t="shared" ca="1" si="1061"/>
        <v>-9390.9779943510493</v>
      </c>
      <c r="CO911" s="24">
        <f t="shared" ca="1" si="1061"/>
        <v>-9368.1327812825512</v>
      </c>
    </row>
    <row r="912" spans="1:93">
      <c r="A912" s="10"/>
      <c r="B912" s="10"/>
      <c r="C912" s="21"/>
      <c r="D912" s="10"/>
      <c r="E912" s="10"/>
      <c r="F912" s="10"/>
      <c r="G912" s="11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/>
      <c r="BB912" s="10"/>
      <c r="BC912" s="10"/>
      <c r="BD912" s="10"/>
      <c r="BE912" s="10"/>
      <c r="BF912" s="10"/>
      <c r="BG912" s="10"/>
      <c r="BH912" s="10"/>
      <c r="BI912" s="10"/>
      <c r="BJ912" s="10"/>
      <c r="BK912" s="10"/>
      <c r="BL912" s="10"/>
      <c r="BM912" s="10"/>
      <c r="BN912" s="10"/>
      <c r="BO912" s="10"/>
      <c r="BP912" s="10"/>
      <c r="BQ912" s="10"/>
      <c r="BR912" s="10"/>
      <c r="BS912" s="10"/>
      <c r="BT912" s="10"/>
      <c r="BU912" s="10"/>
      <c r="BV912" s="10"/>
      <c r="BW912" s="10"/>
      <c r="BX912" s="10"/>
      <c r="BY912" s="10"/>
      <c r="BZ912" s="10"/>
      <c r="CA912" s="10"/>
      <c r="CB912" s="10"/>
      <c r="CC912" s="10"/>
      <c r="CD912" s="10"/>
      <c r="CE912" s="10"/>
      <c r="CF912" s="10"/>
      <c r="CG912" s="10"/>
      <c r="CH912" s="10"/>
      <c r="CI912" s="10"/>
      <c r="CJ912" s="10"/>
      <c r="CK912" s="10"/>
      <c r="CL912" s="10"/>
      <c r="CM912" s="10"/>
      <c r="CN912" s="10"/>
      <c r="CO912" s="10"/>
    </row>
    <row r="913" spans="1:94">
      <c r="A913" s="10"/>
      <c r="B913" s="10"/>
      <c r="C913" s="17" t="s">
        <v>130</v>
      </c>
      <c r="D913" s="10"/>
      <c r="E913" s="10"/>
      <c r="F913" s="10"/>
      <c r="G913" s="11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/>
      <c r="BB913" s="10"/>
      <c r="BC913" s="10"/>
      <c r="BD913" s="10"/>
      <c r="BE913" s="10"/>
      <c r="BF913" s="10"/>
      <c r="BG913" s="10"/>
      <c r="BH913" s="10"/>
      <c r="BI913" s="10"/>
      <c r="BJ913" s="10"/>
      <c r="BK913" s="10"/>
      <c r="BL913" s="10"/>
      <c r="BM913" s="10"/>
      <c r="BN913" s="10"/>
      <c r="BO913" s="10"/>
      <c r="BP913" s="10"/>
      <c r="BQ913" s="10"/>
      <c r="BR913" s="10"/>
      <c r="BS913" s="10"/>
      <c r="BT913" s="10"/>
      <c r="BU913" s="10"/>
      <c r="BV913" s="10"/>
      <c r="BW913" s="10"/>
      <c r="BX913" s="10"/>
      <c r="BY913" s="10"/>
      <c r="BZ913" s="10"/>
      <c r="CA913" s="10"/>
      <c r="CB913" s="10"/>
      <c r="CC913" s="10"/>
      <c r="CD913" s="10"/>
      <c r="CE913" s="10"/>
      <c r="CF913" s="10"/>
      <c r="CG913" s="10"/>
      <c r="CH913" s="10"/>
      <c r="CI913" s="10"/>
      <c r="CJ913" s="10"/>
      <c r="CK913" s="10"/>
      <c r="CL913" s="10"/>
      <c r="CM913" s="10"/>
      <c r="CN913" s="10"/>
      <c r="CO913" s="10"/>
    </row>
    <row r="914" spans="1:94">
      <c r="A914" s="10"/>
      <c r="B914" s="10"/>
      <c r="C914" s="21" t="s">
        <v>872</v>
      </c>
      <c r="D914" s="10"/>
      <c r="E914" s="10"/>
      <c r="F914" s="10"/>
      <c r="G914" s="134" t="str">
        <f>Monetary_Unit</f>
        <v>тыс. руб.</v>
      </c>
      <c r="H914" s="10"/>
      <c r="I914" s="23">
        <f ca="1">SUM(L914:CO914)</f>
        <v>0</v>
      </c>
      <c r="J914" s="10"/>
      <c r="K914" s="10"/>
      <c r="L914" s="52">
        <f t="shared" ref="L914:AQ914" ca="1" si="1062">-SUM(L906,L908,L909)*Flag_Construction</f>
        <v>0</v>
      </c>
      <c r="M914" s="52">
        <f t="shared" ca="1" si="1062"/>
        <v>0</v>
      </c>
      <c r="N914" s="52">
        <f t="shared" ca="1" si="1062"/>
        <v>0</v>
      </c>
      <c r="O914" s="52">
        <f t="shared" ca="1" si="1062"/>
        <v>0</v>
      </c>
      <c r="P914" s="52">
        <f t="shared" ca="1" si="1062"/>
        <v>0</v>
      </c>
      <c r="Q914" s="52">
        <f t="shared" ca="1" si="1062"/>
        <v>0</v>
      </c>
      <c r="R914" s="52">
        <f t="shared" ca="1" si="1062"/>
        <v>0</v>
      </c>
      <c r="S914" s="52">
        <f t="shared" ca="1" si="1062"/>
        <v>0</v>
      </c>
      <c r="T914" s="52">
        <f t="shared" ca="1" si="1062"/>
        <v>0</v>
      </c>
      <c r="U914" s="52">
        <f t="shared" ca="1" si="1062"/>
        <v>0</v>
      </c>
      <c r="V914" s="52">
        <f t="shared" ca="1" si="1062"/>
        <v>0</v>
      </c>
      <c r="W914" s="52">
        <f t="shared" ca="1" si="1062"/>
        <v>0</v>
      </c>
      <c r="X914" s="52">
        <f t="shared" ca="1" si="1062"/>
        <v>0</v>
      </c>
      <c r="Y914" s="52">
        <f t="shared" ca="1" si="1062"/>
        <v>0</v>
      </c>
      <c r="Z914" s="52">
        <f t="shared" ca="1" si="1062"/>
        <v>0</v>
      </c>
      <c r="AA914" s="52">
        <f t="shared" ca="1" si="1062"/>
        <v>0</v>
      </c>
      <c r="AB914" s="52">
        <f t="shared" ca="1" si="1062"/>
        <v>0</v>
      </c>
      <c r="AC914" s="52">
        <f t="shared" ca="1" si="1062"/>
        <v>0</v>
      </c>
      <c r="AD914" s="52">
        <f t="shared" ca="1" si="1062"/>
        <v>0</v>
      </c>
      <c r="AE914" s="52">
        <f t="shared" ca="1" si="1062"/>
        <v>0</v>
      </c>
      <c r="AF914" s="52">
        <f t="shared" ca="1" si="1062"/>
        <v>0</v>
      </c>
      <c r="AG914" s="52">
        <f t="shared" ca="1" si="1062"/>
        <v>0</v>
      </c>
      <c r="AH914" s="52">
        <f t="shared" ca="1" si="1062"/>
        <v>0</v>
      </c>
      <c r="AI914" s="52">
        <f t="shared" ca="1" si="1062"/>
        <v>0</v>
      </c>
      <c r="AJ914" s="52">
        <f t="shared" ca="1" si="1062"/>
        <v>0</v>
      </c>
      <c r="AK914" s="52">
        <f t="shared" ca="1" si="1062"/>
        <v>0</v>
      </c>
      <c r="AL914" s="52">
        <f t="shared" ca="1" si="1062"/>
        <v>0</v>
      </c>
      <c r="AM914" s="52">
        <f t="shared" ca="1" si="1062"/>
        <v>0</v>
      </c>
      <c r="AN914" s="52">
        <f t="shared" ca="1" si="1062"/>
        <v>0</v>
      </c>
      <c r="AO914" s="52">
        <f t="shared" ca="1" si="1062"/>
        <v>0</v>
      </c>
      <c r="AP914" s="52">
        <f t="shared" ca="1" si="1062"/>
        <v>0</v>
      </c>
      <c r="AQ914" s="52">
        <f t="shared" ca="1" si="1062"/>
        <v>0</v>
      </c>
      <c r="AR914" s="52">
        <f t="shared" ref="AR914:BW914" ca="1" si="1063">-SUM(AR906,AR908,AR909)*Flag_Construction</f>
        <v>0</v>
      </c>
      <c r="AS914" s="52">
        <f t="shared" ca="1" si="1063"/>
        <v>0</v>
      </c>
      <c r="AT914" s="52">
        <f t="shared" ca="1" si="1063"/>
        <v>0</v>
      </c>
      <c r="AU914" s="52">
        <f t="shared" ca="1" si="1063"/>
        <v>0</v>
      </c>
      <c r="AV914" s="52">
        <f t="shared" ca="1" si="1063"/>
        <v>0</v>
      </c>
      <c r="AW914" s="52">
        <f t="shared" ca="1" si="1063"/>
        <v>0</v>
      </c>
      <c r="AX914" s="52">
        <f t="shared" ca="1" si="1063"/>
        <v>0</v>
      </c>
      <c r="AY914" s="52">
        <f t="shared" ca="1" si="1063"/>
        <v>0</v>
      </c>
      <c r="AZ914" s="52">
        <f t="shared" ca="1" si="1063"/>
        <v>0</v>
      </c>
      <c r="BA914" s="52">
        <f t="shared" ca="1" si="1063"/>
        <v>0</v>
      </c>
      <c r="BB914" s="52">
        <f t="shared" ca="1" si="1063"/>
        <v>0</v>
      </c>
      <c r="BC914" s="52">
        <f t="shared" ca="1" si="1063"/>
        <v>0</v>
      </c>
      <c r="BD914" s="52">
        <f t="shared" ca="1" si="1063"/>
        <v>0</v>
      </c>
      <c r="BE914" s="52">
        <f t="shared" ca="1" si="1063"/>
        <v>0</v>
      </c>
      <c r="BF914" s="52">
        <f t="shared" ca="1" si="1063"/>
        <v>0</v>
      </c>
      <c r="BG914" s="52">
        <f t="shared" ca="1" si="1063"/>
        <v>0</v>
      </c>
      <c r="BH914" s="52">
        <f t="shared" ca="1" si="1063"/>
        <v>0</v>
      </c>
      <c r="BI914" s="52">
        <f t="shared" ca="1" si="1063"/>
        <v>0</v>
      </c>
      <c r="BJ914" s="52">
        <f t="shared" ca="1" si="1063"/>
        <v>0</v>
      </c>
      <c r="BK914" s="52">
        <f t="shared" ca="1" si="1063"/>
        <v>0</v>
      </c>
      <c r="BL914" s="52">
        <f t="shared" ca="1" si="1063"/>
        <v>0</v>
      </c>
      <c r="BM914" s="52">
        <f t="shared" ca="1" si="1063"/>
        <v>0</v>
      </c>
      <c r="BN914" s="52">
        <f t="shared" ca="1" si="1063"/>
        <v>0</v>
      </c>
      <c r="BO914" s="52">
        <f t="shared" ca="1" si="1063"/>
        <v>0</v>
      </c>
      <c r="BP914" s="52">
        <f t="shared" ca="1" si="1063"/>
        <v>0</v>
      </c>
      <c r="BQ914" s="52">
        <f t="shared" ca="1" si="1063"/>
        <v>0</v>
      </c>
      <c r="BR914" s="52">
        <f t="shared" ca="1" si="1063"/>
        <v>0</v>
      </c>
      <c r="BS914" s="52">
        <f t="shared" ca="1" si="1063"/>
        <v>0</v>
      </c>
      <c r="BT914" s="52">
        <f t="shared" ca="1" si="1063"/>
        <v>0</v>
      </c>
      <c r="BU914" s="52">
        <f t="shared" ca="1" si="1063"/>
        <v>0</v>
      </c>
      <c r="BV914" s="52">
        <f t="shared" ca="1" si="1063"/>
        <v>0</v>
      </c>
      <c r="BW914" s="52">
        <f t="shared" ca="1" si="1063"/>
        <v>0</v>
      </c>
      <c r="BX914" s="52">
        <f t="shared" ref="BX914:CO914" ca="1" si="1064">-SUM(BX906,BX908,BX909)*Flag_Construction</f>
        <v>0</v>
      </c>
      <c r="BY914" s="52">
        <f t="shared" ca="1" si="1064"/>
        <v>0</v>
      </c>
      <c r="BZ914" s="52">
        <f t="shared" ca="1" si="1064"/>
        <v>0</v>
      </c>
      <c r="CA914" s="52">
        <f t="shared" ca="1" si="1064"/>
        <v>0</v>
      </c>
      <c r="CB914" s="52">
        <f t="shared" ca="1" si="1064"/>
        <v>0</v>
      </c>
      <c r="CC914" s="52">
        <f t="shared" ca="1" si="1064"/>
        <v>0</v>
      </c>
      <c r="CD914" s="52">
        <f t="shared" ca="1" si="1064"/>
        <v>0</v>
      </c>
      <c r="CE914" s="52">
        <f t="shared" ca="1" si="1064"/>
        <v>0</v>
      </c>
      <c r="CF914" s="52">
        <f t="shared" ca="1" si="1064"/>
        <v>0</v>
      </c>
      <c r="CG914" s="52">
        <f t="shared" ca="1" si="1064"/>
        <v>0</v>
      </c>
      <c r="CH914" s="52">
        <f t="shared" ca="1" si="1064"/>
        <v>0</v>
      </c>
      <c r="CI914" s="52">
        <f t="shared" ca="1" si="1064"/>
        <v>0</v>
      </c>
      <c r="CJ914" s="52">
        <f t="shared" ca="1" si="1064"/>
        <v>0</v>
      </c>
      <c r="CK914" s="52">
        <f t="shared" ca="1" si="1064"/>
        <v>0</v>
      </c>
      <c r="CL914" s="52">
        <f t="shared" ca="1" si="1064"/>
        <v>0</v>
      </c>
      <c r="CM914" s="52">
        <f t="shared" ca="1" si="1064"/>
        <v>0</v>
      </c>
      <c r="CN914" s="52">
        <f t="shared" ca="1" si="1064"/>
        <v>0</v>
      </c>
      <c r="CO914" s="52">
        <f t="shared" ca="1" si="1064"/>
        <v>0</v>
      </c>
    </row>
    <row r="915" spans="1:94">
      <c r="A915" s="10"/>
      <c r="B915" s="10"/>
      <c r="C915" s="21" t="s">
        <v>873</v>
      </c>
      <c r="D915" s="10"/>
      <c r="E915" s="10"/>
      <c r="F915" s="10"/>
      <c r="G915" s="134" t="str">
        <f>Monetary_Unit</f>
        <v>тыс. руб.</v>
      </c>
      <c r="H915" s="10"/>
      <c r="I915" s="23">
        <f ca="1">SUM(L915:CO915)</f>
        <v>-355606.44199776108</v>
      </c>
      <c r="J915" s="10"/>
      <c r="K915" s="10"/>
      <c r="L915" s="52">
        <f ca="1">L911-L914</f>
        <v>0</v>
      </c>
      <c r="M915" s="52">
        <f t="shared" ref="M915:BX915" ca="1" si="1065">M911-M914</f>
        <v>0</v>
      </c>
      <c r="N915" s="52">
        <f t="shared" ca="1" si="1065"/>
        <v>0</v>
      </c>
      <c r="O915" s="52">
        <f t="shared" ca="1" si="1065"/>
        <v>0</v>
      </c>
      <c r="P915" s="52">
        <f t="shared" ca="1" si="1065"/>
        <v>0</v>
      </c>
      <c r="Q915" s="52">
        <f t="shared" ca="1" si="1065"/>
        <v>0</v>
      </c>
      <c r="R915" s="52">
        <f t="shared" ca="1" si="1065"/>
        <v>0</v>
      </c>
      <c r="S915" s="52">
        <f t="shared" ca="1" si="1065"/>
        <v>0</v>
      </c>
      <c r="T915" s="52">
        <f t="shared" ca="1" si="1065"/>
        <v>0</v>
      </c>
      <c r="U915" s="52">
        <f t="shared" ca="1" si="1065"/>
        <v>0</v>
      </c>
      <c r="V915" s="52">
        <f t="shared" ca="1" si="1065"/>
        <v>0</v>
      </c>
      <c r="W915" s="52">
        <f t="shared" ca="1" si="1065"/>
        <v>0</v>
      </c>
      <c r="X915" s="52">
        <f t="shared" ca="1" si="1065"/>
        <v>0</v>
      </c>
      <c r="Y915" s="52">
        <f t="shared" ca="1" si="1065"/>
        <v>0</v>
      </c>
      <c r="Z915" s="52">
        <f t="shared" ca="1" si="1065"/>
        <v>0</v>
      </c>
      <c r="AA915" s="52">
        <f t="shared" ca="1" si="1065"/>
        <v>0</v>
      </c>
      <c r="AB915" s="52">
        <f t="shared" ca="1" si="1065"/>
        <v>0</v>
      </c>
      <c r="AC915" s="52">
        <f t="shared" ca="1" si="1065"/>
        <v>-2309.1203594642329</v>
      </c>
      <c r="AD915" s="52">
        <f t="shared" ca="1" si="1065"/>
        <v>-2334.4953084693348</v>
      </c>
      <c r="AE915" s="52">
        <f t="shared" ca="1" si="1065"/>
        <v>-2334.4953084693348</v>
      </c>
      <c r="AF915" s="52">
        <f t="shared" ca="1" si="1065"/>
        <v>-2283.7454104591311</v>
      </c>
      <c r="AG915" s="52">
        <f t="shared" ca="1" si="1065"/>
        <v>-2309.1203594642329</v>
      </c>
      <c r="AH915" s="52">
        <f t="shared" ca="1" si="1065"/>
        <v>-2334.4953084693348</v>
      </c>
      <c r="AI915" s="52">
        <f t="shared" ca="1" si="1065"/>
        <v>-2334.4953084693348</v>
      </c>
      <c r="AJ915" s="52">
        <f t="shared" ca="1" si="1065"/>
        <v>-2283.7454104591311</v>
      </c>
      <c r="AK915" s="52">
        <f t="shared" ca="1" si="1065"/>
        <v>-2309.1203594642329</v>
      </c>
      <c r="AL915" s="52">
        <f t="shared" ca="1" si="1065"/>
        <v>-2334.4953084693348</v>
      </c>
      <c r="AM915" s="52">
        <f t="shared" ca="1" si="1065"/>
        <v>-2334.4953084693348</v>
      </c>
      <c r="AN915" s="52">
        <f t="shared" ca="1" si="1065"/>
        <v>-2302.8112874438389</v>
      </c>
      <c r="AO915" s="52">
        <f t="shared" ca="1" si="1065"/>
        <v>-2302.8112874438389</v>
      </c>
      <c r="AP915" s="52">
        <f t="shared" ca="1" si="1065"/>
        <v>-2328.1169059871777</v>
      </c>
      <c r="AQ915" s="52">
        <f t="shared" ca="1" si="1065"/>
        <v>-2328.1169059871777</v>
      </c>
      <c r="AR915" s="52">
        <f t="shared" ca="1" si="1065"/>
        <v>-2283.7454104591311</v>
      </c>
      <c r="AS915" s="52">
        <f t="shared" ca="1" si="1065"/>
        <v>-2309.1203594642329</v>
      </c>
      <c r="AT915" s="52">
        <f t="shared" ca="1" si="1065"/>
        <v>-2334.4953084693348</v>
      </c>
      <c r="AU915" s="52">
        <f t="shared" ca="1" si="1065"/>
        <v>-2334.4953084693348</v>
      </c>
      <c r="AV915" s="52">
        <f t="shared" ca="1" si="1065"/>
        <v>-2283.7454104591311</v>
      </c>
      <c r="AW915" s="52">
        <f t="shared" ca="1" si="1065"/>
        <v>-2309.1203594642329</v>
      </c>
      <c r="AX915" s="52">
        <f t="shared" ca="1" si="1065"/>
        <v>-2334.4953084693348</v>
      </c>
      <c r="AY915" s="52">
        <f t="shared" ca="1" si="1065"/>
        <v>-2334.4953084693348</v>
      </c>
      <c r="AZ915" s="52">
        <f t="shared" ca="1" si="1065"/>
        <v>-2283.7454104591311</v>
      </c>
      <c r="BA915" s="52">
        <f t="shared" ca="1" si="1065"/>
        <v>-2309.1203594642329</v>
      </c>
      <c r="BB915" s="52">
        <f t="shared" ca="1" si="1065"/>
        <v>-2334.4953084693348</v>
      </c>
      <c r="BC915" s="52">
        <f t="shared" ca="1" si="1065"/>
        <v>-2334.4953084693348</v>
      </c>
      <c r="BD915" s="52">
        <f t="shared" ca="1" si="1065"/>
        <v>-2302.8112874438389</v>
      </c>
      <c r="BE915" s="52">
        <f t="shared" ca="1" si="1065"/>
        <v>-2302.8112874438389</v>
      </c>
      <c r="BF915" s="52">
        <f t="shared" ca="1" si="1065"/>
        <v>-2328.1169059871777</v>
      </c>
      <c r="BG915" s="52">
        <f t="shared" ca="1" si="1065"/>
        <v>-2328.1169059871777</v>
      </c>
      <c r="BH915" s="52">
        <f t="shared" ca="1" si="1065"/>
        <v>-2283.7454104591311</v>
      </c>
      <c r="BI915" s="52">
        <f t="shared" ca="1" si="1065"/>
        <v>-2309.1203594642329</v>
      </c>
      <c r="BJ915" s="52">
        <f t="shared" ca="1" si="1065"/>
        <v>-2334.4953084693348</v>
      </c>
      <c r="BK915" s="52">
        <f t="shared" ca="1" si="1065"/>
        <v>-2334.4953084693348</v>
      </c>
      <c r="BL915" s="52">
        <f t="shared" ca="1" si="1065"/>
        <v>-2283.7454104591311</v>
      </c>
      <c r="BM915" s="52">
        <f t="shared" ca="1" si="1065"/>
        <v>-2309.1203594642329</v>
      </c>
      <c r="BN915" s="52">
        <f t="shared" ca="1" si="1065"/>
        <v>-2334.4953084693348</v>
      </c>
      <c r="BO915" s="52">
        <f t="shared" ca="1" si="1065"/>
        <v>-2334.4953084693348</v>
      </c>
      <c r="BP915" s="52">
        <f t="shared" ca="1" si="1065"/>
        <v>-2283.7454104591311</v>
      </c>
      <c r="BQ915" s="52">
        <f t="shared" ca="1" si="1065"/>
        <v>-2309.1203594642329</v>
      </c>
      <c r="BR915" s="52">
        <f t="shared" ca="1" si="1065"/>
        <v>-12428.582569210232</v>
      </c>
      <c r="BS915" s="52">
        <f t="shared" ca="1" si="1065"/>
        <v>-12299.99547034729</v>
      </c>
      <c r="BT915" s="52">
        <f t="shared" ca="1" si="1065"/>
        <v>-12006.216709992057</v>
      </c>
      <c r="BU915" s="52">
        <f t="shared" ca="1" si="1065"/>
        <v>-11879.374809043717</v>
      </c>
      <c r="BV915" s="52">
        <f t="shared" ca="1" si="1065"/>
        <v>-11881.681621371145</v>
      </c>
      <c r="BW915" s="52">
        <f t="shared" ca="1" si="1065"/>
        <v>-11753.445853379415</v>
      </c>
      <c r="BX915" s="52">
        <f t="shared" ca="1" si="1065"/>
        <v>-11403.645628727523</v>
      </c>
      <c r="BY915" s="52">
        <f t="shared" ref="BY915:CO915" ca="1" si="1066">BY911-BY914</f>
        <v>-11403.16338937432</v>
      </c>
      <c r="BZ915" s="52">
        <f t="shared" ca="1" si="1066"/>
        <v>-11399.8857783067</v>
      </c>
      <c r="CA915" s="52">
        <f t="shared" ca="1" si="1066"/>
        <v>-11271.298679443758</v>
      </c>
      <c r="CB915" s="52">
        <f t="shared" ca="1" si="1066"/>
        <v>-10900.478720133406</v>
      </c>
      <c r="CC915" s="52">
        <f t="shared" ca="1" si="1066"/>
        <v>-10894.405737351375</v>
      </c>
      <c r="CD915" s="52">
        <f t="shared" ca="1" si="1066"/>
        <v>-10885.537382854933</v>
      </c>
      <c r="CE915" s="52">
        <f t="shared" ca="1" si="1066"/>
        <v>-10756.950283991993</v>
      </c>
      <c r="CF915" s="52">
        <f t="shared" ca="1" si="1066"/>
        <v>-10397.311811539286</v>
      </c>
      <c r="CG915" s="52">
        <f t="shared" ca="1" si="1066"/>
        <v>-10385.648085328434</v>
      </c>
      <c r="CH915" s="52">
        <f t="shared" ca="1" si="1066"/>
        <v>-10371.188987403168</v>
      </c>
      <c r="CI915" s="52">
        <f t="shared" ca="1" si="1066"/>
        <v>-10242.601888540228</v>
      </c>
      <c r="CJ915" s="52">
        <f t="shared" ca="1" si="1066"/>
        <v>-9976.746294818573</v>
      </c>
      <c r="CK915" s="52">
        <f t="shared" ca="1" si="1066"/>
        <v>-9849.9043938702307</v>
      </c>
      <c r="CL915" s="52">
        <f t="shared" ca="1" si="1066"/>
        <v>-9829.9093335034468</v>
      </c>
      <c r="CM915" s="52">
        <f t="shared" ca="1" si="1066"/>
        <v>-9701.6735655117154</v>
      </c>
      <c r="CN915" s="52">
        <f t="shared" ca="1" si="1066"/>
        <v>-9390.9779943510493</v>
      </c>
      <c r="CO915" s="52">
        <f t="shared" ca="1" si="1066"/>
        <v>-9368.1327812825512</v>
      </c>
    </row>
    <row r="916" spans="1:94">
      <c r="A916" s="10"/>
      <c r="B916" s="10"/>
      <c r="C916" s="21"/>
      <c r="D916" s="10"/>
      <c r="E916" s="10"/>
      <c r="F916" s="10"/>
      <c r="G916" s="11"/>
      <c r="H916" s="11"/>
      <c r="I916" s="11"/>
      <c r="J916" s="11"/>
      <c r="K916" s="11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/>
      <c r="BB916" s="10"/>
      <c r="BC916" s="10"/>
      <c r="BD916" s="10"/>
      <c r="BE916" s="10"/>
      <c r="BF916" s="10"/>
      <c r="BG916" s="10"/>
      <c r="BH916" s="10"/>
      <c r="BI916" s="10"/>
      <c r="BJ916" s="10"/>
      <c r="BK916" s="10"/>
      <c r="BL916" s="10"/>
      <c r="BM916" s="10"/>
      <c r="BN916" s="10"/>
      <c r="BO916" s="10"/>
      <c r="BP916" s="10"/>
      <c r="BQ916" s="10"/>
      <c r="BR916" s="10"/>
      <c r="BS916" s="10"/>
      <c r="BT916" s="10"/>
      <c r="BU916" s="10"/>
      <c r="BV916" s="10"/>
      <c r="BW916" s="10"/>
      <c r="BX916" s="10"/>
      <c r="BY916" s="10"/>
      <c r="BZ916" s="10"/>
      <c r="CA916" s="10"/>
      <c r="CB916" s="10"/>
      <c r="CC916" s="10"/>
      <c r="CD916" s="10"/>
      <c r="CE916" s="10"/>
      <c r="CF916" s="10"/>
      <c r="CG916" s="10"/>
      <c r="CH916" s="10"/>
      <c r="CI916" s="10"/>
      <c r="CJ916" s="10"/>
      <c r="CK916" s="10"/>
      <c r="CL916" s="10"/>
      <c r="CM916" s="10"/>
      <c r="CN916" s="10"/>
      <c r="CO916" s="10"/>
    </row>
    <row r="917" spans="1:94">
      <c r="A917" s="10"/>
      <c r="B917" s="10"/>
      <c r="C917" s="21" t="s">
        <v>874</v>
      </c>
      <c r="D917" s="10"/>
      <c r="E917" s="10"/>
      <c r="F917" s="10"/>
      <c r="G917" s="134" t="str">
        <f>Monetary_Unit</f>
        <v>тыс. руб.</v>
      </c>
      <c r="H917" s="10"/>
      <c r="I917" s="23">
        <f>SUM(L917:CO917)</f>
        <v>0</v>
      </c>
      <c r="J917" s="11"/>
      <c r="K917" s="11"/>
      <c r="L917" s="10">
        <f>L909</f>
        <v>0</v>
      </c>
      <c r="M917" s="10">
        <f t="shared" ref="M917:BX917" si="1067">M909</f>
        <v>0</v>
      </c>
      <c r="N917" s="10">
        <f t="shared" si="1067"/>
        <v>0</v>
      </c>
      <c r="O917" s="10">
        <f t="shared" si="1067"/>
        <v>0</v>
      </c>
      <c r="P917" s="10">
        <f t="shared" si="1067"/>
        <v>0</v>
      </c>
      <c r="Q917" s="10">
        <f t="shared" si="1067"/>
        <v>0</v>
      </c>
      <c r="R917" s="10">
        <f t="shared" si="1067"/>
        <v>0</v>
      </c>
      <c r="S917" s="10">
        <f t="shared" si="1067"/>
        <v>0</v>
      </c>
      <c r="T917" s="10">
        <f t="shared" si="1067"/>
        <v>0</v>
      </c>
      <c r="U917" s="10">
        <f t="shared" si="1067"/>
        <v>0</v>
      </c>
      <c r="V917" s="10">
        <f t="shared" si="1067"/>
        <v>0</v>
      </c>
      <c r="W917" s="10">
        <f t="shared" si="1067"/>
        <v>0</v>
      </c>
      <c r="X917" s="10">
        <f t="shared" si="1067"/>
        <v>0</v>
      </c>
      <c r="Y917" s="10">
        <f t="shared" si="1067"/>
        <v>0</v>
      </c>
      <c r="Z917" s="10">
        <f t="shared" si="1067"/>
        <v>0</v>
      </c>
      <c r="AA917" s="10">
        <f t="shared" si="1067"/>
        <v>0</v>
      </c>
      <c r="AB917" s="10">
        <f t="shared" si="1067"/>
        <v>0</v>
      </c>
      <c r="AC917" s="10">
        <f t="shared" si="1067"/>
        <v>0</v>
      </c>
      <c r="AD917" s="10">
        <f t="shared" si="1067"/>
        <v>0</v>
      </c>
      <c r="AE917" s="10">
        <f t="shared" si="1067"/>
        <v>0</v>
      </c>
      <c r="AF917" s="10">
        <f t="shared" si="1067"/>
        <v>0</v>
      </c>
      <c r="AG917" s="10">
        <f t="shared" si="1067"/>
        <v>0</v>
      </c>
      <c r="AH917" s="10">
        <f t="shared" si="1067"/>
        <v>0</v>
      </c>
      <c r="AI917" s="10">
        <f t="shared" si="1067"/>
        <v>0</v>
      </c>
      <c r="AJ917" s="10">
        <f t="shared" si="1067"/>
        <v>0</v>
      </c>
      <c r="AK917" s="10">
        <f t="shared" si="1067"/>
        <v>0</v>
      </c>
      <c r="AL917" s="10">
        <f t="shared" si="1067"/>
        <v>0</v>
      </c>
      <c r="AM917" s="10">
        <f t="shared" si="1067"/>
        <v>0</v>
      </c>
      <c r="AN917" s="10">
        <f t="shared" si="1067"/>
        <v>0</v>
      </c>
      <c r="AO917" s="10">
        <f t="shared" si="1067"/>
        <v>0</v>
      </c>
      <c r="AP917" s="10">
        <f t="shared" si="1067"/>
        <v>0</v>
      </c>
      <c r="AQ917" s="10">
        <f t="shared" si="1067"/>
        <v>0</v>
      </c>
      <c r="AR917" s="10">
        <f t="shared" si="1067"/>
        <v>0</v>
      </c>
      <c r="AS917" s="10">
        <f t="shared" si="1067"/>
        <v>0</v>
      </c>
      <c r="AT917" s="10">
        <f t="shared" si="1067"/>
        <v>0</v>
      </c>
      <c r="AU917" s="10">
        <f t="shared" si="1067"/>
        <v>0</v>
      </c>
      <c r="AV917" s="10">
        <f t="shared" si="1067"/>
        <v>0</v>
      </c>
      <c r="AW917" s="10">
        <f t="shared" si="1067"/>
        <v>0</v>
      </c>
      <c r="AX917" s="10">
        <f t="shared" si="1067"/>
        <v>0</v>
      </c>
      <c r="AY917" s="10">
        <f t="shared" si="1067"/>
        <v>0</v>
      </c>
      <c r="AZ917" s="10">
        <f t="shared" si="1067"/>
        <v>0</v>
      </c>
      <c r="BA917" s="10">
        <f t="shared" si="1067"/>
        <v>0</v>
      </c>
      <c r="BB917" s="10">
        <f t="shared" si="1067"/>
        <v>0</v>
      </c>
      <c r="BC917" s="10">
        <f t="shared" si="1067"/>
        <v>0</v>
      </c>
      <c r="BD917" s="10">
        <f t="shared" si="1067"/>
        <v>0</v>
      </c>
      <c r="BE917" s="10">
        <f t="shared" si="1067"/>
        <v>0</v>
      </c>
      <c r="BF917" s="10">
        <f t="shared" si="1067"/>
        <v>0</v>
      </c>
      <c r="BG917" s="10">
        <f t="shared" si="1067"/>
        <v>0</v>
      </c>
      <c r="BH917" s="10">
        <f t="shared" si="1067"/>
        <v>0</v>
      </c>
      <c r="BI917" s="10">
        <f t="shared" si="1067"/>
        <v>0</v>
      </c>
      <c r="BJ917" s="10">
        <f t="shared" si="1067"/>
        <v>0</v>
      </c>
      <c r="BK917" s="10">
        <f t="shared" si="1067"/>
        <v>0</v>
      </c>
      <c r="BL917" s="10">
        <f t="shared" si="1067"/>
        <v>0</v>
      </c>
      <c r="BM917" s="10">
        <f t="shared" si="1067"/>
        <v>0</v>
      </c>
      <c r="BN917" s="10">
        <f t="shared" si="1067"/>
        <v>0</v>
      </c>
      <c r="BO917" s="10">
        <f t="shared" si="1067"/>
        <v>0</v>
      </c>
      <c r="BP917" s="10">
        <f t="shared" si="1067"/>
        <v>0</v>
      </c>
      <c r="BQ917" s="10">
        <f t="shared" si="1067"/>
        <v>0</v>
      </c>
      <c r="BR917" s="10">
        <f t="shared" si="1067"/>
        <v>0</v>
      </c>
      <c r="BS917" s="10">
        <f t="shared" si="1067"/>
        <v>0</v>
      </c>
      <c r="BT917" s="10">
        <f t="shared" si="1067"/>
        <v>0</v>
      </c>
      <c r="BU917" s="10">
        <f t="shared" si="1067"/>
        <v>0</v>
      </c>
      <c r="BV917" s="10">
        <f t="shared" si="1067"/>
        <v>0</v>
      </c>
      <c r="BW917" s="10">
        <f t="shared" si="1067"/>
        <v>0</v>
      </c>
      <c r="BX917" s="10">
        <f t="shared" si="1067"/>
        <v>0</v>
      </c>
      <c r="BY917" s="10">
        <f t="shared" ref="BY917:CP917" si="1068">BY909</f>
        <v>0</v>
      </c>
      <c r="BZ917" s="10">
        <f t="shared" si="1068"/>
        <v>0</v>
      </c>
      <c r="CA917" s="10">
        <f t="shared" si="1068"/>
        <v>0</v>
      </c>
      <c r="CB917" s="10">
        <f t="shared" si="1068"/>
        <v>0</v>
      </c>
      <c r="CC917" s="10">
        <f t="shared" si="1068"/>
        <v>0</v>
      </c>
      <c r="CD917" s="10">
        <f t="shared" si="1068"/>
        <v>0</v>
      </c>
      <c r="CE917" s="10">
        <f t="shared" si="1068"/>
        <v>0</v>
      </c>
      <c r="CF917" s="10">
        <f t="shared" si="1068"/>
        <v>0</v>
      </c>
      <c r="CG917" s="10">
        <f t="shared" si="1068"/>
        <v>0</v>
      </c>
      <c r="CH917" s="10">
        <f t="shared" si="1068"/>
        <v>0</v>
      </c>
      <c r="CI917" s="10">
        <f t="shared" si="1068"/>
        <v>0</v>
      </c>
      <c r="CJ917" s="10">
        <f t="shared" si="1068"/>
        <v>0</v>
      </c>
      <c r="CK917" s="10">
        <f t="shared" si="1068"/>
        <v>0</v>
      </c>
      <c r="CL917" s="10">
        <f t="shared" si="1068"/>
        <v>0</v>
      </c>
      <c r="CM917" s="10">
        <f t="shared" si="1068"/>
        <v>0</v>
      </c>
      <c r="CN917" s="10">
        <f t="shared" si="1068"/>
        <v>0</v>
      </c>
      <c r="CO917" s="10">
        <f t="shared" si="1068"/>
        <v>0</v>
      </c>
      <c r="CP917" s="10">
        <f t="shared" si="1068"/>
        <v>0</v>
      </c>
    </row>
    <row r="918" spans="1:94">
      <c r="A918" s="10"/>
    </row>
    <row r="919" spans="1:94" ht="22.5" customHeight="1">
      <c r="A919" s="10" t="s">
        <v>113</v>
      </c>
      <c r="B919" s="5" t="s">
        <v>98</v>
      </c>
      <c r="C919" s="5"/>
      <c r="D919" s="15"/>
      <c r="E919" s="15"/>
      <c r="F919" s="31"/>
      <c r="G919" s="18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  <c r="BM919" s="31"/>
      <c r="BN919" s="31"/>
      <c r="BO919" s="31"/>
      <c r="BP919" s="31"/>
      <c r="BQ919" s="31"/>
      <c r="BR919" s="31"/>
      <c r="BS919" s="31"/>
      <c r="BT919" s="31"/>
      <c r="BU919" s="31"/>
      <c r="BV919" s="31"/>
      <c r="BW919" s="31"/>
      <c r="BX919" s="31"/>
      <c r="BY919" s="31"/>
      <c r="BZ919" s="31"/>
      <c r="CA919" s="31"/>
      <c r="CB919" s="31"/>
      <c r="CC919" s="31"/>
      <c r="CD919" s="31"/>
      <c r="CE919" s="31"/>
      <c r="CF919" s="31"/>
      <c r="CG919" s="31"/>
      <c r="CH919" s="31"/>
      <c r="CI919" s="31"/>
      <c r="CJ919" s="31"/>
      <c r="CK919" s="31"/>
      <c r="CL919" s="31"/>
      <c r="CM919" s="31"/>
      <c r="CN919" s="31"/>
      <c r="CO919" s="31"/>
    </row>
    <row r="920" spans="1:94">
      <c r="A920" s="10"/>
      <c r="B920" s="10"/>
      <c r="C920" s="17"/>
      <c r="D920" s="10"/>
      <c r="E920" s="10"/>
      <c r="F920" s="10"/>
      <c r="G920" s="11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/>
      <c r="BB920" s="10"/>
      <c r="BC920" s="10"/>
      <c r="BD920" s="10"/>
      <c r="BE920" s="10"/>
      <c r="BF920" s="10"/>
      <c r="BG920" s="10"/>
      <c r="BH920" s="10"/>
      <c r="BI920" s="10"/>
      <c r="BJ920" s="10"/>
      <c r="BK920" s="10"/>
      <c r="BL920" s="10"/>
      <c r="BM920" s="10"/>
      <c r="BN920" s="10"/>
      <c r="BO920" s="10"/>
      <c r="BP920" s="10"/>
      <c r="BQ920" s="10"/>
      <c r="BR920" s="10"/>
      <c r="BS920" s="10"/>
      <c r="BT920" s="10"/>
      <c r="BU920" s="10"/>
      <c r="BV920" s="10"/>
      <c r="BW920" s="10"/>
      <c r="BX920" s="10"/>
      <c r="BY920" s="10"/>
      <c r="BZ920" s="10"/>
      <c r="CA920" s="10"/>
      <c r="CB920" s="10"/>
      <c r="CC920" s="10"/>
      <c r="CD920" s="10"/>
      <c r="CE920" s="10"/>
      <c r="CF920" s="10"/>
      <c r="CG920" s="10"/>
      <c r="CH920" s="10"/>
      <c r="CI920" s="10"/>
      <c r="CJ920" s="10"/>
      <c r="CK920" s="10"/>
      <c r="CL920" s="10"/>
      <c r="CM920" s="10"/>
      <c r="CN920" s="10"/>
      <c r="CO920" s="10"/>
    </row>
    <row r="921" spans="1:94">
      <c r="A921" s="10"/>
      <c r="B921" s="10"/>
      <c r="C921" s="41" t="s">
        <v>1068</v>
      </c>
      <c r="D921" s="10"/>
      <c r="E921" s="10"/>
      <c r="F921" s="10"/>
      <c r="G921" s="11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/>
      <c r="BB921" s="10"/>
      <c r="BC921" s="10"/>
      <c r="BD921" s="10"/>
      <c r="BE921" s="10"/>
      <c r="BF921" s="10"/>
      <c r="BG921" s="10"/>
      <c r="BH921" s="10"/>
      <c r="BI921" s="10"/>
      <c r="BJ921" s="10"/>
      <c r="BK921" s="10"/>
      <c r="BL921" s="10"/>
      <c r="BM921" s="10"/>
      <c r="BN921" s="10"/>
      <c r="BO921" s="10"/>
      <c r="BP921" s="10"/>
      <c r="BQ921" s="10"/>
      <c r="BR921" s="10"/>
      <c r="BS921" s="10"/>
      <c r="BT921" s="10"/>
      <c r="BU921" s="10"/>
      <c r="BV921" s="10"/>
      <c r="BW921" s="10"/>
      <c r="BX921" s="10"/>
      <c r="BY921" s="10"/>
      <c r="BZ921" s="10"/>
      <c r="CA921" s="10"/>
      <c r="CB921" s="10"/>
      <c r="CC921" s="10"/>
      <c r="CD921" s="10"/>
      <c r="CE921" s="10"/>
      <c r="CF921" s="10"/>
      <c r="CG921" s="10"/>
      <c r="CH921" s="10"/>
      <c r="CI921" s="10"/>
      <c r="CJ921" s="10"/>
      <c r="CK921" s="10"/>
      <c r="CL921" s="10"/>
      <c r="CM921" s="10"/>
      <c r="CN921" s="10"/>
      <c r="CO921" s="10"/>
    </row>
    <row r="922" spans="1:94">
      <c r="A922" s="10"/>
      <c r="B922" s="10"/>
      <c r="C922" s="17" t="s">
        <v>1066</v>
      </c>
      <c r="D922" s="10"/>
      <c r="E922" s="1" t="str">
        <f>Предпосылки!E524</f>
        <v>нет</v>
      </c>
      <c r="F922" s="10"/>
      <c r="G922" s="11" t="s">
        <v>1067</v>
      </c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/>
      <c r="BB922" s="10"/>
      <c r="BC922" s="10"/>
      <c r="BD922" s="10"/>
      <c r="BE922" s="10"/>
      <c r="BF922" s="10"/>
      <c r="BG922" s="10"/>
      <c r="BH922" s="10"/>
      <c r="BI922" s="10"/>
      <c r="BJ922" s="10"/>
      <c r="BK922" s="10"/>
      <c r="BL922" s="10"/>
      <c r="BM922" s="10"/>
      <c r="BN922" s="10"/>
      <c r="BO922" s="10"/>
      <c r="BP922" s="10"/>
      <c r="BQ922" s="10"/>
      <c r="BR922" s="10"/>
      <c r="BS922" s="10"/>
      <c r="BT922" s="10"/>
      <c r="BU922" s="10"/>
      <c r="BV922" s="10"/>
      <c r="BW922" s="10"/>
      <c r="BX922" s="10"/>
      <c r="BY922" s="10"/>
      <c r="BZ922" s="10"/>
      <c r="CA922" s="10"/>
      <c r="CB922" s="10"/>
      <c r="CC922" s="10"/>
      <c r="CD922" s="10"/>
      <c r="CE922" s="10"/>
      <c r="CF922" s="10"/>
      <c r="CG922" s="10"/>
      <c r="CH922" s="10"/>
      <c r="CI922" s="10"/>
      <c r="CJ922" s="10"/>
      <c r="CK922" s="10"/>
      <c r="CL922" s="10"/>
      <c r="CM922" s="10"/>
      <c r="CN922" s="10"/>
      <c r="CO922" s="10"/>
    </row>
    <row r="923" spans="1:94">
      <c r="A923" s="10"/>
      <c r="B923" s="10"/>
      <c r="C923" s="17" t="s">
        <v>1069</v>
      </c>
      <c r="D923" s="10"/>
      <c r="E923" s="65">
        <f xml:space="preserve"> (E922 = "да") * 1</f>
        <v>0</v>
      </c>
      <c r="F923" s="10"/>
      <c r="G923" s="11" t="s">
        <v>347</v>
      </c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/>
      <c r="BB923" s="10"/>
      <c r="BC923" s="10"/>
      <c r="BD923" s="10"/>
      <c r="BE923" s="10"/>
      <c r="BF923" s="10"/>
      <c r="BG923" s="10"/>
      <c r="BH923" s="10"/>
      <c r="BI923" s="10"/>
      <c r="BJ923" s="10"/>
      <c r="BK923" s="10"/>
      <c r="BL923" s="10"/>
      <c r="BM923" s="10"/>
      <c r="BN923" s="10"/>
      <c r="BO923" s="10"/>
      <c r="BP923" s="10"/>
      <c r="BQ923" s="10"/>
      <c r="BR923" s="10"/>
      <c r="BS923" s="10"/>
      <c r="BT923" s="10"/>
      <c r="BU923" s="10"/>
      <c r="BV923" s="10"/>
      <c r="BW923" s="10"/>
      <c r="BX923" s="10"/>
      <c r="BY923" s="10"/>
      <c r="BZ923" s="10"/>
      <c r="CA923" s="10"/>
      <c r="CB923" s="10"/>
      <c r="CC923" s="10"/>
      <c r="CD923" s="10"/>
      <c r="CE923" s="10"/>
      <c r="CF923" s="10"/>
      <c r="CG923" s="10"/>
      <c r="CH923" s="10"/>
      <c r="CI923" s="10"/>
      <c r="CJ923" s="10"/>
      <c r="CK923" s="10"/>
      <c r="CL923" s="10"/>
      <c r="CM923" s="10"/>
      <c r="CN923" s="10"/>
      <c r="CO923" s="10"/>
    </row>
    <row r="924" spans="1:94">
      <c r="A924" s="10"/>
      <c r="B924" s="10"/>
      <c r="C924" s="17"/>
      <c r="D924" s="10"/>
      <c r="E924" s="10"/>
      <c r="F924" s="10"/>
      <c r="G924" s="11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/>
      <c r="BB924" s="10"/>
      <c r="BC924" s="10"/>
      <c r="BD924" s="10"/>
      <c r="BE924" s="10"/>
      <c r="BF924" s="10"/>
      <c r="BG924" s="10"/>
      <c r="BH924" s="10"/>
      <c r="BI924" s="10"/>
      <c r="BJ924" s="10"/>
      <c r="BK924" s="10"/>
      <c r="BL924" s="10"/>
      <c r="BM924" s="10"/>
      <c r="BN924" s="10"/>
      <c r="BO924" s="10"/>
      <c r="BP924" s="10"/>
      <c r="BQ924" s="10"/>
      <c r="BR924" s="10"/>
      <c r="BS924" s="10"/>
      <c r="BT924" s="10"/>
      <c r="BU924" s="10"/>
      <c r="BV924" s="10"/>
      <c r="BW924" s="10"/>
      <c r="BX924" s="10"/>
      <c r="BY924" s="10"/>
      <c r="BZ924" s="10"/>
      <c r="CA924" s="10"/>
      <c r="CB924" s="10"/>
      <c r="CC924" s="10"/>
      <c r="CD924" s="10"/>
      <c r="CE924" s="10"/>
      <c r="CF924" s="10"/>
      <c r="CG924" s="10"/>
      <c r="CH924" s="10"/>
      <c r="CI924" s="10"/>
      <c r="CJ924" s="10"/>
      <c r="CK924" s="10"/>
      <c r="CL924" s="10"/>
      <c r="CM924" s="10"/>
      <c r="CN924" s="10"/>
      <c r="CO924" s="10"/>
    </row>
    <row r="925" spans="1:94">
      <c r="A925" s="10"/>
      <c r="B925" s="10"/>
      <c r="C925" s="41" t="s">
        <v>109</v>
      </c>
      <c r="D925" s="10"/>
      <c r="E925" s="62"/>
      <c r="F925" s="10"/>
      <c r="G925" s="11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/>
      <c r="BB925" s="10"/>
      <c r="BC925" s="10"/>
      <c r="BD925" s="10"/>
      <c r="BE925" s="10"/>
      <c r="BF925" s="10"/>
      <c r="BG925" s="10"/>
      <c r="BH925" s="10"/>
      <c r="BI925" s="10"/>
      <c r="BJ925" s="10"/>
      <c r="BK925" s="10"/>
      <c r="BL925" s="10"/>
      <c r="BM925" s="10"/>
      <c r="BN925" s="10"/>
      <c r="BO925" s="10"/>
      <c r="BP925" s="10"/>
      <c r="BQ925" s="10"/>
      <c r="BR925" s="10"/>
      <c r="BS925" s="10"/>
      <c r="BT925" s="10"/>
      <c r="BU925" s="10"/>
      <c r="BV925" s="10"/>
      <c r="BW925" s="10"/>
      <c r="BX925" s="10"/>
      <c r="BY925" s="10"/>
      <c r="BZ925" s="10"/>
      <c r="CA925" s="10"/>
      <c r="CB925" s="10"/>
      <c r="CC925" s="10"/>
      <c r="CD925" s="10"/>
      <c r="CE925" s="10"/>
      <c r="CF925" s="10"/>
      <c r="CG925" s="10"/>
      <c r="CH925" s="10"/>
      <c r="CI925" s="10"/>
      <c r="CJ925" s="10"/>
      <c r="CK925" s="10"/>
      <c r="CL925" s="10"/>
      <c r="CM925" s="10"/>
      <c r="CN925" s="10"/>
      <c r="CO925" s="10"/>
    </row>
    <row r="926" spans="1:94">
      <c r="A926" s="10"/>
      <c r="B926" s="10"/>
      <c r="C926" s="17" t="s">
        <v>213</v>
      </c>
      <c r="D926" s="10"/>
      <c r="E926" s="184">
        <f xml:space="preserve"> Предпосылки!E527</f>
        <v>30</v>
      </c>
      <c r="F926" s="10"/>
      <c r="G926" s="11" t="s">
        <v>99</v>
      </c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/>
      <c r="BB926" s="10"/>
      <c r="BC926" s="10"/>
      <c r="BD926" s="10"/>
      <c r="BE926" s="10"/>
      <c r="BF926" s="10"/>
      <c r="BG926" s="10"/>
      <c r="BH926" s="10"/>
      <c r="BI926" s="10"/>
      <c r="BJ926" s="10"/>
      <c r="BK926" s="10"/>
      <c r="BL926" s="10"/>
      <c r="BM926" s="10"/>
      <c r="BN926" s="10"/>
      <c r="BO926" s="10"/>
      <c r="BP926" s="10"/>
      <c r="BQ926" s="10"/>
      <c r="BR926" s="10"/>
      <c r="BS926" s="10"/>
      <c r="BT926" s="10"/>
      <c r="BU926" s="10"/>
      <c r="BV926" s="10"/>
      <c r="BW926" s="10"/>
      <c r="BX926" s="10"/>
      <c r="BY926" s="10"/>
      <c r="BZ926" s="10"/>
      <c r="CA926" s="10"/>
      <c r="CB926" s="10"/>
      <c r="CC926" s="10"/>
      <c r="CD926" s="10"/>
      <c r="CE926" s="10"/>
      <c r="CF926" s="10"/>
      <c r="CG926" s="10"/>
      <c r="CH926" s="10"/>
      <c r="CI926" s="10"/>
      <c r="CJ926" s="10"/>
      <c r="CK926" s="10"/>
      <c r="CL926" s="10"/>
      <c r="CM926" s="10"/>
      <c r="CN926" s="10"/>
      <c r="CO926" s="10"/>
    </row>
    <row r="927" spans="1:94">
      <c r="A927" s="10"/>
      <c r="B927" s="10"/>
      <c r="C927" s="17" t="s">
        <v>180</v>
      </c>
      <c r="D927" s="10"/>
      <c r="E927" s="53"/>
      <c r="F927" s="10"/>
      <c r="G927" s="134" t="str">
        <f>Monetary_Unit</f>
        <v>тыс. руб.</v>
      </c>
      <c r="H927" s="10"/>
      <c r="I927" s="10"/>
      <c r="J927" s="10"/>
      <c r="K927" s="10"/>
      <c r="L927" s="52">
        <f t="shared" ref="L927:AQ927" si="1069">K930</f>
        <v>0</v>
      </c>
      <c r="M927" s="52">
        <f t="shared" ca="1" si="1069"/>
        <v>0</v>
      </c>
      <c r="N927" s="52">
        <f t="shared" ca="1" si="1069"/>
        <v>0</v>
      </c>
      <c r="O927" s="52">
        <f t="shared" ca="1" si="1069"/>
        <v>0</v>
      </c>
      <c r="P927" s="52">
        <f t="shared" ca="1" si="1069"/>
        <v>0</v>
      </c>
      <c r="Q927" s="52">
        <f t="shared" ca="1" si="1069"/>
        <v>0</v>
      </c>
      <c r="R927" s="52">
        <f t="shared" ca="1" si="1069"/>
        <v>0</v>
      </c>
      <c r="S927" s="52">
        <f t="shared" ca="1" si="1069"/>
        <v>0</v>
      </c>
      <c r="T927" s="52">
        <f t="shared" ca="1" si="1069"/>
        <v>0</v>
      </c>
      <c r="U927" s="52">
        <f t="shared" ca="1" si="1069"/>
        <v>0</v>
      </c>
      <c r="V927" s="52">
        <f t="shared" ca="1" si="1069"/>
        <v>0</v>
      </c>
      <c r="W927" s="52">
        <f t="shared" ca="1" si="1069"/>
        <v>0</v>
      </c>
      <c r="X927" s="52">
        <f t="shared" ca="1" si="1069"/>
        <v>0</v>
      </c>
      <c r="Y927" s="52">
        <f t="shared" ca="1" si="1069"/>
        <v>0</v>
      </c>
      <c r="Z927" s="52">
        <f t="shared" ca="1" si="1069"/>
        <v>0</v>
      </c>
      <c r="AA927" s="52">
        <f t="shared" ca="1" si="1069"/>
        <v>0</v>
      </c>
      <c r="AB927" s="52">
        <f t="shared" ca="1" si="1069"/>
        <v>0</v>
      </c>
      <c r="AC927" s="52">
        <f t="shared" ca="1" si="1069"/>
        <v>0</v>
      </c>
      <c r="AD927" s="52">
        <f t="shared" ca="1" si="1069"/>
        <v>94660.661967625027</v>
      </c>
      <c r="AE927" s="52">
        <f t="shared" ca="1" si="1069"/>
        <v>178571.02742185368</v>
      </c>
      <c r="AF927" s="52">
        <f t="shared" ca="1" si="1069"/>
        <v>66282.695074242889</v>
      </c>
      <c r="AG927" s="52">
        <f t="shared" ca="1" si="1069"/>
        <v>61381.040167154017</v>
      </c>
      <c r="AH927" s="52">
        <f t="shared" ca="1" si="1069"/>
        <v>110418.74055986514</v>
      </c>
      <c r="AI927" s="52">
        <f t="shared" ca="1" si="1069"/>
        <v>207631.27579636127</v>
      </c>
      <c r="AJ927" s="52">
        <f t="shared" ca="1" si="1069"/>
        <v>76836.242369101325</v>
      </c>
      <c r="AK927" s="52">
        <f t="shared" ca="1" si="1069"/>
        <v>70950.267071221955</v>
      </c>
      <c r="AL927" s="52">
        <f t="shared" ca="1" si="1069"/>
        <v>127286.0083803364</v>
      </c>
      <c r="AM927" s="52">
        <f t="shared" ca="1" si="1069"/>
        <v>238730.63039695437</v>
      </c>
      <c r="AN927" s="52">
        <f t="shared" ca="1" si="1069"/>
        <v>88128.021135429735</v>
      </c>
      <c r="AO927" s="52">
        <f t="shared" ca="1" si="1069"/>
        <v>81186.822463347751</v>
      </c>
      <c r="AP927" s="52">
        <f t="shared" ca="1" si="1069"/>
        <v>145325.98764154949</v>
      </c>
      <c r="AQ927" s="52">
        <f t="shared" ca="1" si="1069"/>
        <v>266059.25639644847</v>
      </c>
      <c r="AR927" s="52">
        <f t="shared" ref="AR927:BW927" ca="1" si="1070">AQ930</f>
        <v>95926.673098060361</v>
      </c>
      <c r="AS927" s="52">
        <f t="shared" ca="1" si="1070"/>
        <v>86357.916986293683</v>
      </c>
      <c r="AT927" s="52">
        <f t="shared" ca="1" si="1070"/>
        <v>151139.02714721148</v>
      </c>
      <c r="AU927" s="52">
        <f t="shared" ca="1" si="1070"/>
        <v>276701.62665230641</v>
      </c>
      <c r="AV927" s="52">
        <f t="shared" ca="1" si="1070"/>
        <v>99763.740021982696</v>
      </c>
      <c r="AW927" s="52">
        <f t="shared" ca="1" si="1070"/>
        <v>89812.233665745414</v>
      </c>
      <c r="AX927" s="52">
        <f t="shared" ca="1" si="1070"/>
        <v>139169.50216967316</v>
      </c>
      <c r="AY927" s="52">
        <f t="shared" ca="1" si="1070"/>
        <v>252240.24600456469</v>
      </c>
      <c r="AZ927" s="52">
        <f t="shared" ca="1" si="1070"/>
        <v>92361.661414328089</v>
      </c>
      <c r="BA927" s="52">
        <f t="shared" ca="1" si="1070"/>
        <v>83395.034022006002</v>
      </c>
      <c r="BB927" s="52">
        <f t="shared" ca="1" si="1070"/>
        <v>144736.28225646005</v>
      </c>
      <c r="BC927" s="52">
        <f t="shared" ca="1" si="1070"/>
        <v>262329.85584474716</v>
      </c>
      <c r="BD927" s="52">
        <f t="shared" ca="1" si="1070"/>
        <v>96056.127870901139</v>
      </c>
      <c r="BE927" s="52">
        <f t="shared" ca="1" si="1070"/>
        <v>86730.835382886231</v>
      </c>
      <c r="BF927" s="52">
        <f t="shared" ca="1" si="1070"/>
        <v>150525.73354671843</v>
      </c>
      <c r="BG927" s="52">
        <f t="shared" ca="1" si="1070"/>
        <v>272823.05007853685</v>
      </c>
      <c r="BH927" s="52">
        <f t="shared" ca="1" si="1070"/>
        <v>99898.372985737224</v>
      </c>
      <c r="BI927" s="52">
        <f t="shared" ca="1" si="1070"/>
        <v>90200.068798201683</v>
      </c>
      <c r="BJ927" s="52">
        <f t="shared" ca="1" si="1070"/>
        <v>156546.76288858708</v>
      </c>
      <c r="BK927" s="52">
        <f t="shared" ca="1" si="1070"/>
        <v>283735.97208167834</v>
      </c>
      <c r="BL927" s="52">
        <f t="shared" ca="1" si="1070"/>
        <v>103894.30790516664</v>
      </c>
      <c r="BM927" s="52">
        <f t="shared" ca="1" si="1070"/>
        <v>93808.071550129738</v>
      </c>
      <c r="BN927" s="52">
        <f t="shared" ca="1" si="1070"/>
        <v>162808.63340413058</v>
      </c>
      <c r="BO927" s="52">
        <f t="shared" ca="1" si="1070"/>
        <v>295085.41096494545</v>
      </c>
      <c r="BP927" s="52">
        <f t="shared" ca="1" si="1070"/>
        <v>108050.08022137336</v>
      </c>
      <c r="BQ927" s="52">
        <f t="shared" ca="1" si="1070"/>
        <v>97560.39441213489</v>
      </c>
      <c r="BR927" s="52">
        <f t="shared" ca="1" si="1070"/>
        <v>169320.9787402958</v>
      </c>
      <c r="BS927" s="52">
        <f t="shared" ca="1" si="1070"/>
        <v>306888.82740354328</v>
      </c>
      <c r="BT927" s="52">
        <f t="shared" ca="1" si="1070"/>
        <v>112372.08343022829</v>
      </c>
      <c r="BU927" s="52">
        <f t="shared" ca="1" si="1070"/>
        <v>101462.81018862029</v>
      </c>
      <c r="BV927" s="52">
        <f t="shared" ca="1" si="1070"/>
        <v>176093.81788990746</v>
      </c>
      <c r="BW927" s="52">
        <f t="shared" ca="1" si="1070"/>
        <v>319164.38049968472</v>
      </c>
      <c r="BX927" s="52">
        <f t="shared" ref="BX927:CO927" ca="1" si="1071">BW930</f>
        <v>116866.96676743741</v>
      </c>
      <c r="BY927" s="52">
        <f t="shared" ca="1" si="1071"/>
        <v>105521.32259616506</v>
      </c>
      <c r="BZ927" s="52">
        <f t="shared" ca="1" si="1071"/>
        <v>183137.57060550392</v>
      </c>
      <c r="CA927" s="52">
        <f t="shared" ca="1" si="1071"/>
        <v>331930.95571967214</v>
      </c>
      <c r="CB927" s="52">
        <f t="shared" ca="1" si="1071"/>
        <v>121541.6454381349</v>
      </c>
      <c r="CC927" s="52">
        <f t="shared" ca="1" si="1071"/>
        <v>109742.17550001165</v>
      </c>
      <c r="CD927" s="52">
        <f t="shared" ca="1" si="1071"/>
        <v>190463.07342972397</v>
      </c>
      <c r="CE927" s="52">
        <f t="shared" ca="1" si="1071"/>
        <v>345208.19394845911</v>
      </c>
      <c r="CF927" s="52">
        <f t="shared" ca="1" si="1071"/>
        <v>126403.31125566026</v>
      </c>
      <c r="CG927" s="52">
        <f t="shared" ca="1" si="1071"/>
        <v>114131.86252001207</v>
      </c>
      <c r="CH927" s="52">
        <f t="shared" ca="1" si="1071"/>
        <v>198081.59636691288</v>
      </c>
      <c r="CI927" s="52">
        <f t="shared" ca="1" si="1071"/>
        <v>359016.52170639741</v>
      </c>
      <c r="CJ927" s="52">
        <f t="shared" ca="1" si="1071"/>
        <v>131459.4437058866</v>
      </c>
      <c r="CK927" s="52">
        <f t="shared" ca="1" si="1071"/>
        <v>118697.1370208126</v>
      </c>
      <c r="CL927" s="52">
        <f t="shared" ca="1" si="1071"/>
        <v>206004.86022158945</v>
      </c>
      <c r="CM927" s="52">
        <f t="shared" ca="1" si="1071"/>
        <v>373377.1825746533</v>
      </c>
      <c r="CN927" s="52">
        <f t="shared" ca="1" si="1071"/>
        <v>136717.82145412208</v>
      </c>
      <c r="CO927" s="52">
        <f t="shared" ca="1" si="1071"/>
        <v>123445.02250164509</v>
      </c>
    </row>
    <row r="928" spans="1:94">
      <c r="A928" s="10"/>
      <c r="B928" s="10"/>
      <c r="C928" s="17" t="s">
        <v>916</v>
      </c>
      <c r="D928" s="10"/>
      <c r="E928" s="62"/>
      <c r="F928" s="10"/>
      <c r="G928" s="134" t="str">
        <f>Monetary_Unit</f>
        <v>тыс. руб.</v>
      </c>
      <c r="H928" s="10"/>
      <c r="I928" s="23">
        <f ca="1">SUM(L928:CO928)</f>
        <v>31948941.046733905</v>
      </c>
      <c r="J928" s="10"/>
      <c r="K928" s="10"/>
      <c r="L928" s="52">
        <f t="shared" ref="L928:BW928" ca="1" si="1072">Revenue</f>
        <v>0</v>
      </c>
      <c r="M928" s="52">
        <f t="shared" ca="1" si="1072"/>
        <v>0</v>
      </c>
      <c r="N928" s="52">
        <f t="shared" ca="1" si="1072"/>
        <v>0</v>
      </c>
      <c r="O928" s="52">
        <f t="shared" ca="1" si="1072"/>
        <v>0</v>
      </c>
      <c r="P928" s="52">
        <f t="shared" ca="1" si="1072"/>
        <v>0</v>
      </c>
      <c r="Q928" s="52">
        <f t="shared" ca="1" si="1072"/>
        <v>0</v>
      </c>
      <c r="R928" s="52">
        <f t="shared" ca="1" si="1072"/>
        <v>0</v>
      </c>
      <c r="S928" s="52">
        <f t="shared" ca="1" si="1072"/>
        <v>0</v>
      </c>
      <c r="T928" s="52">
        <f t="shared" ca="1" si="1072"/>
        <v>0</v>
      </c>
      <c r="U928" s="52">
        <f t="shared" ca="1" si="1072"/>
        <v>0</v>
      </c>
      <c r="V928" s="52">
        <f t="shared" ca="1" si="1072"/>
        <v>0</v>
      </c>
      <c r="W928" s="52">
        <f t="shared" ca="1" si="1072"/>
        <v>0</v>
      </c>
      <c r="X928" s="52">
        <f t="shared" ca="1" si="1072"/>
        <v>0</v>
      </c>
      <c r="Y928" s="52">
        <f t="shared" ca="1" si="1072"/>
        <v>0</v>
      </c>
      <c r="Z928" s="52">
        <f t="shared" ca="1" si="1072"/>
        <v>0</v>
      </c>
      <c r="AA928" s="52">
        <f t="shared" ca="1" si="1072"/>
        <v>0</v>
      </c>
      <c r="AB928" s="52">
        <f t="shared" ca="1" si="1072"/>
        <v>0</v>
      </c>
      <c r="AC928" s="52">
        <f t="shared" ca="1" si="1072"/>
        <v>287137.34130179585</v>
      </c>
      <c r="AD928" s="52">
        <f t="shared" ca="1" si="1072"/>
        <v>547617.81742701808</v>
      </c>
      <c r="AE928" s="52">
        <f t="shared" ca="1" si="1072"/>
        <v>203266.93156101141</v>
      </c>
      <c r="AF928" s="52">
        <f t="shared" ca="1" si="1072"/>
        <v>184143.12050146211</v>
      </c>
      <c r="AG928" s="52">
        <f t="shared" ca="1" si="1072"/>
        <v>334936.84636492439</v>
      </c>
      <c r="AH928" s="52">
        <f t="shared" ca="1" si="1072"/>
        <v>636735.91244217439</v>
      </c>
      <c r="AI928" s="52">
        <f t="shared" ca="1" si="1072"/>
        <v>235631.14326524414</v>
      </c>
      <c r="AJ928" s="52">
        <f t="shared" ca="1" si="1072"/>
        <v>212850.80121366578</v>
      </c>
      <c r="AK928" s="52">
        <f t="shared" ca="1" si="1072"/>
        <v>386100.89208702045</v>
      </c>
      <c r="AL928" s="52">
        <f t="shared" ca="1" si="1072"/>
        <v>732107.2665506599</v>
      </c>
      <c r="AM928" s="52">
        <f t="shared" ca="1" si="1072"/>
        <v>270259.26481531787</v>
      </c>
      <c r="AN928" s="52">
        <f t="shared" ca="1" si="1072"/>
        <v>246266.69480548825</v>
      </c>
      <c r="AO928" s="52">
        <f t="shared" ca="1" si="1072"/>
        <v>440822.16251270013</v>
      </c>
      <c r="AP928" s="52">
        <f t="shared" ca="1" si="1072"/>
        <v>815915.05294910888</v>
      </c>
      <c r="AQ928" s="52">
        <f t="shared" ca="1" si="1072"/>
        <v>294175.13083405176</v>
      </c>
      <c r="AR928" s="52">
        <f t="shared" ca="1" si="1072"/>
        <v>259073.75095888102</v>
      </c>
      <c r="AS928" s="52">
        <f t="shared" ca="1" si="1072"/>
        <v>458455.04901320807</v>
      </c>
      <c r="AT928" s="52">
        <f t="shared" ca="1" si="1072"/>
        <v>848551.65506707318</v>
      </c>
      <c r="AU928" s="52">
        <f t="shared" ca="1" si="1072"/>
        <v>305942.13606741378</v>
      </c>
      <c r="AV928" s="52">
        <f t="shared" ca="1" si="1072"/>
        <v>269436.70099723624</v>
      </c>
      <c r="AW928" s="52">
        <f t="shared" ca="1" si="1072"/>
        <v>422147.48991467513</v>
      </c>
      <c r="AX928" s="52">
        <f t="shared" ca="1" si="1072"/>
        <v>773536.7544139981</v>
      </c>
      <c r="AY928" s="52">
        <f t="shared" ca="1" si="1072"/>
        <v>283242.42833727284</v>
      </c>
      <c r="AZ928" s="52">
        <f t="shared" ca="1" si="1072"/>
        <v>250185.10206601798</v>
      </c>
      <c r="BA928" s="52">
        <f t="shared" ca="1" si="1072"/>
        <v>439033.38951126201</v>
      </c>
      <c r="BB928" s="52">
        <f t="shared" ca="1" si="1072"/>
        <v>804478.22459055774</v>
      </c>
      <c r="BC928" s="52">
        <f t="shared" ca="1" si="1072"/>
        <v>294572.12547076365</v>
      </c>
      <c r="BD928" s="52">
        <f t="shared" ca="1" si="1072"/>
        <v>263083.53399475489</v>
      </c>
      <c r="BE928" s="52">
        <f t="shared" ca="1" si="1072"/>
        <v>456594.72509171249</v>
      </c>
      <c r="BF928" s="52">
        <f t="shared" ca="1" si="1072"/>
        <v>836657.35357417993</v>
      </c>
      <c r="BG928" s="52">
        <f t="shared" ca="1" si="1072"/>
        <v>306355.01048959419</v>
      </c>
      <c r="BH928" s="52">
        <f t="shared" ca="1" si="1072"/>
        <v>270600.20639460499</v>
      </c>
      <c r="BI928" s="52">
        <f t="shared" ca="1" si="1072"/>
        <v>474858.51409538084</v>
      </c>
      <c r="BJ928" s="52">
        <f t="shared" ca="1" si="1072"/>
        <v>870123.6477171469</v>
      </c>
      <c r="BK928" s="52">
        <f t="shared" ca="1" si="1072"/>
        <v>318609.21090917796</v>
      </c>
      <c r="BL928" s="52">
        <f t="shared" ca="1" si="1072"/>
        <v>281424.21465038921</v>
      </c>
      <c r="BM928" s="52">
        <f t="shared" ca="1" si="1072"/>
        <v>493852.85465919605</v>
      </c>
      <c r="BN928" s="52">
        <f t="shared" ca="1" si="1072"/>
        <v>904928.59362583258</v>
      </c>
      <c r="BO928" s="52">
        <f t="shared" ca="1" si="1072"/>
        <v>331353.57934554503</v>
      </c>
      <c r="BP928" s="52">
        <f t="shared" ca="1" si="1072"/>
        <v>292681.18323640467</v>
      </c>
      <c r="BQ928" s="52">
        <f t="shared" ca="1" si="1072"/>
        <v>513606.96884556377</v>
      </c>
      <c r="BR928" s="52">
        <f t="shared" ca="1" si="1072"/>
        <v>941125.73737086589</v>
      </c>
      <c r="BS928" s="52">
        <f t="shared" ca="1" si="1072"/>
        <v>344607.72251936671</v>
      </c>
      <c r="BT928" s="52">
        <f t="shared" ca="1" si="1072"/>
        <v>307770.52423881477</v>
      </c>
      <c r="BU928" s="52">
        <f t="shared" ca="1" si="1072"/>
        <v>534151.24759938626</v>
      </c>
      <c r="BV928" s="52">
        <f t="shared" ca="1" si="1072"/>
        <v>978770.76686570025</v>
      </c>
      <c r="BW928" s="52">
        <f t="shared" ca="1" si="1072"/>
        <v>358392.03142014134</v>
      </c>
      <c r="BX928" s="52">
        <f t="shared" ref="BX928:CO928" ca="1" si="1073">Revenue</f>
        <v>316563.96778849518</v>
      </c>
      <c r="BY928" s="52">
        <f t="shared" ca="1" si="1073"/>
        <v>555517.29750336171</v>
      </c>
      <c r="BZ928" s="52">
        <f t="shared" ca="1" si="1073"/>
        <v>1017921.5975403283</v>
      </c>
      <c r="CA928" s="52">
        <f t="shared" ca="1" si="1073"/>
        <v>372727.71267694695</v>
      </c>
      <c r="CB928" s="52">
        <f t="shared" ca="1" si="1073"/>
        <v>329226.52650003496</v>
      </c>
      <c r="CC928" s="52">
        <f t="shared" ca="1" si="1073"/>
        <v>577737.98940349603</v>
      </c>
      <c r="CD928" s="52">
        <f t="shared" ca="1" si="1073"/>
        <v>1058638.4614419413</v>
      </c>
      <c r="CE928" s="52">
        <f t="shared" ca="1" si="1073"/>
        <v>387636.8211840248</v>
      </c>
      <c r="CF928" s="52">
        <f t="shared" ca="1" si="1073"/>
        <v>342395.58756003634</v>
      </c>
      <c r="CG928" s="52">
        <f t="shared" ca="1" si="1073"/>
        <v>600847.50897963578</v>
      </c>
      <c r="CH928" s="52">
        <f t="shared" ca="1" si="1073"/>
        <v>1100983.9998996188</v>
      </c>
      <c r="CI928" s="52">
        <f t="shared" ca="1" si="1073"/>
        <v>403142.2940313858</v>
      </c>
      <c r="CJ928" s="52">
        <f t="shared" ca="1" si="1073"/>
        <v>360047.98229646485</v>
      </c>
      <c r="CK928" s="52">
        <f t="shared" ca="1" si="1073"/>
        <v>624881.40933882119</v>
      </c>
      <c r="CL928" s="52">
        <f t="shared" ca="1" si="1073"/>
        <v>1145023.3598956035</v>
      </c>
      <c r="CM928" s="52">
        <f t="shared" ca="1" si="1073"/>
        <v>419267.98579264118</v>
      </c>
      <c r="CN928" s="52">
        <f t="shared" ca="1" si="1073"/>
        <v>370335.06750493526</v>
      </c>
      <c r="CO928" s="52">
        <f t="shared" ca="1" si="1073"/>
        <v>649876.66571237403</v>
      </c>
    </row>
    <row r="929" spans="1:93">
      <c r="A929" s="10"/>
      <c r="B929" s="10"/>
      <c r="C929" s="17" t="s">
        <v>917</v>
      </c>
      <c r="D929" s="10"/>
      <c r="E929" s="62"/>
      <c r="F929" s="10"/>
      <c r="G929" s="134" t="str">
        <f>Monetary_Unit</f>
        <v>тыс. руб.</v>
      </c>
      <c r="H929" s="10"/>
      <c r="I929" s="23">
        <f ca="1">SUM(L929:CO929)</f>
        <v>-31734695.992103457</v>
      </c>
      <c r="J929" s="10"/>
      <c r="K929" s="10"/>
      <c r="L929" s="52">
        <f t="shared" ref="L929:AQ929" ca="1" si="1074">IF(Flag_Last_Operations*$E923,-L927-L928,-(L927+L928*(Days_In_Period-$E926)/Days_In_Period))</f>
        <v>0</v>
      </c>
      <c r="M929" s="52">
        <f t="shared" ca="1" si="1074"/>
        <v>0</v>
      </c>
      <c r="N929" s="52">
        <f t="shared" ca="1" si="1074"/>
        <v>0</v>
      </c>
      <c r="O929" s="52">
        <f t="shared" ca="1" si="1074"/>
        <v>0</v>
      </c>
      <c r="P929" s="52">
        <f t="shared" ca="1" si="1074"/>
        <v>0</v>
      </c>
      <c r="Q929" s="52">
        <f t="shared" ca="1" si="1074"/>
        <v>0</v>
      </c>
      <c r="R929" s="52">
        <f t="shared" ca="1" si="1074"/>
        <v>0</v>
      </c>
      <c r="S929" s="52">
        <f t="shared" ca="1" si="1074"/>
        <v>0</v>
      </c>
      <c r="T929" s="52">
        <f t="shared" ca="1" si="1074"/>
        <v>0</v>
      </c>
      <c r="U929" s="52">
        <f t="shared" ca="1" si="1074"/>
        <v>0</v>
      </c>
      <c r="V929" s="52">
        <f t="shared" ca="1" si="1074"/>
        <v>0</v>
      </c>
      <c r="W929" s="52">
        <f t="shared" ca="1" si="1074"/>
        <v>0</v>
      </c>
      <c r="X929" s="52">
        <f t="shared" ca="1" si="1074"/>
        <v>0</v>
      </c>
      <c r="Y929" s="52">
        <f t="shared" ca="1" si="1074"/>
        <v>0</v>
      </c>
      <c r="Z929" s="52">
        <f t="shared" ca="1" si="1074"/>
        <v>0</v>
      </c>
      <c r="AA929" s="52">
        <f t="shared" ca="1" si="1074"/>
        <v>0</v>
      </c>
      <c r="AB929" s="52">
        <f t="shared" ca="1" si="1074"/>
        <v>0</v>
      </c>
      <c r="AC929" s="52">
        <f t="shared" ca="1" si="1074"/>
        <v>-192476.67933417083</v>
      </c>
      <c r="AD929" s="52">
        <f t="shared" ca="1" si="1074"/>
        <v>-463707.45197278942</v>
      </c>
      <c r="AE929" s="52">
        <f t="shared" ca="1" si="1074"/>
        <v>-315555.2639086222</v>
      </c>
      <c r="AF929" s="52">
        <f t="shared" ca="1" si="1074"/>
        <v>-189044.77540855098</v>
      </c>
      <c r="AG929" s="52">
        <f t="shared" ca="1" si="1074"/>
        <v>-285899.14597221324</v>
      </c>
      <c r="AH929" s="52">
        <f t="shared" ca="1" si="1074"/>
        <v>-539523.37720567826</v>
      </c>
      <c r="AI929" s="52">
        <f t="shared" ca="1" si="1074"/>
        <v>-366426.17669250409</v>
      </c>
      <c r="AJ929" s="52">
        <f t="shared" ca="1" si="1074"/>
        <v>-218736.77651154518</v>
      </c>
      <c r="AK929" s="52">
        <f t="shared" ca="1" si="1074"/>
        <v>-329765.150777906</v>
      </c>
      <c r="AL929" s="52">
        <f t="shared" ca="1" si="1074"/>
        <v>-620662.64453404199</v>
      </c>
      <c r="AM929" s="52">
        <f t="shared" ca="1" si="1074"/>
        <v>-420861.87407684251</v>
      </c>
      <c r="AN929" s="52">
        <f t="shared" ca="1" si="1074"/>
        <v>-253207.89347757021</v>
      </c>
      <c r="AO929" s="52">
        <f t="shared" ca="1" si="1074"/>
        <v>-376682.99733449839</v>
      </c>
      <c r="AP929" s="52">
        <f t="shared" ca="1" si="1074"/>
        <v>-695181.78419420985</v>
      </c>
      <c r="AQ929" s="52">
        <f t="shared" ca="1" si="1074"/>
        <v>-464307.71413243987</v>
      </c>
      <c r="AR929" s="52">
        <f t="shared" ref="AR929:BW929" ca="1" si="1075">IF(Flag_Last_Operations*$E923,-AR927-AR928,-(AR927+AR928*(Days_In_Period-$E926)/Days_In_Period))</f>
        <v>-268642.50707064773</v>
      </c>
      <c r="AS929" s="52">
        <f t="shared" ca="1" si="1075"/>
        <v>-393673.93885229027</v>
      </c>
      <c r="AT929" s="52">
        <f t="shared" ca="1" si="1075"/>
        <v>-722989.05556197825</v>
      </c>
      <c r="AU929" s="52">
        <f t="shared" ca="1" si="1075"/>
        <v>-482880.02269773744</v>
      </c>
      <c r="AV929" s="52">
        <f t="shared" ca="1" si="1075"/>
        <v>-279388.20735347352</v>
      </c>
      <c r="AW929" s="52">
        <f t="shared" ca="1" si="1075"/>
        <v>-372790.22141074738</v>
      </c>
      <c r="AX929" s="52">
        <f t="shared" ca="1" si="1075"/>
        <v>-660466.01057910663</v>
      </c>
      <c r="AY929" s="52">
        <f t="shared" ca="1" si="1075"/>
        <v>-443121.01292750944</v>
      </c>
      <c r="AZ929" s="52">
        <f t="shared" ca="1" si="1075"/>
        <v>-259151.72945834007</v>
      </c>
      <c r="BA929" s="52">
        <f t="shared" ca="1" si="1075"/>
        <v>-377692.14127680799</v>
      </c>
      <c r="BB929" s="52">
        <f t="shared" ca="1" si="1075"/>
        <v>-686884.65100227064</v>
      </c>
      <c r="BC929" s="52">
        <f t="shared" ca="1" si="1075"/>
        <v>-460845.85344460967</v>
      </c>
      <c r="BD929" s="52">
        <f t="shared" ca="1" si="1075"/>
        <v>-272408.8264827698</v>
      </c>
      <c r="BE929" s="52">
        <f t="shared" ca="1" si="1075"/>
        <v>-392799.82692788035</v>
      </c>
      <c r="BF929" s="52">
        <f t="shared" ca="1" si="1075"/>
        <v>-714360.03704236145</v>
      </c>
      <c r="BG929" s="52">
        <f t="shared" ca="1" si="1075"/>
        <v>-479279.68758239382</v>
      </c>
      <c r="BH929" s="52">
        <f t="shared" ca="1" si="1075"/>
        <v>-280298.51058214053</v>
      </c>
      <c r="BI929" s="52">
        <f t="shared" ca="1" si="1075"/>
        <v>-408511.82000499545</v>
      </c>
      <c r="BJ929" s="52">
        <f t="shared" ca="1" si="1075"/>
        <v>-742934.43852405564</v>
      </c>
      <c r="BK929" s="52">
        <f t="shared" ca="1" si="1075"/>
        <v>-498450.87508568959</v>
      </c>
      <c r="BL929" s="52">
        <f t="shared" ca="1" si="1075"/>
        <v>-291510.45100542612</v>
      </c>
      <c r="BM929" s="52">
        <f t="shared" ca="1" si="1075"/>
        <v>-424852.2928051952</v>
      </c>
      <c r="BN929" s="52">
        <f t="shared" ca="1" si="1075"/>
        <v>-772651.81606501772</v>
      </c>
      <c r="BO929" s="52">
        <f t="shared" ca="1" si="1075"/>
        <v>-518388.91008911713</v>
      </c>
      <c r="BP929" s="52">
        <f t="shared" ca="1" si="1075"/>
        <v>-303170.86904564314</v>
      </c>
      <c r="BQ929" s="52">
        <f t="shared" ca="1" si="1075"/>
        <v>-441846.38451740291</v>
      </c>
      <c r="BR929" s="52">
        <f t="shared" ca="1" si="1075"/>
        <v>-803557.88870761846</v>
      </c>
      <c r="BS929" s="52">
        <f t="shared" ca="1" si="1075"/>
        <v>-539124.46649268176</v>
      </c>
      <c r="BT929" s="52">
        <f t="shared" ca="1" si="1075"/>
        <v>-318679.79748042277</v>
      </c>
      <c r="BU929" s="52">
        <f t="shared" ca="1" si="1075"/>
        <v>-459520.23989809904</v>
      </c>
      <c r="BV929" s="52">
        <f t="shared" ca="1" si="1075"/>
        <v>-835700.20425592293</v>
      </c>
      <c r="BW929" s="52">
        <f t="shared" ca="1" si="1075"/>
        <v>-560689.44515238865</v>
      </c>
      <c r="BX929" s="52">
        <f t="shared" ref="BX929:CO929" ca="1" si="1076">IF(Flag_Last_Operations*$E923,-BX927-BX928,-(BX927+BX928*(Days_In_Period-$E926)/Days_In_Period))</f>
        <v>-327909.61195976753</v>
      </c>
      <c r="BY929" s="52">
        <f t="shared" ca="1" si="1076"/>
        <v>-477901.04949402291</v>
      </c>
      <c r="BZ929" s="52">
        <f t="shared" ca="1" si="1076"/>
        <v>-869128.21242616</v>
      </c>
      <c r="CA929" s="52">
        <f t="shared" ca="1" si="1076"/>
        <v>-583117.02295848425</v>
      </c>
      <c r="CB929" s="52">
        <f t="shared" ca="1" si="1076"/>
        <v>-341025.99643815821</v>
      </c>
      <c r="CC929" s="52">
        <f t="shared" ca="1" si="1076"/>
        <v>-497017.09147378372</v>
      </c>
      <c r="CD929" s="52">
        <f t="shared" ca="1" si="1076"/>
        <v>-903893.34092320618</v>
      </c>
      <c r="CE929" s="52">
        <f t="shared" ca="1" si="1076"/>
        <v>-606441.70387682365</v>
      </c>
      <c r="CF929" s="52">
        <f t="shared" ca="1" si="1076"/>
        <v>-354667.03629568452</v>
      </c>
      <c r="CG929" s="52">
        <f t="shared" ca="1" si="1076"/>
        <v>-516897.77513273497</v>
      </c>
      <c r="CH929" s="52">
        <f t="shared" ca="1" si="1076"/>
        <v>-940049.07456013421</v>
      </c>
      <c r="CI929" s="52">
        <f t="shared" ca="1" si="1076"/>
        <v>-630699.37203189661</v>
      </c>
      <c r="CJ929" s="52">
        <f t="shared" ca="1" si="1076"/>
        <v>-372810.28898153885</v>
      </c>
      <c r="CK929" s="52">
        <f t="shared" ca="1" si="1076"/>
        <v>-537573.68613804434</v>
      </c>
      <c r="CL929" s="52">
        <f t="shared" ca="1" si="1076"/>
        <v>-977651.03754253965</v>
      </c>
      <c r="CM929" s="52">
        <f t="shared" ca="1" si="1076"/>
        <v>-655927.3469131724</v>
      </c>
      <c r="CN929" s="52">
        <f t="shared" ca="1" si="1076"/>
        <v>-383607.86645741225</v>
      </c>
      <c r="CO929" s="52">
        <f t="shared" ca="1" si="1076"/>
        <v>-559076.63358356617</v>
      </c>
    </row>
    <row r="930" spans="1:93">
      <c r="A930" s="10"/>
      <c r="B930" s="10"/>
      <c r="C930" s="17" t="s">
        <v>179</v>
      </c>
      <c r="D930" s="10"/>
      <c r="E930" s="62"/>
      <c r="F930" s="10"/>
      <c r="G930" s="134" t="str">
        <f>Monetary_Unit</f>
        <v>тыс. руб.</v>
      </c>
      <c r="H930" s="10"/>
      <c r="I930" s="10"/>
      <c r="J930" s="10"/>
      <c r="K930" s="10"/>
      <c r="L930" s="52">
        <f t="shared" ref="L930:R930" ca="1" si="1077">SUM(L927:L929)</f>
        <v>0</v>
      </c>
      <c r="M930" s="52">
        <f t="shared" ca="1" si="1077"/>
        <v>0</v>
      </c>
      <c r="N930" s="52">
        <f t="shared" ca="1" si="1077"/>
        <v>0</v>
      </c>
      <c r="O930" s="52">
        <f t="shared" ca="1" si="1077"/>
        <v>0</v>
      </c>
      <c r="P930" s="52">
        <f t="shared" ca="1" si="1077"/>
        <v>0</v>
      </c>
      <c r="Q930" s="52">
        <f t="shared" ca="1" si="1077"/>
        <v>0</v>
      </c>
      <c r="R930" s="52">
        <f t="shared" ca="1" si="1077"/>
        <v>0</v>
      </c>
      <c r="S930" s="52">
        <f ca="1">SUM(S927:S929)</f>
        <v>0</v>
      </c>
      <c r="T930" s="52">
        <f t="shared" ref="T930:CE930" ca="1" si="1078">SUM(T927:T929)</f>
        <v>0</v>
      </c>
      <c r="U930" s="52">
        <f t="shared" ca="1" si="1078"/>
        <v>0</v>
      </c>
      <c r="V930" s="52">
        <f t="shared" ca="1" si="1078"/>
        <v>0</v>
      </c>
      <c r="W930" s="52">
        <f t="shared" ca="1" si="1078"/>
        <v>0</v>
      </c>
      <c r="X930" s="52">
        <f t="shared" ca="1" si="1078"/>
        <v>0</v>
      </c>
      <c r="Y930" s="52">
        <f t="shared" ca="1" si="1078"/>
        <v>0</v>
      </c>
      <c r="Z930" s="52">
        <f t="shared" ca="1" si="1078"/>
        <v>0</v>
      </c>
      <c r="AA930" s="52">
        <f t="shared" ca="1" si="1078"/>
        <v>0</v>
      </c>
      <c r="AB930" s="52">
        <f t="shared" ca="1" si="1078"/>
        <v>0</v>
      </c>
      <c r="AC930" s="52">
        <f t="shared" ca="1" si="1078"/>
        <v>94660.661967625027</v>
      </c>
      <c r="AD930" s="52">
        <f t="shared" ca="1" si="1078"/>
        <v>178571.02742185368</v>
      </c>
      <c r="AE930" s="52">
        <f t="shared" ca="1" si="1078"/>
        <v>66282.695074242889</v>
      </c>
      <c r="AF930" s="52">
        <f t="shared" ca="1" si="1078"/>
        <v>61381.040167154017</v>
      </c>
      <c r="AG930" s="52">
        <f t="shared" ca="1" si="1078"/>
        <v>110418.74055986514</v>
      </c>
      <c r="AH930" s="52">
        <f t="shared" ca="1" si="1078"/>
        <v>207631.27579636127</v>
      </c>
      <c r="AI930" s="52">
        <f t="shared" ca="1" si="1078"/>
        <v>76836.242369101325</v>
      </c>
      <c r="AJ930" s="52">
        <f t="shared" ca="1" si="1078"/>
        <v>70950.267071221955</v>
      </c>
      <c r="AK930" s="52">
        <f t="shared" ca="1" si="1078"/>
        <v>127286.0083803364</v>
      </c>
      <c r="AL930" s="52">
        <f t="shared" ca="1" si="1078"/>
        <v>238730.63039695437</v>
      </c>
      <c r="AM930" s="52">
        <f t="shared" ca="1" si="1078"/>
        <v>88128.021135429735</v>
      </c>
      <c r="AN930" s="52">
        <f t="shared" ca="1" si="1078"/>
        <v>81186.822463347751</v>
      </c>
      <c r="AO930" s="52">
        <f t="shared" ca="1" si="1078"/>
        <v>145325.98764154949</v>
      </c>
      <c r="AP930" s="52">
        <f t="shared" ca="1" si="1078"/>
        <v>266059.25639644847</v>
      </c>
      <c r="AQ930" s="52">
        <f t="shared" ca="1" si="1078"/>
        <v>95926.673098060361</v>
      </c>
      <c r="AR930" s="52">
        <f t="shared" ca="1" si="1078"/>
        <v>86357.916986293683</v>
      </c>
      <c r="AS930" s="52">
        <f t="shared" ca="1" si="1078"/>
        <v>151139.02714721148</v>
      </c>
      <c r="AT930" s="52">
        <f t="shared" ca="1" si="1078"/>
        <v>276701.62665230641</v>
      </c>
      <c r="AU930" s="52">
        <f t="shared" ca="1" si="1078"/>
        <v>99763.740021982696</v>
      </c>
      <c r="AV930" s="52">
        <f t="shared" ca="1" si="1078"/>
        <v>89812.233665745414</v>
      </c>
      <c r="AW930" s="52">
        <f t="shared" ca="1" si="1078"/>
        <v>139169.50216967316</v>
      </c>
      <c r="AX930" s="52">
        <f t="shared" ca="1" si="1078"/>
        <v>252240.24600456469</v>
      </c>
      <c r="AY930" s="52">
        <f t="shared" ca="1" si="1078"/>
        <v>92361.661414328089</v>
      </c>
      <c r="AZ930" s="52">
        <f t="shared" ca="1" si="1078"/>
        <v>83395.034022006002</v>
      </c>
      <c r="BA930" s="52">
        <f t="shared" ca="1" si="1078"/>
        <v>144736.28225646005</v>
      </c>
      <c r="BB930" s="52">
        <f t="shared" ca="1" si="1078"/>
        <v>262329.85584474716</v>
      </c>
      <c r="BC930" s="52">
        <f t="shared" ca="1" si="1078"/>
        <v>96056.127870901139</v>
      </c>
      <c r="BD930" s="52">
        <f t="shared" ca="1" si="1078"/>
        <v>86730.835382886231</v>
      </c>
      <c r="BE930" s="52">
        <f t="shared" ca="1" si="1078"/>
        <v>150525.73354671843</v>
      </c>
      <c r="BF930" s="52">
        <f t="shared" ca="1" si="1078"/>
        <v>272823.05007853685</v>
      </c>
      <c r="BG930" s="52">
        <f t="shared" ca="1" si="1078"/>
        <v>99898.372985737224</v>
      </c>
      <c r="BH930" s="52">
        <f t="shared" ca="1" si="1078"/>
        <v>90200.068798201683</v>
      </c>
      <c r="BI930" s="52">
        <f t="shared" ca="1" si="1078"/>
        <v>156546.76288858708</v>
      </c>
      <c r="BJ930" s="52">
        <f t="shared" ca="1" si="1078"/>
        <v>283735.97208167834</v>
      </c>
      <c r="BK930" s="52">
        <f t="shared" ca="1" si="1078"/>
        <v>103894.30790516664</v>
      </c>
      <c r="BL930" s="52">
        <f t="shared" ca="1" si="1078"/>
        <v>93808.071550129738</v>
      </c>
      <c r="BM930" s="52">
        <f t="shared" ca="1" si="1078"/>
        <v>162808.63340413058</v>
      </c>
      <c r="BN930" s="52">
        <f t="shared" ca="1" si="1078"/>
        <v>295085.41096494545</v>
      </c>
      <c r="BO930" s="52">
        <f t="shared" ca="1" si="1078"/>
        <v>108050.08022137336</v>
      </c>
      <c r="BP930" s="52">
        <f t="shared" ca="1" si="1078"/>
        <v>97560.39441213489</v>
      </c>
      <c r="BQ930" s="52">
        <f t="shared" ca="1" si="1078"/>
        <v>169320.9787402958</v>
      </c>
      <c r="BR930" s="52">
        <f t="shared" ca="1" si="1078"/>
        <v>306888.82740354328</v>
      </c>
      <c r="BS930" s="52">
        <f t="shared" ca="1" si="1078"/>
        <v>112372.08343022829</v>
      </c>
      <c r="BT930" s="52">
        <f t="shared" ca="1" si="1078"/>
        <v>101462.81018862029</v>
      </c>
      <c r="BU930" s="52">
        <f t="shared" ca="1" si="1078"/>
        <v>176093.81788990746</v>
      </c>
      <c r="BV930" s="52">
        <f t="shared" ca="1" si="1078"/>
        <v>319164.38049968472</v>
      </c>
      <c r="BW930" s="52">
        <f t="shared" ca="1" si="1078"/>
        <v>116866.96676743741</v>
      </c>
      <c r="BX930" s="52">
        <f t="shared" ca="1" si="1078"/>
        <v>105521.32259616506</v>
      </c>
      <c r="BY930" s="52">
        <f t="shared" ca="1" si="1078"/>
        <v>183137.57060550392</v>
      </c>
      <c r="BZ930" s="52">
        <f t="shared" ca="1" si="1078"/>
        <v>331930.95571967214</v>
      </c>
      <c r="CA930" s="52">
        <f t="shared" ca="1" si="1078"/>
        <v>121541.6454381349</v>
      </c>
      <c r="CB930" s="52">
        <f t="shared" ca="1" si="1078"/>
        <v>109742.17550001165</v>
      </c>
      <c r="CC930" s="52">
        <f t="shared" ca="1" si="1078"/>
        <v>190463.07342972397</v>
      </c>
      <c r="CD930" s="52">
        <f t="shared" ca="1" si="1078"/>
        <v>345208.19394845911</v>
      </c>
      <c r="CE930" s="52">
        <f t="shared" ca="1" si="1078"/>
        <v>126403.31125566026</v>
      </c>
      <c r="CF930" s="52">
        <f t="shared" ref="CF930:CO930" ca="1" si="1079">SUM(CF927:CF929)</f>
        <v>114131.86252001207</v>
      </c>
      <c r="CG930" s="52">
        <f t="shared" ca="1" si="1079"/>
        <v>198081.59636691288</v>
      </c>
      <c r="CH930" s="52">
        <f t="shared" ca="1" si="1079"/>
        <v>359016.52170639741</v>
      </c>
      <c r="CI930" s="52">
        <f t="shared" ca="1" si="1079"/>
        <v>131459.4437058866</v>
      </c>
      <c r="CJ930" s="52">
        <f t="shared" ca="1" si="1079"/>
        <v>118697.1370208126</v>
      </c>
      <c r="CK930" s="52">
        <f t="shared" ca="1" si="1079"/>
        <v>206004.86022158945</v>
      </c>
      <c r="CL930" s="52">
        <f t="shared" ca="1" si="1079"/>
        <v>373377.1825746533</v>
      </c>
      <c r="CM930" s="52">
        <f t="shared" ca="1" si="1079"/>
        <v>136717.82145412208</v>
      </c>
      <c r="CN930" s="52">
        <f t="shared" ca="1" si="1079"/>
        <v>123445.02250164509</v>
      </c>
      <c r="CO930" s="52">
        <f t="shared" ca="1" si="1079"/>
        <v>214245.054630453</v>
      </c>
    </row>
    <row r="931" spans="1:93">
      <c r="A931" s="10"/>
      <c r="B931" s="10"/>
      <c r="C931" s="17" t="s">
        <v>206</v>
      </c>
      <c r="D931" s="10"/>
      <c r="E931" s="62"/>
      <c r="F931" s="10"/>
      <c r="G931" s="134" t="str">
        <f>Monetary_Unit</f>
        <v>тыс. руб.</v>
      </c>
      <c r="H931" s="10"/>
      <c r="I931" s="23">
        <f ca="1">SUM(L931:CO931)</f>
        <v>-214245.054630453</v>
      </c>
      <c r="J931" s="10"/>
      <c r="K931" s="10"/>
      <c r="L931" s="52">
        <f t="shared" ref="L931:R931" ca="1" si="1080">L927-L930</f>
        <v>0</v>
      </c>
      <c r="M931" s="52">
        <f t="shared" ca="1" si="1080"/>
        <v>0</v>
      </c>
      <c r="N931" s="52">
        <f t="shared" ca="1" si="1080"/>
        <v>0</v>
      </c>
      <c r="O931" s="52">
        <f t="shared" ca="1" si="1080"/>
        <v>0</v>
      </c>
      <c r="P931" s="52">
        <f t="shared" ca="1" si="1080"/>
        <v>0</v>
      </c>
      <c r="Q931" s="52">
        <f t="shared" ca="1" si="1080"/>
        <v>0</v>
      </c>
      <c r="R931" s="52">
        <f t="shared" ca="1" si="1080"/>
        <v>0</v>
      </c>
      <c r="S931" s="52">
        <f ca="1">S927-S930</f>
        <v>0</v>
      </c>
      <c r="T931" s="52">
        <f t="shared" ref="T931:CE931" ca="1" si="1081">T927-T930</f>
        <v>0</v>
      </c>
      <c r="U931" s="52">
        <f t="shared" ca="1" si="1081"/>
        <v>0</v>
      </c>
      <c r="V931" s="52">
        <f t="shared" ca="1" si="1081"/>
        <v>0</v>
      </c>
      <c r="W931" s="52">
        <f t="shared" ca="1" si="1081"/>
        <v>0</v>
      </c>
      <c r="X931" s="52">
        <f t="shared" ca="1" si="1081"/>
        <v>0</v>
      </c>
      <c r="Y931" s="52">
        <f t="shared" ca="1" si="1081"/>
        <v>0</v>
      </c>
      <c r="Z931" s="52">
        <f t="shared" ca="1" si="1081"/>
        <v>0</v>
      </c>
      <c r="AA931" s="52">
        <f t="shared" ca="1" si="1081"/>
        <v>0</v>
      </c>
      <c r="AB931" s="52">
        <f t="shared" ca="1" si="1081"/>
        <v>0</v>
      </c>
      <c r="AC931" s="52">
        <f t="shared" ca="1" si="1081"/>
        <v>-94660.661967625027</v>
      </c>
      <c r="AD931" s="52">
        <f t="shared" ca="1" si="1081"/>
        <v>-83910.365454228653</v>
      </c>
      <c r="AE931" s="52">
        <f t="shared" ca="1" si="1081"/>
        <v>112288.33234761079</v>
      </c>
      <c r="AF931" s="52">
        <f t="shared" ca="1" si="1081"/>
        <v>4901.6549070888723</v>
      </c>
      <c r="AG931" s="52">
        <f t="shared" ca="1" si="1081"/>
        <v>-49037.700392711122</v>
      </c>
      <c r="AH931" s="52">
        <f t="shared" ca="1" si="1081"/>
        <v>-97212.535236496129</v>
      </c>
      <c r="AI931" s="52">
        <f t="shared" ca="1" si="1081"/>
        <v>130795.03342725994</v>
      </c>
      <c r="AJ931" s="52">
        <f t="shared" ca="1" si="1081"/>
        <v>5885.9752978793695</v>
      </c>
      <c r="AK931" s="52">
        <f t="shared" ca="1" si="1081"/>
        <v>-56335.741309114441</v>
      </c>
      <c r="AL931" s="52">
        <f t="shared" ca="1" si="1081"/>
        <v>-111444.62201661797</v>
      </c>
      <c r="AM931" s="52">
        <f t="shared" ca="1" si="1081"/>
        <v>150602.60926152463</v>
      </c>
      <c r="AN931" s="52">
        <f t="shared" ca="1" si="1081"/>
        <v>6941.1986720819841</v>
      </c>
      <c r="AO931" s="52">
        <f t="shared" ca="1" si="1081"/>
        <v>-64139.165178201743</v>
      </c>
      <c r="AP931" s="52">
        <f t="shared" ca="1" si="1081"/>
        <v>-120733.26875489898</v>
      </c>
      <c r="AQ931" s="52">
        <f t="shared" ca="1" si="1081"/>
        <v>170132.58329838811</v>
      </c>
      <c r="AR931" s="52">
        <f t="shared" ca="1" si="1081"/>
        <v>9568.7561117666773</v>
      </c>
      <c r="AS931" s="52">
        <f t="shared" ca="1" si="1081"/>
        <v>-64781.1101609178</v>
      </c>
      <c r="AT931" s="52">
        <f t="shared" ca="1" si="1081"/>
        <v>-125562.59950509493</v>
      </c>
      <c r="AU931" s="52">
        <f t="shared" ca="1" si="1081"/>
        <v>176937.88663032372</v>
      </c>
      <c r="AV931" s="52">
        <f t="shared" ca="1" si="1081"/>
        <v>9951.5063562372816</v>
      </c>
      <c r="AW931" s="52">
        <f t="shared" ca="1" si="1081"/>
        <v>-49357.268503927742</v>
      </c>
      <c r="AX931" s="52">
        <f t="shared" ca="1" si="1081"/>
        <v>-113070.74383489153</v>
      </c>
      <c r="AY931" s="52">
        <f t="shared" ca="1" si="1081"/>
        <v>159878.5845902366</v>
      </c>
      <c r="AZ931" s="52">
        <f t="shared" ca="1" si="1081"/>
        <v>8966.627392322087</v>
      </c>
      <c r="BA931" s="52">
        <f t="shared" ca="1" si="1081"/>
        <v>-61341.248234454048</v>
      </c>
      <c r="BB931" s="52">
        <f t="shared" ca="1" si="1081"/>
        <v>-117593.57358828711</v>
      </c>
      <c r="BC931" s="52">
        <f t="shared" ca="1" si="1081"/>
        <v>166273.72797384602</v>
      </c>
      <c r="BD931" s="52">
        <f t="shared" ca="1" si="1081"/>
        <v>9325.2924880149076</v>
      </c>
      <c r="BE931" s="52">
        <f t="shared" ca="1" si="1081"/>
        <v>-63794.8981638322</v>
      </c>
      <c r="BF931" s="52">
        <f t="shared" ca="1" si="1081"/>
        <v>-122297.31653181842</v>
      </c>
      <c r="BG931" s="52">
        <f t="shared" ca="1" si="1081"/>
        <v>172924.67709279963</v>
      </c>
      <c r="BH931" s="52">
        <f t="shared" ca="1" si="1081"/>
        <v>9698.3041875355411</v>
      </c>
      <c r="BI931" s="52">
        <f t="shared" ca="1" si="1081"/>
        <v>-66346.694090385397</v>
      </c>
      <c r="BJ931" s="52">
        <f t="shared" ca="1" si="1081"/>
        <v>-127189.20919309126</v>
      </c>
      <c r="BK931" s="52">
        <f t="shared" ca="1" si="1081"/>
        <v>179841.66417651169</v>
      </c>
      <c r="BL931" s="52">
        <f t="shared" ca="1" si="1081"/>
        <v>10086.236355036905</v>
      </c>
      <c r="BM931" s="52">
        <f t="shared" ca="1" si="1081"/>
        <v>-69000.561854000844</v>
      </c>
      <c r="BN931" s="52">
        <f t="shared" ca="1" si="1081"/>
        <v>-132276.77756081487</v>
      </c>
      <c r="BO931" s="52">
        <f t="shared" ca="1" si="1081"/>
        <v>187035.33074357209</v>
      </c>
      <c r="BP931" s="52">
        <f t="shared" ca="1" si="1081"/>
        <v>10489.685809238465</v>
      </c>
      <c r="BQ931" s="52">
        <f t="shared" ca="1" si="1081"/>
        <v>-71760.584328160912</v>
      </c>
      <c r="BR931" s="52">
        <f t="shared" ca="1" si="1081"/>
        <v>-137567.84866324748</v>
      </c>
      <c r="BS931" s="52">
        <f t="shared" ca="1" si="1081"/>
        <v>194516.74397331499</v>
      </c>
      <c r="BT931" s="52">
        <f t="shared" ca="1" si="1081"/>
        <v>10909.273241607996</v>
      </c>
      <c r="BU931" s="52">
        <f t="shared" ca="1" si="1081"/>
        <v>-74631.007701287162</v>
      </c>
      <c r="BV931" s="52">
        <f t="shared" ca="1" si="1081"/>
        <v>-143070.56260977726</v>
      </c>
      <c r="BW931" s="52">
        <f t="shared" ca="1" si="1081"/>
        <v>202297.41373224731</v>
      </c>
      <c r="BX931" s="52">
        <f t="shared" ca="1" si="1081"/>
        <v>11345.644171272346</v>
      </c>
      <c r="BY931" s="52">
        <f t="shared" ca="1" si="1081"/>
        <v>-77616.248009338859</v>
      </c>
      <c r="BZ931" s="52">
        <f t="shared" ca="1" si="1081"/>
        <v>-148793.38511416822</v>
      </c>
      <c r="CA931" s="52">
        <f t="shared" ca="1" si="1081"/>
        <v>210389.31028153724</v>
      </c>
      <c r="CB931" s="52">
        <f t="shared" ca="1" si="1081"/>
        <v>11799.469938123249</v>
      </c>
      <c r="CC931" s="52">
        <f t="shared" ca="1" si="1081"/>
        <v>-80720.897929712315</v>
      </c>
      <c r="CD931" s="52">
        <f t="shared" ca="1" si="1081"/>
        <v>-154745.12051873514</v>
      </c>
      <c r="CE931" s="52">
        <f t="shared" ca="1" si="1081"/>
        <v>218804.88269279886</v>
      </c>
      <c r="CF931" s="52">
        <f t="shared" ref="CF931:CO931" ca="1" si="1082">CF927-CF930</f>
        <v>12271.448735648184</v>
      </c>
      <c r="CG931" s="52">
        <f t="shared" ca="1" si="1082"/>
        <v>-83949.73384690081</v>
      </c>
      <c r="CH931" s="52">
        <f t="shared" ca="1" si="1082"/>
        <v>-160934.92533948453</v>
      </c>
      <c r="CI931" s="52">
        <f t="shared" ca="1" si="1082"/>
        <v>227557.07800051081</v>
      </c>
      <c r="CJ931" s="52">
        <f t="shared" ca="1" si="1082"/>
        <v>12762.306685074</v>
      </c>
      <c r="CK931" s="52">
        <f t="shared" ca="1" si="1082"/>
        <v>-87307.723200776847</v>
      </c>
      <c r="CL931" s="52">
        <f t="shared" ca="1" si="1082"/>
        <v>-167372.32235306385</v>
      </c>
      <c r="CM931" s="52">
        <f t="shared" ca="1" si="1082"/>
        <v>236659.36112053122</v>
      </c>
      <c r="CN931" s="52">
        <f t="shared" ca="1" si="1082"/>
        <v>13272.798952476995</v>
      </c>
      <c r="CO931" s="52">
        <f t="shared" ca="1" si="1082"/>
        <v>-90800.032128807914</v>
      </c>
    </row>
    <row r="932" spans="1:93">
      <c r="A932" s="10"/>
      <c r="B932" s="10"/>
      <c r="C932" s="10"/>
      <c r="D932" s="10"/>
      <c r="E932" s="10"/>
      <c r="F932" s="10"/>
      <c r="G932" s="11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/>
      <c r="BB932" s="10"/>
      <c r="BC932" s="10"/>
      <c r="BD932" s="10"/>
      <c r="BE932" s="10"/>
      <c r="BF932" s="10"/>
      <c r="BG932" s="10"/>
      <c r="BH932" s="10"/>
      <c r="BI932" s="10"/>
      <c r="BJ932" s="10"/>
      <c r="BK932" s="10"/>
      <c r="BL932" s="10"/>
      <c r="BM932" s="10"/>
      <c r="BN932" s="10"/>
      <c r="BO932" s="10"/>
      <c r="BP932" s="10"/>
      <c r="BQ932" s="10"/>
      <c r="BR932" s="10"/>
      <c r="BS932" s="10"/>
      <c r="BT932" s="10"/>
      <c r="BU932" s="10"/>
      <c r="BV932" s="10"/>
      <c r="BW932" s="10"/>
      <c r="BX932" s="10"/>
      <c r="BY932" s="10"/>
      <c r="BZ932" s="10"/>
      <c r="CA932" s="10"/>
      <c r="CB932" s="10"/>
      <c r="CC932" s="10"/>
      <c r="CD932" s="10"/>
      <c r="CE932" s="10"/>
      <c r="CF932" s="10"/>
      <c r="CG932" s="10"/>
      <c r="CH932" s="10"/>
      <c r="CI932" s="10"/>
      <c r="CJ932" s="10"/>
      <c r="CK932" s="10"/>
      <c r="CL932" s="10"/>
      <c r="CM932" s="10"/>
      <c r="CN932" s="10"/>
      <c r="CO932" s="10"/>
    </row>
    <row r="933" spans="1:93">
      <c r="A933" s="10"/>
      <c r="B933" s="10"/>
      <c r="C933" s="41" t="s">
        <v>100</v>
      </c>
      <c r="D933" s="10"/>
      <c r="E933" s="62"/>
      <c r="F933" s="10"/>
      <c r="G933" s="11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/>
      <c r="BB933" s="10"/>
      <c r="BC933" s="10"/>
      <c r="BD933" s="10"/>
      <c r="BE933" s="10"/>
      <c r="BF933" s="10"/>
      <c r="BG933" s="10"/>
      <c r="BH933" s="10"/>
      <c r="BI933" s="10"/>
      <c r="BJ933" s="10"/>
      <c r="BK933" s="10"/>
      <c r="BL933" s="10"/>
      <c r="BM933" s="10"/>
      <c r="BN933" s="10"/>
      <c r="BO933" s="10"/>
      <c r="BP933" s="10"/>
      <c r="BQ933" s="10"/>
      <c r="BR933" s="10"/>
      <c r="BS933" s="10"/>
      <c r="BT933" s="10"/>
      <c r="BU933" s="10"/>
      <c r="BV933" s="10"/>
      <c r="BW933" s="10"/>
      <c r="BX933" s="10"/>
      <c r="BY933" s="10"/>
      <c r="BZ933" s="10"/>
      <c r="CA933" s="10"/>
      <c r="CB933" s="10"/>
      <c r="CC933" s="10"/>
      <c r="CD933" s="10"/>
      <c r="CE933" s="10"/>
      <c r="CF933" s="10"/>
      <c r="CG933" s="10"/>
      <c r="CH933" s="10"/>
      <c r="CI933" s="10"/>
      <c r="CJ933" s="10"/>
      <c r="CK933" s="10"/>
      <c r="CL933" s="10"/>
      <c r="CM933" s="10"/>
      <c r="CN933" s="10"/>
      <c r="CO933" s="10"/>
    </row>
    <row r="934" spans="1:93">
      <c r="A934" s="10"/>
      <c r="B934" s="10"/>
      <c r="C934" s="17" t="s">
        <v>208</v>
      </c>
      <c r="D934" s="10"/>
      <c r="E934" s="184">
        <f xml:space="preserve"> Предпосылки!E528</f>
        <v>30</v>
      </c>
      <c r="F934" s="10"/>
      <c r="G934" s="11" t="s">
        <v>99</v>
      </c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/>
      <c r="BB934" s="10"/>
      <c r="BC934" s="10"/>
      <c r="BD934" s="10"/>
      <c r="BE934" s="10"/>
      <c r="BF934" s="10"/>
      <c r="BG934" s="10"/>
      <c r="BH934" s="10"/>
      <c r="BI934" s="10"/>
      <c r="BJ934" s="10"/>
      <c r="BK934" s="10"/>
      <c r="BL934" s="10"/>
      <c r="BM934" s="10"/>
      <c r="BN934" s="10"/>
      <c r="BO934" s="10"/>
      <c r="BP934" s="10"/>
      <c r="BQ934" s="10"/>
      <c r="BR934" s="10"/>
      <c r="BS934" s="10"/>
      <c r="BT934" s="10"/>
      <c r="BU934" s="10"/>
      <c r="BV934" s="10"/>
      <c r="BW934" s="10"/>
      <c r="BX934" s="10"/>
      <c r="BY934" s="10"/>
      <c r="BZ934" s="10"/>
      <c r="CA934" s="10"/>
      <c r="CB934" s="10"/>
      <c r="CC934" s="10"/>
      <c r="CD934" s="10"/>
      <c r="CE934" s="10"/>
      <c r="CF934" s="10"/>
      <c r="CG934" s="10"/>
      <c r="CH934" s="10"/>
      <c r="CI934" s="10"/>
      <c r="CJ934" s="10"/>
      <c r="CK934" s="10"/>
      <c r="CL934" s="10"/>
      <c r="CM934" s="10"/>
      <c r="CN934" s="10"/>
      <c r="CO934" s="10"/>
    </row>
    <row r="935" spans="1:93">
      <c r="A935" s="10"/>
      <c r="B935" s="10"/>
      <c r="C935" s="17" t="s">
        <v>180</v>
      </c>
      <c r="D935" s="10"/>
      <c r="E935" s="62"/>
      <c r="F935" s="10"/>
      <c r="G935" s="134" t="str">
        <f>Monetary_Unit</f>
        <v>тыс. руб.</v>
      </c>
      <c r="H935" s="10"/>
      <c r="I935" s="10"/>
      <c r="J935" s="10"/>
      <c r="K935" s="10"/>
      <c r="L935" s="52">
        <f t="shared" ref="L935:AQ935" si="1083">K938</f>
        <v>0</v>
      </c>
      <c r="M935" s="52">
        <f t="shared" ca="1" si="1083"/>
        <v>0</v>
      </c>
      <c r="N935" s="52">
        <f t="shared" ca="1" si="1083"/>
        <v>0</v>
      </c>
      <c r="O935" s="52">
        <f t="shared" ca="1" si="1083"/>
        <v>0</v>
      </c>
      <c r="P935" s="52">
        <f t="shared" ca="1" si="1083"/>
        <v>0</v>
      </c>
      <c r="Q935" s="52">
        <f t="shared" ca="1" si="1083"/>
        <v>0</v>
      </c>
      <c r="R935" s="52">
        <f t="shared" ca="1" si="1083"/>
        <v>0</v>
      </c>
      <c r="S935" s="52">
        <f t="shared" ca="1" si="1083"/>
        <v>0</v>
      </c>
      <c r="T935" s="52">
        <f t="shared" ca="1" si="1083"/>
        <v>0</v>
      </c>
      <c r="U935" s="52">
        <f t="shared" ca="1" si="1083"/>
        <v>0</v>
      </c>
      <c r="V935" s="52">
        <f t="shared" ca="1" si="1083"/>
        <v>0</v>
      </c>
      <c r="W935" s="52">
        <f t="shared" ca="1" si="1083"/>
        <v>0</v>
      </c>
      <c r="X935" s="52">
        <f t="shared" ca="1" si="1083"/>
        <v>0</v>
      </c>
      <c r="Y935" s="52">
        <f t="shared" ca="1" si="1083"/>
        <v>0</v>
      </c>
      <c r="Z935" s="52">
        <f t="shared" ca="1" si="1083"/>
        <v>0</v>
      </c>
      <c r="AA935" s="52">
        <f t="shared" ca="1" si="1083"/>
        <v>0</v>
      </c>
      <c r="AB935" s="52">
        <f t="shared" ca="1" si="1083"/>
        <v>0</v>
      </c>
      <c r="AC935" s="52">
        <f t="shared" ca="1" si="1083"/>
        <v>0</v>
      </c>
      <c r="AD935" s="52">
        <f t="shared" ca="1" si="1083"/>
        <v>50468.593819338494</v>
      </c>
      <c r="AE935" s="52">
        <f t="shared" ca="1" si="1083"/>
        <v>90347.385494619375</v>
      </c>
      <c r="AF935" s="52">
        <f t="shared" ca="1" si="1083"/>
        <v>36328.397898193245</v>
      </c>
      <c r="AG935" s="52">
        <f t="shared" ca="1" si="1083"/>
        <v>34139.357696625942</v>
      </c>
      <c r="AH935" s="52">
        <f t="shared" ca="1" si="1083"/>
        <v>58860.756530625164</v>
      </c>
      <c r="AI935" s="52">
        <f t="shared" ca="1" si="1083"/>
        <v>105041.20129303297</v>
      </c>
      <c r="AJ935" s="52">
        <f t="shared" ca="1" si="1083"/>
        <v>42103.673465703789</v>
      </c>
      <c r="AK935" s="52">
        <f t="shared" ca="1" si="1083"/>
        <v>39452.863010277972</v>
      </c>
      <c r="AL935" s="52">
        <f t="shared" ca="1" si="1083"/>
        <v>67843.542508703831</v>
      </c>
      <c r="AM935" s="52">
        <f t="shared" ca="1" si="1083"/>
        <v>120765.96653852839</v>
      </c>
      <c r="AN935" s="52">
        <f t="shared" ca="1" si="1083"/>
        <v>48282.845641978143</v>
      </c>
      <c r="AO935" s="52">
        <f t="shared" ca="1" si="1083"/>
        <v>45136.601965548587</v>
      </c>
      <c r="AP935" s="52">
        <f t="shared" ca="1" si="1083"/>
        <v>77450.548138118495</v>
      </c>
      <c r="AQ935" s="52">
        <f t="shared" ca="1" si="1083"/>
        <v>134584.40836771985</v>
      </c>
      <c r="AR935" s="52">
        <f t="shared" ref="AR935:BW935" ca="1" si="1084">AQ938</f>
        <v>52551.342098763911</v>
      </c>
      <c r="AS935" s="52">
        <f t="shared" ca="1" si="1084"/>
        <v>48009.819351740647</v>
      </c>
      <c r="AT935" s="52">
        <f t="shared" ca="1" si="1084"/>
        <v>80548.805120762903</v>
      </c>
      <c r="AU935" s="52">
        <f t="shared" ca="1" si="1084"/>
        <v>139968.02207566175</v>
      </c>
      <c r="AV935" s="52">
        <f t="shared" ca="1" si="1084"/>
        <v>54653.635494882561</v>
      </c>
      <c r="AW935" s="52">
        <f t="shared" ca="1" si="1084"/>
        <v>49930.212125810212</v>
      </c>
      <c r="AX935" s="52">
        <f t="shared" ca="1" si="1084"/>
        <v>83770.75732559344</v>
      </c>
      <c r="AY935" s="52">
        <f t="shared" ca="1" si="1084"/>
        <v>145566.74295868818</v>
      </c>
      <c r="AZ935" s="52">
        <f t="shared" ca="1" si="1084"/>
        <v>56839.780914677831</v>
      </c>
      <c r="BA935" s="52">
        <f t="shared" ca="1" si="1084"/>
        <v>51927.420610842615</v>
      </c>
      <c r="BB935" s="52">
        <f t="shared" ca="1" si="1084"/>
        <v>87121.587618617137</v>
      </c>
      <c r="BC935" s="52">
        <f t="shared" ca="1" si="1084"/>
        <v>151389.41267703555</v>
      </c>
      <c r="BD935" s="52">
        <f t="shared" ca="1" si="1084"/>
        <v>59113.372151264921</v>
      </c>
      <c r="BE935" s="52">
        <f t="shared" ca="1" si="1084"/>
        <v>54004.255607876228</v>
      </c>
      <c r="BF935" s="52">
        <f t="shared" ca="1" si="1084"/>
        <v>90606.186716069933</v>
      </c>
      <c r="BG935" s="52">
        <f t="shared" ca="1" si="1084"/>
        <v>157444.72217151272</v>
      </c>
      <c r="BH935" s="52">
        <f t="shared" ca="1" si="1084"/>
        <v>61477.637393727258</v>
      </c>
      <c r="BI935" s="52">
        <f t="shared" ca="1" si="1084"/>
        <v>56164.698132687394</v>
      </c>
      <c r="BJ935" s="52">
        <f t="shared" ca="1" si="1084"/>
        <v>94230.709168296307</v>
      </c>
      <c r="BK935" s="52">
        <f t="shared" ca="1" si="1084"/>
        <v>163742.78875148168</v>
      </c>
      <c r="BL935" s="52">
        <f t="shared" ca="1" si="1084"/>
        <v>63937.023318808118</v>
      </c>
      <c r="BM935" s="52">
        <f t="shared" ca="1" si="1084"/>
        <v>58411.286057994876</v>
      </c>
      <c r="BN935" s="52">
        <f t="shared" ca="1" si="1084"/>
        <v>97999.937535028148</v>
      </c>
      <c r="BO935" s="52">
        <f t="shared" ca="1" si="1084"/>
        <v>170292.50030154095</v>
      </c>
      <c r="BP935" s="52">
        <f t="shared" ca="1" si="1084"/>
        <v>66494.504251560429</v>
      </c>
      <c r="BQ935" s="52">
        <f t="shared" ca="1" si="1084"/>
        <v>60747.73750031463</v>
      </c>
      <c r="BR935" s="52">
        <f t="shared" ca="1" si="1084"/>
        <v>101919.93503642932</v>
      </c>
      <c r="BS935" s="52">
        <f t="shared" ca="1" si="1084"/>
        <v>177104.20031360257</v>
      </c>
      <c r="BT935" s="52">
        <f t="shared" ca="1" si="1084"/>
        <v>69154.28442162287</v>
      </c>
      <c r="BU935" s="52">
        <f t="shared" ca="1" si="1084"/>
        <v>63177.340699301974</v>
      </c>
      <c r="BV935" s="52">
        <f t="shared" ca="1" si="1084"/>
        <v>105996.4231187526</v>
      </c>
      <c r="BW935" s="52">
        <f t="shared" ca="1" si="1084"/>
        <v>184188.05595916574</v>
      </c>
      <c r="BX935" s="52">
        <f t="shared" ref="BX935:CO935" ca="1" si="1085">BW938</f>
        <v>71920.140353627969</v>
      </c>
      <c r="BY935" s="52">
        <f t="shared" ca="1" si="1085"/>
        <v>65704.752880340267</v>
      </c>
      <c r="BZ935" s="52">
        <f t="shared" ca="1" si="1085"/>
        <v>110236.60173540184</v>
      </c>
      <c r="CA935" s="52">
        <f t="shared" ca="1" si="1085"/>
        <v>191555.90305919241</v>
      </c>
      <c r="CB935" s="52">
        <f t="shared" ca="1" si="1085"/>
        <v>74797.274030427216</v>
      </c>
      <c r="CC935" s="52">
        <f t="shared" ca="1" si="1085"/>
        <v>68332.942995553894</v>
      </c>
      <c r="CD935" s="52">
        <f t="shared" ca="1" si="1085"/>
        <v>114646.06580481795</v>
      </c>
      <c r="CE935" s="52">
        <f t="shared" ca="1" si="1085"/>
        <v>199218.13918156014</v>
      </c>
      <c r="CF935" s="52">
        <f t="shared" ca="1" si="1085"/>
        <v>77789.164991644328</v>
      </c>
      <c r="CG935" s="52">
        <f t="shared" ca="1" si="1085"/>
        <v>71066.260715376033</v>
      </c>
      <c r="CH935" s="52">
        <f t="shared" ca="1" si="1085"/>
        <v>119231.90843701066</v>
      </c>
      <c r="CI935" s="52">
        <f t="shared" ca="1" si="1085"/>
        <v>207186.86474882264</v>
      </c>
      <c r="CJ935" s="52">
        <f t="shared" ca="1" si="1085"/>
        <v>80900.731591310061</v>
      </c>
      <c r="CK935" s="52">
        <f t="shared" ca="1" si="1085"/>
        <v>73908.552815114788</v>
      </c>
      <c r="CL935" s="52">
        <f t="shared" ca="1" si="1085"/>
        <v>124000.82291485468</v>
      </c>
      <c r="CM935" s="52">
        <f t="shared" ca="1" si="1085"/>
        <v>215473.97391358903</v>
      </c>
      <c r="CN935" s="52">
        <f t="shared" ca="1" si="1085"/>
        <v>84136.391829092987</v>
      </c>
      <c r="CO935" s="52">
        <f t="shared" ca="1" si="1085"/>
        <v>76865.267589750729</v>
      </c>
    </row>
    <row r="936" spans="1:93">
      <c r="A936" s="10"/>
      <c r="B936" s="10"/>
      <c r="C936" s="17" t="s">
        <v>55</v>
      </c>
      <c r="D936" s="10"/>
      <c r="E936" s="62"/>
      <c r="F936" s="10"/>
      <c r="G936" s="134" t="str">
        <f>Monetary_Unit</f>
        <v>тыс. руб.</v>
      </c>
      <c r="H936" s="10"/>
      <c r="I936" s="23">
        <f ca="1">SUM(L936:CO936)</f>
        <v>18493633.551309194</v>
      </c>
      <c r="J936" s="10"/>
      <c r="K936" s="10"/>
      <c r="L936" s="52">
        <f t="shared" ref="L936:AQ936" ca="1" si="1086" xml:space="preserve"> - COGS</f>
        <v>0</v>
      </c>
      <c r="M936" s="52">
        <f t="shared" ca="1" si="1086"/>
        <v>0</v>
      </c>
      <c r="N936" s="52">
        <f t="shared" ca="1" si="1086"/>
        <v>0</v>
      </c>
      <c r="O936" s="52">
        <f t="shared" ca="1" si="1086"/>
        <v>0</v>
      </c>
      <c r="P936" s="52">
        <f t="shared" ca="1" si="1086"/>
        <v>0</v>
      </c>
      <c r="Q936" s="52">
        <f t="shared" ca="1" si="1086"/>
        <v>0</v>
      </c>
      <c r="R936" s="52">
        <f t="shared" ca="1" si="1086"/>
        <v>0</v>
      </c>
      <c r="S936" s="52">
        <f t="shared" ca="1" si="1086"/>
        <v>0</v>
      </c>
      <c r="T936" s="52">
        <f t="shared" ca="1" si="1086"/>
        <v>0</v>
      </c>
      <c r="U936" s="52">
        <f t="shared" ca="1" si="1086"/>
        <v>0</v>
      </c>
      <c r="V936" s="52">
        <f t="shared" ca="1" si="1086"/>
        <v>0</v>
      </c>
      <c r="W936" s="52">
        <f t="shared" ca="1" si="1086"/>
        <v>0</v>
      </c>
      <c r="X936" s="52">
        <f t="shared" ca="1" si="1086"/>
        <v>0</v>
      </c>
      <c r="Y936" s="52">
        <f t="shared" ca="1" si="1086"/>
        <v>0</v>
      </c>
      <c r="Z936" s="52">
        <f t="shared" ca="1" si="1086"/>
        <v>0</v>
      </c>
      <c r="AA936" s="52">
        <f t="shared" ca="1" si="1086"/>
        <v>0</v>
      </c>
      <c r="AB936" s="52">
        <f t="shared" ca="1" si="1086"/>
        <v>0</v>
      </c>
      <c r="AC936" s="52">
        <f t="shared" ca="1" si="1086"/>
        <v>153088.06791866009</v>
      </c>
      <c r="AD936" s="52">
        <f t="shared" ca="1" si="1086"/>
        <v>277065.31551683269</v>
      </c>
      <c r="AE936" s="52">
        <f t="shared" ca="1" si="1086"/>
        <v>111407.08688779266</v>
      </c>
      <c r="AF936" s="52">
        <f t="shared" ca="1" si="1086"/>
        <v>102418.07308987781</v>
      </c>
      <c r="AG936" s="52">
        <f t="shared" ca="1" si="1086"/>
        <v>178544.29480956297</v>
      </c>
      <c r="AH936" s="52">
        <f t="shared" ca="1" si="1086"/>
        <v>322126.35063196789</v>
      </c>
      <c r="AI936" s="52">
        <f t="shared" ca="1" si="1086"/>
        <v>129117.93196149165</v>
      </c>
      <c r="AJ936" s="52">
        <f t="shared" ca="1" si="1086"/>
        <v>118358.58903083384</v>
      </c>
      <c r="AK936" s="52">
        <f t="shared" ca="1" si="1086"/>
        <v>205792.07894306828</v>
      </c>
      <c r="AL936" s="52">
        <f t="shared" ca="1" si="1086"/>
        <v>370348.96405148692</v>
      </c>
      <c r="AM936" s="52">
        <f t="shared" ca="1" si="1086"/>
        <v>148067.39330206616</v>
      </c>
      <c r="AN936" s="52">
        <f t="shared" ca="1" si="1086"/>
        <v>136914.35929549739</v>
      </c>
      <c r="AO936" s="52">
        <f t="shared" ca="1" si="1086"/>
        <v>234933.32935229276</v>
      </c>
      <c r="AP936" s="52">
        <f t="shared" ca="1" si="1086"/>
        <v>412725.51899434091</v>
      </c>
      <c r="AQ936" s="52">
        <f t="shared" ca="1" si="1086"/>
        <v>161157.44910287601</v>
      </c>
      <c r="AR936" s="52">
        <f t="shared" ref="AR936:BW936" ca="1" si="1087" xml:space="preserve"> - COGS</f>
        <v>144029.45805522188</v>
      </c>
      <c r="AS936" s="52">
        <f t="shared" ca="1" si="1087"/>
        <v>244331.37553298092</v>
      </c>
      <c r="AT936" s="52">
        <f t="shared" ca="1" si="1087"/>
        <v>429235.267698696</v>
      </c>
      <c r="AU936" s="52">
        <f t="shared" ca="1" si="1087"/>
        <v>167604.4821843064</v>
      </c>
      <c r="AV936" s="52">
        <f t="shared" ca="1" si="1087"/>
        <v>149790.63637743067</v>
      </c>
      <c r="AW936" s="52">
        <f t="shared" ca="1" si="1087"/>
        <v>254104.63055430009</v>
      </c>
      <c r="AX936" s="52">
        <f t="shared" ca="1" si="1087"/>
        <v>446404.67840664374</v>
      </c>
      <c r="AY936" s="52">
        <f t="shared" ca="1" si="1087"/>
        <v>174308.66147167861</v>
      </c>
      <c r="AZ936" s="52">
        <f t="shared" ca="1" si="1087"/>
        <v>155782.26183252787</v>
      </c>
      <c r="BA936" s="52">
        <f t="shared" ca="1" si="1087"/>
        <v>264268.81577647204</v>
      </c>
      <c r="BB936" s="52">
        <f t="shared" ca="1" si="1087"/>
        <v>464260.86554290925</v>
      </c>
      <c r="BC936" s="52">
        <f t="shared" ca="1" si="1087"/>
        <v>181281.00793054575</v>
      </c>
      <c r="BD936" s="52">
        <f t="shared" ca="1" si="1087"/>
        <v>163812.90867722456</v>
      </c>
      <c r="BE936" s="52">
        <f t="shared" ca="1" si="1087"/>
        <v>274838.7663720788</v>
      </c>
      <c r="BF936" s="52">
        <f t="shared" ca="1" si="1087"/>
        <v>482830.48132597207</v>
      </c>
      <c r="BG936" s="52">
        <f t="shared" ca="1" si="1087"/>
        <v>188531.42134076369</v>
      </c>
      <c r="BH936" s="52">
        <f t="shared" ca="1" si="1087"/>
        <v>168494.09439806215</v>
      </c>
      <c r="BI936" s="52">
        <f t="shared" ca="1" si="1087"/>
        <v>285833.15114383207</v>
      </c>
      <c r="BJ936" s="52">
        <f t="shared" ca="1" si="1087"/>
        <v>502144.55217121053</v>
      </c>
      <c r="BK936" s="52">
        <f t="shared" ca="1" si="1087"/>
        <v>196073.53817767825</v>
      </c>
      <c r="BL936" s="52">
        <f t="shared" ca="1" si="1087"/>
        <v>175233.85817398463</v>
      </c>
      <c r="BM936" s="52">
        <f t="shared" ca="1" si="1087"/>
        <v>297266.47718958539</v>
      </c>
      <c r="BN936" s="52">
        <f t="shared" ca="1" si="1087"/>
        <v>522230.33425805887</v>
      </c>
      <c r="BO936" s="52">
        <f t="shared" ca="1" si="1087"/>
        <v>203916.47970478528</v>
      </c>
      <c r="BP936" s="52">
        <f t="shared" ca="1" si="1087"/>
        <v>182243.21250094395</v>
      </c>
      <c r="BQ936" s="52">
        <f t="shared" ca="1" si="1087"/>
        <v>309157.1362771687</v>
      </c>
      <c r="BR936" s="52">
        <f t="shared" ca="1" si="1087"/>
        <v>543119.54762838129</v>
      </c>
      <c r="BS936" s="52">
        <f t="shared" ca="1" si="1087"/>
        <v>212073.13889297668</v>
      </c>
      <c r="BT936" s="52">
        <f t="shared" ca="1" si="1087"/>
        <v>191637.93345454932</v>
      </c>
      <c r="BU936" s="52">
        <f t="shared" ca="1" si="1087"/>
        <v>321522.48346021632</v>
      </c>
      <c r="BV936" s="52">
        <f t="shared" ca="1" si="1087"/>
        <v>564843.37160810805</v>
      </c>
      <c r="BW936" s="52">
        <f t="shared" ca="1" si="1087"/>
        <v>220555.09708445895</v>
      </c>
      <c r="BX936" s="52">
        <f t="shared" ref="BX936:CO936" ca="1" si="1088" xml:space="preserve"> - COGS</f>
        <v>197114.25864102089</v>
      </c>
      <c r="BY936" s="52">
        <f t="shared" ca="1" si="1088"/>
        <v>334384.35859738558</v>
      </c>
      <c r="BZ936" s="52">
        <f t="shared" ca="1" si="1088"/>
        <v>587438.10271485697</v>
      </c>
      <c r="CA936" s="52">
        <f t="shared" ca="1" si="1088"/>
        <v>229378.30702664348</v>
      </c>
      <c r="CB936" s="52">
        <f t="shared" ca="1" si="1088"/>
        <v>204998.82898666174</v>
      </c>
      <c r="CC936" s="52">
        <f t="shared" ca="1" si="1088"/>
        <v>347759.73294128099</v>
      </c>
      <c r="CD936" s="52">
        <f t="shared" ca="1" si="1088"/>
        <v>610935.62682345114</v>
      </c>
      <c r="CE936" s="52">
        <f t="shared" ca="1" si="1088"/>
        <v>238553.43930770928</v>
      </c>
      <c r="CF936" s="52">
        <f t="shared" ca="1" si="1088"/>
        <v>213198.78214612813</v>
      </c>
      <c r="CG936" s="52">
        <f t="shared" ca="1" si="1088"/>
        <v>361670.12225893216</v>
      </c>
      <c r="CH936" s="52">
        <f t="shared" ca="1" si="1088"/>
        <v>635373.05189638922</v>
      </c>
      <c r="CI936" s="52">
        <f t="shared" ca="1" si="1088"/>
        <v>248095.57688001767</v>
      </c>
      <c r="CJ936" s="52">
        <f t="shared" ca="1" si="1088"/>
        <v>224189.27687251486</v>
      </c>
      <c r="CK936" s="52">
        <f t="shared" ca="1" si="1088"/>
        <v>376135.82950839237</v>
      </c>
      <c r="CL936" s="52">
        <f t="shared" ca="1" si="1088"/>
        <v>660786.85333500605</v>
      </c>
      <c r="CM936" s="52">
        <f t="shared" ca="1" si="1088"/>
        <v>258018.26827588529</v>
      </c>
      <c r="CN936" s="52">
        <f t="shared" ca="1" si="1088"/>
        <v>230595.80276925216</v>
      </c>
      <c r="CO936" s="52">
        <f t="shared" ca="1" si="1088"/>
        <v>391182.40423526097</v>
      </c>
    </row>
    <row r="937" spans="1:93">
      <c r="A937" s="10"/>
      <c r="B937" s="10"/>
      <c r="C937" s="17" t="s">
        <v>207</v>
      </c>
      <c r="D937" s="10"/>
      <c r="E937" s="62"/>
      <c r="F937" s="10"/>
      <c r="G937" s="134" t="str">
        <f>Monetary_Unit</f>
        <v>тыс. руб.</v>
      </c>
      <c r="H937" s="10"/>
      <c r="I937" s="23">
        <f ca="1">SUM(L937:CO937)</f>
        <v>-18364672.319143713</v>
      </c>
      <c r="J937" s="10"/>
      <c r="K937" s="10"/>
      <c r="L937" s="52">
        <f t="shared" ref="L937:AQ937" ca="1" si="1089">IF(Flag_Last_Operations*$E923,-L935-L936,-(L935+L936*(Days_In_Period-$E934)/Days_In_Period))</f>
        <v>0</v>
      </c>
      <c r="M937" s="52">
        <f t="shared" ca="1" si="1089"/>
        <v>0</v>
      </c>
      <c r="N937" s="52">
        <f t="shared" ca="1" si="1089"/>
        <v>0</v>
      </c>
      <c r="O937" s="52">
        <f t="shared" ca="1" si="1089"/>
        <v>0</v>
      </c>
      <c r="P937" s="52">
        <f t="shared" ca="1" si="1089"/>
        <v>0</v>
      </c>
      <c r="Q937" s="52">
        <f t="shared" ca="1" si="1089"/>
        <v>0</v>
      </c>
      <c r="R937" s="52">
        <f t="shared" ca="1" si="1089"/>
        <v>0</v>
      </c>
      <c r="S937" s="52">
        <f t="shared" ca="1" si="1089"/>
        <v>0</v>
      </c>
      <c r="T937" s="52">
        <f t="shared" ca="1" si="1089"/>
        <v>0</v>
      </c>
      <c r="U937" s="52">
        <f t="shared" ca="1" si="1089"/>
        <v>0</v>
      </c>
      <c r="V937" s="52">
        <f t="shared" ca="1" si="1089"/>
        <v>0</v>
      </c>
      <c r="W937" s="52">
        <f t="shared" ca="1" si="1089"/>
        <v>0</v>
      </c>
      <c r="X937" s="52">
        <f t="shared" ca="1" si="1089"/>
        <v>0</v>
      </c>
      <c r="Y937" s="52">
        <f t="shared" ca="1" si="1089"/>
        <v>0</v>
      </c>
      <c r="Z937" s="52">
        <f t="shared" ca="1" si="1089"/>
        <v>0</v>
      </c>
      <c r="AA937" s="52">
        <f t="shared" ca="1" si="1089"/>
        <v>0</v>
      </c>
      <c r="AB937" s="52">
        <f t="shared" ca="1" si="1089"/>
        <v>0</v>
      </c>
      <c r="AC937" s="52">
        <f t="shared" ca="1" si="1089"/>
        <v>-102619.4740993216</v>
      </c>
      <c r="AD937" s="52">
        <f t="shared" ca="1" si="1089"/>
        <v>-237186.5238415518</v>
      </c>
      <c r="AE937" s="52">
        <f t="shared" ca="1" si="1089"/>
        <v>-165426.07448421879</v>
      </c>
      <c r="AF937" s="52">
        <f t="shared" ca="1" si="1089"/>
        <v>-104607.11329144512</v>
      </c>
      <c r="AG937" s="52">
        <f t="shared" ca="1" si="1089"/>
        <v>-153822.89597556373</v>
      </c>
      <c r="AH937" s="52">
        <f t="shared" ca="1" si="1089"/>
        <v>-275945.90586956008</v>
      </c>
      <c r="AI937" s="52">
        <f t="shared" ca="1" si="1089"/>
        <v>-192055.45978882082</v>
      </c>
      <c r="AJ937" s="52">
        <f t="shared" ca="1" si="1089"/>
        <v>-121009.39948625967</v>
      </c>
      <c r="AK937" s="52">
        <f t="shared" ca="1" si="1089"/>
        <v>-177401.39944464242</v>
      </c>
      <c r="AL937" s="52">
        <f t="shared" ca="1" si="1089"/>
        <v>-317426.54002166237</v>
      </c>
      <c r="AM937" s="52">
        <f t="shared" ca="1" si="1089"/>
        <v>-220550.51419861644</v>
      </c>
      <c r="AN937" s="52">
        <f t="shared" ca="1" si="1089"/>
        <v>-140060.60297192694</v>
      </c>
      <c r="AO937" s="52">
        <f t="shared" ca="1" si="1089"/>
        <v>-202619.38317972285</v>
      </c>
      <c r="AP937" s="52">
        <f t="shared" ca="1" si="1089"/>
        <v>-355591.65876473952</v>
      </c>
      <c r="AQ937" s="52">
        <f t="shared" ca="1" si="1089"/>
        <v>-243190.51537183195</v>
      </c>
      <c r="AR937" s="52">
        <f t="shared" ref="AR937:BW937" ca="1" si="1090">IF(Flag_Last_Operations*$E923,-AR935-AR936,-(AR935+AR936*(Days_In_Period-$E934)/Days_In_Period))</f>
        <v>-148570.98080224515</v>
      </c>
      <c r="AS937" s="52">
        <f t="shared" ca="1" si="1090"/>
        <v>-211792.38976395864</v>
      </c>
      <c r="AT937" s="52">
        <f t="shared" ca="1" si="1090"/>
        <v>-369816.05074379715</v>
      </c>
      <c r="AU937" s="52">
        <f t="shared" ca="1" si="1090"/>
        <v>-252918.86876508562</v>
      </c>
      <c r="AV937" s="52">
        <f t="shared" ca="1" si="1090"/>
        <v>-154514.05974650302</v>
      </c>
      <c r="AW937" s="52">
        <f t="shared" ca="1" si="1090"/>
        <v>-220264.08535451686</v>
      </c>
      <c r="AX937" s="52">
        <f t="shared" ca="1" si="1090"/>
        <v>-384608.692773549</v>
      </c>
      <c r="AY937" s="52">
        <f t="shared" ca="1" si="1090"/>
        <v>-263035.62351568899</v>
      </c>
      <c r="AZ937" s="52">
        <f t="shared" ca="1" si="1090"/>
        <v>-160694.62213636309</v>
      </c>
      <c r="BA937" s="52">
        <f t="shared" ca="1" si="1090"/>
        <v>-229074.64876869749</v>
      </c>
      <c r="BB937" s="52">
        <f t="shared" ca="1" si="1090"/>
        <v>-399993.0404844908</v>
      </c>
      <c r="BC937" s="52">
        <f t="shared" ca="1" si="1090"/>
        <v>-273557.04845631635</v>
      </c>
      <c r="BD937" s="52">
        <f t="shared" ca="1" si="1090"/>
        <v>-168922.02522061326</v>
      </c>
      <c r="BE937" s="52">
        <f t="shared" ca="1" si="1090"/>
        <v>-238236.83526388509</v>
      </c>
      <c r="BF937" s="52">
        <f t="shared" ca="1" si="1090"/>
        <v>-415991.94587052934</v>
      </c>
      <c r="BG937" s="52">
        <f t="shared" ca="1" si="1090"/>
        <v>-284498.50611854915</v>
      </c>
      <c r="BH937" s="52">
        <f t="shared" ca="1" si="1090"/>
        <v>-173807.03365910202</v>
      </c>
      <c r="BI937" s="52">
        <f t="shared" ca="1" si="1090"/>
        <v>-247767.14010822319</v>
      </c>
      <c r="BJ937" s="52">
        <f t="shared" ca="1" si="1090"/>
        <v>-432632.47258802515</v>
      </c>
      <c r="BK937" s="52">
        <f t="shared" ca="1" si="1090"/>
        <v>-295879.30361035181</v>
      </c>
      <c r="BL937" s="52">
        <f t="shared" ca="1" si="1090"/>
        <v>-180759.59543479787</v>
      </c>
      <c r="BM937" s="52">
        <f t="shared" ca="1" si="1090"/>
        <v>-257677.82571255212</v>
      </c>
      <c r="BN937" s="52">
        <f t="shared" ca="1" si="1090"/>
        <v>-449937.77149154607</v>
      </c>
      <c r="BO937" s="52">
        <f t="shared" ca="1" si="1090"/>
        <v>-307714.47575476579</v>
      </c>
      <c r="BP937" s="52">
        <f t="shared" ca="1" si="1090"/>
        <v>-187989.97925218975</v>
      </c>
      <c r="BQ937" s="52">
        <f t="shared" ca="1" si="1090"/>
        <v>-267984.93874105404</v>
      </c>
      <c r="BR937" s="52">
        <f t="shared" ca="1" si="1090"/>
        <v>-467935.28235120804</v>
      </c>
      <c r="BS937" s="52">
        <f t="shared" ca="1" si="1090"/>
        <v>-320023.05478495639</v>
      </c>
      <c r="BT937" s="52">
        <f t="shared" ca="1" si="1090"/>
        <v>-197614.87717687021</v>
      </c>
      <c r="BU937" s="52">
        <f t="shared" ca="1" si="1090"/>
        <v>-278703.40104076569</v>
      </c>
      <c r="BV937" s="52">
        <f t="shared" ca="1" si="1090"/>
        <v>-486651.73876769497</v>
      </c>
      <c r="BW937" s="52">
        <f t="shared" ca="1" si="1090"/>
        <v>-332823.01268999674</v>
      </c>
      <c r="BX937" s="52">
        <f t="shared" ref="BX937:CO937" ca="1" si="1091">IF(Flag_Last_Operations*$E923,-BX935-BX936,-(BX935+BX936*(Days_In_Period-$E934)/Days_In_Period))</f>
        <v>-203329.64611430856</v>
      </c>
      <c r="BY937" s="52">
        <f t="shared" ca="1" si="1091"/>
        <v>-289852.50974232401</v>
      </c>
      <c r="BZ937" s="52">
        <f t="shared" ca="1" si="1091"/>
        <v>-506118.80139106634</v>
      </c>
      <c r="CA937" s="52">
        <f t="shared" ca="1" si="1091"/>
        <v>-346136.93605540867</v>
      </c>
      <c r="CB937" s="52">
        <f t="shared" ca="1" si="1091"/>
        <v>-211463.16002153506</v>
      </c>
      <c r="CC937" s="52">
        <f t="shared" ca="1" si="1091"/>
        <v>-301446.61013201694</v>
      </c>
      <c r="CD937" s="52">
        <f t="shared" ca="1" si="1091"/>
        <v>-526363.55344670895</v>
      </c>
      <c r="CE937" s="52">
        <f t="shared" ca="1" si="1091"/>
        <v>-359982.41349762509</v>
      </c>
      <c r="CF937" s="52">
        <f t="shared" ca="1" si="1091"/>
        <v>-219921.68642239642</v>
      </c>
      <c r="CG937" s="52">
        <f t="shared" ca="1" si="1091"/>
        <v>-313504.47453729756</v>
      </c>
      <c r="CH937" s="52">
        <f t="shared" ca="1" si="1091"/>
        <v>-547418.0955845773</v>
      </c>
      <c r="CI937" s="52">
        <f t="shared" ca="1" si="1091"/>
        <v>-374381.71003753023</v>
      </c>
      <c r="CJ937" s="52">
        <f t="shared" ca="1" si="1091"/>
        <v>-231181.45564871014</v>
      </c>
      <c r="CK937" s="52">
        <f t="shared" ca="1" si="1091"/>
        <v>-326043.55940865248</v>
      </c>
      <c r="CL937" s="52">
        <f t="shared" ca="1" si="1091"/>
        <v>-569313.70233627176</v>
      </c>
      <c r="CM937" s="52">
        <f t="shared" ca="1" si="1091"/>
        <v>-389355.8503603813</v>
      </c>
      <c r="CN937" s="52">
        <f t="shared" ca="1" si="1091"/>
        <v>-237866.92700859442</v>
      </c>
      <c r="CO937" s="52">
        <f t="shared" ca="1" si="1091"/>
        <v>-339086.43965954101</v>
      </c>
    </row>
    <row r="938" spans="1:93">
      <c r="A938" s="10"/>
      <c r="B938" s="10"/>
      <c r="C938" s="17" t="s">
        <v>179</v>
      </c>
      <c r="D938" s="10"/>
      <c r="E938" s="62"/>
      <c r="F938" s="10"/>
      <c r="G938" s="134" t="str">
        <f>Monetary_Unit</f>
        <v>тыс. руб.</v>
      </c>
      <c r="H938" s="10"/>
      <c r="I938" s="10"/>
      <c r="J938" s="10"/>
      <c r="K938" s="10"/>
      <c r="L938" s="52">
        <f t="shared" ref="L938:R938" ca="1" si="1092">SUM(L935:L937)</f>
        <v>0</v>
      </c>
      <c r="M938" s="52">
        <f t="shared" ca="1" si="1092"/>
        <v>0</v>
      </c>
      <c r="N938" s="52">
        <f t="shared" ca="1" si="1092"/>
        <v>0</v>
      </c>
      <c r="O938" s="52">
        <f t="shared" ca="1" si="1092"/>
        <v>0</v>
      </c>
      <c r="P938" s="52">
        <f t="shared" ca="1" si="1092"/>
        <v>0</v>
      </c>
      <c r="Q938" s="52">
        <f t="shared" ca="1" si="1092"/>
        <v>0</v>
      </c>
      <c r="R938" s="52">
        <f t="shared" ca="1" si="1092"/>
        <v>0</v>
      </c>
      <c r="S938" s="52">
        <f ca="1">SUM(S935:S937)</f>
        <v>0</v>
      </c>
      <c r="T938" s="52">
        <f t="shared" ref="T938:CE938" ca="1" si="1093">SUM(T935:T937)</f>
        <v>0</v>
      </c>
      <c r="U938" s="52">
        <f t="shared" ca="1" si="1093"/>
        <v>0</v>
      </c>
      <c r="V938" s="52">
        <f t="shared" ca="1" si="1093"/>
        <v>0</v>
      </c>
      <c r="W938" s="52">
        <f t="shared" ca="1" si="1093"/>
        <v>0</v>
      </c>
      <c r="X938" s="52">
        <f t="shared" ca="1" si="1093"/>
        <v>0</v>
      </c>
      <c r="Y938" s="52">
        <f t="shared" ca="1" si="1093"/>
        <v>0</v>
      </c>
      <c r="Z938" s="52">
        <f t="shared" ca="1" si="1093"/>
        <v>0</v>
      </c>
      <c r="AA938" s="52">
        <f t="shared" ca="1" si="1093"/>
        <v>0</v>
      </c>
      <c r="AB938" s="52">
        <f t="shared" ca="1" si="1093"/>
        <v>0</v>
      </c>
      <c r="AC938" s="52">
        <f t="shared" ca="1" si="1093"/>
        <v>50468.593819338494</v>
      </c>
      <c r="AD938" s="52">
        <f t="shared" ca="1" si="1093"/>
        <v>90347.385494619375</v>
      </c>
      <c r="AE938" s="52">
        <f t="shared" ca="1" si="1093"/>
        <v>36328.397898193245</v>
      </c>
      <c r="AF938" s="52">
        <f t="shared" ca="1" si="1093"/>
        <v>34139.357696625942</v>
      </c>
      <c r="AG938" s="52">
        <f t="shared" ca="1" si="1093"/>
        <v>58860.756530625164</v>
      </c>
      <c r="AH938" s="52">
        <f t="shared" ca="1" si="1093"/>
        <v>105041.20129303297</v>
      </c>
      <c r="AI938" s="52">
        <f t="shared" ca="1" si="1093"/>
        <v>42103.673465703789</v>
      </c>
      <c r="AJ938" s="52">
        <f t="shared" ca="1" si="1093"/>
        <v>39452.863010277972</v>
      </c>
      <c r="AK938" s="52">
        <f t="shared" ca="1" si="1093"/>
        <v>67843.542508703831</v>
      </c>
      <c r="AL938" s="52">
        <f t="shared" ca="1" si="1093"/>
        <v>120765.96653852839</v>
      </c>
      <c r="AM938" s="52">
        <f t="shared" ca="1" si="1093"/>
        <v>48282.845641978143</v>
      </c>
      <c r="AN938" s="52">
        <f t="shared" ca="1" si="1093"/>
        <v>45136.601965548587</v>
      </c>
      <c r="AO938" s="52">
        <f t="shared" ca="1" si="1093"/>
        <v>77450.548138118495</v>
      </c>
      <c r="AP938" s="52">
        <f t="shared" ca="1" si="1093"/>
        <v>134584.40836771985</v>
      </c>
      <c r="AQ938" s="52">
        <f t="shared" ca="1" si="1093"/>
        <v>52551.342098763911</v>
      </c>
      <c r="AR938" s="52">
        <f t="shared" ca="1" si="1093"/>
        <v>48009.819351740647</v>
      </c>
      <c r="AS938" s="52">
        <f t="shared" ca="1" si="1093"/>
        <v>80548.805120762903</v>
      </c>
      <c r="AT938" s="52">
        <f t="shared" ca="1" si="1093"/>
        <v>139968.02207566175</v>
      </c>
      <c r="AU938" s="52">
        <f t="shared" ca="1" si="1093"/>
        <v>54653.635494882561</v>
      </c>
      <c r="AV938" s="52">
        <f t="shared" ca="1" si="1093"/>
        <v>49930.212125810212</v>
      </c>
      <c r="AW938" s="52">
        <f t="shared" ca="1" si="1093"/>
        <v>83770.75732559344</v>
      </c>
      <c r="AX938" s="52">
        <f t="shared" ca="1" si="1093"/>
        <v>145566.74295868818</v>
      </c>
      <c r="AY938" s="52">
        <f t="shared" ca="1" si="1093"/>
        <v>56839.780914677831</v>
      </c>
      <c r="AZ938" s="52">
        <f t="shared" ca="1" si="1093"/>
        <v>51927.420610842615</v>
      </c>
      <c r="BA938" s="52">
        <f t="shared" ca="1" si="1093"/>
        <v>87121.587618617137</v>
      </c>
      <c r="BB938" s="52">
        <f t="shared" ca="1" si="1093"/>
        <v>151389.41267703555</v>
      </c>
      <c r="BC938" s="52">
        <f t="shared" ca="1" si="1093"/>
        <v>59113.372151264921</v>
      </c>
      <c r="BD938" s="52">
        <f t="shared" ca="1" si="1093"/>
        <v>54004.255607876228</v>
      </c>
      <c r="BE938" s="52">
        <f t="shared" ca="1" si="1093"/>
        <v>90606.186716069933</v>
      </c>
      <c r="BF938" s="52">
        <f t="shared" ca="1" si="1093"/>
        <v>157444.72217151272</v>
      </c>
      <c r="BG938" s="52">
        <f t="shared" ca="1" si="1093"/>
        <v>61477.637393727258</v>
      </c>
      <c r="BH938" s="52">
        <f t="shared" ca="1" si="1093"/>
        <v>56164.698132687394</v>
      </c>
      <c r="BI938" s="52">
        <f t="shared" ca="1" si="1093"/>
        <v>94230.709168296307</v>
      </c>
      <c r="BJ938" s="52">
        <f t="shared" ca="1" si="1093"/>
        <v>163742.78875148168</v>
      </c>
      <c r="BK938" s="52">
        <f t="shared" ca="1" si="1093"/>
        <v>63937.023318808118</v>
      </c>
      <c r="BL938" s="52">
        <f t="shared" ca="1" si="1093"/>
        <v>58411.286057994876</v>
      </c>
      <c r="BM938" s="52">
        <f t="shared" ca="1" si="1093"/>
        <v>97999.937535028148</v>
      </c>
      <c r="BN938" s="52">
        <f t="shared" ca="1" si="1093"/>
        <v>170292.50030154095</v>
      </c>
      <c r="BO938" s="52">
        <f t="shared" ca="1" si="1093"/>
        <v>66494.504251560429</v>
      </c>
      <c r="BP938" s="52">
        <f t="shared" ca="1" si="1093"/>
        <v>60747.73750031463</v>
      </c>
      <c r="BQ938" s="52">
        <f t="shared" ca="1" si="1093"/>
        <v>101919.93503642932</v>
      </c>
      <c r="BR938" s="52">
        <f t="shared" ca="1" si="1093"/>
        <v>177104.20031360257</v>
      </c>
      <c r="BS938" s="52">
        <f t="shared" ca="1" si="1093"/>
        <v>69154.28442162287</v>
      </c>
      <c r="BT938" s="52">
        <f t="shared" ca="1" si="1093"/>
        <v>63177.340699301974</v>
      </c>
      <c r="BU938" s="52">
        <f t="shared" ca="1" si="1093"/>
        <v>105996.4231187526</v>
      </c>
      <c r="BV938" s="52">
        <f t="shared" ca="1" si="1093"/>
        <v>184188.05595916574</v>
      </c>
      <c r="BW938" s="52">
        <f t="shared" ca="1" si="1093"/>
        <v>71920.140353627969</v>
      </c>
      <c r="BX938" s="52">
        <f t="shared" ca="1" si="1093"/>
        <v>65704.752880340267</v>
      </c>
      <c r="BY938" s="52">
        <f t="shared" ca="1" si="1093"/>
        <v>110236.60173540184</v>
      </c>
      <c r="BZ938" s="52">
        <f t="shared" ca="1" si="1093"/>
        <v>191555.90305919241</v>
      </c>
      <c r="CA938" s="52">
        <f t="shared" ca="1" si="1093"/>
        <v>74797.274030427216</v>
      </c>
      <c r="CB938" s="52">
        <f t="shared" ca="1" si="1093"/>
        <v>68332.942995553894</v>
      </c>
      <c r="CC938" s="52">
        <f t="shared" ca="1" si="1093"/>
        <v>114646.06580481795</v>
      </c>
      <c r="CD938" s="52">
        <f t="shared" ca="1" si="1093"/>
        <v>199218.13918156014</v>
      </c>
      <c r="CE938" s="52">
        <f t="shared" ca="1" si="1093"/>
        <v>77789.164991644328</v>
      </c>
      <c r="CF938" s="52">
        <f t="shared" ref="CF938:CO938" ca="1" si="1094">SUM(CF935:CF937)</f>
        <v>71066.260715376033</v>
      </c>
      <c r="CG938" s="52">
        <f t="shared" ca="1" si="1094"/>
        <v>119231.90843701066</v>
      </c>
      <c r="CH938" s="52">
        <f t="shared" ca="1" si="1094"/>
        <v>207186.86474882264</v>
      </c>
      <c r="CI938" s="52">
        <f t="shared" ca="1" si="1094"/>
        <v>80900.731591310061</v>
      </c>
      <c r="CJ938" s="52">
        <f t="shared" ca="1" si="1094"/>
        <v>73908.552815114788</v>
      </c>
      <c r="CK938" s="52">
        <f t="shared" ca="1" si="1094"/>
        <v>124000.82291485468</v>
      </c>
      <c r="CL938" s="52">
        <f t="shared" ca="1" si="1094"/>
        <v>215473.97391358903</v>
      </c>
      <c r="CM938" s="52">
        <f t="shared" ca="1" si="1094"/>
        <v>84136.391829092987</v>
      </c>
      <c r="CN938" s="52">
        <f t="shared" ca="1" si="1094"/>
        <v>76865.267589750729</v>
      </c>
      <c r="CO938" s="52">
        <f t="shared" ca="1" si="1094"/>
        <v>128961.23216547072</v>
      </c>
    </row>
    <row r="939" spans="1:93">
      <c r="A939" s="10"/>
      <c r="B939" s="10"/>
      <c r="C939" s="17" t="s">
        <v>206</v>
      </c>
      <c r="D939" s="10"/>
      <c r="E939" s="62"/>
      <c r="F939" s="10"/>
      <c r="G939" s="134" t="str">
        <f>Monetary_Unit</f>
        <v>тыс. руб.</v>
      </c>
      <c r="H939" s="10"/>
      <c r="I939" s="23">
        <f ca="1">SUM(L939:CO939)</f>
        <v>-128961.23216547072</v>
      </c>
      <c r="J939" s="10"/>
      <c r="K939" s="10"/>
      <c r="L939" s="52">
        <f t="shared" ref="L939:R939" ca="1" si="1095">L935-L938</f>
        <v>0</v>
      </c>
      <c r="M939" s="52">
        <f t="shared" ca="1" si="1095"/>
        <v>0</v>
      </c>
      <c r="N939" s="52">
        <f t="shared" ca="1" si="1095"/>
        <v>0</v>
      </c>
      <c r="O939" s="52">
        <f t="shared" ca="1" si="1095"/>
        <v>0</v>
      </c>
      <c r="P939" s="52">
        <f t="shared" ca="1" si="1095"/>
        <v>0</v>
      </c>
      <c r="Q939" s="52">
        <f t="shared" ca="1" si="1095"/>
        <v>0</v>
      </c>
      <c r="R939" s="52">
        <f t="shared" ca="1" si="1095"/>
        <v>0</v>
      </c>
      <c r="S939" s="52">
        <f ca="1">S935-S938</f>
        <v>0</v>
      </c>
      <c r="T939" s="52">
        <f t="shared" ref="T939:CE939" ca="1" si="1096">T935-T938</f>
        <v>0</v>
      </c>
      <c r="U939" s="52">
        <f t="shared" ca="1" si="1096"/>
        <v>0</v>
      </c>
      <c r="V939" s="52">
        <f t="shared" ca="1" si="1096"/>
        <v>0</v>
      </c>
      <c r="W939" s="52">
        <f t="shared" ca="1" si="1096"/>
        <v>0</v>
      </c>
      <c r="X939" s="52">
        <f t="shared" ca="1" si="1096"/>
        <v>0</v>
      </c>
      <c r="Y939" s="52">
        <f t="shared" ca="1" si="1096"/>
        <v>0</v>
      </c>
      <c r="Z939" s="52">
        <f t="shared" ca="1" si="1096"/>
        <v>0</v>
      </c>
      <c r="AA939" s="52">
        <f t="shared" ca="1" si="1096"/>
        <v>0</v>
      </c>
      <c r="AB939" s="52">
        <f t="shared" ca="1" si="1096"/>
        <v>0</v>
      </c>
      <c r="AC939" s="52">
        <f t="shared" ca="1" si="1096"/>
        <v>-50468.593819338494</v>
      </c>
      <c r="AD939" s="52">
        <f t="shared" ca="1" si="1096"/>
        <v>-39878.791675280881</v>
      </c>
      <c r="AE939" s="52">
        <f t="shared" ca="1" si="1096"/>
        <v>54018.98759642613</v>
      </c>
      <c r="AF939" s="52">
        <f t="shared" ca="1" si="1096"/>
        <v>2189.0402015673026</v>
      </c>
      <c r="AG939" s="52">
        <f t="shared" ca="1" si="1096"/>
        <v>-24721.398833999221</v>
      </c>
      <c r="AH939" s="52">
        <f t="shared" ca="1" si="1096"/>
        <v>-46180.444762407802</v>
      </c>
      <c r="AI939" s="52">
        <f t="shared" ca="1" si="1096"/>
        <v>62937.527827329177</v>
      </c>
      <c r="AJ939" s="52">
        <f t="shared" ca="1" si="1096"/>
        <v>2650.8104554258171</v>
      </c>
      <c r="AK939" s="52">
        <f t="shared" ca="1" si="1096"/>
        <v>-28390.679498425859</v>
      </c>
      <c r="AL939" s="52">
        <f t="shared" ca="1" si="1096"/>
        <v>-52922.424029824557</v>
      </c>
      <c r="AM939" s="52">
        <f t="shared" ca="1" si="1096"/>
        <v>72483.120896550245</v>
      </c>
      <c r="AN939" s="52">
        <f t="shared" ca="1" si="1096"/>
        <v>3146.2436764295562</v>
      </c>
      <c r="AO939" s="52">
        <f t="shared" ca="1" si="1096"/>
        <v>-32313.946172569908</v>
      </c>
      <c r="AP939" s="52">
        <f t="shared" ca="1" si="1096"/>
        <v>-57133.860229601356</v>
      </c>
      <c r="AQ939" s="52">
        <f t="shared" ca="1" si="1096"/>
        <v>82033.066268955939</v>
      </c>
      <c r="AR939" s="52">
        <f t="shared" ca="1" si="1096"/>
        <v>4541.5227470232639</v>
      </c>
      <c r="AS939" s="52">
        <f t="shared" ca="1" si="1096"/>
        <v>-32538.985769022256</v>
      </c>
      <c r="AT939" s="52">
        <f t="shared" ca="1" si="1096"/>
        <v>-59419.216954898846</v>
      </c>
      <c r="AU939" s="52">
        <f t="shared" ca="1" si="1096"/>
        <v>85314.386580779188</v>
      </c>
      <c r="AV939" s="52">
        <f t="shared" ca="1" si="1096"/>
        <v>4723.4233690723486</v>
      </c>
      <c r="AW939" s="52">
        <f t="shared" ca="1" si="1096"/>
        <v>-33840.545199783228</v>
      </c>
      <c r="AX939" s="52">
        <f t="shared" ca="1" si="1096"/>
        <v>-61795.985633094737</v>
      </c>
      <c r="AY939" s="52">
        <f t="shared" ca="1" si="1096"/>
        <v>88726.962044010346</v>
      </c>
      <c r="AZ939" s="52">
        <f t="shared" ca="1" si="1096"/>
        <v>4912.3603038352157</v>
      </c>
      <c r="BA939" s="52">
        <f t="shared" ca="1" si="1096"/>
        <v>-35194.167007774522</v>
      </c>
      <c r="BB939" s="52">
        <f t="shared" ca="1" si="1096"/>
        <v>-64267.825058418413</v>
      </c>
      <c r="BC939" s="52">
        <f t="shared" ca="1" si="1096"/>
        <v>92276.04052577063</v>
      </c>
      <c r="BD939" s="52">
        <f t="shared" ca="1" si="1096"/>
        <v>5109.1165433886927</v>
      </c>
      <c r="BE939" s="52">
        <f t="shared" ca="1" si="1096"/>
        <v>-36601.931108193705</v>
      </c>
      <c r="BF939" s="52">
        <f t="shared" ca="1" si="1096"/>
        <v>-66838.53545544279</v>
      </c>
      <c r="BG939" s="52">
        <f t="shared" ca="1" si="1096"/>
        <v>95967.084777785465</v>
      </c>
      <c r="BH939" s="52">
        <f t="shared" ca="1" si="1096"/>
        <v>5312.9392610398645</v>
      </c>
      <c r="BI939" s="52">
        <f t="shared" ca="1" si="1096"/>
        <v>-38066.011035608914</v>
      </c>
      <c r="BJ939" s="52">
        <f t="shared" ca="1" si="1096"/>
        <v>-69512.079583185376</v>
      </c>
      <c r="BK939" s="52">
        <f t="shared" ca="1" si="1096"/>
        <v>99805.765432673565</v>
      </c>
      <c r="BL939" s="52">
        <f t="shared" ca="1" si="1096"/>
        <v>5525.7372608132428</v>
      </c>
      <c r="BM939" s="52">
        <f t="shared" ca="1" si="1096"/>
        <v>-39588.651477033272</v>
      </c>
      <c r="BN939" s="52">
        <f t="shared" ca="1" si="1096"/>
        <v>-72292.562766512798</v>
      </c>
      <c r="BO939" s="52">
        <f t="shared" ca="1" si="1096"/>
        <v>103797.99604998052</v>
      </c>
      <c r="BP939" s="52">
        <f t="shared" ca="1" si="1096"/>
        <v>5746.7667512457992</v>
      </c>
      <c r="BQ939" s="52">
        <f t="shared" ca="1" si="1096"/>
        <v>-41172.197536114691</v>
      </c>
      <c r="BR939" s="52">
        <f t="shared" ca="1" si="1096"/>
        <v>-75184.265277173254</v>
      </c>
      <c r="BS939" s="52">
        <f t="shared" ca="1" si="1096"/>
        <v>107949.9158919797</v>
      </c>
      <c r="BT939" s="52">
        <f t="shared" ca="1" si="1096"/>
        <v>5976.9437223208952</v>
      </c>
      <c r="BU939" s="52">
        <f t="shared" ca="1" si="1096"/>
        <v>-42819.082419450628</v>
      </c>
      <c r="BV939" s="52">
        <f t="shared" ca="1" si="1096"/>
        <v>-78191.632840413135</v>
      </c>
      <c r="BW939" s="52">
        <f t="shared" ca="1" si="1096"/>
        <v>112267.91560553777</v>
      </c>
      <c r="BX939" s="52">
        <f t="shared" ca="1" si="1096"/>
        <v>6215.3874732877011</v>
      </c>
      <c r="BY939" s="52">
        <f t="shared" ca="1" si="1096"/>
        <v>-44531.848855061573</v>
      </c>
      <c r="BZ939" s="52">
        <f t="shared" ca="1" si="1096"/>
        <v>-81319.301323790569</v>
      </c>
      <c r="CA939" s="52">
        <f t="shared" ca="1" si="1096"/>
        <v>116758.62902876519</v>
      </c>
      <c r="CB939" s="52">
        <f t="shared" ca="1" si="1096"/>
        <v>6464.3310348733212</v>
      </c>
      <c r="CC939" s="52">
        <f t="shared" ca="1" si="1096"/>
        <v>-46313.122809264052</v>
      </c>
      <c r="CD939" s="52">
        <f t="shared" ca="1" si="1096"/>
        <v>-84572.073376742192</v>
      </c>
      <c r="CE939" s="52">
        <f t="shared" ca="1" si="1096"/>
        <v>121428.97418991581</v>
      </c>
      <c r="CF939" s="52">
        <f t="shared" ref="CF939:CO939" ca="1" si="1097">CF935-CF938</f>
        <v>6722.9042762682948</v>
      </c>
      <c r="CG939" s="52">
        <f t="shared" ca="1" si="1097"/>
        <v>-48165.647721634625</v>
      </c>
      <c r="CH939" s="52">
        <f t="shared" ca="1" si="1097"/>
        <v>-87954.956311811984</v>
      </c>
      <c r="CI939" s="52">
        <f t="shared" ca="1" si="1097"/>
        <v>126286.13315751258</v>
      </c>
      <c r="CJ939" s="52">
        <f t="shared" ca="1" si="1097"/>
        <v>6992.1787761952728</v>
      </c>
      <c r="CK939" s="52">
        <f t="shared" ca="1" si="1097"/>
        <v>-50092.270099739893</v>
      </c>
      <c r="CL939" s="52">
        <f t="shared" ca="1" si="1097"/>
        <v>-91473.150998734345</v>
      </c>
      <c r="CM939" s="52">
        <f t="shared" ca="1" si="1097"/>
        <v>131337.58208449604</v>
      </c>
      <c r="CN939" s="52">
        <f t="shared" ca="1" si="1097"/>
        <v>7271.1242393422581</v>
      </c>
      <c r="CO939" s="52">
        <f t="shared" ca="1" si="1097"/>
        <v>-52095.964575719991</v>
      </c>
    </row>
    <row r="940" spans="1:93">
      <c r="A940" s="10"/>
      <c r="B940" s="10"/>
      <c r="C940" s="17"/>
      <c r="D940" s="22"/>
      <c r="E940" s="150"/>
      <c r="F940" s="22"/>
      <c r="G940" s="182"/>
      <c r="H940" s="22"/>
      <c r="I940" s="22"/>
      <c r="J940" s="22"/>
      <c r="K940" s="10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22"/>
      <c r="BA940" s="22"/>
      <c r="BB940" s="22"/>
      <c r="BC940" s="22"/>
      <c r="BD940" s="22"/>
      <c r="BE940" s="22"/>
      <c r="BF940" s="22"/>
      <c r="BG940" s="22"/>
      <c r="BH940" s="22"/>
      <c r="BI940" s="22"/>
      <c r="BJ940" s="22"/>
      <c r="BK940" s="22"/>
      <c r="BL940" s="22"/>
      <c r="BM940" s="22"/>
      <c r="BN940" s="22"/>
      <c r="BO940" s="22"/>
      <c r="BP940" s="22"/>
      <c r="BQ940" s="22"/>
      <c r="BR940" s="22"/>
      <c r="BS940" s="22"/>
      <c r="BT940" s="22"/>
      <c r="BU940" s="22"/>
      <c r="BV940" s="22"/>
      <c r="BW940" s="22"/>
      <c r="BX940" s="22"/>
      <c r="BY940" s="22"/>
      <c r="BZ940" s="22"/>
      <c r="CA940" s="22"/>
      <c r="CB940" s="22"/>
      <c r="CC940" s="22"/>
      <c r="CD940" s="22"/>
      <c r="CE940" s="22"/>
      <c r="CF940" s="22"/>
      <c r="CG940" s="22"/>
      <c r="CH940" s="22"/>
      <c r="CI940" s="22"/>
      <c r="CJ940" s="22"/>
      <c r="CK940" s="22"/>
      <c r="CL940" s="22"/>
      <c r="CM940" s="22"/>
      <c r="CN940" s="22"/>
      <c r="CO940" s="22"/>
    </row>
    <row r="941" spans="1:93">
      <c r="A941" s="10"/>
      <c r="B941" s="10"/>
      <c r="C941" s="41" t="s">
        <v>108</v>
      </c>
      <c r="D941" s="10"/>
      <c r="E941" s="62"/>
      <c r="F941" s="10"/>
      <c r="G941" s="11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  <c r="BA941" s="10"/>
      <c r="BB941" s="10"/>
      <c r="BC941" s="10"/>
      <c r="BD941" s="10"/>
      <c r="BE941" s="10"/>
      <c r="BF941" s="10"/>
      <c r="BG941" s="10"/>
      <c r="BH941" s="10"/>
      <c r="BI941" s="10"/>
      <c r="BJ941" s="10"/>
      <c r="BK941" s="10"/>
      <c r="BL941" s="10"/>
      <c r="BM941" s="10"/>
      <c r="BN941" s="10"/>
      <c r="BO941" s="10"/>
      <c r="BP941" s="10"/>
      <c r="BQ941" s="10"/>
      <c r="BR941" s="10"/>
      <c r="BS941" s="10"/>
      <c r="BT941" s="10"/>
      <c r="BU941" s="10"/>
      <c r="BV941" s="10"/>
      <c r="BW941" s="10"/>
      <c r="BX941" s="10"/>
      <c r="BY941" s="10"/>
      <c r="BZ941" s="10"/>
      <c r="CA941" s="10"/>
      <c r="CB941" s="10"/>
      <c r="CC941" s="10"/>
      <c r="CD941" s="10"/>
      <c r="CE941" s="10"/>
      <c r="CF941" s="10"/>
      <c r="CG941" s="10"/>
      <c r="CH941" s="10"/>
      <c r="CI941" s="10"/>
      <c r="CJ941" s="10"/>
      <c r="CK941" s="10"/>
      <c r="CL941" s="10"/>
      <c r="CM941" s="10"/>
      <c r="CN941" s="10"/>
      <c r="CO941" s="10"/>
    </row>
    <row r="942" spans="1:93">
      <c r="A942" s="10"/>
      <c r="B942" s="10"/>
      <c r="C942" s="17" t="s">
        <v>212</v>
      </c>
      <c r="D942" s="10"/>
      <c r="E942" s="184">
        <f xml:space="preserve"> Предпосылки!E529</f>
        <v>45</v>
      </c>
      <c r="F942" s="10"/>
      <c r="G942" s="11" t="s">
        <v>99</v>
      </c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  <c r="BA942" s="10"/>
      <c r="BB942" s="10"/>
      <c r="BC942" s="10"/>
      <c r="BD942" s="10"/>
      <c r="BE942" s="10"/>
      <c r="BF942" s="10"/>
      <c r="BG942" s="10"/>
      <c r="BH942" s="10"/>
      <c r="BI942" s="10"/>
      <c r="BJ942" s="10"/>
      <c r="BK942" s="10"/>
      <c r="BL942" s="10"/>
      <c r="BM942" s="10"/>
      <c r="BN942" s="10"/>
      <c r="BO942" s="10"/>
      <c r="BP942" s="10"/>
      <c r="BQ942" s="10"/>
      <c r="BR942" s="10"/>
      <c r="BS942" s="10"/>
      <c r="BT942" s="10"/>
      <c r="BU942" s="10"/>
      <c r="BV942" s="10"/>
      <c r="BW942" s="10"/>
      <c r="BX942" s="10"/>
      <c r="BY942" s="10"/>
      <c r="BZ942" s="10"/>
      <c r="CA942" s="10"/>
      <c r="CB942" s="10"/>
      <c r="CC942" s="10"/>
      <c r="CD942" s="10"/>
      <c r="CE942" s="10"/>
      <c r="CF942" s="10"/>
      <c r="CG942" s="10"/>
      <c r="CH942" s="10"/>
      <c r="CI942" s="10"/>
      <c r="CJ942" s="10"/>
      <c r="CK942" s="10"/>
      <c r="CL942" s="10"/>
      <c r="CM942" s="10"/>
      <c r="CN942" s="10"/>
      <c r="CO942" s="10"/>
    </row>
    <row r="943" spans="1:93">
      <c r="A943" s="10"/>
      <c r="B943" s="10"/>
      <c r="C943" s="17" t="s">
        <v>180</v>
      </c>
      <c r="D943" s="10"/>
      <c r="E943" s="62"/>
      <c r="F943" s="10"/>
      <c r="G943" s="134" t="str">
        <f>Monetary_Unit</f>
        <v>тыс. руб.</v>
      </c>
      <c r="H943" s="10"/>
      <c r="I943" s="10"/>
      <c r="J943" s="10"/>
      <c r="K943" s="10"/>
      <c r="L943" s="52">
        <f t="shared" ref="L943:AQ943" si="1098">K946</f>
        <v>0</v>
      </c>
      <c r="M943" s="52">
        <f t="shared" ca="1" si="1098"/>
        <v>0</v>
      </c>
      <c r="N943" s="52">
        <f t="shared" ca="1" si="1098"/>
        <v>0</v>
      </c>
      <c r="O943" s="52">
        <f t="shared" ca="1" si="1098"/>
        <v>0</v>
      </c>
      <c r="P943" s="52">
        <f t="shared" ca="1" si="1098"/>
        <v>0</v>
      </c>
      <c r="Q943" s="52">
        <f t="shared" ca="1" si="1098"/>
        <v>0</v>
      </c>
      <c r="R943" s="52">
        <f t="shared" ca="1" si="1098"/>
        <v>0</v>
      </c>
      <c r="S943" s="52">
        <f t="shared" ca="1" si="1098"/>
        <v>0</v>
      </c>
      <c r="T943" s="52">
        <f t="shared" ca="1" si="1098"/>
        <v>0</v>
      </c>
      <c r="U943" s="52">
        <f t="shared" ca="1" si="1098"/>
        <v>0</v>
      </c>
      <c r="V943" s="52">
        <f t="shared" ca="1" si="1098"/>
        <v>0</v>
      </c>
      <c r="W943" s="52">
        <f t="shared" ca="1" si="1098"/>
        <v>0</v>
      </c>
      <c r="X943" s="52">
        <f t="shared" ca="1" si="1098"/>
        <v>0</v>
      </c>
      <c r="Y943" s="52">
        <f t="shared" ca="1" si="1098"/>
        <v>0</v>
      </c>
      <c r="Z943" s="52">
        <f t="shared" ca="1" si="1098"/>
        <v>0</v>
      </c>
      <c r="AA943" s="52">
        <f t="shared" ca="1" si="1098"/>
        <v>0</v>
      </c>
      <c r="AB943" s="52">
        <f t="shared" ca="1" si="1098"/>
        <v>0</v>
      </c>
      <c r="AC943" s="52">
        <f t="shared" ca="1" si="1098"/>
        <v>0</v>
      </c>
      <c r="AD943" s="52">
        <f t="shared" ca="1" si="1098"/>
        <v>75702.890729007733</v>
      </c>
      <c r="AE943" s="52">
        <f t="shared" ca="1" si="1098"/>
        <v>135521.078241929</v>
      </c>
      <c r="AF943" s="52">
        <f t="shared" ca="1" si="1098"/>
        <v>54492.596847289882</v>
      </c>
      <c r="AG943" s="52">
        <f t="shared" ca="1" si="1098"/>
        <v>51209.036544938906</v>
      </c>
      <c r="AH943" s="52">
        <f t="shared" ca="1" si="1098"/>
        <v>88291.134795937745</v>
      </c>
      <c r="AI943" s="52">
        <f t="shared" ca="1" si="1098"/>
        <v>157561.80193954951</v>
      </c>
      <c r="AJ943" s="52">
        <f t="shared" ca="1" si="1098"/>
        <v>63155.510198555712</v>
      </c>
      <c r="AK943" s="52">
        <f t="shared" ca="1" si="1098"/>
        <v>59179.294515416943</v>
      </c>
      <c r="AL943" s="52">
        <f t="shared" ca="1" si="1098"/>
        <v>101765.31376305575</v>
      </c>
      <c r="AM943" s="52">
        <f t="shared" ca="1" si="1098"/>
        <v>181148.94980779244</v>
      </c>
      <c r="AN943" s="52">
        <f t="shared" ca="1" si="1098"/>
        <v>72424.268462967128</v>
      </c>
      <c r="AO943" s="52">
        <f t="shared" ca="1" si="1098"/>
        <v>67704.902948322881</v>
      </c>
      <c r="AP943" s="52">
        <f t="shared" ca="1" si="1098"/>
        <v>116175.82220717776</v>
      </c>
      <c r="AQ943" s="52">
        <f t="shared" ca="1" si="1098"/>
        <v>201876.61255157983</v>
      </c>
      <c r="AR943" s="52">
        <f t="shared" ref="AR943:BW943" ca="1" si="1099">AQ946</f>
        <v>78827.013148145867</v>
      </c>
      <c r="AS943" s="52">
        <f t="shared" ca="1" si="1099"/>
        <v>72014.729027610942</v>
      </c>
      <c r="AT943" s="52">
        <f t="shared" ca="1" si="1099"/>
        <v>120823.20768114441</v>
      </c>
      <c r="AU943" s="52">
        <f t="shared" ca="1" si="1099"/>
        <v>209952.03311349265</v>
      </c>
      <c r="AV943" s="52">
        <f t="shared" ca="1" si="1099"/>
        <v>81980.453242323769</v>
      </c>
      <c r="AW943" s="52">
        <f t="shared" ca="1" si="1099"/>
        <v>74895.318188715348</v>
      </c>
      <c r="AX943" s="52">
        <f t="shared" ca="1" si="1099"/>
        <v>125656.13598839013</v>
      </c>
      <c r="AY943" s="52">
        <f t="shared" ca="1" si="1099"/>
        <v>218350.11443803227</v>
      </c>
      <c r="AZ943" s="52">
        <f t="shared" ca="1" si="1099"/>
        <v>85259.671372016775</v>
      </c>
      <c r="BA943" s="52">
        <f t="shared" ca="1" si="1099"/>
        <v>77891.130916263937</v>
      </c>
      <c r="BB943" s="52">
        <f t="shared" ca="1" si="1099"/>
        <v>130682.38142792578</v>
      </c>
      <c r="BC943" s="52">
        <f t="shared" ca="1" si="1099"/>
        <v>227084.11901555344</v>
      </c>
      <c r="BD943" s="52">
        <f t="shared" ca="1" si="1099"/>
        <v>88670.058226897381</v>
      </c>
      <c r="BE943" s="52">
        <f t="shared" ca="1" si="1099"/>
        <v>81006.383411814371</v>
      </c>
      <c r="BF943" s="52">
        <f t="shared" ca="1" si="1099"/>
        <v>135909.28007410487</v>
      </c>
      <c r="BG943" s="52">
        <f t="shared" ca="1" si="1099"/>
        <v>236167.08325726894</v>
      </c>
      <c r="BH943" s="52">
        <f t="shared" ca="1" si="1099"/>
        <v>92216.456090590917</v>
      </c>
      <c r="BI943" s="52">
        <f t="shared" ca="1" si="1099"/>
        <v>84247.047199031076</v>
      </c>
      <c r="BJ943" s="52">
        <f t="shared" ca="1" si="1099"/>
        <v>141346.0637524444</v>
      </c>
      <c r="BK943" s="52">
        <f t="shared" ca="1" si="1099"/>
        <v>245614.18312722258</v>
      </c>
      <c r="BL943" s="52">
        <f t="shared" ca="1" si="1099"/>
        <v>95905.534978212207</v>
      </c>
      <c r="BM943" s="52">
        <f t="shared" ca="1" si="1099"/>
        <v>87616.929086992313</v>
      </c>
      <c r="BN943" s="52">
        <f t="shared" ca="1" si="1099"/>
        <v>146999.90630254225</v>
      </c>
      <c r="BO943" s="52">
        <f t="shared" ca="1" si="1099"/>
        <v>255438.75045231142</v>
      </c>
      <c r="BP943" s="52">
        <f t="shared" ca="1" si="1099"/>
        <v>99741.756377340644</v>
      </c>
      <c r="BQ943" s="52">
        <f t="shared" ca="1" si="1099"/>
        <v>91121.606250471959</v>
      </c>
      <c r="BR943" s="52">
        <f t="shared" ca="1" si="1099"/>
        <v>152879.90255464386</v>
      </c>
      <c r="BS943" s="52">
        <f t="shared" ca="1" si="1099"/>
        <v>265656.3004704038</v>
      </c>
      <c r="BT943" s="52">
        <f t="shared" ca="1" si="1099"/>
        <v>103731.42663243425</v>
      </c>
      <c r="BU943" s="52">
        <f t="shared" ca="1" si="1099"/>
        <v>94766.011048952932</v>
      </c>
      <c r="BV943" s="52">
        <f t="shared" ca="1" si="1099"/>
        <v>158994.63467812893</v>
      </c>
      <c r="BW943" s="52">
        <f t="shared" ca="1" si="1099"/>
        <v>276282.08393874846</v>
      </c>
      <c r="BX943" s="52">
        <f t="shared" ref="BX943:CO943" ca="1" si="1100">BW946</f>
        <v>107880.21053044184</v>
      </c>
      <c r="BY943" s="52">
        <f t="shared" ca="1" si="1100"/>
        <v>98557.12932051043</v>
      </c>
      <c r="BZ943" s="52">
        <f t="shared" ca="1" si="1100"/>
        <v>165354.90260310273</v>
      </c>
      <c r="CA943" s="52">
        <f t="shared" ca="1" si="1100"/>
        <v>287333.85458878876</v>
      </c>
      <c r="CB943" s="52">
        <f t="shared" ca="1" si="1100"/>
        <v>112195.91104564082</v>
      </c>
      <c r="CC943" s="52">
        <f t="shared" ca="1" si="1100"/>
        <v>102499.41449333087</v>
      </c>
      <c r="CD943" s="52">
        <f t="shared" ca="1" si="1100"/>
        <v>171969.09870722686</v>
      </c>
      <c r="CE943" s="52">
        <f t="shared" ca="1" si="1100"/>
        <v>298827.20877234015</v>
      </c>
      <c r="CF943" s="52">
        <f t="shared" ca="1" si="1100"/>
        <v>116683.74748746649</v>
      </c>
      <c r="CG943" s="52">
        <f t="shared" ca="1" si="1100"/>
        <v>106599.39107306406</v>
      </c>
      <c r="CH943" s="52">
        <f t="shared" ca="1" si="1100"/>
        <v>178847.8626555159</v>
      </c>
      <c r="CI943" s="52">
        <f t="shared" ca="1" si="1100"/>
        <v>310780.29712323385</v>
      </c>
      <c r="CJ943" s="52">
        <f t="shared" ca="1" si="1100"/>
        <v>121351.09738696518</v>
      </c>
      <c r="CK943" s="52">
        <f t="shared" ca="1" si="1100"/>
        <v>110862.82922267218</v>
      </c>
      <c r="CL943" s="52">
        <f t="shared" ca="1" si="1100"/>
        <v>186001.23437228194</v>
      </c>
      <c r="CM943" s="52">
        <f t="shared" ca="1" si="1100"/>
        <v>323210.96087038337</v>
      </c>
      <c r="CN943" s="52">
        <f t="shared" ca="1" si="1100"/>
        <v>126204.5877436396</v>
      </c>
      <c r="CO943" s="52">
        <f t="shared" ca="1" si="1100"/>
        <v>115297.90138462608</v>
      </c>
    </row>
    <row r="944" spans="1:93">
      <c r="A944" s="10"/>
      <c r="B944" s="10"/>
      <c r="C944" s="17" t="s">
        <v>55</v>
      </c>
      <c r="D944" s="10"/>
      <c r="E944" s="62"/>
      <c r="F944" s="10"/>
      <c r="G944" s="134" t="str">
        <f>Monetary_Unit</f>
        <v>тыс. руб.</v>
      </c>
      <c r="H944" s="10"/>
      <c r="I944" s="23">
        <f ca="1">SUM(L944:CO944)</f>
        <v>18493633.551309194</v>
      </c>
      <c r="J944" s="10"/>
      <c r="K944" s="10"/>
      <c r="L944" s="52">
        <f t="shared" ref="L944:BW944" ca="1" si="1101">-COGS</f>
        <v>0</v>
      </c>
      <c r="M944" s="52">
        <f t="shared" ca="1" si="1101"/>
        <v>0</v>
      </c>
      <c r="N944" s="52">
        <f t="shared" ca="1" si="1101"/>
        <v>0</v>
      </c>
      <c r="O944" s="52">
        <f t="shared" ca="1" si="1101"/>
        <v>0</v>
      </c>
      <c r="P944" s="52">
        <f t="shared" ca="1" si="1101"/>
        <v>0</v>
      </c>
      <c r="Q944" s="52">
        <f t="shared" ca="1" si="1101"/>
        <v>0</v>
      </c>
      <c r="R944" s="52">
        <f t="shared" ca="1" si="1101"/>
        <v>0</v>
      </c>
      <c r="S944" s="52">
        <f t="shared" ca="1" si="1101"/>
        <v>0</v>
      </c>
      <c r="T944" s="52">
        <f t="shared" ca="1" si="1101"/>
        <v>0</v>
      </c>
      <c r="U944" s="52">
        <f t="shared" ca="1" si="1101"/>
        <v>0</v>
      </c>
      <c r="V944" s="52">
        <f t="shared" ca="1" si="1101"/>
        <v>0</v>
      </c>
      <c r="W944" s="52">
        <f t="shared" ca="1" si="1101"/>
        <v>0</v>
      </c>
      <c r="X944" s="52">
        <f t="shared" ca="1" si="1101"/>
        <v>0</v>
      </c>
      <c r="Y944" s="52">
        <f t="shared" ca="1" si="1101"/>
        <v>0</v>
      </c>
      <c r="Z944" s="52">
        <f t="shared" ca="1" si="1101"/>
        <v>0</v>
      </c>
      <c r="AA944" s="52">
        <f t="shared" ca="1" si="1101"/>
        <v>0</v>
      </c>
      <c r="AB944" s="52">
        <f t="shared" ca="1" si="1101"/>
        <v>0</v>
      </c>
      <c r="AC944" s="52">
        <f t="shared" ca="1" si="1101"/>
        <v>153088.06791866009</v>
      </c>
      <c r="AD944" s="52">
        <f t="shared" ca="1" si="1101"/>
        <v>277065.31551683269</v>
      </c>
      <c r="AE944" s="52">
        <f t="shared" ca="1" si="1101"/>
        <v>111407.08688779266</v>
      </c>
      <c r="AF944" s="52">
        <f t="shared" ca="1" si="1101"/>
        <v>102418.07308987781</v>
      </c>
      <c r="AG944" s="52">
        <f t="shared" ca="1" si="1101"/>
        <v>178544.29480956297</v>
      </c>
      <c r="AH944" s="52">
        <f t="shared" ca="1" si="1101"/>
        <v>322126.35063196789</v>
      </c>
      <c r="AI944" s="52">
        <f t="shared" ca="1" si="1101"/>
        <v>129117.93196149165</v>
      </c>
      <c r="AJ944" s="52">
        <f t="shared" ca="1" si="1101"/>
        <v>118358.58903083384</v>
      </c>
      <c r="AK944" s="52">
        <f t="shared" ca="1" si="1101"/>
        <v>205792.07894306828</v>
      </c>
      <c r="AL944" s="52">
        <f t="shared" ca="1" si="1101"/>
        <v>370348.96405148692</v>
      </c>
      <c r="AM944" s="52">
        <f t="shared" ca="1" si="1101"/>
        <v>148067.39330206616</v>
      </c>
      <c r="AN944" s="52">
        <f t="shared" ca="1" si="1101"/>
        <v>136914.35929549739</v>
      </c>
      <c r="AO944" s="52">
        <f t="shared" ca="1" si="1101"/>
        <v>234933.32935229276</v>
      </c>
      <c r="AP944" s="52">
        <f t="shared" ca="1" si="1101"/>
        <v>412725.51899434091</v>
      </c>
      <c r="AQ944" s="52">
        <f t="shared" ca="1" si="1101"/>
        <v>161157.44910287601</v>
      </c>
      <c r="AR944" s="52">
        <f t="shared" ca="1" si="1101"/>
        <v>144029.45805522188</v>
      </c>
      <c r="AS944" s="52">
        <f t="shared" ca="1" si="1101"/>
        <v>244331.37553298092</v>
      </c>
      <c r="AT944" s="52">
        <f t="shared" ca="1" si="1101"/>
        <v>429235.267698696</v>
      </c>
      <c r="AU944" s="52">
        <f t="shared" ca="1" si="1101"/>
        <v>167604.4821843064</v>
      </c>
      <c r="AV944" s="52">
        <f t="shared" ca="1" si="1101"/>
        <v>149790.63637743067</v>
      </c>
      <c r="AW944" s="52">
        <f t="shared" ca="1" si="1101"/>
        <v>254104.63055430009</v>
      </c>
      <c r="AX944" s="52">
        <f t="shared" ca="1" si="1101"/>
        <v>446404.67840664374</v>
      </c>
      <c r="AY944" s="52">
        <f t="shared" ca="1" si="1101"/>
        <v>174308.66147167861</v>
      </c>
      <c r="AZ944" s="52">
        <f t="shared" ca="1" si="1101"/>
        <v>155782.26183252787</v>
      </c>
      <c r="BA944" s="52">
        <f t="shared" ca="1" si="1101"/>
        <v>264268.81577647204</v>
      </c>
      <c r="BB944" s="52">
        <f t="shared" ca="1" si="1101"/>
        <v>464260.86554290925</v>
      </c>
      <c r="BC944" s="52">
        <f t="shared" ca="1" si="1101"/>
        <v>181281.00793054575</v>
      </c>
      <c r="BD944" s="52">
        <f t="shared" ca="1" si="1101"/>
        <v>163812.90867722456</v>
      </c>
      <c r="BE944" s="52">
        <f t="shared" ca="1" si="1101"/>
        <v>274838.7663720788</v>
      </c>
      <c r="BF944" s="52">
        <f t="shared" ca="1" si="1101"/>
        <v>482830.48132597207</v>
      </c>
      <c r="BG944" s="52">
        <f t="shared" ca="1" si="1101"/>
        <v>188531.42134076369</v>
      </c>
      <c r="BH944" s="52">
        <f t="shared" ca="1" si="1101"/>
        <v>168494.09439806215</v>
      </c>
      <c r="BI944" s="52">
        <f t="shared" ca="1" si="1101"/>
        <v>285833.15114383207</v>
      </c>
      <c r="BJ944" s="52">
        <f t="shared" ca="1" si="1101"/>
        <v>502144.55217121053</v>
      </c>
      <c r="BK944" s="52">
        <f t="shared" ca="1" si="1101"/>
        <v>196073.53817767825</v>
      </c>
      <c r="BL944" s="52">
        <f t="shared" ca="1" si="1101"/>
        <v>175233.85817398463</v>
      </c>
      <c r="BM944" s="52">
        <f t="shared" ca="1" si="1101"/>
        <v>297266.47718958539</v>
      </c>
      <c r="BN944" s="52">
        <f t="shared" ca="1" si="1101"/>
        <v>522230.33425805887</v>
      </c>
      <c r="BO944" s="52">
        <f t="shared" ca="1" si="1101"/>
        <v>203916.47970478528</v>
      </c>
      <c r="BP944" s="52">
        <f t="shared" ca="1" si="1101"/>
        <v>182243.21250094395</v>
      </c>
      <c r="BQ944" s="52">
        <f t="shared" ca="1" si="1101"/>
        <v>309157.1362771687</v>
      </c>
      <c r="BR944" s="52">
        <f t="shared" ca="1" si="1101"/>
        <v>543119.54762838129</v>
      </c>
      <c r="BS944" s="52">
        <f t="shared" ca="1" si="1101"/>
        <v>212073.13889297668</v>
      </c>
      <c r="BT944" s="52">
        <f t="shared" ca="1" si="1101"/>
        <v>191637.93345454932</v>
      </c>
      <c r="BU944" s="52">
        <f t="shared" ca="1" si="1101"/>
        <v>321522.48346021632</v>
      </c>
      <c r="BV944" s="52">
        <f t="shared" ca="1" si="1101"/>
        <v>564843.37160810805</v>
      </c>
      <c r="BW944" s="52">
        <f t="shared" ca="1" si="1101"/>
        <v>220555.09708445895</v>
      </c>
      <c r="BX944" s="52">
        <f t="shared" ref="BX944:CO944" ca="1" si="1102">-COGS</f>
        <v>197114.25864102089</v>
      </c>
      <c r="BY944" s="52">
        <f t="shared" ca="1" si="1102"/>
        <v>334384.35859738558</v>
      </c>
      <c r="BZ944" s="52">
        <f t="shared" ca="1" si="1102"/>
        <v>587438.10271485697</v>
      </c>
      <c r="CA944" s="52">
        <f t="shared" ca="1" si="1102"/>
        <v>229378.30702664348</v>
      </c>
      <c r="CB944" s="52">
        <f t="shared" ca="1" si="1102"/>
        <v>204998.82898666174</v>
      </c>
      <c r="CC944" s="52">
        <f t="shared" ca="1" si="1102"/>
        <v>347759.73294128099</v>
      </c>
      <c r="CD944" s="52">
        <f t="shared" ca="1" si="1102"/>
        <v>610935.62682345114</v>
      </c>
      <c r="CE944" s="52">
        <f t="shared" ca="1" si="1102"/>
        <v>238553.43930770928</v>
      </c>
      <c r="CF944" s="52">
        <f t="shared" ca="1" si="1102"/>
        <v>213198.78214612813</v>
      </c>
      <c r="CG944" s="52">
        <f t="shared" ca="1" si="1102"/>
        <v>361670.12225893216</v>
      </c>
      <c r="CH944" s="52">
        <f t="shared" ca="1" si="1102"/>
        <v>635373.05189638922</v>
      </c>
      <c r="CI944" s="52">
        <f t="shared" ca="1" si="1102"/>
        <v>248095.57688001767</v>
      </c>
      <c r="CJ944" s="52">
        <f t="shared" ca="1" si="1102"/>
        <v>224189.27687251486</v>
      </c>
      <c r="CK944" s="52">
        <f t="shared" ca="1" si="1102"/>
        <v>376135.82950839237</v>
      </c>
      <c r="CL944" s="52">
        <f t="shared" ca="1" si="1102"/>
        <v>660786.85333500605</v>
      </c>
      <c r="CM944" s="52">
        <f t="shared" ca="1" si="1102"/>
        <v>258018.26827588529</v>
      </c>
      <c r="CN944" s="52">
        <f t="shared" ca="1" si="1102"/>
        <v>230595.80276925216</v>
      </c>
      <c r="CO944" s="52">
        <f t="shared" ca="1" si="1102"/>
        <v>391182.40423526097</v>
      </c>
    </row>
    <row r="945" spans="1:93">
      <c r="A945" s="10"/>
      <c r="B945" s="10"/>
      <c r="C945" s="17" t="s">
        <v>207</v>
      </c>
      <c r="D945" s="10"/>
      <c r="E945" s="62"/>
      <c r="F945" s="10"/>
      <c r="G945" s="134" t="str">
        <f>Monetary_Unit</f>
        <v>тыс. руб.</v>
      </c>
      <c r="H945" s="10"/>
      <c r="I945" s="23">
        <f ca="1">SUM(L945:CO945)</f>
        <v>-18300191.703060985</v>
      </c>
      <c r="J945" s="10"/>
      <c r="K945" s="10"/>
      <c r="L945" s="52">
        <f t="shared" ref="L945:AQ945" ca="1" si="1103">IF(Flag_Last_Operations*$E923,-L943-L944,-(L943+L944*(Days_In_Period-$E942)/Days_In_Period))</f>
        <v>0</v>
      </c>
      <c r="M945" s="52">
        <f t="shared" ca="1" si="1103"/>
        <v>0</v>
      </c>
      <c r="N945" s="52">
        <f t="shared" ca="1" si="1103"/>
        <v>0</v>
      </c>
      <c r="O945" s="52">
        <f t="shared" ca="1" si="1103"/>
        <v>0</v>
      </c>
      <c r="P945" s="52">
        <f t="shared" ca="1" si="1103"/>
        <v>0</v>
      </c>
      <c r="Q945" s="52">
        <f t="shared" ca="1" si="1103"/>
        <v>0</v>
      </c>
      <c r="R945" s="52">
        <f t="shared" ca="1" si="1103"/>
        <v>0</v>
      </c>
      <c r="S945" s="52">
        <f t="shared" ca="1" si="1103"/>
        <v>0</v>
      </c>
      <c r="T945" s="52">
        <f t="shared" ca="1" si="1103"/>
        <v>0</v>
      </c>
      <c r="U945" s="52">
        <f t="shared" ca="1" si="1103"/>
        <v>0</v>
      </c>
      <c r="V945" s="52">
        <f t="shared" ca="1" si="1103"/>
        <v>0</v>
      </c>
      <c r="W945" s="52">
        <f t="shared" ca="1" si="1103"/>
        <v>0</v>
      </c>
      <c r="X945" s="52">
        <f t="shared" ca="1" si="1103"/>
        <v>0</v>
      </c>
      <c r="Y945" s="52">
        <f t="shared" ca="1" si="1103"/>
        <v>0</v>
      </c>
      <c r="Z945" s="52">
        <f t="shared" ca="1" si="1103"/>
        <v>0</v>
      </c>
      <c r="AA945" s="52">
        <f t="shared" ca="1" si="1103"/>
        <v>0</v>
      </c>
      <c r="AB945" s="52">
        <f t="shared" ca="1" si="1103"/>
        <v>0</v>
      </c>
      <c r="AC945" s="52">
        <f t="shared" ca="1" si="1103"/>
        <v>-77385.177189652357</v>
      </c>
      <c r="AD945" s="52">
        <f t="shared" ca="1" si="1103"/>
        <v>-217247.12800391141</v>
      </c>
      <c r="AE945" s="52">
        <f t="shared" ca="1" si="1103"/>
        <v>-192435.56828243178</v>
      </c>
      <c r="AF945" s="52">
        <f t="shared" ca="1" si="1103"/>
        <v>-105701.63339222879</v>
      </c>
      <c r="AG945" s="52">
        <f t="shared" ca="1" si="1103"/>
        <v>-141462.19655856414</v>
      </c>
      <c r="AH945" s="52">
        <f t="shared" ca="1" si="1103"/>
        <v>-252855.68348835612</v>
      </c>
      <c r="AI945" s="52">
        <f t="shared" ca="1" si="1103"/>
        <v>-223524.22370248544</v>
      </c>
      <c r="AJ945" s="52">
        <f t="shared" ca="1" si="1103"/>
        <v>-122334.80471397263</v>
      </c>
      <c r="AK945" s="52">
        <f t="shared" ca="1" si="1103"/>
        <v>-163206.05969542949</v>
      </c>
      <c r="AL945" s="52">
        <f t="shared" ca="1" si="1103"/>
        <v>-290965.32800675021</v>
      </c>
      <c r="AM945" s="52">
        <f t="shared" ca="1" si="1103"/>
        <v>-256792.07464689144</v>
      </c>
      <c r="AN945" s="52">
        <f t="shared" ca="1" si="1103"/>
        <v>-141633.72481014163</v>
      </c>
      <c r="AO945" s="52">
        <f t="shared" ca="1" si="1103"/>
        <v>-186462.41009343788</v>
      </c>
      <c r="AP945" s="52">
        <f t="shared" ca="1" si="1103"/>
        <v>-327024.72864993883</v>
      </c>
      <c r="AQ945" s="52">
        <f t="shared" ca="1" si="1103"/>
        <v>-284207.04850630998</v>
      </c>
      <c r="AR945" s="52">
        <f t="shared" ref="AR945:BW945" ca="1" si="1104">IF(Flag_Last_Operations*$E923,-AR943-AR944,-(AR943+AR944*(Days_In_Period-$E942)/Days_In_Period))</f>
        <v>-150841.74217575681</v>
      </c>
      <c r="AS945" s="52">
        <f t="shared" ca="1" si="1104"/>
        <v>-195522.89687944745</v>
      </c>
      <c r="AT945" s="52">
        <f t="shared" ca="1" si="1104"/>
        <v>-340106.44226634782</v>
      </c>
      <c r="AU945" s="52">
        <f t="shared" ca="1" si="1104"/>
        <v>-295576.06205547525</v>
      </c>
      <c r="AV945" s="52">
        <f t="shared" ca="1" si="1104"/>
        <v>-156875.77143103909</v>
      </c>
      <c r="AW945" s="52">
        <f t="shared" ca="1" si="1104"/>
        <v>-203343.81275462528</v>
      </c>
      <c r="AX945" s="52">
        <f t="shared" ca="1" si="1104"/>
        <v>-353710.69995700161</v>
      </c>
      <c r="AY945" s="52">
        <f t="shared" ca="1" si="1104"/>
        <v>-307399.10453769413</v>
      </c>
      <c r="AZ945" s="52">
        <f t="shared" ca="1" si="1104"/>
        <v>-163150.80228828071</v>
      </c>
      <c r="BA945" s="52">
        <f t="shared" ca="1" si="1104"/>
        <v>-211477.56526481023</v>
      </c>
      <c r="BB945" s="52">
        <f t="shared" ca="1" si="1104"/>
        <v>-367859.12795528158</v>
      </c>
      <c r="BC945" s="52">
        <f t="shared" ca="1" si="1104"/>
        <v>-319695.06871920184</v>
      </c>
      <c r="BD945" s="52">
        <f t="shared" ca="1" si="1104"/>
        <v>-171476.58349230757</v>
      </c>
      <c r="BE945" s="52">
        <f t="shared" ca="1" si="1104"/>
        <v>-219935.86970978827</v>
      </c>
      <c r="BF945" s="52">
        <f t="shared" ca="1" si="1104"/>
        <v>-382572.67814280797</v>
      </c>
      <c r="BG945" s="52">
        <f t="shared" ca="1" si="1104"/>
        <v>-332482.04850744171</v>
      </c>
      <c r="BH945" s="52">
        <f t="shared" ca="1" si="1104"/>
        <v>-176463.50328962199</v>
      </c>
      <c r="BI945" s="52">
        <f t="shared" ca="1" si="1104"/>
        <v>-228734.13459041872</v>
      </c>
      <c r="BJ945" s="52">
        <f t="shared" ca="1" si="1104"/>
        <v>-397876.4327964324</v>
      </c>
      <c r="BK945" s="52">
        <f t="shared" ca="1" si="1104"/>
        <v>-345782.18632668862</v>
      </c>
      <c r="BL945" s="52">
        <f t="shared" ca="1" si="1104"/>
        <v>-183522.46406520452</v>
      </c>
      <c r="BM945" s="52">
        <f t="shared" ca="1" si="1104"/>
        <v>-237883.49997403548</v>
      </c>
      <c r="BN945" s="52">
        <f t="shared" ca="1" si="1104"/>
        <v>-413791.4901082897</v>
      </c>
      <c r="BO945" s="52">
        <f t="shared" ca="1" si="1104"/>
        <v>-359613.47377975605</v>
      </c>
      <c r="BP945" s="52">
        <f t="shared" ca="1" si="1104"/>
        <v>-190863.3626278126</v>
      </c>
      <c r="BQ945" s="52">
        <f t="shared" ca="1" si="1104"/>
        <v>-247398.83997299679</v>
      </c>
      <c r="BR945" s="52">
        <f t="shared" ca="1" si="1104"/>
        <v>-430343.14971262129</v>
      </c>
      <c r="BS945" s="52">
        <f t="shared" ca="1" si="1104"/>
        <v>-373998.01273094624</v>
      </c>
      <c r="BT945" s="52">
        <f t="shared" ca="1" si="1104"/>
        <v>-200603.3490380306</v>
      </c>
      <c r="BU945" s="52">
        <f t="shared" ca="1" si="1104"/>
        <v>-257293.85983104032</v>
      </c>
      <c r="BV945" s="52">
        <f t="shared" ca="1" si="1104"/>
        <v>-447555.92234748846</v>
      </c>
      <c r="BW945" s="52">
        <f t="shared" ca="1" si="1104"/>
        <v>-388956.97049276554</v>
      </c>
      <c r="BX945" s="52">
        <f t="shared" ref="BX945:CO945" ca="1" si="1105">IF(Flag_Last_Operations*$E923,-BX943-BX944,-(BX943+BX944*(Days_In_Period-$E942)/Days_In_Period))</f>
        <v>-206437.33985095227</v>
      </c>
      <c r="BY945" s="52">
        <f t="shared" ca="1" si="1105"/>
        <v>-267586.58531479328</v>
      </c>
      <c r="BZ945" s="52">
        <f t="shared" ca="1" si="1105"/>
        <v>-465459.15072917094</v>
      </c>
      <c r="CA945" s="52">
        <f t="shared" ca="1" si="1105"/>
        <v>-404516.25056979142</v>
      </c>
      <c r="CB945" s="52">
        <f t="shared" ca="1" si="1105"/>
        <v>-214695.32553897169</v>
      </c>
      <c r="CC945" s="52">
        <f t="shared" ca="1" si="1105"/>
        <v>-278290.048727385</v>
      </c>
      <c r="CD945" s="52">
        <f t="shared" ca="1" si="1105"/>
        <v>-484077.51675833779</v>
      </c>
      <c r="CE945" s="52">
        <f t="shared" ca="1" si="1105"/>
        <v>-420696.90059258294</v>
      </c>
      <c r="CF945" s="52">
        <f t="shared" ca="1" si="1105"/>
        <v>-223283.13856053055</v>
      </c>
      <c r="CG945" s="52">
        <f t="shared" ca="1" si="1105"/>
        <v>-289421.65067648032</v>
      </c>
      <c r="CH945" s="52">
        <f t="shared" ca="1" si="1105"/>
        <v>-503440.61742867128</v>
      </c>
      <c r="CI945" s="52">
        <f t="shared" ca="1" si="1105"/>
        <v>-437524.77661628637</v>
      </c>
      <c r="CJ945" s="52">
        <f t="shared" ca="1" si="1105"/>
        <v>-234677.54503680786</v>
      </c>
      <c r="CK945" s="52">
        <f t="shared" ca="1" si="1105"/>
        <v>-300997.42435878259</v>
      </c>
      <c r="CL945" s="52">
        <f t="shared" ca="1" si="1105"/>
        <v>-523577.12683690462</v>
      </c>
      <c r="CM945" s="52">
        <f t="shared" ca="1" si="1105"/>
        <v>-455024.64140262909</v>
      </c>
      <c r="CN945" s="52">
        <f t="shared" ca="1" si="1105"/>
        <v>-241502.48912826568</v>
      </c>
      <c r="CO945" s="52">
        <f t="shared" ca="1" si="1105"/>
        <v>-313038.45737168111</v>
      </c>
    </row>
    <row r="946" spans="1:93">
      <c r="A946" s="10"/>
      <c r="B946" s="10"/>
      <c r="C946" s="17" t="s">
        <v>179</v>
      </c>
      <c r="D946" s="10"/>
      <c r="E946" s="62"/>
      <c r="F946" s="10"/>
      <c r="G946" s="134" t="str">
        <f>Monetary_Unit</f>
        <v>тыс. руб.</v>
      </c>
      <c r="H946" s="10"/>
      <c r="I946" s="10"/>
      <c r="J946" s="10"/>
      <c r="K946" s="10"/>
      <c r="L946" s="52">
        <f t="shared" ref="L946:R946" ca="1" si="1106">SUM(L943:L945)</f>
        <v>0</v>
      </c>
      <c r="M946" s="52">
        <f t="shared" ca="1" si="1106"/>
        <v>0</v>
      </c>
      <c r="N946" s="52">
        <f t="shared" ca="1" si="1106"/>
        <v>0</v>
      </c>
      <c r="O946" s="52">
        <f t="shared" ca="1" si="1106"/>
        <v>0</v>
      </c>
      <c r="P946" s="52">
        <f t="shared" ca="1" si="1106"/>
        <v>0</v>
      </c>
      <c r="Q946" s="52">
        <f t="shared" ca="1" si="1106"/>
        <v>0</v>
      </c>
      <c r="R946" s="52">
        <f t="shared" ca="1" si="1106"/>
        <v>0</v>
      </c>
      <c r="S946" s="52">
        <f ca="1">SUM(S943:S945)</f>
        <v>0</v>
      </c>
      <c r="T946" s="52">
        <f t="shared" ref="T946:CE946" ca="1" si="1107">SUM(T943:T945)</f>
        <v>0</v>
      </c>
      <c r="U946" s="52">
        <f t="shared" ca="1" si="1107"/>
        <v>0</v>
      </c>
      <c r="V946" s="52">
        <f t="shared" ca="1" si="1107"/>
        <v>0</v>
      </c>
      <c r="W946" s="52">
        <f t="shared" ca="1" si="1107"/>
        <v>0</v>
      </c>
      <c r="X946" s="52">
        <f t="shared" ca="1" si="1107"/>
        <v>0</v>
      </c>
      <c r="Y946" s="52">
        <f t="shared" ca="1" si="1107"/>
        <v>0</v>
      </c>
      <c r="Z946" s="52">
        <f t="shared" ca="1" si="1107"/>
        <v>0</v>
      </c>
      <c r="AA946" s="52">
        <f t="shared" ca="1" si="1107"/>
        <v>0</v>
      </c>
      <c r="AB946" s="52">
        <f t="shared" ca="1" si="1107"/>
        <v>0</v>
      </c>
      <c r="AC946" s="52">
        <f t="shared" ca="1" si="1107"/>
        <v>75702.890729007733</v>
      </c>
      <c r="AD946" s="52">
        <f t="shared" ca="1" si="1107"/>
        <v>135521.078241929</v>
      </c>
      <c r="AE946" s="52">
        <f t="shared" ca="1" si="1107"/>
        <v>54492.596847289882</v>
      </c>
      <c r="AF946" s="52">
        <f t="shared" ca="1" si="1107"/>
        <v>51209.036544938906</v>
      </c>
      <c r="AG946" s="52">
        <f t="shared" ca="1" si="1107"/>
        <v>88291.134795937745</v>
      </c>
      <c r="AH946" s="52">
        <f t="shared" ca="1" si="1107"/>
        <v>157561.80193954951</v>
      </c>
      <c r="AI946" s="52">
        <f t="shared" ca="1" si="1107"/>
        <v>63155.510198555712</v>
      </c>
      <c r="AJ946" s="52">
        <f t="shared" ca="1" si="1107"/>
        <v>59179.294515416943</v>
      </c>
      <c r="AK946" s="52">
        <f t="shared" ca="1" si="1107"/>
        <v>101765.31376305575</v>
      </c>
      <c r="AL946" s="52">
        <f t="shared" ca="1" si="1107"/>
        <v>181148.94980779244</v>
      </c>
      <c r="AM946" s="52">
        <f t="shared" ca="1" si="1107"/>
        <v>72424.268462967128</v>
      </c>
      <c r="AN946" s="52">
        <f t="shared" ca="1" si="1107"/>
        <v>67704.902948322881</v>
      </c>
      <c r="AO946" s="52">
        <f t="shared" ca="1" si="1107"/>
        <v>116175.82220717776</v>
      </c>
      <c r="AP946" s="52">
        <f t="shared" ca="1" si="1107"/>
        <v>201876.61255157983</v>
      </c>
      <c r="AQ946" s="52">
        <f t="shared" ca="1" si="1107"/>
        <v>78827.013148145867</v>
      </c>
      <c r="AR946" s="52">
        <f t="shared" ca="1" si="1107"/>
        <v>72014.729027610942</v>
      </c>
      <c r="AS946" s="52">
        <f t="shared" ca="1" si="1107"/>
        <v>120823.20768114441</v>
      </c>
      <c r="AT946" s="52">
        <f t="shared" ca="1" si="1107"/>
        <v>209952.03311349265</v>
      </c>
      <c r="AU946" s="52">
        <f t="shared" ca="1" si="1107"/>
        <v>81980.453242323769</v>
      </c>
      <c r="AV946" s="52">
        <f t="shared" ca="1" si="1107"/>
        <v>74895.318188715348</v>
      </c>
      <c r="AW946" s="52">
        <f t="shared" ca="1" si="1107"/>
        <v>125656.13598839013</v>
      </c>
      <c r="AX946" s="52">
        <f t="shared" ca="1" si="1107"/>
        <v>218350.11443803227</v>
      </c>
      <c r="AY946" s="52">
        <f t="shared" ca="1" si="1107"/>
        <v>85259.671372016775</v>
      </c>
      <c r="AZ946" s="52">
        <f t="shared" ca="1" si="1107"/>
        <v>77891.130916263937</v>
      </c>
      <c r="BA946" s="52">
        <f t="shared" ca="1" si="1107"/>
        <v>130682.38142792578</v>
      </c>
      <c r="BB946" s="52">
        <f t="shared" ca="1" si="1107"/>
        <v>227084.11901555344</v>
      </c>
      <c r="BC946" s="52">
        <f t="shared" ca="1" si="1107"/>
        <v>88670.058226897381</v>
      </c>
      <c r="BD946" s="52">
        <f t="shared" ca="1" si="1107"/>
        <v>81006.383411814371</v>
      </c>
      <c r="BE946" s="52">
        <f t="shared" ca="1" si="1107"/>
        <v>135909.28007410487</v>
      </c>
      <c r="BF946" s="52">
        <f t="shared" ca="1" si="1107"/>
        <v>236167.08325726894</v>
      </c>
      <c r="BG946" s="52">
        <f t="shared" ca="1" si="1107"/>
        <v>92216.456090590917</v>
      </c>
      <c r="BH946" s="52">
        <f t="shared" ca="1" si="1107"/>
        <v>84247.047199031076</v>
      </c>
      <c r="BI946" s="52">
        <f t="shared" ca="1" si="1107"/>
        <v>141346.0637524444</v>
      </c>
      <c r="BJ946" s="52">
        <f t="shared" ca="1" si="1107"/>
        <v>245614.18312722258</v>
      </c>
      <c r="BK946" s="52">
        <f t="shared" ca="1" si="1107"/>
        <v>95905.534978212207</v>
      </c>
      <c r="BL946" s="52">
        <f t="shared" ca="1" si="1107"/>
        <v>87616.929086992313</v>
      </c>
      <c r="BM946" s="52">
        <f t="shared" ca="1" si="1107"/>
        <v>146999.90630254225</v>
      </c>
      <c r="BN946" s="52">
        <f t="shared" ca="1" si="1107"/>
        <v>255438.75045231142</v>
      </c>
      <c r="BO946" s="52">
        <f t="shared" ca="1" si="1107"/>
        <v>99741.756377340644</v>
      </c>
      <c r="BP946" s="52">
        <f t="shared" ca="1" si="1107"/>
        <v>91121.606250471959</v>
      </c>
      <c r="BQ946" s="52">
        <f t="shared" ca="1" si="1107"/>
        <v>152879.90255464386</v>
      </c>
      <c r="BR946" s="52">
        <f t="shared" ca="1" si="1107"/>
        <v>265656.3004704038</v>
      </c>
      <c r="BS946" s="52">
        <f t="shared" ca="1" si="1107"/>
        <v>103731.42663243425</v>
      </c>
      <c r="BT946" s="52">
        <f t="shared" ca="1" si="1107"/>
        <v>94766.011048952932</v>
      </c>
      <c r="BU946" s="52">
        <f t="shared" ca="1" si="1107"/>
        <v>158994.63467812893</v>
      </c>
      <c r="BV946" s="52">
        <f t="shared" ca="1" si="1107"/>
        <v>276282.08393874846</v>
      </c>
      <c r="BW946" s="52">
        <f t="shared" ca="1" si="1107"/>
        <v>107880.21053044184</v>
      </c>
      <c r="BX946" s="52">
        <f t="shared" ca="1" si="1107"/>
        <v>98557.12932051043</v>
      </c>
      <c r="BY946" s="52">
        <f t="shared" ca="1" si="1107"/>
        <v>165354.90260310273</v>
      </c>
      <c r="BZ946" s="52">
        <f t="shared" ca="1" si="1107"/>
        <v>287333.85458878876</v>
      </c>
      <c r="CA946" s="52">
        <f t="shared" ca="1" si="1107"/>
        <v>112195.91104564082</v>
      </c>
      <c r="CB946" s="52">
        <f t="shared" ca="1" si="1107"/>
        <v>102499.41449333087</v>
      </c>
      <c r="CC946" s="52">
        <f t="shared" ca="1" si="1107"/>
        <v>171969.09870722686</v>
      </c>
      <c r="CD946" s="52">
        <f t="shared" ca="1" si="1107"/>
        <v>298827.20877234015</v>
      </c>
      <c r="CE946" s="52">
        <f t="shared" ca="1" si="1107"/>
        <v>116683.74748746649</v>
      </c>
      <c r="CF946" s="52">
        <f t="shared" ref="CF946:CO946" ca="1" si="1108">SUM(CF943:CF945)</f>
        <v>106599.39107306406</v>
      </c>
      <c r="CG946" s="52">
        <f t="shared" ca="1" si="1108"/>
        <v>178847.8626555159</v>
      </c>
      <c r="CH946" s="52">
        <f t="shared" ca="1" si="1108"/>
        <v>310780.29712323385</v>
      </c>
      <c r="CI946" s="52">
        <f t="shared" ca="1" si="1108"/>
        <v>121351.09738696518</v>
      </c>
      <c r="CJ946" s="52">
        <f t="shared" ca="1" si="1108"/>
        <v>110862.82922267218</v>
      </c>
      <c r="CK946" s="52">
        <f t="shared" ca="1" si="1108"/>
        <v>186001.23437228194</v>
      </c>
      <c r="CL946" s="52">
        <f t="shared" ca="1" si="1108"/>
        <v>323210.96087038337</v>
      </c>
      <c r="CM946" s="52">
        <f t="shared" ca="1" si="1108"/>
        <v>126204.5877436396</v>
      </c>
      <c r="CN946" s="52">
        <f t="shared" ca="1" si="1108"/>
        <v>115297.90138462608</v>
      </c>
      <c r="CO946" s="52">
        <f t="shared" ca="1" si="1108"/>
        <v>193441.84824820596</v>
      </c>
    </row>
    <row r="947" spans="1:93">
      <c r="A947" s="10"/>
      <c r="B947" s="10"/>
      <c r="C947" s="17" t="s">
        <v>206</v>
      </c>
      <c r="D947" s="10"/>
      <c r="E947" s="62"/>
      <c r="F947" s="10"/>
      <c r="G947" s="134" t="str">
        <f>Monetary_Unit</f>
        <v>тыс. руб.</v>
      </c>
      <c r="H947" s="10"/>
      <c r="I947" s="23">
        <f ca="1">SUM(L947:CO947)</f>
        <v>-193441.84824820596</v>
      </c>
      <c r="J947" s="10"/>
      <c r="K947" s="10"/>
      <c r="L947" s="52">
        <f t="shared" ref="L947:R947" ca="1" si="1109">L943-L946</f>
        <v>0</v>
      </c>
      <c r="M947" s="52">
        <f t="shared" ca="1" si="1109"/>
        <v>0</v>
      </c>
      <c r="N947" s="52">
        <f t="shared" ca="1" si="1109"/>
        <v>0</v>
      </c>
      <c r="O947" s="52">
        <f t="shared" ca="1" si="1109"/>
        <v>0</v>
      </c>
      <c r="P947" s="52">
        <f t="shared" ca="1" si="1109"/>
        <v>0</v>
      </c>
      <c r="Q947" s="52">
        <f t="shared" ca="1" si="1109"/>
        <v>0</v>
      </c>
      <c r="R947" s="52">
        <f t="shared" ca="1" si="1109"/>
        <v>0</v>
      </c>
      <c r="S947" s="52">
        <f ca="1">S943-S946</f>
        <v>0</v>
      </c>
      <c r="T947" s="52">
        <f t="shared" ref="T947:CE947" ca="1" si="1110">T943-T946</f>
        <v>0</v>
      </c>
      <c r="U947" s="52">
        <f t="shared" ca="1" si="1110"/>
        <v>0</v>
      </c>
      <c r="V947" s="52">
        <f t="shared" ca="1" si="1110"/>
        <v>0</v>
      </c>
      <c r="W947" s="52">
        <f t="shared" ca="1" si="1110"/>
        <v>0</v>
      </c>
      <c r="X947" s="52">
        <f t="shared" ca="1" si="1110"/>
        <v>0</v>
      </c>
      <c r="Y947" s="52">
        <f t="shared" ca="1" si="1110"/>
        <v>0</v>
      </c>
      <c r="Z947" s="52">
        <f t="shared" ca="1" si="1110"/>
        <v>0</v>
      </c>
      <c r="AA947" s="52">
        <f t="shared" ca="1" si="1110"/>
        <v>0</v>
      </c>
      <c r="AB947" s="52">
        <f t="shared" ca="1" si="1110"/>
        <v>0</v>
      </c>
      <c r="AC947" s="52">
        <f t="shared" ca="1" si="1110"/>
        <v>-75702.890729007733</v>
      </c>
      <c r="AD947" s="52">
        <f t="shared" ca="1" si="1110"/>
        <v>-59818.187512921271</v>
      </c>
      <c r="AE947" s="52">
        <f t="shared" ca="1" si="1110"/>
        <v>81028.481394639122</v>
      </c>
      <c r="AF947" s="52">
        <f t="shared" ca="1" si="1110"/>
        <v>3283.5603023509757</v>
      </c>
      <c r="AG947" s="52">
        <f t="shared" ca="1" si="1110"/>
        <v>-37082.098250998839</v>
      </c>
      <c r="AH947" s="52">
        <f t="shared" ca="1" si="1110"/>
        <v>-69270.667143611761</v>
      </c>
      <c r="AI947" s="52">
        <f t="shared" ca="1" si="1110"/>
        <v>94406.291740993795</v>
      </c>
      <c r="AJ947" s="52">
        <f t="shared" ca="1" si="1110"/>
        <v>3976.2156831387692</v>
      </c>
      <c r="AK947" s="52">
        <f t="shared" ca="1" si="1110"/>
        <v>-42586.019247638804</v>
      </c>
      <c r="AL947" s="52">
        <f t="shared" ca="1" si="1110"/>
        <v>-79383.63604473669</v>
      </c>
      <c r="AM947" s="52">
        <f t="shared" ca="1" si="1110"/>
        <v>108724.68134482531</v>
      </c>
      <c r="AN947" s="52">
        <f t="shared" ca="1" si="1110"/>
        <v>4719.365514644247</v>
      </c>
      <c r="AO947" s="52">
        <f t="shared" ca="1" si="1110"/>
        <v>-48470.919258854876</v>
      </c>
      <c r="AP947" s="52">
        <f t="shared" ca="1" si="1110"/>
        <v>-85700.790344402078</v>
      </c>
      <c r="AQ947" s="52">
        <f t="shared" ca="1" si="1110"/>
        <v>123049.59940343397</v>
      </c>
      <c r="AR947" s="52">
        <f t="shared" ca="1" si="1110"/>
        <v>6812.284120534925</v>
      </c>
      <c r="AS947" s="52">
        <f t="shared" ca="1" si="1110"/>
        <v>-48808.478653533472</v>
      </c>
      <c r="AT947" s="52">
        <f t="shared" ca="1" si="1110"/>
        <v>-89128.82543234824</v>
      </c>
      <c r="AU947" s="52">
        <f t="shared" ca="1" si="1110"/>
        <v>127971.57987116888</v>
      </c>
      <c r="AV947" s="52">
        <f t="shared" ca="1" si="1110"/>
        <v>7085.135053608421</v>
      </c>
      <c r="AW947" s="52">
        <f t="shared" ca="1" si="1110"/>
        <v>-50760.817799674784</v>
      </c>
      <c r="AX947" s="52">
        <f t="shared" ca="1" si="1110"/>
        <v>-92693.978449642134</v>
      </c>
      <c r="AY947" s="52">
        <f t="shared" ca="1" si="1110"/>
        <v>133090.44306601549</v>
      </c>
      <c r="AZ947" s="52">
        <f t="shared" ca="1" si="1110"/>
        <v>7368.5404557528382</v>
      </c>
      <c r="BA947" s="52">
        <f t="shared" ca="1" si="1110"/>
        <v>-52791.250511661841</v>
      </c>
      <c r="BB947" s="52">
        <f t="shared" ca="1" si="1110"/>
        <v>-96401.737587627664</v>
      </c>
      <c r="BC947" s="52">
        <f t="shared" ca="1" si="1110"/>
        <v>138414.06078865606</v>
      </c>
      <c r="BD947" s="52">
        <f t="shared" ca="1" si="1110"/>
        <v>7663.6748150830099</v>
      </c>
      <c r="BE947" s="52">
        <f t="shared" ca="1" si="1110"/>
        <v>-54902.896662290499</v>
      </c>
      <c r="BF947" s="52">
        <f t="shared" ca="1" si="1110"/>
        <v>-100257.80318316407</v>
      </c>
      <c r="BG947" s="52">
        <f t="shared" ca="1" si="1110"/>
        <v>143950.62716667802</v>
      </c>
      <c r="BH947" s="52">
        <f t="shared" ca="1" si="1110"/>
        <v>7969.4088915598404</v>
      </c>
      <c r="BI947" s="52">
        <f t="shared" ca="1" si="1110"/>
        <v>-57099.016553413327</v>
      </c>
      <c r="BJ947" s="52">
        <f t="shared" ca="1" si="1110"/>
        <v>-104268.11937477818</v>
      </c>
      <c r="BK947" s="52">
        <f t="shared" ca="1" si="1110"/>
        <v>149708.64814901038</v>
      </c>
      <c r="BL947" s="52">
        <f t="shared" ca="1" si="1110"/>
        <v>8288.6058912198932</v>
      </c>
      <c r="BM947" s="52">
        <f t="shared" ca="1" si="1110"/>
        <v>-59382.977215549938</v>
      </c>
      <c r="BN947" s="52">
        <f t="shared" ca="1" si="1110"/>
        <v>-108438.84414976917</v>
      </c>
      <c r="BO947" s="52">
        <f t="shared" ca="1" si="1110"/>
        <v>155696.99407497077</v>
      </c>
      <c r="BP947" s="52">
        <f t="shared" ca="1" si="1110"/>
        <v>8620.1501268686843</v>
      </c>
      <c r="BQ947" s="52">
        <f t="shared" ca="1" si="1110"/>
        <v>-61758.296304171905</v>
      </c>
      <c r="BR947" s="52">
        <f t="shared" ca="1" si="1110"/>
        <v>-112776.39791575994</v>
      </c>
      <c r="BS947" s="52">
        <f t="shared" ca="1" si="1110"/>
        <v>161924.87383796956</v>
      </c>
      <c r="BT947" s="52">
        <f t="shared" ca="1" si="1110"/>
        <v>8965.4155834813137</v>
      </c>
      <c r="BU947" s="52">
        <f t="shared" ca="1" si="1110"/>
        <v>-64228.623629176</v>
      </c>
      <c r="BV947" s="52">
        <f t="shared" ca="1" si="1110"/>
        <v>-117287.44926061953</v>
      </c>
      <c r="BW947" s="52">
        <f t="shared" ca="1" si="1110"/>
        <v>168401.87340830662</v>
      </c>
      <c r="BX947" s="52">
        <f t="shared" ca="1" si="1110"/>
        <v>9323.0812099314062</v>
      </c>
      <c r="BY947" s="52">
        <f t="shared" ca="1" si="1110"/>
        <v>-66797.773282592301</v>
      </c>
      <c r="BZ947" s="52">
        <f t="shared" ca="1" si="1110"/>
        <v>-121978.95198568603</v>
      </c>
      <c r="CA947" s="52">
        <f t="shared" ca="1" si="1110"/>
        <v>175137.94354314794</v>
      </c>
      <c r="CB947" s="52">
        <f t="shared" ca="1" si="1110"/>
        <v>9696.4965523099527</v>
      </c>
      <c r="CC947" s="52">
        <f t="shared" ca="1" si="1110"/>
        <v>-69469.684213895991</v>
      </c>
      <c r="CD947" s="52">
        <f t="shared" ca="1" si="1110"/>
        <v>-126858.11006511329</v>
      </c>
      <c r="CE947" s="52">
        <f t="shared" ca="1" si="1110"/>
        <v>182143.46128487366</v>
      </c>
      <c r="CF947" s="52">
        <f t="shared" ref="CF947:CO947" ca="1" si="1111">CF943-CF946</f>
        <v>10084.356414402428</v>
      </c>
      <c r="CG947" s="52">
        <f t="shared" ca="1" si="1111"/>
        <v>-72248.471582451835</v>
      </c>
      <c r="CH947" s="52">
        <f t="shared" ca="1" si="1111"/>
        <v>-131932.43446771795</v>
      </c>
      <c r="CI947" s="52">
        <f t="shared" ca="1" si="1111"/>
        <v>189429.19973626867</v>
      </c>
      <c r="CJ947" s="52">
        <f t="shared" ca="1" si="1111"/>
        <v>10488.268164292997</v>
      </c>
      <c r="CK947" s="52">
        <f t="shared" ca="1" si="1111"/>
        <v>-75138.405149609753</v>
      </c>
      <c r="CL947" s="52">
        <f t="shared" ca="1" si="1111"/>
        <v>-137209.72649810143</v>
      </c>
      <c r="CM947" s="52">
        <f t="shared" ca="1" si="1111"/>
        <v>197006.37312674377</v>
      </c>
      <c r="CN947" s="52">
        <f t="shared" ca="1" si="1111"/>
        <v>10906.686359013518</v>
      </c>
      <c r="CO947" s="52">
        <f t="shared" ca="1" si="1111"/>
        <v>-78143.946863579884</v>
      </c>
    </row>
    <row r="948" spans="1:93">
      <c r="A948" s="10"/>
      <c r="B948" s="10"/>
      <c r="C948" s="17"/>
      <c r="D948" s="10"/>
      <c r="E948" s="62"/>
      <c r="F948" s="10"/>
      <c r="G948" s="11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  <c r="BA948" s="10"/>
      <c r="BB948" s="10"/>
      <c r="BC948" s="10"/>
      <c r="BD948" s="10"/>
      <c r="BE948" s="10"/>
      <c r="BF948" s="10"/>
      <c r="BG948" s="10"/>
      <c r="BH948" s="10"/>
      <c r="BI948" s="10"/>
      <c r="BJ948" s="10"/>
      <c r="BK948" s="10"/>
      <c r="BL948" s="10"/>
      <c r="BM948" s="10"/>
      <c r="BN948" s="10"/>
      <c r="BO948" s="10"/>
      <c r="BP948" s="10"/>
      <c r="BQ948" s="10"/>
      <c r="BR948" s="10"/>
      <c r="BS948" s="10"/>
      <c r="BT948" s="10"/>
      <c r="BU948" s="10"/>
      <c r="BV948" s="10"/>
      <c r="BW948" s="10"/>
      <c r="BX948" s="10"/>
      <c r="BY948" s="10"/>
      <c r="BZ948" s="10"/>
      <c r="CA948" s="10"/>
      <c r="CB948" s="10"/>
      <c r="CC948" s="10"/>
      <c r="CD948" s="10"/>
      <c r="CE948" s="10"/>
      <c r="CF948" s="10"/>
      <c r="CG948" s="10"/>
      <c r="CH948" s="10"/>
      <c r="CI948" s="10"/>
      <c r="CJ948" s="10"/>
      <c r="CK948" s="10"/>
      <c r="CL948" s="10"/>
      <c r="CM948" s="10"/>
      <c r="CN948" s="10"/>
      <c r="CO948" s="10"/>
    </row>
    <row r="949" spans="1:93">
      <c r="A949" s="10"/>
      <c r="B949" s="10"/>
      <c r="C949" s="41" t="s">
        <v>209</v>
      </c>
      <c r="D949" s="10"/>
      <c r="E949" s="62"/>
      <c r="F949" s="10"/>
      <c r="G949" s="11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  <c r="BA949" s="10"/>
      <c r="BB949" s="10"/>
      <c r="BC949" s="10"/>
      <c r="BD949" s="10"/>
      <c r="BE949" s="10"/>
      <c r="BF949" s="10"/>
      <c r="BG949" s="10"/>
      <c r="BH949" s="10"/>
      <c r="BI949" s="10"/>
      <c r="BJ949" s="10"/>
      <c r="BK949" s="10"/>
      <c r="BL949" s="10"/>
      <c r="BM949" s="10"/>
      <c r="BN949" s="10"/>
      <c r="BO949" s="10"/>
      <c r="BP949" s="10"/>
      <c r="BQ949" s="10"/>
      <c r="BR949" s="10"/>
      <c r="BS949" s="10"/>
      <c r="BT949" s="10"/>
      <c r="BU949" s="10"/>
      <c r="BV949" s="10"/>
      <c r="BW949" s="10"/>
      <c r="BX949" s="10"/>
      <c r="BY949" s="10"/>
      <c r="BZ949" s="10"/>
      <c r="CA949" s="10"/>
      <c r="CB949" s="10"/>
      <c r="CC949" s="10"/>
      <c r="CD949" s="10"/>
      <c r="CE949" s="10"/>
      <c r="CF949" s="10"/>
      <c r="CG949" s="10"/>
      <c r="CH949" s="10"/>
      <c r="CI949" s="10"/>
      <c r="CJ949" s="10"/>
      <c r="CK949" s="10"/>
      <c r="CL949" s="10"/>
      <c r="CM949" s="10"/>
      <c r="CN949" s="10"/>
      <c r="CO949" s="10"/>
    </row>
    <row r="950" spans="1:93">
      <c r="A950" s="10"/>
      <c r="B950" s="10"/>
      <c r="C950" s="17" t="s">
        <v>210</v>
      </c>
      <c r="D950" s="10"/>
      <c r="E950" s="62"/>
      <c r="F950" s="10"/>
      <c r="G950" s="134" t="str">
        <f>Monetary_Unit</f>
        <v>тыс. руб.</v>
      </c>
      <c r="H950" s="10"/>
      <c r="I950" s="10"/>
      <c r="J950" s="10"/>
      <c r="K950" s="10"/>
      <c r="L950" s="52">
        <f t="shared" ref="L950:R950" ca="1" si="1112">L930+L938-L946</f>
        <v>0</v>
      </c>
      <c r="M950" s="52">
        <f t="shared" ca="1" si="1112"/>
        <v>0</v>
      </c>
      <c r="N950" s="52">
        <f t="shared" ca="1" si="1112"/>
        <v>0</v>
      </c>
      <c r="O950" s="52">
        <f t="shared" ca="1" si="1112"/>
        <v>0</v>
      </c>
      <c r="P950" s="52">
        <f t="shared" ca="1" si="1112"/>
        <v>0</v>
      </c>
      <c r="Q950" s="52">
        <f t="shared" ca="1" si="1112"/>
        <v>0</v>
      </c>
      <c r="R950" s="52">
        <f t="shared" ca="1" si="1112"/>
        <v>0</v>
      </c>
      <c r="S950" s="52">
        <f ca="1">S930+S938-S946</f>
        <v>0</v>
      </c>
      <c r="T950" s="52">
        <f t="shared" ref="T950:CE950" ca="1" si="1113">T930+T938-T946</f>
        <v>0</v>
      </c>
      <c r="U950" s="52">
        <f t="shared" ca="1" si="1113"/>
        <v>0</v>
      </c>
      <c r="V950" s="52">
        <f t="shared" ca="1" si="1113"/>
        <v>0</v>
      </c>
      <c r="W950" s="52">
        <f t="shared" ca="1" si="1113"/>
        <v>0</v>
      </c>
      <c r="X950" s="52">
        <f t="shared" ca="1" si="1113"/>
        <v>0</v>
      </c>
      <c r="Y950" s="52">
        <f t="shared" ca="1" si="1113"/>
        <v>0</v>
      </c>
      <c r="Z950" s="52">
        <f t="shared" ca="1" si="1113"/>
        <v>0</v>
      </c>
      <c r="AA950" s="52">
        <f t="shared" ca="1" si="1113"/>
        <v>0</v>
      </c>
      <c r="AB950" s="52">
        <f t="shared" ca="1" si="1113"/>
        <v>0</v>
      </c>
      <c r="AC950" s="52">
        <f t="shared" ca="1" si="1113"/>
        <v>69426.365057955772</v>
      </c>
      <c r="AD950" s="52">
        <f t="shared" ca="1" si="1113"/>
        <v>133397.33467454405</v>
      </c>
      <c r="AE950" s="52">
        <f t="shared" ca="1" si="1113"/>
        <v>48118.496125146252</v>
      </c>
      <c r="AF950" s="52">
        <f t="shared" ca="1" si="1113"/>
        <v>44311.361318841053</v>
      </c>
      <c r="AG950" s="52">
        <f t="shared" ca="1" si="1113"/>
        <v>80988.362294552557</v>
      </c>
      <c r="AH950" s="52">
        <f t="shared" ca="1" si="1113"/>
        <v>155110.67514984473</v>
      </c>
      <c r="AI950" s="52">
        <f t="shared" ca="1" si="1113"/>
        <v>55784.405636249401</v>
      </c>
      <c r="AJ950" s="52">
        <f t="shared" ca="1" si="1113"/>
        <v>51223.835566082984</v>
      </c>
      <c r="AK950" s="52">
        <f t="shared" ca="1" si="1113"/>
        <v>93364.23712598448</v>
      </c>
      <c r="AL950" s="52">
        <f t="shared" ca="1" si="1113"/>
        <v>178347.64712769032</v>
      </c>
      <c r="AM950" s="52">
        <f t="shared" ca="1" si="1113"/>
        <v>63986.598314440751</v>
      </c>
      <c r="AN950" s="52">
        <f t="shared" ca="1" si="1113"/>
        <v>58618.521480573458</v>
      </c>
      <c r="AO950" s="52">
        <f t="shared" ca="1" si="1113"/>
        <v>106600.71357249023</v>
      </c>
      <c r="AP950" s="52">
        <f t="shared" ca="1" si="1113"/>
        <v>198767.05221258849</v>
      </c>
      <c r="AQ950" s="52">
        <f t="shared" ca="1" si="1113"/>
        <v>69651.002048678405</v>
      </c>
      <c r="AR950" s="52">
        <f t="shared" ca="1" si="1113"/>
        <v>62353.007310423389</v>
      </c>
      <c r="AS950" s="52">
        <f t="shared" ca="1" si="1113"/>
        <v>110864.62458682997</v>
      </c>
      <c r="AT950" s="52">
        <f t="shared" ca="1" si="1113"/>
        <v>206717.61561447551</v>
      </c>
      <c r="AU950" s="52">
        <f t="shared" ca="1" si="1113"/>
        <v>72436.922274541488</v>
      </c>
      <c r="AV950" s="52">
        <f t="shared" ca="1" si="1113"/>
        <v>64847.127602840279</v>
      </c>
      <c r="AW950" s="52">
        <f t="shared" ca="1" si="1113"/>
        <v>97284.123506876465</v>
      </c>
      <c r="AX950" s="52">
        <f t="shared" ca="1" si="1113"/>
        <v>179456.8745252206</v>
      </c>
      <c r="AY950" s="52">
        <f t="shared" ca="1" si="1113"/>
        <v>63941.770956989145</v>
      </c>
      <c r="AZ950" s="52">
        <f t="shared" ca="1" si="1113"/>
        <v>57431.32371658468</v>
      </c>
      <c r="BA950" s="52">
        <f t="shared" ca="1" si="1113"/>
        <v>101175.48844715141</v>
      </c>
      <c r="BB950" s="52">
        <f t="shared" ca="1" si="1113"/>
        <v>186635.14950622927</v>
      </c>
      <c r="BC950" s="52">
        <f t="shared" ca="1" si="1113"/>
        <v>66499.441795268678</v>
      </c>
      <c r="BD950" s="52">
        <f t="shared" ca="1" si="1113"/>
        <v>59728.707578948088</v>
      </c>
      <c r="BE950" s="52">
        <f t="shared" ca="1" si="1113"/>
        <v>105222.64018868349</v>
      </c>
      <c r="BF950" s="52">
        <f t="shared" ca="1" si="1113"/>
        <v>194100.68899278063</v>
      </c>
      <c r="BG950" s="52">
        <f t="shared" ca="1" si="1113"/>
        <v>69159.554288873565</v>
      </c>
      <c r="BH950" s="52">
        <f t="shared" ca="1" si="1113"/>
        <v>62117.719731858</v>
      </c>
      <c r="BI950" s="52">
        <f t="shared" ca="1" si="1113"/>
        <v>109431.40830443898</v>
      </c>
      <c r="BJ950" s="52">
        <f t="shared" ca="1" si="1113"/>
        <v>201864.57770593744</v>
      </c>
      <c r="BK950" s="52">
        <f t="shared" ca="1" si="1113"/>
        <v>71925.796245762554</v>
      </c>
      <c r="BL950" s="52">
        <f t="shared" ca="1" si="1113"/>
        <v>64602.4285211323</v>
      </c>
      <c r="BM950" s="52">
        <f t="shared" ca="1" si="1113"/>
        <v>113808.66463661648</v>
      </c>
      <c r="BN950" s="52">
        <f t="shared" ca="1" si="1113"/>
        <v>209939.16081417497</v>
      </c>
      <c r="BO950" s="52">
        <f t="shared" ca="1" si="1113"/>
        <v>74802.82809559314</v>
      </c>
      <c r="BP950" s="52">
        <f t="shared" ca="1" si="1113"/>
        <v>67186.525661977561</v>
      </c>
      <c r="BQ950" s="52">
        <f t="shared" ca="1" si="1113"/>
        <v>118361.01122208126</v>
      </c>
      <c r="BR950" s="52">
        <f t="shared" ca="1" si="1113"/>
        <v>218336.72724674206</v>
      </c>
      <c r="BS950" s="52">
        <f t="shared" ca="1" si="1113"/>
        <v>77794.941219416913</v>
      </c>
      <c r="BT950" s="52">
        <f t="shared" ca="1" si="1113"/>
        <v>69874.139838969335</v>
      </c>
      <c r="BU950" s="52">
        <f t="shared" ca="1" si="1113"/>
        <v>123095.60633053113</v>
      </c>
      <c r="BV950" s="52">
        <f t="shared" ca="1" si="1113"/>
        <v>227070.35252010199</v>
      </c>
      <c r="BW950" s="52">
        <f t="shared" ca="1" si="1113"/>
        <v>80906.896590623539</v>
      </c>
      <c r="BX950" s="52">
        <f t="shared" ca="1" si="1113"/>
        <v>72668.946155994898</v>
      </c>
      <c r="BY950" s="52">
        <f t="shared" ca="1" si="1113"/>
        <v>128019.26973780303</v>
      </c>
      <c r="BZ950" s="52">
        <f t="shared" ca="1" si="1113"/>
        <v>236153.00419007579</v>
      </c>
      <c r="CA950" s="52">
        <f t="shared" ca="1" si="1113"/>
        <v>84143.008422921295</v>
      </c>
      <c r="CB950" s="52">
        <f t="shared" ca="1" si="1113"/>
        <v>75575.704002234677</v>
      </c>
      <c r="CC950" s="52">
        <f t="shared" ca="1" si="1113"/>
        <v>133140.04052731505</v>
      </c>
      <c r="CD950" s="52">
        <f t="shared" ca="1" si="1113"/>
        <v>245599.1243576791</v>
      </c>
      <c r="CE950" s="52">
        <f t="shared" ca="1" si="1113"/>
        <v>87508.728759838094</v>
      </c>
      <c r="CF950" s="52">
        <f t="shared" ref="CF950:CO950" ca="1" si="1114">CF930+CF938-CF946</f>
        <v>78598.732162324042</v>
      </c>
      <c r="CG950" s="52">
        <f t="shared" ca="1" si="1114"/>
        <v>138465.64214840764</v>
      </c>
      <c r="CH950" s="52">
        <f t="shared" ca="1" si="1114"/>
        <v>255423.08933198621</v>
      </c>
      <c r="CI950" s="52">
        <f t="shared" ca="1" si="1114"/>
        <v>91009.077910231485</v>
      </c>
      <c r="CJ950" s="52">
        <f t="shared" ca="1" si="1114"/>
        <v>81742.860613255209</v>
      </c>
      <c r="CK950" s="52">
        <f t="shared" ca="1" si="1114"/>
        <v>144004.4487641622</v>
      </c>
      <c r="CL950" s="52">
        <f t="shared" ca="1" si="1114"/>
        <v>265640.19561785896</v>
      </c>
      <c r="CM950" s="52">
        <f t="shared" ca="1" si="1114"/>
        <v>94649.625539575471</v>
      </c>
      <c r="CN950" s="52">
        <f t="shared" ca="1" si="1114"/>
        <v>85012.388706769736</v>
      </c>
      <c r="CO950" s="52">
        <f t="shared" ca="1" si="1114"/>
        <v>149764.43854771776</v>
      </c>
    </row>
    <row r="951" spans="1:93">
      <c r="A951" s="10"/>
      <c r="B951" s="10"/>
      <c r="C951" s="17" t="s">
        <v>211</v>
      </c>
      <c r="D951" s="10"/>
      <c r="E951" s="62"/>
      <c r="F951" s="10"/>
      <c r="G951" s="134" t="str">
        <f>Monetary_Unit</f>
        <v>тыс. руб.</v>
      </c>
      <c r="H951" s="10"/>
      <c r="I951" s="23">
        <f ca="1">SUM(L951:CO951)</f>
        <v>-149764.4385477177</v>
      </c>
      <c r="J951" s="10"/>
      <c r="K951" s="10"/>
      <c r="L951" s="52">
        <f t="shared" ref="L951:R951" ca="1" si="1115" xml:space="preserve"> (L931+L939-L947) * Flag_Forecast</f>
        <v>0</v>
      </c>
      <c r="M951" s="52">
        <f t="shared" ca="1" si="1115"/>
        <v>0</v>
      </c>
      <c r="N951" s="52">
        <f t="shared" ca="1" si="1115"/>
        <v>0</v>
      </c>
      <c r="O951" s="52">
        <f t="shared" ca="1" si="1115"/>
        <v>0</v>
      </c>
      <c r="P951" s="52">
        <f t="shared" ca="1" si="1115"/>
        <v>0</v>
      </c>
      <c r="Q951" s="52">
        <f t="shared" ca="1" si="1115"/>
        <v>0</v>
      </c>
      <c r="R951" s="52">
        <f t="shared" ca="1" si="1115"/>
        <v>0</v>
      </c>
      <c r="S951" s="52">
        <f ca="1" xml:space="preserve"> (S931+S939-S947) * Flag_Forecast</f>
        <v>0</v>
      </c>
      <c r="T951" s="52">
        <f t="shared" ref="T951:CE951" ca="1" si="1116" xml:space="preserve"> (T931+T939-T947) * Flag_Forecast</f>
        <v>0</v>
      </c>
      <c r="U951" s="52">
        <f t="shared" ca="1" si="1116"/>
        <v>0</v>
      </c>
      <c r="V951" s="52">
        <f t="shared" ca="1" si="1116"/>
        <v>0</v>
      </c>
      <c r="W951" s="52">
        <f t="shared" ca="1" si="1116"/>
        <v>0</v>
      </c>
      <c r="X951" s="52">
        <f t="shared" ca="1" si="1116"/>
        <v>0</v>
      </c>
      <c r="Y951" s="52">
        <f t="shared" ca="1" si="1116"/>
        <v>0</v>
      </c>
      <c r="Z951" s="52">
        <f t="shared" ca="1" si="1116"/>
        <v>0</v>
      </c>
      <c r="AA951" s="52">
        <f t="shared" ca="1" si="1116"/>
        <v>0</v>
      </c>
      <c r="AB951" s="52">
        <f t="shared" ca="1" si="1116"/>
        <v>0</v>
      </c>
      <c r="AC951" s="52">
        <f t="shared" ca="1" si="1116"/>
        <v>-69426.365057955772</v>
      </c>
      <c r="AD951" s="52">
        <f t="shared" ca="1" si="1116"/>
        <v>-63970.969616588263</v>
      </c>
      <c r="AE951" s="52">
        <f t="shared" ca="1" si="1116"/>
        <v>85278.838549397798</v>
      </c>
      <c r="AF951" s="52">
        <f t="shared" ca="1" si="1116"/>
        <v>3807.1348063051992</v>
      </c>
      <c r="AG951" s="52">
        <f t="shared" ca="1" si="1116"/>
        <v>-36677.000975711504</v>
      </c>
      <c r="AH951" s="52">
        <f t="shared" ca="1" si="1116"/>
        <v>-74122.31285529217</v>
      </c>
      <c r="AI951" s="52">
        <f t="shared" ca="1" si="1116"/>
        <v>99326.269513595325</v>
      </c>
      <c r="AJ951" s="52">
        <f t="shared" ca="1" si="1116"/>
        <v>4560.5700701664173</v>
      </c>
      <c r="AK951" s="52">
        <f t="shared" ca="1" si="1116"/>
        <v>-42140.401559901497</v>
      </c>
      <c r="AL951" s="52">
        <f t="shared" ca="1" si="1116"/>
        <v>-84983.410001705837</v>
      </c>
      <c r="AM951" s="52">
        <f t="shared" ca="1" si="1116"/>
        <v>114361.04881324957</v>
      </c>
      <c r="AN951" s="52">
        <f t="shared" ca="1" si="1116"/>
        <v>5368.0768338672933</v>
      </c>
      <c r="AO951" s="52">
        <f t="shared" ca="1" si="1116"/>
        <v>-47982.192091916775</v>
      </c>
      <c r="AP951" s="52">
        <f t="shared" ca="1" si="1116"/>
        <v>-92166.338640098256</v>
      </c>
      <c r="AQ951" s="52">
        <f t="shared" ca="1" si="1116"/>
        <v>129116.05016391008</v>
      </c>
      <c r="AR951" s="52">
        <f t="shared" ca="1" si="1116"/>
        <v>7297.9947382550163</v>
      </c>
      <c r="AS951" s="52">
        <f t="shared" ca="1" si="1116"/>
        <v>-48511.617276406585</v>
      </c>
      <c r="AT951" s="52">
        <f t="shared" ca="1" si="1116"/>
        <v>-95852.991027645534</v>
      </c>
      <c r="AU951" s="52">
        <f t="shared" ca="1" si="1116"/>
        <v>134280.69333993405</v>
      </c>
      <c r="AV951" s="52">
        <f t="shared" ca="1" si="1116"/>
        <v>7589.7946717012092</v>
      </c>
      <c r="AW951" s="52">
        <f t="shared" ca="1" si="1116"/>
        <v>-32436.995904036186</v>
      </c>
      <c r="AX951" s="52">
        <f t="shared" ca="1" si="1116"/>
        <v>-82172.751018344134</v>
      </c>
      <c r="AY951" s="52">
        <f t="shared" ca="1" si="1116"/>
        <v>115515.10356823145</v>
      </c>
      <c r="AZ951" s="52">
        <f t="shared" ca="1" si="1116"/>
        <v>6510.4472404044645</v>
      </c>
      <c r="BA951" s="52">
        <f t="shared" ca="1" si="1116"/>
        <v>-43744.164730566728</v>
      </c>
      <c r="BB951" s="52">
        <f t="shared" ca="1" si="1116"/>
        <v>-85459.661059077858</v>
      </c>
      <c r="BC951" s="52">
        <f t="shared" ca="1" si="1116"/>
        <v>120135.70771096059</v>
      </c>
      <c r="BD951" s="52">
        <f t="shared" ca="1" si="1116"/>
        <v>6770.7342163205903</v>
      </c>
      <c r="BE951" s="52">
        <f t="shared" ca="1" si="1116"/>
        <v>-45493.932609735406</v>
      </c>
      <c r="BF951" s="52">
        <f t="shared" ca="1" si="1116"/>
        <v>-88878.04880409714</v>
      </c>
      <c r="BG951" s="52">
        <f t="shared" ca="1" si="1116"/>
        <v>124941.13470390707</v>
      </c>
      <c r="BH951" s="52">
        <f t="shared" ca="1" si="1116"/>
        <v>7041.8345570155652</v>
      </c>
      <c r="BI951" s="52">
        <f t="shared" ca="1" si="1116"/>
        <v>-47313.688572580984</v>
      </c>
      <c r="BJ951" s="52">
        <f t="shared" ca="1" si="1116"/>
        <v>-92433.169401498453</v>
      </c>
      <c r="BK951" s="52">
        <f t="shared" ca="1" si="1116"/>
        <v>129938.78146017488</v>
      </c>
      <c r="BL951" s="52">
        <f t="shared" ca="1" si="1116"/>
        <v>7323.3677246302541</v>
      </c>
      <c r="BM951" s="52">
        <f t="shared" ca="1" si="1116"/>
        <v>-49206.236115484178</v>
      </c>
      <c r="BN951" s="52">
        <f t="shared" ca="1" si="1116"/>
        <v>-96130.496177558496</v>
      </c>
      <c r="BO951" s="52">
        <f t="shared" ca="1" si="1116"/>
        <v>135136.33271858183</v>
      </c>
      <c r="BP951" s="52">
        <f t="shared" ca="1" si="1116"/>
        <v>7616.3024336155795</v>
      </c>
      <c r="BQ951" s="52">
        <f t="shared" ca="1" si="1116"/>
        <v>-51174.485560103698</v>
      </c>
      <c r="BR951" s="52">
        <f t="shared" ca="1" si="1116"/>
        <v>-99975.716024660796</v>
      </c>
      <c r="BS951" s="52">
        <f t="shared" ca="1" si="1116"/>
        <v>140541.78602732514</v>
      </c>
      <c r="BT951" s="52">
        <f t="shared" ca="1" si="1116"/>
        <v>7920.8013804475777</v>
      </c>
      <c r="BU951" s="52">
        <f t="shared" ca="1" si="1116"/>
        <v>-53221.46649156179</v>
      </c>
      <c r="BV951" s="52">
        <f t="shared" ca="1" si="1116"/>
        <v>-103974.74618957087</v>
      </c>
      <c r="BW951" s="52">
        <f t="shared" ca="1" si="1116"/>
        <v>146163.45592947846</v>
      </c>
      <c r="BX951" s="52">
        <f t="shared" ca="1" si="1116"/>
        <v>8237.9504346286412</v>
      </c>
      <c r="BY951" s="52">
        <f t="shared" ca="1" si="1116"/>
        <v>-55350.32358180813</v>
      </c>
      <c r="BZ951" s="52">
        <f t="shared" ca="1" si="1116"/>
        <v>-108133.73445227277</v>
      </c>
      <c r="CA951" s="52">
        <f t="shared" ca="1" si="1116"/>
        <v>152009.9957671545</v>
      </c>
      <c r="CB951" s="52">
        <f t="shared" ca="1" si="1116"/>
        <v>8567.304420686618</v>
      </c>
      <c r="CC951" s="52">
        <f t="shared" ca="1" si="1116"/>
        <v>-57564.336525080376</v>
      </c>
      <c r="CD951" s="52">
        <f t="shared" ca="1" si="1116"/>
        <v>-112459.08383036405</v>
      </c>
      <c r="CE951" s="52">
        <f t="shared" ca="1" si="1116"/>
        <v>158090.39559784101</v>
      </c>
      <c r="CF951" s="52">
        <f t="shared" ref="CF951:CO951" ca="1" si="1117" xml:space="preserve"> (CF931+CF939-CF947) * Flag_Forecast</f>
        <v>8909.9965975140512</v>
      </c>
      <c r="CG951" s="52">
        <f t="shared" ca="1" si="1117"/>
        <v>-59866.9099860836</v>
      </c>
      <c r="CH951" s="52">
        <f t="shared" ca="1" si="1117"/>
        <v>-116957.44718357857</v>
      </c>
      <c r="CI951" s="52">
        <f t="shared" ca="1" si="1117"/>
        <v>164414.01142175472</v>
      </c>
      <c r="CJ951" s="52">
        <f t="shared" ca="1" si="1117"/>
        <v>9266.217296976276</v>
      </c>
      <c r="CK951" s="52">
        <f t="shared" ca="1" si="1117"/>
        <v>-62261.588150906988</v>
      </c>
      <c r="CL951" s="52">
        <f t="shared" ca="1" si="1117"/>
        <v>-121635.74685369676</v>
      </c>
      <c r="CM951" s="52">
        <f t="shared" ca="1" si="1117"/>
        <v>170990.57007828349</v>
      </c>
      <c r="CN951" s="52">
        <f t="shared" ca="1" si="1117"/>
        <v>9637.2368328057346</v>
      </c>
      <c r="CO951" s="52">
        <f t="shared" ca="1" si="1117"/>
        <v>-64752.049840948021</v>
      </c>
    </row>
    <row r="952" spans="1:93"/>
    <row r="953" spans="1:93" ht="22.5" customHeight="1">
      <c r="A953" s="10"/>
      <c r="B953" s="5" t="s">
        <v>498</v>
      </c>
      <c r="C953" s="5"/>
      <c r="D953" s="15"/>
      <c r="E953" s="15"/>
      <c r="F953" s="31"/>
      <c r="G953" s="18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  <c r="BM953" s="31"/>
      <c r="BN953" s="31"/>
      <c r="BO953" s="31"/>
      <c r="BP953" s="31"/>
      <c r="BQ953" s="31"/>
      <c r="BR953" s="31"/>
      <c r="BS953" s="31"/>
      <c r="BT953" s="31"/>
      <c r="BU953" s="31"/>
      <c r="BV953" s="31"/>
      <c r="BW953" s="31"/>
      <c r="BX953" s="31"/>
      <c r="BY953" s="31"/>
      <c r="BZ953" s="31"/>
      <c r="CA953" s="31"/>
      <c r="CB953" s="31"/>
      <c r="CC953" s="31"/>
      <c r="CD953" s="31"/>
      <c r="CE953" s="31"/>
      <c r="CF953" s="31"/>
      <c r="CG953" s="31"/>
      <c r="CH953" s="31"/>
      <c r="CI953" s="31"/>
      <c r="CJ953" s="31"/>
      <c r="CK953" s="31"/>
      <c r="CL953" s="31"/>
      <c r="CM953" s="31"/>
      <c r="CN953" s="31"/>
      <c r="CO953" s="31"/>
    </row>
    <row r="954" spans="1:93">
      <c r="A954" s="10"/>
      <c r="B954" s="10"/>
      <c r="C954" s="10"/>
      <c r="D954" s="10"/>
      <c r="E954" s="10"/>
      <c r="F954" s="10"/>
      <c r="G954" s="11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  <c r="BA954" s="10"/>
      <c r="BB954" s="10"/>
      <c r="BC954" s="10"/>
      <c r="BD954" s="10"/>
      <c r="BE954" s="10"/>
      <c r="BF954" s="10"/>
      <c r="BG954" s="10"/>
      <c r="BH954" s="10"/>
      <c r="BI954" s="10"/>
      <c r="BJ954" s="10"/>
      <c r="BK954" s="10"/>
      <c r="BL954" s="10"/>
      <c r="BM954" s="10"/>
      <c r="BN954" s="10"/>
      <c r="BO954" s="10"/>
      <c r="BP954" s="10"/>
      <c r="BQ954" s="10"/>
      <c r="BR954" s="10"/>
      <c r="BS954" s="10"/>
      <c r="BT954" s="10"/>
      <c r="BU954" s="10"/>
      <c r="BV954" s="10"/>
      <c r="BW954" s="10"/>
      <c r="BX954" s="10"/>
      <c r="BY954" s="10"/>
      <c r="BZ954" s="10"/>
      <c r="CA954" s="10"/>
      <c r="CB954" s="10"/>
      <c r="CC954" s="10"/>
      <c r="CD954" s="10"/>
      <c r="CE954" s="10"/>
      <c r="CF954" s="10"/>
      <c r="CG954" s="10"/>
      <c r="CH954" s="10"/>
      <c r="CI954" s="10"/>
      <c r="CJ954" s="10"/>
      <c r="CK954" s="10"/>
      <c r="CL954" s="10"/>
      <c r="CM954" s="10"/>
      <c r="CN954" s="10"/>
      <c r="CO954" s="10"/>
    </row>
    <row r="955" spans="1:93">
      <c r="A955" s="10"/>
      <c r="B955" s="10"/>
      <c r="C955" s="87" t="s">
        <v>398</v>
      </c>
      <c r="D955" s="10"/>
      <c r="E955" s="62"/>
      <c r="F955" s="10"/>
      <c r="G955" s="11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  <c r="BA955" s="10"/>
      <c r="BB955" s="10"/>
      <c r="BC955" s="10"/>
      <c r="BD955" s="10"/>
      <c r="BE955" s="10"/>
      <c r="BF955" s="10"/>
      <c r="BG955" s="10"/>
      <c r="BH955" s="10"/>
      <c r="BI955" s="10"/>
      <c r="BJ955" s="10"/>
      <c r="BK955" s="10"/>
      <c r="BL955" s="10"/>
      <c r="BM955" s="10"/>
      <c r="BN955" s="10"/>
      <c r="BO955" s="10"/>
      <c r="BP955" s="10"/>
      <c r="BQ955" s="10"/>
      <c r="BR955" s="10"/>
      <c r="BS955" s="10"/>
      <c r="BT955" s="10"/>
      <c r="BU955" s="10"/>
      <c r="BV955" s="10"/>
      <c r="BW955" s="10"/>
      <c r="BX955" s="10"/>
      <c r="BY955" s="10"/>
      <c r="BZ955" s="10"/>
      <c r="CA955" s="10"/>
      <c r="CB955" s="10"/>
      <c r="CC955" s="10"/>
      <c r="CD955" s="10"/>
      <c r="CE955" s="10"/>
      <c r="CF955" s="10"/>
      <c r="CG955" s="10"/>
      <c r="CH955" s="10"/>
      <c r="CI955" s="10"/>
      <c r="CJ955" s="10"/>
      <c r="CK955" s="10"/>
      <c r="CL955" s="10"/>
      <c r="CM955" s="10"/>
      <c r="CN955" s="10"/>
      <c r="CO955" s="10"/>
    </row>
    <row r="956" spans="1:93">
      <c r="A956" s="10"/>
      <c r="B956" s="10"/>
      <c r="C956" s="17" t="s">
        <v>501</v>
      </c>
      <c r="D956" s="10"/>
      <c r="E956" s="62"/>
      <c r="F956" s="10"/>
      <c r="G956" s="134" t="str">
        <f t="shared" ref="G956:G961" si="1118">Monetary_Unit</f>
        <v>тыс. руб.</v>
      </c>
      <c r="H956" s="10"/>
      <c r="I956" s="23">
        <f t="shared" ref="I956:I961" ca="1" si="1119">SUM(L956:CO956)</f>
        <v>5102557.6066695554</v>
      </c>
      <c r="J956" s="10"/>
      <c r="K956" s="10"/>
      <c r="L956" s="450">
        <f t="shared" ref="L956:AQ956" ca="1" si="1120" xml:space="preserve"> Revenue_for_VAT * VAT_Rate_Periods + Revenue_for_VAT_Zero * VAT_Rate_Zero_Periods</f>
        <v>0</v>
      </c>
      <c r="M956" s="450">
        <f t="shared" ca="1" si="1120"/>
        <v>0</v>
      </c>
      <c r="N956" s="450">
        <f t="shared" ca="1" si="1120"/>
        <v>0</v>
      </c>
      <c r="O956" s="450">
        <f t="shared" ca="1" si="1120"/>
        <v>0</v>
      </c>
      <c r="P956" s="450">
        <f t="shared" ca="1" si="1120"/>
        <v>0</v>
      </c>
      <c r="Q956" s="450">
        <f t="shared" ca="1" si="1120"/>
        <v>0</v>
      </c>
      <c r="R956" s="450">
        <f t="shared" ca="1" si="1120"/>
        <v>0</v>
      </c>
      <c r="S956" s="450">
        <f t="shared" ca="1" si="1120"/>
        <v>0</v>
      </c>
      <c r="T956" s="450">
        <f t="shared" ca="1" si="1120"/>
        <v>0</v>
      </c>
      <c r="U956" s="450">
        <f t="shared" ca="1" si="1120"/>
        <v>0</v>
      </c>
      <c r="V956" s="450">
        <f t="shared" ca="1" si="1120"/>
        <v>0</v>
      </c>
      <c r="W956" s="450">
        <f t="shared" ca="1" si="1120"/>
        <v>0</v>
      </c>
      <c r="X956" s="450">
        <f t="shared" ca="1" si="1120"/>
        <v>0</v>
      </c>
      <c r="Y956" s="450">
        <f t="shared" ca="1" si="1120"/>
        <v>0</v>
      </c>
      <c r="Z956" s="450">
        <f t="shared" ca="1" si="1120"/>
        <v>0</v>
      </c>
      <c r="AA956" s="450">
        <f t="shared" ca="1" si="1120"/>
        <v>0</v>
      </c>
      <c r="AB956" s="450">
        <f t="shared" ca="1" si="1120"/>
        <v>0</v>
      </c>
      <c r="AC956" s="450">
        <f t="shared" ca="1" si="1120"/>
        <v>11443.665367478075</v>
      </c>
      <c r="AD956" s="450">
        <f t="shared" ca="1" si="1120"/>
        <v>18639.749365815787</v>
      </c>
      <c r="AE956" s="450">
        <f t="shared" ca="1" si="1120"/>
        <v>8742.9786106699321</v>
      </c>
      <c r="AF956" s="450">
        <f t="shared" ca="1" si="1120"/>
        <v>8239.6894314916226</v>
      </c>
      <c r="AG956" s="450">
        <f t="shared" ca="1" si="1120"/>
        <v>13348.682451614784</v>
      </c>
      <c r="AH956" s="450">
        <f t="shared" ca="1" si="1120"/>
        <v>21673.140358910805</v>
      </c>
      <c r="AI956" s="450">
        <f t="shared" ca="1" si="1120"/>
        <v>10135.037852713293</v>
      </c>
      <c r="AJ956" s="450">
        <f t="shared" ca="1" si="1120"/>
        <v>9524.2466428760272</v>
      </c>
      <c r="AK956" s="450">
        <f t="shared" ca="1" si="1120"/>
        <v>15387.791037894483</v>
      </c>
      <c r="AL956" s="450">
        <f t="shared" ca="1" si="1120"/>
        <v>24919.379032468121</v>
      </c>
      <c r="AM956" s="450">
        <f t="shared" ca="1" si="1120"/>
        <v>11624.473068343039</v>
      </c>
      <c r="AN956" s="450">
        <f t="shared" ca="1" si="1120"/>
        <v>11019.478093948361</v>
      </c>
      <c r="AO956" s="450">
        <f t="shared" ca="1" si="1120"/>
        <v>17568.670419153957</v>
      </c>
      <c r="AP956" s="450">
        <f t="shared" ca="1" si="1120"/>
        <v>27772.01837994354</v>
      </c>
      <c r="AQ956" s="450">
        <f t="shared" ca="1" si="1120"/>
        <v>12653.149515867794</v>
      </c>
      <c r="AR956" s="450">
        <f t="shared" ref="AR956:BW956" ca="1" si="1121" xml:space="preserve"> Revenue_for_VAT * VAT_Rate_Periods + Revenue_for_VAT_Zero * VAT_Rate_Zero_Periods</f>
        <v>11592.544114271348</v>
      </c>
      <c r="AS956" s="450">
        <f t="shared" ca="1" si="1121"/>
        <v>18271.417235920115</v>
      </c>
      <c r="AT956" s="450">
        <f t="shared" ca="1" si="1121"/>
        <v>28882.899115141274</v>
      </c>
      <c r="AU956" s="450">
        <f t="shared" ca="1" si="1121"/>
        <v>13159.275496502501</v>
      </c>
      <c r="AV956" s="450">
        <f t="shared" ca="1" si="1121"/>
        <v>12056.245878842206</v>
      </c>
      <c r="AW956" s="450">
        <f t="shared" ca="1" si="1121"/>
        <v>84429.49798293502</v>
      </c>
      <c r="AX956" s="450">
        <f t="shared" ca="1" si="1121"/>
        <v>154707.35088279963</v>
      </c>
      <c r="AY956" s="450">
        <f t="shared" ca="1" si="1121"/>
        <v>56648.485667454574</v>
      </c>
      <c r="AZ956" s="450">
        <f t="shared" ca="1" si="1121"/>
        <v>50037.020413203594</v>
      </c>
      <c r="BA956" s="450">
        <f t="shared" ca="1" si="1121"/>
        <v>87806.677902252413</v>
      </c>
      <c r="BB956" s="450">
        <f t="shared" ca="1" si="1121"/>
        <v>160895.64491811156</v>
      </c>
      <c r="BC956" s="450">
        <f t="shared" ca="1" si="1121"/>
        <v>58914.425094152735</v>
      </c>
      <c r="BD956" s="450">
        <f t="shared" ca="1" si="1121"/>
        <v>52616.706798950981</v>
      </c>
      <c r="BE956" s="450">
        <f t="shared" ca="1" si="1121"/>
        <v>91318.945018342507</v>
      </c>
      <c r="BF956" s="450">
        <f t="shared" ca="1" si="1121"/>
        <v>167331.470714836</v>
      </c>
      <c r="BG956" s="450">
        <f t="shared" ca="1" si="1121"/>
        <v>61271.002097918841</v>
      </c>
      <c r="BH956" s="450">
        <f t="shared" ca="1" si="1121"/>
        <v>54120.041278921002</v>
      </c>
      <c r="BI956" s="450">
        <f t="shared" ca="1" si="1121"/>
        <v>94971.702819076163</v>
      </c>
      <c r="BJ956" s="450">
        <f t="shared" ca="1" si="1121"/>
        <v>174024.72954342939</v>
      </c>
      <c r="BK956" s="450">
        <f t="shared" ca="1" si="1121"/>
        <v>63721.842181835593</v>
      </c>
      <c r="BL956" s="450">
        <f t="shared" ca="1" si="1121"/>
        <v>56284.842930077844</v>
      </c>
      <c r="BM956" s="450">
        <f t="shared" ca="1" si="1121"/>
        <v>98770.570931839218</v>
      </c>
      <c r="BN956" s="450">
        <f t="shared" ca="1" si="1121"/>
        <v>180985.71872516652</v>
      </c>
      <c r="BO956" s="450">
        <f t="shared" ca="1" si="1121"/>
        <v>66270.715869109015</v>
      </c>
      <c r="BP956" s="450">
        <f t="shared" ca="1" si="1121"/>
        <v>58536.236647280937</v>
      </c>
      <c r="BQ956" s="450">
        <f t="shared" ca="1" si="1121"/>
        <v>102721.39376911276</v>
      </c>
      <c r="BR956" s="450">
        <f t="shared" ca="1" si="1121"/>
        <v>188225.14747417319</v>
      </c>
      <c r="BS956" s="450">
        <f t="shared" ca="1" si="1121"/>
        <v>68921.544503873345</v>
      </c>
      <c r="BT956" s="450">
        <f t="shared" ca="1" si="1121"/>
        <v>61554.104847762959</v>
      </c>
      <c r="BU956" s="450">
        <f t="shared" ca="1" si="1121"/>
        <v>106830.24951987725</v>
      </c>
      <c r="BV956" s="450">
        <f t="shared" ca="1" si="1121"/>
        <v>195754.15337314006</v>
      </c>
      <c r="BW956" s="450">
        <f t="shared" ca="1" si="1121"/>
        <v>71678.406284028271</v>
      </c>
      <c r="BX956" s="450">
        <f t="shared" ref="BX956:CO956" ca="1" si="1122" xml:space="preserve"> Revenue_for_VAT * VAT_Rate_Periods + Revenue_for_VAT_Zero * VAT_Rate_Zero_Periods</f>
        <v>63312.793557699042</v>
      </c>
      <c r="BY956" s="450">
        <f t="shared" ca="1" si="1122"/>
        <v>111103.45950067235</v>
      </c>
      <c r="BZ956" s="450">
        <f t="shared" ca="1" si="1122"/>
        <v>203584.31950806567</v>
      </c>
      <c r="CA956" s="450">
        <f t="shared" ca="1" si="1122"/>
        <v>74545.542535389395</v>
      </c>
      <c r="CB956" s="450">
        <f t="shared" ca="1" si="1122"/>
        <v>65845.305300006992</v>
      </c>
      <c r="CC956" s="450">
        <f t="shared" ca="1" si="1122"/>
        <v>115547.59788069922</v>
      </c>
      <c r="CD956" s="450">
        <f t="shared" ca="1" si="1122"/>
        <v>211727.69228838827</v>
      </c>
      <c r="CE956" s="450">
        <f t="shared" ca="1" si="1122"/>
        <v>77527.364236804962</v>
      </c>
      <c r="CF956" s="450">
        <f t="shared" ca="1" si="1122"/>
        <v>68479.117512007273</v>
      </c>
      <c r="CG956" s="450">
        <f t="shared" ca="1" si="1122"/>
        <v>120169.50179592715</v>
      </c>
      <c r="CH956" s="450">
        <f t="shared" ca="1" si="1122"/>
        <v>220196.79997992376</v>
      </c>
      <c r="CI956" s="450">
        <f t="shared" ca="1" si="1122"/>
        <v>80628.458806277165</v>
      </c>
      <c r="CJ956" s="450">
        <f t="shared" ca="1" si="1122"/>
        <v>72009.596459292981</v>
      </c>
      <c r="CK956" s="450">
        <f t="shared" ca="1" si="1122"/>
        <v>124976.28186776425</v>
      </c>
      <c r="CL956" s="450">
        <f t="shared" ca="1" si="1122"/>
        <v>229004.67197912073</v>
      </c>
      <c r="CM956" s="450">
        <f t="shared" ca="1" si="1122"/>
        <v>83853.597158528239</v>
      </c>
      <c r="CN956" s="450">
        <f t="shared" ca="1" si="1122"/>
        <v>74067.013500987057</v>
      </c>
      <c r="CO956" s="450">
        <f t="shared" ca="1" si="1122"/>
        <v>129975.33314247482</v>
      </c>
    </row>
    <row r="957" spans="1:93">
      <c r="A957" s="10"/>
      <c r="B957" s="10"/>
      <c r="C957" s="17" t="s">
        <v>732</v>
      </c>
      <c r="D957" s="10"/>
      <c r="E957" s="62"/>
      <c r="F957" s="10"/>
      <c r="G957" s="134" t="str">
        <f t="shared" si="1118"/>
        <v>тыс. руб.</v>
      </c>
      <c r="H957" s="10"/>
      <c r="I957" s="23">
        <f t="shared" ca="1" si="1119"/>
        <v>-2770221.2008893657</v>
      </c>
      <c r="J957" s="10"/>
      <c r="K957" s="10"/>
      <c r="L957" s="52">
        <f t="shared" ref="L957:AQ957" ca="1" si="1123" xml:space="preserve"> - COGS_for_VAT * VAT_Rate_Periods</f>
        <v>0</v>
      </c>
      <c r="M957" s="52">
        <f t="shared" ca="1" si="1123"/>
        <v>0</v>
      </c>
      <c r="N957" s="52">
        <f t="shared" ca="1" si="1123"/>
        <v>0</v>
      </c>
      <c r="O957" s="52">
        <f t="shared" ca="1" si="1123"/>
        <v>0</v>
      </c>
      <c r="P957" s="52">
        <f t="shared" ca="1" si="1123"/>
        <v>0</v>
      </c>
      <c r="Q957" s="52">
        <f t="shared" ca="1" si="1123"/>
        <v>0</v>
      </c>
      <c r="R957" s="52">
        <f t="shared" ca="1" si="1123"/>
        <v>0</v>
      </c>
      <c r="S957" s="52">
        <f t="shared" ca="1" si="1123"/>
        <v>0</v>
      </c>
      <c r="T957" s="52">
        <f t="shared" ca="1" si="1123"/>
        <v>0</v>
      </c>
      <c r="U957" s="52">
        <f t="shared" ca="1" si="1123"/>
        <v>0</v>
      </c>
      <c r="V957" s="52">
        <f t="shared" ca="1" si="1123"/>
        <v>0</v>
      </c>
      <c r="W957" s="52">
        <f t="shared" ca="1" si="1123"/>
        <v>0</v>
      </c>
      <c r="X957" s="52">
        <f t="shared" ca="1" si="1123"/>
        <v>0</v>
      </c>
      <c r="Y957" s="52">
        <f t="shared" ca="1" si="1123"/>
        <v>0</v>
      </c>
      <c r="Z957" s="52">
        <f t="shared" ca="1" si="1123"/>
        <v>0</v>
      </c>
      <c r="AA957" s="52">
        <f t="shared" ca="1" si="1123"/>
        <v>0</v>
      </c>
      <c r="AB957" s="52">
        <f t="shared" ca="1" si="1123"/>
        <v>0</v>
      </c>
      <c r="AC957" s="52">
        <f t="shared" ca="1" si="1123"/>
        <v>-22866.552614699391</v>
      </c>
      <c r="AD957" s="52">
        <f t="shared" ca="1" si="1123"/>
        <v>-41918.570667675238</v>
      </c>
      <c r="AE957" s="52">
        <f t="shared" ca="1" si="1123"/>
        <v>-16534.795952938643</v>
      </c>
      <c r="AF957" s="52">
        <f t="shared" ca="1" si="1123"/>
        <v>-15148.539905246922</v>
      </c>
      <c r="AG957" s="52">
        <f t="shared" ca="1" si="1123"/>
        <v>-26667.485571812857</v>
      </c>
      <c r="AH957" s="52">
        <f t="shared" ca="1" si="1123"/>
        <v>-48734.714266915827</v>
      </c>
      <c r="AI957" s="52">
        <f t="shared" ca="1" si="1123"/>
        <v>-19161.986466541126</v>
      </c>
      <c r="AJ957" s="52">
        <f t="shared" ca="1" si="1123"/>
        <v>-17504.911660780301</v>
      </c>
      <c r="AK957" s="52">
        <f t="shared" ca="1" si="1123"/>
        <v>-30735.906681311895</v>
      </c>
      <c r="AL957" s="52">
        <f t="shared" ca="1" si="1123"/>
        <v>-56029.079641027369</v>
      </c>
      <c r="AM957" s="52">
        <f t="shared" ca="1" si="1123"/>
        <v>-21972.896547707118</v>
      </c>
      <c r="AN957" s="52">
        <f t="shared" ca="1" si="1123"/>
        <v>-20247.92588628162</v>
      </c>
      <c r="AO957" s="52">
        <f t="shared" ca="1" si="1123"/>
        <v>-35086.996386002749</v>
      </c>
      <c r="AP957" s="52">
        <f t="shared" ca="1" si="1123"/>
        <v>-62439.184744005091</v>
      </c>
      <c r="AQ957" s="52">
        <f t="shared" ca="1" si="1123"/>
        <v>-23914.774964603152</v>
      </c>
      <c r="AR957" s="52">
        <f t="shared" ref="AR957:BW957" ca="1" si="1124" xml:space="preserve"> - COGS_for_VAT * VAT_Rate_Periods</f>
        <v>-21299.894027705333</v>
      </c>
      <c r="AS957" s="52">
        <f t="shared" ca="1" si="1124"/>
        <v>-36490.61884276216</v>
      </c>
      <c r="AT957" s="52">
        <f t="shared" ca="1" si="1124"/>
        <v>-64936.897722681591</v>
      </c>
      <c r="AU957" s="52">
        <f t="shared" ca="1" si="1124"/>
        <v>-24871.512986650345</v>
      </c>
      <c r="AV957" s="52">
        <f t="shared" ca="1" si="1124"/>
        <v>-22151.88978881354</v>
      </c>
      <c r="AW957" s="52">
        <f t="shared" ca="1" si="1124"/>
        <v>-37950.243596472639</v>
      </c>
      <c r="AX957" s="52">
        <f t="shared" ca="1" si="1124"/>
        <v>-67534.373631588824</v>
      </c>
      <c r="AY957" s="52">
        <f t="shared" ca="1" si="1124"/>
        <v>-25866.37350611635</v>
      </c>
      <c r="AZ957" s="52">
        <f t="shared" ca="1" si="1124"/>
        <v>-23037.96538036608</v>
      </c>
      <c r="BA957" s="52">
        <f t="shared" ca="1" si="1124"/>
        <v>-39468.253340331546</v>
      </c>
      <c r="BB957" s="52">
        <f t="shared" ca="1" si="1124"/>
        <v>-70235.748576852362</v>
      </c>
      <c r="BC957" s="52">
        <f t="shared" ca="1" si="1124"/>
        <v>-26901.028446361001</v>
      </c>
      <c r="BD957" s="52">
        <f t="shared" ca="1" si="1124"/>
        <v>-24225.541642464446</v>
      </c>
      <c r="BE957" s="52">
        <f t="shared" ca="1" si="1124"/>
        <v>-41046.823066854362</v>
      </c>
      <c r="BF957" s="52">
        <f t="shared" ca="1" si="1124"/>
        <v>-73045.014752195741</v>
      </c>
      <c r="BG957" s="52">
        <f t="shared" ca="1" si="1124"/>
        <v>-27976.904202814669</v>
      </c>
      <c r="BH957" s="52">
        <f t="shared" ca="1" si="1124"/>
        <v>-24917.863355403941</v>
      </c>
      <c r="BI957" s="52">
        <f t="shared" ca="1" si="1124"/>
        <v>-42688.862812902575</v>
      </c>
      <c r="BJ957" s="52">
        <f t="shared" ca="1" si="1124"/>
        <v>-75966.985660723512</v>
      </c>
      <c r="BK957" s="52">
        <f t="shared" ca="1" si="1124"/>
        <v>-29096.152367584054</v>
      </c>
      <c r="BL957" s="52">
        <f t="shared" ca="1" si="1124"/>
        <v>-25914.577889620101</v>
      </c>
      <c r="BM957" s="52">
        <f t="shared" ca="1" si="1124"/>
        <v>-44396.417325418675</v>
      </c>
      <c r="BN957" s="52">
        <f t="shared" ca="1" si="1124"/>
        <v>-79005.665087152433</v>
      </c>
      <c r="BO957" s="52">
        <f t="shared" ca="1" si="1124"/>
        <v>-30259.998462287414</v>
      </c>
      <c r="BP957" s="52">
        <f t="shared" ca="1" si="1124"/>
        <v>-26951.161005204893</v>
      </c>
      <c r="BQ957" s="52">
        <f t="shared" ca="1" si="1124"/>
        <v>-46172.274018435419</v>
      </c>
      <c r="BR957" s="52">
        <f t="shared" ca="1" si="1124"/>
        <v>-82165.891690638513</v>
      </c>
      <c r="BS957" s="52">
        <f t="shared" ca="1" si="1124"/>
        <v>-31470.3984007789</v>
      </c>
      <c r="BT957" s="52">
        <f t="shared" ca="1" si="1124"/>
        <v>-28340.457261073476</v>
      </c>
      <c r="BU957" s="52">
        <f t="shared" ca="1" si="1124"/>
        <v>-48018.977325565007</v>
      </c>
      <c r="BV957" s="52">
        <f t="shared" ca="1" si="1124"/>
        <v>-85452.335773182393</v>
      </c>
      <c r="BW957" s="52">
        <f t="shared" ca="1" si="1124"/>
        <v>-32729.020863962698</v>
      </c>
      <c r="BX957" s="52">
        <f t="shared" ref="BX957:CO957" ca="1" si="1125" xml:space="preserve"> - COGS_for_VAT * VAT_Rate_Periods</f>
        <v>-29150.375743229608</v>
      </c>
      <c r="BY957" s="52">
        <f t="shared" ca="1" si="1125"/>
        <v>-49939.931578339747</v>
      </c>
      <c r="BZ957" s="52">
        <f t="shared" ca="1" si="1125"/>
        <v>-88870.62845259461</v>
      </c>
      <c r="CA957" s="52">
        <f t="shared" ca="1" si="1125"/>
        <v>-34038.382910282446</v>
      </c>
      <c r="CB957" s="52">
        <f t="shared" ca="1" si="1125"/>
        <v>-30316.390772958788</v>
      </c>
      <c r="CC957" s="52">
        <f t="shared" ca="1" si="1125"/>
        <v>-51937.528841473322</v>
      </c>
      <c r="CD957" s="52">
        <f t="shared" ca="1" si="1125"/>
        <v>-92425.45359069838</v>
      </c>
      <c r="CE957" s="52">
        <f t="shared" ca="1" si="1125"/>
        <v>-35399.918226693742</v>
      </c>
      <c r="CF957" s="52">
        <f t="shared" ca="1" si="1125"/>
        <v>-31529.046403877142</v>
      </c>
      <c r="CG957" s="52">
        <f t="shared" ca="1" si="1125"/>
        <v>-54015.029995132238</v>
      </c>
      <c r="CH957" s="52">
        <f t="shared" ca="1" si="1125"/>
        <v>-96122.471734326289</v>
      </c>
      <c r="CI957" s="52">
        <f t="shared" ca="1" si="1125"/>
        <v>-36815.914955761487</v>
      </c>
      <c r="CJ957" s="52">
        <f t="shared" ca="1" si="1125"/>
        <v>-33154.326521180948</v>
      </c>
      <c r="CK957" s="52">
        <f t="shared" ca="1" si="1125"/>
        <v>-56175.411666758118</v>
      </c>
      <c r="CL957" s="52">
        <f t="shared" ca="1" si="1125"/>
        <v>-99967.146476251597</v>
      </c>
      <c r="CM957" s="52">
        <f t="shared" ca="1" si="1125"/>
        <v>-38288.325218125348</v>
      </c>
      <c r="CN957" s="52">
        <f t="shared" ca="1" si="1125"/>
        <v>-34101.816590433511</v>
      </c>
      <c r="CO957" s="52">
        <f t="shared" ca="1" si="1125"/>
        <v>-58422.656442735031</v>
      </c>
    </row>
    <row r="958" spans="1:93">
      <c r="A958" s="10"/>
      <c r="B958" s="10"/>
      <c r="C958" s="17" t="s">
        <v>1097</v>
      </c>
      <c r="D958" s="10"/>
      <c r="E958" s="62"/>
      <c r="F958" s="10"/>
      <c r="G958" s="134" t="str">
        <f t="shared" si="1118"/>
        <v>тыс. руб.</v>
      </c>
      <c r="H958" s="10"/>
      <c r="I958" s="23">
        <f t="shared" si="1119"/>
        <v>0</v>
      </c>
      <c r="J958" s="10"/>
      <c r="K958" s="10"/>
      <c r="L958" s="52">
        <f t="shared" ref="L958:AQ958" si="1126" xml:space="preserve"> SGA_for_VAT * VAT_Rate_Periods</f>
        <v>0</v>
      </c>
      <c r="M958" s="52">
        <f t="shared" si="1126"/>
        <v>0</v>
      </c>
      <c r="N958" s="52">
        <f t="shared" si="1126"/>
        <v>0</v>
      </c>
      <c r="O958" s="52">
        <f t="shared" si="1126"/>
        <v>0</v>
      </c>
      <c r="P958" s="52">
        <f t="shared" si="1126"/>
        <v>0</v>
      </c>
      <c r="Q958" s="52">
        <f t="shared" si="1126"/>
        <v>0</v>
      </c>
      <c r="R958" s="52">
        <f t="shared" si="1126"/>
        <v>0</v>
      </c>
      <c r="S958" s="52">
        <f t="shared" si="1126"/>
        <v>0</v>
      </c>
      <c r="T958" s="52">
        <f t="shared" si="1126"/>
        <v>0</v>
      </c>
      <c r="U958" s="52">
        <f t="shared" si="1126"/>
        <v>0</v>
      </c>
      <c r="V958" s="52">
        <f t="shared" si="1126"/>
        <v>0</v>
      </c>
      <c r="W958" s="52">
        <f t="shared" si="1126"/>
        <v>0</v>
      </c>
      <c r="X958" s="52">
        <f t="shared" si="1126"/>
        <v>0</v>
      </c>
      <c r="Y958" s="52">
        <f t="shared" si="1126"/>
        <v>0</v>
      </c>
      <c r="Z958" s="52">
        <f t="shared" si="1126"/>
        <v>0</v>
      </c>
      <c r="AA958" s="52">
        <f t="shared" si="1126"/>
        <v>0</v>
      </c>
      <c r="AB958" s="52">
        <f t="shared" si="1126"/>
        <v>0</v>
      </c>
      <c r="AC958" s="52">
        <f t="shared" si="1126"/>
        <v>0</v>
      </c>
      <c r="AD958" s="52">
        <f t="shared" si="1126"/>
        <v>0</v>
      </c>
      <c r="AE958" s="52">
        <f t="shared" si="1126"/>
        <v>0</v>
      </c>
      <c r="AF958" s="52">
        <f t="shared" si="1126"/>
        <v>0</v>
      </c>
      <c r="AG958" s="52">
        <f t="shared" si="1126"/>
        <v>0</v>
      </c>
      <c r="AH958" s="52">
        <f t="shared" si="1126"/>
        <v>0</v>
      </c>
      <c r="AI958" s="52">
        <f t="shared" si="1126"/>
        <v>0</v>
      </c>
      <c r="AJ958" s="52">
        <f t="shared" si="1126"/>
        <v>0</v>
      </c>
      <c r="AK958" s="52">
        <f t="shared" si="1126"/>
        <v>0</v>
      </c>
      <c r="AL958" s="52">
        <f t="shared" si="1126"/>
        <v>0</v>
      </c>
      <c r="AM958" s="52">
        <f t="shared" si="1126"/>
        <v>0</v>
      </c>
      <c r="AN958" s="52">
        <f t="shared" si="1126"/>
        <v>0</v>
      </c>
      <c r="AO958" s="52">
        <f t="shared" si="1126"/>
        <v>0</v>
      </c>
      <c r="AP958" s="52">
        <f t="shared" si="1126"/>
        <v>0</v>
      </c>
      <c r="AQ958" s="52">
        <f t="shared" si="1126"/>
        <v>0</v>
      </c>
      <c r="AR958" s="52">
        <f t="shared" ref="AR958:BW958" si="1127" xml:space="preserve"> SGA_for_VAT * VAT_Rate_Periods</f>
        <v>0</v>
      </c>
      <c r="AS958" s="52">
        <f t="shared" si="1127"/>
        <v>0</v>
      </c>
      <c r="AT958" s="52">
        <f t="shared" si="1127"/>
        <v>0</v>
      </c>
      <c r="AU958" s="52">
        <f t="shared" si="1127"/>
        <v>0</v>
      </c>
      <c r="AV958" s="52">
        <f t="shared" si="1127"/>
        <v>0</v>
      </c>
      <c r="AW958" s="52">
        <f t="shared" si="1127"/>
        <v>0</v>
      </c>
      <c r="AX958" s="52">
        <f t="shared" si="1127"/>
        <v>0</v>
      </c>
      <c r="AY958" s="52">
        <f t="shared" si="1127"/>
        <v>0</v>
      </c>
      <c r="AZ958" s="52">
        <f t="shared" si="1127"/>
        <v>0</v>
      </c>
      <c r="BA958" s="52">
        <f t="shared" si="1127"/>
        <v>0</v>
      </c>
      <c r="BB958" s="52">
        <f t="shared" si="1127"/>
        <v>0</v>
      </c>
      <c r="BC958" s="52">
        <f t="shared" si="1127"/>
        <v>0</v>
      </c>
      <c r="BD958" s="52">
        <f t="shared" si="1127"/>
        <v>0</v>
      </c>
      <c r="BE958" s="52">
        <f t="shared" si="1127"/>
        <v>0</v>
      </c>
      <c r="BF958" s="52">
        <f t="shared" si="1127"/>
        <v>0</v>
      </c>
      <c r="BG958" s="52">
        <f t="shared" si="1127"/>
        <v>0</v>
      </c>
      <c r="BH958" s="52">
        <f t="shared" si="1127"/>
        <v>0</v>
      </c>
      <c r="BI958" s="52">
        <f t="shared" si="1127"/>
        <v>0</v>
      </c>
      <c r="BJ958" s="52">
        <f t="shared" si="1127"/>
        <v>0</v>
      </c>
      <c r="BK958" s="52">
        <f t="shared" si="1127"/>
        <v>0</v>
      </c>
      <c r="BL958" s="52">
        <f t="shared" si="1127"/>
        <v>0</v>
      </c>
      <c r="BM958" s="52">
        <f t="shared" si="1127"/>
        <v>0</v>
      </c>
      <c r="BN958" s="52">
        <f t="shared" si="1127"/>
        <v>0</v>
      </c>
      <c r="BO958" s="52">
        <f t="shared" si="1127"/>
        <v>0</v>
      </c>
      <c r="BP958" s="52">
        <f t="shared" si="1127"/>
        <v>0</v>
      </c>
      <c r="BQ958" s="52">
        <f t="shared" si="1127"/>
        <v>0</v>
      </c>
      <c r="BR958" s="52">
        <f t="shared" si="1127"/>
        <v>0</v>
      </c>
      <c r="BS958" s="52">
        <f t="shared" si="1127"/>
        <v>0</v>
      </c>
      <c r="BT958" s="52">
        <f t="shared" si="1127"/>
        <v>0</v>
      </c>
      <c r="BU958" s="52">
        <f t="shared" si="1127"/>
        <v>0</v>
      </c>
      <c r="BV958" s="52">
        <f t="shared" si="1127"/>
        <v>0</v>
      </c>
      <c r="BW958" s="52">
        <f t="shared" si="1127"/>
        <v>0</v>
      </c>
      <c r="BX958" s="52">
        <f t="shared" ref="BX958:CO958" si="1128" xml:space="preserve"> SGA_for_VAT * VAT_Rate_Periods</f>
        <v>0</v>
      </c>
      <c r="BY958" s="52">
        <f t="shared" si="1128"/>
        <v>0</v>
      </c>
      <c r="BZ958" s="52">
        <f t="shared" si="1128"/>
        <v>0</v>
      </c>
      <c r="CA958" s="52">
        <f t="shared" si="1128"/>
        <v>0</v>
      </c>
      <c r="CB958" s="52">
        <f t="shared" si="1128"/>
        <v>0</v>
      </c>
      <c r="CC958" s="52">
        <f t="shared" si="1128"/>
        <v>0</v>
      </c>
      <c r="CD958" s="52">
        <f t="shared" si="1128"/>
        <v>0</v>
      </c>
      <c r="CE958" s="52">
        <f t="shared" si="1128"/>
        <v>0</v>
      </c>
      <c r="CF958" s="52">
        <f t="shared" si="1128"/>
        <v>0</v>
      </c>
      <c r="CG958" s="52">
        <f t="shared" si="1128"/>
        <v>0</v>
      </c>
      <c r="CH958" s="52">
        <f t="shared" si="1128"/>
        <v>0</v>
      </c>
      <c r="CI958" s="52">
        <f t="shared" si="1128"/>
        <v>0</v>
      </c>
      <c r="CJ958" s="52">
        <f t="shared" si="1128"/>
        <v>0</v>
      </c>
      <c r="CK958" s="52">
        <f t="shared" si="1128"/>
        <v>0</v>
      </c>
      <c r="CL958" s="52">
        <f t="shared" si="1128"/>
        <v>0</v>
      </c>
      <c r="CM958" s="52">
        <f t="shared" si="1128"/>
        <v>0</v>
      </c>
      <c r="CN958" s="52">
        <f t="shared" si="1128"/>
        <v>0</v>
      </c>
      <c r="CO958" s="52">
        <f t="shared" si="1128"/>
        <v>0</v>
      </c>
    </row>
    <row r="959" spans="1:93">
      <c r="A959" s="10"/>
      <c r="B959" s="10"/>
      <c r="C959" s="17" t="s">
        <v>1197</v>
      </c>
      <c r="D959" s="10"/>
      <c r="E959" s="62"/>
      <c r="F959" s="10"/>
      <c r="G959" s="134" t="str">
        <f t="shared" si="1118"/>
        <v>тыс. руб.</v>
      </c>
      <c r="H959" s="10"/>
      <c r="I959" s="23">
        <f t="shared" si="1119"/>
        <v>0</v>
      </c>
      <c r="J959" s="10"/>
      <c r="K959" s="10"/>
      <c r="L959" s="52">
        <f t="shared" ref="L959:AQ959" si="1129" xml:space="preserve"> - CAPEX_E_For_VAT * VAT_Rate_Periods</f>
        <v>0</v>
      </c>
      <c r="M959" s="52">
        <f t="shared" si="1129"/>
        <v>0</v>
      </c>
      <c r="N959" s="52">
        <f t="shared" si="1129"/>
        <v>0</v>
      </c>
      <c r="O959" s="52">
        <f t="shared" si="1129"/>
        <v>0</v>
      </c>
      <c r="P959" s="52">
        <f t="shared" si="1129"/>
        <v>0</v>
      </c>
      <c r="Q959" s="52">
        <f t="shared" si="1129"/>
        <v>0</v>
      </c>
      <c r="R959" s="52">
        <f t="shared" si="1129"/>
        <v>0</v>
      </c>
      <c r="S959" s="52">
        <f t="shared" si="1129"/>
        <v>0</v>
      </c>
      <c r="T959" s="52">
        <f t="shared" si="1129"/>
        <v>0</v>
      </c>
      <c r="U959" s="52">
        <f t="shared" si="1129"/>
        <v>0</v>
      </c>
      <c r="V959" s="52">
        <f t="shared" si="1129"/>
        <v>0</v>
      </c>
      <c r="W959" s="52">
        <f t="shared" si="1129"/>
        <v>0</v>
      </c>
      <c r="X959" s="52">
        <f t="shared" si="1129"/>
        <v>0</v>
      </c>
      <c r="Y959" s="52">
        <f t="shared" si="1129"/>
        <v>0</v>
      </c>
      <c r="Z959" s="52">
        <f t="shared" si="1129"/>
        <v>0</v>
      </c>
      <c r="AA959" s="52">
        <f t="shared" si="1129"/>
        <v>0</v>
      </c>
      <c r="AB959" s="52">
        <f t="shared" si="1129"/>
        <v>0</v>
      </c>
      <c r="AC959" s="52">
        <f t="shared" si="1129"/>
        <v>0</v>
      </c>
      <c r="AD959" s="52">
        <f t="shared" si="1129"/>
        <v>0</v>
      </c>
      <c r="AE959" s="52">
        <f t="shared" si="1129"/>
        <v>0</v>
      </c>
      <c r="AF959" s="52">
        <f t="shared" si="1129"/>
        <v>0</v>
      </c>
      <c r="AG959" s="52">
        <f t="shared" si="1129"/>
        <v>0</v>
      </c>
      <c r="AH959" s="52">
        <f t="shared" si="1129"/>
        <v>0</v>
      </c>
      <c r="AI959" s="52">
        <f t="shared" si="1129"/>
        <v>0</v>
      </c>
      <c r="AJ959" s="52">
        <f t="shared" si="1129"/>
        <v>0</v>
      </c>
      <c r="AK959" s="52">
        <f t="shared" si="1129"/>
        <v>0</v>
      </c>
      <c r="AL959" s="52">
        <f t="shared" si="1129"/>
        <v>0</v>
      </c>
      <c r="AM959" s="52">
        <f t="shared" si="1129"/>
        <v>0</v>
      </c>
      <c r="AN959" s="52">
        <f t="shared" si="1129"/>
        <v>0</v>
      </c>
      <c r="AO959" s="52">
        <f t="shared" si="1129"/>
        <v>0</v>
      </c>
      <c r="AP959" s="52">
        <f t="shared" si="1129"/>
        <v>0</v>
      </c>
      <c r="AQ959" s="52">
        <f t="shared" si="1129"/>
        <v>0</v>
      </c>
      <c r="AR959" s="52">
        <f t="shared" ref="AR959:BW959" si="1130" xml:space="preserve"> - CAPEX_E_For_VAT * VAT_Rate_Periods</f>
        <v>0</v>
      </c>
      <c r="AS959" s="52">
        <f t="shared" si="1130"/>
        <v>0</v>
      </c>
      <c r="AT959" s="52">
        <f t="shared" si="1130"/>
        <v>0</v>
      </c>
      <c r="AU959" s="52">
        <f t="shared" si="1130"/>
        <v>0</v>
      </c>
      <c r="AV959" s="52">
        <f t="shared" si="1130"/>
        <v>0</v>
      </c>
      <c r="AW959" s="52">
        <f t="shared" si="1130"/>
        <v>0</v>
      </c>
      <c r="AX959" s="52">
        <f t="shared" si="1130"/>
        <v>0</v>
      </c>
      <c r="AY959" s="52">
        <f t="shared" si="1130"/>
        <v>0</v>
      </c>
      <c r="AZ959" s="52">
        <f t="shared" si="1130"/>
        <v>0</v>
      </c>
      <c r="BA959" s="52">
        <f t="shared" si="1130"/>
        <v>0</v>
      </c>
      <c r="BB959" s="52">
        <f t="shared" si="1130"/>
        <v>0</v>
      </c>
      <c r="BC959" s="52">
        <f t="shared" si="1130"/>
        <v>0</v>
      </c>
      <c r="BD959" s="52">
        <f t="shared" si="1130"/>
        <v>0</v>
      </c>
      <c r="BE959" s="52">
        <f t="shared" si="1130"/>
        <v>0</v>
      </c>
      <c r="BF959" s="52">
        <f t="shared" si="1130"/>
        <v>0</v>
      </c>
      <c r="BG959" s="52">
        <f t="shared" si="1130"/>
        <v>0</v>
      </c>
      <c r="BH959" s="52">
        <f t="shared" si="1130"/>
        <v>0</v>
      </c>
      <c r="BI959" s="52">
        <f t="shared" si="1130"/>
        <v>0</v>
      </c>
      <c r="BJ959" s="52">
        <f t="shared" si="1130"/>
        <v>0</v>
      </c>
      <c r="BK959" s="52">
        <f t="shared" si="1130"/>
        <v>0</v>
      </c>
      <c r="BL959" s="52">
        <f t="shared" si="1130"/>
        <v>0</v>
      </c>
      <c r="BM959" s="52">
        <f t="shared" si="1130"/>
        <v>0</v>
      </c>
      <c r="BN959" s="52">
        <f t="shared" si="1130"/>
        <v>0</v>
      </c>
      <c r="BO959" s="52">
        <f t="shared" si="1130"/>
        <v>0</v>
      </c>
      <c r="BP959" s="52">
        <f t="shared" si="1130"/>
        <v>0</v>
      </c>
      <c r="BQ959" s="52">
        <f t="shared" si="1130"/>
        <v>0</v>
      </c>
      <c r="BR959" s="52">
        <f t="shared" si="1130"/>
        <v>0</v>
      </c>
      <c r="BS959" s="52">
        <f t="shared" si="1130"/>
        <v>0</v>
      </c>
      <c r="BT959" s="52">
        <f t="shared" si="1130"/>
        <v>0</v>
      </c>
      <c r="BU959" s="52">
        <f t="shared" si="1130"/>
        <v>0</v>
      </c>
      <c r="BV959" s="52">
        <f t="shared" si="1130"/>
        <v>0</v>
      </c>
      <c r="BW959" s="52">
        <f t="shared" si="1130"/>
        <v>0</v>
      </c>
      <c r="BX959" s="52">
        <f t="shared" ref="BX959:CO959" si="1131" xml:space="preserve"> - CAPEX_E_For_VAT * VAT_Rate_Periods</f>
        <v>0</v>
      </c>
      <c r="BY959" s="52">
        <f t="shared" si="1131"/>
        <v>0</v>
      </c>
      <c r="BZ959" s="52">
        <f t="shared" si="1131"/>
        <v>0</v>
      </c>
      <c r="CA959" s="52">
        <f t="shared" si="1131"/>
        <v>0</v>
      </c>
      <c r="CB959" s="52">
        <f t="shared" si="1131"/>
        <v>0</v>
      </c>
      <c r="CC959" s="52">
        <f t="shared" si="1131"/>
        <v>0</v>
      </c>
      <c r="CD959" s="52">
        <f t="shared" si="1131"/>
        <v>0</v>
      </c>
      <c r="CE959" s="52">
        <f t="shared" si="1131"/>
        <v>0</v>
      </c>
      <c r="CF959" s="52">
        <f t="shared" si="1131"/>
        <v>0</v>
      </c>
      <c r="CG959" s="52">
        <f t="shared" si="1131"/>
        <v>0</v>
      </c>
      <c r="CH959" s="52">
        <f t="shared" si="1131"/>
        <v>0</v>
      </c>
      <c r="CI959" s="52">
        <f t="shared" si="1131"/>
        <v>0</v>
      </c>
      <c r="CJ959" s="52">
        <f t="shared" si="1131"/>
        <v>0</v>
      </c>
      <c r="CK959" s="52">
        <f t="shared" si="1131"/>
        <v>0</v>
      </c>
      <c r="CL959" s="52">
        <f t="shared" si="1131"/>
        <v>0</v>
      </c>
      <c r="CM959" s="52">
        <f t="shared" si="1131"/>
        <v>0</v>
      </c>
      <c r="CN959" s="52">
        <f t="shared" si="1131"/>
        <v>0</v>
      </c>
      <c r="CO959" s="52">
        <f t="shared" si="1131"/>
        <v>0</v>
      </c>
    </row>
    <row r="960" spans="1:93" ht="15.75" thickBot="1">
      <c r="A960" s="10"/>
      <c r="B960" s="10"/>
      <c r="C960" s="17" t="s">
        <v>733</v>
      </c>
      <c r="D960" s="10"/>
      <c r="E960" s="62"/>
      <c r="F960" s="10"/>
      <c r="G960" s="134" t="str">
        <f t="shared" si="1118"/>
        <v>тыс. руб.</v>
      </c>
      <c r="H960" s="10"/>
      <c r="I960" s="23">
        <f t="shared" ca="1" si="1119"/>
        <v>-617457.09245746897</v>
      </c>
      <c r="J960" s="10"/>
      <c r="K960" s="10"/>
      <c r="L960" s="52">
        <f t="shared" ref="L960:AQ960" ca="1" si="1132" xml:space="preserve"> - CAPEX_For_VAT * VAT_Rate_Periods</f>
        <v>-3371.9255688267931</v>
      </c>
      <c r="M960" s="52">
        <f t="shared" ca="1" si="1132"/>
        <v>-3419.7896726333843</v>
      </c>
      <c r="N960" s="52">
        <f t="shared" ca="1" si="1132"/>
        <v>-3468.3332020045223</v>
      </c>
      <c r="O960" s="52">
        <f t="shared" ca="1" si="1132"/>
        <v>-3517.5658013095986</v>
      </c>
      <c r="P960" s="52">
        <f t="shared" ca="1" si="1132"/>
        <v>-29581.74843746073</v>
      </c>
      <c r="Q960" s="52">
        <f t="shared" ca="1" si="1132"/>
        <v>-29873.229431244356</v>
      </c>
      <c r="R960" s="52">
        <f t="shared" ca="1" si="1132"/>
        <v>-30167.582505761031</v>
      </c>
      <c r="S960" s="52">
        <f t="shared" ca="1" si="1132"/>
        <v>-30464.835960789842</v>
      </c>
      <c r="T960" s="52">
        <f t="shared" ca="1" si="1132"/>
        <v>-30765.018374959152</v>
      </c>
      <c r="U960" s="52">
        <f t="shared" ca="1" si="1132"/>
        <v>-31068.15860849413</v>
      </c>
      <c r="V960" s="52">
        <f t="shared" ca="1" si="1132"/>
        <v>-31374.285805991458</v>
      </c>
      <c r="W960" s="52">
        <f t="shared" ca="1" si="1132"/>
        <v>-31683.429399221433</v>
      </c>
      <c r="X960" s="52">
        <f t="shared" ca="1" si="1132"/>
        <v>-61262.581636075818</v>
      </c>
      <c r="Y960" s="52">
        <f t="shared" ca="1" si="1132"/>
        <v>-61866.226759175472</v>
      </c>
      <c r="Z960" s="52">
        <f t="shared" ca="1" si="1132"/>
        <v>-62475.819843084297</v>
      </c>
      <c r="AA960" s="52">
        <f t="shared" ca="1" si="1132"/>
        <v>-63091.419495478323</v>
      </c>
      <c r="AB960" s="52">
        <f t="shared" ca="1" si="1132"/>
        <v>-110005.14195495863</v>
      </c>
      <c r="AC960" s="52">
        <f t="shared" ca="1" si="1132"/>
        <v>0</v>
      </c>
      <c r="AD960" s="52">
        <f t="shared" ca="1" si="1132"/>
        <v>0</v>
      </c>
      <c r="AE960" s="52">
        <f t="shared" ca="1" si="1132"/>
        <v>0</v>
      </c>
      <c r="AF960" s="52">
        <f t="shared" ca="1" si="1132"/>
        <v>0</v>
      </c>
      <c r="AG960" s="52">
        <f t="shared" ca="1" si="1132"/>
        <v>0</v>
      </c>
      <c r="AH960" s="52">
        <f t="shared" ca="1" si="1132"/>
        <v>0</v>
      </c>
      <c r="AI960" s="52">
        <f t="shared" ca="1" si="1132"/>
        <v>0</v>
      </c>
      <c r="AJ960" s="52">
        <f t="shared" ca="1" si="1132"/>
        <v>0</v>
      </c>
      <c r="AK960" s="52">
        <f t="shared" ca="1" si="1132"/>
        <v>0</v>
      </c>
      <c r="AL960" s="52">
        <f t="shared" ca="1" si="1132"/>
        <v>0</v>
      </c>
      <c r="AM960" s="52">
        <f t="shared" ca="1" si="1132"/>
        <v>0</v>
      </c>
      <c r="AN960" s="52">
        <f t="shared" ca="1" si="1132"/>
        <v>0</v>
      </c>
      <c r="AO960" s="52">
        <f t="shared" ca="1" si="1132"/>
        <v>0</v>
      </c>
      <c r="AP960" s="52">
        <f t="shared" ca="1" si="1132"/>
        <v>0</v>
      </c>
      <c r="AQ960" s="52">
        <f t="shared" ca="1" si="1132"/>
        <v>0</v>
      </c>
      <c r="AR960" s="52">
        <f t="shared" ref="AR960:BW960" ca="1" si="1133" xml:space="preserve"> - CAPEX_For_VAT * VAT_Rate_Periods</f>
        <v>0</v>
      </c>
      <c r="AS960" s="52">
        <f t="shared" ca="1" si="1133"/>
        <v>0</v>
      </c>
      <c r="AT960" s="52">
        <f t="shared" ca="1" si="1133"/>
        <v>0</v>
      </c>
      <c r="AU960" s="52">
        <f t="shared" ca="1" si="1133"/>
        <v>0</v>
      </c>
      <c r="AV960" s="52">
        <f t="shared" ca="1" si="1133"/>
        <v>0</v>
      </c>
      <c r="AW960" s="52">
        <f t="shared" ca="1" si="1133"/>
        <v>0</v>
      </c>
      <c r="AX960" s="52">
        <f t="shared" ca="1" si="1133"/>
        <v>0</v>
      </c>
      <c r="AY960" s="52">
        <f t="shared" ca="1" si="1133"/>
        <v>0</v>
      </c>
      <c r="AZ960" s="52">
        <f t="shared" ca="1" si="1133"/>
        <v>0</v>
      </c>
      <c r="BA960" s="52">
        <f t="shared" ca="1" si="1133"/>
        <v>0</v>
      </c>
      <c r="BB960" s="52">
        <f t="shared" ca="1" si="1133"/>
        <v>0</v>
      </c>
      <c r="BC960" s="52">
        <f t="shared" ca="1" si="1133"/>
        <v>0</v>
      </c>
      <c r="BD960" s="52">
        <f t="shared" ca="1" si="1133"/>
        <v>0</v>
      </c>
      <c r="BE960" s="52">
        <f t="shared" ca="1" si="1133"/>
        <v>0</v>
      </c>
      <c r="BF960" s="52">
        <f t="shared" ca="1" si="1133"/>
        <v>0</v>
      </c>
      <c r="BG960" s="52">
        <f t="shared" ca="1" si="1133"/>
        <v>0</v>
      </c>
      <c r="BH960" s="52">
        <f t="shared" ca="1" si="1133"/>
        <v>0</v>
      </c>
      <c r="BI960" s="52">
        <f t="shared" ca="1" si="1133"/>
        <v>0</v>
      </c>
      <c r="BJ960" s="52">
        <f t="shared" ca="1" si="1133"/>
        <v>0</v>
      </c>
      <c r="BK960" s="52">
        <f t="shared" ca="1" si="1133"/>
        <v>0</v>
      </c>
      <c r="BL960" s="52">
        <f t="shared" ca="1" si="1133"/>
        <v>0</v>
      </c>
      <c r="BM960" s="52">
        <f t="shared" ca="1" si="1133"/>
        <v>0</v>
      </c>
      <c r="BN960" s="52">
        <f t="shared" ca="1" si="1133"/>
        <v>0</v>
      </c>
      <c r="BO960" s="52">
        <f t="shared" ca="1" si="1133"/>
        <v>0</v>
      </c>
      <c r="BP960" s="52">
        <f t="shared" ca="1" si="1133"/>
        <v>0</v>
      </c>
      <c r="BQ960" s="52">
        <f t="shared" ca="1" si="1133"/>
        <v>0</v>
      </c>
      <c r="BR960" s="52">
        <f t="shared" ca="1" si="1133"/>
        <v>0</v>
      </c>
      <c r="BS960" s="52">
        <f t="shared" ca="1" si="1133"/>
        <v>0</v>
      </c>
      <c r="BT960" s="52">
        <f t="shared" ca="1" si="1133"/>
        <v>0</v>
      </c>
      <c r="BU960" s="52">
        <f t="shared" ca="1" si="1133"/>
        <v>0</v>
      </c>
      <c r="BV960" s="52">
        <f t="shared" ca="1" si="1133"/>
        <v>0</v>
      </c>
      <c r="BW960" s="52">
        <f t="shared" ca="1" si="1133"/>
        <v>0</v>
      </c>
      <c r="BX960" s="52">
        <f t="shared" ref="BX960:CO960" ca="1" si="1134" xml:space="preserve"> - CAPEX_For_VAT * VAT_Rate_Periods</f>
        <v>0</v>
      </c>
      <c r="BY960" s="52">
        <f t="shared" ca="1" si="1134"/>
        <v>0</v>
      </c>
      <c r="BZ960" s="52">
        <f t="shared" ca="1" si="1134"/>
        <v>0</v>
      </c>
      <c r="CA960" s="52">
        <f t="shared" ca="1" si="1134"/>
        <v>0</v>
      </c>
      <c r="CB960" s="52">
        <f t="shared" ca="1" si="1134"/>
        <v>0</v>
      </c>
      <c r="CC960" s="52">
        <f t="shared" ca="1" si="1134"/>
        <v>0</v>
      </c>
      <c r="CD960" s="52">
        <f t="shared" ca="1" si="1134"/>
        <v>0</v>
      </c>
      <c r="CE960" s="52">
        <f t="shared" ca="1" si="1134"/>
        <v>0</v>
      </c>
      <c r="CF960" s="52">
        <f t="shared" ca="1" si="1134"/>
        <v>0</v>
      </c>
      <c r="CG960" s="52">
        <f t="shared" ca="1" si="1134"/>
        <v>0</v>
      </c>
      <c r="CH960" s="52">
        <f t="shared" ca="1" si="1134"/>
        <v>0</v>
      </c>
      <c r="CI960" s="52">
        <f t="shared" ca="1" si="1134"/>
        <v>0</v>
      </c>
      <c r="CJ960" s="52">
        <f t="shared" ca="1" si="1134"/>
        <v>0</v>
      </c>
      <c r="CK960" s="52">
        <f t="shared" ca="1" si="1134"/>
        <v>0</v>
      </c>
      <c r="CL960" s="52">
        <f t="shared" ca="1" si="1134"/>
        <v>0</v>
      </c>
      <c r="CM960" s="52">
        <f t="shared" ca="1" si="1134"/>
        <v>0</v>
      </c>
      <c r="CN960" s="52">
        <f t="shared" ca="1" si="1134"/>
        <v>0</v>
      </c>
      <c r="CO960" s="52">
        <f t="shared" ca="1" si="1134"/>
        <v>0</v>
      </c>
    </row>
    <row r="961" spans="1:131" ht="15.75" thickTop="1">
      <c r="A961" s="172"/>
      <c r="B961" s="35"/>
      <c r="C961" s="173" t="s">
        <v>397</v>
      </c>
      <c r="D961" s="49"/>
      <c r="E961" s="49"/>
      <c r="F961" s="49"/>
      <c r="G961" s="159" t="str">
        <f t="shared" si="1118"/>
        <v>тыс. руб.</v>
      </c>
      <c r="H961" s="49"/>
      <c r="I961" s="176">
        <f t="shared" ca="1" si="1119"/>
        <v>1714879.3133227222</v>
      </c>
      <c r="J961" s="49"/>
      <c r="K961" s="49"/>
      <c r="L961" s="49">
        <f t="shared" ref="L961:AQ961" ca="1" si="1135">SUM(L956:L960)</f>
        <v>-3371.9255688267931</v>
      </c>
      <c r="M961" s="49">
        <f t="shared" ca="1" si="1135"/>
        <v>-3419.7896726333843</v>
      </c>
      <c r="N961" s="49">
        <f t="shared" ca="1" si="1135"/>
        <v>-3468.3332020045223</v>
      </c>
      <c r="O961" s="49">
        <f t="shared" ca="1" si="1135"/>
        <v>-3517.5658013095986</v>
      </c>
      <c r="P961" s="49">
        <f t="shared" ca="1" si="1135"/>
        <v>-29581.74843746073</v>
      </c>
      <c r="Q961" s="49">
        <f t="shared" ca="1" si="1135"/>
        <v>-29873.229431244356</v>
      </c>
      <c r="R961" s="49">
        <f t="shared" ca="1" si="1135"/>
        <v>-30167.582505761031</v>
      </c>
      <c r="S961" s="49">
        <f t="shared" ca="1" si="1135"/>
        <v>-30464.835960789842</v>
      </c>
      <c r="T961" s="49">
        <f t="shared" ca="1" si="1135"/>
        <v>-30765.018374959152</v>
      </c>
      <c r="U961" s="49">
        <f t="shared" ca="1" si="1135"/>
        <v>-31068.15860849413</v>
      </c>
      <c r="V961" s="49">
        <f t="shared" ca="1" si="1135"/>
        <v>-31374.285805991458</v>
      </c>
      <c r="W961" s="49">
        <f t="shared" ca="1" si="1135"/>
        <v>-31683.429399221433</v>
      </c>
      <c r="X961" s="49">
        <f t="shared" ca="1" si="1135"/>
        <v>-61262.581636075818</v>
      </c>
      <c r="Y961" s="49">
        <f t="shared" ca="1" si="1135"/>
        <v>-61866.226759175472</v>
      </c>
      <c r="Z961" s="49">
        <f t="shared" ca="1" si="1135"/>
        <v>-62475.819843084297</v>
      </c>
      <c r="AA961" s="49">
        <f t="shared" ca="1" si="1135"/>
        <v>-63091.419495478323</v>
      </c>
      <c r="AB961" s="49">
        <f t="shared" ca="1" si="1135"/>
        <v>-110005.14195495863</v>
      </c>
      <c r="AC961" s="49">
        <f t="shared" ca="1" si="1135"/>
        <v>-11422.887247221315</v>
      </c>
      <c r="AD961" s="49">
        <f t="shared" ca="1" si="1135"/>
        <v>-23278.821301859451</v>
      </c>
      <c r="AE961" s="49">
        <f t="shared" ca="1" si="1135"/>
        <v>-7791.8173422687105</v>
      </c>
      <c r="AF961" s="49">
        <f t="shared" ca="1" si="1135"/>
        <v>-6908.8504737552994</v>
      </c>
      <c r="AG961" s="49">
        <f t="shared" ca="1" si="1135"/>
        <v>-13318.803120198072</v>
      </c>
      <c r="AH961" s="49">
        <f t="shared" ca="1" si="1135"/>
        <v>-27061.573908005023</v>
      </c>
      <c r="AI961" s="49">
        <f t="shared" ca="1" si="1135"/>
        <v>-9026.9486138278335</v>
      </c>
      <c r="AJ961" s="49">
        <f t="shared" ca="1" si="1135"/>
        <v>-7980.6650179042736</v>
      </c>
      <c r="AK961" s="49">
        <f t="shared" ca="1" si="1135"/>
        <v>-15348.115643417412</v>
      </c>
      <c r="AL961" s="49">
        <f t="shared" ca="1" si="1135"/>
        <v>-31109.700608559247</v>
      </c>
      <c r="AM961" s="49">
        <f t="shared" ca="1" si="1135"/>
        <v>-10348.423479364079</v>
      </c>
      <c r="AN961" s="49">
        <f t="shared" ca="1" si="1135"/>
        <v>-9228.4477923332597</v>
      </c>
      <c r="AO961" s="49">
        <f t="shared" ca="1" si="1135"/>
        <v>-17518.325966848792</v>
      </c>
      <c r="AP961" s="49">
        <f t="shared" ca="1" si="1135"/>
        <v>-34667.166364061552</v>
      </c>
      <c r="AQ961" s="49">
        <f t="shared" ca="1" si="1135"/>
        <v>-11261.625448735358</v>
      </c>
      <c r="AR961" s="49">
        <f t="shared" ref="AR961:BW961" ca="1" si="1136">SUM(AR956:AR960)</f>
        <v>-9707.3499134339854</v>
      </c>
      <c r="AS961" s="49">
        <f t="shared" ca="1" si="1136"/>
        <v>-18219.201606842045</v>
      </c>
      <c r="AT961" s="49">
        <f t="shared" ca="1" si="1136"/>
        <v>-36053.998607540314</v>
      </c>
      <c r="AU961" s="49">
        <f t="shared" ca="1" si="1136"/>
        <v>-11712.237490147843</v>
      </c>
      <c r="AV961" s="49">
        <f t="shared" ca="1" si="1136"/>
        <v>-10095.643909971333</v>
      </c>
      <c r="AW961" s="49">
        <f t="shared" ca="1" si="1136"/>
        <v>46479.25438646238</v>
      </c>
      <c r="AX961" s="49">
        <f t="shared" ca="1" si="1136"/>
        <v>87172.977251210803</v>
      </c>
      <c r="AY961" s="49">
        <f t="shared" ca="1" si="1136"/>
        <v>30782.112161338224</v>
      </c>
      <c r="AZ961" s="49">
        <f t="shared" ca="1" si="1136"/>
        <v>26999.055032837514</v>
      </c>
      <c r="BA961" s="49">
        <f t="shared" ca="1" si="1136"/>
        <v>48338.424561920867</v>
      </c>
      <c r="BB961" s="49">
        <f t="shared" ca="1" si="1136"/>
        <v>90659.896341259198</v>
      </c>
      <c r="BC961" s="49">
        <f t="shared" ca="1" si="1136"/>
        <v>32013.396647791735</v>
      </c>
      <c r="BD961" s="49">
        <f t="shared" ca="1" si="1136"/>
        <v>28391.165156486535</v>
      </c>
      <c r="BE961" s="49">
        <f t="shared" ca="1" si="1136"/>
        <v>50272.121951488145</v>
      </c>
      <c r="BF961" s="49">
        <f t="shared" ca="1" si="1136"/>
        <v>94286.455962640262</v>
      </c>
      <c r="BG961" s="49">
        <f t="shared" ca="1" si="1136"/>
        <v>33294.097895104176</v>
      </c>
      <c r="BH961" s="49">
        <f t="shared" ca="1" si="1136"/>
        <v>29202.177923517062</v>
      </c>
      <c r="BI961" s="49">
        <f t="shared" ca="1" si="1136"/>
        <v>52282.840006173588</v>
      </c>
      <c r="BJ961" s="49">
        <f t="shared" ca="1" si="1136"/>
        <v>98057.74388270588</v>
      </c>
      <c r="BK961" s="49">
        <f t="shared" ca="1" si="1136"/>
        <v>34625.689814251542</v>
      </c>
      <c r="BL961" s="49">
        <f t="shared" ca="1" si="1136"/>
        <v>30370.265040457743</v>
      </c>
      <c r="BM961" s="49">
        <f t="shared" ca="1" si="1136"/>
        <v>54374.153606420543</v>
      </c>
      <c r="BN961" s="49">
        <f t="shared" ca="1" si="1136"/>
        <v>101980.05363801408</v>
      </c>
      <c r="BO961" s="49">
        <f t="shared" ca="1" si="1136"/>
        <v>36010.717406821597</v>
      </c>
      <c r="BP961" s="49">
        <f t="shared" ca="1" si="1136"/>
        <v>31585.075642076044</v>
      </c>
      <c r="BQ961" s="49">
        <f t="shared" ca="1" si="1136"/>
        <v>56549.119750677346</v>
      </c>
      <c r="BR961" s="49">
        <f t="shared" ca="1" si="1136"/>
        <v>106059.25578353468</v>
      </c>
      <c r="BS961" s="49">
        <f t="shared" ca="1" si="1136"/>
        <v>37451.146103094448</v>
      </c>
      <c r="BT961" s="49">
        <f t="shared" ca="1" si="1136"/>
        <v>33213.647586689483</v>
      </c>
      <c r="BU961" s="49">
        <f t="shared" ca="1" si="1136"/>
        <v>58811.272194312245</v>
      </c>
      <c r="BV961" s="49">
        <f t="shared" ca="1" si="1136"/>
        <v>110301.81759995766</v>
      </c>
      <c r="BW961" s="49">
        <f t="shared" ca="1" si="1136"/>
        <v>38949.385420065577</v>
      </c>
      <c r="BX961" s="49">
        <f t="shared" ref="BX961:CO961" ca="1" si="1137">SUM(BX956:BX960)</f>
        <v>34162.417814469431</v>
      </c>
      <c r="BY961" s="49">
        <f t="shared" ca="1" si="1137"/>
        <v>61163.527922332607</v>
      </c>
      <c r="BZ961" s="49">
        <f t="shared" ca="1" si="1137"/>
        <v>114713.69105547106</v>
      </c>
      <c r="CA961" s="49">
        <f t="shared" ca="1" si="1137"/>
        <v>40507.15962510695</v>
      </c>
      <c r="CB961" s="49">
        <f t="shared" ca="1" si="1137"/>
        <v>35528.914527048204</v>
      </c>
      <c r="CC961" s="49">
        <f t="shared" ca="1" si="1137"/>
        <v>63610.069039225898</v>
      </c>
      <c r="CD961" s="49">
        <f t="shared" ca="1" si="1137"/>
        <v>119302.23869768989</v>
      </c>
      <c r="CE961" s="49">
        <f t="shared" ca="1" si="1137"/>
        <v>42127.44601011122</v>
      </c>
      <c r="CF961" s="49">
        <f t="shared" ca="1" si="1137"/>
        <v>36950.071108130127</v>
      </c>
      <c r="CG961" s="49">
        <f t="shared" ca="1" si="1137"/>
        <v>66154.471800794912</v>
      </c>
      <c r="CH961" s="49">
        <f t="shared" ca="1" si="1137"/>
        <v>124074.32824559747</v>
      </c>
      <c r="CI961" s="49">
        <f t="shared" ca="1" si="1137"/>
        <v>43812.543850515678</v>
      </c>
      <c r="CJ961" s="49">
        <f t="shared" ca="1" si="1137"/>
        <v>38855.269938112033</v>
      </c>
      <c r="CK961" s="49">
        <f t="shared" ca="1" si="1137"/>
        <v>68800.870201006124</v>
      </c>
      <c r="CL961" s="49">
        <f t="shared" ca="1" si="1137"/>
        <v>129037.52550286913</v>
      </c>
      <c r="CM961" s="49">
        <f t="shared" ca="1" si="1137"/>
        <v>45565.27194040289</v>
      </c>
      <c r="CN961" s="49">
        <f t="shared" ca="1" si="1137"/>
        <v>39965.196910553546</v>
      </c>
      <c r="CO961" s="49">
        <f t="shared" ca="1" si="1137"/>
        <v>71552.676699739794</v>
      </c>
    </row>
    <row r="962" spans="1:131">
      <c r="A962" s="10"/>
      <c r="B962" s="10"/>
      <c r="C962" s="10"/>
      <c r="D962" s="10"/>
      <c r="E962" s="62"/>
      <c r="F962" s="10"/>
      <c r="G962" s="11"/>
      <c r="H962" s="11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  <c r="BA962" s="10"/>
      <c r="BB962" s="10"/>
      <c r="BC962" s="10"/>
      <c r="BD962" s="10"/>
      <c r="BE962" s="10"/>
      <c r="BF962" s="10"/>
      <c r="BG962" s="10"/>
      <c r="BH962" s="10"/>
      <c r="BI962" s="10"/>
      <c r="BJ962" s="10"/>
      <c r="BK962" s="10"/>
      <c r="BL962" s="10"/>
      <c r="BM962" s="10"/>
      <c r="BN962" s="10"/>
      <c r="BO962" s="10"/>
      <c r="BP962" s="10"/>
      <c r="BQ962" s="10"/>
      <c r="BR962" s="10"/>
      <c r="BS962" s="10"/>
      <c r="BT962" s="10"/>
      <c r="BU962" s="10"/>
      <c r="BV962" s="10"/>
      <c r="BW962" s="10"/>
      <c r="BX962" s="10"/>
      <c r="BY962" s="10"/>
      <c r="BZ962" s="10"/>
      <c r="CA962" s="10"/>
      <c r="CB962" s="10"/>
      <c r="CC962" s="10"/>
      <c r="CD962" s="10"/>
      <c r="CE962" s="10"/>
      <c r="CF962" s="10"/>
      <c r="CG962" s="10"/>
      <c r="CH962" s="10"/>
      <c r="CI962" s="10"/>
      <c r="CJ962" s="10"/>
      <c r="CK962" s="10"/>
      <c r="CL962" s="10"/>
      <c r="CM962" s="10"/>
      <c r="CN962" s="10"/>
      <c r="CO962" s="10"/>
    </row>
    <row r="963" spans="1:131">
      <c r="A963" s="10"/>
      <c r="B963" s="10"/>
      <c r="C963" s="17" t="s">
        <v>1077</v>
      </c>
      <c r="D963" s="10"/>
      <c r="E963" s="62"/>
      <c r="F963" s="10"/>
      <c r="G963" s="11" t="s">
        <v>28</v>
      </c>
      <c r="H963" s="10"/>
      <c r="I963" s="10"/>
      <c r="J963" s="10"/>
      <c r="K963" s="10"/>
      <c r="L963" s="178">
        <f t="shared" ref="L963:BW963" si="1138">VAT_Rate_Periods</f>
        <v>0.2</v>
      </c>
      <c r="M963" s="178">
        <f t="shared" si="1138"/>
        <v>0.2</v>
      </c>
      <c r="N963" s="178">
        <f t="shared" si="1138"/>
        <v>0.2</v>
      </c>
      <c r="O963" s="178">
        <f t="shared" si="1138"/>
        <v>0.2</v>
      </c>
      <c r="P963" s="178">
        <f t="shared" si="1138"/>
        <v>0.2</v>
      </c>
      <c r="Q963" s="178">
        <f t="shared" si="1138"/>
        <v>0.2</v>
      </c>
      <c r="R963" s="178">
        <f t="shared" si="1138"/>
        <v>0.2</v>
      </c>
      <c r="S963" s="178">
        <f t="shared" si="1138"/>
        <v>0.2</v>
      </c>
      <c r="T963" s="178">
        <f t="shared" si="1138"/>
        <v>0.2</v>
      </c>
      <c r="U963" s="178">
        <f t="shared" si="1138"/>
        <v>0.2</v>
      </c>
      <c r="V963" s="178">
        <f t="shared" si="1138"/>
        <v>0.2</v>
      </c>
      <c r="W963" s="178">
        <f t="shared" si="1138"/>
        <v>0.2</v>
      </c>
      <c r="X963" s="178">
        <f t="shared" si="1138"/>
        <v>0.2</v>
      </c>
      <c r="Y963" s="178">
        <f t="shared" si="1138"/>
        <v>0.2</v>
      </c>
      <c r="Z963" s="178">
        <f t="shared" si="1138"/>
        <v>0.2</v>
      </c>
      <c r="AA963" s="178">
        <f t="shared" si="1138"/>
        <v>0.2</v>
      </c>
      <c r="AB963" s="178">
        <f t="shared" si="1138"/>
        <v>0.2</v>
      </c>
      <c r="AC963" s="178">
        <f t="shared" si="1138"/>
        <v>0.2</v>
      </c>
      <c r="AD963" s="178">
        <f t="shared" si="1138"/>
        <v>0.2</v>
      </c>
      <c r="AE963" s="178">
        <f t="shared" si="1138"/>
        <v>0.2</v>
      </c>
      <c r="AF963" s="178">
        <f t="shared" si="1138"/>
        <v>0.2</v>
      </c>
      <c r="AG963" s="178">
        <f t="shared" si="1138"/>
        <v>0.2</v>
      </c>
      <c r="AH963" s="178">
        <f t="shared" si="1138"/>
        <v>0.2</v>
      </c>
      <c r="AI963" s="178">
        <f t="shared" si="1138"/>
        <v>0.2</v>
      </c>
      <c r="AJ963" s="178">
        <f t="shared" si="1138"/>
        <v>0.2</v>
      </c>
      <c r="AK963" s="178">
        <f t="shared" si="1138"/>
        <v>0.2</v>
      </c>
      <c r="AL963" s="178">
        <f t="shared" si="1138"/>
        <v>0.2</v>
      </c>
      <c r="AM963" s="178">
        <f t="shared" si="1138"/>
        <v>0.2</v>
      </c>
      <c r="AN963" s="178">
        <f t="shared" si="1138"/>
        <v>0.2</v>
      </c>
      <c r="AO963" s="178">
        <f t="shared" si="1138"/>
        <v>0.2</v>
      </c>
      <c r="AP963" s="178">
        <f t="shared" si="1138"/>
        <v>0.2</v>
      </c>
      <c r="AQ963" s="178">
        <f t="shared" si="1138"/>
        <v>0.2</v>
      </c>
      <c r="AR963" s="178">
        <f t="shared" si="1138"/>
        <v>0.2</v>
      </c>
      <c r="AS963" s="178">
        <f t="shared" si="1138"/>
        <v>0.2</v>
      </c>
      <c r="AT963" s="178">
        <f t="shared" si="1138"/>
        <v>0.2</v>
      </c>
      <c r="AU963" s="178">
        <f t="shared" si="1138"/>
        <v>0.2</v>
      </c>
      <c r="AV963" s="178">
        <f t="shared" si="1138"/>
        <v>0.2</v>
      </c>
      <c r="AW963" s="178">
        <f t="shared" si="1138"/>
        <v>0.2</v>
      </c>
      <c r="AX963" s="178">
        <f t="shared" si="1138"/>
        <v>0.2</v>
      </c>
      <c r="AY963" s="178">
        <f t="shared" si="1138"/>
        <v>0.2</v>
      </c>
      <c r="AZ963" s="178">
        <f t="shared" si="1138"/>
        <v>0.2</v>
      </c>
      <c r="BA963" s="178">
        <f t="shared" si="1138"/>
        <v>0.2</v>
      </c>
      <c r="BB963" s="178">
        <f t="shared" si="1138"/>
        <v>0.2</v>
      </c>
      <c r="BC963" s="178">
        <f t="shared" si="1138"/>
        <v>0.2</v>
      </c>
      <c r="BD963" s="178">
        <f t="shared" si="1138"/>
        <v>0.2</v>
      </c>
      <c r="BE963" s="178">
        <f t="shared" si="1138"/>
        <v>0.2</v>
      </c>
      <c r="BF963" s="178">
        <f t="shared" si="1138"/>
        <v>0.2</v>
      </c>
      <c r="BG963" s="178">
        <f t="shared" si="1138"/>
        <v>0.2</v>
      </c>
      <c r="BH963" s="178">
        <f t="shared" si="1138"/>
        <v>0.2</v>
      </c>
      <c r="BI963" s="178">
        <f t="shared" si="1138"/>
        <v>0.2</v>
      </c>
      <c r="BJ963" s="178">
        <f t="shared" si="1138"/>
        <v>0.2</v>
      </c>
      <c r="BK963" s="178">
        <f t="shared" si="1138"/>
        <v>0.2</v>
      </c>
      <c r="BL963" s="178">
        <f t="shared" si="1138"/>
        <v>0.2</v>
      </c>
      <c r="BM963" s="178">
        <f t="shared" si="1138"/>
        <v>0.2</v>
      </c>
      <c r="BN963" s="178">
        <f t="shared" si="1138"/>
        <v>0.2</v>
      </c>
      <c r="BO963" s="178">
        <f t="shared" si="1138"/>
        <v>0.2</v>
      </c>
      <c r="BP963" s="178">
        <f t="shared" si="1138"/>
        <v>0.2</v>
      </c>
      <c r="BQ963" s="178">
        <f t="shared" si="1138"/>
        <v>0.2</v>
      </c>
      <c r="BR963" s="178">
        <f t="shared" si="1138"/>
        <v>0.2</v>
      </c>
      <c r="BS963" s="178">
        <f t="shared" si="1138"/>
        <v>0.2</v>
      </c>
      <c r="BT963" s="178">
        <f t="shared" si="1138"/>
        <v>0.2</v>
      </c>
      <c r="BU963" s="178">
        <f t="shared" si="1138"/>
        <v>0.2</v>
      </c>
      <c r="BV963" s="178">
        <f t="shared" si="1138"/>
        <v>0.2</v>
      </c>
      <c r="BW963" s="178">
        <f t="shared" si="1138"/>
        <v>0.2</v>
      </c>
      <c r="BX963" s="178">
        <f t="shared" ref="BX963:CO963" si="1139">VAT_Rate_Periods</f>
        <v>0.2</v>
      </c>
      <c r="BY963" s="178">
        <f t="shared" si="1139"/>
        <v>0.2</v>
      </c>
      <c r="BZ963" s="178">
        <f t="shared" si="1139"/>
        <v>0.2</v>
      </c>
      <c r="CA963" s="178">
        <f t="shared" si="1139"/>
        <v>0.2</v>
      </c>
      <c r="CB963" s="178">
        <f t="shared" si="1139"/>
        <v>0.2</v>
      </c>
      <c r="CC963" s="178">
        <f t="shared" si="1139"/>
        <v>0.2</v>
      </c>
      <c r="CD963" s="178">
        <f t="shared" si="1139"/>
        <v>0.2</v>
      </c>
      <c r="CE963" s="178">
        <f t="shared" si="1139"/>
        <v>0.2</v>
      </c>
      <c r="CF963" s="178">
        <f t="shared" si="1139"/>
        <v>0.2</v>
      </c>
      <c r="CG963" s="178">
        <f t="shared" si="1139"/>
        <v>0.2</v>
      </c>
      <c r="CH963" s="178">
        <f t="shared" si="1139"/>
        <v>0.2</v>
      </c>
      <c r="CI963" s="178">
        <f t="shared" si="1139"/>
        <v>0.2</v>
      </c>
      <c r="CJ963" s="178">
        <f t="shared" si="1139"/>
        <v>0.2</v>
      </c>
      <c r="CK963" s="178">
        <f t="shared" si="1139"/>
        <v>0.2</v>
      </c>
      <c r="CL963" s="178">
        <f t="shared" si="1139"/>
        <v>0.2</v>
      </c>
      <c r="CM963" s="178">
        <f t="shared" si="1139"/>
        <v>0.2</v>
      </c>
      <c r="CN963" s="178">
        <f t="shared" si="1139"/>
        <v>0.2</v>
      </c>
      <c r="CO963" s="178">
        <f t="shared" si="1139"/>
        <v>0.2</v>
      </c>
    </row>
    <row r="964" spans="1:131">
      <c r="A964" s="10"/>
      <c r="B964" s="10"/>
      <c r="C964" s="40" t="s">
        <v>1078</v>
      </c>
      <c r="D964" s="10"/>
      <c r="E964" s="178">
        <f>VAT_Rate_Zero</f>
        <v>0</v>
      </c>
      <c r="F964" s="142"/>
      <c r="G964" s="142" t="s">
        <v>28</v>
      </c>
      <c r="H964" s="10"/>
      <c r="I964" s="10"/>
      <c r="J964" s="10"/>
      <c r="K964" s="10"/>
      <c r="L964" s="178">
        <f t="shared" ref="L964:AQ964" si="1140">VAT_Rate_Zero_Periods</f>
        <v>0.2</v>
      </c>
      <c r="M964" s="178">
        <f t="shared" si="1140"/>
        <v>0.2</v>
      </c>
      <c r="N964" s="178">
        <f t="shared" si="1140"/>
        <v>0.2</v>
      </c>
      <c r="O964" s="178">
        <f t="shared" si="1140"/>
        <v>0.2</v>
      </c>
      <c r="P964" s="178">
        <f t="shared" si="1140"/>
        <v>0.2</v>
      </c>
      <c r="Q964" s="178">
        <f t="shared" si="1140"/>
        <v>0.2</v>
      </c>
      <c r="R964" s="178">
        <f t="shared" si="1140"/>
        <v>0.2</v>
      </c>
      <c r="S964" s="178">
        <f t="shared" si="1140"/>
        <v>0.2</v>
      </c>
      <c r="T964" s="178">
        <f t="shared" si="1140"/>
        <v>0.2</v>
      </c>
      <c r="U964" s="178">
        <f t="shared" si="1140"/>
        <v>0.2</v>
      </c>
      <c r="V964" s="178">
        <f t="shared" si="1140"/>
        <v>0.2</v>
      </c>
      <c r="W964" s="178">
        <f t="shared" si="1140"/>
        <v>0.2</v>
      </c>
      <c r="X964" s="178">
        <f t="shared" si="1140"/>
        <v>0.2</v>
      </c>
      <c r="Y964" s="178">
        <f t="shared" si="1140"/>
        <v>0.2</v>
      </c>
      <c r="Z964" s="178">
        <f t="shared" si="1140"/>
        <v>0.2</v>
      </c>
      <c r="AA964" s="178">
        <f t="shared" si="1140"/>
        <v>0.2</v>
      </c>
      <c r="AB964" s="178">
        <f t="shared" si="1140"/>
        <v>0.2</v>
      </c>
      <c r="AC964" s="178">
        <f t="shared" si="1140"/>
        <v>0</v>
      </c>
      <c r="AD964" s="178">
        <f t="shared" si="1140"/>
        <v>0</v>
      </c>
      <c r="AE964" s="178">
        <f t="shared" si="1140"/>
        <v>0</v>
      </c>
      <c r="AF964" s="178">
        <f t="shared" si="1140"/>
        <v>0</v>
      </c>
      <c r="AG964" s="178">
        <f t="shared" si="1140"/>
        <v>0</v>
      </c>
      <c r="AH964" s="178">
        <f t="shared" si="1140"/>
        <v>0</v>
      </c>
      <c r="AI964" s="178">
        <f t="shared" si="1140"/>
        <v>0</v>
      </c>
      <c r="AJ964" s="178">
        <f t="shared" si="1140"/>
        <v>0</v>
      </c>
      <c r="AK964" s="178">
        <f t="shared" si="1140"/>
        <v>0</v>
      </c>
      <c r="AL964" s="178">
        <f t="shared" si="1140"/>
        <v>0</v>
      </c>
      <c r="AM964" s="178">
        <f t="shared" si="1140"/>
        <v>0</v>
      </c>
      <c r="AN964" s="178">
        <f t="shared" si="1140"/>
        <v>0</v>
      </c>
      <c r="AO964" s="178">
        <f t="shared" si="1140"/>
        <v>0</v>
      </c>
      <c r="AP964" s="178">
        <f t="shared" si="1140"/>
        <v>0</v>
      </c>
      <c r="AQ964" s="178">
        <f t="shared" si="1140"/>
        <v>0</v>
      </c>
      <c r="AR964" s="178">
        <f t="shared" ref="AR964:BW964" si="1141">VAT_Rate_Zero_Periods</f>
        <v>0</v>
      </c>
      <c r="AS964" s="178">
        <f t="shared" si="1141"/>
        <v>0</v>
      </c>
      <c r="AT964" s="178">
        <f t="shared" si="1141"/>
        <v>0</v>
      </c>
      <c r="AU964" s="178">
        <f t="shared" si="1141"/>
        <v>0</v>
      </c>
      <c r="AV964" s="178">
        <f t="shared" si="1141"/>
        <v>0</v>
      </c>
      <c r="AW964" s="178">
        <f t="shared" si="1141"/>
        <v>0.2</v>
      </c>
      <c r="AX964" s="178">
        <f t="shared" si="1141"/>
        <v>0.2</v>
      </c>
      <c r="AY964" s="178">
        <f t="shared" si="1141"/>
        <v>0.2</v>
      </c>
      <c r="AZ964" s="178">
        <f t="shared" si="1141"/>
        <v>0.2</v>
      </c>
      <c r="BA964" s="178">
        <f t="shared" si="1141"/>
        <v>0.2</v>
      </c>
      <c r="BB964" s="178">
        <f t="shared" si="1141"/>
        <v>0.2</v>
      </c>
      <c r="BC964" s="178">
        <f t="shared" si="1141"/>
        <v>0.2</v>
      </c>
      <c r="BD964" s="178">
        <f t="shared" si="1141"/>
        <v>0.2</v>
      </c>
      <c r="BE964" s="178">
        <f t="shared" si="1141"/>
        <v>0.2</v>
      </c>
      <c r="BF964" s="178">
        <f t="shared" si="1141"/>
        <v>0.2</v>
      </c>
      <c r="BG964" s="178">
        <f t="shared" si="1141"/>
        <v>0.2</v>
      </c>
      <c r="BH964" s="178">
        <f t="shared" si="1141"/>
        <v>0.2</v>
      </c>
      <c r="BI964" s="178">
        <f t="shared" si="1141"/>
        <v>0.2</v>
      </c>
      <c r="BJ964" s="178">
        <f t="shared" si="1141"/>
        <v>0.2</v>
      </c>
      <c r="BK964" s="178">
        <f t="shared" si="1141"/>
        <v>0.2</v>
      </c>
      <c r="BL964" s="178">
        <f t="shared" si="1141"/>
        <v>0.2</v>
      </c>
      <c r="BM964" s="178">
        <f t="shared" si="1141"/>
        <v>0.2</v>
      </c>
      <c r="BN964" s="178">
        <f t="shared" si="1141"/>
        <v>0.2</v>
      </c>
      <c r="BO964" s="178">
        <f t="shared" si="1141"/>
        <v>0.2</v>
      </c>
      <c r="BP964" s="178">
        <f t="shared" si="1141"/>
        <v>0.2</v>
      </c>
      <c r="BQ964" s="178">
        <f t="shared" si="1141"/>
        <v>0.2</v>
      </c>
      <c r="BR964" s="178">
        <f t="shared" si="1141"/>
        <v>0.2</v>
      </c>
      <c r="BS964" s="178">
        <f t="shared" si="1141"/>
        <v>0.2</v>
      </c>
      <c r="BT964" s="178">
        <f t="shared" si="1141"/>
        <v>0.2</v>
      </c>
      <c r="BU964" s="178">
        <f t="shared" si="1141"/>
        <v>0.2</v>
      </c>
      <c r="BV964" s="178">
        <f t="shared" si="1141"/>
        <v>0.2</v>
      </c>
      <c r="BW964" s="178">
        <f t="shared" si="1141"/>
        <v>0.2</v>
      </c>
      <c r="BX964" s="178">
        <f t="shared" ref="BX964:CO964" si="1142">VAT_Rate_Zero_Periods</f>
        <v>0.2</v>
      </c>
      <c r="BY964" s="178">
        <f t="shared" si="1142"/>
        <v>0.2</v>
      </c>
      <c r="BZ964" s="178">
        <f t="shared" si="1142"/>
        <v>0.2</v>
      </c>
      <c r="CA964" s="178">
        <f t="shared" si="1142"/>
        <v>0.2</v>
      </c>
      <c r="CB964" s="178">
        <f t="shared" si="1142"/>
        <v>0.2</v>
      </c>
      <c r="CC964" s="178">
        <f t="shared" si="1142"/>
        <v>0.2</v>
      </c>
      <c r="CD964" s="178">
        <f t="shared" si="1142"/>
        <v>0.2</v>
      </c>
      <c r="CE964" s="178">
        <f t="shared" si="1142"/>
        <v>0.2</v>
      </c>
      <c r="CF964" s="178">
        <f t="shared" si="1142"/>
        <v>0.2</v>
      </c>
      <c r="CG964" s="178">
        <f t="shared" si="1142"/>
        <v>0.2</v>
      </c>
      <c r="CH964" s="178">
        <f t="shared" si="1142"/>
        <v>0.2</v>
      </c>
      <c r="CI964" s="178">
        <f t="shared" si="1142"/>
        <v>0.2</v>
      </c>
      <c r="CJ964" s="178">
        <f t="shared" si="1142"/>
        <v>0.2</v>
      </c>
      <c r="CK964" s="178">
        <f t="shared" si="1142"/>
        <v>0.2</v>
      </c>
      <c r="CL964" s="178">
        <f t="shared" si="1142"/>
        <v>0.2</v>
      </c>
      <c r="CM964" s="178">
        <f t="shared" si="1142"/>
        <v>0.2</v>
      </c>
      <c r="CN964" s="178">
        <f t="shared" si="1142"/>
        <v>0.2</v>
      </c>
      <c r="CO964" s="178">
        <f t="shared" si="1142"/>
        <v>0.2</v>
      </c>
    </row>
    <row r="965" spans="1:131">
      <c r="A965" s="10"/>
      <c r="B965" s="10"/>
      <c r="C965" s="40" t="s">
        <v>1079</v>
      </c>
      <c r="D965" s="10"/>
      <c r="E965" s="184">
        <f>Предпосылки!E611</f>
        <v>5</v>
      </c>
      <c r="F965" s="10"/>
      <c r="G965" s="11" t="s">
        <v>123</v>
      </c>
      <c r="H965" s="10"/>
      <c r="I965" s="10"/>
      <c r="J965" s="10"/>
      <c r="K965" s="10"/>
      <c r="L965" s="10">
        <f t="shared" ref="L965:AQ965" si="1143" xml:space="preserve"> (Count_Operations_Periods &lt;=$E965*Periods_in_Year) * Flag_Operations</f>
        <v>0</v>
      </c>
      <c r="M965" s="10">
        <f t="shared" si="1143"/>
        <v>0</v>
      </c>
      <c r="N965" s="10">
        <f t="shared" si="1143"/>
        <v>0</v>
      </c>
      <c r="O965" s="10">
        <f t="shared" si="1143"/>
        <v>0</v>
      </c>
      <c r="P965" s="10">
        <f t="shared" si="1143"/>
        <v>0</v>
      </c>
      <c r="Q965" s="10">
        <f t="shared" si="1143"/>
        <v>0</v>
      </c>
      <c r="R965" s="10">
        <f t="shared" si="1143"/>
        <v>0</v>
      </c>
      <c r="S965" s="10">
        <f t="shared" si="1143"/>
        <v>0</v>
      </c>
      <c r="T965" s="10">
        <f t="shared" si="1143"/>
        <v>0</v>
      </c>
      <c r="U965" s="10">
        <f t="shared" si="1143"/>
        <v>0</v>
      </c>
      <c r="V965" s="10">
        <f t="shared" si="1143"/>
        <v>0</v>
      </c>
      <c r="W965" s="10">
        <f t="shared" si="1143"/>
        <v>0</v>
      </c>
      <c r="X965" s="10">
        <f t="shared" si="1143"/>
        <v>0</v>
      </c>
      <c r="Y965" s="10">
        <f t="shared" si="1143"/>
        <v>0</v>
      </c>
      <c r="Z965" s="10">
        <f t="shared" si="1143"/>
        <v>0</v>
      </c>
      <c r="AA965" s="10">
        <f t="shared" si="1143"/>
        <v>0</v>
      </c>
      <c r="AB965" s="10">
        <f t="shared" si="1143"/>
        <v>0</v>
      </c>
      <c r="AC965" s="10">
        <f t="shared" si="1143"/>
        <v>1</v>
      </c>
      <c r="AD965" s="10">
        <f t="shared" si="1143"/>
        <v>1</v>
      </c>
      <c r="AE965" s="10">
        <f t="shared" si="1143"/>
        <v>1</v>
      </c>
      <c r="AF965" s="10">
        <f t="shared" si="1143"/>
        <v>1</v>
      </c>
      <c r="AG965" s="10">
        <f t="shared" si="1143"/>
        <v>1</v>
      </c>
      <c r="AH965" s="10">
        <f t="shared" si="1143"/>
        <v>1</v>
      </c>
      <c r="AI965" s="10">
        <f t="shared" si="1143"/>
        <v>1</v>
      </c>
      <c r="AJ965" s="10">
        <f t="shared" si="1143"/>
        <v>1</v>
      </c>
      <c r="AK965" s="10">
        <f t="shared" si="1143"/>
        <v>1</v>
      </c>
      <c r="AL965" s="10">
        <f t="shared" si="1143"/>
        <v>1</v>
      </c>
      <c r="AM965" s="10">
        <f t="shared" si="1143"/>
        <v>1</v>
      </c>
      <c r="AN965" s="10">
        <f t="shared" si="1143"/>
        <v>1</v>
      </c>
      <c r="AO965" s="10">
        <f t="shared" si="1143"/>
        <v>1</v>
      </c>
      <c r="AP965" s="10">
        <f t="shared" si="1143"/>
        <v>1</v>
      </c>
      <c r="AQ965" s="10">
        <f t="shared" si="1143"/>
        <v>1</v>
      </c>
      <c r="AR965" s="10">
        <f t="shared" ref="AR965:BW965" si="1144" xml:space="preserve"> (Count_Operations_Periods &lt;=$E965*Periods_in_Year) * Flag_Operations</f>
        <v>1</v>
      </c>
      <c r="AS965" s="10">
        <f t="shared" si="1144"/>
        <v>1</v>
      </c>
      <c r="AT965" s="10">
        <f t="shared" si="1144"/>
        <v>1</v>
      </c>
      <c r="AU965" s="10">
        <f t="shared" si="1144"/>
        <v>1</v>
      </c>
      <c r="AV965" s="10">
        <f t="shared" si="1144"/>
        <v>1</v>
      </c>
      <c r="AW965" s="10">
        <f t="shared" si="1144"/>
        <v>0</v>
      </c>
      <c r="AX965" s="10">
        <f t="shared" si="1144"/>
        <v>0</v>
      </c>
      <c r="AY965" s="10">
        <f t="shared" si="1144"/>
        <v>0</v>
      </c>
      <c r="AZ965" s="10">
        <f t="shared" si="1144"/>
        <v>0</v>
      </c>
      <c r="BA965" s="10">
        <f t="shared" si="1144"/>
        <v>0</v>
      </c>
      <c r="BB965" s="10">
        <f t="shared" si="1144"/>
        <v>0</v>
      </c>
      <c r="BC965" s="10">
        <f t="shared" si="1144"/>
        <v>0</v>
      </c>
      <c r="BD965" s="10">
        <f t="shared" si="1144"/>
        <v>0</v>
      </c>
      <c r="BE965" s="10">
        <f t="shared" si="1144"/>
        <v>0</v>
      </c>
      <c r="BF965" s="10">
        <f t="shared" si="1144"/>
        <v>0</v>
      </c>
      <c r="BG965" s="10">
        <f t="shared" si="1144"/>
        <v>0</v>
      </c>
      <c r="BH965" s="10">
        <f t="shared" si="1144"/>
        <v>0</v>
      </c>
      <c r="BI965" s="10">
        <f t="shared" si="1144"/>
        <v>0</v>
      </c>
      <c r="BJ965" s="10">
        <f t="shared" si="1144"/>
        <v>0</v>
      </c>
      <c r="BK965" s="10">
        <f t="shared" si="1144"/>
        <v>0</v>
      </c>
      <c r="BL965" s="10">
        <f t="shared" si="1144"/>
        <v>0</v>
      </c>
      <c r="BM965" s="10">
        <f t="shared" si="1144"/>
        <v>0</v>
      </c>
      <c r="BN965" s="10">
        <f t="shared" si="1144"/>
        <v>0</v>
      </c>
      <c r="BO965" s="10">
        <f t="shared" si="1144"/>
        <v>0</v>
      </c>
      <c r="BP965" s="10">
        <f t="shared" si="1144"/>
        <v>0</v>
      </c>
      <c r="BQ965" s="10">
        <f t="shared" si="1144"/>
        <v>0</v>
      </c>
      <c r="BR965" s="10">
        <f t="shared" si="1144"/>
        <v>0</v>
      </c>
      <c r="BS965" s="10">
        <f t="shared" si="1144"/>
        <v>0</v>
      </c>
      <c r="BT965" s="10">
        <f t="shared" si="1144"/>
        <v>0</v>
      </c>
      <c r="BU965" s="10">
        <f t="shared" si="1144"/>
        <v>0</v>
      </c>
      <c r="BV965" s="10">
        <f t="shared" si="1144"/>
        <v>0</v>
      </c>
      <c r="BW965" s="10">
        <f t="shared" si="1144"/>
        <v>0</v>
      </c>
      <c r="BX965" s="10">
        <f t="shared" ref="BX965:CO965" si="1145" xml:space="preserve"> (Count_Operations_Periods &lt;=$E965*Periods_in_Year) * Flag_Operations</f>
        <v>0</v>
      </c>
      <c r="BY965" s="10">
        <f t="shared" si="1145"/>
        <v>0</v>
      </c>
      <c r="BZ965" s="10">
        <f t="shared" si="1145"/>
        <v>0</v>
      </c>
      <c r="CA965" s="10">
        <f t="shared" si="1145"/>
        <v>0</v>
      </c>
      <c r="CB965" s="10">
        <f t="shared" si="1145"/>
        <v>0</v>
      </c>
      <c r="CC965" s="10">
        <f t="shared" si="1145"/>
        <v>0</v>
      </c>
      <c r="CD965" s="10">
        <f t="shared" si="1145"/>
        <v>0</v>
      </c>
      <c r="CE965" s="10">
        <f t="shared" si="1145"/>
        <v>0</v>
      </c>
      <c r="CF965" s="10">
        <f t="shared" si="1145"/>
        <v>0</v>
      </c>
      <c r="CG965" s="10">
        <f t="shared" si="1145"/>
        <v>0</v>
      </c>
      <c r="CH965" s="10">
        <f t="shared" si="1145"/>
        <v>0</v>
      </c>
      <c r="CI965" s="10">
        <f t="shared" si="1145"/>
        <v>0</v>
      </c>
      <c r="CJ965" s="10">
        <f t="shared" si="1145"/>
        <v>0</v>
      </c>
      <c r="CK965" s="10">
        <f t="shared" si="1145"/>
        <v>0</v>
      </c>
      <c r="CL965" s="10">
        <f t="shared" si="1145"/>
        <v>0</v>
      </c>
      <c r="CM965" s="10">
        <f t="shared" si="1145"/>
        <v>0</v>
      </c>
      <c r="CN965" s="10">
        <f t="shared" si="1145"/>
        <v>0</v>
      </c>
      <c r="CO965" s="10">
        <f t="shared" si="1145"/>
        <v>0</v>
      </c>
    </row>
    <row r="966" spans="1:131">
      <c r="A966" s="10"/>
      <c r="B966" s="10"/>
      <c r="C966" s="10"/>
      <c r="D966" s="10"/>
      <c r="E966" s="62"/>
      <c r="F966" s="10"/>
      <c r="G966" s="11"/>
      <c r="H966" s="11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  <c r="BA966" s="10"/>
      <c r="BB966" s="10"/>
      <c r="BC966" s="10"/>
      <c r="BD966" s="10"/>
      <c r="BE966" s="10"/>
      <c r="BF966" s="10"/>
      <c r="BG966" s="10"/>
      <c r="BH966" s="10"/>
      <c r="BI966" s="10"/>
      <c r="BJ966" s="10"/>
      <c r="BK966" s="10"/>
      <c r="BL966" s="10"/>
      <c r="BM966" s="10"/>
      <c r="BN966" s="10"/>
      <c r="BO966" s="10"/>
      <c r="BP966" s="10"/>
      <c r="BQ966" s="10"/>
      <c r="BR966" s="10"/>
      <c r="BS966" s="10"/>
      <c r="BT966" s="10"/>
      <c r="BU966" s="10"/>
      <c r="BV966" s="10"/>
      <c r="BW966" s="10"/>
      <c r="BX966" s="10"/>
      <c r="BY966" s="10"/>
      <c r="BZ966" s="10"/>
      <c r="CA966" s="10"/>
      <c r="CB966" s="10"/>
      <c r="CC966" s="10"/>
      <c r="CD966" s="10"/>
      <c r="CE966" s="10"/>
      <c r="CF966" s="10"/>
      <c r="CG966" s="10"/>
      <c r="CH966" s="10"/>
      <c r="CI966" s="10"/>
      <c r="CJ966" s="10"/>
      <c r="CK966" s="10"/>
      <c r="CL966" s="10"/>
      <c r="CM966" s="10"/>
      <c r="CN966" s="10"/>
      <c r="CO966" s="10"/>
    </row>
    <row r="967" spans="1:131">
      <c r="A967" s="10"/>
      <c r="B967" s="10"/>
      <c r="C967" s="87" t="s">
        <v>145</v>
      </c>
      <c r="D967" s="10"/>
      <c r="E967" s="62"/>
      <c r="F967" s="10"/>
      <c r="G967" s="11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  <c r="BA967" s="10"/>
      <c r="BB967" s="10"/>
      <c r="BC967" s="10"/>
      <c r="BD967" s="10"/>
      <c r="BE967" s="10"/>
      <c r="BF967" s="10"/>
      <c r="BG967" s="10"/>
      <c r="BH967" s="10"/>
      <c r="BI967" s="10"/>
      <c r="BJ967" s="10"/>
      <c r="BK967" s="10"/>
      <c r="BL967" s="10"/>
      <c r="BM967" s="10"/>
      <c r="BN967" s="10"/>
      <c r="BO967" s="10"/>
      <c r="BP967" s="10"/>
      <c r="BQ967" s="10"/>
      <c r="BR967" s="10"/>
      <c r="BS967" s="10"/>
      <c r="BT967" s="10"/>
      <c r="BU967" s="10"/>
      <c r="BV967" s="10"/>
      <c r="BW967" s="10"/>
      <c r="BX967" s="10"/>
      <c r="BY967" s="10"/>
      <c r="BZ967" s="10"/>
      <c r="CA967" s="10"/>
      <c r="CB967" s="10"/>
      <c r="CC967" s="10"/>
      <c r="CD967" s="10"/>
      <c r="CE967" s="10"/>
      <c r="CF967" s="10"/>
      <c r="CG967" s="10"/>
      <c r="CH967" s="10"/>
      <c r="CI967" s="10"/>
      <c r="CJ967" s="10"/>
      <c r="CK967" s="10"/>
      <c r="CL967" s="10"/>
      <c r="CM967" s="10"/>
      <c r="CN967" s="10"/>
      <c r="CO967" s="10"/>
    </row>
    <row r="968" spans="1:131">
      <c r="A968" s="10"/>
      <c r="B968" s="10"/>
      <c r="C968" s="17" t="s">
        <v>146</v>
      </c>
      <c r="D968" s="10"/>
      <c r="E968" s="62"/>
      <c r="F968" s="10"/>
      <c r="G968" s="134" t="str">
        <f>Monetary_Unit</f>
        <v>тыс. руб.</v>
      </c>
      <c r="H968" s="10"/>
      <c r="I968" s="10"/>
      <c r="J968" s="10"/>
      <c r="K968" s="10"/>
      <c r="L968" s="10">
        <f t="shared" ref="L968:AQ968" si="1146">K972</f>
        <v>0</v>
      </c>
      <c r="M968" s="10">
        <f t="shared" ca="1" si="1146"/>
        <v>0</v>
      </c>
      <c r="N968" s="10">
        <f t="shared" ca="1" si="1146"/>
        <v>0</v>
      </c>
      <c r="O968" s="10">
        <f t="shared" ca="1" si="1146"/>
        <v>0</v>
      </c>
      <c r="P968" s="10">
        <f t="shared" ca="1" si="1146"/>
        <v>0</v>
      </c>
      <c r="Q968" s="10">
        <f t="shared" ca="1" si="1146"/>
        <v>0</v>
      </c>
      <c r="R968" s="10">
        <f t="shared" ca="1" si="1146"/>
        <v>0</v>
      </c>
      <c r="S968" s="10">
        <f t="shared" ca="1" si="1146"/>
        <v>0</v>
      </c>
      <c r="T968" s="10">
        <f t="shared" ca="1" si="1146"/>
        <v>0</v>
      </c>
      <c r="U968" s="10">
        <f t="shared" ca="1" si="1146"/>
        <v>0</v>
      </c>
      <c r="V968" s="10">
        <f t="shared" ca="1" si="1146"/>
        <v>0</v>
      </c>
      <c r="W968" s="10">
        <f t="shared" ca="1" si="1146"/>
        <v>0</v>
      </c>
      <c r="X968" s="10">
        <f t="shared" ca="1" si="1146"/>
        <v>0</v>
      </c>
      <c r="Y968" s="10">
        <f t="shared" ca="1" si="1146"/>
        <v>0</v>
      </c>
      <c r="Z968" s="10">
        <f t="shared" ca="1" si="1146"/>
        <v>0</v>
      </c>
      <c r="AA968" s="10">
        <f t="shared" ca="1" si="1146"/>
        <v>0</v>
      </c>
      <c r="AB968" s="10">
        <f t="shared" ca="1" si="1146"/>
        <v>0</v>
      </c>
      <c r="AC968" s="10">
        <f t="shared" ca="1" si="1146"/>
        <v>0</v>
      </c>
      <c r="AD968" s="10">
        <f t="shared" ca="1" si="1146"/>
        <v>0</v>
      </c>
      <c r="AE968" s="10">
        <f t="shared" ca="1" si="1146"/>
        <v>0</v>
      </c>
      <c r="AF968" s="10">
        <f t="shared" ca="1" si="1146"/>
        <v>0</v>
      </c>
      <c r="AG968" s="10">
        <f t="shared" ca="1" si="1146"/>
        <v>0</v>
      </c>
      <c r="AH968" s="10">
        <f t="shared" ca="1" si="1146"/>
        <v>0</v>
      </c>
      <c r="AI968" s="10">
        <f t="shared" ca="1" si="1146"/>
        <v>0</v>
      </c>
      <c r="AJ968" s="10">
        <f t="shared" ca="1" si="1146"/>
        <v>0</v>
      </c>
      <c r="AK968" s="10">
        <f t="shared" ca="1" si="1146"/>
        <v>0</v>
      </c>
      <c r="AL968" s="10">
        <f t="shared" ca="1" si="1146"/>
        <v>0</v>
      </c>
      <c r="AM968" s="10">
        <f t="shared" ca="1" si="1146"/>
        <v>0</v>
      </c>
      <c r="AN968" s="10">
        <f t="shared" ca="1" si="1146"/>
        <v>0</v>
      </c>
      <c r="AO968" s="10">
        <f t="shared" ca="1" si="1146"/>
        <v>0</v>
      </c>
      <c r="AP968" s="10">
        <f t="shared" ca="1" si="1146"/>
        <v>0</v>
      </c>
      <c r="AQ968" s="10">
        <f t="shared" ca="1" si="1146"/>
        <v>0</v>
      </c>
      <c r="AR968" s="10">
        <f t="shared" ref="AR968:BW968" ca="1" si="1147">AQ972</f>
        <v>0</v>
      </c>
      <c r="AS968" s="10">
        <f t="shared" ca="1" si="1147"/>
        <v>0</v>
      </c>
      <c r="AT968" s="10">
        <f t="shared" ca="1" si="1147"/>
        <v>0</v>
      </c>
      <c r="AU968" s="10">
        <f t="shared" ca="1" si="1147"/>
        <v>0</v>
      </c>
      <c r="AV968" s="10">
        <f t="shared" ca="1" si="1147"/>
        <v>0</v>
      </c>
      <c r="AW968" s="10">
        <f t="shared" ca="1" si="1147"/>
        <v>0</v>
      </c>
      <c r="AX968" s="10">
        <f t="shared" ca="1" si="1147"/>
        <v>46479.25438646238</v>
      </c>
      <c r="AY968" s="10">
        <f t="shared" ca="1" si="1147"/>
        <v>87172.977251210803</v>
      </c>
      <c r="AZ968" s="10">
        <f t="shared" ca="1" si="1147"/>
        <v>30782.112161338227</v>
      </c>
      <c r="BA968" s="10">
        <f t="shared" ca="1" si="1147"/>
        <v>26999.055032837514</v>
      </c>
      <c r="BB968" s="10">
        <f t="shared" ca="1" si="1147"/>
        <v>48338.424561920867</v>
      </c>
      <c r="BC968" s="10">
        <f t="shared" ca="1" si="1147"/>
        <v>90659.896341259184</v>
      </c>
      <c r="BD968" s="10">
        <f t="shared" ca="1" si="1147"/>
        <v>32013.396647791713</v>
      </c>
      <c r="BE968" s="10">
        <f t="shared" ca="1" si="1147"/>
        <v>28391.16515648651</v>
      </c>
      <c r="BF968" s="10">
        <f t="shared" ca="1" si="1147"/>
        <v>50272.121951488123</v>
      </c>
      <c r="BG968" s="10">
        <f t="shared" ca="1" si="1147"/>
        <v>94286.455962640233</v>
      </c>
      <c r="BH968" s="10">
        <f t="shared" ca="1" si="1147"/>
        <v>33294.097895104147</v>
      </c>
      <c r="BI968" s="10">
        <f t="shared" ca="1" si="1147"/>
        <v>29202.177923517032</v>
      </c>
      <c r="BJ968" s="10">
        <f t="shared" ca="1" si="1147"/>
        <v>52282.840006173567</v>
      </c>
      <c r="BK968" s="10">
        <f t="shared" ca="1" si="1147"/>
        <v>98057.743882705865</v>
      </c>
      <c r="BL968" s="10">
        <f t="shared" ca="1" si="1147"/>
        <v>34625.689814251542</v>
      </c>
      <c r="BM968" s="10">
        <f t="shared" ca="1" si="1147"/>
        <v>30370.265040457743</v>
      </c>
      <c r="BN968" s="10">
        <f t="shared" ca="1" si="1147"/>
        <v>54374.153606420543</v>
      </c>
      <c r="BO968" s="10">
        <f t="shared" ca="1" si="1147"/>
        <v>101980.05363801408</v>
      </c>
      <c r="BP968" s="10">
        <f t="shared" ca="1" si="1147"/>
        <v>36010.717406821597</v>
      </c>
      <c r="BQ968" s="10">
        <f t="shared" ca="1" si="1147"/>
        <v>31585.075642076044</v>
      </c>
      <c r="BR968" s="10">
        <f t="shared" ca="1" si="1147"/>
        <v>56549.119750677346</v>
      </c>
      <c r="BS968" s="10">
        <f t="shared" ca="1" si="1147"/>
        <v>106059.2557835347</v>
      </c>
      <c r="BT968" s="10">
        <f t="shared" ca="1" si="1147"/>
        <v>37451.146103094463</v>
      </c>
      <c r="BU968" s="10">
        <f t="shared" ca="1" si="1147"/>
        <v>33213.647586689505</v>
      </c>
      <c r="BV968" s="10">
        <f t="shared" ca="1" si="1147"/>
        <v>58811.272194312267</v>
      </c>
      <c r="BW968" s="10">
        <f t="shared" ca="1" si="1147"/>
        <v>110301.81759995769</v>
      </c>
      <c r="BX968" s="10">
        <f t="shared" ref="BX968:CO968" ca="1" si="1148">BW972</f>
        <v>38949.385420065606</v>
      </c>
      <c r="BY968" s="10">
        <f t="shared" ca="1" si="1148"/>
        <v>34162.41781446946</v>
      </c>
      <c r="BZ968" s="10">
        <f t="shared" ca="1" si="1148"/>
        <v>61163.527922332636</v>
      </c>
      <c r="CA968" s="10">
        <f t="shared" ca="1" si="1148"/>
        <v>114713.69105547111</v>
      </c>
      <c r="CB968" s="10">
        <f t="shared" ca="1" si="1148"/>
        <v>40507.159625107</v>
      </c>
      <c r="CC968" s="10">
        <f t="shared" ca="1" si="1148"/>
        <v>35528.914527048248</v>
      </c>
      <c r="CD968" s="10">
        <f t="shared" ca="1" si="1148"/>
        <v>63610.069039225935</v>
      </c>
      <c r="CE968" s="10">
        <f t="shared" ca="1" si="1148"/>
        <v>119302.23869768993</v>
      </c>
      <c r="CF968" s="10">
        <f t="shared" ca="1" si="1148"/>
        <v>42127.446010111264</v>
      </c>
      <c r="CG968" s="10">
        <f t="shared" ca="1" si="1148"/>
        <v>36950.071108130171</v>
      </c>
      <c r="CH968" s="10">
        <f t="shared" ca="1" si="1148"/>
        <v>66154.471800794956</v>
      </c>
      <c r="CI968" s="10">
        <f t="shared" ca="1" si="1148"/>
        <v>124074.32824559751</v>
      </c>
      <c r="CJ968" s="10">
        <f t="shared" ca="1" si="1148"/>
        <v>43812.543850515722</v>
      </c>
      <c r="CK968" s="10">
        <f t="shared" ca="1" si="1148"/>
        <v>38855.269938112076</v>
      </c>
      <c r="CL968" s="10">
        <f t="shared" ca="1" si="1148"/>
        <v>68800.870201006168</v>
      </c>
      <c r="CM968" s="10">
        <f t="shared" ca="1" si="1148"/>
        <v>129037.52550286916</v>
      </c>
      <c r="CN968" s="10">
        <f t="shared" ca="1" si="1148"/>
        <v>45565.271940402919</v>
      </c>
      <c r="CO968" s="10">
        <f t="shared" ca="1" si="1148"/>
        <v>39965.196910553583</v>
      </c>
    </row>
    <row r="969" spans="1:131">
      <c r="A969" s="10"/>
      <c r="B969" s="10"/>
      <c r="C969" s="17" t="s">
        <v>147</v>
      </c>
      <c r="D969" s="10"/>
      <c r="E969" s="62"/>
      <c r="F969" s="10"/>
      <c r="G969" s="134" t="str">
        <f>Monetary_Unit</f>
        <v>тыс. руб.</v>
      </c>
      <c r="H969" s="10"/>
      <c r="I969" s="23">
        <f ca="1">SUM(L969:CO969)</f>
        <v>2654397.0096364855</v>
      </c>
      <c r="J969" s="10"/>
      <c r="K969" s="10"/>
      <c r="L969" s="10">
        <f ca="1">MAX(L961,0)</f>
        <v>0</v>
      </c>
      <c r="M969" s="10">
        <f t="shared" ref="M969:BX969" ca="1" si="1149">MAX(M961,0)</f>
        <v>0</v>
      </c>
      <c r="N969" s="10">
        <f t="shared" ca="1" si="1149"/>
        <v>0</v>
      </c>
      <c r="O969" s="10">
        <f t="shared" ca="1" si="1149"/>
        <v>0</v>
      </c>
      <c r="P969" s="10">
        <f t="shared" ca="1" si="1149"/>
        <v>0</v>
      </c>
      <c r="Q969" s="10">
        <f t="shared" ca="1" si="1149"/>
        <v>0</v>
      </c>
      <c r="R969" s="10">
        <f t="shared" ca="1" si="1149"/>
        <v>0</v>
      </c>
      <c r="S969" s="10">
        <f t="shared" ca="1" si="1149"/>
        <v>0</v>
      </c>
      <c r="T969" s="10">
        <f t="shared" ca="1" si="1149"/>
        <v>0</v>
      </c>
      <c r="U969" s="10">
        <f t="shared" ca="1" si="1149"/>
        <v>0</v>
      </c>
      <c r="V969" s="10">
        <f t="shared" ca="1" si="1149"/>
        <v>0</v>
      </c>
      <c r="W969" s="10">
        <f t="shared" ca="1" si="1149"/>
        <v>0</v>
      </c>
      <c r="X969" s="10">
        <f t="shared" ca="1" si="1149"/>
        <v>0</v>
      </c>
      <c r="Y969" s="10">
        <f t="shared" ca="1" si="1149"/>
        <v>0</v>
      </c>
      <c r="Z969" s="10">
        <f t="shared" ca="1" si="1149"/>
        <v>0</v>
      </c>
      <c r="AA969" s="10">
        <f t="shared" ca="1" si="1149"/>
        <v>0</v>
      </c>
      <c r="AB969" s="10">
        <f t="shared" ca="1" si="1149"/>
        <v>0</v>
      </c>
      <c r="AC969" s="10">
        <f t="shared" ca="1" si="1149"/>
        <v>0</v>
      </c>
      <c r="AD969" s="10">
        <f t="shared" ca="1" si="1149"/>
        <v>0</v>
      </c>
      <c r="AE969" s="10">
        <f t="shared" ca="1" si="1149"/>
        <v>0</v>
      </c>
      <c r="AF969" s="10">
        <f t="shared" ca="1" si="1149"/>
        <v>0</v>
      </c>
      <c r="AG969" s="10">
        <f t="shared" ca="1" si="1149"/>
        <v>0</v>
      </c>
      <c r="AH969" s="10">
        <f t="shared" ca="1" si="1149"/>
        <v>0</v>
      </c>
      <c r="AI969" s="10">
        <f t="shared" ca="1" si="1149"/>
        <v>0</v>
      </c>
      <c r="AJ969" s="10">
        <f t="shared" ca="1" si="1149"/>
        <v>0</v>
      </c>
      <c r="AK969" s="10">
        <f t="shared" ca="1" si="1149"/>
        <v>0</v>
      </c>
      <c r="AL969" s="10">
        <f t="shared" ca="1" si="1149"/>
        <v>0</v>
      </c>
      <c r="AM969" s="10">
        <f t="shared" ca="1" si="1149"/>
        <v>0</v>
      </c>
      <c r="AN969" s="10">
        <f t="shared" ca="1" si="1149"/>
        <v>0</v>
      </c>
      <c r="AO969" s="10">
        <f t="shared" ca="1" si="1149"/>
        <v>0</v>
      </c>
      <c r="AP969" s="10">
        <f t="shared" ca="1" si="1149"/>
        <v>0</v>
      </c>
      <c r="AQ969" s="10">
        <f t="shared" ca="1" si="1149"/>
        <v>0</v>
      </c>
      <c r="AR969" s="10">
        <f t="shared" ca="1" si="1149"/>
        <v>0</v>
      </c>
      <c r="AS969" s="10">
        <f t="shared" ca="1" si="1149"/>
        <v>0</v>
      </c>
      <c r="AT969" s="10">
        <f t="shared" ca="1" si="1149"/>
        <v>0</v>
      </c>
      <c r="AU969" s="10">
        <f t="shared" ca="1" si="1149"/>
        <v>0</v>
      </c>
      <c r="AV969" s="10">
        <f t="shared" ca="1" si="1149"/>
        <v>0</v>
      </c>
      <c r="AW969" s="10">
        <f t="shared" ca="1" si="1149"/>
        <v>46479.25438646238</v>
      </c>
      <c r="AX969" s="10">
        <f t="shared" ca="1" si="1149"/>
        <v>87172.977251210803</v>
      </c>
      <c r="AY969" s="10">
        <f t="shared" ca="1" si="1149"/>
        <v>30782.112161338224</v>
      </c>
      <c r="AZ969" s="10">
        <f t="shared" ca="1" si="1149"/>
        <v>26999.055032837514</v>
      </c>
      <c r="BA969" s="10">
        <f t="shared" ca="1" si="1149"/>
        <v>48338.424561920867</v>
      </c>
      <c r="BB969" s="10">
        <f t="shared" ca="1" si="1149"/>
        <v>90659.896341259198</v>
      </c>
      <c r="BC969" s="10">
        <f t="shared" ca="1" si="1149"/>
        <v>32013.396647791735</v>
      </c>
      <c r="BD969" s="10">
        <f t="shared" ca="1" si="1149"/>
        <v>28391.165156486535</v>
      </c>
      <c r="BE969" s="10">
        <f t="shared" ca="1" si="1149"/>
        <v>50272.121951488145</v>
      </c>
      <c r="BF969" s="10">
        <f t="shared" ca="1" si="1149"/>
        <v>94286.455962640262</v>
      </c>
      <c r="BG969" s="10">
        <f t="shared" ca="1" si="1149"/>
        <v>33294.097895104176</v>
      </c>
      <c r="BH969" s="10">
        <f t="shared" ca="1" si="1149"/>
        <v>29202.177923517062</v>
      </c>
      <c r="BI969" s="10">
        <f t="shared" ca="1" si="1149"/>
        <v>52282.840006173588</v>
      </c>
      <c r="BJ969" s="10">
        <f t="shared" ca="1" si="1149"/>
        <v>98057.74388270588</v>
      </c>
      <c r="BK969" s="10">
        <f t="shared" ca="1" si="1149"/>
        <v>34625.689814251542</v>
      </c>
      <c r="BL969" s="10">
        <f t="shared" ca="1" si="1149"/>
        <v>30370.265040457743</v>
      </c>
      <c r="BM969" s="10">
        <f t="shared" ca="1" si="1149"/>
        <v>54374.153606420543</v>
      </c>
      <c r="BN969" s="10">
        <f t="shared" ca="1" si="1149"/>
        <v>101980.05363801408</v>
      </c>
      <c r="BO969" s="10">
        <f t="shared" ca="1" si="1149"/>
        <v>36010.717406821597</v>
      </c>
      <c r="BP969" s="10">
        <f t="shared" ca="1" si="1149"/>
        <v>31585.075642076044</v>
      </c>
      <c r="BQ969" s="10">
        <f t="shared" ca="1" si="1149"/>
        <v>56549.119750677346</v>
      </c>
      <c r="BR969" s="10">
        <f t="shared" ca="1" si="1149"/>
        <v>106059.25578353468</v>
      </c>
      <c r="BS969" s="10">
        <f t="shared" ca="1" si="1149"/>
        <v>37451.146103094448</v>
      </c>
      <c r="BT969" s="10">
        <f t="shared" ca="1" si="1149"/>
        <v>33213.647586689483</v>
      </c>
      <c r="BU969" s="10">
        <f t="shared" ca="1" si="1149"/>
        <v>58811.272194312245</v>
      </c>
      <c r="BV969" s="10">
        <f t="shared" ca="1" si="1149"/>
        <v>110301.81759995766</v>
      </c>
      <c r="BW969" s="10">
        <f t="shared" ca="1" si="1149"/>
        <v>38949.385420065577</v>
      </c>
      <c r="BX969" s="10">
        <f t="shared" ca="1" si="1149"/>
        <v>34162.417814469431</v>
      </c>
      <c r="BY969" s="10">
        <f t="shared" ref="BY969:CO969" ca="1" si="1150">MAX(BY961,0)</f>
        <v>61163.527922332607</v>
      </c>
      <c r="BZ969" s="10">
        <f t="shared" ca="1" si="1150"/>
        <v>114713.69105547106</v>
      </c>
      <c r="CA969" s="10">
        <f t="shared" ca="1" si="1150"/>
        <v>40507.15962510695</v>
      </c>
      <c r="CB969" s="10">
        <f t="shared" ca="1" si="1150"/>
        <v>35528.914527048204</v>
      </c>
      <c r="CC969" s="10">
        <f t="shared" ca="1" si="1150"/>
        <v>63610.069039225898</v>
      </c>
      <c r="CD969" s="10">
        <f t="shared" ca="1" si="1150"/>
        <v>119302.23869768989</v>
      </c>
      <c r="CE969" s="10">
        <f t="shared" ca="1" si="1150"/>
        <v>42127.44601011122</v>
      </c>
      <c r="CF969" s="10">
        <f t="shared" ca="1" si="1150"/>
        <v>36950.071108130127</v>
      </c>
      <c r="CG969" s="10">
        <f t="shared" ca="1" si="1150"/>
        <v>66154.471800794912</v>
      </c>
      <c r="CH969" s="10">
        <f t="shared" ca="1" si="1150"/>
        <v>124074.32824559747</v>
      </c>
      <c r="CI969" s="10">
        <f t="shared" ca="1" si="1150"/>
        <v>43812.543850515678</v>
      </c>
      <c r="CJ969" s="10">
        <f t="shared" ca="1" si="1150"/>
        <v>38855.269938112033</v>
      </c>
      <c r="CK969" s="10">
        <f t="shared" ca="1" si="1150"/>
        <v>68800.870201006124</v>
      </c>
      <c r="CL969" s="10">
        <f t="shared" ca="1" si="1150"/>
        <v>129037.52550286913</v>
      </c>
      <c r="CM969" s="10">
        <f t="shared" ca="1" si="1150"/>
        <v>45565.27194040289</v>
      </c>
      <c r="CN969" s="10">
        <f t="shared" ca="1" si="1150"/>
        <v>39965.196910553546</v>
      </c>
      <c r="CO969" s="10">
        <f t="shared" ca="1" si="1150"/>
        <v>71552.676699739794</v>
      </c>
    </row>
    <row r="970" spans="1:131">
      <c r="A970" s="10"/>
      <c r="B970" s="10"/>
      <c r="C970" s="17" t="s">
        <v>148</v>
      </c>
      <c r="D970" s="10"/>
      <c r="E970" s="62"/>
      <c r="F970" s="10"/>
      <c r="G970" s="134" t="str">
        <f>Monetary_Unit</f>
        <v>тыс. руб.</v>
      </c>
      <c r="H970" s="10"/>
      <c r="I970" s="23">
        <f ca="1">SUM(L970:CO970)</f>
        <v>-2582844.3329367456</v>
      </c>
      <c r="J970" s="10"/>
      <c r="K970" s="10"/>
      <c r="L970" s="10">
        <f t="shared" ref="L970:AQ970" ca="1" si="1151">-(MAX(0,IF(MonthsCumulated/Months_in_Period&gt;=VAT_Periods_Payable,OFFSET(L961,0,-VAT_Periods_Payable))))*OR(Flag_Forecast=1,NOT($E$923))</f>
        <v>0</v>
      </c>
      <c r="M970" s="10">
        <f t="shared" ca="1" si="1151"/>
        <v>0</v>
      </c>
      <c r="N970" s="10">
        <f t="shared" ca="1" si="1151"/>
        <v>0</v>
      </c>
      <c r="O970" s="10">
        <f t="shared" ca="1" si="1151"/>
        <v>0</v>
      </c>
      <c r="P970" s="10">
        <f t="shared" ca="1" si="1151"/>
        <v>0</v>
      </c>
      <c r="Q970" s="10">
        <f t="shared" ca="1" si="1151"/>
        <v>0</v>
      </c>
      <c r="R970" s="10">
        <f t="shared" ca="1" si="1151"/>
        <v>0</v>
      </c>
      <c r="S970" s="10">
        <f t="shared" ca="1" si="1151"/>
        <v>0</v>
      </c>
      <c r="T970" s="10">
        <f t="shared" ca="1" si="1151"/>
        <v>0</v>
      </c>
      <c r="U970" s="10">
        <f t="shared" ca="1" si="1151"/>
        <v>0</v>
      </c>
      <c r="V970" s="10">
        <f t="shared" ca="1" si="1151"/>
        <v>0</v>
      </c>
      <c r="W970" s="10">
        <f t="shared" ca="1" si="1151"/>
        <v>0</v>
      </c>
      <c r="X970" s="10">
        <f t="shared" ca="1" si="1151"/>
        <v>0</v>
      </c>
      <c r="Y970" s="10">
        <f t="shared" ca="1" si="1151"/>
        <v>0</v>
      </c>
      <c r="Z970" s="10">
        <f t="shared" ca="1" si="1151"/>
        <v>0</v>
      </c>
      <c r="AA970" s="10">
        <f t="shared" ca="1" si="1151"/>
        <v>0</v>
      </c>
      <c r="AB970" s="10">
        <f t="shared" ca="1" si="1151"/>
        <v>0</v>
      </c>
      <c r="AC970" s="10">
        <f t="shared" ca="1" si="1151"/>
        <v>0</v>
      </c>
      <c r="AD970" s="10">
        <f t="shared" ca="1" si="1151"/>
        <v>0</v>
      </c>
      <c r="AE970" s="10">
        <f t="shared" ca="1" si="1151"/>
        <v>0</v>
      </c>
      <c r="AF970" s="10">
        <f t="shared" ca="1" si="1151"/>
        <v>0</v>
      </c>
      <c r="AG970" s="10">
        <f t="shared" ca="1" si="1151"/>
        <v>0</v>
      </c>
      <c r="AH970" s="10">
        <f t="shared" ca="1" si="1151"/>
        <v>0</v>
      </c>
      <c r="AI970" s="10">
        <f t="shared" ca="1" si="1151"/>
        <v>0</v>
      </c>
      <c r="AJ970" s="10">
        <f t="shared" ca="1" si="1151"/>
        <v>0</v>
      </c>
      <c r="AK970" s="10">
        <f t="shared" ca="1" si="1151"/>
        <v>0</v>
      </c>
      <c r="AL970" s="10">
        <f t="shared" ca="1" si="1151"/>
        <v>0</v>
      </c>
      <c r="AM970" s="10">
        <f t="shared" ca="1" si="1151"/>
        <v>0</v>
      </c>
      <c r="AN970" s="10">
        <f t="shared" ca="1" si="1151"/>
        <v>0</v>
      </c>
      <c r="AO970" s="10">
        <f t="shared" ca="1" si="1151"/>
        <v>0</v>
      </c>
      <c r="AP970" s="10">
        <f t="shared" ca="1" si="1151"/>
        <v>0</v>
      </c>
      <c r="AQ970" s="10">
        <f t="shared" ca="1" si="1151"/>
        <v>0</v>
      </c>
      <c r="AR970" s="10">
        <f t="shared" ref="AR970:BW970" ca="1" si="1152">-(MAX(0,IF(MonthsCumulated/Months_in_Period&gt;=VAT_Periods_Payable,OFFSET(AR961,0,-VAT_Periods_Payable))))*OR(Flag_Forecast=1,NOT($E$923))</f>
        <v>0</v>
      </c>
      <c r="AS970" s="10">
        <f t="shared" ca="1" si="1152"/>
        <v>0</v>
      </c>
      <c r="AT970" s="10">
        <f t="shared" ca="1" si="1152"/>
        <v>0</v>
      </c>
      <c r="AU970" s="10">
        <f t="shared" ca="1" si="1152"/>
        <v>0</v>
      </c>
      <c r="AV970" s="10">
        <f t="shared" ca="1" si="1152"/>
        <v>0</v>
      </c>
      <c r="AW970" s="10">
        <f t="shared" ca="1" si="1152"/>
        <v>0</v>
      </c>
      <c r="AX970" s="10">
        <f t="shared" ca="1" si="1152"/>
        <v>-46479.25438646238</v>
      </c>
      <c r="AY970" s="10">
        <f t="shared" ca="1" si="1152"/>
        <v>-87172.977251210803</v>
      </c>
      <c r="AZ970" s="10">
        <f t="shared" ca="1" si="1152"/>
        <v>-30782.112161338224</v>
      </c>
      <c r="BA970" s="10">
        <f t="shared" ca="1" si="1152"/>
        <v>-26999.055032837514</v>
      </c>
      <c r="BB970" s="10">
        <f t="shared" ca="1" si="1152"/>
        <v>-48338.424561920867</v>
      </c>
      <c r="BC970" s="10">
        <f t="shared" ca="1" si="1152"/>
        <v>-90659.896341259198</v>
      </c>
      <c r="BD970" s="10">
        <f t="shared" ca="1" si="1152"/>
        <v>-32013.396647791735</v>
      </c>
      <c r="BE970" s="10">
        <f t="shared" ca="1" si="1152"/>
        <v>-28391.165156486535</v>
      </c>
      <c r="BF970" s="10">
        <f t="shared" ca="1" si="1152"/>
        <v>-50272.121951488145</v>
      </c>
      <c r="BG970" s="10">
        <f t="shared" ca="1" si="1152"/>
        <v>-94286.455962640262</v>
      </c>
      <c r="BH970" s="10">
        <f t="shared" ca="1" si="1152"/>
        <v>-33294.097895104176</v>
      </c>
      <c r="BI970" s="10">
        <f t="shared" ca="1" si="1152"/>
        <v>-29202.177923517062</v>
      </c>
      <c r="BJ970" s="10">
        <f t="shared" ca="1" si="1152"/>
        <v>-52282.840006173588</v>
      </c>
      <c r="BK970" s="10">
        <f t="shared" ca="1" si="1152"/>
        <v>-98057.74388270588</v>
      </c>
      <c r="BL970" s="10">
        <f t="shared" ca="1" si="1152"/>
        <v>-34625.689814251542</v>
      </c>
      <c r="BM970" s="10">
        <f t="shared" ca="1" si="1152"/>
        <v>-30370.265040457743</v>
      </c>
      <c r="BN970" s="10">
        <f t="shared" ca="1" si="1152"/>
        <v>-54374.153606420543</v>
      </c>
      <c r="BO970" s="10">
        <f t="shared" ca="1" si="1152"/>
        <v>-101980.05363801408</v>
      </c>
      <c r="BP970" s="10">
        <f t="shared" ca="1" si="1152"/>
        <v>-36010.717406821597</v>
      </c>
      <c r="BQ970" s="10">
        <f t="shared" ca="1" si="1152"/>
        <v>-31585.075642076044</v>
      </c>
      <c r="BR970" s="10">
        <f t="shared" ca="1" si="1152"/>
        <v>-56549.119750677346</v>
      </c>
      <c r="BS970" s="10">
        <f t="shared" ca="1" si="1152"/>
        <v>-106059.25578353468</v>
      </c>
      <c r="BT970" s="10">
        <f t="shared" ca="1" si="1152"/>
        <v>-37451.146103094448</v>
      </c>
      <c r="BU970" s="10">
        <f t="shared" ca="1" si="1152"/>
        <v>-33213.647586689483</v>
      </c>
      <c r="BV970" s="10">
        <f t="shared" ca="1" si="1152"/>
        <v>-58811.272194312245</v>
      </c>
      <c r="BW970" s="10">
        <f t="shared" ca="1" si="1152"/>
        <v>-110301.81759995766</v>
      </c>
      <c r="BX970" s="10">
        <f t="shared" ref="BX970:CO970" ca="1" si="1153">-(MAX(0,IF(MonthsCumulated/Months_in_Period&gt;=VAT_Periods_Payable,OFFSET(BX961,0,-VAT_Periods_Payable))))*OR(Flag_Forecast=1,NOT($E$923))</f>
        <v>-38949.385420065577</v>
      </c>
      <c r="BY970" s="10">
        <f t="shared" ca="1" si="1153"/>
        <v>-34162.417814469431</v>
      </c>
      <c r="BZ970" s="10">
        <f t="shared" ca="1" si="1153"/>
        <v>-61163.527922332607</v>
      </c>
      <c r="CA970" s="10">
        <f t="shared" ca="1" si="1153"/>
        <v>-114713.69105547106</v>
      </c>
      <c r="CB970" s="10">
        <f t="shared" ca="1" si="1153"/>
        <v>-40507.15962510695</v>
      </c>
      <c r="CC970" s="10">
        <f t="shared" ca="1" si="1153"/>
        <v>-35528.914527048204</v>
      </c>
      <c r="CD970" s="10">
        <f t="shared" ca="1" si="1153"/>
        <v>-63610.069039225898</v>
      </c>
      <c r="CE970" s="10">
        <f t="shared" ca="1" si="1153"/>
        <v>-119302.23869768989</v>
      </c>
      <c r="CF970" s="10">
        <f t="shared" ca="1" si="1153"/>
        <v>-42127.44601011122</v>
      </c>
      <c r="CG970" s="10">
        <f t="shared" ca="1" si="1153"/>
        <v>-36950.071108130127</v>
      </c>
      <c r="CH970" s="10">
        <f t="shared" ca="1" si="1153"/>
        <v>-66154.471800794912</v>
      </c>
      <c r="CI970" s="10">
        <f t="shared" ca="1" si="1153"/>
        <v>-124074.32824559747</v>
      </c>
      <c r="CJ970" s="10">
        <f t="shared" ca="1" si="1153"/>
        <v>-43812.543850515678</v>
      </c>
      <c r="CK970" s="10">
        <f t="shared" ca="1" si="1153"/>
        <v>-38855.269938112033</v>
      </c>
      <c r="CL970" s="10">
        <f t="shared" ca="1" si="1153"/>
        <v>-68800.870201006124</v>
      </c>
      <c r="CM970" s="10">
        <f t="shared" ca="1" si="1153"/>
        <v>-129037.52550286913</v>
      </c>
      <c r="CN970" s="10">
        <f t="shared" ca="1" si="1153"/>
        <v>-45565.27194040289</v>
      </c>
      <c r="CO970" s="10">
        <f t="shared" ca="1" si="1153"/>
        <v>-39965.196910553546</v>
      </c>
    </row>
    <row r="971" spans="1:131">
      <c r="A971" s="10"/>
      <c r="B971" s="10"/>
      <c r="C971" s="17" t="s">
        <v>399</v>
      </c>
      <c r="D971" s="10"/>
      <c r="E971" s="62"/>
      <c r="F971" s="10"/>
      <c r="G971" s="134" t="str">
        <f>Monetary_Unit</f>
        <v>тыс. руб.</v>
      </c>
      <c r="H971" s="10"/>
      <c r="I971" s="23">
        <f ca="1">SUM(L971:CO971)</f>
        <v>0</v>
      </c>
      <c r="J971" s="10"/>
      <c r="K971" s="10"/>
      <c r="L971" s="10">
        <f t="shared" ref="L971:AQ971" ca="1" si="1154">-MAX(SUM(L968:L970),0)*Flag_Last_Operations*$E$923</f>
        <v>0</v>
      </c>
      <c r="M971" s="10">
        <f t="shared" ca="1" si="1154"/>
        <v>0</v>
      </c>
      <c r="N971" s="10">
        <f t="shared" ca="1" si="1154"/>
        <v>0</v>
      </c>
      <c r="O971" s="10">
        <f t="shared" ca="1" si="1154"/>
        <v>0</v>
      </c>
      <c r="P971" s="10">
        <f t="shared" ca="1" si="1154"/>
        <v>0</v>
      </c>
      <c r="Q971" s="10">
        <f t="shared" ca="1" si="1154"/>
        <v>0</v>
      </c>
      <c r="R971" s="10">
        <f t="shared" ca="1" si="1154"/>
        <v>0</v>
      </c>
      <c r="S971" s="10">
        <f t="shared" ca="1" si="1154"/>
        <v>0</v>
      </c>
      <c r="T971" s="10">
        <f t="shared" ca="1" si="1154"/>
        <v>0</v>
      </c>
      <c r="U971" s="10">
        <f t="shared" ca="1" si="1154"/>
        <v>0</v>
      </c>
      <c r="V971" s="10">
        <f t="shared" ca="1" si="1154"/>
        <v>0</v>
      </c>
      <c r="W971" s="10">
        <f t="shared" ca="1" si="1154"/>
        <v>0</v>
      </c>
      <c r="X971" s="10">
        <f t="shared" ca="1" si="1154"/>
        <v>0</v>
      </c>
      <c r="Y971" s="10">
        <f t="shared" ca="1" si="1154"/>
        <v>0</v>
      </c>
      <c r="Z971" s="10">
        <f t="shared" ca="1" si="1154"/>
        <v>0</v>
      </c>
      <c r="AA971" s="10">
        <f t="shared" ca="1" si="1154"/>
        <v>0</v>
      </c>
      <c r="AB971" s="10">
        <f t="shared" ca="1" si="1154"/>
        <v>0</v>
      </c>
      <c r="AC971" s="10">
        <f t="shared" ca="1" si="1154"/>
        <v>0</v>
      </c>
      <c r="AD971" s="10">
        <f t="shared" ca="1" si="1154"/>
        <v>0</v>
      </c>
      <c r="AE971" s="10">
        <f t="shared" ca="1" si="1154"/>
        <v>0</v>
      </c>
      <c r="AF971" s="10">
        <f t="shared" ca="1" si="1154"/>
        <v>0</v>
      </c>
      <c r="AG971" s="10">
        <f t="shared" ca="1" si="1154"/>
        <v>0</v>
      </c>
      <c r="AH971" s="10">
        <f t="shared" ca="1" si="1154"/>
        <v>0</v>
      </c>
      <c r="AI971" s="10">
        <f t="shared" ca="1" si="1154"/>
        <v>0</v>
      </c>
      <c r="AJ971" s="10">
        <f t="shared" ca="1" si="1154"/>
        <v>0</v>
      </c>
      <c r="AK971" s="10">
        <f t="shared" ca="1" si="1154"/>
        <v>0</v>
      </c>
      <c r="AL971" s="10">
        <f t="shared" ca="1" si="1154"/>
        <v>0</v>
      </c>
      <c r="AM971" s="10">
        <f t="shared" ca="1" si="1154"/>
        <v>0</v>
      </c>
      <c r="AN971" s="10">
        <f t="shared" ca="1" si="1154"/>
        <v>0</v>
      </c>
      <c r="AO971" s="10">
        <f t="shared" ca="1" si="1154"/>
        <v>0</v>
      </c>
      <c r="AP971" s="10">
        <f t="shared" ca="1" si="1154"/>
        <v>0</v>
      </c>
      <c r="AQ971" s="10">
        <f t="shared" ca="1" si="1154"/>
        <v>0</v>
      </c>
      <c r="AR971" s="10">
        <f t="shared" ref="AR971:BW971" ca="1" si="1155">-MAX(SUM(AR968:AR970),0)*Flag_Last_Operations*$E$923</f>
        <v>0</v>
      </c>
      <c r="AS971" s="10">
        <f t="shared" ca="1" si="1155"/>
        <v>0</v>
      </c>
      <c r="AT971" s="10">
        <f t="shared" ca="1" si="1155"/>
        <v>0</v>
      </c>
      <c r="AU971" s="10">
        <f t="shared" ca="1" si="1155"/>
        <v>0</v>
      </c>
      <c r="AV971" s="10">
        <f t="shared" ca="1" si="1155"/>
        <v>0</v>
      </c>
      <c r="AW971" s="10">
        <f t="shared" ca="1" si="1155"/>
        <v>0</v>
      </c>
      <c r="AX971" s="10">
        <f t="shared" ca="1" si="1155"/>
        <v>0</v>
      </c>
      <c r="AY971" s="10">
        <f t="shared" ca="1" si="1155"/>
        <v>0</v>
      </c>
      <c r="AZ971" s="10">
        <f t="shared" ca="1" si="1155"/>
        <v>0</v>
      </c>
      <c r="BA971" s="10">
        <f t="shared" ca="1" si="1155"/>
        <v>0</v>
      </c>
      <c r="BB971" s="10">
        <f t="shared" ca="1" si="1155"/>
        <v>0</v>
      </c>
      <c r="BC971" s="10">
        <f t="shared" ca="1" si="1155"/>
        <v>0</v>
      </c>
      <c r="BD971" s="10">
        <f t="shared" ca="1" si="1155"/>
        <v>0</v>
      </c>
      <c r="BE971" s="10">
        <f t="shared" ca="1" si="1155"/>
        <v>0</v>
      </c>
      <c r="BF971" s="10">
        <f t="shared" ca="1" si="1155"/>
        <v>0</v>
      </c>
      <c r="BG971" s="10">
        <f t="shared" ca="1" si="1155"/>
        <v>0</v>
      </c>
      <c r="BH971" s="10">
        <f t="shared" ca="1" si="1155"/>
        <v>0</v>
      </c>
      <c r="BI971" s="10">
        <f t="shared" ca="1" si="1155"/>
        <v>0</v>
      </c>
      <c r="BJ971" s="10">
        <f t="shared" ca="1" si="1155"/>
        <v>0</v>
      </c>
      <c r="BK971" s="10">
        <f t="shared" ca="1" si="1155"/>
        <v>0</v>
      </c>
      <c r="BL971" s="10">
        <f t="shared" ca="1" si="1155"/>
        <v>0</v>
      </c>
      <c r="BM971" s="10">
        <f t="shared" ca="1" si="1155"/>
        <v>0</v>
      </c>
      <c r="BN971" s="10">
        <f t="shared" ca="1" si="1155"/>
        <v>0</v>
      </c>
      <c r="BO971" s="10">
        <f t="shared" ca="1" si="1155"/>
        <v>0</v>
      </c>
      <c r="BP971" s="10">
        <f t="shared" ca="1" si="1155"/>
        <v>0</v>
      </c>
      <c r="BQ971" s="10">
        <f t="shared" ca="1" si="1155"/>
        <v>0</v>
      </c>
      <c r="BR971" s="10">
        <f t="shared" ca="1" si="1155"/>
        <v>0</v>
      </c>
      <c r="BS971" s="10">
        <f t="shared" ca="1" si="1155"/>
        <v>0</v>
      </c>
      <c r="BT971" s="10">
        <f t="shared" ca="1" si="1155"/>
        <v>0</v>
      </c>
      <c r="BU971" s="10">
        <f t="shared" ca="1" si="1155"/>
        <v>0</v>
      </c>
      <c r="BV971" s="10">
        <f t="shared" ca="1" si="1155"/>
        <v>0</v>
      </c>
      <c r="BW971" s="10">
        <f t="shared" ca="1" si="1155"/>
        <v>0</v>
      </c>
      <c r="BX971" s="10">
        <f t="shared" ref="BX971:CO971" ca="1" si="1156">-MAX(SUM(BX968:BX970),0)*Flag_Last_Operations*$E$923</f>
        <v>0</v>
      </c>
      <c r="BY971" s="10">
        <f t="shared" ca="1" si="1156"/>
        <v>0</v>
      </c>
      <c r="BZ971" s="10">
        <f t="shared" ca="1" si="1156"/>
        <v>0</v>
      </c>
      <c r="CA971" s="10">
        <f t="shared" ca="1" si="1156"/>
        <v>0</v>
      </c>
      <c r="CB971" s="10">
        <f t="shared" ca="1" si="1156"/>
        <v>0</v>
      </c>
      <c r="CC971" s="10">
        <f t="shared" ca="1" si="1156"/>
        <v>0</v>
      </c>
      <c r="CD971" s="10">
        <f t="shared" ca="1" si="1156"/>
        <v>0</v>
      </c>
      <c r="CE971" s="10">
        <f t="shared" ca="1" si="1156"/>
        <v>0</v>
      </c>
      <c r="CF971" s="10">
        <f t="shared" ca="1" si="1156"/>
        <v>0</v>
      </c>
      <c r="CG971" s="10">
        <f t="shared" ca="1" si="1156"/>
        <v>0</v>
      </c>
      <c r="CH971" s="10">
        <f t="shared" ca="1" si="1156"/>
        <v>0</v>
      </c>
      <c r="CI971" s="10">
        <f t="shared" ca="1" si="1156"/>
        <v>0</v>
      </c>
      <c r="CJ971" s="10">
        <f t="shared" ca="1" si="1156"/>
        <v>0</v>
      </c>
      <c r="CK971" s="10">
        <f t="shared" ca="1" si="1156"/>
        <v>0</v>
      </c>
      <c r="CL971" s="10">
        <f t="shared" ca="1" si="1156"/>
        <v>0</v>
      </c>
      <c r="CM971" s="10">
        <f t="shared" ca="1" si="1156"/>
        <v>0</v>
      </c>
      <c r="CN971" s="10">
        <f t="shared" ca="1" si="1156"/>
        <v>0</v>
      </c>
      <c r="CO971" s="10">
        <f t="shared" ca="1" si="1156"/>
        <v>0</v>
      </c>
    </row>
    <row r="972" spans="1:131">
      <c r="A972" s="10"/>
      <c r="B972" s="10"/>
      <c r="C972" s="17" t="s">
        <v>149</v>
      </c>
      <c r="D972" s="10"/>
      <c r="E972" s="62"/>
      <c r="F972" s="10"/>
      <c r="G972" s="134" t="str">
        <f>Monetary_Unit</f>
        <v>тыс. руб.</v>
      </c>
      <c r="H972" s="10"/>
      <c r="I972" s="10"/>
      <c r="J972" s="10"/>
      <c r="K972" s="10"/>
      <c r="L972" s="10">
        <f ca="1">SUM(L968:L971)*ABS(SUM(L968:L971)&gt;Accuracy)</f>
        <v>0</v>
      </c>
      <c r="M972" s="10">
        <f t="shared" ref="M972:BX972" ca="1" si="1157">SUM(M968:M971)*ABS(SUM(M968:M971)&gt;Accuracy)</f>
        <v>0</v>
      </c>
      <c r="N972" s="10">
        <f t="shared" ca="1" si="1157"/>
        <v>0</v>
      </c>
      <c r="O972" s="10">
        <f t="shared" ca="1" si="1157"/>
        <v>0</v>
      </c>
      <c r="P972" s="10">
        <f t="shared" ca="1" si="1157"/>
        <v>0</v>
      </c>
      <c r="Q972" s="10">
        <f t="shared" ca="1" si="1157"/>
        <v>0</v>
      </c>
      <c r="R972" s="10">
        <f t="shared" ca="1" si="1157"/>
        <v>0</v>
      </c>
      <c r="S972" s="10">
        <f t="shared" ca="1" si="1157"/>
        <v>0</v>
      </c>
      <c r="T972" s="10">
        <f t="shared" ca="1" si="1157"/>
        <v>0</v>
      </c>
      <c r="U972" s="10">
        <f t="shared" ca="1" si="1157"/>
        <v>0</v>
      </c>
      <c r="V972" s="10">
        <f t="shared" ca="1" si="1157"/>
        <v>0</v>
      </c>
      <c r="W972" s="10">
        <f t="shared" ca="1" si="1157"/>
        <v>0</v>
      </c>
      <c r="X972" s="10">
        <f t="shared" ca="1" si="1157"/>
        <v>0</v>
      </c>
      <c r="Y972" s="10">
        <f t="shared" ca="1" si="1157"/>
        <v>0</v>
      </c>
      <c r="Z972" s="10">
        <f t="shared" ca="1" si="1157"/>
        <v>0</v>
      </c>
      <c r="AA972" s="10">
        <f t="shared" ca="1" si="1157"/>
        <v>0</v>
      </c>
      <c r="AB972" s="10">
        <f t="shared" ca="1" si="1157"/>
        <v>0</v>
      </c>
      <c r="AC972" s="10">
        <f t="shared" ca="1" si="1157"/>
        <v>0</v>
      </c>
      <c r="AD972" s="10">
        <f t="shared" ca="1" si="1157"/>
        <v>0</v>
      </c>
      <c r="AE972" s="10">
        <f t="shared" ca="1" si="1157"/>
        <v>0</v>
      </c>
      <c r="AF972" s="10">
        <f t="shared" ca="1" si="1157"/>
        <v>0</v>
      </c>
      <c r="AG972" s="10">
        <f t="shared" ca="1" si="1157"/>
        <v>0</v>
      </c>
      <c r="AH972" s="10">
        <f t="shared" ca="1" si="1157"/>
        <v>0</v>
      </c>
      <c r="AI972" s="10">
        <f t="shared" ca="1" si="1157"/>
        <v>0</v>
      </c>
      <c r="AJ972" s="10">
        <f t="shared" ca="1" si="1157"/>
        <v>0</v>
      </c>
      <c r="AK972" s="10">
        <f t="shared" ca="1" si="1157"/>
        <v>0</v>
      </c>
      <c r="AL972" s="10">
        <f t="shared" ca="1" si="1157"/>
        <v>0</v>
      </c>
      <c r="AM972" s="10">
        <f t="shared" ca="1" si="1157"/>
        <v>0</v>
      </c>
      <c r="AN972" s="10">
        <f t="shared" ca="1" si="1157"/>
        <v>0</v>
      </c>
      <c r="AO972" s="10">
        <f t="shared" ca="1" si="1157"/>
        <v>0</v>
      </c>
      <c r="AP972" s="10">
        <f t="shared" ca="1" si="1157"/>
        <v>0</v>
      </c>
      <c r="AQ972" s="10">
        <f t="shared" ca="1" si="1157"/>
        <v>0</v>
      </c>
      <c r="AR972" s="10">
        <f t="shared" ca="1" si="1157"/>
        <v>0</v>
      </c>
      <c r="AS972" s="10">
        <f t="shared" ca="1" si="1157"/>
        <v>0</v>
      </c>
      <c r="AT972" s="10">
        <f t="shared" ca="1" si="1157"/>
        <v>0</v>
      </c>
      <c r="AU972" s="10">
        <f t="shared" ca="1" si="1157"/>
        <v>0</v>
      </c>
      <c r="AV972" s="10">
        <f t="shared" ca="1" si="1157"/>
        <v>0</v>
      </c>
      <c r="AW972" s="10">
        <f t="shared" ca="1" si="1157"/>
        <v>46479.25438646238</v>
      </c>
      <c r="AX972" s="10">
        <f t="shared" ca="1" si="1157"/>
        <v>87172.977251210803</v>
      </c>
      <c r="AY972" s="10">
        <f t="shared" ca="1" si="1157"/>
        <v>30782.112161338227</v>
      </c>
      <c r="AZ972" s="10">
        <f t="shared" ca="1" si="1157"/>
        <v>26999.055032837514</v>
      </c>
      <c r="BA972" s="10">
        <f t="shared" ca="1" si="1157"/>
        <v>48338.424561920867</v>
      </c>
      <c r="BB972" s="10">
        <f t="shared" ca="1" si="1157"/>
        <v>90659.896341259184</v>
      </c>
      <c r="BC972" s="10">
        <f t="shared" ca="1" si="1157"/>
        <v>32013.396647791713</v>
      </c>
      <c r="BD972" s="10">
        <f t="shared" ca="1" si="1157"/>
        <v>28391.16515648651</v>
      </c>
      <c r="BE972" s="10">
        <f t="shared" ca="1" si="1157"/>
        <v>50272.121951488123</v>
      </c>
      <c r="BF972" s="10">
        <f t="shared" ca="1" si="1157"/>
        <v>94286.455962640233</v>
      </c>
      <c r="BG972" s="10">
        <f t="shared" ca="1" si="1157"/>
        <v>33294.097895104147</v>
      </c>
      <c r="BH972" s="10">
        <f t="shared" ca="1" si="1157"/>
        <v>29202.177923517032</v>
      </c>
      <c r="BI972" s="10">
        <f t="shared" ca="1" si="1157"/>
        <v>52282.840006173567</v>
      </c>
      <c r="BJ972" s="10">
        <f t="shared" ca="1" si="1157"/>
        <v>98057.743882705865</v>
      </c>
      <c r="BK972" s="10">
        <f t="shared" ca="1" si="1157"/>
        <v>34625.689814251542</v>
      </c>
      <c r="BL972" s="10">
        <f t="shared" ca="1" si="1157"/>
        <v>30370.265040457743</v>
      </c>
      <c r="BM972" s="10">
        <f t="shared" ca="1" si="1157"/>
        <v>54374.153606420543</v>
      </c>
      <c r="BN972" s="10">
        <f t="shared" ca="1" si="1157"/>
        <v>101980.05363801408</v>
      </c>
      <c r="BO972" s="10">
        <f t="shared" ca="1" si="1157"/>
        <v>36010.717406821597</v>
      </c>
      <c r="BP972" s="10">
        <f t="shared" ca="1" si="1157"/>
        <v>31585.075642076044</v>
      </c>
      <c r="BQ972" s="10">
        <f t="shared" ca="1" si="1157"/>
        <v>56549.119750677346</v>
      </c>
      <c r="BR972" s="10">
        <f t="shared" ca="1" si="1157"/>
        <v>106059.2557835347</v>
      </c>
      <c r="BS972" s="10">
        <f t="shared" ca="1" si="1157"/>
        <v>37451.146103094463</v>
      </c>
      <c r="BT972" s="10">
        <f t="shared" ca="1" si="1157"/>
        <v>33213.647586689505</v>
      </c>
      <c r="BU972" s="10">
        <f t="shared" ca="1" si="1157"/>
        <v>58811.272194312267</v>
      </c>
      <c r="BV972" s="10">
        <f t="shared" ca="1" si="1157"/>
        <v>110301.81759995769</v>
      </c>
      <c r="BW972" s="10">
        <f t="shared" ca="1" si="1157"/>
        <v>38949.385420065606</v>
      </c>
      <c r="BX972" s="10">
        <f t="shared" ca="1" si="1157"/>
        <v>34162.41781446946</v>
      </c>
      <c r="BY972" s="10">
        <f t="shared" ref="BY972:CO972" ca="1" si="1158">SUM(BY968:BY971)*ABS(SUM(BY968:BY971)&gt;Accuracy)</f>
        <v>61163.527922332636</v>
      </c>
      <c r="BZ972" s="10">
        <f t="shared" ca="1" si="1158"/>
        <v>114713.69105547111</v>
      </c>
      <c r="CA972" s="10">
        <f t="shared" ca="1" si="1158"/>
        <v>40507.159625107</v>
      </c>
      <c r="CB972" s="10">
        <f t="shared" ca="1" si="1158"/>
        <v>35528.914527048248</v>
      </c>
      <c r="CC972" s="10">
        <f t="shared" ca="1" si="1158"/>
        <v>63610.069039225935</v>
      </c>
      <c r="CD972" s="10">
        <f t="shared" ca="1" si="1158"/>
        <v>119302.23869768993</v>
      </c>
      <c r="CE972" s="10">
        <f t="shared" ca="1" si="1158"/>
        <v>42127.446010111264</v>
      </c>
      <c r="CF972" s="10">
        <f t="shared" ca="1" si="1158"/>
        <v>36950.071108130171</v>
      </c>
      <c r="CG972" s="10">
        <f t="shared" ca="1" si="1158"/>
        <v>66154.471800794956</v>
      </c>
      <c r="CH972" s="10">
        <f t="shared" ca="1" si="1158"/>
        <v>124074.32824559751</v>
      </c>
      <c r="CI972" s="10">
        <f t="shared" ca="1" si="1158"/>
        <v>43812.543850515722</v>
      </c>
      <c r="CJ972" s="10">
        <f t="shared" ca="1" si="1158"/>
        <v>38855.269938112076</v>
      </c>
      <c r="CK972" s="10">
        <f t="shared" ca="1" si="1158"/>
        <v>68800.870201006168</v>
      </c>
      <c r="CL972" s="10">
        <f t="shared" ca="1" si="1158"/>
        <v>129037.52550286916</v>
      </c>
      <c r="CM972" s="10">
        <f t="shared" ca="1" si="1158"/>
        <v>45565.271940402919</v>
      </c>
      <c r="CN972" s="10">
        <f t="shared" ca="1" si="1158"/>
        <v>39965.196910553583</v>
      </c>
      <c r="CO972" s="10">
        <f t="shared" ca="1" si="1158"/>
        <v>71552.676699739823</v>
      </c>
    </row>
    <row r="973" spans="1:131">
      <c r="A973" s="10"/>
      <c r="B973" s="10"/>
      <c r="C973" s="17"/>
      <c r="D973" s="10"/>
      <c r="E973" s="62"/>
      <c r="F973" s="10"/>
      <c r="G973" s="134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  <c r="BA973" s="10"/>
      <c r="BB973" s="10"/>
      <c r="BC973" s="10"/>
      <c r="BD973" s="10"/>
      <c r="BE973" s="10"/>
      <c r="BF973" s="10"/>
      <c r="BG973" s="10"/>
      <c r="BH973" s="10"/>
      <c r="BI973" s="10"/>
      <c r="BJ973" s="10"/>
      <c r="BK973" s="10"/>
      <c r="BL973" s="10"/>
      <c r="BM973" s="10"/>
      <c r="BN973" s="10"/>
      <c r="BO973" s="10"/>
      <c r="BP973" s="10"/>
      <c r="BQ973" s="10"/>
      <c r="BR973" s="10"/>
      <c r="BS973" s="10"/>
      <c r="BT973" s="10"/>
      <c r="BU973" s="10"/>
      <c r="BV973" s="10"/>
      <c r="BW973" s="10"/>
      <c r="BX973" s="10"/>
      <c r="BY973" s="10"/>
      <c r="BZ973" s="10"/>
      <c r="CA973" s="10"/>
      <c r="CB973" s="10"/>
      <c r="CC973" s="10"/>
      <c r="CD973" s="10"/>
      <c r="CE973" s="10"/>
      <c r="CF973" s="10"/>
      <c r="CG973" s="10"/>
      <c r="CH973" s="10"/>
      <c r="CI973" s="10"/>
      <c r="CJ973" s="10"/>
      <c r="CK973" s="10"/>
      <c r="CL973" s="10"/>
      <c r="CM973" s="10"/>
      <c r="CN973" s="10"/>
      <c r="CO973" s="10"/>
    </row>
    <row r="974" spans="1:131">
      <c r="A974" s="10"/>
      <c r="B974" s="10"/>
      <c r="C974" s="87" t="s">
        <v>1301</v>
      </c>
      <c r="D974" s="10"/>
      <c r="E974" s="62"/>
      <c r="F974" s="10"/>
      <c r="G974" s="11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  <c r="BA974" s="10"/>
      <c r="BB974" s="10"/>
      <c r="BC974" s="10"/>
      <c r="BD974" s="10"/>
      <c r="BE974" s="10"/>
      <c r="BF974" s="10"/>
      <c r="BG974" s="10"/>
      <c r="BH974" s="10"/>
      <c r="BI974" s="10"/>
      <c r="BJ974" s="10"/>
      <c r="BK974" s="10"/>
      <c r="BL974" s="10"/>
      <c r="BM974" s="10"/>
      <c r="BN974" s="10"/>
      <c r="BO974" s="10"/>
      <c r="BP974" s="10"/>
      <c r="BQ974" s="10"/>
      <c r="BR974" s="10"/>
      <c r="BS974" s="10"/>
      <c r="BT974" s="10"/>
      <c r="BU974" s="10"/>
      <c r="BV974" s="10"/>
      <c r="BW974" s="10"/>
      <c r="BX974" s="10"/>
      <c r="BY974" s="10"/>
      <c r="BZ974" s="10"/>
      <c r="CA974" s="10"/>
      <c r="CB974" s="10"/>
      <c r="CC974" s="10"/>
      <c r="CD974" s="10"/>
      <c r="CE974" s="10"/>
      <c r="CF974" s="10"/>
      <c r="CG974" s="10"/>
      <c r="CH974" s="10"/>
      <c r="CI974" s="10"/>
      <c r="CJ974" s="10"/>
      <c r="CK974" s="10"/>
      <c r="CL974" s="10"/>
      <c r="CM974" s="10"/>
      <c r="CN974" s="10"/>
      <c r="CO974" s="10"/>
      <c r="CP974" s="10"/>
      <c r="CQ974" s="10"/>
      <c r="CR974" s="10"/>
      <c r="CS974" s="10"/>
      <c r="CT974" s="10"/>
      <c r="CU974" s="10"/>
      <c r="CV974" s="10"/>
      <c r="CW974" s="10"/>
      <c r="CX974" s="10"/>
      <c r="CY974" s="10"/>
      <c r="CZ974" s="10"/>
      <c r="DA974" s="10"/>
      <c r="DB974" s="10"/>
      <c r="DC974" s="10"/>
      <c r="DD974" s="10"/>
      <c r="DE974" s="10"/>
      <c r="DF974" s="10"/>
      <c r="DG974" s="10"/>
      <c r="DH974" s="10"/>
      <c r="DI974" s="10"/>
      <c r="DJ974" s="10"/>
      <c r="DK974" s="10"/>
      <c r="DL974" s="10"/>
      <c r="DM974" s="10"/>
      <c r="DN974" s="10"/>
      <c r="DO974" s="10"/>
      <c r="DP974" s="10"/>
      <c r="DQ974" s="10"/>
      <c r="DR974" s="10"/>
      <c r="DS974" s="10"/>
      <c r="DT974" s="10"/>
      <c r="DU974" s="10"/>
      <c r="DV974" s="10"/>
      <c r="DW974" s="10"/>
      <c r="DX974" s="10"/>
      <c r="DY974" s="10"/>
      <c r="DZ974" s="10"/>
      <c r="EA974" s="10"/>
    </row>
    <row r="975" spans="1:131">
      <c r="A975" s="10"/>
      <c r="B975" s="10"/>
      <c r="C975" s="40" t="s">
        <v>1300</v>
      </c>
      <c r="D975" s="40"/>
      <c r="E975" s="11">
        <f>Предпосылки!E616</f>
        <v>0</v>
      </c>
      <c r="F975" s="10"/>
      <c r="G975" s="11" t="s">
        <v>347</v>
      </c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  <c r="BA975" s="10"/>
      <c r="BB975" s="10"/>
      <c r="BC975" s="10"/>
      <c r="BD975" s="10"/>
      <c r="BE975" s="10"/>
      <c r="BF975" s="10"/>
      <c r="BG975" s="10"/>
      <c r="BH975" s="10"/>
      <c r="BI975" s="10"/>
      <c r="BJ975" s="10"/>
      <c r="BK975" s="10"/>
      <c r="BL975" s="10"/>
      <c r="BM975" s="10"/>
      <c r="BN975" s="10"/>
      <c r="BO975" s="10"/>
      <c r="BP975" s="10"/>
      <c r="BQ975" s="10"/>
      <c r="BR975" s="10"/>
      <c r="BS975" s="10"/>
      <c r="BT975" s="10"/>
      <c r="BU975" s="10"/>
      <c r="BV975" s="10"/>
      <c r="BW975" s="10"/>
      <c r="BX975" s="10"/>
      <c r="BY975" s="10"/>
      <c r="BZ975" s="10"/>
      <c r="CA975" s="10"/>
      <c r="CB975" s="10"/>
      <c r="CC975" s="10"/>
      <c r="CD975" s="10"/>
      <c r="CE975" s="10"/>
      <c r="CF975" s="10"/>
      <c r="CG975" s="10"/>
      <c r="CH975" s="10"/>
      <c r="CI975" s="10"/>
      <c r="CJ975" s="10"/>
      <c r="CK975" s="10"/>
      <c r="CL975" s="10"/>
      <c r="CM975" s="10"/>
      <c r="CN975" s="10"/>
      <c r="CO975" s="10"/>
      <c r="CP975" s="10"/>
      <c r="CQ975" s="10"/>
      <c r="CR975" s="10"/>
      <c r="CS975" s="10"/>
      <c r="CT975" s="10"/>
      <c r="CU975" s="10"/>
      <c r="CV975" s="10"/>
      <c r="CW975" s="10"/>
      <c r="CX975" s="10"/>
      <c r="CY975" s="10"/>
      <c r="CZ975" s="10"/>
      <c r="DA975" s="10"/>
      <c r="DB975" s="10"/>
      <c r="DC975" s="10"/>
      <c r="DD975" s="10"/>
      <c r="DE975" s="10"/>
      <c r="DF975" s="10"/>
      <c r="DG975" s="10"/>
      <c r="DH975" s="10"/>
      <c r="DI975" s="10"/>
      <c r="DJ975" s="10"/>
      <c r="DK975" s="10"/>
      <c r="DL975" s="10"/>
      <c r="DM975" s="10"/>
      <c r="DN975" s="10"/>
      <c r="DO975" s="10"/>
      <c r="DP975" s="10"/>
      <c r="DQ975" s="10"/>
      <c r="DR975" s="10"/>
      <c r="DS975" s="10"/>
      <c r="DT975" s="10"/>
      <c r="DU975" s="10"/>
      <c r="DV975" s="10"/>
      <c r="DW975" s="10"/>
      <c r="DX975" s="10"/>
      <c r="DY975" s="10"/>
      <c r="DZ975" s="10"/>
      <c r="EA975" s="10"/>
    </row>
    <row r="976" spans="1:131">
      <c r="A976" s="10"/>
      <c r="B976" s="10"/>
      <c r="C976" s="40" t="s">
        <v>1299</v>
      </c>
      <c r="D976" s="40"/>
      <c r="E976" s="11">
        <f>Предпосылки!E617</f>
        <v>1</v>
      </c>
      <c r="F976" s="10"/>
      <c r="G976" s="11" t="s">
        <v>347</v>
      </c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  <c r="BA976" s="10"/>
      <c r="BB976" s="10"/>
      <c r="BC976" s="10"/>
      <c r="BD976" s="10"/>
      <c r="BE976" s="10"/>
      <c r="BF976" s="10"/>
      <c r="BG976" s="10"/>
      <c r="BH976" s="10"/>
      <c r="BI976" s="10"/>
      <c r="BJ976" s="10"/>
      <c r="BK976" s="10"/>
      <c r="BL976" s="10"/>
      <c r="BM976" s="10"/>
      <c r="BN976" s="10"/>
      <c r="BO976" s="10"/>
      <c r="BP976" s="10"/>
      <c r="BQ976" s="10"/>
      <c r="BR976" s="10"/>
      <c r="BS976" s="10"/>
      <c r="BT976" s="10"/>
      <c r="BU976" s="10"/>
      <c r="BV976" s="10"/>
      <c r="BW976" s="10"/>
      <c r="BX976" s="10"/>
      <c r="BY976" s="10"/>
      <c r="BZ976" s="10"/>
      <c r="CA976" s="10"/>
      <c r="CB976" s="10"/>
      <c r="CC976" s="10"/>
      <c r="CD976" s="10"/>
      <c r="CE976" s="10"/>
      <c r="CF976" s="10"/>
      <c r="CG976" s="10"/>
      <c r="CH976" s="10"/>
      <c r="CI976" s="10"/>
      <c r="CJ976" s="10"/>
      <c r="CK976" s="10"/>
      <c r="CL976" s="10"/>
      <c r="CM976" s="10"/>
      <c r="CN976" s="10"/>
      <c r="CO976" s="10"/>
      <c r="CP976" s="10"/>
      <c r="CQ976" s="10"/>
      <c r="CR976" s="10"/>
      <c r="CS976" s="10"/>
      <c r="CT976" s="10"/>
      <c r="CU976" s="10"/>
      <c r="CV976" s="10"/>
      <c r="CW976" s="10"/>
      <c r="CX976" s="10"/>
      <c r="CY976" s="10"/>
      <c r="CZ976" s="10"/>
      <c r="DA976" s="10"/>
      <c r="DB976" s="10"/>
      <c r="DC976" s="10"/>
      <c r="DD976" s="10"/>
      <c r="DE976" s="10"/>
      <c r="DF976" s="10"/>
      <c r="DG976" s="10"/>
      <c r="DH976" s="10"/>
      <c r="DI976" s="10"/>
      <c r="DJ976" s="10"/>
      <c r="DK976" s="10"/>
      <c r="DL976" s="10"/>
      <c r="DM976" s="10"/>
      <c r="DN976" s="10"/>
      <c r="DO976" s="10"/>
      <c r="DP976" s="10"/>
      <c r="DQ976" s="10"/>
      <c r="DR976" s="10"/>
      <c r="DS976" s="10"/>
      <c r="DT976" s="10"/>
      <c r="DU976" s="10"/>
      <c r="DV976" s="10"/>
      <c r="DW976" s="10"/>
      <c r="DX976" s="10"/>
      <c r="DY976" s="10"/>
      <c r="DZ976" s="10"/>
      <c r="EA976" s="10"/>
    </row>
    <row r="977" spans="1:131">
      <c r="A977" s="10"/>
      <c r="B977" s="10"/>
      <c r="C977" s="17"/>
      <c r="D977" s="10"/>
      <c r="E977" s="62"/>
      <c r="F977" s="10"/>
      <c r="G977" s="11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  <c r="BA977" s="10"/>
      <c r="BB977" s="10"/>
      <c r="BC977" s="10"/>
      <c r="BD977" s="10"/>
      <c r="BE977" s="10"/>
      <c r="BF977" s="10"/>
      <c r="BG977" s="10"/>
      <c r="BH977" s="10"/>
      <c r="BI977" s="10"/>
      <c r="BJ977" s="10"/>
      <c r="BK977" s="10"/>
      <c r="BL977" s="10"/>
      <c r="BM977" s="10"/>
      <c r="BN977" s="10"/>
      <c r="BO977" s="10"/>
      <c r="BP977" s="10"/>
      <c r="BQ977" s="10"/>
      <c r="BR977" s="10"/>
      <c r="BS977" s="10"/>
      <c r="BT977" s="10"/>
      <c r="BU977" s="10"/>
      <c r="BV977" s="10"/>
      <c r="BW977" s="10"/>
      <c r="BX977" s="10"/>
      <c r="BY977" s="10"/>
      <c r="BZ977" s="10"/>
      <c r="CA977" s="10"/>
      <c r="CB977" s="10"/>
      <c r="CC977" s="10"/>
      <c r="CD977" s="10"/>
      <c r="CE977" s="10"/>
      <c r="CF977" s="10"/>
      <c r="CG977" s="10"/>
      <c r="CH977" s="10"/>
      <c r="CI977" s="10"/>
      <c r="CJ977" s="10"/>
      <c r="CK977" s="10"/>
      <c r="CL977" s="10"/>
      <c r="CM977" s="10"/>
      <c r="CN977" s="10"/>
      <c r="CO977" s="10"/>
      <c r="CP977" s="10"/>
      <c r="CQ977" s="10"/>
      <c r="CR977" s="10"/>
      <c r="CS977" s="10"/>
      <c r="CT977" s="10"/>
      <c r="CU977" s="10"/>
      <c r="CV977" s="10"/>
      <c r="CW977" s="10"/>
      <c r="CX977" s="10"/>
      <c r="CY977" s="10"/>
      <c r="CZ977" s="10"/>
      <c r="DA977" s="10"/>
      <c r="DB977" s="10"/>
      <c r="DC977" s="10"/>
      <c r="DD977" s="10"/>
      <c r="DE977" s="10"/>
      <c r="DF977" s="10"/>
      <c r="DG977" s="10"/>
      <c r="DH977" s="10"/>
      <c r="DI977" s="10"/>
      <c r="DJ977" s="10"/>
      <c r="DK977" s="10"/>
      <c r="DL977" s="10"/>
      <c r="DM977" s="10"/>
      <c r="DN977" s="10"/>
      <c r="DO977" s="10"/>
      <c r="DP977" s="10"/>
      <c r="DQ977" s="10"/>
      <c r="DR977" s="10"/>
      <c r="DS977" s="10"/>
      <c r="DT977" s="10"/>
      <c r="DU977" s="10"/>
      <c r="DV977" s="10"/>
      <c r="DW977" s="10"/>
      <c r="DX977" s="10"/>
      <c r="DY977" s="10"/>
      <c r="DZ977" s="10"/>
      <c r="EA977" s="10"/>
    </row>
    <row r="978" spans="1:131">
      <c r="A978" s="10"/>
      <c r="B978" s="10"/>
      <c r="C978" s="87" t="s">
        <v>151</v>
      </c>
      <c r="D978" s="10"/>
      <c r="E978" s="62"/>
      <c r="F978" s="10"/>
      <c r="G978" s="11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  <c r="BA978" s="10"/>
      <c r="BB978" s="10"/>
      <c r="BC978" s="10"/>
      <c r="BD978" s="10"/>
      <c r="BE978" s="10"/>
      <c r="BF978" s="10"/>
      <c r="BG978" s="10"/>
      <c r="BH978" s="10"/>
      <c r="BI978" s="10"/>
      <c r="BJ978" s="10"/>
      <c r="BK978" s="10"/>
      <c r="BL978" s="10"/>
      <c r="BM978" s="10"/>
      <c r="BN978" s="10"/>
      <c r="BO978" s="10"/>
      <c r="BP978" s="10"/>
      <c r="BQ978" s="10"/>
      <c r="BR978" s="10"/>
      <c r="BS978" s="10"/>
      <c r="BT978" s="10"/>
      <c r="BU978" s="10"/>
      <c r="BV978" s="10"/>
      <c r="BW978" s="10"/>
      <c r="BX978" s="10"/>
      <c r="BY978" s="10"/>
      <c r="BZ978" s="10"/>
      <c r="CA978" s="10"/>
      <c r="CB978" s="10"/>
      <c r="CC978" s="10"/>
      <c r="CD978" s="10"/>
      <c r="CE978" s="10"/>
      <c r="CF978" s="10"/>
      <c r="CG978" s="10"/>
      <c r="CH978" s="10"/>
      <c r="CI978" s="10"/>
      <c r="CJ978" s="10"/>
      <c r="CK978" s="10"/>
      <c r="CL978" s="10"/>
      <c r="CM978" s="10"/>
      <c r="CN978" s="10"/>
      <c r="CO978" s="10"/>
      <c r="CP978" s="10"/>
      <c r="CQ978" s="10"/>
      <c r="CR978" s="10"/>
      <c r="CS978" s="10"/>
      <c r="CT978" s="10"/>
      <c r="CU978" s="10"/>
      <c r="CV978" s="10"/>
      <c r="CW978" s="10"/>
      <c r="CX978" s="10"/>
      <c r="CY978" s="10"/>
      <c r="CZ978" s="10"/>
      <c r="DA978" s="10"/>
      <c r="DB978" s="10"/>
      <c r="DC978" s="10"/>
      <c r="DD978" s="10"/>
      <c r="DE978" s="10"/>
      <c r="DF978" s="10"/>
      <c r="DG978" s="10"/>
      <c r="DH978" s="10"/>
      <c r="DI978" s="10"/>
      <c r="DJ978" s="10"/>
      <c r="DK978" s="10"/>
      <c r="DL978" s="10"/>
      <c r="DM978" s="10"/>
      <c r="DN978" s="10"/>
      <c r="DO978" s="10"/>
      <c r="DP978" s="10"/>
      <c r="DQ978" s="10"/>
      <c r="DR978" s="10"/>
      <c r="DS978" s="10"/>
      <c r="DT978" s="10"/>
      <c r="DU978" s="10"/>
      <c r="DV978" s="10"/>
      <c r="DW978" s="10"/>
      <c r="DX978" s="10"/>
      <c r="DY978" s="10"/>
      <c r="DZ978" s="10"/>
      <c r="EA978" s="10"/>
    </row>
    <row r="979" spans="1:131">
      <c r="A979" s="10"/>
      <c r="B979" s="10"/>
      <c r="C979" s="17" t="s">
        <v>146</v>
      </c>
      <c r="D979" s="10"/>
      <c r="E979" s="62"/>
      <c r="F979" s="10"/>
      <c r="G979" s="134" t="str">
        <f>Monetary_Unit</f>
        <v>тыс. руб.</v>
      </c>
      <c r="H979" s="10"/>
      <c r="I979" s="10"/>
      <c r="J979" s="10"/>
      <c r="K979" s="10"/>
      <c r="L979" s="10">
        <f t="shared" ref="L979:BW979" si="1159">K983</f>
        <v>0</v>
      </c>
      <c r="M979" s="10">
        <f t="shared" ca="1" si="1159"/>
        <v>3371.9255688267931</v>
      </c>
      <c r="N979" s="10">
        <f t="shared" ca="1" si="1159"/>
        <v>6791.7152414601769</v>
      </c>
      <c r="O979" s="10">
        <f t="shared" ca="1" si="1159"/>
        <v>10260.048443464699</v>
      </c>
      <c r="P979" s="10">
        <f t="shared" ca="1" si="1159"/>
        <v>13777.614244774297</v>
      </c>
      <c r="Q979" s="10">
        <f t="shared" ca="1" si="1159"/>
        <v>43359.362682235027</v>
      </c>
      <c r="R979" s="10">
        <f t="shared" ca="1" si="1159"/>
        <v>73232.59211347939</v>
      </c>
      <c r="S979" s="10">
        <f t="shared" ca="1" si="1159"/>
        <v>103400.17461924042</v>
      </c>
      <c r="T979" s="10">
        <f t="shared" ca="1" si="1159"/>
        <v>133865.01058003027</v>
      </c>
      <c r="U979" s="10">
        <f t="shared" ca="1" si="1159"/>
        <v>164630.02895498942</v>
      </c>
      <c r="V979" s="10">
        <f t="shared" ca="1" si="1159"/>
        <v>195698.18756348355</v>
      </c>
      <c r="W979" s="10">
        <f t="shared" ca="1" si="1159"/>
        <v>227072.47336947499</v>
      </c>
      <c r="X979" s="10">
        <f t="shared" ca="1" si="1159"/>
        <v>258755.90276869643</v>
      </c>
      <c r="Y979" s="10">
        <f t="shared" ca="1" si="1159"/>
        <v>320018.48440477223</v>
      </c>
      <c r="Z979" s="10">
        <f t="shared" ca="1" si="1159"/>
        <v>381884.71116394771</v>
      </c>
      <c r="AA979" s="10">
        <f t="shared" ca="1" si="1159"/>
        <v>444360.53100703203</v>
      </c>
      <c r="AB979" s="10">
        <f t="shared" ca="1" si="1159"/>
        <v>507451.95050251036</v>
      </c>
      <c r="AC979" s="10">
        <f t="shared" ca="1" si="1159"/>
        <v>617457.09245746897</v>
      </c>
      <c r="AD979" s="10">
        <f t="shared" ca="1" si="1159"/>
        <v>121428.02920217993</v>
      </c>
      <c r="AE979" s="10">
        <f t="shared" ca="1" si="1159"/>
        <v>34701.708549080751</v>
      </c>
      <c r="AF979" s="10">
        <f t="shared" ca="1" si="1159"/>
        <v>31070.638644128147</v>
      </c>
      <c r="AG979" s="10">
        <f t="shared" ca="1" si="1159"/>
        <v>14700.667816023994</v>
      </c>
      <c r="AH979" s="10">
        <f t="shared" ca="1" si="1159"/>
        <v>20227.653593953357</v>
      </c>
      <c r="AI979" s="10">
        <f t="shared" ca="1" si="1159"/>
        <v>40380.377028203075</v>
      </c>
      <c r="AJ979" s="10">
        <f t="shared" ca="1" si="1159"/>
        <v>36088.522521832834</v>
      </c>
      <c r="AK979" s="10">
        <f t="shared" ca="1" si="1159"/>
        <v>17007.613631732082</v>
      </c>
      <c r="AL979" s="10">
        <f t="shared" ca="1" si="1159"/>
        <v>23328.78066132166</v>
      </c>
      <c r="AM979" s="10">
        <f t="shared" ca="1" si="1159"/>
        <v>46457.816251976634</v>
      </c>
      <c r="AN979" s="10">
        <f t="shared" ca="1" si="1159"/>
        <v>41458.124087923301</v>
      </c>
      <c r="AO979" s="10">
        <f t="shared" ca="1" si="1159"/>
        <v>19576.871271697313</v>
      </c>
      <c r="AP979" s="10">
        <f t="shared" ca="1" si="1159"/>
        <v>26746.773759182026</v>
      </c>
      <c r="AQ979" s="10">
        <f t="shared" ca="1" si="1159"/>
        <v>52185.492330910318</v>
      </c>
      <c r="AR979" s="10">
        <f t="shared" ca="1" si="1159"/>
        <v>45928.791812796888</v>
      </c>
      <c r="AS979" s="10">
        <f t="shared" ca="1" si="1159"/>
        <v>20968.975362169323</v>
      </c>
      <c r="AT979" s="10">
        <f t="shared" ca="1" si="1159"/>
        <v>27926.551520276014</v>
      </c>
      <c r="AU979" s="10">
        <f t="shared" ca="1" si="1159"/>
        <v>54273.200214382341</v>
      </c>
      <c r="AV979" s="10">
        <f t="shared" ca="1" si="1159"/>
        <v>47766.236097688132</v>
      </c>
      <c r="AW979" s="10">
        <f t="shared" ca="1" si="1159"/>
        <v>21807.881400119149</v>
      </c>
      <c r="AX979" s="10">
        <f t="shared" ca="1" si="1159"/>
        <v>10095.643909971306</v>
      </c>
      <c r="AY979" s="10">
        <f t="shared" ca="1" si="1159"/>
        <v>0</v>
      </c>
      <c r="AZ979" s="10">
        <f t="shared" ca="1" si="1159"/>
        <v>0</v>
      </c>
      <c r="BA979" s="10">
        <f t="shared" ca="1" si="1159"/>
        <v>0</v>
      </c>
      <c r="BB979" s="10">
        <f t="shared" ca="1" si="1159"/>
        <v>0</v>
      </c>
      <c r="BC979" s="10">
        <f t="shared" ca="1" si="1159"/>
        <v>0</v>
      </c>
      <c r="BD979" s="10">
        <f t="shared" ca="1" si="1159"/>
        <v>0</v>
      </c>
      <c r="BE979" s="10">
        <f t="shared" ca="1" si="1159"/>
        <v>0</v>
      </c>
      <c r="BF979" s="10">
        <f t="shared" ca="1" si="1159"/>
        <v>0</v>
      </c>
      <c r="BG979" s="10">
        <f t="shared" ca="1" si="1159"/>
        <v>0</v>
      </c>
      <c r="BH979" s="10">
        <f t="shared" ca="1" si="1159"/>
        <v>0</v>
      </c>
      <c r="BI979" s="10">
        <f t="shared" ca="1" si="1159"/>
        <v>0</v>
      </c>
      <c r="BJ979" s="10">
        <f t="shared" ca="1" si="1159"/>
        <v>0</v>
      </c>
      <c r="BK979" s="10">
        <f t="shared" ca="1" si="1159"/>
        <v>0</v>
      </c>
      <c r="BL979" s="10">
        <f t="shared" ca="1" si="1159"/>
        <v>0</v>
      </c>
      <c r="BM979" s="10">
        <f t="shared" ca="1" si="1159"/>
        <v>0</v>
      </c>
      <c r="BN979" s="10">
        <f t="shared" ca="1" si="1159"/>
        <v>0</v>
      </c>
      <c r="BO979" s="10">
        <f t="shared" ca="1" si="1159"/>
        <v>0</v>
      </c>
      <c r="BP979" s="10">
        <f t="shared" ca="1" si="1159"/>
        <v>0</v>
      </c>
      <c r="BQ979" s="10">
        <f t="shared" ca="1" si="1159"/>
        <v>0</v>
      </c>
      <c r="BR979" s="10">
        <f t="shared" ca="1" si="1159"/>
        <v>0</v>
      </c>
      <c r="BS979" s="10">
        <f t="shared" ca="1" si="1159"/>
        <v>0</v>
      </c>
      <c r="BT979" s="10">
        <f t="shared" ca="1" si="1159"/>
        <v>0</v>
      </c>
      <c r="BU979" s="10">
        <f t="shared" ca="1" si="1159"/>
        <v>0</v>
      </c>
      <c r="BV979" s="10">
        <f t="shared" ca="1" si="1159"/>
        <v>0</v>
      </c>
      <c r="BW979" s="10">
        <f t="shared" ca="1" si="1159"/>
        <v>0</v>
      </c>
      <c r="BX979" s="10">
        <f t="shared" ref="BX979:EA979" ca="1" si="1160">BW983</f>
        <v>0</v>
      </c>
      <c r="BY979" s="10">
        <f t="shared" ca="1" si="1160"/>
        <v>0</v>
      </c>
      <c r="BZ979" s="10">
        <f t="shared" ca="1" si="1160"/>
        <v>0</v>
      </c>
      <c r="CA979" s="10">
        <f t="shared" ca="1" si="1160"/>
        <v>0</v>
      </c>
      <c r="CB979" s="10">
        <f t="shared" ca="1" si="1160"/>
        <v>0</v>
      </c>
      <c r="CC979" s="10">
        <f t="shared" ca="1" si="1160"/>
        <v>0</v>
      </c>
      <c r="CD979" s="10">
        <f t="shared" ca="1" si="1160"/>
        <v>0</v>
      </c>
      <c r="CE979" s="10">
        <f t="shared" ca="1" si="1160"/>
        <v>0</v>
      </c>
      <c r="CF979" s="10">
        <f t="shared" ca="1" si="1160"/>
        <v>0</v>
      </c>
      <c r="CG979" s="10">
        <f t="shared" ca="1" si="1160"/>
        <v>0</v>
      </c>
      <c r="CH979" s="10">
        <f t="shared" ca="1" si="1160"/>
        <v>0</v>
      </c>
      <c r="CI979" s="10">
        <f t="shared" ca="1" si="1160"/>
        <v>0</v>
      </c>
      <c r="CJ979" s="10">
        <f t="shared" ca="1" si="1160"/>
        <v>0</v>
      </c>
      <c r="CK979" s="10">
        <f t="shared" ca="1" si="1160"/>
        <v>0</v>
      </c>
      <c r="CL979" s="10">
        <f t="shared" ca="1" si="1160"/>
        <v>0</v>
      </c>
      <c r="CM979" s="10">
        <f t="shared" ca="1" si="1160"/>
        <v>0</v>
      </c>
      <c r="CN979" s="10">
        <f t="shared" ca="1" si="1160"/>
        <v>0</v>
      </c>
      <c r="CO979" s="10">
        <f t="shared" ca="1" si="1160"/>
        <v>0</v>
      </c>
      <c r="CP979" s="10">
        <f t="shared" ca="1" si="1160"/>
        <v>0</v>
      </c>
      <c r="CQ979" s="10">
        <f t="shared" si="1160"/>
        <v>0</v>
      </c>
      <c r="CR979" s="10" t="e">
        <f t="shared" ca="1" si="1160"/>
        <v>#VALUE!</v>
      </c>
      <c r="CS979" s="10" t="e">
        <f t="shared" ca="1" si="1160"/>
        <v>#VALUE!</v>
      </c>
      <c r="CT979" s="10" t="e">
        <f t="shared" ca="1" si="1160"/>
        <v>#VALUE!</v>
      </c>
      <c r="CU979" s="10" t="e">
        <f t="shared" ca="1" si="1160"/>
        <v>#VALUE!</v>
      </c>
      <c r="CV979" s="10" t="e">
        <f t="shared" ca="1" si="1160"/>
        <v>#VALUE!</v>
      </c>
      <c r="CW979" s="10" t="e">
        <f t="shared" ca="1" si="1160"/>
        <v>#VALUE!</v>
      </c>
      <c r="CX979" s="10" t="e">
        <f t="shared" ca="1" si="1160"/>
        <v>#VALUE!</v>
      </c>
      <c r="CY979" s="10" t="e">
        <f t="shared" ca="1" si="1160"/>
        <v>#VALUE!</v>
      </c>
      <c r="CZ979" s="10" t="e">
        <f t="shared" ca="1" si="1160"/>
        <v>#VALUE!</v>
      </c>
      <c r="DA979" s="10" t="e">
        <f t="shared" ca="1" si="1160"/>
        <v>#VALUE!</v>
      </c>
      <c r="DB979" s="10" t="e">
        <f t="shared" ca="1" si="1160"/>
        <v>#VALUE!</v>
      </c>
      <c r="DC979" s="10" t="e">
        <f t="shared" ca="1" si="1160"/>
        <v>#VALUE!</v>
      </c>
      <c r="DD979" s="10" t="e">
        <f t="shared" ca="1" si="1160"/>
        <v>#VALUE!</v>
      </c>
      <c r="DE979" s="10" t="e">
        <f t="shared" ca="1" si="1160"/>
        <v>#VALUE!</v>
      </c>
      <c r="DF979" s="10" t="e">
        <f t="shared" ca="1" si="1160"/>
        <v>#VALUE!</v>
      </c>
      <c r="DG979" s="10" t="e">
        <f t="shared" ca="1" si="1160"/>
        <v>#VALUE!</v>
      </c>
      <c r="DH979" s="10" t="e">
        <f t="shared" ca="1" si="1160"/>
        <v>#VALUE!</v>
      </c>
      <c r="DI979" s="10" t="e">
        <f t="shared" ca="1" si="1160"/>
        <v>#VALUE!</v>
      </c>
      <c r="DJ979" s="10" t="e">
        <f t="shared" ca="1" si="1160"/>
        <v>#VALUE!</v>
      </c>
      <c r="DK979" s="10" t="e">
        <f t="shared" ca="1" si="1160"/>
        <v>#VALUE!</v>
      </c>
      <c r="DL979" s="10" t="e">
        <f t="shared" ca="1" si="1160"/>
        <v>#VALUE!</v>
      </c>
      <c r="DM979" s="10" t="e">
        <f t="shared" ca="1" si="1160"/>
        <v>#VALUE!</v>
      </c>
      <c r="DN979" s="10" t="e">
        <f t="shared" ca="1" si="1160"/>
        <v>#VALUE!</v>
      </c>
      <c r="DO979" s="10" t="e">
        <f t="shared" ca="1" si="1160"/>
        <v>#VALUE!</v>
      </c>
      <c r="DP979" s="10" t="e">
        <f t="shared" ca="1" si="1160"/>
        <v>#VALUE!</v>
      </c>
      <c r="DQ979" s="10" t="e">
        <f t="shared" ca="1" si="1160"/>
        <v>#VALUE!</v>
      </c>
      <c r="DR979" s="10" t="e">
        <f t="shared" ca="1" si="1160"/>
        <v>#VALUE!</v>
      </c>
      <c r="DS979" s="10" t="e">
        <f t="shared" ca="1" si="1160"/>
        <v>#VALUE!</v>
      </c>
      <c r="DT979" s="10" t="e">
        <f t="shared" ca="1" si="1160"/>
        <v>#VALUE!</v>
      </c>
      <c r="DU979" s="10" t="e">
        <f t="shared" ca="1" si="1160"/>
        <v>#VALUE!</v>
      </c>
      <c r="DV979" s="10" t="e">
        <f t="shared" ca="1" si="1160"/>
        <v>#VALUE!</v>
      </c>
      <c r="DW979" s="10" t="e">
        <f t="shared" ca="1" si="1160"/>
        <v>#VALUE!</v>
      </c>
      <c r="DX979" s="10" t="e">
        <f t="shared" ca="1" si="1160"/>
        <v>#VALUE!</v>
      </c>
      <c r="DY979" s="10" t="e">
        <f t="shared" ca="1" si="1160"/>
        <v>#VALUE!</v>
      </c>
      <c r="DZ979" s="10" t="e">
        <f t="shared" ca="1" si="1160"/>
        <v>#VALUE!</v>
      </c>
      <c r="EA979" s="10" t="e">
        <f t="shared" ca="1" si="1160"/>
        <v>#VALUE!</v>
      </c>
    </row>
    <row r="980" spans="1:131">
      <c r="A980" s="10"/>
      <c r="B980" s="10"/>
      <c r="C980" s="17" t="s">
        <v>147</v>
      </c>
      <c r="D980" s="10"/>
      <c r="E980" s="62"/>
      <c r="F980" s="10"/>
      <c r="G980" s="134" t="str">
        <f>Monetary_Unit</f>
        <v>тыс. руб.</v>
      </c>
      <c r="H980" s="10"/>
      <c r="I980" s="23">
        <f ca="1">SUM(L980:EA980)</f>
        <v>939517.6963137642</v>
      </c>
      <c r="J980" s="10"/>
      <c r="K980" s="10"/>
      <c r="L980" s="10">
        <f ca="1">-MIN(SUM(L956:L960),0)</f>
        <v>3371.9255688267931</v>
      </c>
      <c r="M980" s="10">
        <f t="shared" ref="M980:BX980" ca="1" si="1161">-MIN(SUM(M956:M960),0)</f>
        <v>3419.7896726333843</v>
      </c>
      <c r="N980" s="10">
        <f t="shared" ca="1" si="1161"/>
        <v>3468.3332020045223</v>
      </c>
      <c r="O980" s="10">
        <f t="shared" ca="1" si="1161"/>
        <v>3517.5658013095986</v>
      </c>
      <c r="P980" s="10">
        <f t="shared" ca="1" si="1161"/>
        <v>29581.74843746073</v>
      </c>
      <c r="Q980" s="10">
        <f t="shared" ca="1" si="1161"/>
        <v>29873.229431244356</v>
      </c>
      <c r="R980" s="10">
        <f t="shared" ca="1" si="1161"/>
        <v>30167.582505761031</v>
      </c>
      <c r="S980" s="10">
        <f t="shared" ca="1" si="1161"/>
        <v>30464.835960789842</v>
      </c>
      <c r="T980" s="10">
        <f t="shared" ca="1" si="1161"/>
        <v>30765.018374959152</v>
      </c>
      <c r="U980" s="10">
        <f t="shared" ca="1" si="1161"/>
        <v>31068.15860849413</v>
      </c>
      <c r="V980" s="10">
        <f t="shared" ca="1" si="1161"/>
        <v>31374.285805991458</v>
      </c>
      <c r="W980" s="10">
        <f t="shared" ca="1" si="1161"/>
        <v>31683.429399221433</v>
      </c>
      <c r="X980" s="10">
        <f t="shared" ca="1" si="1161"/>
        <v>61262.581636075818</v>
      </c>
      <c r="Y980" s="10">
        <f t="shared" ca="1" si="1161"/>
        <v>61866.226759175472</v>
      </c>
      <c r="Z980" s="10">
        <f t="shared" ca="1" si="1161"/>
        <v>62475.819843084297</v>
      </c>
      <c r="AA980" s="10">
        <f t="shared" ca="1" si="1161"/>
        <v>63091.419495478323</v>
      </c>
      <c r="AB980" s="10">
        <f t="shared" ca="1" si="1161"/>
        <v>110005.14195495863</v>
      </c>
      <c r="AC980" s="10">
        <f t="shared" ca="1" si="1161"/>
        <v>11422.887247221315</v>
      </c>
      <c r="AD980" s="10">
        <f t="shared" ca="1" si="1161"/>
        <v>23278.821301859451</v>
      </c>
      <c r="AE980" s="10">
        <f t="shared" ca="1" si="1161"/>
        <v>7791.8173422687105</v>
      </c>
      <c r="AF980" s="10">
        <f t="shared" ca="1" si="1161"/>
        <v>6908.8504737552994</v>
      </c>
      <c r="AG980" s="10">
        <f t="shared" ca="1" si="1161"/>
        <v>13318.803120198072</v>
      </c>
      <c r="AH980" s="10">
        <f t="shared" ca="1" si="1161"/>
        <v>27061.573908005023</v>
      </c>
      <c r="AI980" s="10">
        <f t="shared" ca="1" si="1161"/>
        <v>9026.9486138278335</v>
      </c>
      <c r="AJ980" s="10">
        <f t="shared" ca="1" si="1161"/>
        <v>7980.6650179042736</v>
      </c>
      <c r="AK980" s="10">
        <f t="shared" ca="1" si="1161"/>
        <v>15348.115643417412</v>
      </c>
      <c r="AL980" s="10">
        <f t="shared" ca="1" si="1161"/>
        <v>31109.700608559247</v>
      </c>
      <c r="AM980" s="10">
        <f t="shared" ca="1" si="1161"/>
        <v>10348.423479364079</v>
      </c>
      <c r="AN980" s="10">
        <f t="shared" ca="1" si="1161"/>
        <v>9228.4477923332597</v>
      </c>
      <c r="AO980" s="10">
        <f t="shared" ca="1" si="1161"/>
        <v>17518.325966848792</v>
      </c>
      <c r="AP980" s="10">
        <f t="shared" ca="1" si="1161"/>
        <v>34667.166364061552</v>
      </c>
      <c r="AQ980" s="10">
        <f t="shared" ca="1" si="1161"/>
        <v>11261.625448735358</v>
      </c>
      <c r="AR980" s="10">
        <f t="shared" ca="1" si="1161"/>
        <v>9707.3499134339854</v>
      </c>
      <c r="AS980" s="10">
        <f t="shared" ca="1" si="1161"/>
        <v>18219.201606842045</v>
      </c>
      <c r="AT980" s="10">
        <f t="shared" ca="1" si="1161"/>
        <v>36053.998607540314</v>
      </c>
      <c r="AU980" s="10">
        <f t="shared" ca="1" si="1161"/>
        <v>11712.237490147843</v>
      </c>
      <c r="AV980" s="10">
        <f t="shared" ca="1" si="1161"/>
        <v>10095.643909971333</v>
      </c>
      <c r="AW980" s="10">
        <f t="shared" ca="1" si="1161"/>
        <v>0</v>
      </c>
      <c r="AX980" s="10">
        <f t="shared" ca="1" si="1161"/>
        <v>0</v>
      </c>
      <c r="AY980" s="10">
        <f t="shared" ca="1" si="1161"/>
        <v>0</v>
      </c>
      <c r="AZ980" s="10">
        <f t="shared" ca="1" si="1161"/>
        <v>0</v>
      </c>
      <c r="BA980" s="10">
        <f t="shared" ca="1" si="1161"/>
        <v>0</v>
      </c>
      <c r="BB980" s="10">
        <f t="shared" ca="1" si="1161"/>
        <v>0</v>
      </c>
      <c r="BC980" s="10">
        <f t="shared" ca="1" si="1161"/>
        <v>0</v>
      </c>
      <c r="BD980" s="10">
        <f t="shared" ca="1" si="1161"/>
        <v>0</v>
      </c>
      <c r="BE980" s="10">
        <f t="shared" ca="1" si="1161"/>
        <v>0</v>
      </c>
      <c r="BF980" s="10">
        <f t="shared" ca="1" si="1161"/>
        <v>0</v>
      </c>
      <c r="BG980" s="10">
        <f t="shared" ca="1" si="1161"/>
        <v>0</v>
      </c>
      <c r="BH980" s="10">
        <f t="shared" ca="1" si="1161"/>
        <v>0</v>
      </c>
      <c r="BI980" s="10">
        <f t="shared" ca="1" si="1161"/>
        <v>0</v>
      </c>
      <c r="BJ980" s="10">
        <f t="shared" ca="1" si="1161"/>
        <v>0</v>
      </c>
      <c r="BK980" s="10">
        <f t="shared" ca="1" si="1161"/>
        <v>0</v>
      </c>
      <c r="BL980" s="10">
        <f t="shared" ca="1" si="1161"/>
        <v>0</v>
      </c>
      <c r="BM980" s="10">
        <f t="shared" ca="1" si="1161"/>
        <v>0</v>
      </c>
      <c r="BN980" s="10">
        <f t="shared" ca="1" si="1161"/>
        <v>0</v>
      </c>
      <c r="BO980" s="10">
        <f t="shared" ca="1" si="1161"/>
        <v>0</v>
      </c>
      <c r="BP980" s="10">
        <f t="shared" ca="1" si="1161"/>
        <v>0</v>
      </c>
      <c r="BQ980" s="10">
        <f t="shared" ca="1" si="1161"/>
        <v>0</v>
      </c>
      <c r="BR980" s="10">
        <f t="shared" ca="1" si="1161"/>
        <v>0</v>
      </c>
      <c r="BS980" s="10">
        <f t="shared" ca="1" si="1161"/>
        <v>0</v>
      </c>
      <c r="BT980" s="10">
        <f t="shared" ca="1" si="1161"/>
        <v>0</v>
      </c>
      <c r="BU980" s="10">
        <f t="shared" ca="1" si="1161"/>
        <v>0</v>
      </c>
      <c r="BV980" s="10">
        <f t="shared" ca="1" si="1161"/>
        <v>0</v>
      </c>
      <c r="BW980" s="10">
        <f t="shared" ca="1" si="1161"/>
        <v>0</v>
      </c>
      <c r="BX980" s="10">
        <f t="shared" ca="1" si="1161"/>
        <v>0</v>
      </c>
      <c r="BY980" s="10">
        <f t="shared" ref="BY980:EA980" ca="1" si="1162">-MIN(SUM(BY956:BY960),0)</f>
        <v>0</v>
      </c>
      <c r="BZ980" s="10">
        <f t="shared" ca="1" si="1162"/>
        <v>0</v>
      </c>
      <c r="CA980" s="10">
        <f t="shared" ca="1" si="1162"/>
        <v>0</v>
      </c>
      <c r="CB980" s="10">
        <f t="shared" ca="1" si="1162"/>
        <v>0</v>
      </c>
      <c r="CC980" s="10">
        <f t="shared" ca="1" si="1162"/>
        <v>0</v>
      </c>
      <c r="CD980" s="10">
        <f t="shared" ca="1" si="1162"/>
        <v>0</v>
      </c>
      <c r="CE980" s="10">
        <f t="shared" ca="1" si="1162"/>
        <v>0</v>
      </c>
      <c r="CF980" s="10">
        <f t="shared" ca="1" si="1162"/>
        <v>0</v>
      </c>
      <c r="CG980" s="10">
        <f t="shared" ca="1" si="1162"/>
        <v>0</v>
      </c>
      <c r="CH980" s="10">
        <f t="shared" ca="1" si="1162"/>
        <v>0</v>
      </c>
      <c r="CI980" s="10">
        <f t="shared" ca="1" si="1162"/>
        <v>0</v>
      </c>
      <c r="CJ980" s="10">
        <f t="shared" ca="1" si="1162"/>
        <v>0</v>
      </c>
      <c r="CK980" s="10">
        <f t="shared" ca="1" si="1162"/>
        <v>0</v>
      </c>
      <c r="CL980" s="10">
        <f t="shared" ca="1" si="1162"/>
        <v>0</v>
      </c>
      <c r="CM980" s="10">
        <f t="shared" ca="1" si="1162"/>
        <v>0</v>
      </c>
      <c r="CN980" s="10">
        <f t="shared" ca="1" si="1162"/>
        <v>0</v>
      </c>
      <c r="CO980" s="10">
        <f t="shared" ca="1" si="1162"/>
        <v>0</v>
      </c>
      <c r="CP980" s="10">
        <f t="shared" si="1162"/>
        <v>0</v>
      </c>
      <c r="CQ980" s="10">
        <f t="shared" si="1162"/>
        <v>0</v>
      </c>
      <c r="CR980" s="10">
        <f t="shared" si="1162"/>
        <v>0</v>
      </c>
      <c r="CS980" s="10">
        <f t="shared" si="1162"/>
        <v>0</v>
      </c>
      <c r="CT980" s="10">
        <f t="shared" si="1162"/>
        <v>0</v>
      </c>
      <c r="CU980" s="10">
        <f t="shared" si="1162"/>
        <v>0</v>
      </c>
      <c r="CV980" s="10">
        <f t="shared" si="1162"/>
        <v>0</v>
      </c>
      <c r="CW980" s="10">
        <f t="shared" si="1162"/>
        <v>0</v>
      </c>
      <c r="CX980" s="10">
        <f t="shared" si="1162"/>
        <v>0</v>
      </c>
      <c r="CY980" s="10">
        <f t="shared" si="1162"/>
        <v>0</v>
      </c>
      <c r="CZ980" s="10">
        <f t="shared" si="1162"/>
        <v>0</v>
      </c>
      <c r="DA980" s="10">
        <f t="shared" si="1162"/>
        <v>0</v>
      </c>
      <c r="DB980" s="10">
        <f t="shared" si="1162"/>
        <v>0</v>
      </c>
      <c r="DC980" s="10">
        <f t="shared" si="1162"/>
        <v>0</v>
      </c>
      <c r="DD980" s="10">
        <f t="shared" si="1162"/>
        <v>0</v>
      </c>
      <c r="DE980" s="10">
        <f t="shared" si="1162"/>
        <v>0</v>
      </c>
      <c r="DF980" s="10">
        <f t="shared" si="1162"/>
        <v>0</v>
      </c>
      <c r="DG980" s="10">
        <f t="shared" si="1162"/>
        <v>0</v>
      </c>
      <c r="DH980" s="10">
        <f t="shared" si="1162"/>
        <v>0</v>
      </c>
      <c r="DI980" s="10">
        <f t="shared" si="1162"/>
        <v>0</v>
      </c>
      <c r="DJ980" s="10">
        <f t="shared" si="1162"/>
        <v>0</v>
      </c>
      <c r="DK980" s="10">
        <f t="shared" si="1162"/>
        <v>0</v>
      </c>
      <c r="DL980" s="10">
        <f t="shared" si="1162"/>
        <v>0</v>
      </c>
      <c r="DM980" s="10">
        <f t="shared" si="1162"/>
        <v>0</v>
      </c>
      <c r="DN980" s="10">
        <f t="shared" si="1162"/>
        <v>0</v>
      </c>
      <c r="DO980" s="10">
        <f t="shared" si="1162"/>
        <v>0</v>
      </c>
      <c r="DP980" s="10">
        <f t="shared" si="1162"/>
        <v>0</v>
      </c>
      <c r="DQ980" s="10">
        <f t="shared" si="1162"/>
        <v>0</v>
      </c>
      <c r="DR980" s="10">
        <f t="shared" si="1162"/>
        <v>0</v>
      </c>
      <c r="DS980" s="10">
        <f t="shared" si="1162"/>
        <v>0</v>
      </c>
      <c r="DT980" s="10">
        <f t="shared" si="1162"/>
        <v>0</v>
      </c>
      <c r="DU980" s="10">
        <f t="shared" si="1162"/>
        <v>0</v>
      </c>
      <c r="DV980" s="10">
        <f t="shared" si="1162"/>
        <v>0</v>
      </c>
      <c r="DW980" s="10">
        <f t="shared" si="1162"/>
        <v>0</v>
      </c>
      <c r="DX980" s="10">
        <f t="shared" si="1162"/>
        <v>0</v>
      </c>
      <c r="DY980" s="10">
        <f t="shared" si="1162"/>
        <v>0</v>
      </c>
      <c r="DZ980" s="10">
        <f t="shared" si="1162"/>
        <v>0</v>
      </c>
      <c r="EA980" s="10">
        <f t="shared" si="1162"/>
        <v>0</v>
      </c>
    </row>
    <row r="981" spans="1:131">
      <c r="A981" s="10"/>
      <c r="B981" s="10"/>
      <c r="C981" s="484" t="s">
        <v>152</v>
      </c>
      <c r="D981" s="10"/>
      <c r="E981" s="62"/>
      <c r="F981" s="10"/>
      <c r="G981" s="134" t="str">
        <f>Monetary_Unit</f>
        <v>тыс. руб.</v>
      </c>
      <c r="H981" s="10"/>
      <c r="I981" s="23">
        <f ca="1">SUM(L981:AV981)</f>
        <v>-917709.81491364504</v>
      </c>
      <c r="J981" s="10"/>
      <c r="K981" s="10"/>
      <c r="L981" s="10">
        <f t="shared" ref="L981:AQ981" ca="1" si="1163">-(MAX(0,IF(MonthsCumulated/Months_in_Period&gt;=VAT_Periods_Receivable,OFFSET(L980,0,-VAT_Periods_Receivable))))*Flag_Financial_Model * IF($E$976=1,Flag_Operations,1) -  J979*Flag_First_Operations * ($E$976=1)</f>
        <v>0</v>
      </c>
      <c r="M981" s="10">
        <f t="shared" ca="1" si="1163"/>
        <v>0</v>
      </c>
      <c r="N981" s="10">
        <f t="shared" ca="1" si="1163"/>
        <v>0</v>
      </c>
      <c r="O981" s="10">
        <f t="shared" ca="1" si="1163"/>
        <v>0</v>
      </c>
      <c r="P981" s="10">
        <f t="shared" ca="1" si="1163"/>
        <v>0</v>
      </c>
      <c r="Q981" s="10">
        <f t="shared" ca="1" si="1163"/>
        <v>0</v>
      </c>
      <c r="R981" s="10">
        <f t="shared" ca="1" si="1163"/>
        <v>0</v>
      </c>
      <c r="S981" s="10">
        <f t="shared" ca="1" si="1163"/>
        <v>0</v>
      </c>
      <c r="T981" s="10">
        <f t="shared" ca="1" si="1163"/>
        <v>0</v>
      </c>
      <c r="U981" s="10">
        <f t="shared" ca="1" si="1163"/>
        <v>0</v>
      </c>
      <c r="V981" s="10">
        <f t="shared" ca="1" si="1163"/>
        <v>0</v>
      </c>
      <c r="W981" s="10">
        <f t="shared" ca="1" si="1163"/>
        <v>0</v>
      </c>
      <c r="X981" s="10">
        <f t="shared" ca="1" si="1163"/>
        <v>0</v>
      </c>
      <c r="Y981" s="10">
        <f t="shared" ca="1" si="1163"/>
        <v>0</v>
      </c>
      <c r="Z981" s="10">
        <f t="shared" ca="1" si="1163"/>
        <v>0</v>
      </c>
      <c r="AA981" s="10">
        <f t="shared" ca="1" si="1163"/>
        <v>0</v>
      </c>
      <c r="AB981" s="10">
        <f t="shared" ca="1" si="1163"/>
        <v>0</v>
      </c>
      <c r="AC981" s="10">
        <f t="shared" ca="1" si="1163"/>
        <v>-507451.95050251036</v>
      </c>
      <c r="AD981" s="10">
        <f t="shared" ca="1" si="1163"/>
        <v>-110005.14195495863</v>
      </c>
      <c r="AE981" s="10">
        <f t="shared" ca="1" si="1163"/>
        <v>-11422.887247221315</v>
      </c>
      <c r="AF981" s="10">
        <f t="shared" ca="1" si="1163"/>
        <v>-23278.821301859451</v>
      </c>
      <c r="AG981" s="10">
        <f t="shared" ca="1" si="1163"/>
        <v>-7791.8173422687105</v>
      </c>
      <c r="AH981" s="10">
        <f t="shared" ca="1" si="1163"/>
        <v>-6908.8504737552994</v>
      </c>
      <c r="AI981" s="10">
        <f t="shared" ca="1" si="1163"/>
        <v>-13318.803120198072</v>
      </c>
      <c r="AJ981" s="10">
        <f t="shared" ca="1" si="1163"/>
        <v>-27061.573908005023</v>
      </c>
      <c r="AK981" s="10">
        <f t="shared" ca="1" si="1163"/>
        <v>-9026.9486138278335</v>
      </c>
      <c r="AL981" s="10">
        <f t="shared" ca="1" si="1163"/>
        <v>-7980.6650179042736</v>
      </c>
      <c r="AM981" s="10">
        <f t="shared" ca="1" si="1163"/>
        <v>-15348.115643417412</v>
      </c>
      <c r="AN981" s="10">
        <f t="shared" ca="1" si="1163"/>
        <v>-31109.700608559247</v>
      </c>
      <c r="AO981" s="10">
        <f t="shared" ca="1" si="1163"/>
        <v>-10348.423479364079</v>
      </c>
      <c r="AP981" s="10">
        <f t="shared" ca="1" si="1163"/>
        <v>-9228.4477923332597</v>
      </c>
      <c r="AQ981" s="10">
        <f t="shared" ca="1" si="1163"/>
        <v>-17518.325966848792</v>
      </c>
      <c r="AR981" s="10">
        <f t="shared" ref="AR981:BW981" ca="1" si="1164">-(MAX(0,IF(MonthsCumulated/Months_in_Period&gt;=VAT_Periods_Receivable,OFFSET(AR980,0,-VAT_Periods_Receivable))))*Flag_Financial_Model * IF($E$976=1,Flag_Operations,1) -  AP979*Flag_First_Operations * ($E$976=1)</f>
        <v>-34667.166364061552</v>
      </c>
      <c r="AS981" s="10">
        <f t="shared" ca="1" si="1164"/>
        <v>-11261.625448735358</v>
      </c>
      <c r="AT981" s="10">
        <f t="shared" ca="1" si="1164"/>
        <v>-9707.3499134339854</v>
      </c>
      <c r="AU981" s="10">
        <f t="shared" ca="1" si="1164"/>
        <v>-18219.201606842045</v>
      </c>
      <c r="AV981" s="10">
        <f t="shared" ca="1" si="1164"/>
        <v>-36053.998607540314</v>
      </c>
      <c r="AW981" s="10">
        <f t="shared" ca="1" si="1164"/>
        <v>-11712.237490147843</v>
      </c>
      <c r="AX981" s="10">
        <f t="shared" ca="1" si="1164"/>
        <v>-10095.643909971333</v>
      </c>
      <c r="AY981" s="10">
        <f t="shared" ca="1" si="1164"/>
        <v>0</v>
      </c>
      <c r="AZ981" s="10">
        <f t="shared" ca="1" si="1164"/>
        <v>0</v>
      </c>
      <c r="BA981" s="10">
        <f t="shared" ca="1" si="1164"/>
        <v>0</v>
      </c>
      <c r="BB981" s="10">
        <f t="shared" ca="1" si="1164"/>
        <v>0</v>
      </c>
      <c r="BC981" s="10">
        <f t="shared" ca="1" si="1164"/>
        <v>0</v>
      </c>
      <c r="BD981" s="10">
        <f t="shared" ca="1" si="1164"/>
        <v>0</v>
      </c>
      <c r="BE981" s="10">
        <f t="shared" ca="1" si="1164"/>
        <v>0</v>
      </c>
      <c r="BF981" s="10">
        <f t="shared" ca="1" si="1164"/>
        <v>0</v>
      </c>
      <c r="BG981" s="10">
        <f t="shared" ca="1" si="1164"/>
        <v>0</v>
      </c>
      <c r="BH981" s="10">
        <f t="shared" ca="1" si="1164"/>
        <v>0</v>
      </c>
      <c r="BI981" s="10">
        <f t="shared" ca="1" si="1164"/>
        <v>0</v>
      </c>
      <c r="BJ981" s="10">
        <f t="shared" ca="1" si="1164"/>
        <v>0</v>
      </c>
      <c r="BK981" s="10">
        <f t="shared" ca="1" si="1164"/>
        <v>0</v>
      </c>
      <c r="BL981" s="10">
        <f t="shared" ca="1" si="1164"/>
        <v>0</v>
      </c>
      <c r="BM981" s="10">
        <f t="shared" ca="1" si="1164"/>
        <v>0</v>
      </c>
      <c r="BN981" s="10">
        <f t="shared" ca="1" si="1164"/>
        <v>0</v>
      </c>
      <c r="BO981" s="10">
        <f t="shared" ca="1" si="1164"/>
        <v>0</v>
      </c>
      <c r="BP981" s="10">
        <f t="shared" ca="1" si="1164"/>
        <v>0</v>
      </c>
      <c r="BQ981" s="10">
        <f t="shared" ca="1" si="1164"/>
        <v>0</v>
      </c>
      <c r="BR981" s="10">
        <f t="shared" ca="1" si="1164"/>
        <v>0</v>
      </c>
      <c r="BS981" s="10">
        <f t="shared" ca="1" si="1164"/>
        <v>0</v>
      </c>
      <c r="BT981" s="10">
        <f t="shared" ca="1" si="1164"/>
        <v>0</v>
      </c>
      <c r="BU981" s="10">
        <f t="shared" ca="1" si="1164"/>
        <v>0</v>
      </c>
      <c r="BV981" s="10">
        <f t="shared" ca="1" si="1164"/>
        <v>0</v>
      </c>
      <c r="BW981" s="10">
        <f t="shared" ca="1" si="1164"/>
        <v>0</v>
      </c>
      <c r="BX981" s="10">
        <f t="shared" ref="BX981:CO981" ca="1" si="1165">-(MAX(0,IF(MonthsCumulated/Months_in_Period&gt;=VAT_Periods_Receivable,OFFSET(BX980,0,-VAT_Periods_Receivable))))*Flag_Financial_Model * IF($E$976=1,Flag_Operations,1) -  BV979*Flag_First_Operations * ($E$976=1)</f>
        <v>0</v>
      </c>
      <c r="BY981" s="10">
        <f t="shared" ca="1" si="1165"/>
        <v>0</v>
      </c>
      <c r="BZ981" s="10">
        <f t="shared" ca="1" si="1165"/>
        <v>0</v>
      </c>
      <c r="CA981" s="10">
        <f t="shared" ca="1" si="1165"/>
        <v>0</v>
      </c>
      <c r="CB981" s="10">
        <f t="shared" ca="1" si="1165"/>
        <v>0</v>
      </c>
      <c r="CC981" s="10">
        <f t="shared" ca="1" si="1165"/>
        <v>0</v>
      </c>
      <c r="CD981" s="10">
        <f t="shared" ca="1" si="1165"/>
        <v>0</v>
      </c>
      <c r="CE981" s="10">
        <f t="shared" ca="1" si="1165"/>
        <v>0</v>
      </c>
      <c r="CF981" s="10">
        <f t="shared" ca="1" si="1165"/>
        <v>0</v>
      </c>
      <c r="CG981" s="10">
        <f t="shared" ca="1" si="1165"/>
        <v>0</v>
      </c>
      <c r="CH981" s="10">
        <f t="shared" ca="1" si="1165"/>
        <v>0</v>
      </c>
      <c r="CI981" s="10">
        <f t="shared" ca="1" si="1165"/>
        <v>0</v>
      </c>
      <c r="CJ981" s="10">
        <f t="shared" ca="1" si="1165"/>
        <v>0</v>
      </c>
      <c r="CK981" s="10">
        <f t="shared" ca="1" si="1165"/>
        <v>0</v>
      </c>
      <c r="CL981" s="10">
        <f t="shared" ca="1" si="1165"/>
        <v>0</v>
      </c>
      <c r="CM981" s="10">
        <f t="shared" ca="1" si="1165"/>
        <v>0</v>
      </c>
      <c r="CN981" s="10">
        <f t="shared" ca="1" si="1165"/>
        <v>0</v>
      </c>
      <c r="CO981" s="10">
        <f t="shared" ca="1" si="1165"/>
        <v>0</v>
      </c>
      <c r="CP981" s="10"/>
      <c r="CQ981" s="10" t="e">
        <f t="shared" ref="CQ981:DC981" ca="1" si="1166">-(MAX(0,IF(MonthsCumulated/Months_in_Period&gt;=VAT_Periods_Receivable,OFFSET(CQ980,0,-VAT_Periods_Receivable))))*Flag_Financial_Model * IF($E$861=1,Flag_Operations,1) -  CO979*Flag_First_Operations * ($E$861=1)</f>
        <v>#VALUE!</v>
      </c>
      <c r="CR981" s="10" t="e">
        <f t="shared" ca="1" si="1166"/>
        <v>#VALUE!</v>
      </c>
      <c r="CS981" s="10" t="e">
        <f t="shared" ca="1" si="1166"/>
        <v>#VALUE!</v>
      </c>
      <c r="CT981" s="10" t="e">
        <f t="shared" ca="1" si="1166"/>
        <v>#VALUE!</v>
      </c>
      <c r="CU981" s="10" t="e">
        <f t="shared" ca="1" si="1166"/>
        <v>#VALUE!</v>
      </c>
      <c r="CV981" s="10" t="e">
        <f t="shared" ca="1" si="1166"/>
        <v>#VALUE!</v>
      </c>
      <c r="CW981" s="10" t="e">
        <f t="shared" ca="1" si="1166"/>
        <v>#VALUE!</v>
      </c>
      <c r="CX981" s="10" t="e">
        <f t="shared" ca="1" si="1166"/>
        <v>#VALUE!</v>
      </c>
      <c r="CY981" s="10" t="e">
        <f t="shared" ca="1" si="1166"/>
        <v>#VALUE!</v>
      </c>
      <c r="CZ981" s="10" t="e">
        <f t="shared" ca="1" si="1166"/>
        <v>#VALUE!</v>
      </c>
      <c r="DA981" s="10" t="e">
        <f t="shared" ca="1" si="1166"/>
        <v>#VALUE!</v>
      </c>
      <c r="DB981" s="10" t="e">
        <f t="shared" ca="1" si="1166"/>
        <v>#VALUE!</v>
      </c>
      <c r="DC981" s="10" t="e">
        <f t="shared" ca="1" si="1166"/>
        <v>#VALUE!</v>
      </c>
      <c r="DD981" s="10" t="e">
        <f t="shared" ref="DD981:EA981" ca="1" si="1167">-(MAX(0,IF(MonthsCumulated/Months_in_Period&gt;=VAT_Periods_Receivable,OFFSET(DD980,0,-VAT_Periods_Receivable))))*Flag_Financial_Model * IF($E$861=1,Flag_Operations,1) -  DB979*Flag_First_Operations * ($E$861=1)</f>
        <v>#VALUE!</v>
      </c>
      <c r="DE981" s="10" t="e">
        <f t="shared" ca="1" si="1167"/>
        <v>#VALUE!</v>
      </c>
      <c r="DF981" s="10" t="e">
        <f t="shared" ca="1" si="1167"/>
        <v>#VALUE!</v>
      </c>
      <c r="DG981" s="10" t="e">
        <f t="shared" ca="1" si="1167"/>
        <v>#VALUE!</v>
      </c>
      <c r="DH981" s="10" t="e">
        <f t="shared" ca="1" si="1167"/>
        <v>#VALUE!</v>
      </c>
      <c r="DI981" s="10" t="e">
        <f t="shared" ca="1" si="1167"/>
        <v>#VALUE!</v>
      </c>
      <c r="DJ981" s="10" t="e">
        <f t="shared" ca="1" si="1167"/>
        <v>#VALUE!</v>
      </c>
      <c r="DK981" s="10" t="e">
        <f t="shared" ca="1" si="1167"/>
        <v>#VALUE!</v>
      </c>
      <c r="DL981" s="10" t="e">
        <f t="shared" ca="1" si="1167"/>
        <v>#VALUE!</v>
      </c>
      <c r="DM981" s="10" t="e">
        <f t="shared" ca="1" si="1167"/>
        <v>#VALUE!</v>
      </c>
      <c r="DN981" s="10" t="e">
        <f t="shared" ca="1" si="1167"/>
        <v>#VALUE!</v>
      </c>
      <c r="DO981" s="10" t="e">
        <f t="shared" ca="1" si="1167"/>
        <v>#VALUE!</v>
      </c>
      <c r="DP981" s="10" t="e">
        <f t="shared" ca="1" si="1167"/>
        <v>#VALUE!</v>
      </c>
      <c r="DQ981" s="10" t="e">
        <f t="shared" ca="1" si="1167"/>
        <v>#VALUE!</v>
      </c>
      <c r="DR981" s="10" t="e">
        <f t="shared" ca="1" si="1167"/>
        <v>#VALUE!</v>
      </c>
      <c r="DS981" s="10" t="e">
        <f t="shared" ca="1" si="1167"/>
        <v>#VALUE!</v>
      </c>
      <c r="DT981" s="10" t="e">
        <f t="shared" ca="1" si="1167"/>
        <v>#VALUE!</v>
      </c>
      <c r="DU981" s="10" t="e">
        <f t="shared" ca="1" si="1167"/>
        <v>#VALUE!</v>
      </c>
      <c r="DV981" s="10" t="e">
        <f t="shared" ca="1" si="1167"/>
        <v>#VALUE!</v>
      </c>
      <c r="DW981" s="10" t="e">
        <f t="shared" ca="1" si="1167"/>
        <v>#VALUE!</v>
      </c>
      <c r="DX981" s="10" t="e">
        <f t="shared" ca="1" si="1167"/>
        <v>#VALUE!</v>
      </c>
      <c r="DY981" s="10" t="e">
        <f t="shared" ca="1" si="1167"/>
        <v>#VALUE!</v>
      </c>
      <c r="DZ981" s="10" t="e">
        <f t="shared" ca="1" si="1167"/>
        <v>#VALUE!</v>
      </c>
      <c r="EA981" s="10" t="e">
        <f t="shared" ca="1" si="1167"/>
        <v>#VALUE!</v>
      </c>
    </row>
    <row r="982" spans="1:131">
      <c r="A982" s="10"/>
      <c r="B982" s="10"/>
      <c r="C982" s="17" t="s">
        <v>400</v>
      </c>
      <c r="D982" s="10"/>
      <c r="E982" s="62"/>
      <c r="F982" s="10"/>
      <c r="G982" s="134" t="str">
        <f>Monetary_Unit</f>
        <v>тыс. руб.</v>
      </c>
      <c r="H982" s="10"/>
      <c r="I982" s="23">
        <f ca="1">SUM(L982:AV982)</f>
        <v>0</v>
      </c>
      <c r="J982" s="10"/>
      <c r="K982" s="10"/>
      <c r="L982" s="10">
        <f ca="1">-MAX(SUM(L979:L981),0)*Flag_Last_Operations</f>
        <v>0</v>
      </c>
      <c r="M982" s="10">
        <f t="shared" ref="M982:BX982" ca="1" si="1168">-MAX(SUM(M979:M981),0)*Flag_Last_Operations</f>
        <v>0</v>
      </c>
      <c r="N982" s="10">
        <f t="shared" ca="1" si="1168"/>
        <v>0</v>
      </c>
      <c r="O982" s="10">
        <f t="shared" ca="1" si="1168"/>
        <v>0</v>
      </c>
      <c r="P982" s="10">
        <f t="shared" ca="1" si="1168"/>
        <v>0</v>
      </c>
      <c r="Q982" s="10">
        <f t="shared" ca="1" si="1168"/>
        <v>0</v>
      </c>
      <c r="R982" s="10">
        <f t="shared" ca="1" si="1168"/>
        <v>0</v>
      </c>
      <c r="S982" s="10">
        <f t="shared" ca="1" si="1168"/>
        <v>0</v>
      </c>
      <c r="T982" s="10">
        <f t="shared" ca="1" si="1168"/>
        <v>0</v>
      </c>
      <c r="U982" s="10">
        <f t="shared" ca="1" si="1168"/>
        <v>0</v>
      </c>
      <c r="V982" s="10">
        <f t="shared" ca="1" si="1168"/>
        <v>0</v>
      </c>
      <c r="W982" s="10">
        <f t="shared" ca="1" si="1168"/>
        <v>0</v>
      </c>
      <c r="X982" s="10">
        <f t="shared" ca="1" si="1168"/>
        <v>0</v>
      </c>
      <c r="Y982" s="10">
        <f t="shared" ca="1" si="1168"/>
        <v>0</v>
      </c>
      <c r="Z982" s="10">
        <f t="shared" ca="1" si="1168"/>
        <v>0</v>
      </c>
      <c r="AA982" s="10">
        <f t="shared" ca="1" si="1168"/>
        <v>0</v>
      </c>
      <c r="AB982" s="10">
        <f t="shared" ca="1" si="1168"/>
        <v>0</v>
      </c>
      <c r="AC982" s="10">
        <f t="shared" ca="1" si="1168"/>
        <v>0</v>
      </c>
      <c r="AD982" s="10">
        <f t="shared" ca="1" si="1168"/>
        <v>0</v>
      </c>
      <c r="AE982" s="10">
        <f t="shared" ca="1" si="1168"/>
        <v>0</v>
      </c>
      <c r="AF982" s="10">
        <f t="shared" ca="1" si="1168"/>
        <v>0</v>
      </c>
      <c r="AG982" s="10">
        <f t="shared" ca="1" si="1168"/>
        <v>0</v>
      </c>
      <c r="AH982" s="10">
        <f t="shared" ca="1" si="1168"/>
        <v>0</v>
      </c>
      <c r="AI982" s="10">
        <f t="shared" ca="1" si="1168"/>
        <v>0</v>
      </c>
      <c r="AJ982" s="10">
        <f t="shared" ca="1" si="1168"/>
        <v>0</v>
      </c>
      <c r="AK982" s="10">
        <f t="shared" ca="1" si="1168"/>
        <v>0</v>
      </c>
      <c r="AL982" s="10">
        <f t="shared" ca="1" si="1168"/>
        <v>0</v>
      </c>
      <c r="AM982" s="10">
        <f t="shared" ca="1" si="1168"/>
        <v>0</v>
      </c>
      <c r="AN982" s="10">
        <f t="shared" ca="1" si="1168"/>
        <v>0</v>
      </c>
      <c r="AO982" s="10">
        <f t="shared" ca="1" si="1168"/>
        <v>0</v>
      </c>
      <c r="AP982" s="10">
        <f t="shared" ca="1" si="1168"/>
        <v>0</v>
      </c>
      <c r="AQ982" s="10">
        <f t="shared" ca="1" si="1168"/>
        <v>0</v>
      </c>
      <c r="AR982" s="10">
        <f t="shared" ca="1" si="1168"/>
        <v>0</v>
      </c>
      <c r="AS982" s="10">
        <f t="shared" ca="1" si="1168"/>
        <v>0</v>
      </c>
      <c r="AT982" s="10">
        <f t="shared" ca="1" si="1168"/>
        <v>0</v>
      </c>
      <c r="AU982" s="10">
        <f t="shared" ca="1" si="1168"/>
        <v>0</v>
      </c>
      <c r="AV982" s="10">
        <f t="shared" ca="1" si="1168"/>
        <v>0</v>
      </c>
      <c r="AW982" s="10">
        <f t="shared" ca="1" si="1168"/>
        <v>0</v>
      </c>
      <c r="AX982" s="10">
        <f t="shared" ca="1" si="1168"/>
        <v>0</v>
      </c>
      <c r="AY982" s="10">
        <f t="shared" ca="1" si="1168"/>
        <v>0</v>
      </c>
      <c r="AZ982" s="10">
        <f t="shared" ca="1" si="1168"/>
        <v>0</v>
      </c>
      <c r="BA982" s="10">
        <f t="shared" ca="1" si="1168"/>
        <v>0</v>
      </c>
      <c r="BB982" s="10">
        <f t="shared" ca="1" si="1168"/>
        <v>0</v>
      </c>
      <c r="BC982" s="10">
        <f t="shared" ca="1" si="1168"/>
        <v>0</v>
      </c>
      <c r="BD982" s="10">
        <f t="shared" ca="1" si="1168"/>
        <v>0</v>
      </c>
      <c r="BE982" s="10">
        <f t="shared" ca="1" si="1168"/>
        <v>0</v>
      </c>
      <c r="BF982" s="10">
        <f t="shared" ca="1" si="1168"/>
        <v>0</v>
      </c>
      <c r="BG982" s="10">
        <f t="shared" ca="1" si="1168"/>
        <v>0</v>
      </c>
      <c r="BH982" s="10">
        <f t="shared" ca="1" si="1168"/>
        <v>0</v>
      </c>
      <c r="BI982" s="10">
        <f t="shared" ca="1" si="1168"/>
        <v>0</v>
      </c>
      <c r="BJ982" s="10">
        <f t="shared" ca="1" si="1168"/>
        <v>0</v>
      </c>
      <c r="BK982" s="10">
        <f t="shared" ca="1" si="1168"/>
        <v>0</v>
      </c>
      <c r="BL982" s="10">
        <f t="shared" ca="1" si="1168"/>
        <v>0</v>
      </c>
      <c r="BM982" s="10">
        <f t="shared" ca="1" si="1168"/>
        <v>0</v>
      </c>
      <c r="BN982" s="10">
        <f t="shared" ca="1" si="1168"/>
        <v>0</v>
      </c>
      <c r="BO982" s="10">
        <f t="shared" ca="1" si="1168"/>
        <v>0</v>
      </c>
      <c r="BP982" s="10">
        <f t="shared" ca="1" si="1168"/>
        <v>0</v>
      </c>
      <c r="BQ982" s="10">
        <f t="shared" ca="1" si="1168"/>
        <v>0</v>
      </c>
      <c r="BR982" s="10">
        <f t="shared" ca="1" si="1168"/>
        <v>0</v>
      </c>
      <c r="BS982" s="10">
        <f t="shared" ca="1" si="1168"/>
        <v>0</v>
      </c>
      <c r="BT982" s="10">
        <f t="shared" ca="1" si="1168"/>
        <v>0</v>
      </c>
      <c r="BU982" s="10">
        <f t="shared" ca="1" si="1168"/>
        <v>0</v>
      </c>
      <c r="BV982" s="10">
        <f t="shared" ca="1" si="1168"/>
        <v>0</v>
      </c>
      <c r="BW982" s="10">
        <f t="shared" ca="1" si="1168"/>
        <v>0</v>
      </c>
      <c r="BX982" s="10">
        <f t="shared" ca="1" si="1168"/>
        <v>0</v>
      </c>
      <c r="BY982" s="10">
        <f t="shared" ref="BY982:CO982" ca="1" si="1169">-MAX(SUM(BY979:BY981),0)*Flag_Last_Operations</f>
        <v>0</v>
      </c>
      <c r="BZ982" s="10">
        <f t="shared" ca="1" si="1169"/>
        <v>0</v>
      </c>
      <c r="CA982" s="10">
        <f t="shared" ca="1" si="1169"/>
        <v>0</v>
      </c>
      <c r="CB982" s="10">
        <f t="shared" ca="1" si="1169"/>
        <v>0</v>
      </c>
      <c r="CC982" s="10">
        <f t="shared" ca="1" si="1169"/>
        <v>0</v>
      </c>
      <c r="CD982" s="10">
        <f t="shared" ca="1" si="1169"/>
        <v>0</v>
      </c>
      <c r="CE982" s="10">
        <f t="shared" ca="1" si="1169"/>
        <v>0</v>
      </c>
      <c r="CF982" s="10">
        <f t="shared" ca="1" si="1169"/>
        <v>0</v>
      </c>
      <c r="CG982" s="10">
        <f t="shared" ca="1" si="1169"/>
        <v>0</v>
      </c>
      <c r="CH982" s="10">
        <f t="shared" ca="1" si="1169"/>
        <v>0</v>
      </c>
      <c r="CI982" s="10">
        <f t="shared" ca="1" si="1169"/>
        <v>0</v>
      </c>
      <c r="CJ982" s="10">
        <f t="shared" ca="1" si="1169"/>
        <v>0</v>
      </c>
      <c r="CK982" s="10">
        <f t="shared" ca="1" si="1169"/>
        <v>0</v>
      </c>
      <c r="CL982" s="10">
        <f t="shared" ca="1" si="1169"/>
        <v>0</v>
      </c>
      <c r="CM982" s="10">
        <f t="shared" ca="1" si="1169"/>
        <v>0</v>
      </c>
      <c r="CN982" s="10">
        <f t="shared" ca="1" si="1169"/>
        <v>0</v>
      </c>
      <c r="CO982" s="10">
        <f t="shared" ca="1" si="1169"/>
        <v>0</v>
      </c>
      <c r="CP982" s="10"/>
      <c r="CQ982" s="10" t="e">
        <f t="shared" ref="CQ982:EA982" ca="1" si="1170">-MAX(SUM(CQ979:CQ981),0)*Flag_Last_Operations</f>
        <v>#VALUE!</v>
      </c>
      <c r="CR982" s="10" t="e">
        <f t="shared" ca="1" si="1170"/>
        <v>#VALUE!</v>
      </c>
      <c r="CS982" s="10" t="e">
        <f t="shared" ca="1" si="1170"/>
        <v>#VALUE!</v>
      </c>
      <c r="CT982" s="10" t="e">
        <f t="shared" ca="1" si="1170"/>
        <v>#VALUE!</v>
      </c>
      <c r="CU982" s="10" t="e">
        <f t="shared" ca="1" si="1170"/>
        <v>#VALUE!</v>
      </c>
      <c r="CV982" s="10" t="e">
        <f t="shared" ca="1" si="1170"/>
        <v>#VALUE!</v>
      </c>
      <c r="CW982" s="10" t="e">
        <f t="shared" ca="1" si="1170"/>
        <v>#VALUE!</v>
      </c>
      <c r="CX982" s="10" t="e">
        <f t="shared" ca="1" si="1170"/>
        <v>#VALUE!</v>
      </c>
      <c r="CY982" s="10" t="e">
        <f t="shared" ca="1" si="1170"/>
        <v>#VALUE!</v>
      </c>
      <c r="CZ982" s="10" t="e">
        <f t="shared" ca="1" si="1170"/>
        <v>#VALUE!</v>
      </c>
      <c r="DA982" s="10" t="e">
        <f t="shared" ca="1" si="1170"/>
        <v>#VALUE!</v>
      </c>
      <c r="DB982" s="10" t="e">
        <f t="shared" ca="1" si="1170"/>
        <v>#VALUE!</v>
      </c>
      <c r="DC982" s="10" t="e">
        <f t="shared" ca="1" si="1170"/>
        <v>#VALUE!</v>
      </c>
      <c r="DD982" s="10" t="e">
        <f t="shared" ca="1" si="1170"/>
        <v>#VALUE!</v>
      </c>
      <c r="DE982" s="10" t="e">
        <f t="shared" ca="1" si="1170"/>
        <v>#VALUE!</v>
      </c>
      <c r="DF982" s="10" t="e">
        <f t="shared" ca="1" si="1170"/>
        <v>#VALUE!</v>
      </c>
      <c r="DG982" s="10" t="e">
        <f t="shared" ca="1" si="1170"/>
        <v>#VALUE!</v>
      </c>
      <c r="DH982" s="10" t="e">
        <f t="shared" ca="1" si="1170"/>
        <v>#VALUE!</v>
      </c>
      <c r="DI982" s="10" t="e">
        <f t="shared" ca="1" si="1170"/>
        <v>#VALUE!</v>
      </c>
      <c r="DJ982" s="10" t="e">
        <f t="shared" ca="1" si="1170"/>
        <v>#VALUE!</v>
      </c>
      <c r="DK982" s="10" t="e">
        <f t="shared" ca="1" si="1170"/>
        <v>#VALUE!</v>
      </c>
      <c r="DL982" s="10" t="e">
        <f t="shared" ca="1" si="1170"/>
        <v>#VALUE!</v>
      </c>
      <c r="DM982" s="10" t="e">
        <f t="shared" ca="1" si="1170"/>
        <v>#VALUE!</v>
      </c>
      <c r="DN982" s="10" t="e">
        <f t="shared" ca="1" si="1170"/>
        <v>#VALUE!</v>
      </c>
      <c r="DO982" s="10" t="e">
        <f t="shared" ca="1" si="1170"/>
        <v>#VALUE!</v>
      </c>
      <c r="DP982" s="10" t="e">
        <f t="shared" ca="1" si="1170"/>
        <v>#VALUE!</v>
      </c>
      <c r="DQ982" s="10" t="e">
        <f t="shared" ca="1" si="1170"/>
        <v>#VALUE!</v>
      </c>
      <c r="DR982" s="10" t="e">
        <f t="shared" ca="1" si="1170"/>
        <v>#VALUE!</v>
      </c>
      <c r="DS982" s="10" t="e">
        <f t="shared" ca="1" si="1170"/>
        <v>#VALUE!</v>
      </c>
      <c r="DT982" s="10" t="e">
        <f t="shared" ca="1" si="1170"/>
        <v>#VALUE!</v>
      </c>
      <c r="DU982" s="10" t="e">
        <f t="shared" ca="1" si="1170"/>
        <v>#VALUE!</v>
      </c>
      <c r="DV982" s="10" t="e">
        <f t="shared" ca="1" si="1170"/>
        <v>#VALUE!</v>
      </c>
      <c r="DW982" s="10" t="e">
        <f t="shared" ca="1" si="1170"/>
        <v>#VALUE!</v>
      </c>
      <c r="DX982" s="10" t="e">
        <f t="shared" ca="1" si="1170"/>
        <v>#VALUE!</v>
      </c>
      <c r="DY982" s="10" t="e">
        <f t="shared" ca="1" si="1170"/>
        <v>#VALUE!</v>
      </c>
      <c r="DZ982" s="10" t="e">
        <f t="shared" ca="1" si="1170"/>
        <v>#VALUE!</v>
      </c>
      <c r="EA982" s="10" t="e">
        <f t="shared" ca="1" si="1170"/>
        <v>#VALUE!</v>
      </c>
    </row>
    <row r="983" spans="1:131">
      <c r="A983" s="10"/>
      <c r="B983" s="10"/>
      <c r="C983" s="17" t="s">
        <v>149</v>
      </c>
      <c r="D983" s="10"/>
      <c r="E983" s="62"/>
      <c r="F983" s="10"/>
      <c r="G983" s="134" t="str">
        <f>Monetary_Unit</f>
        <v>тыс. руб.</v>
      </c>
      <c r="H983" s="10"/>
      <c r="I983" s="10"/>
      <c r="J983" s="10"/>
      <c r="K983" s="10"/>
      <c r="L983" s="10">
        <f ca="1">SUM(L979:L982)*ABS(SUM(L979:L982)&gt;Accuracy)</f>
        <v>3371.9255688267931</v>
      </c>
      <c r="M983" s="10">
        <f t="shared" ref="M983:BX983" ca="1" si="1171">SUM(M979:M982)*ABS(SUM(M979:M982)&gt;Accuracy)</f>
        <v>6791.7152414601769</v>
      </c>
      <c r="N983" s="10">
        <f t="shared" ca="1" si="1171"/>
        <v>10260.048443464699</v>
      </c>
      <c r="O983" s="10">
        <f t="shared" ca="1" si="1171"/>
        <v>13777.614244774297</v>
      </c>
      <c r="P983" s="10">
        <f t="shared" ca="1" si="1171"/>
        <v>43359.362682235027</v>
      </c>
      <c r="Q983" s="10">
        <f t="shared" ca="1" si="1171"/>
        <v>73232.59211347939</v>
      </c>
      <c r="R983" s="10">
        <f t="shared" ca="1" si="1171"/>
        <v>103400.17461924042</v>
      </c>
      <c r="S983" s="10">
        <f t="shared" ca="1" si="1171"/>
        <v>133865.01058003027</v>
      </c>
      <c r="T983" s="10">
        <f t="shared" ca="1" si="1171"/>
        <v>164630.02895498942</v>
      </c>
      <c r="U983" s="10">
        <f t="shared" ca="1" si="1171"/>
        <v>195698.18756348355</v>
      </c>
      <c r="V983" s="10">
        <f t="shared" ca="1" si="1171"/>
        <v>227072.47336947499</v>
      </c>
      <c r="W983" s="10">
        <f t="shared" ca="1" si="1171"/>
        <v>258755.90276869643</v>
      </c>
      <c r="X983" s="10">
        <f t="shared" ca="1" si="1171"/>
        <v>320018.48440477223</v>
      </c>
      <c r="Y983" s="10">
        <f t="shared" ca="1" si="1171"/>
        <v>381884.71116394771</v>
      </c>
      <c r="Z983" s="10">
        <f t="shared" ca="1" si="1171"/>
        <v>444360.53100703203</v>
      </c>
      <c r="AA983" s="10">
        <f t="shared" ca="1" si="1171"/>
        <v>507451.95050251036</v>
      </c>
      <c r="AB983" s="10">
        <f t="shared" ca="1" si="1171"/>
        <v>617457.09245746897</v>
      </c>
      <c r="AC983" s="10">
        <f t="shared" ca="1" si="1171"/>
        <v>121428.02920217993</v>
      </c>
      <c r="AD983" s="10">
        <f t="shared" ca="1" si="1171"/>
        <v>34701.708549080751</v>
      </c>
      <c r="AE983" s="10">
        <f t="shared" ca="1" si="1171"/>
        <v>31070.638644128147</v>
      </c>
      <c r="AF983" s="10">
        <f t="shared" ca="1" si="1171"/>
        <v>14700.667816023994</v>
      </c>
      <c r="AG983" s="10">
        <f t="shared" ca="1" si="1171"/>
        <v>20227.653593953357</v>
      </c>
      <c r="AH983" s="10">
        <f t="shared" ca="1" si="1171"/>
        <v>40380.377028203075</v>
      </c>
      <c r="AI983" s="10">
        <f t="shared" ca="1" si="1171"/>
        <v>36088.522521832834</v>
      </c>
      <c r="AJ983" s="10">
        <f t="shared" ca="1" si="1171"/>
        <v>17007.613631732082</v>
      </c>
      <c r="AK983" s="10">
        <f t="shared" ca="1" si="1171"/>
        <v>23328.78066132166</v>
      </c>
      <c r="AL983" s="10">
        <f t="shared" ca="1" si="1171"/>
        <v>46457.816251976634</v>
      </c>
      <c r="AM983" s="10">
        <f t="shared" ca="1" si="1171"/>
        <v>41458.124087923301</v>
      </c>
      <c r="AN983" s="10">
        <f t="shared" ca="1" si="1171"/>
        <v>19576.871271697313</v>
      </c>
      <c r="AO983" s="10">
        <f t="shared" ca="1" si="1171"/>
        <v>26746.773759182026</v>
      </c>
      <c r="AP983" s="10">
        <f t="shared" ca="1" si="1171"/>
        <v>52185.492330910318</v>
      </c>
      <c r="AQ983" s="10">
        <f t="shared" ca="1" si="1171"/>
        <v>45928.791812796888</v>
      </c>
      <c r="AR983" s="10">
        <f t="shared" ca="1" si="1171"/>
        <v>20968.975362169323</v>
      </c>
      <c r="AS983" s="10">
        <f t="shared" ca="1" si="1171"/>
        <v>27926.551520276014</v>
      </c>
      <c r="AT983" s="10">
        <f t="shared" ca="1" si="1171"/>
        <v>54273.200214382341</v>
      </c>
      <c r="AU983" s="10">
        <f t="shared" ca="1" si="1171"/>
        <v>47766.236097688132</v>
      </c>
      <c r="AV983" s="10">
        <f t="shared" ca="1" si="1171"/>
        <v>21807.881400119149</v>
      </c>
      <c r="AW983" s="10">
        <f t="shared" ca="1" si="1171"/>
        <v>10095.643909971306</v>
      </c>
      <c r="AX983" s="10">
        <f t="shared" ca="1" si="1171"/>
        <v>0</v>
      </c>
      <c r="AY983" s="10">
        <f t="shared" ca="1" si="1171"/>
        <v>0</v>
      </c>
      <c r="AZ983" s="10">
        <f t="shared" ca="1" si="1171"/>
        <v>0</v>
      </c>
      <c r="BA983" s="10">
        <f t="shared" ca="1" si="1171"/>
        <v>0</v>
      </c>
      <c r="BB983" s="10">
        <f t="shared" ca="1" si="1171"/>
        <v>0</v>
      </c>
      <c r="BC983" s="10">
        <f t="shared" ca="1" si="1171"/>
        <v>0</v>
      </c>
      <c r="BD983" s="10">
        <f t="shared" ca="1" si="1171"/>
        <v>0</v>
      </c>
      <c r="BE983" s="10">
        <f t="shared" ca="1" si="1171"/>
        <v>0</v>
      </c>
      <c r="BF983" s="10">
        <f t="shared" ca="1" si="1171"/>
        <v>0</v>
      </c>
      <c r="BG983" s="10">
        <f t="shared" ca="1" si="1171"/>
        <v>0</v>
      </c>
      <c r="BH983" s="10">
        <f t="shared" ca="1" si="1171"/>
        <v>0</v>
      </c>
      <c r="BI983" s="10">
        <f t="shared" ca="1" si="1171"/>
        <v>0</v>
      </c>
      <c r="BJ983" s="10">
        <f t="shared" ca="1" si="1171"/>
        <v>0</v>
      </c>
      <c r="BK983" s="10">
        <f t="shared" ca="1" si="1171"/>
        <v>0</v>
      </c>
      <c r="BL983" s="10">
        <f t="shared" ca="1" si="1171"/>
        <v>0</v>
      </c>
      <c r="BM983" s="10">
        <f t="shared" ca="1" si="1171"/>
        <v>0</v>
      </c>
      <c r="BN983" s="10">
        <f t="shared" ca="1" si="1171"/>
        <v>0</v>
      </c>
      <c r="BO983" s="10">
        <f t="shared" ca="1" si="1171"/>
        <v>0</v>
      </c>
      <c r="BP983" s="10">
        <f t="shared" ca="1" si="1171"/>
        <v>0</v>
      </c>
      <c r="BQ983" s="10">
        <f t="shared" ca="1" si="1171"/>
        <v>0</v>
      </c>
      <c r="BR983" s="10">
        <f t="shared" ca="1" si="1171"/>
        <v>0</v>
      </c>
      <c r="BS983" s="10">
        <f t="shared" ca="1" si="1171"/>
        <v>0</v>
      </c>
      <c r="BT983" s="10">
        <f t="shared" ca="1" si="1171"/>
        <v>0</v>
      </c>
      <c r="BU983" s="10">
        <f t="shared" ca="1" si="1171"/>
        <v>0</v>
      </c>
      <c r="BV983" s="10">
        <f t="shared" ca="1" si="1171"/>
        <v>0</v>
      </c>
      <c r="BW983" s="10">
        <f t="shared" ca="1" si="1171"/>
        <v>0</v>
      </c>
      <c r="BX983" s="10">
        <f t="shared" ca="1" si="1171"/>
        <v>0</v>
      </c>
      <c r="BY983" s="10">
        <f t="shared" ref="BY983:CO983" ca="1" si="1172">SUM(BY979:BY982)*ABS(SUM(BY979:BY982)&gt;Accuracy)</f>
        <v>0</v>
      </c>
      <c r="BZ983" s="10">
        <f t="shared" ca="1" si="1172"/>
        <v>0</v>
      </c>
      <c r="CA983" s="10">
        <f t="shared" ca="1" si="1172"/>
        <v>0</v>
      </c>
      <c r="CB983" s="10">
        <f t="shared" ca="1" si="1172"/>
        <v>0</v>
      </c>
      <c r="CC983" s="10">
        <f t="shared" ca="1" si="1172"/>
        <v>0</v>
      </c>
      <c r="CD983" s="10">
        <f t="shared" ca="1" si="1172"/>
        <v>0</v>
      </c>
      <c r="CE983" s="10">
        <f t="shared" ca="1" si="1172"/>
        <v>0</v>
      </c>
      <c r="CF983" s="10">
        <f t="shared" ca="1" si="1172"/>
        <v>0</v>
      </c>
      <c r="CG983" s="10">
        <f t="shared" ca="1" si="1172"/>
        <v>0</v>
      </c>
      <c r="CH983" s="10">
        <f t="shared" ca="1" si="1172"/>
        <v>0</v>
      </c>
      <c r="CI983" s="10">
        <f t="shared" ca="1" si="1172"/>
        <v>0</v>
      </c>
      <c r="CJ983" s="10">
        <f t="shared" ca="1" si="1172"/>
        <v>0</v>
      </c>
      <c r="CK983" s="10">
        <f t="shared" ca="1" si="1172"/>
        <v>0</v>
      </c>
      <c r="CL983" s="10">
        <f t="shared" ca="1" si="1172"/>
        <v>0</v>
      </c>
      <c r="CM983" s="10">
        <f t="shared" ca="1" si="1172"/>
        <v>0</v>
      </c>
      <c r="CN983" s="10">
        <f t="shared" ca="1" si="1172"/>
        <v>0</v>
      </c>
      <c r="CO983" s="10">
        <f t="shared" ca="1" si="1172"/>
        <v>0</v>
      </c>
      <c r="CP983" s="10"/>
      <c r="CQ983" s="10" t="e">
        <f t="shared" ref="CQ983:EA983" ca="1" si="1173">SUM(CQ979:CQ982)*ABS(SUM(CQ979:CQ982)&gt;Accuracy)</f>
        <v>#VALUE!</v>
      </c>
      <c r="CR983" s="10" t="e">
        <f t="shared" ca="1" si="1173"/>
        <v>#VALUE!</v>
      </c>
      <c r="CS983" s="10" t="e">
        <f t="shared" ca="1" si="1173"/>
        <v>#VALUE!</v>
      </c>
      <c r="CT983" s="10" t="e">
        <f t="shared" ca="1" si="1173"/>
        <v>#VALUE!</v>
      </c>
      <c r="CU983" s="10" t="e">
        <f t="shared" ca="1" si="1173"/>
        <v>#VALUE!</v>
      </c>
      <c r="CV983" s="10" t="e">
        <f t="shared" ca="1" si="1173"/>
        <v>#VALUE!</v>
      </c>
      <c r="CW983" s="10" t="e">
        <f t="shared" ca="1" si="1173"/>
        <v>#VALUE!</v>
      </c>
      <c r="CX983" s="10" t="e">
        <f t="shared" ca="1" si="1173"/>
        <v>#VALUE!</v>
      </c>
      <c r="CY983" s="10" t="e">
        <f t="shared" ca="1" si="1173"/>
        <v>#VALUE!</v>
      </c>
      <c r="CZ983" s="10" t="e">
        <f t="shared" ca="1" si="1173"/>
        <v>#VALUE!</v>
      </c>
      <c r="DA983" s="10" t="e">
        <f t="shared" ca="1" si="1173"/>
        <v>#VALUE!</v>
      </c>
      <c r="DB983" s="10" t="e">
        <f t="shared" ca="1" si="1173"/>
        <v>#VALUE!</v>
      </c>
      <c r="DC983" s="10" t="e">
        <f t="shared" ca="1" si="1173"/>
        <v>#VALUE!</v>
      </c>
      <c r="DD983" s="10" t="e">
        <f t="shared" ca="1" si="1173"/>
        <v>#VALUE!</v>
      </c>
      <c r="DE983" s="10" t="e">
        <f t="shared" ca="1" si="1173"/>
        <v>#VALUE!</v>
      </c>
      <c r="DF983" s="10" t="e">
        <f t="shared" ca="1" si="1173"/>
        <v>#VALUE!</v>
      </c>
      <c r="DG983" s="10" t="e">
        <f t="shared" ca="1" si="1173"/>
        <v>#VALUE!</v>
      </c>
      <c r="DH983" s="10" t="e">
        <f t="shared" ca="1" si="1173"/>
        <v>#VALUE!</v>
      </c>
      <c r="DI983" s="10" t="e">
        <f t="shared" ca="1" si="1173"/>
        <v>#VALUE!</v>
      </c>
      <c r="DJ983" s="10" t="e">
        <f t="shared" ca="1" si="1173"/>
        <v>#VALUE!</v>
      </c>
      <c r="DK983" s="10" t="e">
        <f t="shared" ca="1" si="1173"/>
        <v>#VALUE!</v>
      </c>
      <c r="DL983" s="10" t="e">
        <f t="shared" ca="1" si="1173"/>
        <v>#VALUE!</v>
      </c>
      <c r="DM983" s="10" t="e">
        <f t="shared" ca="1" si="1173"/>
        <v>#VALUE!</v>
      </c>
      <c r="DN983" s="10" t="e">
        <f t="shared" ca="1" si="1173"/>
        <v>#VALUE!</v>
      </c>
      <c r="DO983" s="10" t="e">
        <f t="shared" ca="1" si="1173"/>
        <v>#VALUE!</v>
      </c>
      <c r="DP983" s="10" t="e">
        <f t="shared" ca="1" si="1173"/>
        <v>#VALUE!</v>
      </c>
      <c r="DQ983" s="10" t="e">
        <f t="shared" ca="1" si="1173"/>
        <v>#VALUE!</v>
      </c>
      <c r="DR983" s="10" t="e">
        <f t="shared" ca="1" si="1173"/>
        <v>#VALUE!</v>
      </c>
      <c r="DS983" s="10" t="e">
        <f t="shared" ca="1" si="1173"/>
        <v>#VALUE!</v>
      </c>
      <c r="DT983" s="10" t="e">
        <f t="shared" ca="1" si="1173"/>
        <v>#VALUE!</v>
      </c>
      <c r="DU983" s="10" t="e">
        <f t="shared" ca="1" si="1173"/>
        <v>#VALUE!</v>
      </c>
      <c r="DV983" s="10" t="e">
        <f t="shared" ca="1" si="1173"/>
        <v>#VALUE!</v>
      </c>
      <c r="DW983" s="10" t="e">
        <f t="shared" ca="1" si="1173"/>
        <v>#VALUE!</v>
      </c>
      <c r="DX983" s="10" t="e">
        <f t="shared" ca="1" si="1173"/>
        <v>#VALUE!</v>
      </c>
      <c r="DY983" s="10" t="e">
        <f t="shared" ca="1" si="1173"/>
        <v>#VALUE!</v>
      </c>
      <c r="DZ983" s="10" t="e">
        <f t="shared" ca="1" si="1173"/>
        <v>#VALUE!</v>
      </c>
      <c r="EA983" s="10" t="e">
        <f t="shared" ca="1" si="1173"/>
        <v>#VALUE!</v>
      </c>
    </row>
    <row r="984" spans="1:131">
      <c r="A984" s="10"/>
      <c r="B984" s="10"/>
      <c r="C984" s="17" t="s">
        <v>150</v>
      </c>
      <c r="D984" s="10"/>
      <c r="E984" s="62"/>
      <c r="F984" s="10"/>
      <c r="G984" s="11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  <c r="BA984" s="10"/>
      <c r="BB984" s="10"/>
      <c r="BC984" s="10"/>
      <c r="BD984" s="10"/>
      <c r="BE984" s="10"/>
      <c r="BF984" s="10"/>
      <c r="BG984" s="10"/>
      <c r="BH984" s="10"/>
      <c r="BI984" s="10"/>
      <c r="BJ984" s="10"/>
      <c r="BK984" s="10"/>
      <c r="BL984" s="10"/>
      <c r="BM984" s="10"/>
      <c r="BN984" s="10"/>
      <c r="BO984" s="10"/>
      <c r="BP984" s="10"/>
      <c r="BQ984" s="10"/>
      <c r="BR984" s="10"/>
      <c r="BS984" s="10"/>
      <c r="BT984" s="10"/>
      <c r="BU984" s="10"/>
      <c r="BV984" s="10"/>
      <c r="BW984" s="10"/>
      <c r="BX984" s="10"/>
      <c r="BY984" s="10"/>
      <c r="BZ984" s="10"/>
      <c r="CA984" s="10"/>
      <c r="CB984" s="10"/>
      <c r="CC984" s="10"/>
      <c r="CD984" s="10"/>
      <c r="CE984" s="10"/>
      <c r="CF984" s="10"/>
      <c r="CG984" s="10"/>
      <c r="CH984" s="10"/>
      <c r="CI984" s="10"/>
      <c r="CJ984" s="10"/>
      <c r="CK984" s="10"/>
      <c r="CL984" s="10"/>
      <c r="CM984" s="10"/>
      <c r="CN984" s="10"/>
      <c r="CO984" s="10"/>
    </row>
    <row r="985" spans="1:131">
      <c r="A985" s="10"/>
      <c r="B985" s="10"/>
      <c r="C985" s="17" t="s">
        <v>401</v>
      </c>
      <c r="D985" s="10"/>
      <c r="E985" s="62"/>
      <c r="F985" s="10"/>
      <c r="G985" s="134" t="str">
        <f>Monetary_Unit</f>
        <v>тыс. руб.</v>
      </c>
      <c r="H985" s="10"/>
      <c r="I985" s="10"/>
      <c r="J985" s="10"/>
      <c r="K985" s="10"/>
      <c r="L985" s="10">
        <f t="shared" ref="L985:AQ985" ca="1" si="1174">L983 - VAT_Payable</f>
        <v>3371.9255688267931</v>
      </c>
      <c r="M985" s="10">
        <f t="shared" ca="1" si="1174"/>
        <v>6791.7152414601769</v>
      </c>
      <c r="N985" s="10">
        <f t="shared" ca="1" si="1174"/>
        <v>10260.048443464699</v>
      </c>
      <c r="O985" s="10">
        <f t="shared" ca="1" si="1174"/>
        <v>13777.614244774297</v>
      </c>
      <c r="P985" s="10">
        <f t="shared" ca="1" si="1174"/>
        <v>43359.362682235027</v>
      </c>
      <c r="Q985" s="10">
        <f t="shared" ca="1" si="1174"/>
        <v>73232.59211347939</v>
      </c>
      <c r="R985" s="10">
        <f t="shared" ca="1" si="1174"/>
        <v>103400.17461924042</v>
      </c>
      <c r="S985" s="10">
        <f t="shared" ca="1" si="1174"/>
        <v>133865.01058003027</v>
      </c>
      <c r="T985" s="10">
        <f t="shared" ca="1" si="1174"/>
        <v>164630.02895498942</v>
      </c>
      <c r="U985" s="10">
        <f t="shared" ca="1" si="1174"/>
        <v>195698.18756348355</v>
      </c>
      <c r="V985" s="10">
        <f t="shared" ca="1" si="1174"/>
        <v>227072.47336947499</v>
      </c>
      <c r="W985" s="10">
        <f t="shared" ca="1" si="1174"/>
        <v>258755.90276869643</v>
      </c>
      <c r="X985" s="10">
        <f t="shared" ca="1" si="1174"/>
        <v>320018.48440477223</v>
      </c>
      <c r="Y985" s="10">
        <f t="shared" ca="1" si="1174"/>
        <v>381884.71116394771</v>
      </c>
      <c r="Z985" s="10">
        <f t="shared" ca="1" si="1174"/>
        <v>444360.53100703203</v>
      </c>
      <c r="AA985" s="10">
        <f t="shared" ca="1" si="1174"/>
        <v>507451.95050251036</v>
      </c>
      <c r="AB985" s="10">
        <f t="shared" ca="1" si="1174"/>
        <v>617457.09245746897</v>
      </c>
      <c r="AC985" s="10">
        <f t="shared" ca="1" si="1174"/>
        <v>121428.02920217993</v>
      </c>
      <c r="AD985" s="10">
        <f t="shared" ca="1" si="1174"/>
        <v>34701.708549080751</v>
      </c>
      <c r="AE985" s="10">
        <f t="shared" ca="1" si="1174"/>
        <v>31070.638644128147</v>
      </c>
      <c r="AF985" s="10">
        <f t="shared" ca="1" si="1174"/>
        <v>14700.667816023994</v>
      </c>
      <c r="AG985" s="10">
        <f t="shared" ca="1" si="1174"/>
        <v>20227.653593953357</v>
      </c>
      <c r="AH985" s="10">
        <f t="shared" ca="1" si="1174"/>
        <v>40380.377028203075</v>
      </c>
      <c r="AI985" s="10">
        <f t="shared" ca="1" si="1174"/>
        <v>36088.522521832834</v>
      </c>
      <c r="AJ985" s="10">
        <f t="shared" ca="1" si="1174"/>
        <v>17007.613631732082</v>
      </c>
      <c r="AK985" s="10">
        <f t="shared" ca="1" si="1174"/>
        <v>23328.78066132166</v>
      </c>
      <c r="AL985" s="10">
        <f t="shared" ca="1" si="1174"/>
        <v>46457.816251976634</v>
      </c>
      <c r="AM985" s="10">
        <f t="shared" ca="1" si="1174"/>
        <v>41458.124087923301</v>
      </c>
      <c r="AN985" s="10">
        <f t="shared" ca="1" si="1174"/>
        <v>19576.871271697313</v>
      </c>
      <c r="AO985" s="10">
        <f t="shared" ca="1" si="1174"/>
        <v>26746.773759182026</v>
      </c>
      <c r="AP985" s="10">
        <f t="shared" ca="1" si="1174"/>
        <v>52185.492330910318</v>
      </c>
      <c r="AQ985" s="10">
        <f t="shared" ca="1" si="1174"/>
        <v>45928.791812796888</v>
      </c>
      <c r="AR985" s="10">
        <f t="shared" ref="AR985:BW985" ca="1" si="1175">AR983 - VAT_Payable</f>
        <v>20968.975362169323</v>
      </c>
      <c r="AS985" s="10">
        <f t="shared" ca="1" si="1175"/>
        <v>27926.551520276014</v>
      </c>
      <c r="AT985" s="10">
        <f t="shared" ca="1" si="1175"/>
        <v>54273.200214382341</v>
      </c>
      <c r="AU985" s="10">
        <f t="shared" ca="1" si="1175"/>
        <v>47766.236097688132</v>
      </c>
      <c r="AV985" s="10">
        <f t="shared" ca="1" si="1175"/>
        <v>21807.881400119149</v>
      </c>
      <c r="AW985" s="10">
        <f t="shared" ca="1" si="1175"/>
        <v>-36383.610476491071</v>
      </c>
      <c r="AX985" s="10">
        <f t="shared" ca="1" si="1175"/>
        <v>-87172.977251210803</v>
      </c>
      <c r="AY985" s="10">
        <f t="shared" ca="1" si="1175"/>
        <v>-30782.112161338227</v>
      </c>
      <c r="AZ985" s="10">
        <f t="shared" ca="1" si="1175"/>
        <v>-26999.055032837514</v>
      </c>
      <c r="BA985" s="10">
        <f t="shared" ca="1" si="1175"/>
        <v>-48338.424561920867</v>
      </c>
      <c r="BB985" s="10">
        <f t="shared" ca="1" si="1175"/>
        <v>-90659.896341259184</v>
      </c>
      <c r="BC985" s="10">
        <f t="shared" ca="1" si="1175"/>
        <v>-32013.396647791713</v>
      </c>
      <c r="BD985" s="10">
        <f t="shared" ca="1" si="1175"/>
        <v>-28391.16515648651</v>
      </c>
      <c r="BE985" s="10">
        <f t="shared" ca="1" si="1175"/>
        <v>-50272.121951488123</v>
      </c>
      <c r="BF985" s="10">
        <f t="shared" ca="1" si="1175"/>
        <v>-94286.455962640233</v>
      </c>
      <c r="BG985" s="10">
        <f t="shared" ca="1" si="1175"/>
        <v>-33294.097895104147</v>
      </c>
      <c r="BH985" s="10">
        <f t="shared" ca="1" si="1175"/>
        <v>-29202.177923517032</v>
      </c>
      <c r="BI985" s="10">
        <f t="shared" ca="1" si="1175"/>
        <v>-52282.840006173567</v>
      </c>
      <c r="BJ985" s="10">
        <f t="shared" ca="1" si="1175"/>
        <v>-98057.743882705865</v>
      </c>
      <c r="BK985" s="10">
        <f t="shared" ca="1" si="1175"/>
        <v>-34625.689814251542</v>
      </c>
      <c r="BL985" s="10">
        <f t="shared" ca="1" si="1175"/>
        <v>-30370.265040457743</v>
      </c>
      <c r="BM985" s="10">
        <f t="shared" ca="1" si="1175"/>
        <v>-54374.153606420543</v>
      </c>
      <c r="BN985" s="10">
        <f t="shared" ca="1" si="1175"/>
        <v>-101980.05363801408</v>
      </c>
      <c r="BO985" s="10">
        <f t="shared" ca="1" si="1175"/>
        <v>-36010.717406821597</v>
      </c>
      <c r="BP985" s="10">
        <f t="shared" ca="1" si="1175"/>
        <v>-31585.075642076044</v>
      </c>
      <c r="BQ985" s="10">
        <f t="shared" ca="1" si="1175"/>
        <v>-56549.119750677346</v>
      </c>
      <c r="BR985" s="10">
        <f t="shared" ca="1" si="1175"/>
        <v>-106059.2557835347</v>
      </c>
      <c r="BS985" s="10">
        <f t="shared" ca="1" si="1175"/>
        <v>-37451.146103094463</v>
      </c>
      <c r="BT985" s="10">
        <f t="shared" ca="1" si="1175"/>
        <v>-33213.647586689505</v>
      </c>
      <c r="BU985" s="10">
        <f t="shared" ca="1" si="1175"/>
        <v>-58811.272194312267</v>
      </c>
      <c r="BV985" s="10">
        <f t="shared" ca="1" si="1175"/>
        <v>-110301.81759995769</v>
      </c>
      <c r="BW985" s="10">
        <f t="shared" ca="1" si="1175"/>
        <v>-38949.385420065606</v>
      </c>
      <c r="BX985" s="10">
        <f t="shared" ref="BX985:CO985" ca="1" si="1176">BX983 - VAT_Payable</f>
        <v>-34162.41781446946</v>
      </c>
      <c r="BY985" s="10">
        <f t="shared" ca="1" si="1176"/>
        <v>-61163.527922332636</v>
      </c>
      <c r="BZ985" s="10">
        <f t="shared" ca="1" si="1176"/>
        <v>-114713.69105547111</v>
      </c>
      <c r="CA985" s="10">
        <f t="shared" ca="1" si="1176"/>
        <v>-40507.159625107</v>
      </c>
      <c r="CB985" s="10">
        <f t="shared" ca="1" si="1176"/>
        <v>-35528.914527048248</v>
      </c>
      <c r="CC985" s="10">
        <f t="shared" ca="1" si="1176"/>
        <v>-63610.069039225935</v>
      </c>
      <c r="CD985" s="10">
        <f t="shared" ca="1" si="1176"/>
        <v>-119302.23869768993</v>
      </c>
      <c r="CE985" s="10">
        <f t="shared" ca="1" si="1176"/>
        <v>-42127.446010111264</v>
      </c>
      <c r="CF985" s="10">
        <f t="shared" ca="1" si="1176"/>
        <v>-36950.071108130171</v>
      </c>
      <c r="CG985" s="10">
        <f t="shared" ca="1" si="1176"/>
        <v>-66154.471800794956</v>
      </c>
      <c r="CH985" s="10">
        <f t="shared" ca="1" si="1176"/>
        <v>-124074.32824559751</v>
      </c>
      <c r="CI985" s="10">
        <f t="shared" ca="1" si="1176"/>
        <v>-43812.543850515722</v>
      </c>
      <c r="CJ985" s="10">
        <f t="shared" ca="1" si="1176"/>
        <v>-38855.269938112076</v>
      </c>
      <c r="CK985" s="10">
        <f t="shared" ca="1" si="1176"/>
        <v>-68800.870201006168</v>
      </c>
      <c r="CL985" s="10">
        <f t="shared" ca="1" si="1176"/>
        <v>-129037.52550286916</v>
      </c>
      <c r="CM985" s="10">
        <f t="shared" ca="1" si="1176"/>
        <v>-45565.271940402919</v>
      </c>
      <c r="CN985" s="10">
        <f t="shared" ca="1" si="1176"/>
        <v>-39965.196910553583</v>
      </c>
      <c r="CO985" s="10">
        <f t="shared" ca="1" si="1176"/>
        <v>-71552.676699739823</v>
      </c>
      <c r="CP985" s="10" t="e">
        <f>_xlfn.SINGLE(VAT_Receivable) -_xlfn.SINGLE( VAT_Payable)</f>
        <v>#REF!</v>
      </c>
      <c r="CQ985" s="10" t="e">
        <f t="shared" ref="CQ985:EA985" si="1177">_xlfn.SINGLE(VAT_Receivable) -_xlfn.SINGLE( VAT_Payable)</f>
        <v>#REF!</v>
      </c>
      <c r="CR985" s="10" t="e">
        <f t="shared" si="1177"/>
        <v>#REF!</v>
      </c>
      <c r="CS985" s="10" t="e">
        <f t="shared" si="1177"/>
        <v>#REF!</v>
      </c>
      <c r="CT985" s="10" t="e">
        <f t="shared" si="1177"/>
        <v>#REF!</v>
      </c>
      <c r="CU985" s="10" t="e">
        <f t="shared" si="1177"/>
        <v>#REF!</v>
      </c>
      <c r="CV985" s="10" t="e">
        <f t="shared" si="1177"/>
        <v>#REF!</v>
      </c>
      <c r="CW985" s="10" t="e">
        <f t="shared" si="1177"/>
        <v>#REF!</v>
      </c>
      <c r="CX985" s="10" t="e">
        <f t="shared" si="1177"/>
        <v>#REF!</v>
      </c>
      <c r="CY985" s="10" t="e">
        <f t="shared" si="1177"/>
        <v>#REF!</v>
      </c>
      <c r="CZ985" s="10" t="e">
        <f t="shared" si="1177"/>
        <v>#REF!</v>
      </c>
      <c r="DA985" s="10" t="e">
        <f t="shared" si="1177"/>
        <v>#REF!</v>
      </c>
      <c r="DB985" s="10" t="e">
        <f t="shared" si="1177"/>
        <v>#REF!</v>
      </c>
      <c r="DC985" s="10" t="e">
        <f t="shared" si="1177"/>
        <v>#REF!</v>
      </c>
      <c r="DD985" s="10" t="e">
        <f t="shared" si="1177"/>
        <v>#REF!</v>
      </c>
      <c r="DE985" s="10" t="e">
        <f t="shared" si="1177"/>
        <v>#REF!</v>
      </c>
      <c r="DF985" s="10" t="e">
        <f t="shared" si="1177"/>
        <v>#REF!</v>
      </c>
      <c r="DG985" s="10" t="e">
        <f t="shared" si="1177"/>
        <v>#REF!</v>
      </c>
      <c r="DH985" s="10" t="e">
        <f t="shared" si="1177"/>
        <v>#REF!</v>
      </c>
      <c r="DI985" s="10" t="e">
        <f t="shared" si="1177"/>
        <v>#REF!</v>
      </c>
      <c r="DJ985" s="10" t="e">
        <f t="shared" si="1177"/>
        <v>#REF!</v>
      </c>
      <c r="DK985" s="10" t="e">
        <f t="shared" si="1177"/>
        <v>#REF!</v>
      </c>
      <c r="DL985" s="10" t="e">
        <f t="shared" si="1177"/>
        <v>#REF!</v>
      </c>
      <c r="DM985" s="10" t="e">
        <f t="shared" si="1177"/>
        <v>#REF!</v>
      </c>
      <c r="DN985" s="10" t="e">
        <f t="shared" si="1177"/>
        <v>#REF!</v>
      </c>
      <c r="DO985" s="10" t="e">
        <f t="shared" si="1177"/>
        <v>#REF!</v>
      </c>
      <c r="DP985" s="10" t="e">
        <f t="shared" si="1177"/>
        <v>#REF!</v>
      </c>
      <c r="DQ985" s="10" t="e">
        <f t="shared" si="1177"/>
        <v>#REF!</v>
      </c>
      <c r="DR985" s="10" t="e">
        <f t="shared" si="1177"/>
        <v>#REF!</v>
      </c>
      <c r="DS985" s="10" t="e">
        <f t="shared" si="1177"/>
        <v>#REF!</v>
      </c>
      <c r="DT985" s="10" t="e">
        <f t="shared" si="1177"/>
        <v>#REF!</v>
      </c>
      <c r="DU985" s="10" t="e">
        <f t="shared" si="1177"/>
        <v>#REF!</v>
      </c>
      <c r="DV985" s="10" t="e">
        <f t="shared" si="1177"/>
        <v>#REF!</v>
      </c>
      <c r="DW985" s="10" t="e">
        <f t="shared" si="1177"/>
        <v>#REF!</v>
      </c>
      <c r="DX985" s="10" t="e">
        <f t="shared" si="1177"/>
        <v>#REF!</v>
      </c>
      <c r="DY985" s="10" t="e">
        <f t="shared" si="1177"/>
        <v>#REF!</v>
      </c>
      <c r="DZ985" s="10" t="e">
        <f t="shared" si="1177"/>
        <v>#REF!</v>
      </c>
      <c r="EA985" s="10" t="e">
        <f t="shared" si="1177"/>
        <v>#REF!</v>
      </c>
    </row>
    <row r="986" spans="1:131">
      <c r="A986" s="10"/>
      <c r="B986" s="10"/>
      <c r="C986" s="17" t="s">
        <v>1198</v>
      </c>
      <c r="D986" s="10"/>
      <c r="E986" s="62"/>
      <c r="F986" s="10"/>
      <c r="G986" s="134" t="str">
        <f>Monetary_Unit</f>
        <v>тыс. руб.</v>
      </c>
      <c r="H986" s="10"/>
      <c r="I986" s="23">
        <f>SUM(L986:CO986)</f>
        <v>0</v>
      </c>
      <c r="J986" s="10"/>
      <c r="K986" s="10"/>
      <c r="L986" s="10">
        <f xml:space="preserve"> CAPEX_E_For_VAT * VAT_Rate_Periods</f>
        <v>0</v>
      </c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  <c r="BA986" s="10"/>
      <c r="BB986" s="10"/>
      <c r="BC986" s="10"/>
      <c r="BD986" s="10"/>
      <c r="BE986" s="10"/>
      <c r="BF986" s="10"/>
      <c r="BG986" s="10"/>
      <c r="BH986" s="10"/>
      <c r="BI986" s="10"/>
      <c r="BJ986" s="10"/>
      <c r="BK986" s="10"/>
      <c r="BL986" s="10"/>
      <c r="BM986" s="10"/>
      <c r="BN986" s="10"/>
      <c r="BO986" s="10"/>
      <c r="BP986" s="10"/>
      <c r="BQ986" s="10"/>
      <c r="BR986" s="10"/>
      <c r="BS986" s="10"/>
      <c r="BT986" s="10"/>
      <c r="BU986" s="10"/>
      <c r="BV986" s="10"/>
      <c r="BW986" s="10"/>
      <c r="BX986" s="10"/>
      <c r="BY986" s="10"/>
      <c r="BZ986" s="10"/>
      <c r="CA986" s="10"/>
      <c r="CB986" s="10"/>
      <c r="CC986" s="10"/>
      <c r="CD986" s="10"/>
      <c r="CE986" s="10"/>
      <c r="CF986" s="10"/>
      <c r="CG986" s="10"/>
      <c r="CH986" s="10"/>
      <c r="CI986" s="10"/>
      <c r="CJ986" s="10"/>
      <c r="CK986" s="10"/>
      <c r="CL986" s="10"/>
      <c r="CM986" s="10"/>
      <c r="CN986" s="10"/>
      <c r="CO986" s="10"/>
      <c r="CP986" s="10"/>
      <c r="CQ986" s="10" t="e">
        <f t="shared" ref="CQ986:EA986" si="1178" xml:space="preserve"> CAPEX_E_For_VAT * VAT_Rate_Periods</f>
        <v>#VALUE!</v>
      </c>
      <c r="CR986" s="10" t="e">
        <f t="shared" si="1178"/>
        <v>#VALUE!</v>
      </c>
      <c r="CS986" s="10" t="e">
        <f t="shared" si="1178"/>
        <v>#VALUE!</v>
      </c>
      <c r="CT986" s="10" t="e">
        <f t="shared" si="1178"/>
        <v>#VALUE!</v>
      </c>
      <c r="CU986" s="10" t="e">
        <f t="shared" si="1178"/>
        <v>#VALUE!</v>
      </c>
      <c r="CV986" s="10" t="e">
        <f t="shared" si="1178"/>
        <v>#VALUE!</v>
      </c>
      <c r="CW986" s="10" t="e">
        <f t="shared" si="1178"/>
        <v>#VALUE!</v>
      </c>
      <c r="CX986" s="10" t="e">
        <f t="shared" si="1178"/>
        <v>#VALUE!</v>
      </c>
      <c r="CY986" s="10" t="e">
        <f t="shared" si="1178"/>
        <v>#VALUE!</v>
      </c>
      <c r="CZ986" s="10" t="e">
        <f t="shared" si="1178"/>
        <v>#VALUE!</v>
      </c>
      <c r="DA986" s="10" t="e">
        <f t="shared" si="1178"/>
        <v>#VALUE!</v>
      </c>
      <c r="DB986" s="10" t="e">
        <f t="shared" si="1178"/>
        <v>#VALUE!</v>
      </c>
      <c r="DC986" s="10" t="e">
        <f t="shared" si="1178"/>
        <v>#VALUE!</v>
      </c>
      <c r="DD986" s="10" t="e">
        <f t="shared" si="1178"/>
        <v>#VALUE!</v>
      </c>
      <c r="DE986" s="10" t="e">
        <f t="shared" si="1178"/>
        <v>#VALUE!</v>
      </c>
      <c r="DF986" s="10" t="e">
        <f t="shared" si="1178"/>
        <v>#VALUE!</v>
      </c>
      <c r="DG986" s="10" t="e">
        <f t="shared" si="1178"/>
        <v>#VALUE!</v>
      </c>
      <c r="DH986" s="10" t="e">
        <f t="shared" si="1178"/>
        <v>#VALUE!</v>
      </c>
      <c r="DI986" s="10" t="e">
        <f t="shared" si="1178"/>
        <v>#VALUE!</v>
      </c>
      <c r="DJ986" s="10" t="e">
        <f t="shared" si="1178"/>
        <v>#VALUE!</v>
      </c>
      <c r="DK986" s="10" t="e">
        <f t="shared" si="1178"/>
        <v>#VALUE!</v>
      </c>
      <c r="DL986" s="10" t="e">
        <f t="shared" si="1178"/>
        <v>#VALUE!</v>
      </c>
      <c r="DM986" s="10" t="e">
        <f t="shared" si="1178"/>
        <v>#VALUE!</v>
      </c>
      <c r="DN986" s="10" t="e">
        <f t="shared" si="1178"/>
        <v>#VALUE!</v>
      </c>
      <c r="DO986" s="10" t="e">
        <f t="shared" si="1178"/>
        <v>#VALUE!</v>
      </c>
      <c r="DP986" s="10" t="e">
        <f t="shared" si="1178"/>
        <v>#VALUE!</v>
      </c>
      <c r="DQ986" s="10" t="e">
        <f t="shared" si="1178"/>
        <v>#VALUE!</v>
      </c>
      <c r="DR986" s="10" t="e">
        <f t="shared" si="1178"/>
        <v>#VALUE!</v>
      </c>
      <c r="DS986" s="10" t="e">
        <f t="shared" si="1178"/>
        <v>#VALUE!</v>
      </c>
      <c r="DT986" s="10" t="e">
        <f t="shared" si="1178"/>
        <v>#VALUE!</v>
      </c>
      <c r="DU986" s="10" t="e">
        <f t="shared" si="1178"/>
        <v>#VALUE!</v>
      </c>
      <c r="DV986" s="10" t="e">
        <f t="shared" si="1178"/>
        <v>#VALUE!</v>
      </c>
      <c r="DW986" s="10" t="e">
        <f t="shared" si="1178"/>
        <v>#VALUE!</v>
      </c>
      <c r="DX986" s="10" t="e">
        <f t="shared" si="1178"/>
        <v>#VALUE!</v>
      </c>
      <c r="DY986" s="10" t="e">
        <f t="shared" si="1178"/>
        <v>#VALUE!</v>
      </c>
      <c r="DZ986" s="10" t="e">
        <f t="shared" si="1178"/>
        <v>#VALUE!</v>
      </c>
      <c r="EA986" s="10" t="e">
        <f t="shared" si="1178"/>
        <v>#VALUE!</v>
      </c>
    </row>
    <row r="987" spans="1:131">
      <c r="A987" s="10"/>
      <c r="B987" s="10"/>
      <c r="C987" s="17" t="s">
        <v>402</v>
      </c>
      <c r="D987" s="10"/>
      <c r="E987" s="62"/>
      <c r="F987" s="10"/>
      <c r="G987" s="134" t="str">
        <f>Monetary_Unit</f>
        <v>тыс. руб.</v>
      </c>
      <c r="H987" s="10"/>
      <c r="I987" s="23">
        <f ca="1">SUM(L987:CO987)</f>
        <v>71552.676699739823</v>
      </c>
      <c r="J987" s="10"/>
      <c r="K987" s="10"/>
      <c r="L987" s="450">
        <f t="shared" ref="L987:AQ987" ca="1" si="1179">(K985 - L985 + L986) * Flag_Forecast</f>
        <v>-3371.9255688267931</v>
      </c>
      <c r="M987" s="450">
        <f t="shared" ca="1" si="1179"/>
        <v>-3419.7896726333838</v>
      </c>
      <c r="N987" s="450">
        <f ca="1">(M985 - N985 + N986) * Flag_Forecast</f>
        <v>-3468.3332020045218</v>
      </c>
      <c r="O987" s="450">
        <f t="shared" ca="1" si="1179"/>
        <v>-3517.5658013095981</v>
      </c>
      <c r="P987" s="450">
        <f t="shared" ca="1" si="1179"/>
        <v>-29581.74843746073</v>
      </c>
      <c r="Q987" s="450">
        <f t="shared" ca="1" si="1179"/>
        <v>-29873.229431244363</v>
      </c>
      <c r="R987" s="450">
        <f t="shared" ca="1" si="1179"/>
        <v>-30167.582505761035</v>
      </c>
      <c r="S987" s="450">
        <f t="shared" ca="1" si="1179"/>
        <v>-30464.835960789846</v>
      </c>
      <c r="T987" s="450">
        <f t="shared" ca="1" si="1179"/>
        <v>-30765.018374959152</v>
      </c>
      <c r="U987" s="450">
        <f t="shared" ca="1" si="1179"/>
        <v>-31068.158608494123</v>
      </c>
      <c r="V987" s="450">
        <f t="shared" ca="1" si="1179"/>
        <v>-31374.285805991443</v>
      </c>
      <c r="W987" s="450">
        <f t="shared" ca="1" si="1179"/>
        <v>-31683.429399221437</v>
      </c>
      <c r="X987" s="450">
        <f t="shared" ca="1" si="1179"/>
        <v>-61262.581636075804</v>
      </c>
      <c r="Y987" s="450">
        <f t="shared" ca="1" si="1179"/>
        <v>-61866.226759175479</v>
      </c>
      <c r="Z987" s="450">
        <f t="shared" ca="1" si="1179"/>
        <v>-62475.819843084319</v>
      </c>
      <c r="AA987" s="450">
        <f t="shared" ca="1" si="1179"/>
        <v>-63091.419495478331</v>
      </c>
      <c r="AB987" s="450">
        <f t="shared" ca="1" si="1179"/>
        <v>-110005.14195495861</v>
      </c>
      <c r="AC987" s="450">
        <f t="shared" ca="1" si="1179"/>
        <v>496029.06325528905</v>
      </c>
      <c r="AD987" s="450">
        <f t="shared" ca="1" si="1179"/>
        <v>86726.320653099174</v>
      </c>
      <c r="AE987" s="450">
        <f t="shared" ca="1" si="1179"/>
        <v>3631.0699049526047</v>
      </c>
      <c r="AF987" s="450">
        <f t="shared" ca="1" si="1179"/>
        <v>16369.970828104153</v>
      </c>
      <c r="AG987" s="450">
        <f t="shared" ca="1" si="1179"/>
        <v>-5526.9857779293634</v>
      </c>
      <c r="AH987" s="450">
        <f t="shared" ca="1" si="1179"/>
        <v>-20152.723434249718</v>
      </c>
      <c r="AI987" s="450">
        <f t="shared" ca="1" si="1179"/>
        <v>4291.8545063702404</v>
      </c>
      <c r="AJ987" s="450">
        <f t="shared" ca="1" si="1179"/>
        <v>19080.908890100753</v>
      </c>
      <c r="AK987" s="450">
        <f t="shared" ca="1" si="1179"/>
        <v>-6321.1670295895783</v>
      </c>
      <c r="AL987" s="450">
        <f t="shared" ca="1" si="1179"/>
        <v>-23129.035590654974</v>
      </c>
      <c r="AM987" s="450">
        <f t="shared" ca="1" si="1179"/>
        <v>4999.6921640533328</v>
      </c>
      <c r="AN987" s="450">
        <f t="shared" ca="1" si="1179"/>
        <v>21881.252816225988</v>
      </c>
      <c r="AO987" s="450">
        <f t="shared" ca="1" si="1179"/>
        <v>-7169.9024874847128</v>
      </c>
      <c r="AP987" s="450">
        <f t="shared" ca="1" si="1179"/>
        <v>-25438.718571728292</v>
      </c>
      <c r="AQ987" s="450">
        <f t="shared" ca="1" si="1179"/>
        <v>6256.70051811343</v>
      </c>
      <c r="AR987" s="450">
        <f t="shared" ref="AR987:BW987" ca="1" si="1180">(AQ985 - AR985 + AR986) * Flag_Forecast</f>
        <v>24959.816450627564</v>
      </c>
      <c r="AS987" s="450">
        <f t="shared" ca="1" si="1180"/>
        <v>-6957.5761581066909</v>
      </c>
      <c r="AT987" s="450">
        <f t="shared" ca="1" si="1180"/>
        <v>-26346.648694106327</v>
      </c>
      <c r="AU987" s="450">
        <f t="shared" ca="1" si="1180"/>
        <v>6506.9641166942092</v>
      </c>
      <c r="AV987" s="450">
        <f t="shared" ca="1" si="1180"/>
        <v>25958.354697568982</v>
      </c>
      <c r="AW987" s="450">
        <f t="shared" ca="1" si="1180"/>
        <v>58191.49187661022</v>
      </c>
      <c r="AX987" s="450">
        <f t="shared" ca="1" si="1180"/>
        <v>50789.366774719732</v>
      </c>
      <c r="AY987" s="450">
        <f t="shared" ca="1" si="1180"/>
        <v>-56390.865089872575</v>
      </c>
      <c r="AZ987" s="450">
        <f t="shared" ca="1" si="1180"/>
        <v>-3783.0571285007136</v>
      </c>
      <c r="BA987" s="450">
        <f t="shared" ca="1" si="1180"/>
        <v>21339.369529083353</v>
      </c>
      <c r="BB987" s="450">
        <f t="shared" ca="1" si="1180"/>
        <v>42321.471779338317</v>
      </c>
      <c r="BC987" s="450">
        <f t="shared" ca="1" si="1180"/>
        <v>-58646.499693467471</v>
      </c>
      <c r="BD987" s="450">
        <f t="shared" ca="1" si="1180"/>
        <v>-3622.2314913052032</v>
      </c>
      <c r="BE987" s="450">
        <f t="shared" ca="1" si="1180"/>
        <v>21880.956795001614</v>
      </c>
      <c r="BF987" s="450">
        <f t="shared" ca="1" si="1180"/>
        <v>44014.33401115211</v>
      </c>
      <c r="BG987" s="450">
        <f t="shared" ca="1" si="1180"/>
        <v>-60992.358067536086</v>
      </c>
      <c r="BH987" s="450">
        <f t="shared" ca="1" si="1180"/>
        <v>-4091.9199715871146</v>
      </c>
      <c r="BI987" s="450">
        <f t="shared" ca="1" si="1180"/>
        <v>23080.662082656534</v>
      </c>
      <c r="BJ987" s="450">
        <f t="shared" ca="1" si="1180"/>
        <v>45774.903876532298</v>
      </c>
      <c r="BK987" s="450">
        <f t="shared" ca="1" si="1180"/>
        <v>-63432.054068454323</v>
      </c>
      <c r="BL987" s="450">
        <f t="shared" ca="1" si="1180"/>
        <v>-4255.4247737937985</v>
      </c>
      <c r="BM987" s="450">
        <f t="shared" ca="1" si="1180"/>
        <v>24003.888565962799</v>
      </c>
      <c r="BN987" s="450">
        <f t="shared" ca="1" si="1180"/>
        <v>47605.900031593541</v>
      </c>
      <c r="BO987" s="450">
        <f t="shared" ca="1" si="1180"/>
        <v>-65969.336231192487</v>
      </c>
      <c r="BP987" s="450">
        <f t="shared" ca="1" si="1180"/>
        <v>-4425.6417647455528</v>
      </c>
      <c r="BQ987" s="450">
        <f t="shared" ca="1" si="1180"/>
        <v>24964.044108601302</v>
      </c>
      <c r="BR987" s="450">
        <f t="shared" ca="1" si="1180"/>
        <v>49510.13603285735</v>
      </c>
      <c r="BS987" s="450">
        <f t="shared" ca="1" si="1180"/>
        <v>-68608.109680440233</v>
      </c>
      <c r="BT987" s="450">
        <f t="shared" ca="1" si="1180"/>
        <v>-4237.4985164049576</v>
      </c>
      <c r="BU987" s="450">
        <f t="shared" ca="1" si="1180"/>
        <v>25597.624607622762</v>
      </c>
      <c r="BV987" s="450">
        <f t="shared" ca="1" si="1180"/>
        <v>51490.545405645425</v>
      </c>
      <c r="BW987" s="450">
        <f t="shared" ca="1" si="1180"/>
        <v>-71352.432179892086</v>
      </c>
      <c r="BX987" s="450">
        <f t="shared" ref="BX987:CO987" ca="1" si="1181">(BW985 - BX985 + BX986) * Flag_Forecast</f>
        <v>-4786.9676055961463</v>
      </c>
      <c r="BY987" s="450">
        <f t="shared" ca="1" si="1181"/>
        <v>27001.110107863176</v>
      </c>
      <c r="BZ987" s="450">
        <f t="shared" ca="1" si="1181"/>
        <v>53550.163133138471</v>
      </c>
      <c r="CA987" s="450">
        <f t="shared" ca="1" si="1181"/>
        <v>-74206.531430364106</v>
      </c>
      <c r="CB987" s="450">
        <f t="shared" ca="1" si="1181"/>
        <v>-4978.2450980587528</v>
      </c>
      <c r="CC987" s="450">
        <f t="shared" ca="1" si="1181"/>
        <v>28081.154512177687</v>
      </c>
      <c r="CD987" s="450">
        <f t="shared" ca="1" si="1181"/>
        <v>55692.169658463994</v>
      </c>
      <c r="CE987" s="450">
        <f t="shared" ca="1" si="1181"/>
        <v>-77174.792687578665</v>
      </c>
      <c r="CF987" s="450">
        <f t="shared" ca="1" si="1181"/>
        <v>-5177.374901981093</v>
      </c>
      <c r="CG987" s="450">
        <f t="shared" ca="1" si="1181"/>
        <v>29204.400692664785</v>
      </c>
      <c r="CH987" s="450">
        <f t="shared" ca="1" si="1181"/>
        <v>57919.856444802557</v>
      </c>
      <c r="CI987" s="450">
        <f t="shared" ca="1" si="1181"/>
        <v>-80261.784395081791</v>
      </c>
      <c r="CJ987" s="450">
        <f t="shared" ca="1" si="1181"/>
        <v>-4957.2739124036452</v>
      </c>
      <c r="CK987" s="450">
        <f t="shared" ca="1" si="1181"/>
        <v>29945.600262894091</v>
      </c>
      <c r="CL987" s="450">
        <f t="shared" ca="1" si="1181"/>
        <v>60236.655301862993</v>
      </c>
      <c r="CM987" s="450">
        <f t="shared" ca="1" si="1181"/>
        <v>-83472.253562466241</v>
      </c>
      <c r="CN987" s="450">
        <f t="shared" ca="1" si="1181"/>
        <v>-5600.0750298493367</v>
      </c>
      <c r="CO987" s="450">
        <f t="shared" ca="1" si="1181"/>
        <v>31587.47978918624</v>
      </c>
      <c r="CP987" s="450" t="e">
        <f t="shared" ref="CP987:EA987" ca="1" si="1182">(CO985 - CP985 + CP986) * Flag_Forecast</f>
        <v>#REF!</v>
      </c>
      <c r="CQ987" s="450" t="e">
        <f t="shared" si="1182"/>
        <v>#REF!</v>
      </c>
      <c r="CR987" s="450" t="e">
        <f t="shared" si="1182"/>
        <v>#REF!</v>
      </c>
      <c r="CS987" s="450" t="e">
        <f t="shared" si="1182"/>
        <v>#REF!</v>
      </c>
      <c r="CT987" s="450" t="e">
        <f t="shared" si="1182"/>
        <v>#REF!</v>
      </c>
      <c r="CU987" s="450" t="e">
        <f t="shared" si="1182"/>
        <v>#REF!</v>
      </c>
      <c r="CV987" s="450" t="e">
        <f t="shared" si="1182"/>
        <v>#REF!</v>
      </c>
      <c r="CW987" s="450" t="e">
        <f t="shared" si="1182"/>
        <v>#REF!</v>
      </c>
      <c r="CX987" s="450" t="e">
        <f t="shared" si="1182"/>
        <v>#REF!</v>
      </c>
      <c r="CY987" s="450" t="e">
        <f t="shared" si="1182"/>
        <v>#REF!</v>
      </c>
      <c r="CZ987" s="450" t="e">
        <f t="shared" si="1182"/>
        <v>#REF!</v>
      </c>
      <c r="DA987" s="450" t="e">
        <f t="shared" si="1182"/>
        <v>#REF!</v>
      </c>
      <c r="DB987" s="450" t="e">
        <f t="shared" si="1182"/>
        <v>#REF!</v>
      </c>
      <c r="DC987" s="450" t="e">
        <f t="shared" si="1182"/>
        <v>#REF!</v>
      </c>
      <c r="DD987" s="450" t="e">
        <f t="shared" si="1182"/>
        <v>#REF!</v>
      </c>
      <c r="DE987" s="450" t="e">
        <f t="shared" si="1182"/>
        <v>#REF!</v>
      </c>
      <c r="DF987" s="450" t="e">
        <f t="shared" si="1182"/>
        <v>#REF!</v>
      </c>
      <c r="DG987" s="450" t="e">
        <f t="shared" si="1182"/>
        <v>#REF!</v>
      </c>
      <c r="DH987" s="450" t="e">
        <f t="shared" si="1182"/>
        <v>#REF!</v>
      </c>
      <c r="DI987" s="450" t="e">
        <f t="shared" si="1182"/>
        <v>#REF!</v>
      </c>
      <c r="DJ987" s="450" t="e">
        <f t="shared" si="1182"/>
        <v>#REF!</v>
      </c>
      <c r="DK987" s="450" t="e">
        <f t="shared" si="1182"/>
        <v>#REF!</v>
      </c>
      <c r="DL987" s="450" t="e">
        <f t="shared" si="1182"/>
        <v>#REF!</v>
      </c>
      <c r="DM987" s="450" t="e">
        <f t="shared" si="1182"/>
        <v>#REF!</v>
      </c>
      <c r="DN987" s="450" t="e">
        <f t="shared" si="1182"/>
        <v>#REF!</v>
      </c>
      <c r="DO987" s="450" t="e">
        <f t="shared" si="1182"/>
        <v>#REF!</v>
      </c>
      <c r="DP987" s="450" t="e">
        <f t="shared" si="1182"/>
        <v>#REF!</v>
      </c>
      <c r="DQ987" s="450" t="e">
        <f t="shared" si="1182"/>
        <v>#REF!</v>
      </c>
      <c r="DR987" s="450" t="e">
        <f t="shared" si="1182"/>
        <v>#REF!</v>
      </c>
      <c r="DS987" s="450" t="e">
        <f t="shared" si="1182"/>
        <v>#REF!</v>
      </c>
      <c r="DT987" s="450" t="e">
        <f t="shared" si="1182"/>
        <v>#REF!</v>
      </c>
      <c r="DU987" s="450" t="e">
        <f t="shared" si="1182"/>
        <v>#REF!</v>
      </c>
      <c r="DV987" s="450" t="e">
        <f t="shared" si="1182"/>
        <v>#REF!</v>
      </c>
      <c r="DW987" s="450" t="e">
        <f t="shared" si="1182"/>
        <v>#REF!</v>
      </c>
      <c r="DX987" s="450" t="e">
        <f t="shared" si="1182"/>
        <v>#REF!</v>
      </c>
      <c r="DY987" s="450" t="e">
        <f t="shared" si="1182"/>
        <v>#REF!</v>
      </c>
      <c r="DZ987" s="450" t="e">
        <f t="shared" si="1182"/>
        <v>#REF!</v>
      </c>
      <c r="EA987" s="450" t="e">
        <f t="shared" si="1182"/>
        <v>#REF!</v>
      </c>
    </row>
    <row r="988" spans="1:131">
      <c r="A988" s="10"/>
      <c r="B988" s="10"/>
      <c r="C988" s="17"/>
      <c r="D988" s="10"/>
      <c r="E988" s="10"/>
      <c r="F988" s="10"/>
      <c r="G988" s="11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  <c r="BA988" s="10"/>
      <c r="BB988" s="10"/>
      <c r="BC988" s="10"/>
      <c r="BD988" s="10"/>
      <c r="BE988" s="10"/>
      <c r="BF988" s="10"/>
      <c r="BG988" s="10"/>
      <c r="BH988" s="10"/>
      <c r="BI988" s="10"/>
      <c r="BJ988" s="10"/>
      <c r="BK988" s="10"/>
      <c r="BL988" s="10"/>
      <c r="BM988" s="10"/>
      <c r="BN988" s="10"/>
      <c r="BO988" s="10"/>
      <c r="BP988" s="10"/>
      <c r="BQ988" s="10"/>
      <c r="BR988" s="10"/>
      <c r="BS988" s="10"/>
      <c r="BT988" s="10"/>
      <c r="BU988" s="10"/>
      <c r="BV988" s="10"/>
      <c r="BW988" s="10"/>
      <c r="BX988" s="10"/>
      <c r="BY988" s="10"/>
      <c r="BZ988" s="10"/>
      <c r="CA988" s="10"/>
      <c r="CB988" s="10"/>
      <c r="CC988" s="10"/>
      <c r="CD988" s="10"/>
      <c r="CE988" s="10"/>
      <c r="CF988" s="10"/>
      <c r="CG988" s="10"/>
      <c r="CH988" s="10"/>
      <c r="CI988" s="10"/>
      <c r="CJ988" s="10"/>
      <c r="CK988" s="10"/>
      <c r="CL988" s="10"/>
      <c r="CM988" s="10"/>
      <c r="CN988" s="10"/>
      <c r="CO988" s="10"/>
    </row>
    <row r="989" spans="1:131" ht="22.5" customHeight="1">
      <c r="A989" s="10"/>
      <c r="B989" s="5" t="s">
        <v>107</v>
      </c>
      <c r="C989" s="5"/>
      <c r="D989" s="15"/>
      <c r="E989" s="15"/>
      <c r="F989" s="31"/>
      <c r="G989" s="18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  <c r="BM989" s="31"/>
      <c r="BN989" s="31"/>
      <c r="BO989" s="31"/>
      <c r="BP989" s="31"/>
      <c r="BQ989" s="31"/>
      <c r="BR989" s="31"/>
      <c r="BS989" s="31"/>
      <c r="BT989" s="31"/>
      <c r="BU989" s="31"/>
      <c r="BV989" s="31"/>
      <c r="BW989" s="31"/>
      <c r="BX989" s="31"/>
      <c r="BY989" s="31"/>
      <c r="BZ989" s="31"/>
      <c r="CA989" s="31"/>
      <c r="CB989" s="31"/>
      <c r="CC989" s="31"/>
      <c r="CD989" s="31"/>
      <c r="CE989" s="31"/>
      <c r="CF989" s="31"/>
      <c r="CG989" s="31"/>
      <c r="CH989" s="31"/>
      <c r="CI989" s="31"/>
      <c r="CJ989" s="31"/>
      <c r="CK989" s="31"/>
      <c r="CL989" s="31"/>
      <c r="CM989" s="31"/>
      <c r="CN989" s="31"/>
      <c r="CO989" s="31"/>
    </row>
    <row r="990" spans="1:131">
      <c r="A990" s="10"/>
      <c r="B990" s="10"/>
      <c r="C990" s="10"/>
      <c r="D990" s="10"/>
      <c r="E990" s="10"/>
      <c r="F990" s="10"/>
      <c r="G990" s="11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  <c r="BA990" s="10"/>
      <c r="BB990" s="10"/>
      <c r="BC990" s="10"/>
      <c r="BD990" s="10"/>
      <c r="BE990" s="10"/>
      <c r="BF990" s="10"/>
      <c r="BG990" s="10"/>
      <c r="BH990" s="10"/>
      <c r="BI990" s="10"/>
      <c r="BJ990" s="10"/>
      <c r="BK990" s="10"/>
      <c r="BL990" s="10"/>
      <c r="BM990" s="10"/>
      <c r="BN990" s="10"/>
      <c r="BO990" s="10"/>
      <c r="BP990" s="10"/>
      <c r="BQ990" s="10"/>
      <c r="BR990" s="10"/>
      <c r="BS990" s="10"/>
      <c r="BT990" s="10"/>
      <c r="BU990" s="10"/>
      <c r="BV990" s="10"/>
      <c r="BW990" s="10"/>
      <c r="BX990" s="10"/>
      <c r="BY990" s="10"/>
      <c r="BZ990" s="10"/>
      <c r="CA990" s="10"/>
      <c r="CB990" s="10"/>
      <c r="CC990" s="10"/>
      <c r="CD990" s="10"/>
      <c r="CE990" s="10"/>
      <c r="CF990" s="10"/>
      <c r="CG990" s="10"/>
      <c r="CH990" s="10"/>
      <c r="CI990" s="10"/>
      <c r="CJ990" s="10"/>
      <c r="CK990" s="10"/>
      <c r="CL990" s="10"/>
      <c r="CM990" s="10"/>
      <c r="CN990" s="10"/>
      <c r="CO990" s="10"/>
    </row>
    <row r="991" spans="1:131">
      <c r="A991" s="10"/>
      <c r="B991" s="10"/>
      <c r="C991" s="67" t="s">
        <v>101</v>
      </c>
      <c r="D991" s="10"/>
      <c r="E991" s="10"/>
      <c r="F991" s="10"/>
      <c r="G991" s="11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  <c r="BA991" s="10"/>
      <c r="BB991" s="10"/>
      <c r="BC991" s="10"/>
      <c r="BD991" s="10"/>
      <c r="BE991" s="10"/>
      <c r="BF991" s="10"/>
      <c r="BG991" s="10"/>
      <c r="BH991" s="10"/>
      <c r="BI991" s="10"/>
      <c r="BJ991" s="10"/>
      <c r="BK991" s="10"/>
      <c r="BL991" s="10"/>
      <c r="BM991" s="10"/>
      <c r="BN991" s="10"/>
      <c r="BO991" s="10"/>
      <c r="BP991" s="10"/>
      <c r="BQ991" s="10"/>
      <c r="BR991" s="10"/>
      <c r="BS991" s="10"/>
      <c r="BT991" s="10"/>
      <c r="BU991" s="10"/>
      <c r="BV991" s="10"/>
      <c r="BW991" s="10"/>
      <c r="BX991" s="10"/>
      <c r="BY991" s="10"/>
      <c r="BZ991" s="10"/>
      <c r="CA991" s="10"/>
      <c r="CB991" s="10"/>
      <c r="CC991" s="10"/>
      <c r="CD991" s="10"/>
      <c r="CE991" s="10"/>
      <c r="CF991" s="10"/>
      <c r="CG991" s="10"/>
      <c r="CH991" s="10"/>
      <c r="CI991" s="10"/>
      <c r="CJ991" s="10"/>
      <c r="CK991" s="10"/>
      <c r="CL991" s="10"/>
      <c r="CM991" s="10"/>
      <c r="CN991" s="10"/>
      <c r="CO991" s="10"/>
    </row>
    <row r="992" spans="1:131">
      <c r="A992" s="10"/>
      <c r="B992" s="10"/>
      <c r="C992" s="17" t="s">
        <v>96</v>
      </c>
      <c r="D992" s="10"/>
      <c r="E992" s="10"/>
      <c r="F992" s="10"/>
      <c r="G992" s="134" t="str">
        <f t="shared" ref="G992:G1000" si="1183">Monetary_Unit</f>
        <v>тыс. руб.</v>
      </c>
      <c r="H992" s="10"/>
      <c r="I992" s="23">
        <f t="shared" ref="I992:I1000" ca="1" si="1184">SUM(L992:CO992)</f>
        <v>31948941.046733905</v>
      </c>
      <c r="J992" s="10"/>
      <c r="K992" s="10"/>
      <c r="L992" s="10">
        <f t="shared" ref="L992:BW992" ca="1" si="1185">Revenue</f>
        <v>0</v>
      </c>
      <c r="M992" s="10">
        <f t="shared" ca="1" si="1185"/>
        <v>0</v>
      </c>
      <c r="N992" s="10">
        <f t="shared" ca="1" si="1185"/>
        <v>0</v>
      </c>
      <c r="O992" s="10">
        <f t="shared" ca="1" si="1185"/>
        <v>0</v>
      </c>
      <c r="P992" s="10">
        <f t="shared" ca="1" si="1185"/>
        <v>0</v>
      </c>
      <c r="Q992" s="10">
        <f t="shared" ca="1" si="1185"/>
        <v>0</v>
      </c>
      <c r="R992" s="10">
        <f t="shared" ca="1" si="1185"/>
        <v>0</v>
      </c>
      <c r="S992" s="10">
        <f t="shared" ca="1" si="1185"/>
        <v>0</v>
      </c>
      <c r="T992" s="10">
        <f t="shared" ca="1" si="1185"/>
        <v>0</v>
      </c>
      <c r="U992" s="10">
        <f t="shared" ca="1" si="1185"/>
        <v>0</v>
      </c>
      <c r="V992" s="10">
        <f t="shared" ca="1" si="1185"/>
        <v>0</v>
      </c>
      <c r="W992" s="10">
        <f t="shared" ca="1" si="1185"/>
        <v>0</v>
      </c>
      <c r="X992" s="10">
        <f t="shared" ca="1" si="1185"/>
        <v>0</v>
      </c>
      <c r="Y992" s="10">
        <f t="shared" ca="1" si="1185"/>
        <v>0</v>
      </c>
      <c r="Z992" s="10">
        <f t="shared" ca="1" si="1185"/>
        <v>0</v>
      </c>
      <c r="AA992" s="10">
        <f t="shared" ca="1" si="1185"/>
        <v>0</v>
      </c>
      <c r="AB992" s="10">
        <f t="shared" ca="1" si="1185"/>
        <v>0</v>
      </c>
      <c r="AC992" s="10">
        <f t="shared" ca="1" si="1185"/>
        <v>287137.34130179585</v>
      </c>
      <c r="AD992" s="10">
        <f t="shared" ca="1" si="1185"/>
        <v>547617.81742701808</v>
      </c>
      <c r="AE992" s="10">
        <f t="shared" ca="1" si="1185"/>
        <v>203266.93156101141</v>
      </c>
      <c r="AF992" s="10">
        <f t="shared" ca="1" si="1185"/>
        <v>184143.12050146211</v>
      </c>
      <c r="AG992" s="10">
        <f t="shared" ca="1" si="1185"/>
        <v>334936.84636492439</v>
      </c>
      <c r="AH992" s="10">
        <f t="shared" ca="1" si="1185"/>
        <v>636735.91244217439</v>
      </c>
      <c r="AI992" s="10">
        <f t="shared" ca="1" si="1185"/>
        <v>235631.14326524414</v>
      </c>
      <c r="AJ992" s="10">
        <f t="shared" ca="1" si="1185"/>
        <v>212850.80121366578</v>
      </c>
      <c r="AK992" s="10">
        <f t="shared" ca="1" si="1185"/>
        <v>386100.89208702045</v>
      </c>
      <c r="AL992" s="10">
        <f t="shared" ca="1" si="1185"/>
        <v>732107.2665506599</v>
      </c>
      <c r="AM992" s="10">
        <f t="shared" ca="1" si="1185"/>
        <v>270259.26481531787</v>
      </c>
      <c r="AN992" s="10">
        <f t="shared" ca="1" si="1185"/>
        <v>246266.69480548825</v>
      </c>
      <c r="AO992" s="10">
        <f t="shared" ca="1" si="1185"/>
        <v>440822.16251270013</v>
      </c>
      <c r="AP992" s="10">
        <f t="shared" ca="1" si="1185"/>
        <v>815915.05294910888</v>
      </c>
      <c r="AQ992" s="10">
        <f t="shared" ca="1" si="1185"/>
        <v>294175.13083405176</v>
      </c>
      <c r="AR992" s="10">
        <f t="shared" ca="1" si="1185"/>
        <v>259073.75095888102</v>
      </c>
      <c r="AS992" s="10">
        <f t="shared" ca="1" si="1185"/>
        <v>458455.04901320807</v>
      </c>
      <c r="AT992" s="10">
        <f t="shared" ca="1" si="1185"/>
        <v>848551.65506707318</v>
      </c>
      <c r="AU992" s="10">
        <f t="shared" ca="1" si="1185"/>
        <v>305942.13606741378</v>
      </c>
      <c r="AV992" s="10">
        <f t="shared" ca="1" si="1185"/>
        <v>269436.70099723624</v>
      </c>
      <c r="AW992" s="10">
        <f t="shared" ca="1" si="1185"/>
        <v>422147.48991467513</v>
      </c>
      <c r="AX992" s="10">
        <f t="shared" ca="1" si="1185"/>
        <v>773536.7544139981</v>
      </c>
      <c r="AY992" s="10">
        <f t="shared" ca="1" si="1185"/>
        <v>283242.42833727284</v>
      </c>
      <c r="AZ992" s="10">
        <f t="shared" ca="1" si="1185"/>
        <v>250185.10206601798</v>
      </c>
      <c r="BA992" s="10">
        <f t="shared" ca="1" si="1185"/>
        <v>439033.38951126201</v>
      </c>
      <c r="BB992" s="10">
        <f t="shared" ca="1" si="1185"/>
        <v>804478.22459055774</v>
      </c>
      <c r="BC992" s="10">
        <f t="shared" ca="1" si="1185"/>
        <v>294572.12547076365</v>
      </c>
      <c r="BD992" s="10">
        <f t="shared" ca="1" si="1185"/>
        <v>263083.53399475489</v>
      </c>
      <c r="BE992" s="10">
        <f t="shared" ca="1" si="1185"/>
        <v>456594.72509171249</v>
      </c>
      <c r="BF992" s="10">
        <f t="shared" ca="1" si="1185"/>
        <v>836657.35357417993</v>
      </c>
      <c r="BG992" s="10">
        <f t="shared" ca="1" si="1185"/>
        <v>306355.01048959419</v>
      </c>
      <c r="BH992" s="10">
        <f t="shared" ca="1" si="1185"/>
        <v>270600.20639460499</v>
      </c>
      <c r="BI992" s="10">
        <f t="shared" ca="1" si="1185"/>
        <v>474858.51409538084</v>
      </c>
      <c r="BJ992" s="10">
        <f t="shared" ca="1" si="1185"/>
        <v>870123.6477171469</v>
      </c>
      <c r="BK992" s="10">
        <f t="shared" ca="1" si="1185"/>
        <v>318609.21090917796</v>
      </c>
      <c r="BL992" s="10">
        <f t="shared" ca="1" si="1185"/>
        <v>281424.21465038921</v>
      </c>
      <c r="BM992" s="10">
        <f t="shared" ca="1" si="1185"/>
        <v>493852.85465919605</v>
      </c>
      <c r="BN992" s="10">
        <f t="shared" ca="1" si="1185"/>
        <v>904928.59362583258</v>
      </c>
      <c r="BO992" s="10">
        <f t="shared" ca="1" si="1185"/>
        <v>331353.57934554503</v>
      </c>
      <c r="BP992" s="10">
        <f t="shared" ca="1" si="1185"/>
        <v>292681.18323640467</v>
      </c>
      <c r="BQ992" s="10">
        <f t="shared" ca="1" si="1185"/>
        <v>513606.96884556377</v>
      </c>
      <c r="BR992" s="10">
        <f t="shared" ca="1" si="1185"/>
        <v>941125.73737086589</v>
      </c>
      <c r="BS992" s="10">
        <f t="shared" ca="1" si="1185"/>
        <v>344607.72251936671</v>
      </c>
      <c r="BT992" s="10">
        <f t="shared" ca="1" si="1185"/>
        <v>307770.52423881477</v>
      </c>
      <c r="BU992" s="10">
        <f t="shared" ca="1" si="1185"/>
        <v>534151.24759938626</v>
      </c>
      <c r="BV992" s="10">
        <f t="shared" ca="1" si="1185"/>
        <v>978770.76686570025</v>
      </c>
      <c r="BW992" s="10">
        <f t="shared" ca="1" si="1185"/>
        <v>358392.03142014134</v>
      </c>
      <c r="BX992" s="10">
        <f t="shared" ref="BX992:CO992" ca="1" si="1186">Revenue</f>
        <v>316563.96778849518</v>
      </c>
      <c r="BY992" s="10">
        <f t="shared" ca="1" si="1186"/>
        <v>555517.29750336171</v>
      </c>
      <c r="BZ992" s="10">
        <f t="shared" ca="1" si="1186"/>
        <v>1017921.5975403283</v>
      </c>
      <c r="CA992" s="10">
        <f t="shared" ca="1" si="1186"/>
        <v>372727.71267694695</v>
      </c>
      <c r="CB992" s="10">
        <f t="shared" ca="1" si="1186"/>
        <v>329226.52650003496</v>
      </c>
      <c r="CC992" s="10">
        <f t="shared" ca="1" si="1186"/>
        <v>577737.98940349603</v>
      </c>
      <c r="CD992" s="10">
        <f t="shared" ca="1" si="1186"/>
        <v>1058638.4614419413</v>
      </c>
      <c r="CE992" s="10">
        <f t="shared" ca="1" si="1186"/>
        <v>387636.8211840248</v>
      </c>
      <c r="CF992" s="10">
        <f t="shared" ca="1" si="1186"/>
        <v>342395.58756003634</v>
      </c>
      <c r="CG992" s="10">
        <f t="shared" ca="1" si="1186"/>
        <v>600847.50897963578</v>
      </c>
      <c r="CH992" s="10">
        <f t="shared" ca="1" si="1186"/>
        <v>1100983.9998996188</v>
      </c>
      <c r="CI992" s="10">
        <f t="shared" ca="1" si="1186"/>
        <v>403142.2940313858</v>
      </c>
      <c r="CJ992" s="10">
        <f t="shared" ca="1" si="1186"/>
        <v>360047.98229646485</v>
      </c>
      <c r="CK992" s="10">
        <f t="shared" ca="1" si="1186"/>
        <v>624881.40933882119</v>
      </c>
      <c r="CL992" s="10">
        <f t="shared" ca="1" si="1186"/>
        <v>1145023.3598956035</v>
      </c>
      <c r="CM992" s="10">
        <f t="shared" ca="1" si="1186"/>
        <v>419267.98579264118</v>
      </c>
      <c r="CN992" s="10">
        <f t="shared" ca="1" si="1186"/>
        <v>370335.06750493526</v>
      </c>
      <c r="CO992" s="10">
        <f t="shared" ca="1" si="1186"/>
        <v>649876.66571237403</v>
      </c>
    </row>
    <row r="993" spans="1:93">
      <c r="A993" s="10"/>
      <c r="B993" s="10"/>
      <c r="C993" s="17" t="s">
        <v>700</v>
      </c>
      <c r="D993" s="10"/>
      <c r="E993" s="10"/>
      <c r="F993" s="10"/>
      <c r="G993" s="134" t="str">
        <f t="shared" si="1183"/>
        <v>тыс. руб.</v>
      </c>
      <c r="H993" s="10"/>
      <c r="I993" s="23">
        <f t="shared" ca="1" si="1184"/>
        <v>-18493633.551309194</v>
      </c>
      <c r="J993" s="10"/>
      <c r="K993" s="10"/>
      <c r="L993" s="10">
        <f t="shared" ref="L993:AQ993" ca="1" si="1187">COGS_PL</f>
        <v>0</v>
      </c>
      <c r="M993" s="10">
        <f t="shared" ca="1" si="1187"/>
        <v>0</v>
      </c>
      <c r="N993" s="10">
        <f t="shared" ca="1" si="1187"/>
        <v>0</v>
      </c>
      <c r="O993" s="10">
        <f t="shared" ca="1" si="1187"/>
        <v>0</v>
      </c>
      <c r="P993" s="10">
        <f t="shared" ca="1" si="1187"/>
        <v>0</v>
      </c>
      <c r="Q993" s="10">
        <f t="shared" ca="1" si="1187"/>
        <v>0</v>
      </c>
      <c r="R993" s="10">
        <f t="shared" ca="1" si="1187"/>
        <v>0</v>
      </c>
      <c r="S993" s="10">
        <f t="shared" ca="1" si="1187"/>
        <v>0</v>
      </c>
      <c r="T993" s="10">
        <f t="shared" ca="1" si="1187"/>
        <v>0</v>
      </c>
      <c r="U993" s="10">
        <f t="shared" ca="1" si="1187"/>
        <v>0</v>
      </c>
      <c r="V993" s="10">
        <f t="shared" ca="1" si="1187"/>
        <v>0</v>
      </c>
      <c r="W993" s="10">
        <f t="shared" ca="1" si="1187"/>
        <v>0</v>
      </c>
      <c r="X993" s="10">
        <f t="shared" ca="1" si="1187"/>
        <v>0</v>
      </c>
      <c r="Y993" s="10">
        <f t="shared" ca="1" si="1187"/>
        <v>0</v>
      </c>
      <c r="Z993" s="10">
        <f t="shared" ca="1" si="1187"/>
        <v>0</v>
      </c>
      <c r="AA993" s="10">
        <f t="shared" ca="1" si="1187"/>
        <v>0</v>
      </c>
      <c r="AB993" s="10">
        <f t="shared" ca="1" si="1187"/>
        <v>0</v>
      </c>
      <c r="AC993" s="10">
        <f t="shared" ca="1" si="1187"/>
        <v>-153088.06791866009</v>
      </c>
      <c r="AD993" s="10">
        <f t="shared" ca="1" si="1187"/>
        <v>-277065.31551683269</v>
      </c>
      <c r="AE993" s="10">
        <f t="shared" ca="1" si="1187"/>
        <v>-111407.08688779266</v>
      </c>
      <c r="AF993" s="10">
        <f t="shared" ca="1" si="1187"/>
        <v>-102418.07308987781</v>
      </c>
      <c r="AG993" s="10">
        <f t="shared" ca="1" si="1187"/>
        <v>-178544.29480956297</v>
      </c>
      <c r="AH993" s="10">
        <f t="shared" ca="1" si="1187"/>
        <v>-322126.35063196789</v>
      </c>
      <c r="AI993" s="10">
        <f t="shared" ca="1" si="1187"/>
        <v>-129117.93196149165</v>
      </c>
      <c r="AJ993" s="10">
        <f t="shared" ca="1" si="1187"/>
        <v>-118358.58903083384</v>
      </c>
      <c r="AK993" s="10">
        <f t="shared" ca="1" si="1187"/>
        <v>-205792.07894306828</v>
      </c>
      <c r="AL993" s="10">
        <f t="shared" ca="1" si="1187"/>
        <v>-370348.96405148692</v>
      </c>
      <c r="AM993" s="10">
        <f t="shared" ca="1" si="1187"/>
        <v>-148067.39330206616</v>
      </c>
      <c r="AN993" s="10">
        <f t="shared" ca="1" si="1187"/>
        <v>-136914.35929549739</v>
      </c>
      <c r="AO993" s="10">
        <f t="shared" ca="1" si="1187"/>
        <v>-234933.32935229276</v>
      </c>
      <c r="AP993" s="10">
        <f t="shared" ca="1" si="1187"/>
        <v>-412725.51899434091</v>
      </c>
      <c r="AQ993" s="10">
        <f t="shared" ca="1" si="1187"/>
        <v>-161157.44910287601</v>
      </c>
      <c r="AR993" s="10">
        <f t="shared" ref="AR993:BW993" ca="1" si="1188">COGS_PL</f>
        <v>-144029.45805522188</v>
      </c>
      <c r="AS993" s="10">
        <f t="shared" ca="1" si="1188"/>
        <v>-244331.37553298092</v>
      </c>
      <c r="AT993" s="10">
        <f t="shared" ca="1" si="1188"/>
        <v>-429235.267698696</v>
      </c>
      <c r="AU993" s="10">
        <f t="shared" ca="1" si="1188"/>
        <v>-167604.4821843064</v>
      </c>
      <c r="AV993" s="10">
        <f t="shared" ca="1" si="1188"/>
        <v>-149790.63637743067</v>
      </c>
      <c r="AW993" s="10">
        <f t="shared" ca="1" si="1188"/>
        <v>-254104.63055430009</v>
      </c>
      <c r="AX993" s="10">
        <f t="shared" ca="1" si="1188"/>
        <v>-446404.67840664374</v>
      </c>
      <c r="AY993" s="10">
        <f t="shared" ca="1" si="1188"/>
        <v>-174308.66147167861</v>
      </c>
      <c r="AZ993" s="10">
        <f t="shared" ca="1" si="1188"/>
        <v>-155782.26183252787</v>
      </c>
      <c r="BA993" s="10">
        <f t="shared" ca="1" si="1188"/>
        <v>-264268.81577647204</v>
      </c>
      <c r="BB993" s="10">
        <f t="shared" ca="1" si="1188"/>
        <v>-464260.86554290925</v>
      </c>
      <c r="BC993" s="10">
        <f t="shared" ca="1" si="1188"/>
        <v>-181281.00793054575</v>
      </c>
      <c r="BD993" s="10">
        <f t="shared" ca="1" si="1188"/>
        <v>-163812.90867722456</v>
      </c>
      <c r="BE993" s="10">
        <f t="shared" ca="1" si="1188"/>
        <v>-274838.7663720788</v>
      </c>
      <c r="BF993" s="10">
        <f t="shared" ca="1" si="1188"/>
        <v>-482830.48132597207</v>
      </c>
      <c r="BG993" s="10">
        <f t="shared" ca="1" si="1188"/>
        <v>-188531.42134076369</v>
      </c>
      <c r="BH993" s="10">
        <f t="shared" ca="1" si="1188"/>
        <v>-168494.09439806215</v>
      </c>
      <c r="BI993" s="10">
        <f t="shared" ca="1" si="1188"/>
        <v>-285833.15114383207</v>
      </c>
      <c r="BJ993" s="10">
        <f t="shared" ca="1" si="1188"/>
        <v>-502144.55217121053</v>
      </c>
      <c r="BK993" s="10">
        <f t="shared" ca="1" si="1188"/>
        <v>-196073.53817767825</v>
      </c>
      <c r="BL993" s="10">
        <f t="shared" ca="1" si="1188"/>
        <v>-175233.85817398463</v>
      </c>
      <c r="BM993" s="10">
        <f t="shared" ca="1" si="1188"/>
        <v>-297266.47718958539</v>
      </c>
      <c r="BN993" s="10">
        <f t="shared" ca="1" si="1188"/>
        <v>-522230.33425805887</v>
      </c>
      <c r="BO993" s="10">
        <f t="shared" ca="1" si="1188"/>
        <v>-203916.47970478528</v>
      </c>
      <c r="BP993" s="10">
        <f t="shared" ca="1" si="1188"/>
        <v>-182243.21250094395</v>
      </c>
      <c r="BQ993" s="10">
        <f t="shared" ca="1" si="1188"/>
        <v>-309157.1362771687</v>
      </c>
      <c r="BR993" s="10">
        <f t="shared" ca="1" si="1188"/>
        <v>-543119.54762838129</v>
      </c>
      <c r="BS993" s="10">
        <f t="shared" ca="1" si="1188"/>
        <v>-212073.13889297668</v>
      </c>
      <c r="BT993" s="10">
        <f t="shared" ca="1" si="1188"/>
        <v>-191637.93345454932</v>
      </c>
      <c r="BU993" s="10">
        <f t="shared" ca="1" si="1188"/>
        <v>-321522.48346021632</v>
      </c>
      <c r="BV993" s="10">
        <f t="shared" ca="1" si="1188"/>
        <v>-564843.37160810805</v>
      </c>
      <c r="BW993" s="10">
        <f t="shared" ca="1" si="1188"/>
        <v>-220555.09708445895</v>
      </c>
      <c r="BX993" s="10">
        <f t="shared" ref="BX993:CO993" ca="1" si="1189">COGS_PL</f>
        <v>-197114.25864102089</v>
      </c>
      <c r="BY993" s="10">
        <f t="shared" ca="1" si="1189"/>
        <v>-334384.35859738558</v>
      </c>
      <c r="BZ993" s="10">
        <f t="shared" ca="1" si="1189"/>
        <v>-587438.10271485697</v>
      </c>
      <c r="CA993" s="10">
        <f t="shared" ca="1" si="1189"/>
        <v>-229378.30702664348</v>
      </c>
      <c r="CB993" s="10">
        <f t="shared" ca="1" si="1189"/>
        <v>-204998.82898666174</v>
      </c>
      <c r="CC993" s="10">
        <f t="shared" ca="1" si="1189"/>
        <v>-347759.73294128099</v>
      </c>
      <c r="CD993" s="10">
        <f t="shared" ca="1" si="1189"/>
        <v>-610935.62682345114</v>
      </c>
      <c r="CE993" s="10">
        <f t="shared" ca="1" si="1189"/>
        <v>-238553.43930770928</v>
      </c>
      <c r="CF993" s="10">
        <f t="shared" ca="1" si="1189"/>
        <v>-213198.78214612813</v>
      </c>
      <c r="CG993" s="10">
        <f t="shared" ca="1" si="1189"/>
        <v>-361670.12225893216</v>
      </c>
      <c r="CH993" s="10">
        <f t="shared" ca="1" si="1189"/>
        <v>-635373.05189638922</v>
      </c>
      <c r="CI993" s="10">
        <f t="shared" ca="1" si="1189"/>
        <v>-248095.57688001767</v>
      </c>
      <c r="CJ993" s="10">
        <f t="shared" ca="1" si="1189"/>
        <v>-224189.27687251486</v>
      </c>
      <c r="CK993" s="10">
        <f t="shared" ca="1" si="1189"/>
        <v>-376135.82950839237</v>
      </c>
      <c r="CL993" s="10">
        <f t="shared" ca="1" si="1189"/>
        <v>-660786.85333500605</v>
      </c>
      <c r="CM993" s="10">
        <f t="shared" ca="1" si="1189"/>
        <v>-258018.26827588529</v>
      </c>
      <c r="CN993" s="10">
        <f t="shared" ca="1" si="1189"/>
        <v>-230595.80276925216</v>
      </c>
      <c r="CO993" s="10">
        <f t="shared" ca="1" si="1189"/>
        <v>-391182.40423526097</v>
      </c>
    </row>
    <row r="994" spans="1:93">
      <c r="A994" s="10"/>
      <c r="B994" s="10"/>
      <c r="C994" s="17" t="s">
        <v>403</v>
      </c>
      <c r="D994" s="10"/>
      <c r="E994" s="10"/>
      <c r="F994" s="10"/>
      <c r="G994" s="134" t="str">
        <f t="shared" si="1183"/>
        <v>тыс. руб.</v>
      </c>
      <c r="H994" s="10"/>
      <c r="I994" s="23">
        <f t="shared" ca="1" si="1184"/>
        <v>-1633341.3302682433</v>
      </c>
      <c r="J994" s="10"/>
      <c r="K994" s="10"/>
      <c r="L994" s="10">
        <f t="shared" ref="L994:BW994" ca="1" si="1190">Depreciation_Tax</f>
        <v>0</v>
      </c>
      <c r="M994" s="10">
        <f t="shared" ca="1" si="1190"/>
        <v>0</v>
      </c>
      <c r="N994" s="10">
        <f t="shared" ca="1" si="1190"/>
        <v>0</v>
      </c>
      <c r="O994" s="10">
        <f t="shared" ca="1" si="1190"/>
        <v>0</v>
      </c>
      <c r="P994" s="10">
        <f t="shared" ca="1" si="1190"/>
        <v>0</v>
      </c>
      <c r="Q994" s="10">
        <f t="shared" ca="1" si="1190"/>
        <v>0</v>
      </c>
      <c r="R994" s="10">
        <f t="shared" ca="1" si="1190"/>
        <v>0</v>
      </c>
      <c r="S994" s="10">
        <f t="shared" ca="1" si="1190"/>
        <v>0</v>
      </c>
      <c r="T994" s="10">
        <f t="shared" ca="1" si="1190"/>
        <v>0</v>
      </c>
      <c r="U994" s="10">
        <f t="shared" ca="1" si="1190"/>
        <v>0</v>
      </c>
      <c r="V994" s="10">
        <f t="shared" ca="1" si="1190"/>
        <v>0</v>
      </c>
      <c r="W994" s="10">
        <f t="shared" ca="1" si="1190"/>
        <v>0</v>
      </c>
      <c r="X994" s="10">
        <f t="shared" ca="1" si="1190"/>
        <v>0</v>
      </c>
      <c r="Y994" s="10">
        <f t="shared" ca="1" si="1190"/>
        <v>0</v>
      </c>
      <c r="Z994" s="10">
        <f t="shared" ca="1" si="1190"/>
        <v>0</v>
      </c>
      <c r="AA994" s="10">
        <f t="shared" ca="1" si="1190"/>
        <v>0</v>
      </c>
      <c r="AB994" s="10">
        <f t="shared" ca="1" si="1190"/>
        <v>0</v>
      </c>
      <c r="AC994" s="10">
        <f t="shared" ca="1" si="1190"/>
        <v>-35605.026509158808</v>
      </c>
      <c r="AD994" s="10">
        <f t="shared" ca="1" si="1190"/>
        <v>-33550.473954695182</v>
      </c>
      <c r="AE994" s="10">
        <f t="shared" ca="1" si="1190"/>
        <v>-33550.473954695182</v>
      </c>
      <c r="AF994" s="10">
        <f t="shared" ca="1" si="1190"/>
        <v>-33550.473954695182</v>
      </c>
      <c r="AG994" s="10">
        <f t="shared" ca="1" si="1190"/>
        <v>-33550.473954695182</v>
      </c>
      <c r="AH994" s="10">
        <f t="shared" ca="1" si="1190"/>
        <v>-33550.473954695182</v>
      </c>
      <c r="AI994" s="10">
        <f t="shared" ca="1" si="1190"/>
        <v>-33550.473954695182</v>
      </c>
      <c r="AJ994" s="10">
        <f t="shared" ca="1" si="1190"/>
        <v>-33550.473954695182</v>
      </c>
      <c r="AK994" s="10">
        <f t="shared" ca="1" si="1190"/>
        <v>-33550.473954695182</v>
      </c>
      <c r="AL994" s="10">
        <f t="shared" ca="1" si="1190"/>
        <v>-33550.473954695182</v>
      </c>
      <c r="AM994" s="10">
        <f t="shared" ca="1" si="1190"/>
        <v>-33550.473954695182</v>
      </c>
      <c r="AN994" s="10">
        <f t="shared" ca="1" si="1190"/>
        <v>-33550.473954695182</v>
      </c>
      <c r="AO994" s="10">
        <f t="shared" ca="1" si="1190"/>
        <v>-33550.473954695182</v>
      </c>
      <c r="AP994" s="10">
        <f t="shared" ca="1" si="1190"/>
        <v>-33550.473954695182</v>
      </c>
      <c r="AQ994" s="10">
        <f t="shared" ca="1" si="1190"/>
        <v>-33550.473954695182</v>
      </c>
      <c r="AR994" s="10">
        <f t="shared" ca="1" si="1190"/>
        <v>-33550.473954695182</v>
      </c>
      <c r="AS994" s="10">
        <f t="shared" ca="1" si="1190"/>
        <v>-33550.473954695182</v>
      </c>
      <c r="AT994" s="10">
        <f t="shared" ca="1" si="1190"/>
        <v>-33550.473954695182</v>
      </c>
      <c r="AU994" s="10">
        <f t="shared" ca="1" si="1190"/>
        <v>-33550.473954695182</v>
      </c>
      <c r="AV994" s="10">
        <f t="shared" ca="1" si="1190"/>
        <v>-33550.473954695182</v>
      </c>
      <c r="AW994" s="10">
        <f t="shared" ca="1" si="1190"/>
        <v>-33550.473954695182</v>
      </c>
      <c r="AX994" s="10">
        <f t="shared" ca="1" si="1190"/>
        <v>-33550.473954695182</v>
      </c>
      <c r="AY994" s="10">
        <f t="shared" ca="1" si="1190"/>
        <v>-33550.473954695182</v>
      </c>
      <c r="AZ994" s="10">
        <f t="shared" ca="1" si="1190"/>
        <v>-33550.473954695182</v>
      </c>
      <c r="BA994" s="10">
        <f t="shared" ca="1" si="1190"/>
        <v>-33550.473954695182</v>
      </c>
      <c r="BB994" s="10">
        <f t="shared" ca="1" si="1190"/>
        <v>-33550.473954695182</v>
      </c>
      <c r="BC994" s="10">
        <f t="shared" ca="1" si="1190"/>
        <v>-33550.473954695182</v>
      </c>
      <c r="BD994" s="10">
        <f t="shared" ca="1" si="1190"/>
        <v>-33550.473954694964</v>
      </c>
      <c r="BE994" s="10">
        <f t="shared" ca="1" si="1190"/>
        <v>-18699.283972495039</v>
      </c>
      <c r="BF994" s="10">
        <f t="shared" ca="1" si="1190"/>
        <v>-18699.283972495039</v>
      </c>
      <c r="BG994" s="10">
        <f t="shared" ca="1" si="1190"/>
        <v>-18699.283972495039</v>
      </c>
      <c r="BH994" s="10">
        <f t="shared" ca="1" si="1190"/>
        <v>-18699.283972495039</v>
      </c>
      <c r="BI994" s="10">
        <f t="shared" ca="1" si="1190"/>
        <v>-18699.283972495039</v>
      </c>
      <c r="BJ994" s="10">
        <f t="shared" ca="1" si="1190"/>
        <v>-18699.283972495039</v>
      </c>
      <c r="BK994" s="10">
        <f t="shared" ca="1" si="1190"/>
        <v>-18699.283972495039</v>
      </c>
      <c r="BL994" s="10">
        <f t="shared" ca="1" si="1190"/>
        <v>-18699.283972495039</v>
      </c>
      <c r="BM994" s="10">
        <f t="shared" ca="1" si="1190"/>
        <v>-18699.283972495039</v>
      </c>
      <c r="BN994" s="10">
        <f t="shared" ca="1" si="1190"/>
        <v>-18699.283972495039</v>
      </c>
      <c r="BO994" s="10">
        <f t="shared" ca="1" si="1190"/>
        <v>-18699.283972495039</v>
      </c>
      <c r="BP994" s="10">
        <f t="shared" ca="1" si="1190"/>
        <v>-18699.283972495039</v>
      </c>
      <c r="BQ994" s="10">
        <f t="shared" ca="1" si="1190"/>
        <v>-18699.283972495039</v>
      </c>
      <c r="BR994" s="10">
        <f t="shared" ca="1" si="1190"/>
        <v>-18699.283972495039</v>
      </c>
      <c r="BS994" s="10">
        <f t="shared" ca="1" si="1190"/>
        <v>-18699.283972495039</v>
      </c>
      <c r="BT994" s="10">
        <f t="shared" ca="1" si="1190"/>
        <v>-18699.283972495039</v>
      </c>
      <c r="BU994" s="10">
        <f t="shared" ca="1" si="1190"/>
        <v>-18699.283972495039</v>
      </c>
      <c r="BV994" s="10">
        <f t="shared" ca="1" si="1190"/>
        <v>-18699.283972495039</v>
      </c>
      <c r="BW994" s="10">
        <f t="shared" ca="1" si="1190"/>
        <v>-18699.283972495039</v>
      </c>
      <c r="BX994" s="10">
        <f t="shared" ref="BX994:CO994" ca="1" si="1191">Depreciation_Tax</f>
        <v>-18699.283972495039</v>
      </c>
      <c r="BY994" s="10">
        <f t="shared" ca="1" si="1191"/>
        <v>-18699.283972495039</v>
      </c>
      <c r="BZ994" s="10">
        <f t="shared" ca="1" si="1191"/>
        <v>-18699.283972495039</v>
      </c>
      <c r="CA994" s="10">
        <f t="shared" ca="1" si="1191"/>
        <v>-18699.283972495039</v>
      </c>
      <c r="CB994" s="10">
        <f t="shared" ca="1" si="1191"/>
        <v>-18699.283972495039</v>
      </c>
      <c r="CC994" s="10">
        <f t="shared" ca="1" si="1191"/>
        <v>-18699.283972495039</v>
      </c>
      <c r="CD994" s="10">
        <f t="shared" ca="1" si="1191"/>
        <v>-18699.283972495039</v>
      </c>
      <c r="CE994" s="10">
        <f t="shared" ca="1" si="1191"/>
        <v>-18699.283972495039</v>
      </c>
      <c r="CF994" s="10">
        <f t="shared" ca="1" si="1191"/>
        <v>-18699.283972495039</v>
      </c>
      <c r="CG994" s="10">
        <f t="shared" ca="1" si="1191"/>
        <v>-18699.283972495039</v>
      </c>
      <c r="CH994" s="10">
        <f t="shared" ca="1" si="1191"/>
        <v>-18699.283972495039</v>
      </c>
      <c r="CI994" s="10">
        <f t="shared" ca="1" si="1191"/>
        <v>-18699.283972495039</v>
      </c>
      <c r="CJ994" s="10">
        <f t="shared" ca="1" si="1191"/>
        <v>-18699.283972495039</v>
      </c>
      <c r="CK994" s="10">
        <f t="shared" ca="1" si="1191"/>
        <v>-18699.283972495039</v>
      </c>
      <c r="CL994" s="10">
        <f t="shared" ca="1" si="1191"/>
        <v>-18699.283972495039</v>
      </c>
      <c r="CM994" s="10">
        <f t="shared" ca="1" si="1191"/>
        <v>-18699.283972495039</v>
      </c>
      <c r="CN994" s="10">
        <f t="shared" ca="1" si="1191"/>
        <v>-18699.283972495039</v>
      </c>
      <c r="CO994" s="10">
        <f t="shared" ca="1" si="1191"/>
        <v>-18699.283972495039</v>
      </c>
    </row>
    <row r="995" spans="1:93">
      <c r="A995" s="10"/>
      <c r="B995" s="10"/>
      <c r="C995" s="17" t="s">
        <v>404</v>
      </c>
      <c r="D995" s="10"/>
      <c r="E995" s="10"/>
      <c r="F995" s="10"/>
      <c r="G995" s="134" t="str">
        <f t="shared" si="1183"/>
        <v>тыс. руб.</v>
      </c>
      <c r="H995" s="10"/>
      <c r="I995" s="23">
        <f t="shared" ca="1" si="1184"/>
        <v>-427538.06608633557</v>
      </c>
      <c r="J995" s="10"/>
      <c r="K995" s="10"/>
      <c r="L995" s="10">
        <f t="shared" ref="L995:BW995" ca="1" si="1192">Depreciation_Premium_Tax</f>
        <v>0</v>
      </c>
      <c r="M995" s="10">
        <f t="shared" ca="1" si="1192"/>
        <v>0</v>
      </c>
      <c r="N995" s="10">
        <f t="shared" ca="1" si="1192"/>
        <v>0</v>
      </c>
      <c r="O995" s="10">
        <f t="shared" ca="1" si="1192"/>
        <v>0</v>
      </c>
      <c r="P995" s="10">
        <f t="shared" ca="1" si="1192"/>
        <v>0</v>
      </c>
      <c r="Q995" s="10">
        <f t="shared" ca="1" si="1192"/>
        <v>0</v>
      </c>
      <c r="R995" s="10">
        <f t="shared" ca="1" si="1192"/>
        <v>0</v>
      </c>
      <c r="S995" s="10">
        <f t="shared" ca="1" si="1192"/>
        <v>0</v>
      </c>
      <c r="T995" s="10">
        <f t="shared" ca="1" si="1192"/>
        <v>0</v>
      </c>
      <c r="U995" s="10">
        <f t="shared" ca="1" si="1192"/>
        <v>0</v>
      </c>
      <c r="V995" s="10">
        <f t="shared" ca="1" si="1192"/>
        <v>0</v>
      </c>
      <c r="W995" s="10">
        <f t="shared" ca="1" si="1192"/>
        <v>0</v>
      </c>
      <c r="X995" s="10">
        <f t="shared" ca="1" si="1192"/>
        <v>0</v>
      </c>
      <c r="Y995" s="10">
        <f t="shared" ca="1" si="1192"/>
        <v>0</v>
      </c>
      <c r="Z995" s="10">
        <f t="shared" ca="1" si="1192"/>
        <v>0</v>
      </c>
      <c r="AA995" s="10">
        <f t="shared" ca="1" si="1192"/>
        <v>0</v>
      </c>
      <c r="AB995" s="10">
        <f t="shared" ca="1" si="1192"/>
        <v>0</v>
      </c>
      <c r="AC995" s="10">
        <f t="shared" ca="1" si="1192"/>
        <v>-427538.06608633557</v>
      </c>
      <c r="AD995" s="10">
        <f t="shared" ca="1" si="1192"/>
        <v>0</v>
      </c>
      <c r="AE995" s="10">
        <f t="shared" ca="1" si="1192"/>
        <v>0</v>
      </c>
      <c r="AF995" s="10">
        <f t="shared" ca="1" si="1192"/>
        <v>0</v>
      </c>
      <c r="AG995" s="10">
        <f t="shared" ca="1" si="1192"/>
        <v>0</v>
      </c>
      <c r="AH995" s="10">
        <f t="shared" ca="1" si="1192"/>
        <v>0</v>
      </c>
      <c r="AI995" s="10">
        <f t="shared" ca="1" si="1192"/>
        <v>0</v>
      </c>
      <c r="AJ995" s="10">
        <f t="shared" ca="1" si="1192"/>
        <v>0</v>
      </c>
      <c r="AK995" s="10">
        <f t="shared" ca="1" si="1192"/>
        <v>0</v>
      </c>
      <c r="AL995" s="10">
        <f t="shared" ca="1" si="1192"/>
        <v>0</v>
      </c>
      <c r="AM995" s="10">
        <f t="shared" ca="1" si="1192"/>
        <v>0</v>
      </c>
      <c r="AN995" s="10">
        <f t="shared" ca="1" si="1192"/>
        <v>0</v>
      </c>
      <c r="AO995" s="10">
        <f t="shared" ca="1" si="1192"/>
        <v>0</v>
      </c>
      <c r="AP995" s="10">
        <f t="shared" ca="1" si="1192"/>
        <v>0</v>
      </c>
      <c r="AQ995" s="10">
        <f t="shared" ca="1" si="1192"/>
        <v>0</v>
      </c>
      <c r="AR995" s="10">
        <f t="shared" ca="1" si="1192"/>
        <v>0</v>
      </c>
      <c r="AS995" s="10">
        <f t="shared" ca="1" si="1192"/>
        <v>0</v>
      </c>
      <c r="AT995" s="10">
        <f t="shared" ca="1" si="1192"/>
        <v>0</v>
      </c>
      <c r="AU995" s="10">
        <f t="shared" ca="1" si="1192"/>
        <v>0</v>
      </c>
      <c r="AV995" s="10">
        <f t="shared" ca="1" si="1192"/>
        <v>0</v>
      </c>
      <c r="AW995" s="10">
        <f t="shared" ca="1" si="1192"/>
        <v>0</v>
      </c>
      <c r="AX995" s="10">
        <f t="shared" ca="1" si="1192"/>
        <v>0</v>
      </c>
      <c r="AY995" s="10">
        <f t="shared" ca="1" si="1192"/>
        <v>0</v>
      </c>
      <c r="AZ995" s="10">
        <f t="shared" ca="1" si="1192"/>
        <v>0</v>
      </c>
      <c r="BA995" s="10">
        <f t="shared" ca="1" si="1192"/>
        <v>0</v>
      </c>
      <c r="BB995" s="10">
        <f t="shared" ca="1" si="1192"/>
        <v>0</v>
      </c>
      <c r="BC995" s="10">
        <f t="shared" ca="1" si="1192"/>
        <v>0</v>
      </c>
      <c r="BD995" s="10">
        <f t="shared" ca="1" si="1192"/>
        <v>0</v>
      </c>
      <c r="BE995" s="10">
        <f t="shared" ca="1" si="1192"/>
        <v>0</v>
      </c>
      <c r="BF995" s="10">
        <f t="shared" ca="1" si="1192"/>
        <v>0</v>
      </c>
      <c r="BG995" s="10">
        <f t="shared" ca="1" si="1192"/>
        <v>0</v>
      </c>
      <c r="BH995" s="10">
        <f t="shared" ca="1" si="1192"/>
        <v>0</v>
      </c>
      <c r="BI995" s="10">
        <f t="shared" ca="1" si="1192"/>
        <v>0</v>
      </c>
      <c r="BJ995" s="10">
        <f t="shared" ca="1" si="1192"/>
        <v>0</v>
      </c>
      <c r="BK995" s="10">
        <f t="shared" ca="1" si="1192"/>
        <v>0</v>
      </c>
      <c r="BL995" s="10">
        <f t="shared" ca="1" si="1192"/>
        <v>0</v>
      </c>
      <c r="BM995" s="10">
        <f t="shared" ca="1" si="1192"/>
        <v>0</v>
      </c>
      <c r="BN995" s="10">
        <f t="shared" ca="1" si="1192"/>
        <v>0</v>
      </c>
      <c r="BO995" s="10">
        <f t="shared" ca="1" si="1192"/>
        <v>0</v>
      </c>
      <c r="BP995" s="10">
        <f t="shared" ca="1" si="1192"/>
        <v>0</v>
      </c>
      <c r="BQ995" s="10">
        <f t="shared" ca="1" si="1192"/>
        <v>0</v>
      </c>
      <c r="BR995" s="10">
        <f t="shared" ca="1" si="1192"/>
        <v>0</v>
      </c>
      <c r="BS995" s="10">
        <f t="shared" ca="1" si="1192"/>
        <v>0</v>
      </c>
      <c r="BT995" s="10">
        <f t="shared" ca="1" si="1192"/>
        <v>0</v>
      </c>
      <c r="BU995" s="10">
        <f t="shared" ca="1" si="1192"/>
        <v>0</v>
      </c>
      <c r="BV995" s="10">
        <f t="shared" ca="1" si="1192"/>
        <v>0</v>
      </c>
      <c r="BW995" s="10">
        <f t="shared" ca="1" si="1192"/>
        <v>0</v>
      </c>
      <c r="BX995" s="10">
        <f t="shared" ref="BX995:CO995" ca="1" si="1193">Depreciation_Premium_Tax</f>
        <v>0</v>
      </c>
      <c r="BY995" s="10">
        <f t="shared" ca="1" si="1193"/>
        <v>0</v>
      </c>
      <c r="BZ995" s="10">
        <f t="shared" ca="1" si="1193"/>
        <v>0</v>
      </c>
      <c r="CA995" s="10">
        <f t="shared" ca="1" si="1193"/>
        <v>0</v>
      </c>
      <c r="CB995" s="10">
        <f t="shared" ca="1" si="1193"/>
        <v>0</v>
      </c>
      <c r="CC995" s="10">
        <f t="shared" ca="1" si="1193"/>
        <v>0</v>
      </c>
      <c r="CD995" s="10">
        <f t="shared" ca="1" si="1193"/>
        <v>0</v>
      </c>
      <c r="CE995" s="10">
        <f t="shared" ca="1" si="1193"/>
        <v>0</v>
      </c>
      <c r="CF995" s="10">
        <f t="shared" ca="1" si="1193"/>
        <v>0</v>
      </c>
      <c r="CG995" s="10">
        <f t="shared" ca="1" si="1193"/>
        <v>0</v>
      </c>
      <c r="CH995" s="10">
        <f t="shared" ca="1" si="1193"/>
        <v>0</v>
      </c>
      <c r="CI995" s="10">
        <f t="shared" ca="1" si="1193"/>
        <v>0</v>
      </c>
      <c r="CJ995" s="10">
        <f t="shared" ca="1" si="1193"/>
        <v>0</v>
      </c>
      <c r="CK995" s="10">
        <f t="shared" ca="1" si="1193"/>
        <v>0</v>
      </c>
      <c r="CL995" s="10">
        <f t="shared" ca="1" si="1193"/>
        <v>0</v>
      </c>
      <c r="CM995" s="10">
        <f t="shared" ca="1" si="1193"/>
        <v>0</v>
      </c>
      <c r="CN995" s="10">
        <f t="shared" ca="1" si="1193"/>
        <v>0</v>
      </c>
      <c r="CO995" s="10">
        <f t="shared" ca="1" si="1193"/>
        <v>0</v>
      </c>
    </row>
    <row r="996" spans="1:93">
      <c r="A996" s="10"/>
      <c r="B996" s="10"/>
      <c r="C996" s="17" t="s">
        <v>734</v>
      </c>
      <c r="D996" s="10"/>
      <c r="E996" s="10"/>
      <c r="F996" s="10"/>
      <c r="G996" s="134" t="str">
        <f t="shared" si="1183"/>
        <v>тыс. руб.</v>
      </c>
      <c r="H996" s="10"/>
      <c r="I996" s="23">
        <f t="shared" ca="1" si="1184"/>
        <v>-355606.44199776108</v>
      </c>
      <c r="J996" s="10"/>
      <c r="K996" s="10"/>
      <c r="L996" s="10">
        <f t="shared" ref="L996:AQ996" ca="1" si="1194">SGA_PL</f>
        <v>0</v>
      </c>
      <c r="M996" s="10">
        <f t="shared" ca="1" si="1194"/>
        <v>0</v>
      </c>
      <c r="N996" s="10">
        <f t="shared" ca="1" si="1194"/>
        <v>0</v>
      </c>
      <c r="O996" s="10">
        <f t="shared" ca="1" si="1194"/>
        <v>0</v>
      </c>
      <c r="P996" s="10">
        <f t="shared" ca="1" si="1194"/>
        <v>0</v>
      </c>
      <c r="Q996" s="10">
        <f t="shared" ca="1" si="1194"/>
        <v>0</v>
      </c>
      <c r="R996" s="10">
        <f t="shared" ca="1" si="1194"/>
        <v>0</v>
      </c>
      <c r="S996" s="10">
        <f t="shared" ca="1" si="1194"/>
        <v>0</v>
      </c>
      <c r="T996" s="10">
        <f t="shared" ca="1" si="1194"/>
        <v>0</v>
      </c>
      <c r="U996" s="10">
        <f t="shared" ca="1" si="1194"/>
        <v>0</v>
      </c>
      <c r="V996" s="10">
        <f t="shared" ca="1" si="1194"/>
        <v>0</v>
      </c>
      <c r="W996" s="10">
        <f t="shared" ca="1" si="1194"/>
        <v>0</v>
      </c>
      <c r="X996" s="10">
        <f t="shared" ca="1" si="1194"/>
        <v>0</v>
      </c>
      <c r="Y996" s="10">
        <f t="shared" ca="1" si="1194"/>
        <v>0</v>
      </c>
      <c r="Z996" s="10">
        <f t="shared" ca="1" si="1194"/>
        <v>0</v>
      </c>
      <c r="AA996" s="10">
        <f t="shared" ca="1" si="1194"/>
        <v>0</v>
      </c>
      <c r="AB996" s="10">
        <f t="shared" ca="1" si="1194"/>
        <v>0</v>
      </c>
      <c r="AC996" s="10">
        <f t="shared" ca="1" si="1194"/>
        <v>-2309.1203594642329</v>
      </c>
      <c r="AD996" s="10">
        <f t="shared" ca="1" si="1194"/>
        <v>-2334.4953084693348</v>
      </c>
      <c r="AE996" s="10">
        <f t="shared" ca="1" si="1194"/>
        <v>-2334.4953084693348</v>
      </c>
      <c r="AF996" s="10">
        <f t="shared" ca="1" si="1194"/>
        <v>-2283.7454104591311</v>
      </c>
      <c r="AG996" s="10">
        <f t="shared" ca="1" si="1194"/>
        <v>-2309.1203594642329</v>
      </c>
      <c r="AH996" s="10">
        <f t="shared" ca="1" si="1194"/>
        <v>-2334.4953084693348</v>
      </c>
      <c r="AI996" s="10">
        <f t="shared" ca="1" si="1194"/>
        <v>-2334.4953084693348</v>
      </c>
      <c r="AJ996" s="10">
        <f t="shared" ca="1" si="1194"/>
        <v>-2283.7454104591311</v>
      </c>
      <c r="AK996" s="10">
        <f t="shared" ca="1" si="1194"/>
        <v>-2309.1203594642329</v>
      </c>
      <c r="AL996" s="10">
        <f t="shared" ca="1" si="1194"/>
        <v>-2334.4953084693348</v>
      </c>
      <c r="AM996" s="10">
        <f t="shared" ca="1" si="1194"/>
        <v>-2334.4953084693348</v>
      </c>
      <c r="AN996" s="10">
        <f t="shared" ca="1" si="1194"/>
        <v>-2302.8112874438389</v>
      </c>
      <c r="AO996" s="10">
        <f t="shared" ca="1" si="1194"/>
        <v>-2302.8112874438389</v>
      </c>
      <c r="AP996" s="10">
        <f t="shared" ca="1" si="1194"/>
        <v>-2328.1169059871777</v>
      </c>
      <c r="AQ996" s="10">
        <f t="shared" ca="1" si="1194"/>
        <v>-2328.1169059871777</v>
      </c>
      <c r="AR996" s="10">
        <f t="shared" ref="AR996:BW996" ca="1" si="1195">SGA_PL</f>
        <v>-2283.7454104591311</v>
      </c>
      <c r="AS996" s="10">
        <f t="shared" ca="1" si="1195"/>
        <v>-2309.1203594642329</v>
      </c>
      <c r="AT996" s="10">
        <f t="shared" ca="1" si="1195"/>
        <v>-2334.4953084693348</v>
      </c>
      <c r="AU996" s="10">
        <f t="shared" ca="1" si="1195"/>
        <v>-2334.4953084693348</v>
      </c>
      <c r="AV996" s="10">
        <f t="shared" ca="1" si="1195"/>
        <v>-2283.7454104591311</v>
      </c>
      <c r="AW996" s="10">
        <f t="shared" ca="1" si="1195"/>
        <v>-2309.1203594642329</v>
      </c>
      <c r="AX996" s="10">
        <f t="shared" ca="1" si="1195"/>
        <v>-2334.4953084693348</v>
      </c>
      <c r="AY996" s="10">
        <f t="shared" ca="1" si="1195"/>
        <v>-2334.4953084693348</v>
      </c>
      <c r="AZ996" s="10">
        <f t="shared" ca="1" si="1195"/>
        <v>-2283.7454104591311</v>
      </c>
      <c r="BA996" s="10">
        <f t="shared" ca="1" si="1195"/>
        <v>-2309.1203594642329</v>
      </c>
      <c r="BB996" s="10">
        <f t="shared" ca="1" si="1195"/>
        <v>-2334.4953084693348</v>
      </c>
      <c r="BC996" s="10">
        <f t="shared" ca="1" si="1195"/>
        <v>-2334.4953084693348</v>
      </c>
      <c r="BD996" s="10">
        <f t="shared" ca="1" si="1195"/>
        <v>-2302.8112874438389</v>
      </c>
      <c r="BE996" s="10">
        <f t="shared" ca="1" si="1195"/>
        <v>-2302.8112874438389</v>
      </c>
      <c r="BF996" s="10">
        <f t="shared" ca="1" si="1195"/>
        <v>-2328.1169059871777</v>
      </c>
      <c r="BG996" s="10">
        <f t="shared" ca="1" si="1195"/>
        <v>-2328.1169059871777</v>
      </c>
      <c r="BH996" s="10">
        <f t="shared" ca="1" si="1195"/>
        <v>-2283.7454104591311</v>
      </c>
      <c r="BI996" s="10">
        <f t="shared" ca="1" si="1195"/>
        <v>-2309.1203594642329</v>
      </c>
      <c r="BJ996" s="10">
        <f t="shared" ca="1" si="1195"/>
        <v>-2334.4953084693348</v>
      </c>
      <c r="BK996" s="10">
        <f t="shared" ca="1" si="1195"/>
        <v>-2334.4953084693348</v>
      </c>
      <c r="BL996" s="10">
        <f t="shared" ca="1" si="1195"/>
        <v>-2283.7454104591311</v>
      </c>
      <c r="BM996" s="10">
        <f t="shared" ca="1" si="1195"/>
        <v>-2309.1203594642329</v>
      </c>
      <c r="BN996" s="10">
        <f t="shared" ca="1" si="1195"/>
        <v>-2334.4953084693348</v>
      </c>
      <c r="BO996" s="10">
        <f t="shared" ca="1" si="1195"/>
        <v>-2334.4953084693348</v>
      </c>
      <c r="BP996" s="10">
        <f t="shared" ca="1" si="1195"/>
        <v>-2283.7454104591311</v>
      </c>
      <c r="BQ996" s="10">
        <f t="shared" ca="1" si="1195"/>
        <v>-2309.1203594642329</v>
      </c>
      <c r="BR996" s="10">
        <f t="shared" ca="1" si="1195"/>
        <v>-12428.582569210232</v>
      </c>
      <c r="BS996" s="10">
        <f t="shared" ca="1" si="1195"/>
        <v>-12299.99547034729</v>
      </c>
      <c r="BT996" s="10">
        <f t="shared" ca="1" si="1195"/>
        <v>-12006.216709992057</v>
      </c>
      <c r="BU996" s="10">
        <f t="shared" ca="1" si="1195"/>
        <v>-11879.374809043717</v>
      </c>
      <c r="BV996" s="10">
        <f t="shared" ca="1" si="1195"/>
        <v>-11881.681621371145</v>
      </c>
      <c r="BW996" s="10">
        <f t="shared" ca="1" si="1195"/>
        <v>-11753.445853379415</v>
      </c>
      <c r="BX996" s="10">
        <f t="shared" ref="BX996:CO996" ca="1" si="1196">SGA_PL</f>
        <v>-11403.645628727523</v>
      </c>
      <c r="BY996" s="10">
        <f t="shared" ca="1" si="1196"/>
        <v>-11403.16338937432</v>
      </c>
      <c r="BZ996" s="10">
        <f t="shared" ca="1" si="1196"/>
        <v>-11399.8857783067</v>
      </c>
      <c r="CA996" s="10">
        <f t="shared" ca="1" si="1196"/>
        <v>-11271.298679443758</v>
      </c>
      <c r="CB996" s="10">
        <f t="shared" ca="1" si="1196"/>
        <v>-10900.478720133406</v>
      </c>
      <c r="CC996" s="10">
        <f t="shared" ca="1" si="1196"/>
        <v>-10894.405737351375</v>
      </c>
      <c r="CD996" s="10">
        <f t="shared" ca="1" si="1196"/>
        <v>-10885.537382854933</v>
      </c>
      <c r="CE996" s="10">
        <f t="shared" ca="1" si="1196"/>
        <v>-10756.950283991993</v>
      </c>
      <c r="CF996" s="10">
        <f t="shared" ca="1" si="1196"/>
        <v>-10397.311811539286</v>
      </c>
      <c r="CG996" s="10">
        <f t="shared" ca="1" si="1196"/>
        <v>-10385.648085328434</v>
      </c>
      <c r="CH996" s="10">
        <f t="shared" ca="1" si="1196"/>
        <v>-10371.188987403168</v>
      </c>
      <c r="CI996" s="10">
        <f t="shared" ca="1" si="1196"/>
        <v>-10242.601888540228</v>
      </c>
      <c r="CJ996" s="10">
        <f t="shared" ca="1" si="1196"/>
        <v>-9976.746294818573</v>
      </c>
      <c r="CK996" s="10">
        <f t="shared" ca="1" si="1196"/>
        <v>-9849.9043938702307</v>
      </c>
      <c r="CL996" s="10">
        <f t="shared" ca="1" si="1196"/>
        <v>-9829.9093335034468</v>
      </c>
      <c r="CM996" s="10">
        <f t="shared" ca="1" si="1196"/>
        <v>-9701.6735655117154</v>
      </c>
      <c r="CN996" s="10">
        <f t="shared" ca="1" si="1196"/>
        <v>-9390.9779943510493</v>
      </c>
      <c r="CO996" s="10">
        <f t="shared" ca="1" si="1196"/>
        <v>-9368.1327812825512</v>
      </c>
    </row>
    <row r="997" spans="1:93">
      <c r="A997" s="10"/>
      <c r="B997" s="10"/>
      <c r="C997" s="17" t="s">
        <v>300</v>
      </c>
      <c r="D997" s="10"/>
      <c r="E997" s="10"/>
      <c r="F997" s="10"/>
      <c r="G997" s="134" t="str">
        <f t="shared" si="1183"/>
        <v>тыс. руб.</v>
      </c>
      <c r="H997" s="10"/>
      <c r="I997" s="23">
        <f t="shared" ca="1" si="1184"/>
        <v>-472505.91550729872</v>
      </c>
      <c r="J997" s="10"/>
      <c r="K997" s="10"/>
      <c r="L997" s="10">
        <f t="shared" ref="L997:BW997" si="1197">Debt_Interest_Accrued</f>
        <v>0</v>
      </c>
      <c r="M997" s="10">
        <f t="shared" ca="1" si="1197"/>
        <v>0</v>
      </c>
      <c r="N997" s="10">
        <f t="shared" ca="1" si="1197"/>
        <v>0</v>
      </c>
      <c r="O997" s="10">
        <f t="shared" ca="1" si="1197"/>
        <v>0</v>
      </c>
      <c r="P997" s="10">
        <f t="shared" ca="1" si="1197"/>
        <v>0</v>
      </c>
      <c r="Q997" s="10">
        <f t="shared" ca="1" si="1197"/>
        <v>0</v>
      </c>
      <c r="R997" s="10">
        <f t="shared" ca="1" si="1197"/>
        <v>0</v>
      </c>
      <c r="S997" s="10">
        <f t="shared" ca="1" si="1197"/>
        <v>0</v>
      </c>
      <c r="T997" s="10">
        <f t="shared" ca="1" si="1197"/>
        <v>-375.82926333388428</v>
      </c>
      <c r="U997" s="10">
        <f t="shared" ca="1" si="1197"/>
        <v>-2049.679343298747</v>
      </c>
      <c r="V997" s="10">
        <f t="shared" ca="1" si="1197"/>
        <v>-4692.73305525248</v>
      </c>
      <c r="W997" s="10">
        <f t="shared" ca="1" si="1197"/>
        <v>-7339.0839635085113</v>
      </c>
      <c r="X997" s="10">
        <f t="shared" ca="1" si="1197"/>
        <v>-11087.213428915877</v>
      </c>
      <c r="Y997" s="10">
        <f t="shared" ca="1" si="1197"/>
        <v>-16184.443320720929</v>
      </c>
      <c r="Z997" s="10">
        <f t="shared" ca="1" si="1197"/>
        <v>-21566.314755658917</v>
      </c>
      <c r="AA997" s="10">
        <f t="shared" ca="1" si="1197"/>
        <v>-26821.612493877776</v>
      </c>
      <c r="AB997" s="10">
        <f t="shared" ca="1" si="1197"/>
        <v>-33416.864118378056</v>
      </c>
      <c r="AC997" s="10">
        <f t="shared" ca="1" si="1197"/>
        <v>-38354.581535515288</v>
      </c>
      <c r="AD997" s="10">
        <f t="shared" ca="1" si="1197"/>
        <v>-32803.703361364605</v>
      </c>
      <c r="AE997" s="10">
        <f t="shared" ca="1" si="1197"/>
        <v>-29891.359146755047</v>
      </c>
      <c r="AF997" s="10">
        <f t="shared" ca="1" si="1197"/>
        <v>-27616.105945096959</v>
      </c>
      <c r="AG997" s="10">
        <f t="shared" ca="1" si="1197"/>
        <v>-27156.393128187661</v>
      </c>
      <c r="AH997" s="10">
        <f t="shared" ca="1" si="1197"/>
        <v>-26538.750611260843</v>
      </c>
      <c r="AI997" s="10">
        <f t="shared" ca="1" si="1197"/>
        <v>-24395.411155234164</v>
      </c>
      <c r="AJ997" s="10">
        <f t="shared" ca="1" si="1197"/>
        <v>-21831.922145464901</v>
      </c>
      <c r="AK997" s="10">
        <f t="shared" ca="1" si="1197"/>
        <v>-21042.52524153925</v>
      </c>
      <c r="AL997" s="10">
        <f t="shared" ca="1" si="1197"/>
        <v>-20069.891622505023</v>
      </c>
      <c r="AM997" s="10">
        <f t="shared" ca="1" si="1197"/>
        <v>-17454.073787044064</v>
      </c>
      <c r="AN997" s="10">
        <f t="shared" ca="1" si="1197"/>
        <v>-14712.666046453658</v>
      </c>
      <c r="AO997" s="10">
        <f t="shared" ca="1" si="1197"/>
        <v>-13375.764703781109</v>
      </c>
      <c r="AP997" s="10">
        <f t="shared" ca="1" si="1197"/>
        <v>-11999.563981574278</v>
      </c>
      <c r="AQ997" s="10">
        <f t="shared" ca="1" si="1197"/>
        <v>-8912.8602572211221</v>
      </c>
      <c r="AR997" s="10">
        <f t="shared" ca="1" si="1197"/>
        <v>-5840.770680695141</v>
      </c>
      <c r="AS997" s="10">
        <f t="shared" ca="1" si="1197"/>
        <v>-4327.01356872835</v>
      </c>
      <c r="AT997" s="10">
        <f t="shared" ca="1" si="1197"/>
        <v>-2648.7848459321053</v>
      </c>
      <c r="AU997" s="10">
        <f t="shared" ca="1" si="1197"/>
        <v>0</v>
      </c>
      <c r="AV997" s="10">
        <f t="shared" ca="1" si="1197"/>
        <v>0</v>
      </c>
      <c r="AW997" s="10">
        <f t="shared" ca="1" si="1197"/>
        <v>0</v>
      </c>
      <c r="AX997" s="10">
        <f t="shared" ca="1" si="1197"/>
        <v>0</v>
      </c>
      <c r="AY997" s="10">
        <f t="shared" ca="1" si="1197"/>
        <v>0</v>
      </c>
      <c r="AZ997" s="10">
        <f t="shared" ca="1" si="1197"/>
        <v>0</v>
      </c>
      <c r="BA997" s="10">
        <f t="shared" ca="1" si="1197"/>
        <v>0</v>
      </c>
      <c r="BB997" s="10">
        <f t="shared" ca="1" si="1197"/>
        <v>0</v>
      </c>
      <c r="BC997" s="10">
        <f t="shared" ca="1" si="1197"/>
        <v>0</v>
      </c>
      <c r="BD997" s="10">
        <f t="shared" ca="1" si="1197"/>
        <v>0</v>
      </c>
      <c r="BE997" s="10">
        <f t="shared" ca="1" si="1197"/>
        <v>0</v>
      </c>
      <c r="BF997" s="10">
        <f t="shared" ca="1" si="1197"/>
        <v>0</v>
      </c>
      <c r="BG997" s="10">
        <f t="shared" ca="1" si="1197"/>
        <v>0</v>
      </c>
      <c r="BH997" s="10">
        <f t="shared" ca="1" si="1197"/>
        <v>0</v>
      </c>
      <c r="BI997" s="10">
        <f t="shared" ca="1" si="1197"/>
        <v>0</v>
      </c>
      <c r="BJ997" s="10">
        <f t="shared" ca="1" si="1197"/>
        <v>0</v>
      </c>
      <c r="BK997" s="10">
        <f t="shared" ca="1" si="1197"/>
        <v>0</v>
      </c>
      <c r="BL997" s="10">
        <f t="shared" ca="1" si="1197"/>
        <v>0</v>
      </c>
      <c r="BM997" s="10">
        <f t="shared" ca="1" si="1197"/>
        <v>0</v>
      </c>
      <c r="BN997" s="10">
        <f t="shared" ca="1" si="1197"/>
        <v>0</v>
      </c>
      <c r="BO997" s="10">
        <f t="shared" ca="1" si="1197"/>
        <v>0</v>
      </c>
      <c r="BP997" s="10">
        <f t="shared" ca="1" si="1197"/>
        <v>0</v>
      </c>
      <c r="BQ997" s="10">
        <f t="shared" ca="1" si="1197"/>
        <v>0</v>
      </c>
      <c r="BR997" s="10">
        <f t="shared" ca="1" si="1197"/>
        <v>0</v>
      </c>
      <c r="BS997" s="10">
        <f t="shared" ca="1" si="1197"/>
        <v>0</v>
      </c>
      <c r="BT997" s="10">
        <f t="shared" ca="1" si="1197"/>
        <v>0</v>
      </c>
      <c r="BU997" s="10">
        <f t="shared" ca="1" si="1197"/>
        <v>0</v>
      </c>
      <c r="BV997" s="10">
        <f t="shared" ca="1" si="1197"/>
        <v>0</v>
      </c>
      <c r="BW997" s="10">
        <f t="shared" ca="1" si="1197"/>
        <v>0</v>
      </c>
      <c r="BX997" s="10">
        <f t="shared" ref="BX997:CO997" ca="1" si="1198">Debt_Interest_Accrued</f>
        <v>0</v>
      </c>
      <c r="BY997" s="10">
        <f t="shared" ca="1" si="1198"/>
        <v>0</v>
      </c>
      <c r="BZ997" s="10">
        <f t="shared" ca="1" si="1198"/>
        <v>0</v>
      </c>
      <c r="CA997" s="10">
        <f t="shared" ca="1" si="1198"/>
        <v>0</v>
      </c>
      <c r="CB997" s="10">
        <f t="shared" ca="1" si="1198"/>
        <v>0</v>
      </c>
      <c r="CC997" s="10">
        <f t="shared" ca="1" si="1198"/>
        <v>0</v>
      </c>
      <c r="CD997" s="10">
        <f t="shared" ca="1" si="1198"/>
        <v>0</v>
      </c>
      <c r="CE997" s="10">
        <f t="shared" ca="1" si="1198"/>
        <v>0</v>
      </c>
      <c r="CF997" s="10">
        <f t="shared" ca="1" si="1198"/>
        <v>0</v>
      </c>
      <c r="CG997" s="10">
        <f t="shared" ca="1" si="1198"/>
        <v>0</v>
      </c>
      <c r="CH997" s="10">
        <f t="shared" ca="1" si="1198"/>
        <v>0</v>
      </c>
      <c r="CI997" s="10">
        <f t="shared" ca="1" si="1198"/>
        <v>0</v>
      </c>
      <c r="CJ997" s="10">
        <f t="shared" ca="1" si="1198"/>
        <v>0</v>
      </c>
      <c r="CK997" s="10">
        <f t="shared" ca="1" si="1198"/>
        <v>0</v>
      </c>
      <c r="CL997" s="10">
        <f t="shared" ca="1" si="1198"/>
        <v>0</v>
      </c>
      <c r="CM997" s="10">
        <f t="shared" ca="1" si="1198"/>
        <v>0</v>
      </c>
      <c r="CN997" s="10">
        <f t="shared" ca="1" si="1198"/>
        <v>0</v>
      </c>
      <c r="CO997" s="10">
        <f t="shared" ca="1" si="1198"/>
        <v>0</v>
      </c>
    </row>
    <row r="998" spans="1:93">
      <c r="A998" s="10"/>
      <c r="B998" s="10"/>
      <c r="C998" s="17" t="s">
        <v>358</v>
      </c>
      <c r="D998" s="10"/>
      <c r="E998" s="10"/>
      <c r="F998" s="10"/>
      <c r="G998" s="134" t="str">
        <f t="shared" si="1183"/>
        <v>тыс. руб.</v>
      </c>
      <c r="H998" s="10"/>
      <c r="I998" s="23">
        <f t="shared" si="1184"/>
        <v>-630618.79116080911</v>
      </c>
      <c r="J998" s="10"/>
      <c r="K998" s="10"/>
      <c r="L998" s="10">
        <f t="shared" ref="L998:BW998" si="1199">-Subord_Interest_Accrued</f>
        <v>-261.90161609928646</v>
      </c>
      <c r="M998" s="10">
        <f t="shared" si="1199"/>
        <v>-811.90603756310509</v>
      </c>
      <c r="N998" s="10">
        <f t="shared" si="1199"/>
        <v>-1410.7015765969325</v>
      </c>
      <c r="O998" s="10">
        <f t="shared" si="1199"/>
        <v>-2040.0333781747295</v>
      </c>
      <c r="P998" s="10">
        <f t="shared" si="1199"/>
        <v>-3559.7592196845253</v>
      </c>
      <c r="Q998" s="10">
        <f t="shared" si="1199"/>
        <v>-7298.8376091939972</v>
      </c>
      <c r="R998" s="10">
        <f t="shared" si="1199"/>
        <v>-11305.455621851217</v>
      </c>
      <c r="S998" s="10">
        <f t="shared" si="1199"/>
        <v>-15429.236735536404</v>
      </c>
      <c r="T998" s="10">
        <f t="shared" si="1199"/>
        <v>-15852.349624497112</v>
      </c>
      <c r="U998" s="10">
        <f t="shared" si="1199"/>
        <v>-17690.589770455717</v>
      </c>
      <c r="V998" s="10">
        <f t="shared" si="1199"/>
        <v>-18577.87834661355</v>
      </c>
      <c r="W998" s="10">
        <f t="shared" si="1199"/>
        <v>-19343.73309965977</v>
      </c>
      <c r="X998" s="10">
        <f t="shared" si="1199"/>
        <v>-19913.43726592615</v>
      </c>
      <c r="Y998" s="10">
        <f t="shared" si="1199"/>
        <v>-20835.331695848607</v>
      </c>
      <c r="Z998" s="10">
        <f t="shared" si="1199"/>
        <v>-22111.924433720254</v>
      </c>
      <c r="AA998" s="10">
        <f t="shared" si="1199"/>
        <v>-23288.47073223886</v>
      </c>
      <c r="AB998" s="10">
        <f t="shared" si="1199"/>
        <v>-24131.715984079288</v>
      </c>
      <c r="AC998" s="10">
        <f t="shared" si="1199"/>
        <v>-25497.350786420462</v>
      </c>
      <c r="AD998" s="10">
        <f t="shared" si="1199"/>
        <v>-23478.65760437533</v>
      </c>
      <c r="AE998" s="10">
        <f t="shared" si="1199"/>
        <v>-22637.514180235645</v>
      </c>
      <c r="AF998" s="10">
        <f t="shared" si="1199"/>
        <v>-21909.186585514912</v>
      </c>
      <c r="AG998" s="10">
        <f t="shared" si="1199"/>
        <v>-22331.212862073491</v>
      </c>
      <c r="AH998" s="10">
        <f t="shared" si="1199"/>
        <v>-22706.018620742561</v>
      </c>
      <c r="AI998" s="10">
        <f t="shared" si="1199"/>
        <v>-22255.330733271327</v>
      </c>
      <c r="AJ998" s="10">
        <f t="shared" si="1199"/>
        <v>-21360.832104513291</v>
      </c>
      <c r="AK998" s="10">
        <f t="shared" si="1199"/>
        <v>-21668.124571879831</v>
      </c>
      <c r="AL998" s="10">
        <f t="shared" si="1199"/>
        <v>-21914.67467605598</v>
      </c>
      <c r="AM998" s="10">
        <f t="shared" si="1199"/>
        <v>-21251.228753983789</v>
      </c>
      <c r="AN998" s="10">
        <f t="shared" si="1199"/>
        <v>-20340.528546735615</v>
      </c>
      <c r="AO998" s="10">
        <f t="shared" si="1199"/>
        <v>-20274.117805717458</v>
      </c>
      <c r="AP998" s="10">
        <f t="shared" si="1199"/>
        <v>-20353.111120342837</v>
      </c>
      <c r="AQ998" s="10">
        <f t="shared" si="1199"/>
        <v>-19460.702954767974</v>
      </c>
      <c r="AR998" s="10">
        <f t="shared" si="1199"/>
        <v>-18266.375270445842</v>
      </c>
      <c r="AS998" s="10">
        <f t="shared" si="1199"/>
        <v>-18276.824846852647</v>
      </c>
      <c r="AT998" s="10">
        <f t="shared" si="1199"/>
        <v>-18230.566621183993</v>
      </c>
      <c r="AU998" s="10">
        <f t="shared" si="1199"/>
        <v>-15600.088032265026</v>
      </c>
      <c r="AV998" s="10">
        <f t="shared" si="1199"/>
        <v>-6768.903048696302</v>
      </c>
      <c r="AW998" s="10">
        <f t="shared" si="1199"/>
        <v>-2174.1786869951966</v>
      </c>
      <c r="AX998" s="10">
        <f t="shared" si="1199"/>
        <v>0</v>
      </c>
      <c r="AY998" s="10">
        <f t="shared" si="1199"/>
        <v>0</v>
      </c>
      <c r="AZ998" s="10">
        <f t="shared" si="1199"/>
        <v>0</v>
      </c>
      <c r="BA998" s="10">
        <f t="shared" si="1199"/>
        <v>0</v>
      </c>
      <c r="BB998" s="10">
        <f t="shared" si="1199"/>
        <v>0</v>
      </c>
      <c r="BC998" s="10">
        <f t="shared" si="1199"/>
        <v>0</v>
      </c>
      <c r="BD998" s="10">
        <f t="shared" si="1199"/>
        <v>0</v>
      </c>
      <c r="BE998" s="10">
        <f t="shared" si="1199"/>
        <v>0</v>
      </c>
      <c r="BF998" s="10">
        <f t="shared" si="1199"/>
        <v>0</v>
      </c>
      <c r="BG998" s="10">
        <f t="shared" si="1199"/>
        <v>0</v>
      </c>
      <c r="BH998" s="10">
        <f t="shared" si="1199"/>
        <v>0</v>
      </c>
      <c r="BI998" s="10">
        <f t="shared" si="1199"/>
        <v>0</v>
      </c>
      <c r="BJ998" s="10">
        <f t="shared" si="1199"/>
        <v>0</v>
      </c>
      <c r="BK998" s="10">
        <f t="shared" si="1199"/>
        <v>0</v>
      </c>
      <c r="BL998" s="10">
        <f t="shared" si="1199"/>
        <v>0</v>
      </c>
      <c r="BM998" s="10">
        <f t="shared" si="1199"/>
        <v>0</v>
      </c>
      <c r="BN998" s="10">
        <f t="shared" si="1199"/>
        <v>0</v>
      </c>
      <c r="BO998" s="10">
        <f t="shared" si="1199"/>
        <v>0</v>
      </c>
      <c r="BP998" s="10">
        <f t="shared" si="1199"/>
        <v>0</v>
      </c>
      <c r="BQ998" s="10">
        <f t="shared" si="1199"/>
        <v>0</v>
      </c>
      <c r="BR998" s="10">
        <f t="shared" si="1199"/>
        <v>0</v>
      </c>
      <c r="BS998" s="10">
        <f t="shared" si="1199"/>
        <v>0</v>
      </c>
      <c r="BT998" s="10">
        <f t="shared" si="1199"/>
        <v>0</v>
      </c>
      <c r="BU998" s="10">
        <f t="shared" si="1199"/>
        <v>0</v>
      </c>
      <c r="BV998" s="10">
        <f t="shared" si="1199"/>
        <v>0</v>
      </c>
      <c r="BW998" s="10">
        <f t="shared" si="1199"/>
        <v>0</v>
      </c>
      <c r="BX998" s="10">
        <f t="shared" ref="BX998:CO998" si="1200">-Subord_Interest_Accrued</f>
        <v>0</v>
      </c>
      <c r="BY998" s="10">
        <f t="shared" si="1200"/>
        <v>0</v>
      </c>
      <c r="BZ998" s="10">
        <f t="shared" si="1200"/>
        <v>0</v>
      </c>
      <c r="CA998" s="10">
        <f t="shared" si="1200"/>
        <v>0</v>
      </c>
      <c r="CB998" s="10">
        <f t="shared" si="1200"/>
        <v>0</v>
      </c>
      <c r="CC998" s="10">
        <f t="shared" si="1200"/>
        <v>0</v>
      </c>
      <c r="CD998" s="10">
        <f t="shared" si="1200"/>
        <v>0</v>
      </c>
      <c r="CE998" s="10">
        <f t="shared" si="1200"/>
        <v>0</v>
      </c>
      <c r="CF998" s="10">
        <f t="shared" si="1200"/>
        <v>0</v>
      </c>
      <c r="CG998" s="10">
        <f t="shared" si="1200"/>
        <v>0</v>
      </c>
      <c r="CH998" s="10">
        <f t="shared" si="1200"/>
        <v>0</v>
      </c>
      <c r="CI998" s="10">
        <f t="shared" si="1200"/>
        <v>0</v>
      </c>
      <c r="CJ998" s="10">
        <f t="shared" si="1200"/>
        <v>0</v>
      </c>
      <c r="CK998" s="10">
        <f t="shared" si="1200"/>
        <v>0</v>
      </c>
      <c r="CL998" s="10">
        <f t="shared" si="1200"/>
        <v>0</v>
      </c>
      <c r="CM998" s="10">
        <f t="shared" si="1200"/>
        <v>0</v>
      </c>
      <c r="CN998" s="10">
        <f t="shared" si="1200"/>
        <v>0</v>
      </c>
      <c r="CO998" s="10">
        <f t="shared" si="1200"/>
        <v>0</v>
      </c>
    </row>
    <row r="999" spans="1:93" ht="15.75" thickBot="1">
      <c r="A999" s="10"/>
      <c r="B999" s="10"/>
      <c r="C999" s="17" t="s">
        <v>103</v>
      </c>
      <c r="D999" s="10"/>
      <c r="E999" s="10"/>
      <c r="F999" s="10"/>
      <c r="G999" s="134" t="str">
        <f t="shared" si="1183"/>
        <v>тыс. руб.</v>
      </c>
      <c r="H999" s="10"/>
      <c r="I999" s="23">
        <f t="shared" ca="1" si="1184"/>
        <v>-10990.619012601321</v>
      </c>
      <c r="J999" s="10"/>
      <c r="K999" s="10"/>
      <c r="L999" s="10">
        <f t="shared" ref="L999:AQ999" si="1201">Bank_Fees</f>
        <v>0</v>
      </c>
      <c r="M999" s="10">
        <f t="shared" ca="1" si="1201"/>
        <v>0</v>
      </c>
      <c r="N999" s="10">
        <f t="shared" ca="1" si="1201"/>
        <v>0</v>
      </c>
      <c r="O999" s="10">
        <f t="shared" ca="1" si="1201"/>
        <v>0</v>
      </c>
      <c r="P999" s="10">
        <f t="shared" ca="1" si="1201"/>
        <v>0</v>
      </c>
      <c r="Q999" s="10">
        <f t="shared" ca="1" si="1201"/>
        <v>0</v>
      </c>
      <c r="R999" s="10">
        <f t="shared" ca="1" si="1201"/>
        <v>0</v>
      </c>
      <c r="S999" s="10">
        <f t="shared" ca="1" si="1201"/>
        <v>0</v>
      </c>
      <c r="T999" s="10">
        <f t="shared" ca="1" si="1201"/>
        <v>0</v>
      </c>
      <c r="U999" s="10">
        <f t="shared" ca="1" si="1201"/>
        <v>-2032.1389863481136</v>
      </c>
      <c r="V999" s="10">
        <f t="shared" ca="1" si="1201"/>
        <v>-1913.5143739847667</v>
      </c>
      <c r="W999" s="10">
        <f t="shared" ca="1" si="1201"/>
        <v>-1771.1696690677206</v>
      </c>
      <c r="X999" s="10">
        <f t="shared" ca="1" si="1201"/>
        <v>-1605.3348325415557</v>
      </c>
      <c r="Y999" s="10">
        <f t="shared" ca="1" si="1201"/>
        <v>-1331.1596721046919</v>
      </c>
      <c r="Z999" s="10">
        <f t="shared" ca="1" si="1201"/>
        <v>-1065.8684792952763</v>
      </c>
      <c r="AA999" s="10">
        <f t="shared" ca="1" si="1201"/>
        <v>-783.19099934951782</v>
      </c>
      <c r="AB999" s="10">
        <f t="shared" ca="1" si="1201"/>
        <v>-488.24199990967918</v>
      </c>
      <c r="AC999" s="10">
        <f t="shared" ca="1" si="1201"/>
        <v>0</v>
      </c>
      <c r="AD999" s="10">
        <f t="shared" ca="1" si="1201"/>
        <v>0</v>
      </c>
      <c r="AE999" s="10">
        <f t="shared" ca="1" si="1201"/>
        <v>0</v>
      </c>
      <c r="AF999" s="10">
        <f t="shared" ca="1" si="1201"/>
        <v>0</v>
      </c>
      <c r="AG999" s="10">
        <f t="shared" ca="1" si="1201"/>
        <v>0</v>
      </c>
      <c r="AH999" s="10">
        <f t="shared" ca="1" si="1201"/>
        <v>0</v>
      </c>
      <c r="AI999" s="10">
        <f t="shared" ca="1" si="1201"/>
        <v>0</v>
      </c>
      <c r="AJ999" s="10">
        <f t="shared" ca="1" si="1201"/>
        <v>0</v>
      </c>
      <c r="AK999" s="10">
        <f t="shared" ca="1" si="1201"/>
        <v>0</v>
      </c>
      <c r="AL999" s="10">
        <f t="shared" ca="1" si="1201"/>
        <v>0</v>
      </c>
      <c r="AM999" s="10">
        <f t="shared" ca="1" si="1201"/>
        <v>0</v>
      </c>
      <c r="AN999" s="10">
        <f t="shared" ca="1" si="1201"/>
        <v>0</v>
      </c>
      <c r="AO999" s="10">
        <f t="shared" ca="1" si="1201"/>
        <v>0</v>
      </c>
      <c r="AP999" s="10">
        <f t="shared" ca="1" si="1201"/>
        <v>0</v>
      </c>
      <c r="AQ999" s="10">
        <f t="shared" ca="1" si="1201"/>
        <v>0</v>
      </c>
      <c r="AR999" s="10">
        <f t="shared" ref="AR999:BW999" ca="1" si="1202">Bank_Fees</f>
        <v>0</v>
      </c>
      <c r="AS999" s="10">
        <f t="shared" ca="1" si="1202"/>
        <v>0</v>
      </c>
      <c r="AT999" s="10">
        <f t="shared" ca="1" si="1202"/>
        <v>0</v>
      </c>
      <c r="AU999" s="10">
        <f t="shared" ca="1" si="1202"/>
        <v>0</v>
      </c>
      <c r="AV999" s="10">
        <f t="shared" ca="1" si="1202"/>
        <v>0</v>
      </c>
      <c r="AW999" s="10">
        <f t="shared" ca="1" si="1202"/>
        <v>0</v>
      </c>
      <c r="AX999" s="10">
        <f t="shared" ca="1" si="1202"/>
        <v>0</v>
      </c>
      <c r="AY999" s="10">
        <f t="shared" ca="1" si="1202"/>
        <v>0</v>
      </c>
      <c r="AZ999" s="10">
        <f t="shared" ca="1" si="1202"/>
        <v>0</v>
      </c>
      <c r="BA999" s="10">
        <f t="shared" ca="1" si="1202"/>
        <v>0</v>
      </c>
      <c r="BB999" s="10">
        <f t="shared" ca="1" si="1202"/>
        <v>0</v>
      </c>
      <c r="BC999" s="10">
        <f t="shared" ca="1" si="1202"/>
        <v>0</v>
      </c>
      <c r="BD999" s="10">
        <f t="shared" ca="1" si="1202"/>
        <v>0</v>
      </c>
      <c r="BE999" s="10">
        <f t="shared" ca="1" si="1202"/>
        <v>0</v>
      </c>
      <c r="BF999" s="10">
        <f t="shared" ca="1" si="1202"/>
        <v>0</v>
      </c>
      <c r="BG999" s="10">
        <f t="shared" ca="1" si="1202"/>
        <v>0</v>
      </c>
      <c r="BH999" s="10">
        <f t="shared" ca="1" si="1202"/>
        <v>0</v>
      </c>
      <c r="BI999" s="10">
        <f t="shared" ca="1" si="1202"/>
        <v>0</v>
      </c>
      <c r="BJ999" s="10">
        <f t="shared" ca="1" si="1202"/>
        <v>0</v>
      </c>
      <c r="BK999" s="10">
        <f t="shared" ca="1" si="1202"/>
        <v>0</v>
      </c>
      <c r="BL999" s="10">
        <f t="shared" ca="1" si="1202"/>
        <v>0</v>
      </c>
      <c r="BM999" s="10">
        <f t="shared" ca="1" si="1202"/>
        <v>0</v>
      </c>
      <c r="BN999" s="10">
        <f t="shared" ca="1" si="1202"/>
        <v>0</v>
      </c>
      <c r="BO999" s="10">
        <f t="shared" ca="1" si="1202"/>
        <v>0</v>
      </c>
      <c r="BP999" s="10">
        <f t="shared" ca="1" si="1202"/>
        <v>0</v>
      </c>
      <c r="BQ999" s="10">
        <f t="shared" ca="1" si="1202"/>
        <v>0</v>
      </c>
      <c r="BR999" s="10">
        <f t="shared" ca="1" si="1202"/>
        <v>0</v>
      </c>
      <c r="BS999" s="10">
        <f t="shared" ca="1" si="1202"/>
        <v>0</v>
      </c>
      <c r="BT999" s="10">
        <f t="shared" ca="1" si="1202"/>
        <v>0</v>
      </c>
      <c r="BU999" s="10">
        <f t="shared" ca="1" si="1202"/>
        <v>0</v>
      </c>
      <c r="BV999" s="10">
        <f t="shared" ca="1" si="1202"/>
        <v>0</v>
      </c>
      <c r="BW999" s="10">
        <f t="shared" ca="1" si="1202"/>
        <v>0</v>
      </c>
      <c r="BX999" s="10">
        <f t="shared" ref="BX999:CO999" ca="1" si="1203">Bank_Fees</f>
        <v>0</v>
      </c>
      <c r="BY999" s="10">
        <f t="shared" ca="1" si="1203"/>
        <v>0</v>
      </c>
      <c r="BZ999" s="10">
        <f t="shared" ca="1" si="1203"/>
        <v>0</v>
      </c>
      <c r="CA999" s="10">
        <f t="shared" ca="1" si="1203"/>
        <v>0</v>
      </c>
      <c r="CB999" s="10">
        <f t="shared" ca="1" si="1203"/>
        <v>0</v>
      </c>
      <c r="CC999" s="10">
        <f t="shared" ca="1" si="1203"/>
        <v>0</v>
      </c>
      <c r="CD999" s="10">
        <f t="shared" ca="1" si="1203"/>
        <v>0</v>
      </c>
      <c r="CE999" s="10">
        <f t="shared" ca="1" si="1203"/>
        <v>0</v>
      </c>
      <c r="CF999" s="10">
        <f t="shared" ca="1" si="1203"/>
        <v>0</v>
      </c>
      <c r="CG999" s="10">
        <f t="shared" ca="1" si="1203"/>
        <v>0</v>
      </c>
      <c r="CH999" s="10">
        <f t="shared" ca="1" si="1203"/>
        <v>0</v>
      </c>
      <c r="CI999" s="10">
        <f t="shared" ca="1" si="1203"/>
        <v>0</v>
      </c>
      <c r="CJ999" s="10">
        <f t="shared" ca="1" si="1203"/>
        <v>0</v>
      </c>
      <c r="CK999" s="10">
        <f t="shared" ca="1" si="1203"/>
        <v>0</v>
      </c>
      <c r="CL999" s="10">
        <f t="shared" ca="1" si="1203"/>
        <v>0</v>
      </c>
      <c r="CM999" s="10">
        <f t="shared" ca="1" si="1203"/>
        <v>0</v>
      </c>
      <c r="CN999" s="10">
        <f t="shared" ca="1" si="1203"/>
        <v>0</v>
      </c>
      <c r="CO999" s="10">
        <f t="shared" ca="1" si="1203"/>
        <v>0</v>
      </c>
    </row>
    <row r="1000" spans="1:93" ht="15.75" thickTop="1">
      <c r="A1000" s="172"/>
      <c r="B1000" s="35"/>
      <c r="C1000" s="173" t="s">
        <v>104</v>
      </c>
      <c r="D1000" s="49"/>
      <c r="E1000" s="49"/>
      <c r="F1000" s="49"/>
      <c r="G1000" s="159" t="str">
        <f t="shared" si="1183"/>
        <v>тыс. руб.</v>
      </c>
      <c r="H1000" s="49"/>
      <c r="I1000" s="176">
        <f t="shared" ca="1" si="1184"/>
        <v>9924706.3313916661</v>
      </c>
      <c r="J1000" s="49"/>
      <c r="K1000" s="49"/>
      <c r="L1000" s="49">
        <f t="shared" ref="L1000:AQ1000" ca="1" si="1204">SUM(L992:L999)</f>
        <v>-261.90161609928646</v>
      </c>
      <c r="M1000" s="49">
        <f t="shared" ca="1" si="1204"/>
        <v>-811.90603756310509</v>
      </c>
      <c r="N1000" s="49">
        <f t="shared" ca="1" si="1204"/>
        <v>-1410.7015765969325</v>
      </c>
      <c r="O1000" s="49">
        <f t="shared" ca="1" si="1204"/>
        <v>-2040.0333781747295</v>
      </c>
      <c r="P1000" s="49">
        <f t="shared" ca="1" si="1204"/>
        <v>-3559.7592196845253</v>
      </c>
      <c r="Q1000" s="49">
        <f t="shared" ca="1" si="1204"/>
        <v>-7298.8376091939972</v>
      </c>
      <c r="R1000" s="49">
        <f t="shared" ca="1" si="1204"/>
        <v>-11305.455621851217</v>
      </c>
      <c r="S1000" s="49">
        <f t="shared" ca="1" si="1204"/>
        <v>-15429.236735536404</v>
      </c>
      <c r="T1000" s="49">
        <f t="shared" ca="1" si="1204"/>
        <v>-16228.178887830996</v>
      </c>
      <c r="U1000" s="49">
        <f t="shared" ca="1" si="1204"/>
        <v>-21772.408100102577</v>
      </c>
      <c r="V1000" s="49">
        <f t="shared" ca="1" si="1204"/>
        <v>-25184.125775850796</v>
      </c>
      <c r="W1000" s="49">
        <f t="shared" ca="1" si="1204"/>
        <v>-28453.986732236001</v>
      </c>
      <c r="X1000" s="49">
        <f t="shared" ca="1" si="1204"/>
        <v>-32605.985527383586</v>
      </c>
      <c r="Y1000" s="49">
        <f t="shared" ca="1" si="1204"/>
        <v>-38350.934688674228</v>
      </c>
      <c r="Z1000" s="49">
        <f t="shared" ca="1" si="1204"/>
        <v>-44744.107668674449</v>
      </c>
      <c r="AA1000" s="49">
        <f t="shared" ca="1" si="1204"/>
        <v>-50893.274225466157</v>
      </c>
      <c r="AB1000" s="49">
        <f t="shared" ca="1" si="1204"/>
        <v>-58036.822102367027</v>
      </c>
      <c r="AC1000" s="49">
        <f t="shared" ca="1" si="1204"/>
        <v>-395254.87189375859</v>
      </c>
      <c r="AD1000" s="49">
        <f t="shared" ca="1" si="1204"/>
        <v>178385.17168128092</v>
      </c>
      <c r="AE1000" s="49">
        <f t="shared" ca="1" si="1204"/>
        <v>3446.0020830635513</v>
      </c>
      <c r="AF1000" s="49">
        <f t="shared" ca="1" si="1204"/>
        <v>-3634.4644841818881</v>
      </c>
      <c r="AG1000" s="49">
        <f t="shared" ca="1" si="1204"/>
        <v>71045.351250940861</v>
      </c>
      <c r="AH1000" s="49">
        <f t="shared" ca="1" si="1204"/>
        <v>229479.82331503858</v>
      </c>
      <c r="AI1000" s="49">
        <f t="shared" ca="1" si="1204"/>
        <v>23977.500152082477</v>
      </c>
      <c r="AJ1000" s="49">
        <f t="shared" ca="1" si="1204"/>
        <v>15465.238567699431</v>
      </c>
      <c r="AK1000" s="49">
        <f t="shared" ca="1" si="1204"/>
        <v>101738.56901637367</v>
      </c>
      <c r="AL1000" s="49">
        <f t="shared" ca="1" si="1204"/>
        <v>283888.76693744748</v>
      </c>
      <c r="AM1000" s="49">
        <f t="shared" ca="1" si="1204"/>
        <v>47601.59970905933</v>
      </c>
      <c r="AN1000" s="49">
        <f t="shared" ca="1" si="1204"/>
        <v>38445.855674662569</v>
      </c>
      <c r="AO1000" s="49">
        <f t="shared" ca="1" si="1204"/>
        <v>136385.66540876977</v>
      </c>
      <c r="AP1000" s="49">
        <f t="shared" ca="1" si="1204"/>
        <v>334958.26799216849</v>
      </c>
      <c r="AQ1000" s="49">
        <f t="shared" ca="1" si="1204"/>
        <v>68765.527658504288</v>
      </c>
      <c r="AR1000" s="49">
        <f t="shared" ref="AR1000:BW1000" ca="1" si="1205">SUM(AR992:AR999)</f>
        <v>55102.927587363825</v>
      </c>
      <c r="AS1000" s="49">
        <f t="shared" ca="1" si="1205"/>
        <v>155660.24075048673</v>
      </c>
      <c r="AT1000" s="49">
        <f t="shared" ca="1" si="1205"/>
        <v>362552.06663809658</v>
      </c>
      <c r="AU1000" s="49">
        <f t="shared" ca="1" si="1205"/>
        <v>86852.596587677835</v>
      </c>
      <c r="AV1000" s="49">
        <f t="shared" ca="1" si="1205"/>
        <v>77042.942205954954</v>
      </c>
      <c r="AW1000" s="49">
        <f t="shared" ca="1" si="1205"/>
        <v>130009.08635922043</v>
      </c>
      <c r="AX1000" s="49">
        <f t="shared" ca="1" si="1205"/>
        <v>291247.10674418986</v>
      </c>
      <c r="AY1000" s="49">
        <f t="shared" ca="1" si="1205"/>
        <v>73048.797602429695</v>
      </c>
      <c r="AZ1000" s="49">
        <f t="shared" ca="1" si="1205"/>
        <v>58568.620868335791</v>
      </c>
      <c r="BA1000" s="49">
        <f t="shared" ca="1" si="1205"/>
        <v>138904.97942063055</v>
      </c>
      <c r="BB1000" s="49">
        <f t="shared" ca="1" si="1205"/>
        <v>304332.389784484</v>
      </c>
      <c r="BC1000" s="49">
        <f t="shared" ca="1" si="1205"/>
        <v>77406.148277053377</v>
      </c>
      <c r="BD1000" s="49">
        <f t="shared" ca="1" si="1205"/>
        <v>63417.340075391534</v>
      </c>
      <c r="BE1000" s="49">
        <f t="shared" ca="1" si="1205"/>
        <v>160753.86345969481</v>
      </c>
      <c r="BF1000" s="49">
        <f t="shared" ca="1" si="1205"/>
        <v>332799.47136972559</v>
      </c>
      <c r="BG1000" s="49">
        <f t="shared" ca="1" si="1205"/>
        <v>96796.188270348299</v>
      </c>
      <c r="BH1000" s="49">
        <f t="shared" ca="1" si="1205"/>
        <v>81123.082613588675</v>
      </c>
      <c r="BI1000" s="49">
        <f t="shared" ca="1" si="1205"/>
        <v>168016.95861958951</v>
      </c>
      <c r="BJ1000" s="49">
        <f t="shared" ca="1" si="1205"/>
        <v>346945.31626497197</v>
      </c>
      <c r="BK1000" s="49">
        <f t="shared" ca="1" si="1205"/>
        <v>101501.89345053534</v>
      </c>
      <c r="BL1000" s="49">
        <f t="shared" ca="1" si="1205"/>
        <v>85207.327093450425</v>
      </c>
      <c r="BM1000" s="49">
        <f t="shared" ca="1" si="1205"/>
        <v>175577.9731376514</v>
      </c>
      <c r="BN1000" s="49">
        <f t="shared" ca="1" si="1205"/>
        <v>361664.48008680932</v>
      </c>
      <c r="BO1000" s="49">
        <f t="shared" ca="1" si="1205"/>
        <v>106403.32035979538</v>
      </c>
      <c r="BP1000" s="49">
        <f t="shared" ca="1" si="1205"/>
        <v>89454.941352506561</v>
      </c>
      <c r="BQ1000" s="49">
        <f t="shared" ca="1" si="1205"/>
        <v>183441.42823643581</v>
      </c>
      <c r="BR1000" s="49">
        <f t="shared" ca="1" si="1205"/>
        <v>366878.32320077933</v>
      </c>
      <c r="BS1000" s="49">
        <f t="shared" ca="1" si="1205"/>
        <v>101535.30418354771</v>
      </c>
      <c r="BT1000" s="49">
        <f t="shared" ca="1" si="1205"/>
        <v>85427.090101778362</v>
      </c>
      <c r="BU1000" s="49">
        <f t="shared" ca="1" si="1205"/>
        <v>182050.1053576312</v>
      </c>
      <c r="BV1000" s="49">
        <f t="shared" ca="1" si="1205"/>
        <v>383346.42966372601</v>
      </c>
      <c r="BW1000" s="49">
        <f t="shared" ca="1" si="1205"/>
        <v>107384.20450980795</v>
      </c>
      <c r="BX1000" s="49">
        <f t="shared" ref="BX1000:CO1000" ca="1" si="1206">SUM(BX992:BX999)</f>
        <v>89346.779546251739</v>
      </c>
      <c r="BY1000" s="49">
        <f t="shared" ca="1" si="1206"/>
        <v>191030.49154410677</v>
      </c>
      <c r="BZ1000" s="49">
        <f t="shared" ca="1" si="1206"/>
        <v>400384.32507466956</v>
      </c>
      <c r="CA1000" s="49">
        <f t="shared" ca="1" si="1206"/>
        <v>113378.82299836467</v>
      </c>
      <c r="CB1000" s="49">
        <f t="shared" ca="1" si="1206"/>
        <v>94627.934820744777</v>
      </c>
      <c r="CC1000" s="49">
        <f t="shared" ca="1" si="1206"/>
        <v>200384.56675236864</v>
      </c>
      <c r="CD1000" s="49">
        <f t="shared" ca="1" si="1206"/>
        <v>418118.01326314022</v>
      </c>
      <c r="CE1000" s="49">
        <f t="shared" ca="1" si="1206"/>
        <v>119627.14761982849</v>
      </c>
      <c r="CF1000" s="49">
        <f t="shared" ca="1" si="1206"/>
        <v>100100.20962987389</v>
      </c>
      <c r="CG1000" s="49">
        <f t="shared" ca="1" si="1206"/>
        <v>210092.45466288016</v>
      </c>
      <c r="CH1000" s="49">
        <f t="shared" ca="1" si="1206"/>
        <v>436540.47504333133</v>
      </c>
      <c r="CI1000" s="49">
        <f t="shared" ca="1" si="1206"/>
        <v>126104.83129033286</v>
      </c>
      <c r="CJ1000" s="49">
        <f t="shared" ca="1" si="1206"/>
        <v>107182.67515663638</v>
      </c>
      <c r="CK1000" s="49">
        <f t="shared" ca="1" si="1206"/>
        <v>220196.39146406355</v>
      </c>
      <c r="CL1000" s="49">
        <f t="shared" ca="1" si="1206"/>
        <v>455707.31325459894</v>
      </c>
      <c r="CM1000" s="49">
        <f t="shared" ca="1" si="1206"/>
        <v>132848.75997874915</v>
      </c>
      <c r="CN1000" s="49">
        <f t="shared" ca="1" si="1206"/>
        <v>111649.00276883702</v>
      </c>
      <c r="CO1000" s="49">
        <f t="shared" ca="1" si="1206"/>
        <v>230626.84472333547</v>
      </c>
    </row>
    <row r="1001" spans="1:93">
      <c r="A1001" s="10"/>
      <c r="B1001" s="10"/>
      <c r="C1001" s="21"/>
      <c r="D1001" s="10"/>
      <c r="E1001" s="10"/>
      <c r="F1001" s="10"/>
      <c r="G1001" s="11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  <c r="BI1001" s="10"/>
      <c r="BJ1001" s="10"/>
      <c r="BK1001" s="10"/>
      <c r="BL1001" s="10"/>
      <c r="BM1001" s="10"/>
      <c r="BN1001" s="10"/>
      <c r="BO1001" s="10"/>
      <c r="BP1001" s="10"/>
      <c r="BQ1001" s="10"/>
      <c r="BR1001" s="10"/>
      <c r="BS1001" s="10"/>
      <c r="BT1001" s="10"/>
      <c r="BU1001" s="10"/>
      <c r="BV1001" s="10"/>
      <c r="BW1001" s="10"/>
      <c r="BX1001" s="10"/>
      <c r="BY1001" s="10"/>
      <c r="BZ1001" s="10"/>
      <c r="CA1001" s="10"/>
      <c r="CB1001" s="10"/>
      <c r="CC1001" s="10"/>
      <c r="CD1001" s="10"/>
      <c r="CE1001" s="10"/>
      <c r="CF1001" s="10"/>
      <c r="CG1001" s="10"/>
      <c r="CH1001" s="10"/>
      <c r="CI1001" s="10"/>
      <c r="CJ1001" s="10"/>
      <c r="CK1001" s="10"/>
      <c r="CL1001" s="10"/>
      <c r="CM1001" s="10"/>
      <c r="CN1001" s="10"/>
      <c r="CO1001" s="10"/>
    </row>
    <row r="1002" spans="1:93">
      <c r="A1002" s="10"/>
      <c r="B1002" s="10"/>
      <c r="C1002" s="17" t="s">
        <v>405</v>
      </c>
      <c r="D1002" s="10"/>
      <c r="E1002" s="178">
        <f xml:space="preserve"> Profits_Tax_Rate</f>
        <v>0.155</v>
      </c>
      <c r="F1002" s="10"/>
      <c r="G1002" s="11" t="s">
        <v>28</v>
      </c>
      <c r="H1002" s="10"/>
      <c r="I1002" s="10"/>
      <c r="J1002" s="10"/>
      <c r="K1002" s="10"/>
      <c r="L1002" s="43">
        <v>0.02</v>
      </c>
      <c r="M1002" s="43">
        <v>0.02</v>
      </c>
      <c r="N1002" s="43">
        <v>0.02</v>
      </c>
      <c r="O1002" s="43">
        <v>0.02</v>
      </c>
      <c r="P1002" s="43">
        <v>0.02</v>
      </c>
      <c r="Q1002" s="43">
        <v>0.02</v>
      </c>
      <c r="R1002" s="43">
        <v>0.02</v>
      </c>
      <c r="S1002" s="43">
        <v>0.02</v>
      </c>
      <c r="T1002" s="43">
        <v>0.02</v>
      </c>
      <c r="U1002" s="43">
        <v>0.02</v>
      </c>
      <c r="V1002" s="43">
        <v>0.02</v>
      </c>
      <c r="W1002" s="43">
        <v>0.02</v>
      </c>
      <c r="X1002" s="43">
        <v>0.02</v>
      </c>
      <c r="Y1002" s="43">
        <v>0.02</v>
      </c>
      <c r="Z1002" s="43">
        <v>0.02</v>
      </c>
      <c r="AA1002" s="43">
        <v>0.02</v>
      </c>
      <c r="AB1002" s="43">
        <v>0.02</v>
      </c>
      <c r="AC1002" s="43">
        <v>0.02</v>
      </c>
      <c r="AD1002" s="43">
        <v>0.02</v>
      </c>
      <c r="AE1002" s="43">
        <v>0.02</v>
      </c>
      <c r="AF1002" s="43">
        <v>0.02</v>
      </c>
      <c r="AG1002" s="43">
        <v>0.02</v>
      </c>
      <c r="AH1002" s="43">
        <v>0.02</v>
      </c>
      <c r="AI1002" s="43">
        <v>0.02</v>
      </c>
      <c r="AJ1002" s="43">
        <v>0.02</v>
      </c>
      <c r="AK1002" s="43">
        <v>0.02</v>
      </c>
      <c r="AL1002" s="43">
        <v>0.02</v>
      </c>
      <c r="AM1002" s="43">
        <v>0.02</v>
      </c>
      <c r="AN1002" s="43">
        <v>0.02</v>
      </c>
      <c r="AO1002" s="43">
        <v>0.02</v>
      </c>
      <c r="AP1002" s="43">
        <v>0.02</v>
      </c>
      <c r="AQ1002" s="43">
        <v>0.02</v>
      </c>
      <c r="AR1002" s="43">
        <v>0.02</v>
      </c>
      <c r="AS1002" s="43">
        <v>0.02</v>
      </c>
      <c r="AT1002" s="43">
        <v>0.02</v>
      </c>
      <c r="AU1002" s="43">
        <v>7.0000000000000007E-2</v>
      </c>
      <c r="AV1002" s="43">
        <v>7.0000000000000007E-2</v>
      </c>
      <c r="AW1002" s="43">
        <v>7.0000000000000007E-2</v>
      </c>
      <c r="AX1002" s="43">
        <v>7.0000000000000007E-2</v>
      </c>
      <c r="AY1002" s="43">
        <v>7.0000000000000007E-2</v>
      </c>
      <c r="AZ1002" s="43">
        <v>7.0000000000000007E-2</v>
      </c>
      <c r="BA1002" s="43">
        <v>7.0000000000000007E-2</v>
      </c>
      <c r="BB1002" s="43">
        <v>7.0000000000000007E-2</v>
      </c>
      <c r="BC1002" s="43">
        <v>7.0000000000000007E-2</v>
      </c>
      <c r="BD1002" s="43">
        <v>7.0000000000000007E-2</v>
      </c>
      <c r="BE1002" s="43">
        <v>7.0000000000000007E-2</v>
      </c>
      <c r="BF1002" s="43">
        <v>7.0000000000000007E-2</v>
      </c>
      <c r="BG1002" s="43">
        <v>7.0000000000000007E-2</v>
      </c>
      <c r="BH1002" s="43">
        <v>7.0000000000000007E-2</v>
      </c>
      <c r="BI1002" s="43">
        <v>7.0000000000000007E-2</v>
      </c>
      <c r="BJ1002" s="43">
        <v>7.0000000000000007E-2</v>
      </c>
      <c r="BK1002" s="43">
        <v>7.0000000000000007E-2</v>
      </c>
      <c r="BL1002" s="43">
        <v>7.0000000000000007E-2</v>
      </c>
      <c r="BM1002" s="43">
        <v>7.0000000000000007E-2</v>
      </c>
      <c r="BN1002" s="43">
        <v>7.0000000000000007E-2</v>
      </c>
      <c r="BO1002" s="43">
        <f t="shared" ref="BO1002:BW1002" si="1207">$E1002</f>
        <v>0.155</v>
      </c>
      <c r="BP1002" s="43">
        <f t="shared" si="1207"/>
        <v>0.155</v>
      </c>
      <c r="BQ1002" s="43">
        <f t="shared" si="1207"/>
        <v>0.155</v>
      </c>
      <c r="BR1002" s="43">
        <f t="shared" si="1207"/>
        <v>0.155</v>
      </c>
      <c r="BS1002" s="43">
        <f t="shared" si="1207"/>
        <v>0.155</v>
      </c>
      <c r="BT1002" s="43">
        <f t="shared" si="1207"/>
        <v>0.155</v>
      </c>
      <c r="BU1002" s="43">
        <f t="shared" si="1207"/>
        <v>0.155</v>
      </c>
      <c r="BV1002" s="43">
        <f t="shared" si="1207"/>
        <v>0.155</v>
      </c>
      <c r="BW1002" s="43">
        <f t="shared" si="1207"/>
        <v>0.155</v>
      </c>
      <c r="BX1002" s="43">
        <f t="shared" ref="BX1002:CO1002" si="1208">$E1002</f>
        <v>0.155</v>
      </c>
      <c r="BY1002" s="43">
        <f t="shared" si="1208"/>
        <v>0.155</v>
      </c>
      <c r="BZ1002" s="43">
        <f t="shared" si="1208"/>
        <v>0.155</v>
      </c>
      <c r="CA1002" s="43">
        <f t="shared" si="1208"/>
        <v>0.155</v>
      </c>
      <c r="CB1002" s="43">
        <f t="shared" si="1208"/>
        <v>0.155</v>
      </c>
      <c r="CC1002" s="43">
        <f t="shared" si="1208"/>
        <v>0.155</v>
      </c>
      <c r="CD1002" s="43">
        <f t="shared" si="1208"/>
        <v>0.155</v>
      </c>
      <c r="CE1002" s="43">
        <f t="shared" si="1208"/>
        <v>0.155</v>
      </c>
      <c r="CF1002" s="43">
        <f t="shared" si="1208"/>
        <v>0.155</v>
      </c>
      <c r="CG1002" s="43">
        <f t="shared" si="1208"/>
        <v>0.155</v>
      </c>
      <c r="CH1002" s="43">
        <f t="shared" si="1208"/>
        <v>0.155</v>
      </c>
      <c r="CI1002" s="43">
        <f t="shared" si="1208"/>
        <v>0.155</v>
      </c>
      <c r="CJ1002" s="43">
        <f t="shared" si="1208"/>
        <v>0.155</v>
      </c>
      <c r="CK1002" s="43">
        <f t="shared" si="1208"/>
        <v>0.155</v>
      </c>
      <c r="CL1002" s="43">
        <f t="shared" si="1208"/>
        <v>0.155</v>
      </c>
      <c r="CM1002" s="43">
        <f t="shared" si="1208"/>
        <v>0.155</v>
      </c>
      <c r="CN1002" s="43">
        <f t="shared" si="1208"/>
        <v>0.155</v>
      </c>
      <c r="CO1002" s="43">
        <f t="shared" si="1208"/>
        <v>0.155</v>
      </c>
    </row>
    <row r="1003" spans="1:93">
      <c r="A1003" s="10"/>
      <c r="B1003" s="10"/>
      <c r="C1003" s="17"/>
      <c r="D1003" s="10"/>
      <c r="E1003" s="62"/>
      <c r="F1003" s="11"/>
      <c r="G1003" s="11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  <c r="BI1003" s="10"/>
      <c r="BJ1003" s="10"/>
      <c r="BK1003" s="10"/>
      <c r="BL1003" s="10"/>
      <c r="BM1003" s="10"/>
      <c r="BN1003" s="10"/>
      <c r="BO1003" s="10"/>
      <c r="BP1003" s="10"/>
      <c r="BQ1003" s="10"/>
      <c r="BR1003" s="10"/>
      <c r="BS1003" s="10"/>
      <c r="BT1003" s="10"/>
      <c r="BU1003" s="10"/>
      <c r="BV1003" s="10"/>
      <c r="BW1003" s="10"/>
      <c r="BX1003" s="10"/>
      <c r="BY1003" s="10"/>
      <c r="BZ1003" s="10"/>
      <c r="CA1003" s="10"/>
      <c r="CB1003" s="10"/>
      <c r="CC1003" s="10"/>
      <c r="CD1003" s="10"/>
      <c r="CE1003" s="10"/>
      <c r="CF1003" s="10"/>
      <c r="CG1003" s="10"/>
      <c r="CH1003" s="10"/>
      <c r="CI1003" s="10"/>
      <c r="CJ1003" s="10"/>
      <c r="CK1003" s="10"/>
      <c r="CL1003" s="10"/>
      <c r="CM1003" s="10"/>
      <c r="CN1003" s="10"/>
      <c r="CO1003" s="10"/>
    </row>
    <row r="1004" spans="1:93">
      <c r="A1004" s="10"/>
      <c r="B1004" s="10"/>
      <c r="C1004" s="17" t="s">
        <v>157</v>
      </c>
      <c r="D1004" s="10"/>
      <c r="E1004" s="62"/>
      <c r="F1004" s="11"/>
      <c r="G1004" s="134" t="str">
        <f>Monetary_Unit</f>
        <v>тыс. руб.</v>
      </c>
      <c r="H1004" s="11"/>
      <c r="I1004" s="23">
        <f ca="1">SUM(L1004:CO1004)</f>
        <v>9924706.3313916661</v>
      </c>
      <c r="J1004" s="10"/>
      <c r="K1004" s="10"/>
      <c r="L1004" s="52">
        <f t="shared" ref="L1004:R1004" ca="1" si="1209">L1000</f>
        <v>-261.90161609928646</v>
      </c>
      <c r="M1004" s="52">
        <f t="shared" ca="1" si="1209"/>
        <v>-811.90603756310509</v>
      </c>
      <c r="N1004" s="52">
        <f t="shared" ca="1" si="1209"/>
        <v>-1410.7015765969325</v>
      </c>
      <c r="O1004" s="52">
        <f t="shared" ca="1" si="1209"/>
        <v>-2040.0333781747295</v>
      </c>
      <c r="P1004" s="52">
        <f t="shared" ca="1" si="1209"/>
        <v>-3559.7592196845253</v>
      </c>
      <c r="Q1004" s="52">
        <f t="shared" ca="1" si="1209"/>
        <v>-7298.8376091939972</v>
      </c>
      <c r="R1004" s="52">
        <f t="shared" ca="1" si="1209"/>
        <v>-11305.455621851217</v>
      </c>
      <c r="S1004" s="52">
        <f ca="1">S1000</f>
        <v>-15429.236735536404</v>
      </c>
      <c r="T1004" s="52">
        <f t="shared" ref="T1004:CE1004" ca="1" si="1210">T1000</f>
        <v>-16228.178887830996</v>
      </c>
      <c r="U1004" s="52">
        <f t="shared" ca="1" si="1210"/>
        <v>-21772.408100102577</v>
      </c>
      <c r="V1004" s="52">
        <f t="shared" ca="1" si="1210"/>
        <v>-25184.125775850796</v>
      </c>
      <c r="W1004" s="52">
        <f t="shared" ca="1" si="1210"/>
        <v>-28453.986732236001</v>
      </c>
      <c r="X1004" s="52">
        <f t="shared" ca="1" si="1210"/>
        <v>-32605.985527383586</v>
      </c>
      <c r="Y1004" s="52">
        <f t="shared" ca="1" si="1210"/>
        <v>-38350.934688674228</v>
      </c>
      <c r="Z1004" s="52">
        <f t="shared" ca="1" si="1210"/>
        <v>-44744.107668674449</v>
      </c>
      <c r="AA1004" s="52">
        <f t="shared" ca="1" si="1210"/>
        <v>-50893.274225466157</v>
      </c>
      <c r="AB1004" s="52">
        <f t="shared" ca="1" si="1210"/>
        <v>-58036.822102367027</v>
      </c>
      <c r="AC1004" s="52">
        <f t="shared" ca="1" si="1210"/>
        <v>-395254.87189375859</v>
      </c>
      <c r="AD1004" s="52">
        <f t="shared" ca="1" si="1210"/>
        <v>178385.17168128092</v>
      </c>
      <c r="AE1004" s="52">
        <f t="shared" ca="1" si="1210"/>
        <v>3446.0020830635513</v>
      </c>
      <c r="AF1004" s="52">
        <f t="shared" ca="1" si="1210"/>
        <v>-3634.4644841818881</v>
      </c>
      <c r="AG1004" s="52">
        <f t="shared" ca="1" si="1210"/>
        <v>71045.351250940861</v>
      </c>
      <c r="AH1004" s="52">
        <f t="shared" ca="1" si="1210"/>
        <v>229479.82331503858</v>
      </c>
      <c r="AI1004" s="52">
        <f t="shared" ca="1" si="1210"/>
        <v>23977.500152082477</v>
      </c>
      <c r="AJ1004" s="52">
        <f t="shared" ca="1" si="1210"/>
        <v>15465.238567699431</v>
      </c>
      <c r="AK1004" s="52">
        <f t="shared" ca="1" si="1210"/>
        <v>101738.56901637367</v>
      </c>
      <c r="AL1004" s="52">
        <f t="shared" ca="1" si="1210"/>
        <v>283888.76693744748</v>
      </c>
      <c r="AM1004" s="52">
        <f t="shared" ca="1" si="1210"/>
        <v>47601.59970905933</v>
      </c>
      <c r="AN1004" s="52">
        <f t="shared" ca="1" si="1210"/>
        <v>38445.855674662569</v>
      </c>
      <c r="AO1004" s="52">
        <f t="shared" ca="1" si="1210"/>
        <v>136385.66540876977</v>
      </c>
      <c r="AP1004" s="52">
        <f t="shared" ca="1" si="1210"/>
        <v>334958.26799216849</v>
      </c>
      <c r="AQ1004" s="52">
        <f t="shared" ca="1" si="1210"/>
        <v>68765.527658504288</v>
      </c>
      <c r="AR1004" s="52">
        <f t="shared" ca="1" si="1210"/>
        <v>55102.927587363825</v>
      </c>
      <c r="AS1004" s="52">
        <f t="shared" ca="1" si="1210"/>
        <v>155660.24075048673</v>
      </c>
      <c r="AT1004" s="52">
        <f t="shared" ca="1" si="1210"/>
        <v>362552.06663809658</v>
      </c>
      <c r="AU1004" s="52">
        <f t="shared" ca="1" si="1210"/>
        <v>86852.596587677835</v>
      </c>
      <c r="AV1004" s="52">
        <f t="shared" ca="1" si="1210"/>
        <v>77042.942205954954</v>
      </c>
      <c r="AW1004" s="52">
        <f t="shared" ca="1" si="1210"/>
        <v>130009.08635922043</v>
      </c>
      <c r="AX1004" s="52">
        <f t="shared" ca="1" si="1210"/>
        <v>291247.10674418986</v>
      </c>
      <c r="AY1004" s="52">
        <f t="shared" ca="1" si="1210"/>
        <v>73048.797602429695</v>
      </c>
      <c r="AZ1004" s="52">
        <f t="shared" ca="1" si="1210"/>
        <v>58568.620868335791</v>
      </c>
      <c r="BA1004" s="52">
        <f t="shared" ca="1" si="1210"/>
        <v>138904.97942063055</v>
      </c>
      <c r="BB1004" s="52">
        <f t="shared" ca="1" si="1210"/>
        <v>304332.389784484</v>
      </c>
      <c r="BC1004" s="52">
        <f t="shared" ca="1" si="1210"/>
        <v>77406.148277053377</v>
      </c>
      <c r="BD1004" s="52">
        <f t="shared" ca="1" si="1210"/>
        <v>63417.340075391534</v>
      </c>
      <c r="BE1004" s="52">
        <f t="shared" ca="1" si="1210"/>
        <v>160753.86345969481</v>
      </c>
      <c r="BF1004" s="52">
        <f t="shared" ca="1" si="1210"/>
        <v>332799.47136972559</v>
      </c>
      <c r="BG1004" s="52">
        <f t="shared" ca="1" si="1210"/>
        <v>96796.188270348299</v>
      </c>
      <c r="BH1004" s="52">
        <f t="shared" ca="1" si="1210"/>
        <v>81123.082613588675</v>
      </c>
      <c r="BI1004" s="52">
        <f t="shared" ca="1" si="1210"/>
        <v>168016.95861958951</v>
      </c>
      <c r="BJ1004" s="52">
        <f t="shared" ca="1" si="1210"/>
        <v>346945.31626497197</v>
      </c>
      <c r="BK1004" s="52">
        <f t="shared" ca="1" si="1210"/>
        <v>101501.89345053534</v>
      </c>
      <c r="BL1004" s="52">
        <f t="shared" ca="1" si="1210"/>
        <v>85207.327093450425</v>
      </c>
      <c r="BM1004" s="52">
        <f t="shared" ca="1" si="1210"/>
        <v>175577.9731376514</v>
      </c>
      <c r="BN1004" s="52">
        <f t="shared" ca="1" si="1210"/>
        <v>361664.48008680932</v>
      </c>
      <c r="BO1004" s="52">
        <f t="shared" ca="1" si="1210"/>
        <v>106403.32035979538</v>
      </c>
      <c r="BP1004" s="52">
        <f t="shared" ca="1" si="1210"/>
        <v>89454.941352506561</v>
      </c>
      <c r="BQ1004" s="52">
        <f t="shared" ca="1" si="1210"/>
        <v>183441.42823643581</v>
      </c>
      <c r="BR1004" s="52">
        <f t="shared" ca="1" si="1210"/>
        <v>366878.32320077933</v>
      </c>
      <c r="BS1004" s="52">
        <f t="shared" ca="1" si="1210"/>
        <v>101535.30418354771</v>
      </c>
      <c r="BT1004" s="52">
        <f t="shared" ca="1" si="1210"/>
        <v>85427.090101778362</v>
      </c>
      <c r="BU1004" s="52">
        <f t="shared" ca="1" si="1210"/>
        <v>182050.1053576312</v>
      </c>
      <c r="BV1004" s="52">
        <f t="shared" ca="1" si="1210"/>
        <v>383346.42966372601</v>
      </c>
      <c r="BW1004" s="52">
        <f t="shared" ca="1" si="1210"/>
        <v>107384.20450980795</v>
      </c>
      <c r="BX1004" s="52">
        <f t="shared" ca="1" si="1210"/>
        <v>89346.779546251739</v>
      </c>
      <c r="BY1004" s="52">
        <f t="shared" ca="1" si="1210"/>
        <v>191030.49154410677</v>
      </c>
      <c r="BZ1004" s="52">
        <f t="shared" ca="1" si="1210"/>
        <v>400384.32507466956</v>
      </c>
      <c r="CA1004" s="52">
        <f t="shared" ca="1" si="1210"/>
        <v>113378.82299836467</v>
      </c>
      <c r="CB1004" s="52">
        <f t="shared" ca="1" si="1210"/>
        <v>94627.934820744777</v>
      </c>
      <c r="CC1004" s="52">
        <f t="shared" ca="1" si="1210"/>
        <v>200384.56675236864</v>
      </c>
      <c r="CD1004" s="52">
        <f t="shared" ca="1" si="1210"/>
        <v>418118.01326314022</v>
      </c>
      <c r="CE1004" s="52">
        <f t="shared" ca="1" si="1210"/>
        <v>119627.14761982849</v>
      </c>
      <c r="CF1004" s="52">
        <f t="shared" ref="CF1004:CO1004" ca="1" si="1211">CF1000</f>
        <v>100100.20962987389</v>
      </c>
      <c r="CG1004" s="52">
        <f t="shared" ca="1" si="1211"/>
        <v>210092.45466288016</v>
      </c>
      <c r="CH1004" s="52">
        <f t="shared" ca="1" si="1211"/>
        <v>436540.47504333133</v>
      </c>
      <c r="CI1004" s="52">
        <f t="shared" ca="1" si="1211"/>
        <v>126104.83129033286</v>
      </c>
      <c r="CJ1004" s="52">
        <f t="shared" ca="1" si="1211"/>
        <v>107182.67515663638</v>
      </c>
      <c r="CK1004" s="52">
        <f t="shared" ca="1" si="1211"/>
        <v>220196.39146406355</v>
      </c>
      <c r="CL1004" s="52">
        <f t="shared" ca="1" si="1211"/>
        <v>455707.31325459894</v>
      </c>
      <c r="CM1004" s="52">
        <f t="shared" ca="1" si="1211"/>
        <v>132848.75997874915</v>
      </c>
      <c r="CN1004" s="52">
        <f t="shared" ca="1" si="1211"/>
        <v>111649.00276883702</v>
      </c>
      <c r="CO1004" s="52">
        <f t="shared" ca="1" si="1211"/>
        <v>230626.84472333547</v>
      </c>
    </row>
    <row r="1005" spans="1:93">
      <c r="A1005" s="10"/>
      <c r="B1005" s="10"/>
      <c r="C1005" s="17" t="s">
        <v>104</v>
      </c>
      <c r="D1005" s="10"/>
      <c r="E1005" s="62"/>
      <c r="F1005" s="11"/>
      <c r="G1005" s="134" t="str">
        <f>Monetary_Unit</f>
        <v>тыс. руб.</v>
      </c>
      <c r="H1005" s="11"/>
      <c r="I1005" s="23">
        <f ca="1">SUM(L1005:CO1005)</f>
        <v>10681983.323272895</v>
      </c>
      <c r="J1005" s="10"/>
      <c r="K1005" s="10"/>
      <c r="L1005" s="52">
        <f t="shared" ref="L1005:R1005" ca="1" si="1212">MAX(0,L1004)</f>
        <v>0</v>
      </c>
      <c r="M1005" s="52">
        <f t="shared" ca="1" si="1212"/>
        <v>0</v>
      </c>
      <c r="N1005" s="52">
        <f t="shared" ca="1" si="1212"/>
        <v>0</v>
      </c>
      <c r="O1005" s="52">
        <f t="shared" ca="1" si="1212"/>
        <v>0</v>
      </c>
      <c r="P1005" s="52">
        <f t="shared" ca="1" si="1212"/>
        <v>0</v>
      </c>
      <c r="Q1005" s="52">
        <f t="shared" ca="1" si="1212"/>
        <v>0</v>
      </c>
      <c r="R1005" s="52">
        <f t="shared" ca="1" si="1212"/>
        <v>0</v>
      </c>
      <c r="S1005" s="52">
        <f ca="1">MAX(0,S1004)</f>
        <v>0</v>
      </c>
      <c r="T1005" s="52">
        <f t="shared" ref="T1005:CE1005" ca="1" si="1213">MAX(0,T1004)</f>
        <v>0</v>
      </c>
      <c r="U1005" s="52">
        <f t="shared" ca="1" si="1213"/>
        <v>0</v>
      </c>
      <c r="V1005" s="52">
        <f t="shared" ca="1" si="1213"/>
        <v>0</v>
      </c>
      <c r="W1005" s="52">
        <f t="shared" ca="1" si="1213"/>
        <v>0</v>
      </c>
      <c r="X1005" s="52">
        <f t="shared" ca="1" si="1213"/>
        <v>0</v>
      </c>
      <c r="Y1005" s="52">
        <f t="shared" ca="1" si="1213"/>
        <v>0</v>
      </c>
      <c r="Z1005" s="52">
        <f t="shared" ca="1" si="1213"/>
        <v>0</v>
      </c>
      <c r="AA1005" s="52">
        <f t="shared" ca="1" si="1213"/>
        <v>0</v>
      </c>
      <c r="AB1005" s="52">
        <f t="shared" ca="1" si="1213"/>
        <v>0</v>
      </c>
      <c r="AC1005" s="52">
        <f t="shared" ca="1" si="1213"/>
        <v>0</v>
      </c>
      <c r="AD1005" s="52">
        <f t="shared" ca="1" si="1213"/>
        <v>178385.17168128092</v>
      </c>
      <c r="AE1005" s="52">
        <f t="shared" ca="1" si="1213"/>
        <v>3446.0020830635513</v>
      </c>
      <c r="AF1005" s="52">
        <f t="shared" ca="1" si="1213"/>
        <v>0</v>
      </c>
      <c r="AG1005" s="52">
        <f t="shared" ca="1" si="1213"/>
        <v>71045.351250940861</v>
      </c>
      <c r="AH1005" s="52">
        <f t="shared" ca="1" si="1213"/>
        <v>229479.82331503858</v>
      </c>
      <c r="AI1005" s="52">
        <f t="shared" ca="1" si="1213"/>
        <v>23977.500152082477</v>
      </c>
      <c r="AJ1005" s="52">
        <f t="shared" ca="1" si="1213"/>
        <v>15465.238567699431</v>
      </c>
      <c r="AK1005" s="52">
        <f t="shared" ca="1" si="1213"/>
        <v>101738.56901637367</v>
      </c>
      <c r="AL1005" s="52">
        <f t="shared" ca="1" si="1213"/>
        <v>283888.76693744748</v>
      </c>
      <c r="AM1005" s="52">
        <f t="shared" ca="1" si="1213"/>
        <v>47601.59970905933</v>
      </c>
      <c r="AN1005" s="52">
        <f t="shared" ca="1" si="1213"/>
        <v>38445.855674662569</v>
      </c>
      <c r="AO1005" s="52">
        <f t="shared" ca="1" si="1213"/>
        <v>136385.66540876977</v>
      </c>
      <c r="AP1005" s="52">
        <f t="shared" ca="1" si="1213"/>
        <v>334958.26799216849</v>
      </c>
      <c r="AQ1005" s="52">
        <f t="shared" ca="1" si="1213"/>
        <v>68765.527658504288</v>
      </c>
      <c r="AR1005" s="52">
        <f t="shared" ca="1" si="1213"/>
        <v>55102.927587363825</v>
      </c>
      <c r="AS1005" s="52">
        <f t="shared" ca="1" si="1213"/>
        <v>155660.24075048673</v>
      </c>
      <c r="AT1005" s="52">
        <f t="shared" ca="1" si="1213"/>
        <v>362552.06663809658</v>
      </c>
      <c r="AU1005" s="52">
        <f t="shared" ca="1" si="1213"/>
        <v>86852.596587677835</v>
      </c>
      <c r="AV1005" s="52">
        <f t="shared" ca="1" si="1213"/>
        <v>77042.942205954954</v>
      </c>
      <c r="AW1005" s="52">
        <f t="shared" ca="1" si="1213"/>
        <v>130009.08635922043</v>
      </c>
      <c r="AX1005" s="52">
        <f t="shared" ca="1" si="1213"/>
        <v>291247.10674418986</v>
      </c>
      <c r="AY1005" s="52">
        <f t="shared" ca="1" si="1213"/>
        <v>73048.797602429695</v>
      </c>
      <c r="AZ1005" s="52">
        <f t="shared" ca="1" si="1213"/>
        <v>58568.620868335791</v>
      </c>
      <c r="BA1005" s="52">
        <f t="shared" ca="1" si="1213"/>
        <v>138904.97942063055</v>
      </c>
      <c r="BB1005" s="52">
        <f t="shared" ca="1" si="1213"/>
        <v>304332.389784484</v>
      </c>
      <c r="BC1005" s="52">
        <f t="shared" ca="1" si="1213"/>
        <v>77406.148277053377</v>
      </c>
      <c r="BD1005" s="52">
        <f t="shared" ca="1" si="1213"/>
        <v>63417.340075391534</v>
      </c>
      <c r="BE1005" s="52">
        <f t="shared" ca="1" si="1213"/>
        <v>160753.86345969481</v>
      </c>
      <c r="BF1005" s="52">
        <f t="shared" ca="1" si="1213"/>
        <v>332799.47136972559</v>
      </c>
      <c r="BG1005" s="52">
        <f t="shared" ca="1" si="1213"/>
        <v>96796.188270348299</v>
      </c>
      <c r="BH1005" s="52">
        <f t="shared" ca="1" si="1213"/>
        <v>81123.082613588675</v>
      </c>
      <c r="BI1005" s="52">
        <f t="shared" ca="1" si="1213"/>
        <v>168016.95861958951</v>
      </c>
      <c r="BJ1005" s="52">
        <f t="shared" ca="1" si="1213"/>
        <v>346945.31626497197</v>
      </c>
      <c r="BK1005" s="52">
        <f t="shared" ca="1" si="1213"/>
        <v>101501.89345053534</v>
      </c>
      <c r="BL1005" s="52">
        <f t="shared" ca="1" si="1213"/>
        <v>85207.327093450425</v>
      </c>
      <c r="BM1005" s="52">
        <f t="shared" ca="1" si="1213"/>
        <v>175577.9731376514</v>
      </c>
      <c r="BN1005" s="52">
        <f t="shared" ca="1" si="1213"/>
        <v>361664.48008680932</v>
      </c>
      <c r="BO1005" s="52">
        <f t="shared" ca="1" si="1213"/>
        <v>106403.32035979538</v>
      </c>
      <c r="BP1005" s="52">
        <f t="shared" ca="1" si="1213"/>
        <v>89454.941352506561</v>
      </c>
      <c r="BQ1005" s="52">
        <f t="shared" ca="1" si="1213"/>
        <v>183441.42823643581</v>
      </c>
      <c r="BR1005" s="52">
        <f t="shared" ca="1" si="1213"/>
        <v>366878.32320077933</v>
      </c>
      <c r="BS1005" s="52">
        <f t="shared" ca="1" si="1213"/>
        <v>101535.30418354771</v>
      </c>
      <c r="BT1005" s="52">
        <f t="shared" ca="1" si="1213"/>
        <v>85427.090101778362</v>
      </c>
      <c r="BU1005" s="52">
        <f t="shared" ca="1" si="1213"/>
        <v>182050.1053576312</v>
      </c>
      <c r="BV1005" s="52">
        <f t="shared" ca="1" si="1213"/>
        <v>383346.42966372601</v>
      </c>
      <c r="BW1005" s="52">
        <f t="shared" ca="1" si="1213"/>
        <v>107384.20450980795</v>
      </c>
      <c r="BX1005" s="52">
        <f t="shared" ca="1" si="1213"/>
        <v>89346.779546251739</v>
      </c>
      <c r="BY1005" s="52">
        <f t="shared" ca="1" si="1213"/>
        <v>191030.49154410677</v>
      </c>
      <c r="BZ1005" s="52">
        <f t="shared" ca="1" si="1213"/>
        <v>400384.32507466956</v>
      </c>
      <c r="CA1005" s="52">
        <f t="shared" ca="1" si="1213"/>
        <v>113378.82299836467</v>
      </c>
      <c r="CB1005" s="52">
        <f t="shared" ca="1" si="1213"/>
        <v>94627.934820744777</v>
      </c>
      <c r="CC1005" s="52">
        <f t="shared" ca="1" si="1213"/>
        <v>200384.56675236864</v>
      </c>
      <c r="CD1005" s="52">
        <f t="shared" ca="1" si="1213"/>
        <v>418118.01326314022</v>
      </c>
      <c r="CE1005" s="52">
        <f t="shared" ca="1" si="1213"/>
        <v>119627.14761982849</v>
      </c>
      <c r="CF1005" s="52">
        <f t="shared" ref="CF1005:CO1005" ca="1" si="1214">MAX(0,CF1004)</f>
        <v>100100.20962987389</v>
      </c>
      <c r="CG1005" s="52">
        <f t="shared" ca="1" si="1214"/>
        <v>210092.45466288016</v>
      </c>
      <c r="CH1005" s="52">
        <f t="shared" ca="1" si="1214"/>
        <v>436540.47504333133</v>
      </c>
      <c r="CI1005" s="52">
        <f t="shared" ca="1" si="1214"/>
        <v>126104.83129033286</v>
      </c>
      <c r="CJ1005" s="52">
        <f t="shared" ca="1" si="1214"/>
        <v>107182.67515663638</v>
      </c>
      <c r="CK1005" s="52">
        <f t="shared" ca="1" si="1214"/>
        <v>220196.39146406355</v>
      </c>
      <c r="CL1005" s="52">
        <f t="shared" ca="1" si="1214"/>
        <v>455707.31325459894</v>
      </c>
      <c r="CM1005" s="52">
        <f t="shared" ca="1" si="1214"/>
        <v>132848.75997874915</v>
      </c>
      <c r="CN1005" s="52">
        <f t="shared" ca="1" si="1214"/>
        <v>111649.00276883702</v>
      </c>
      <c r="CO1005" s="52">
        <f t="shared" ca="1" si="1214"/>
        <v>230626.84472333547</v>
      </c>
    </row>
    <row r="1006" spans="1:93">
      <c r="A1006" s="10"/>
      <c r="B1006" s="10"/>
      <c r="C1006" s="17" t="s">
        <v>158</v>
      </c>
      <c r="D1006" s="10"/>
      <c r="E1006" s="62"/>
      <c r="F1006" s="11"/>
      <c r="G1006" s="134" t="str">
        <f>Monetary_Unit</f>
        <v>тыс. руб.</v>
      </c>
      <c r="H1006" s="11"/>
      <c r="I1006" s="23">
        <f ca="1">SUM(L1006:CO1006)</f>
        <v>9924706.3313916661</v>
      </c>
      <c r="J1006" s="10"/>
      <c r="K1006" s="10"/>
      <c r="L1006" s="52">
        <f t="shared" ref="L1006:R1006" ca="1" si="1215">L1005-L1013</f>
        <v>0</v>
      </c>
      <c r="M1006" s="52">
        <f t="shared" ca="1" si="1215"/>
        <v>0</v>
      </c>
      <c r="N1006" s="52">
        <f t="shared" ca="1" si="1215"/>
        <v>0</v>
      </c>
      <c r="O1006" s="52">
        <f t="shared" ca="1" si="1215"/>
        <v>0</v>
      </c>
      <c r="P1006" s="52">
        <f t="shared" ca="1" si="1215"/>
        <v>0</v>
      </c>
      <c r="Q1006" s="52">
        <f t="shared" ca="1" si="1215"/>
        <v>0</v>
      </c>
      <c r="R1006" s="52">
        <f t="shared" ca="1" si="1215"/>
        <v>0</v>
      </c>
      <c r="S1006" s="52">
        <f ca="1">S1005-S1013</f>
        <v>0</v>
      </c>
      <c r="T1006" s="52">
        <f t="shared" ref="T1006:CE1006" ca="1" si="1216">T1005-T1013</f>
        <v>0</v>
      </c>
      <c r="U1006" s="52">
        <f t="shared" ca="1" si="1216"/>
        <v>0</v>
      </c>
      <c r="V1006" s="52">
        <f t="shared" ca="1" si="1216"/>
        <v>0</v>
      </c>
      <c r="W1006" s="52">
        <f t="shared" ca="1" si="1216"/>
        <v>0</v>
      </c>
      <c r="X1006" s="52">
        <f t="shared" ca="1" si="1216"/>
        <v>0</v>
      </c>
      <c r="Y1006" s="52">
        <f t="shared" ca="1" si="1216"/>
        <v>0</v>
      </c>
      <c r="Z1006" s="52">
        <f t="shared" ca="1" si="1216"/>
        <v>0</v>
      </c>
      <c r="AA1006" s="52">
        <f t="shared" ca="1" si="1216"/>
        <v>0</v>
      </c>
      <c r="AB1006" s="52">
        <f t="shared" ca="1" si="1216"/>
        <v>0</v>
      </c>
      <c r="AC1006" s="52">
        <f t="shared" ca="1" si="1216"/>
        <v>0</v>
      </c>
      <c r="AD1006" s="52">
        <f t="shared" ca="1" si="1216"/>
        <v>89192.585840640459</v>
      </c>
      <c r="AE1006" s="52">
        <f t="shared" ca="1" si="1216"/>
        <v>1723.0010415317756</v>
      </c>
      <c r="AF1006" s="52">
        <f t="shared" ca="1" si="1216"/>
        <v>0</v>
      </c>
      <c r="AG1006" s="52">
        <f t="shared" ca="1" si="1216"/>
        <v>35522.675625470431</v>
      </c>
      <c r="AH1006" s="52">
        <f t="shared" ca="1" si="1216"/>
        <v>114739.91165751929</v>
      </c>
      <c r="AI1006" s="52">
        <f t="shared" ca="1" si="1216"/>
        <v>11988.750076041239</v>
      </c>
      <c r="AJ1006" s="52">
        <f t="shared" ca="1" si="1216"/>
        <v>7732.6192838497154</v>
      </c>
      <c r="AK1006" s="52">
        <f t="shared" ca="1" si="1216"/>
        <v>50869.284508186836</v>
      </c>
      <c r="AL1006" s="52">
        <f t="shared" ca="1" si="1216"/>
        <v>141944.38346872374</v>
      </c>
      <c r="AM1006" s="52">
        <f t="shared" ca="1" si="1216"/>
        <v>23800.799854529665</v>
      </c>
      <c r="AN1006" s="52">
        <f t="shared" ca="1" si="1216"/>
        <v>19222.927837331285</v>
      </c>
      <c r="AO1006" s="52">
        <f t="shared" ca="1" si="1216"/>
        <v>68192.832704384884</v>
      </c>
      <c r="AP1006" s="52">
        <f t="shared" ca="1" si="1216"/>
        <v>167479.13399608425</v>
      </c>
      <c r="AQ1006" s="52">
        <f t="shared" ca="1" si="1216"/>
        <v>43897.441671571578</v>
      </c>
      <c r="AR1006" s="52">
        <f t="shared" ca="1" si="1216"/>
        <v>55102.927587363825</v>
      </c>
      <c r="AS1006" s="52">
        <f t="shared" ca="1" si="1216"/>
        <v>155660.24075048673</v>
      </c>
      <c r="AT1006" s="52">
        <f t="shared" ca="1" si="1216"/>
        <v>362552.06663809658</v>
      </c>
      <c r="AU1006" s="52">
        <f t="shared" ca="1" si="1216"/>
        <v>86852.596587677835</v>
      </c>
      <c r="AV1006" s="52">
        <f t="shared" ca="1" si="1216"/>
        <v>77042.942205954954</v>
      </c>
      <c r="AW1006" s="52">
        <f t="shared" ca="1" si="1216"/>
        <v>130009.08635922043</v>
      </c>
      <c r="AX1006" s="52">
        <f t="shared" ca="1" si="1216"/>
        <v>291247.10674418986</v>
      </c>
      <c r="AY1006" s="52">
        <f t="shared" ca="1" si="1216"/>
        <v>73048.797602429695</v>
      </c>
      <c r="AZ1006" s="52">
        <f t="shared" ca="1" si="1216"/>
        <v>58568.620868335791</v>
      </c>
      <c r="BA1006" s="52">
        <f t="shared" ca="1" si="1216"/>
        <v>138904.97942063055</v>
      </c>
      <c r="BB1006" s="52">
        <f t="shared" ca="1" si="1216"/>
        <v>304332.389784484</v>
      </c>
      <c r="BC1006" s="52">
        <f t="shared" ca="1" si="1216"/>
        <v>77406.148277053377</v>
      </c>
      <c r="BD1006" s="52">
        <f t="shared" ca="1" si="1216"/>
        <v>63417.340075391534</v>
      </c>
      <c r="BE1006" s="52">
        <f t="shared" ca="1" si="1216"/>
        <v>160753.86345969481</v>
      </c>
      <c r="BF1006" s="52">
        <f t="shared" ca="1" si="1216"/>
        <v>332799.47136972559</v>
      </c>
      <c r="BG1006" s="52">
        <f t="shared" ca="1" si="1216"/>
        <v>96796.188270348299</v>
      </c>
      <c r="BH1006" s="52">
        <f t="shared" ca="1" si="1216"/>
        <v>81123.082613588675</v>
      </c>
      <c r="BI1006" s="52">
        <f t="shared" ca="1" si="1216"/>
        <v>168016.95861958951</v>
      </c>
      <c r="BJ1006" s="52">
        <f t="shared" ca="1" si="1216"/>
        <v>346945.31626497197</v>
      </c>
      <c r="BK1006" s="52">
        <f t="shared" ca="1" si="1216"/>
        <v>101501.89345053534</v>
      </c>
      <c r="BL1006" s="52">
        <f t="shared" ca="1" si="1216"/>
        <v>85207.327093450425</v>
      </c>
      <c r="BM1006" s="52">
        <f t="shared" ca="1" si="1216"/>
        <v>175577.9731376514</v>
      </c>
      <c r="BN1006" s="52">
        <f t="shared" ca="1" si="1216"/>
        <v>361664.48008680932</v>
      </c>
      <c r="BO1006" s="52">
        <f t="shared" ca="1" si="1216"/>
        <v>106403.32035979538</v>
      </c>
      <c r="BP1006" s="52">
        <f t="shared" ca="1" si="1216"/>
        <v>89454.941352506561</v>
      </c>
      <c r="BQ1006" s="52">
        <f t="shared" ca="1" si="1216"/>
        <v>183441.42823643581</v>
      </c>
      <c r="BR1006" s="52">
        <f t="shared" ca="1" si="1216"/>
        <v>366878.32320077933</v>
      </c>
      <c r="BS1006" s="52">
        <f t="shared" ca="1" si="1216"/>
        <v>101535.30418354771</v>
      </c>
      <c r="BT1006" s="52">
        <f t="shared" ca="1" si="1216"/>
        <v>85427.090101778362</v>
      </c>
      <c r="BU1006" s="52">
        <f t="shared" ca="1" si="1216"/>
        <v>182050.1053576312</v>
      </c>
      <c r="BV1006" s="52">
        <f t="shared" ca="1" si="1216"/>
        <v>383346.42966372601</v>
      </c>
      <c r="BW1006" s="52">
        <f t="shared" ca="1" si="1216"/>
        <v>107384.20450980795</v>
      </c>
      <c r="BX1006" s="52">
        <f t="shared" ca="1" si="1216"/>
        <v>89346.779546251739</v>
      </c>
      <c r="BY1006" s="52">
        <f t="shared" ca="1" si="1216"/>
        <v>191030.49154410677</v>
      </c>
      <c r="BZ1006" s="52">
        <f t="shared" ca="1" si="1216"/>
        <v>400384.32507466956</v>
      </c>
      <c r="CA1006" s="52">
        <f t="shared" ca="1" si="1216"/>
        <v>113378.82299836467</v>
      </c>
      <c r="CB1006" s="52">
        <f t="shared" ca="1" si="1216"/>
        <v>94627.934820744777</v>
      </c>
      <c r="CC1006" s="52">
        <f t="shared" ca="1" si="1216"/>
        <v>200384.56675236864</v>
      </c>
      <c r="CD1006" s="52">
        <f t="shared" ca="1" si="1216"/>
        <v>418118.01326314022</v>
      </c>
      <c r="CE1006" s="52">
        <f t="shared" ca="1" si="1216"/>
        <v>119627.14761982849</v>
      </c>
      <c r="CF1006" s="52">
        <f t="shared" ref="CF1006:CO1006" ca="1" si="1217">CF1005-CF1013</f>
        <v>100100.20962987389</v>
      </c>
      <c r="CG1006" s="52">
        <f t="shared" ca="1" si="1217"/>
        <v>210092.45466288016</v>
      </c>
      <c r="CH1006" s="52">
        <f t="shared" ca="1" si="1217"/>
        <v>436540.47504333133</v>
      </c>
      <c r="CI1006" s="52">
        <f t="shared" ca="1" si="1217"/>
        <v>126104.83129033286</v>
      </c>
      <c r="CJ1006" s="52">
        <f t="shared" ca="1" si="1217"/>
        <v>107182.67515663638</v>
      </c>
      <c r="CK1006" s="52">
        <f t="shared" ca="1" si="1217"/>
        <v>220196.39146406355</v>
      </c>
      <c r="CL1006" s="52">
        <f t="shared" ca="1" si="1217"/>
        <v>455707.31325459894</v>
      </c>
      <c r="CM1006" s="52">
        <f t="shared" ca="1" si="1217"/>
        <v>132848.75997874915</v>
      </c>
      <c r="CN1006" s="52">
        <f t="shared" ca="1" si="1217"/>
        <v>111649.00276883702</v>
      </c>
      <c r="CO1006" s="52">
        <f t="shared" ca="1" si="1217"/>
        <v>230626.84472333547</v>
      </c>
    </row>
    <row r="1007" spans="1:93">
      <c r="A1007" s="10"/>
      <c r="B1007" s="10"/>
      <c r="C1007" s="17" t="s">
        <v>107</v>
      </c>
      <c r="D1007" s="10"/>
      <c r="F1007" s="11"/>
      <c r="G1007" s="134" t="str">
        <f>Monetary_Unit</f>
        <v>тыс. руб.</v>
      </c>
      <c r="H1007" s="11"/>
      <c r="I1007" s="23">
        <f ca="1">SUM(L1007:CO1007)</f>
        <v>-1083177.1599277665</v>
      </c>
      <c r="J1007" s="10"/>
      <c r="K1007" s="10"/>
      <c r="L1007" s="52">
        <f t="shared" ref="L1007:R1007" ca="1" si="1218">-L1002*L1006</f>
        <v>0</v>
      </c>
      <c r="M1007" s="52">
        <f t="shared" ca="1" si="1218"/>
        <v>0</v>
      </c>
      <c r="N1007" s="52">
        <f t="shared" ca="1" si="1218"/>
        <v>0</v>
      </c>
      <c r="O1007" s="52">
        <f t="shared" ca="1" si="1218"/>
        <v>0</v>
      </c>
      <c r="P1007" s="52">
        <f t="shared" ca="1" si="1218"/>
        <v>0</v>
      </c>
      <c r="Q1007" s="52">
        <f t="shared" ca="1" si="1218"/>
        <v>0</v>
      </c>
      <c r="R1007" s="52">
        <f t="shared" ca="1" si="1218"/>
        <v>0</v>
      </c>
      <c r="S1007" s="52">
        <f ca="1">-S1002*S1006</f>
        <v>0</v>
      </c>
      <c r="T1007" s="52">
        <f t="shared" ref="T1007:CE1007" ca="1" si="1219">-T1002*T1006</f>
        <v>0</v>
      </c>
      <c r="U1007" s="52">
        <f t="shared" ca="1" si="1219"/>
        <v>0</v>
      </c>
      <c r="V1007" s="52">
        <f t="shared" ca="1" si="1219"/>
        <v>0</v>
      </c>
      <c r="W1007" s="52">
        <f t="shared" ca="1" si="1219"/>
        <v>0</v>
      </c>
      <c r="X1007" s="52">
        <f t="shared" ca="1" si="1219"/>
        <v>0</v>
      </c>
      <c r="Y1007" s="52">
        <f t="shared" ca="1" si="1219"/>
        <v>0</v>
      </c>
      <c r="Z1007" s="52">
        <f t="shared" ca="1" si="1219"/>
        <v>0</v>
      </c>
      <c r="AA1007" s="52">
        <f t="shared" ca="1" si="1219"/>
        <v>0</v>
      </c>
      <c r="AB1007" s="52">
        <f t="shared" ca="1" si="1219"/>
        <v>0</v>
      </c>
      <c r="AC1007" s="52">
        <f t="shared" ca="1" si="1219"/>
        <v>0</v>
      </c>
      <c r="AD1007" s="52">
        <f t="shared" ca="1" si="1219"/>
        <v>-1783.8517168128092</v>
      </c>
      <c r="AE1007" s="52">
        <f t="shared" ca="1" si="1219"/>
        <v>-34.460020830635514</v>
      </c>
      <c r="AF1007" s="52">
        <f t="shared" ca="1" si="1219"/>
        <v>0</v>
      </c>
      <c r="AG1007" s="52">
        <f t="shared" ca="1" si="1219"/>
        <v>-710.4535125094086</v>
      </c>
      <c r="AH1007" s="52">
        <f t="shared" ca="1" si="1219"/>
        <v>-2294.7982331503858</v>
      </c>
      <c r="AI1007" s="52">
        <f t="shared" ca="1" si="1219"/>
        <v>-239.77500152082479</v>
      </c>
      <c r="AJ1007" s="52">
        <f t="shared" ca="1" si="1219"/>
        <v>-154.6523856769943</v>
      </c>
      <c r="AK1007" s="52">
        <f t="shared" ca="1" si="1219"/>
        <v>-1017.3856901637367</v>
      </c>
      <c r="AL1007" s="52">
        <f t="shared" ca="1" si="1219"/>
        <v>-2838.8876693744746</v>
      </c>
      <c r="AM1007" s="52">
        <f t="shared" ca="1" si="1219"/>
        <v>-476.01599709059332</v>
      </c>
      <c r="AN1007" s="52">
        <f t="shared" ca="1" si="1219"/>
        <v>-384.45855674662567</v>
      </c>
      <c r="AO1007" s="52">
        <f t="shared" ca="1" si="1219"/>
        <v>-1363.8566540876977</v>
      </c>
      <c r="AP1007" s="52">
        <f t="shared" ca="1" si="1219"/>
        <v>-3349.5826799216848</v>
      </c>
      <c r="AQ1007" s="52">
        <f t="shared" ca="1" si="1219"/>
        <v>-877.94883343143158</v>
      </c>
      <c r="AR1007" s="52">
        <f t="shared" ca="1" si="1219"/>
        <v>-1102.0585517472766</v>
      </c>
      <c r="AS1007" s="52">
        <f t="shared" ca="1" si="1219"/>
        <v>-3113.2048150097348</v>
      </c>
      <c r="AT1007" s="52">
        <f t="shared" ca="1" si="1219"/>
        <v>-7251.0413327619317</v>
      </c>
      <c r="AU1007" s="52">
        <f t="shared" ca="1" si="1219"/>
        <v>-6079.681761137449</v>
      </c>
      <c r="AV1007" s="52">
        <f t="shared" ca="1" si="1219"/>
        <v>-5393.0059544168471</v>
      </c>
      <c r="AW1007" s="52">
        <f t="shared" ca="1" si="1219"/>
        <v>-9100.6360451454311</v>
      </c>
      <c r="AX1007" s="52">
        <f t="shared" ca="1" si="1219"/>
        <v>-20387.297472093291</v>
      </c>
      <c r="AY1007" s="52">
        <f t="shared" ca="1" si="1219"/>
        <v>-5113.4158321700788</v>
      </c>
      <c r="AZ1007" s="52">
        <f t="shared" ca="1" si="1219"/>
        <v>-4099.8034607835061</v>
      </c>
      <c r="BA1007" s="52">
        <f t="shared" ca="1" si="1219"/>
        <v>-9723.348559444139</v>
      </c>
      <c r="BB1007" s="52">
        <f t="shared" ca="1" si="1219"/>
        <v>-21303.267284913883</v>
      </c>
      <c r="BC1007" s="52">
        <f t="shared" ca="1" si="1219"/>
        <v>-5418.430379393737</v>
      </c>
      <c r="BD1007" s="52">
        <f t="shared" ca="1" si="1219"/>
        <v>-4439.213805277408</v>
      </c>
      <c r="BE1007" s="52">
        <f t="shared" ca="1" si="1219"/>
        <v>-11252.770442178638</v>
      </c>
      <c r="BF1007" s="52">
        <f t="shared" ca="1" si="1219"/>
        <v>-23295.962995880793</v>
      </c>
      <c r="BG1007" s="52">
        <f t="shared" ca="1" si="1219"/>
        <v>-6775.7331789243817</v>
      </c>
      <c r="BH1007" s="52">
        <f t="shared" ca="1" si="1219"/>
        <v>-5678.6157829512076</v>
      </c>
      <c r="BI1007" s="52">
        <f t="shared" ca="1" si="1219"/>
        <v>-11761.187103371267</v>
      </c>
      <c r="BJ1007" s="52">
        <f t="shared" ca="1" si="1219"/>
        <v>-24286.172138548041</v>
      </c>
      <c r="BK1007" s="52">
        <f t="shared" ca="1" si="1219"/>
        <v>-7105.132541537474</v>
      </c>
      <c r="BL1007" s="52">
        <f t="shared" ca="1" si="1219"/>
        <v>-5964.5128965415306</v>
      </c>
      <c r="BM1007" s="52">
        <f t="shared" ca="1" si="1219"/>
        <v>-12290.458119635599</v>
      </c>
      <c r="BN1007" s="52">
        <f t="shared" ca="1" si="1219"/>
        <v>-25316.513606076656</v>
      </c>
      <c r="BO1007" s="52">
        <f t="shared" ca="1" si="1219"/>
        <v>-16492.514655768286</v>
      </c>
      <c r="BP1007" s="52">
        <f t="shared" ca="1" si="1219"/>
        <v>-13865.515909638518</v>
      </c>
      <c r="BQ1007" s="52">
        <f t="shared" ca="1" si="1219"/>
        <v>-28433.421376647551</v>
      </c>
      <c r="BR1007" s="52">
        <f t="shared" ca="1" si="1219"/>
        <v>-56866.140096120798</v>
      </c>
      <c r="BS1007" s="52">
        <f t="shared" ca="1" si="1219"/>
        <v>-15737.972148449895</v>
      </c>
      <c r="BT1007" s="52">
        <f t="shared" ca="1" si="1219"/>
        <v>-13241.198965775646</v>
      </c>
      <c r="BU1007" s="52">
        <f t="shared" ca="1" si="1219"/>
        <v>-28217.766330432834</v>
      </c>
      <c r="BV1007" s="52">
        <f t="shared" ca="1" si="1219"/>
        <v>-59418.696597877533</v>
      </c>
      <c r="BW1007" s="52">
        <f t="shared" ca="1" si="1219"/>
        <v>-16644.551699020234</v>
      </c>
      <c r="BX1007" s="52">
        <f t="shared" ca="1" si="1219"/>
        <v>-13848.750829669019</v>
      </c>
      <c r="BY1007" s="52">
        <f t="shared" ca="1" si="1219"/>
        <v>-29609.72618933655</v>
      </c>
      <c r="BZ1007" s="52">
        <f t="shared" ca="1" si="1219"/>
        <v>-62059.570386573781</v>
      </c>
      <c r="CA1007" s="52">
        <f t="shared" ca="1" si="1219"/>
        <v>-17573.717564746523</v>
      </c>
      <c r="CB1007" s="52">
        <f t="shared" ca="1" si="1219"/>
        <v>-14667.329897215441</v>
      </c>
      <c r="CC1007" s="52">
        <f t="shared" ca="1" si="1219"/>
        <v>-31059.607846617138</v>
      </c>
      <c r="CD1007" s="52">
        <f t="shared" ca="1" si="1219"/>
        <v>-64808.292055786733</v>
      </c>
      <c r="CE1007" s="52">
        <f t="shared" ca="1" si="1219"/>
        <v>-18542.207881073417</v>
      </c>
      <c r="CF1007" s="52">
        <f t="shared" ref="CF1007:CO1007" ca="1" si="1220">-CF1002*CF1006</f>
        <v>-15515.532492630453</v>
      </c>
      <c r="CG1007" s="52">
        <f t="shared" ca="1" si="1220"/>
        <v>-32564.330472746424</v>
      </c>
      <c r="CH1007" s="52">
        <f t="shared" ca="1" si="1220"/>
        <v>-67663.773631716351</v>
      </c>
      <c r="CI1007" s="52">
        <f t="shared" ca="1" si="1220"/>
        <v>-19546.248850001593</v>
      </c>
      <c r="CJ1007" s="52">
        <f t="shared" ca="1" si="1220"/>
        <v>-16613.31464927864</v>
      </c>
      <c r="CK1007" s="52">
        <f t="shared" ca="1" si="1220"/>
        <v>-34130.440676929851</v>
      </c>
      <c r="CL1007" s="52">
        <f t="shared" ca="1" si="1220"/>
        <v>-70634.633554462838</v>
      </c>
      <c r="CM1007" s="52">
        <f t="shared" ca="1" si="1220"/>
        <v>-20591.557796706118</v>
      </c>
      <c r="CN1007" s="52">
        <f t="shared" ca="1" si="1220"/>
        <v>-17305.595429169738</v>
      </c>
      <c r="CO1007" s="52">
        <f t="shared" ca="1" si="1220"/>
        <v>-35747.160932116996</v>
      </c>
    </row>
    <row r="1008" spans="1:93">
      <c r="A1008" s="10"/>
      <c r="B1008" s="10"/>
      <c r="C1008" s="17"/>
      <c r="D1008" s="10"/>
      <c r="E1008" s="62"/>
      <c r="F1008" s="11"/>
      <c r="G1008" s="11"/>
      <c r="H1008" s="11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  <c r="BB1008" s="10"/>
      <c r="BC1008" s="10"/>
      <c r="BD1008" s="10"/>
      <c r="BE1008" s="10"/>
      <c r="BF1008" s="10"/>
      <c r="BG1008" s="10"/>
      <c r="BH1008" s="10"/>
      <c r="BI1008" s="10"/>
      <c r="BJ1008" s="10"/>
      <c r="BK1008" s="10"/>
      <c r="BL1008" s="10"/>
      <c r="BM1008" s="10"/>
      <c r="BN1008" s="10"/>
      <c r="BO1008" s="10"/>
      <c r="BP1008" s="10"/>
      <c r="BQ1008" s="10"/>
      <c r="BR1008" s="10"/>
      <c r="BS1008" s="10"/>
      <c r="BT1008" s="10"/>
      <c r="BU1008" s="10"/>
      <c r="BV1008" s="10"/>
      <c r="BW1008" s="10"/>
      <c r="BX1008" s="10"/>
      <c r="BY1008" s="10"/>
      <c r="BZ1008" s="10"/>
      <c r="CA1008" s="10"/>
      <c r="CB1008" s="10"/>
      <c r="CC1008" s="10"/>
      <c r="CD1008" s="10"/>
      <c r="CE1008" s="10"/>
      <c r="CF1008" s="10"/>
      <c r="CG1008" s="10"/>
      <c r="CH1008" s="10"/>
      <c r="CI1008" s="10"/>
      <c r="CJ1008" s="10"/>
      <c r="CK1008" s="10"/>
      <c r="CL1008" s="10"/>
      <c r="CM1008" s="10"/>
      <c r="CN1008" s="10"/>
      <c r="CO1008" s="10"/>
    </row>
    <row r="1009" spans="1:93">
      <c r="A1009" s="10"/>
      <c r="B1009" s="10"/>
      <c r="C1009" s="87" t="s">
        <v>105</v>
      </c>
      <c r="D1009" s="10"/>
      <c r="E1009" s="62"/>
      <c r="F1009" s="10"/>
      <c r="G1009" s="11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  <c r="BB1009" s="10"/>
      <c r="BC1009" s="10"/>
      <c r="BD1009" s="10"/>
      <c r="BE1009" s="10"/>
      <c r="BF1009" s="10"/>
      <c r="BG1009" s="10"/>
      <c r="BH1009" s="10"/>
      <c r="BI1009" s="10"/>
      <c r="BJ1009" s="10"/>
      <c r="BK1009" s="10"/>
      <c r="BL1009" s="10"/>
      <c r="BM1009" s="10"/>
      <c r="BN1009" s="10"/>
      <c r="BO1009" s="10"/>
      <c r="BP1009" s="10"/>
      <c r="BQ1009" s="10"/>
      <c r="BR1009" s="10"/>
      <c r="BS1009" s="10"/>
      <c r="BT1009" s="10"/>
      <c r="BU1009" s="10"/>
      <c r="BV1009" s="10"/>
      <c r="BW1009" s="10"/>
      <c r="BX1009" s="10"/>
      <c r="BY1009" s="10"/>
      <c r="BZ1009" s="10"/>
      <c r="CA1009" s="10"/>
      <c r="CB1009" s="10"/>
      <c r="CC1009" s="10"/>
      <c r="CD1009" s="10"/>
      <c r="CE1009" s="10"/>
      <c r="CF1009" s="10"/>
      <c r="CG1009" s="10"/>
      <c r="CH1009" s="10"/>
      <c r="CI1009" s="10"/>
      <c r="CJ1009" s="10"/>
      <c r="CK1009" s="10"/>
      <c r="CL1009" s="10"/>
      <c r="CM1009" s="10"/>
      <c r="CN1009" s="10"/>
      <c r="CO1009" s="10"/>
    </row>
    <row r="1010" spans="1:93">
      <c r="A1010" s="10"/>
      <c r="B1010" s="10"/>
      <c r="C1010" s="17" t="s">
        <v>150</v>
      </c>
      <c r="D1010" s="10"/>
      <c r="E1010" s="62"/>
      <c r="F1010" s="10"/>
      <c r="G1010" s="11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  <c r="BB1010" s="10"/>
      <c r="BC1010" s="10"/>
      <c r="BD1010" s="10"/>
      <c r="BE1010" s="10"/>
      <c r="BF1010" s="10"/>
      <c r="BG1010" s="10"/>
      <c r="BH1010" s="10"/>
      <c r="BI1010" s="10"/>
      <c r="BJ1010" s="10"/>
      <c r="BK1010" s="10"/>
      <c r="BL1010" s="10"/>
      <c r="BM1010" s="10"/>
      <c r="BN1010" s="10"/>
      <c r="BO1010" s="10"/>
      <c r="BP1010" s="10"/>
      <c r="BQ1010" s="10"/>
      <c r="BR1010" s="10"/>
      <c r="BS1010" s="10"/>
      <c r="BT1010" s="10"/>
      <c r="BU1010" s="10"/>
      <c r="BV1010" s="10"/>
      <c r="BW1010" s="10"/>
      <c r="BX1010" s="10"/>
      <c r="BY1010" s="10"/>
      <c r="BZ1010" s="10"/>
      <c r="CA1010" s="10"/>
      <c r="CB1010" s="10"/>
      <c r="CC1010" s="10"/>
      <c r="CD1010" s="10"/>
      <c r="CE1010" s="10"/>
      <c r="CF1010" s="10"/>
      <c r="CG1010" s="10"/>
      <c r="CH1010" s="10"/>
      <c r="CI1010" s="10"/>
      <c r="CJ1010" s="10"/>
      <c r="CK1010" s="10"/>
      <c r="CL1010" s="10"/>
      <c r="CM1010" s="10"/>
      <c r="CN1010" s="10"/>
      <c r="CO1010" s="10"/>
    </row>
    <row r="1011" spans="1:93">
      <c r="A1011" s="10"/>
      <c r="B1011" s="10"/>
      <c r="C1011" s="17" t="s">
        <v>153</v>
      </c>
      <c r="D1011" s="10"/>
      <c r="E1011" s="62"/>
      <c r="F1011" s="10"/>
      <c r="G1011" s="134" t="str">
        <f>Monetary_Unit</f>
        <v>тыс. руб.</v>
      </c>
      <c r="H1011" s="10"/>
      <c r="I1011" s="10"/>
      <c r="J1011" s="10"/>
      <c r="K1011" s="10"/>
      <c r="L1011" s="52">
        <f t="shared" ref="L1011:AQ1011" si="1221">K1014</f>
        <v>0</v>
      </c>
      <c r="M1011" s="52">
        <f t="shared" ca="1" si="1221"/>
        <v>-261.90161609928646</v>
      </c>
      <c r="N1011" s="52">
        <f t="shared" ca="1" si="1221"/>
        <v>-1073.8076536623917</v>
      </c>
      <c r="O1011" s="52">
        <f t="shared" ca="1" si="1221"/>
        <v>-2484.5092302593239</v>
      </c>
      <c r="P1011" s="52">
        <f t="shared" ca="1" si="1221"/>
        <v>-4524.5426084340534</v>
      </c>
      <c r="Q1011" s="52">
        <f t="shared" ca="1" si="1221"/>
        <v>-8084.3018281185787</v>
      </c>
      <c r="R1011" s="52">
        <f t="shared" ca="1" si="1221"/>
        <v>-15383.139437312577</v>
      </c>
      <c r="S1011" s="52">
        <f t="shared" ca="1" si="1221"/>
        <v>-26688.595059163796</v>
      </c>
      <c r="T1011" s="52">
        <f t="shared" ca="1" si="1221"/>
        <v>-42117.8317947002</v>
      </c>
      <c r="U1011" s="52">
        <f t="shared" ca="1" si="1221"/>
        <v>-58346.010682531196</v>
      </c>
      <c r="V1011" s="52">
        <f t="shared" ca="1" si="1221"/>
        <v>-80118.418782633773</v>
      </c>
      <c r="W1011" s="52">
        <f t="shared" ca="1" si="1221"/>
        <v>-105302.54455848457</v>
      </c>
      <c r="X1011" s="52">
        <f t="shared" ca="1" si="1221"/>
        <v>-133756.53129072057</v>
      </c>
      <c r="Y1011" s="52">
        <f t="shared" ca="1" si="1221"/>
        <v>-166362.51681810414</v>
      </c>
      <c r="Z1011" s="52">
        <f t="shared" ca="1" si="1221"/>
        <v>-204713.45150677837</v>
      </c>
      <c r="AA1011" s="52">
        <f t="shared" ca="1" si="1221"/>
        <v>-249457.5591754528</v>
      </c>
      <c r="AB1011" s="52">
        <f t="shared" ca="1" si="1221"/>
        <v>-300350.83340091899</v>
      </c>
      <c r="AC1011" s="52">
        <f t="shared" ca="1" si="1221"/>
        <v>-358387.65550328599</v>
      </c>
      <c r="AD1011" s="52">
        <f t="shared" ca="1" si="1221"/>
        <v>-753642.52739704459</v>
      </c>
      <c r="AE1011" s="52">
        <f t="shared" ca="1" si="1221"/>
        <v>-664449.94155640411</v>
      </c>
      <c r="AF1011" s="52">
        <f t="shared" ca="1" si="1221"/>
        <v>-662726.94051487232</v>
      </c>
      <c r="AG1011" s="52">
        <f t="shared" ca="1" si="1221"/>
        <v>-666361.40499905415</v>
      </c>
      <c r="AH1011" s="52">
        <f t="shared" ca="1" si="1221"/>
        <v>-630838.72937358369</v>
      </c>
      <c r="AI1011" s="52">
        <f t="shared" ca="1" si="1221"/>
        <v>-516098.8177160644</v>
      </c>
      <c r="AJ1011" s="52">
        <f t="shared" ca="1" si="1221"/>
        <v>-504110.06764002313</v>
      </c>
      <c r="AK1011" s="52">
        <f t="shared" ca="1" si="1221"/>
        <v>-496377.44835617341</v>
      </c>
      <c r="AL1011" s="52">
        <f t="shared" ca="1" si="1221"/>
        <v>-445508.16384798655</v>
      </c>
      <c r="AM1011" s="52">
        <f t="shared" ca="1" si="1221"/>
        <v>-303563.78037926281</v>
      </c>
      <c r="AN1011" s="52">
        <f t="shared" ca="1" si="1221"/>
        <v>-279762.98052473314</v>
      </c>
      <c r="AO1011" s="52">
        <f t="shared" ca="1" si="1221"/>
        <v>-260540.05268740185</v>
      </c>
      <c r="AP1011" s="52">
        <f t="shared" ca="1" si="1221"/>
        <v>-192347.21998301696</v>
      </c>
      <c r="AQ1011" s="52">
        <f t="shared" ca="1" si="1221"/>
        <v>-24868.085986932711</v>
      </c>
      <c r="AR1011" s="52">
        <f t="shared" ref="AR1011:BW1011" ca="1" si="1222">AQ1014</f>
        <v>0</v>
      </c>
      <c r="AS1011" s="52">
        <f t="shared" ca="1" si="1222"/>
        <v>0</v>
      </c>
      <c r="AT1011" s="52">
        <f t="shared" ca="1" si="1222"/>
        <v>0</v>
      </c>
      <c r="AU1011" s="52">
        <f t="shared" ca="1" si="1222"/>
        <v>0</v>
      </c>
      <c r="AV1011" s="52">
        <f t="shared" ca="1" si="1222"/>
        <v>0</v>
      </c>
      <c r="AW1011" s="52">
        <f t="shared" ca="1" si="1222"/>
        <v>0</v>
      </c>
      <c r="AX1011" s="52">
        <f t="shared" ca="1" si="1222"/>
        <v>0</v>
      </c>
      <c r="AY1011" s="52">
        <f t="shared" ca="1" si="1222"/>
        <v>0</v>
      </c>
      <c r="AZ1011" s="52">
        <f t="shared" ca="1" si="1222"/>
        <v>0</v>
      </c>
      <c r="BA1011" s="52">
        <f t="shared" ca="1" si="1222"/>
        <v>0</v>
      </c>
      <c r="BB1011" s="52">
        <f t="shared" ca="1" si="1222"/>
        <v>0</v>
      </c>
      <c r="BC1011" s="52">
        <f t="shared" ca="1" si="1222"/>
        <v>0</v>
      </c>
      <c r="BD1011" s="52">
        <f t="shared" ca="1" si="1222"/>
        <v>0</v>
      </c>
      <c r="BE1011" s="52">
        <f t="shared" ca="1" si="1222"/>
        <v>0</v>
      </c>
      <c r="BF1011" s="52">
        <f t="shared" ca="1" si="1222"/>
        <v>0</v>
      </c>
      <c r="BG1011" s="52">
        <f t="shared" ca="1" si="1222"/>
        <v>0</v>
      </c>
      <c r="BH1011" s="52">
        <f t="shared" ca="1" si="1222"/>
        <v>0</v>
      </c>
      <c r="BI1011" s="52">
        <f t="shared" ca="1" si="1222"/>
        <v>0</v>
      </c>
      <c r="BJ1011" s="52">
        <f t="shared" ca="1" si="1222"/>
        <v>0</v>
      </c>
      <c r="BK1011" s="52">
        <f t="shared" ca="1" si="1222"/>
        <v>0</v>
      </c>
      <c r="BL1011" s="52">
        <f t="shared" ca="1" si="1222"/>
        <v>0</v>
      </c>
      <c r="BM1011" s="52">
        <f t="shared" ca="1" si="1222"/>
        <v>0</v>
      </c>
      <c r="BN1011" s="52">
        <f t="shared" ca="1" si="1222"/>
        <v>0</v>
      </c>
      <c r="BO1011" s="52">
        <f t="shared" ca="1" si="1222"/>
        <v>0</v>
      </c>
      <c r="BP1011" s="52">
        <f t="shared" ca="1" si="1222"/>
        <v>0</v>
      </c>
      <c r="BQ1011" s="52">
        <f t="shared" ca="1" si="1222"/>
        <v>0</v>
      </c>
      <c r="BR1011" s="52">
        <f t="shared" ca="1" si="1222"/>
        <v>0</v>
      </c>
      <c r="BS1011" s="52">
        <f t="shared" ca="1" si="1222"/>
        <v>0</v>
      </c>
      <c r="BT1011" s="52">
        <f t="shared" ca="1" si="1222"/>
        <v>0</v>
      </c>
      <c r="BU1011" s="52">
        <f t="shared" ca="1" si="1222"/>
        <v>0</v>
      </c>
      <c r="BV1011" s="52">
        <f t="shared" ca="1" si="1222"/>
        <v>0</v>
      </c>
      <c r="BW1011" s="52">
        <f t="shared" ca="1" si="1222"/>
        <v>0</v>
      </c>
      <c r="BX1011" s="52">
        <f t="shared" ref="BX1011:CO1011" ca="1" si="1223">BW1014</f>
        <v>0</v>
      </c>
      <c r="BY1011" s="52">
        <f t="shared" ca="1" si="1223"/>
        <v>0</v>
      </c>
      <c r="BZ1011" s="52">
        <f t="shared" ca="1" si="1223"/>
        <v>0</v>
      </c>
      <c r="CA1011" s="52">
        <f t="shared" ca="1" si="1223"/>
        <v>0</v>
      </c>
      <c r="CB1011" s="52">
        <f t="shared" ca="1" si="1223"/>
        <v>0</v>
      </c>
      <c r="CC1011" s="52">
        <f t="shared" ca="1" si="1223"/>
        <v>0</v>
      </c>
      <c r="CD1011" s="52">
        <f t="shared" ca="1" si="1223"/>
        <v>0</v>
      </c>
      <c r="CE1011" s="52">
        <f t="shared" ca="1" si="1223"/>
        <v>0</v>
      </c>
      <c r="CF1011" s="52">
        <f t="shared" ca="1" si="1223"/>
        <v>0</v>
      </c>
      <c r="CG1011" s="52">
        <f t="shared" ca="1" si="1223"/>
        <v>0</v>
      </c>
      <c r="CH1011" s="52">
        <f t="shared" ca="1" si="1223"/>
        <v>0</v>
      </c>
      <c r="CI1011" s="52">
        <f t="shared" ca="1" si="1223"/>
        <v>0</v>
      </c>
      <c r="CJ1011" s="52">
        <f t="shared" ca="1" si="1223"/>
        <v>0</v>
      </c>
      <c r="CK1011" s="52">
        <f t="shared" ca="1" si="1223"/>
        <v>0</v>
      </c>
      <c r="CL1011" s="52">
        <f t="shared" ca="1" si="1223"/>
        <v>0</v>
      </c>
      <c r="CM1011" s="52">
        <f t="shared" ca="1" si="1223"/>
        <v>0</v>
      </c>
      <c r="CN1011" s="52">
        <f t="shared" ca="1" si="1223"/>
        <v>0</v>
      </c>
      <c r="CO1011" s="52">
        <f t="shared" ca="1" si="1223"/>
        <v>0</v>
      </c>
    </row>
    <row r="1012" spans="1:93">
      <c r="A1012" s="10"/>
      <c r="B1012" s="10"/>
      <c r="C1012" s="17" t="s">
        <v>154</v>
      </c>
      <c r="D1012" s="10"/>
      <c r="E1012" s="62"/>
      <c r="F1012" s="10"/>
      <c r="G1012" s="134" t="str">
        <f>Monetary_Unit</f>
        <v>тыс. руб.</v>
      </c>
      <c r="H1012" s="10"/>
      <c r="I1012" s="23">
        <f ca="1">SUM(L1012:CO1012)</f>
        <v>-757276.99188122642</v>
      </c>
      <c r="J1012" s="10"/>
      <c r="K1012" s="10"/>
      <c r="L1012" s="52">
        <f t="shared" ref="L1012:R1012" ca="1" si="1224">MIN(L1004,0)</f>
        <v>-261.90161609928646</v>
      </c>
      <c r="M1012" s="52">
        <f t="shared" ca="1" si="1224"/>
        <v>-811.90603756310509</v>
      </c>
      <c r="N1012" s="52">
        <f t="shared" ca="1" si="1224"/>
        <v>-1410.7015765969325</v>
      </c>
      <c r="O1012" s="52">
        <f t="shared" ca="1" si="1224"/>
        <v>-2040.0333781747295</v>
      </c>
      <c r="P1012" s="52">
        <f t="shared" ca="1" si="1224"/>
        <v>-3559.7592196845253</v>
      </c>
      <c r="Q1012" s="52">
        <f t="shared" ca="1" si="1224"/>
        <v>-7298.8376091939972</v>
      </c>
      <c r="R1012" s="52">
        <f t="shared" ca="1" si="1224"/>
        <v>-11305.455621851217</v>
      </c>
      <c r="S1012" s="52">
        <f ca="1">MIN(S1004,0)</f>
        <v>-15429.236735536404</v>
      </c>
      <c r="T1012" s="52">
        <f t="shared" ref="T1012:CE1012" ca="1" si="1225">MIN(T1004,0)</f>
        <v>-16228.178887830996</v>
      </c>
      <c r="U1012" s="52">
        <f t="shared" ca="1" si="1225"/>
        <v>-21772.408100102577</v>
      </c>
      <c r="V1012" s="52">
        <f t="shared" ca="1" si="1225"/>
        <v>-25184.125775850796</v>
      </c>
      <c r="W1012" s="52">
        <f t="shared" ca="1" si="1225"/>
        <v>-28453.986732236001</v>
      </c>
      <c r="X1012" s="52">
        <f t="shared" ca="1" si="1225"/>
        <v>-32605.985527383586</v>
      </c>
      <c r="Y1012" s="52">
        <f t="shared" ca="1" si="1225"/>
        <v>-38350.934688674228</v>
      </c>
      <c r="Z1012" s="52">
        <f t="shared" ca="1" si="1225"/>
        <v>-44744.107668674449</v>
      </c>
      <c r="AA1012" s="52">
        <f t="shared" ca="1" si="1225"/>
        <v>-50893.274225466157</v>
      </c>
      <c r="AB1012" s="52">
        <f t="shared" ca="1" si="1225"/>
        <v>-58036.822102367027</v>
      </c>
      <c r="AC1012" s="52">
        <f t="shared" ca="1" si="1225"/>
        <v>-395254.87189375859</v>
      </c>
      <c r="AD1012" s="52">
        <f t="shared" ca="1" si="1225"/>
        <v>0</v>
      </c>
      <c r="AE1012" s="52">
        <f t="shared" ca="1" si="1225"/>
        <v>0</v>
      </c>
      <c r="AF1012" s="52">
        <f t="shared" ca="1" si="1225"/>
        <v>-3634.4644841818881</v>
      </c>
      <c r="AG1012" s="52">
        <f t="shared" ca="1" si="1225"/>
        <v>0</v>
      </c>
      <c r="AH1012" s="52">
        <f t="shared" ca="1" si="1225"/>
        <v>0</v>
      </c>
      <c r="AI1012" s="52">
        <f t="shared" ca="1" si="1225"/>
        <v>0</v>
      </c>
      <c r="AJ1012" s="52">
        <f t="shared" ca="1" si="1225"/>
        <v>0</v>
      </c>
      <c r="AK1012" s="52">
        <f t="shared" ca="1" si="1225"/>
        <v>0</v>
      </c>
      <c r="AL1012" s="52">
        <f t="shared" ca="1" si="1225"/>
        <v>0</v>
      </c>
      <c r="AM1012" s="52">
        <f t="shared" ca="1" si="1225"/>
        <v>0</v>
      </c>
      <c r="AN1012" s="52">
        <f t="shared" ca="1" si="1225"/>
        <v>0</v>
      </c>
      <c r="AO1012" s="52">
        <f t="shared" ca="1" si="1225"/>
        <v>0</v>
      </c>
      <c r="AP1012" s="52">
        <f t="shared" ca="1" si="1225"/>
        <v>0</v>
      </c>
      <c r="AQ1012" s="52">
        <f t="shared" ca="1" si="1225"/>
        <v>0</v>
      </c>
      <c r="AR1012" s="52">
        <f t="shared" ca="1" si="1225"/>
        <v>0</v>
      </c>
      <c r="AS1012" s="52">
        <f t="shared" ca="1" si="1225"/>
        <v>0</v>
      </c>
      <c r="AT1012" s="52">
        <f t="shared" ca="1" si="1225"/>
        <v>0</v>
      </c>
      <c r="AU1012" s="52">
        <f t="shared" ca="1" si="1225"/>
        <v>0</v>
      </c>
      <c r="AV1012" s="52">
        <f t="shared" ca="1" si="1225"/>
        <v>0</v>
      </c>
      <c r="AW1012" s="52">
        <f t="shared" ca="1" si="1225"/>
        <v>0</v>
      </c>
      <c r="AX1012" s="52">
        <f t="shared" ca="1" si="1225"/>
        <v>0</v>
      </c>
      <c r="AY1012" s="52">
        <f t="shared" ca="1" si="1225"/>
        <v>0</v>
      </c>
      <c r="AZ1012" s="52">
        <f t="shared" ca="1" si="1225"/>
        <v>0</v>
      </c>
      <c r="BA1012" s="52">
        <f t="shared" ca="1" si="1225"/>
        <v>0</v>
      </c>
      <c r="BB1012" s="52">
        <f t="shared" ca="1" si="1225"/>
        <v>0</v>
      </c>
      <c r="BC1012" s="52">
        <f t="shared" ca="1" si="1225"/>
        <v>0</v>
      </c>
      <c r="BD1012" s="52">
        <f t="shared" ca="1" si="1225"/>
        <v>0</v>
      </c>
      <c r="BE1012" s="52">
        <f t="shared" ca="1" si="1225"/>
        <v>0</v>
      </c>
      <c r="BF1012" s="52">
        <f t="shared" ca="1" si="1225"/>
        <v>0</v>
      </c>
      <c r="BG1012" s="52">
        <f t="shared" ca="1" si="1225"/>
        <v>0</v>
      </c>
      <c r="BH1012" s="52">
        <f t="shared" ca="1" si="1225"/>
        <v>0</v>
      </c>
      <c r="BI1012" s="52">
        <f t="shared" ca="1" si="1225"/>
        <v>0</v>
      </c>
      <c r="BJ1012" s="52">
        <f t="shared" ca="1" si="1225"/>
        <v>0</v>
      </c>
      <c r="BK1012" s="52">
        <f t="shared" ca="1" si="1225"/>
        <v>0</v>
      </c>
      <c r="BL1012" s="52">
        <f t="shared" ca="1" si="1225"/>
        <v>0</v>
      </c>
      <c r="BM1012" s="52">
        <f t="shared" ca="1" si="1225"/>
        <v>0</v>
      </c>
      <c r="BN1012" s="52">
        <f t="shared" ca="1" si="1225"/>
        <v>0</v>
      </c>
      <c r="BO1012" s="52">
        <f t="shared" ca="1" si="1225"/>
        <v>0</v>
      </c>
      <c r="BP1012" s="52">
        <f t="shared" ca="1" si="1225"/>
        <v>0</v>
      </c>
      <c r="BQ1012" s="52">
        <f t="shared" ca="1" si="1225"/>
        <v>0</v>
      </c>
      <c r="BR1012" s="52">
        <f t="shared" ca="1" si="1225"/>
        <v>0</v>
      </c>
      <c r="BS1012" s="52">
        <f t="shared" ca="1" si="1225"/>
        <v>0</v>
      </c>
      <c r="BT1012" s="52">
        <f t="shared" ca="1" si="1225"/>
        <v>0</v>
      </c>
      <c r="BU1012" s="52">
        <f t="shared" ca="1" si="1225"/>
        <v>0</v>
      </c>
      <c r="BV1012" s="52">
        <f t="shared" ca="1" si="1225"/>
        <v>0</v>
      </c>
      <c r="BW1012" s="52">
        <f t="shared" ca="1" si="1225"/>
        <v>0</v>
      </c>
      <c r="BX1012" s="52">
        <f t="shared" ca="1" si="1225"/>
        <v>0</v>
      </c>
      <c r="BY1012" s="52">
        <f t="shared" ca="1" si="1225"/>
        <v>0</v>
      </c>
      <c r="BZ1012" s="52">
        <f t="shared" ca="1" si="1225"/>
        <v>0</v>
      </c>
      <c r="CA1012" s="52">
        <f t="shared" ca="1" si="1225"/>
        <v>0</v>
      </c>
      <c r="CB1012" s="52">
        <f t="shared" ca="1" si="1225"/>
        <v>0</v>
      </c>
      <c r="CC1012" s="52">
        <f t="shared" ca="1" si="1225"/>
        <v>0</v>
      </c>
      <c r="CD1012" s="52">
        <f t="shared" ca="1" si="1225"/>
        <v>0</v>
      </c>
      <c r="CE1012" s="52">
        <f t="shared" ca="1" si="1225"/>
        <v>0</v>
      </c>
      <c r="CF1012" s="52">
        <f t="shared" ref="CF1012:CO1012" ca="1" si="1226">MIN(CF1004,0)</f>
        <v>0</v>
      </c>
      <c r="CG1012" s="52">
        <f t="shared" ca="1" si="1226"/>
        <v>0</v>
      </c>
      <c r="CH1012" s="52">
        <f t="shared" ca="1" si="1226"/>
        <v>0</v>
      </c>
      <c r="CI1012" s="52">
        <f t="shared" ca="1" si="1226"/>
        <v>0</v>
      </c>
      <c r="CJ1012" s="52">
        <f t="shared" ca="1" si="1226"/>
        <v>0</v>
      </c>
      <c r="CK1012" s="52">
        <f t="shared" ca="1" si="1226"/>
        <v>0</v>
      </c>
      <c r="CL1012" s="52">
        <f t="shared" ca="1" si="1226"/>
        <v>0</v>
      </c>
      <c r="CM1012" s="52">
        <f t="shared" ca="1" si="1226"/>
        <v>0</v>
      </c>
      <c r="CN1012" s="52">
        <f t="shared" ca="1" si="1226"/>
        <v>0</v>
      </c>
      <c r="CO1012" s="52">
        <f t="shared" ca="1" si="1226"/>
        <v>0</v>
      </c>
    </row>
    <row r="1013" spans="1:93">
      <c r="A1013" s="10"/>
      <c r="B1013" s="10"/>
      <c r="C1013" s="17" t="s">
        <v>159</v>
      </c>
      <c r="D1013" s="10"/>
      <c r="E1013" s="62"/>
      <c r="F1013" s="10"/>
      <c r="G1013" s="134" t="str">
        <f>Monetary_Unit</f>
        <v>тыс. руб.</v>
      </c>
      <c r="H1013" s="10"/>
      <c r="I1013" s="23">
        <f ca="1">SUM(L1013:CO1013)</f>
        <v>757276.99188122631</v>
      </c>
      <c r="J1013" s="10"/>
      <c r="K1013" s="10"/>
      <c r="L1013" s="52">
        <f t="shared" ref="L1013:R1013" ca="1" si="1227">IF(Year&lt;$E$1019,MIN(-L1011,L1016*$E$1018),MIN(-L1011,L1016))</f>
        <v>0</v>
      </c>
      <c r="M1013" s="52">
        <f t="shared" ca="1" si="1227"/>
        <v>0</v>
      </c>
      <c r="N1013" s="52">
        <f t="shared" ca="1" si="1227"/>
        <v>0</v>
      </c>
      <c r="O1013" s="52">
        <f t="shared" ca="1" si="1227"/>
        <v>0</v>
      </c>
      <c r="P1013" s="52">
        <f t="shared" ca="1" si="1227"/>
        <v>0</v>
      </c>
      <c r="Q1013" s="52">
        <f t="shared" ca="1" si="1227"/>
        <v>0</v>
      </c>
      <c r="R1013" s="52">
        <f t="shared" ca="1" si="1227"/>
        <v>0</v>
      </c>
      <c r="S1013" s="52">
        <f ca="1">IF(Year&lt;$E$1019,MIN(-S1011,S1016*$E$1018),MIN(-S1011,S1016))</f>
        <v>0</v>
      </c>
      <c r="T1013" s="52">
        <f t="shared" ref="T1013:CE1013" ca="1" si="1228">IF(Year&lt;$E$1019,MIN(-T1011,T1016*$E$1018),MIN(-T1011,T1016))</f>
        <v>0</v>
      </c>
      <c r="U1013" s="52">
        <f t="shared" ca="1" si="1228"/>
        <v>0</v>
      </c>
      <c r="V1013" s="52">
        <f t="shared" ca="1" si="1228"/>
        <v>0</v>
      </c>
      <c r="W1013" s="52">
        <f t="shared" ca="1" si="1228"/>
        <v>0</v>
      </c>
      <c r="X1013" s="52">
        <f t="shared" ca="1" si="1228"/>
        <v>0</v>
      </c>
      <c r="Y1013" s="52">
        <f t="shared" ca="1" si="1228"/>
        <v>0</v>
      </c>
      <c r="Z1013" s="52">
        <f t="shared" ca="1" si="1228"/>
        <v>0</v>
      </c>
      <c r="AA1013" s="52">
        <f t="shared" ca="1" si="1228"/>
        <v>0</v>
      </c>
      <c r="AB1013" s="52">
        <f t="shared" ca="1" si="1228"/>
        <v>0</v>
      </c>
      <c r="AC1013" s="52">
        <f t="shared" ca="1" si="1228"/>
        <v>0</v>
      </c>
      <c r="AD1013" s="52">
        <f t="shared" ca="1" si="1228"/>
        <v>89192.585840640459</v>
      </c>
      <c r="AE1013" s="52">
        <f t="shared" ca="1" si="1228"/>
        <v>1723.0010415317756</v>
      </c>
      <c r="AF1013" s="52">
        <f t="shared" ca="1" si="1228"/>
        <v>0</v>
      </c>
      <c r="AG1013" s="52">
        <f t="shared" ca="1" si="1228"/>
        <v>35522.675625470431</v>
      </c>
      <c r="AH1013" s="52">
        <f t="shared" ca="1" si="1228"/>
        <v>114739.91165751929</v>
      </c>
      <c r="AI1013" s="52">
        <f t="shared" ca="1" si="1228"/>
        <v>11988.750076041239</v>
      </c>
      <c r="AJ1013" s="52">
        <f t="shared" ca="1" si="1228"/>
        <v>7732.6192838497154</v>
      </c>
      <c r="AK1013" s="52">
        <f t="shared" ca="1" si="1228"/>
        <v>50869.284508186836</v>
      </c>
      <c r="AL1013" s="52">
        <f t="shared" ca="1" si="1228"/>
        <v>141944.38346872374</v>
      </c>
      <c r="AM1013" s="52">
        <f t="shared" ca="1" si="1228"/>
        <v>23800.799854529665</v>
      </c>
      <c r="AN1013" s="52">
        <f t="shared" ca="1" si="1228"/>
        <v>19222.927837331285</v>
      </c>
      <c r="AO1013" s="52">
        <f t="shared" ca="1" si="1228"/>
        <v>68192.832704384884</v>
      </c>
      <c r="AP1013" s="52">
        <f t="shared" ca="1" si="1228"/>
        <v>167479.13399608425</v>
      </c>
      <c r="AQ1013" s="52">
        <f t="shared" ca="1" si="1228"/>
        <v>24868.085986932711</v>
      </c>
      <c r="AR1013" s="52">
        <f t="shared" ca="1" si="1228"/>
        <v>0</v>
      </c>
      <c r="AS1013" s="52">
        <f t="shared" ca="1" si="1228"/>
        <v>0</v>
      </c>
      <c r="AT1013" s="52">
        <f t="shared" ca="1" si="1228"/>
        <v>0</v>
      </c>
      <c r="AU1013" s="52">
        <f t="shared" ca="1" si="1228"/>
        <v>0</v>
      </c>
      <c r="AV1013" s="52">
        <f t="shared" ca="1" si="1228"/>
        <v>0</v>
      </c>
      <c r="AW1013" s="52">
        <f t="shared" ca="1" si="1228"/>
        <v>0</v>
      </c>
      <c r="AX1013" s="52">
        <f t="shared" ca="1" si="1228"/>
        <v>0</v>
      </c>
      <c r="AY1013" s="52">
        <f t="shared" ca="1" si="1228"/>
        <v>0</v>
      </c>
      <c r="AZ1013" s="52">
        <f t="shared" ca="1" si="1228"/>
        <v>0</v>
      </c>
      <c r="BA1013" s="52">
        <f t="shared" ca="1" si="1228"/>
        <v>0</v>
      </c>
      <c r="BB1013" s="52">
        <f t="shared" ca="1" si="1228"/>
        <v>0</v>
      </c>
      <c r="BC1013" s="52">
        <f t="shared" ca="1" si="1228"/>
        <v>0</v>
      </c>
      <c r="BD1013" s="52">
        <f t="shared" ca="1" si="1228"/>
        <v>0</v>
      </c>
      <c r="BE1013" s="52">
        <f t="shared" ca="1" si="1228"/>
        <v>0</v>
      </c>
      <c r="BF1013" s="52">
        <f t="shared" ca="1" si="1228"/>
        <v>0</v>
      </c>
      <c r="BG1013" s="52">
        <f t="shared" ca="1" si="1228"/>
        <v>0</v>
      </c>
      <c r="BH1013" s="52">
        <f t="shared" ca="1" si="1228"/>
        <v>0</v>
      </c>
      <c r="BI1013" s="52">
        <f t="shared" ca="1" si="1228"/>
        <v>0</v>
      </c>
      <c r="BJ1013" s="52">
        <f t="shared" ca="1" si="1228"/>
        <v>0</v>
      </c>
      <c r="BK1013" s="52">
        <f t="shared" ca="1" si="1228"/>
        <v>0</v>
      </c>
      <c r="BL1013" s="52">
        <f t="shared" ca="1" si="1228"/>
        <v>0</v>
      </c>
      <c r="BM1013" s="52">
        <f t="shared" ca="1" si="1228"/>
        <v>0</v>
      </c>
      <c r="BN1013" s="52">
        <f t="shared" ca="1" si="1228"/>
        <v>0</v>
      </c>
      <c r="BO1013" s="52">
        <f t="shared" ca="1" si="1228"/>
        <v>0</v>
      </c>
      <c r="BP1013" s="52">
        <f t="shared" ca="1" si="1228"/>
        <v>0</v>
      </c>
      <c r="BQ1013" s="52">
        <f t="shared" ca="1" si="1228"/>
        <v>0</v>
      </c>
      <c r="BR1013" s="52">
        <f t="shared" ca="1" si="1228"/>
        <v>0</v>
      </c>
      <c r="BS1013" s="52">
        <f t="shared" ca="1" si="1228"/>
        <v>0</v>
      </c>
      <c r="BT1013" s="52">
        <f t="shared" ca="1" si="1228"/>
        <v>0</v>
      </c>
      <c r="BU1013" s="52">
        <f t="shared" ca="1" si="1228"/>
        <v>0</v>
      </c>
      <c r="BV1013" s="52">
        <f t="shared" ca="1" si="1228"/>
        <v>0</v>
      </c>
      <c r="BW1013" s="52">
        <f t="shared" ca="1" si="1228"/>
        <v>0</v>
      </c>
      <c r="BX1013" s="52">
        <f t="shared" ca="1" si="1228"/>
        <v>0</v>
      </c>
      <c r="BY1013" s="52">
        <f t="shared" ca="1" si="1228"/>
        <v>0</v>
      </c>
      <c r="BZ1013" s="52">
        <f t="shared" ca="1" si="1228"/>
        <v>0</v>
      </c>
      <c r="CA1013" s="52">
        <f t="shared" ca="1" si="1228"/>
        <v>0</v>
      </c>
      <c r="CB1013" s="52">
        <f t="shared" ca="1" si="1228"/>
        <v>0</v>
      </c>
      <c r="CC1013" s="52">
        <f t="shared" ca="1" si="1228"/>
        <v>0</v>
      </c>
      <c r="CD1013" s="52">
        <f t="shared" ca="1" si="1228"/>
        <v>0</v>
      </c>
      <c r="CE1013" s="52">
        <f t="shared" ca="1" si="1228"/>
        <v>0</v>
      </c>
      <c r="CF1013" s="52">
        <f t="shared" ref="CF1013:CO1013" ca="1" si="1229">IF(Year&lt;$E$1019,MIN(-CF1011,CF1016*$E$1018),MIN(-CF1011,CF1016))</f>
        <v>0</v>
      </c>
      <c r="CG1013" s="52">
        <f t="shared" ca="1" si="1229"/>
        <v>0</v>
      </c>
      <c r="CH1013" s="52">
        <f t="shared" ca="1" si="1229"/>
        <v>0</v>
      </c>
      <c r="CI1013" s="52">
        <f t="shared" ca="1" si="1229"/>
        <v>0</v>
      </c>
      <c r="CJ1013" s="52">
        <f t="shared" ca="1" si="1229"/>
        <v>0</v>
      </c>
      <c r="CK1013" s="52">
        <f t="shared" ca="1" si="1229"/>
        <v>0</v>
      </c>
      <c r="CL1013" s="52">
        <f t="shared" ca="1" si="1229"/>
        <v>0</v>
      </c>
      <c r="CM1013" s="52">
        <f t="shared" ca="1" si="1229"/>
        <v>0</v>
      </c>
      <c r="CN1013" s="52">
        <f t="shared" ca="1" si="1229"/>
        <v>0</v>
      </c>
      <c r="CO1013" s="52">
        <f t="shared" ca="1" si="1229"/>
        <v>0</v>
      </c>
    </row>
    <row r="1014" spans="1:93">
      <c r="A1014" s="10"/>
      <c r="B1014" s="10"/>
      <c r="C1014" s="17" t="s">
        <v>155</v>
      </c>
      <c r="D1014" s="10"/>
      <c r="E1014" s="62"/>
      <c r="F1014" s="10"/>
      <c r="G1014" s="134" t="str">
        <f>Monetary_Unit</f>
        <v>тыс. руб.</v>
      </c>
      <c r="H1014" s="10"/>
      <c r="I1014" s="10"/>
      <c r="J1014" s="10"/>
      <c r="K1014" s="10"/>
      <c r="L1014" s="52">
        <f t="shared" ref="L1014:R1014" ca="1" si="1230">SUM(L1011:L1013)</f>
        <v>-261.90161609928646</v>
      </c>
      <c r="M1014" s="52">
        <f t="shared" ca="1" si="1230"/>
        <v>-1073.8076536623917</v>
      </c>
      <c r="N1014" s="52">
        <f t="shared" ca="1" si="1230"/>
        <v>-2484.5092302593239</v>
      </c>
      <c r="O1014" s="52">
        <f t="shared" ca="1" si="1230"/>
        <v>-4524.5426084340534</v>
      </c>
      <c r="P1014" s="52">
        <f t="shared" ca="1" si="1230"/>
        <v>-8084.3018281185787</v>
      </c>
      <c r="Q1014" s="52">
        <f t="shared" ca="1" si="1230"/>
        <v>-15383.139437312577</v>
      </c>
      <c r="R1014" s="52">
        <f t="shared" ca="1" si="1230"/>
        <v>-26688.595059163796</v>
      </c>
      <c r="S1014" s="52">
        <f ca="1">SUM(S1011:S1013)</f>
        <v>-42117.8317947002</v>
      </c>
      <c r="T1014" s="52">
        <f t="shared" ref="T1014:CE1014" ca="1" si="1231">SUM(T1011:T1013)</f>
        <v>-58346.010682531196</v>
      </c>
      <c r="U1014" s="52">
        <f t="shared" ca="1" si="1231"/>
        <v>-80118.418782633773</v>
      </c>
      <c r="V1014" s="52">
        <f t="shared" ca="1" si="1231"/>
        <v>-105302.54455848457</v>
      </c>
      <c r="W1014" s="52">
        <f t="shared" ca="1" si="1231"/>
        <v>-133756.53129072057</v>
      </c>
      <c r="X1014" s="52">
        <f t="shared" ca="1" si="1231"/>
        <v>-166362.51681810414</v>
      </c>
      <c r="Y1014" s="52">
        <f t="shared" ca="1" si="1231"/>
        <v>-204713.45150677837</v>
      </c>
      <c r="Z1014" s="52">
        <f t="shared" ca="1" si="1231"/>
        <v>-249457.5591754528</v>
      </c>
      <c r="AA1014" s="52">
        <f t="shared" ca="1" si="1231"/>
        <v>-300350.83340091899</v>
      </c>
      <c r="AB1014" s="52">
        <f t="shared" ca="1" si="1231"/>
        <v>-358387.65550328599</v>
      </c>
      <c r="AC1014" s="52">
        <f t="shared" ca="1" si="1231"/>
        <v>-753642.52739704459</v>
      </c>
      <c r="AD1014" s="52">
        <f t="shared" ca="1" si="1231"/>
        <v>-664449.94155640411</v>
      </c>
      <c r="AE1014" s="52">
        <f t="shared" ca="1" si="1231"/>
        <v>-662726.94051487232</v>
      </c>
      <c r="AF1014" s="52">
        <f t="shared" ca="1" si="1231"/>
        <v>-666361.40499905415</v>
      </c>
      <c r="AG1014" s="52">
        <f t="shared" ca="1" si="1231"/>
        <v>-630838.72937358369</v>
      </c>
      <c r="AH1014" s="52">
        <f t="shared" ca="1" si="1231"/>
        <v>-516098.8177160644</v>
      </c>
      <c r="AI1014" s="52">
        <f t="shared" ca="1" si="1231"/>
        <v>-504110.06764002313</v>
      </c>
      <c r="AJ1014" s="52">
        <f t="shared" ca="1" si="1231"/>
        <v>-496377.44835617341</v>
      </c>
      <c r="AK1014" s="52">
        <f t="shared" ca="1" si="1231"/>
        <v>-445508.16384798655</v>
      </c>
      <c r="AL1014" s="52">
        <f t="shared" ca="1" si="1231"/>
        <v>-303563.78037926281</v>
      </c>
      <c r="AM1014" s="52">
        <f t="shared" ca="1" si="1231"/>
        <v>-279762.98052473314</v>
      </c>
      <c r="AN1014" s="52">
        <f t="shared" ca="1" si="1231"/>
        <v>-260540.05268740185</v>
      </c>
      <c r="AO1014" s="52">
        <f t="shared" ca="1" si="1231"/>
        <v>-192347.21998301696</v>
      </c>
      <c r="AP1014" s="52">
        <f t="shared" ca="1" si="1231"/>
        <v>-24868.085986932711</v>
      </c>
      <c r="AQ1014" s="52">
        <f t="shared" ca="1" si="1231"/>
        <v>0</v>
      </c>
      <c r="AR1014" s="52">
        <f t="shared" ca="1" si="1231"/>
        <v>0</v>
      </c>
      <c r="AS1014" s="52">
        <f t="shared" ca="1" si="1231"/>
        <v>0</v>
      </c>
      <c r="AT1014" s="52">
        <f t="shared" ca="1" si="1231"/>
        <v>0</v>
      </c>
      <c r="AU1014" s="52">
        <f t="shared" ca="1" si="1231"/>
        <v>0</v>
      </c>
      <c r="AV1014" s="52">
        <f t="shared" ca="1" si="1231"/>
        <v>0</v>
      </c>
      <c r="AW1014" s="52">
        <f t="shared" ca="1" si="1231"/>
        <v>0</v>
      </c>
      <c r="AX1014" s="52">
        <f t="shared" ca="1" si="1231"/>
        <v>0</v>
      </c>
      <c r="AY1014" s="52">
        <f t="shared" ca="1" si="1231"/>
        <v>0</v>
      </c>
      <c r="AZ1014" s="52">
        <f t="shared" ca="1" si="1231"/>
        <v>0</v>
      </c>
      <c r="BA1014" s="52">
        <f t="shared" ca="1" si="1231"/>
        <v>0</v>
      </c>
      <c r="BB1014" s="52">
        <f t="shared" ca="1" si="1231"/>
        <v>0</v>
      </c>
      <c r="BC1014" s="52">
        <f t="shared" ca="1" si="1231"/>
        <v>0</v>
      </c>
      <c r="BD1014" s="52">
        <f t="shared" ca="1" si="1231"/>
        <v>0</v>
      </c>
      <c r="BE1014" s="52">
        <f t="shared" ca="1" si="1231"/>
        <v>0</v>
      </c>
      <c r="BF1014" s="52">
        <f t="shared" ca="1" si="1231"/>
        <v>0</v>
      </c>
      <c r="BG1014" s="52">
        <f t="shared" ca="1" si="1231"/>
        <v>0</v>
      </c>
      <c r="BH1014" s="52">
        <f t="shared" ca="1" si="1231"/>
        <v>0</v>
      </c>
      <c r="BI1014" s="52">
        <f t="shared" ca="1" si="1231"/>
        <v>0</v>
      </c>
      <c r="BJ1014" s="52">
        <f t="shared" ca="1" si="1231"/>
        <v>0</v>
      </c>
      <c r="BK1014" s="52">
        <f t="shared" ca="1" si="1231"/>
        <v>0</v>
      </c>
      <c r="BL1014" s="52">
        <f t="shared" ca="1" si="1231"/>
        <v>0</v>
      </c>
      <c r="BM1014" s="52">
        <f t="shared" ca="1" si="1231"/>
        <v>0</v>
      </c>
      <c r="BN1014" s="52">
        <f t="shared" ca="1" si="1231"/>
        <v>0</v>
      </c>
      <c r="BO1014" s="52">
        <f t="shared" ca="1" si="1231"/>
        <v>0</v>
      </c>
      <c r="BP1014" s="52">
        <f t="shared" ca="1" si="1231"/>
        <v>0</v>
      </c>
      <c r="BQ1014" s="52">
        <f t="shared" ca="1" si="1231"/>
        <v>0</v>
      </c>
      <c r="BR1014" s="52">
        <f t="shared" ca="1" si="1231"/>
        <v>0</v>
      </c>
      <c r="BS1014" s="52">
        <f t="shared" ca="1" si="1231"/>
        <v>0</v>
      </c>
      <c r="BT1014" s="52">
        <f t="shared" ca="1" si="1231"/>
        <v>0</v>
      </c>
      <c r="BU1014" s="52">
        <f t="shared" ca="1" si="1231"/>
        <v>0</v>
      </c>
      <c r="BV1014" s="52">
        <f t="shared" ca="1" si="1231"/>
        <v>0</v>
      </c>
      <c r="BW1014" s="52">
        <f t="shared" ca="1" si="1231"/>
        <v>0</v>
      </c>
      <c r="BX1014" s="52">
        <f t="shared" ca="1" si="1231"/>
        <v>0</v>
      </c>
      <c r="BY1014" s="52">
        <f t="shared" ca="1" si="1231"/>
        <v>0</v>
      </c>
      <c r="BZ1014" s="52">
        <f t="shared" ca="1" si="1231"/>
        <v>0</v>
      </c>
      <c r="CA1014" s="52">
        <f t="shared" ca="1" si="1231"/>
        <v>0</v>
      </c>
      <c r="CB1014" s="52">
        <f t="shared" ca="1" si="1231"/>
        <v>0</v>
      </c>
      <c r="CC1014" s="52">
        <f t="shared" ca="1" si="1231"/>
        <v>0</v>
      </c>
      <c r="CD1014" s="52">
        <f t="shared" ca="1" si="1231"/>
        <v>0</v>
      </c>
      <c r="CE1014" s="52">
        <f t="shared" ca="1" si="1231"/>
        <v>0</v>
      </c>
      <c r="CF1014" s="52">
        <f t="shared" ref="CF1014:CO1014" ca="1" si="1232">SUM(CF1011:CF1013)</f>
        <v>0</v>
      </c>
      <c r="CG1014" s="52">
        <f t="shared" ca="1" si="1232"/>
        <v>0</v>
      </c>
      <c r="CH1014" s="52">
        <f t="shared" ca="1" si="1232"/>
        <v>0</v>
      </c>
      <c r="CI1014" s="52">
        <f t="shared" ca="1" si="1232"/>
        <v>0</v>
      </c>
      <c r="CJ1014" s="52">
        <f t="shared" ca="1" si="1232"/>
        <v>0</v>
      </c>
      <c r="CK1014" s="52">
        <f t="shared" ca="1" si="1232"/>
        <v>0</v>
      </c>
      <c r="CL1014" s="52">
        <f t="shared" ca="1" si="1232"/>
        <v>0</v>
      </c>
      <c r="CM1014" s="52">
        <f t="shared" ca="1" si="1232"/>
        <v>0</v>
      </c>
      <c r="CN1014" s="52">
        <f t="shared" ca="1" si="1232"/>
        <v>0</v>
      </c>
      <c r="CO1014" s="52">
        <f t="shared" ca="1" si="1232"/>
        <v>0</v>
      </c>
    </row>
    <row r="1015" spans="1:93">
      <c r="A1015" s="10"/>
      <c r="B1015" s="10"/>
      <c r="C1015" s="17" t="s">
        <v>150</v>
      </c>
      <c r="D1015" s="10"/>
      <c r="E1015" s="62"/>
      <c r="F1015" s="10"/>
      <c r="G1015" s="11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  <c r="BB1015" s="10"/>
      <c r="BC1015" s="10"/>
      <c r="BD1015" s="10"/>
      <c r="BE1015" s="10"/>
      <c r="BF1015" s="10"/>
      <c r="BG1015" s="10"/>
      <c r="BH1015" s="10"/>
      <c r="BI1015" s="10"/>
      <c r="BJ1015" s="10"/>
      <c r="BK1015" s="10"/>
      <c r="BL1015" s="10"/>
      <c r="BM1015" s="10"/>
      <c r="BN1015" s="10"/>
      <c r="BO1015" s="10"/>
      <c r="BP1015" s="10"/>
      <c r="BQ1015" s="10"/>
      <c r="BR1015" s="10"/>
      <c r="BS1015" s="10"/>
      <c r="BT1015" s="10"/>
      <c r="BU1015" s="10"/>
      <c r="BV1015" s="10"/>
      <c r="BW1015" s="10"/>
      <c r="BX1015" s="10"/>
      <c r="BY1015" s="10"/>
      <c r="BZ1015" s="10"/>
      <c r="CA1015" s="10"/>
      <c r="CB1015" s="10"/>
      <c r="CC1015" s="10"/>
      <c r="CD1015" s="10"/>
      <c r="CE1015" s="10"/>
      <c r="CF1015" s="10"/>
      <c r="CG1015" s="10"/>
      <c r="CH1015" s="10"/>
      <c r="CI1015" s="10"/>
      <c r="CJ1015" s="10"/>
      <c r="CK1015" s="10"/>
      <c r="CL1015" s="10"/>
      <c r="CM1015" s="10"/>
      <c r="CN1015" s="10"/>
      <c r="CO1015" s="10"/>
    </row>
    <row r="1016" spans="1:93">
      <c r="A1016" s="10"/>
      <c r="B1016" s="10"/>
      <c r="C1016" s="17" t="s">
        <v>406</v>
      </c>
      <c r="D1016" s="10"/>
      <c r="E1016" s="62"/>
      <c r="F1016" s="10"/>
      <c r="G1016" s="134" t="str">
        <f>Monetary_Unit</f>
        <v>тыс. руб.</v>
      </c>
      <c r="H1016" s="10"/>
      <c r="I1016" s="23">
        <f ca="1">SUM(L1016:CO1016)</f>
        <v>10681983.323272895</v>
      </c>
      <c r="J1016" s="10"/>
      <c r="K1016" s="10"/>
      <c r="L1016" s="52">
        <f t="shared" ref="L1016:R1016" ca="1" si="1233">MAX(L1005,0)</f>
        <v>0</v>
      </c>
      <c r="M1016" s="52">
        <f t="shared" ca="1" si="1233"/>
        <v>0</v>
      </c>
      <c r="N1016" s="52">
        <f t="shared" ca="1" si="1233"/>
        <v>0</v>
      </c>
      <c r="O1016" s="52">
        <f t="shared" ca="1" si="1233"/>
        <v>0</v>
      </c>
      <c r="P1016" s="52">
        <f t="shared" ca="1" si="1233"/>
        <v>0</v>
      </c>
      <c r="Q1016" s="52">
        <f t="shared" ca="1" si="1233"/>
        <v>0</v>
      </c>
      <c r="R1016" s="52">
        <f t="shared" ca="1" si="1233"/>
        <v>0</v>
      </c>
      <c r="S1016" s="52">
        <f ca="1">MAX(S1005,0)</f>
        <v>0</v>
      </c>
      <c r="T1016" s="52">
        <f t="shared" ref="T1016:CE1016" ca="1" si="1234">MAX(T1005,0)</f>
        <v>0</v>
      </c>
      <c r="U1016" s="52">
        <f t="shared" ca="1" si="1234"/>
        <v>0</v>
      </c>
      <c r="V1016" s="52">
        <f t="shared" ca="1" si="1234"/>
        <v>0</v>
      </c>
      <c r="W1016" s="52">
        <f t="shared" ca="1" si="1234"/>
        <v>0</v>
      </c>
      <c r="X1016" s="52">
        <f t="shared" ca="1" si="1234"/>
        <v>0</v>
      </c>
      <c r="Y1016" s="52">
        <f t="shared" ca="1" si="1234"/>
        <v>0</v>
      </c>
      <c r="Z1016" s="52">
        <f t="shared" ca="1" si="1234"/>
        <v>0</v>
      </c>
      <c r="AA1016" s="52">
        <f t="shared" ca="1" si="1234"/>
        <v>0</v>
      </c>
      <c r="AB1016" s="52">
        <f t="shared" ca="1" si="1234"/>
        <v>0</v>
      </c>
      <c r="AC1016" s="52">
        <f t="shared" ca="1" si="1234"/>
        <v>0</v>
      </c>
      <c r="AD1016" s="52">
        <f t="shared" ca="1" si="1234"/>
        <v>178385.17168128092</v>
      </c>
      <c r="AE1016" s="52">
        <f t="shared" ca="1" si="1234"/>
        <v>3446.0020830635513</v>
      </c>
      <c r="AF1016" s="52">
        <f t="shared" ca="1" si="1234"/>
        <v>0</v>
      </c>
      <c r="AG1016" s="52">
        <f t="shared" ca="1" si="1234"/>
        <v>71045.351250940861</v>
      </c>
      <c r="AH1016" s="52">
        <f t="shared" ca="1" si="1234"/>
        <v>229479.82331503858</v>
      </c>
      <c r="AI1016" s="52">
        <f t="shared" ca="1" si="1234"/>
        <v>23977.500152082477</v>
      </c>
      <c r="AJ1016" s="52">
        <f t="shared" ca="1" si="1234"/>
        <v>15465.238567699431</v>
      </c>
      <c r="AK1016" s="52">
        <f t="shared" ca="1" si="1234"/>
        <v>101738.56901637367</v>
      </c>
      <c r="AL1016" s="52">
        <f t="shared" ca="1" si="1234"/>
        <v>283888.76693744748</v>
      </c>
      <c r="AM1016" s="52">
        <f t="shared" ca="1" si="1234"/>
        <v>47601.59970905933</v>
      </c>
      <c r="AN1016" s="52">
        <f t="shared" ca="1" si="1234"/>
        <v>38445.855674662569</v>
      </c>
      <c r="AO1016" s="52">
        <f t="shared" ca="1" si="1234"/>
        <v>136385.66540876977</v>
      </c>
      <c r="AP1016" s="52">
        <f t="shared" ca="1" si="1234"/>
        <v>334958.26799216849</v>
      </c>
      <c r="AQ1016" s="52">
        <f t="shared" ca="1" si="1234"/>
        <v>68765.527658504288</v>
      </c>
      <c r="AR1016" s="52">
        <f t="shared" ca="1" si="1234"/>
        <v>55102.927587363825</v>
      </c>
      <c r="AS1016" s="52">
        <f t="shared" ca="1" si="1234"/>
        <v>155660.24075048673</v>
      </c>
      <c r="AT1016" s="52">
        <f t="shared" ca="1" si="1234"/>
        <v>362552.06663809658</v>
      </c>
      <c r="AU1016" s="52">
        <f t="shared" ca="1" si="1234"/>
        <v>86852.596587677835</v>
      </c>
      <c r="AV1016" s="52">
        <f t="shared" ca="1" si="1234"/>
        <v>77042.942205954954</v>
      </c>
      <c r="AW1016" s="52">
        <f t="shared" ca="1" si="1234"/>
        <v>130009.08635922043</v>
      </c>
      <c r="AX1016" s="52">
        <f t="shared" ca="1" si="1234"/>
        <v>291247.10674418986</v>
      </c>
      <c r="AY1016" s="52">
        <f t="shared" ca="1" si="1234"/>
        <v>73048.797602429695</v>
      </c>
      <c r="AZ1016" s="52">
        <f t="shared" ca="1" si="1234"/>
        <v>58568.620868335791</v>
      </c>
      <c r="BA1016" s="52">
        <f t="shared" ca="1" si="1234"/>
        <v>138904.97942063055</v>
      </c>
      <c r="BB1016" s="52">
        <f t="shared" ca="1" si="1234"/>
        <v>304332.389784484</v>
      </c>
      <c r="BC1016" s="52">
        <f t="shared" ca="1" si="1234"/>
        <v>77406.148277053377</v>
      </c>
      <c r="BD1016" s="52">
        <f t="shared" ca="1" si="1234"/>
        <v>63417.340075391534</v>
      </c>
      <c r="BE1016" s="52">
        <f t="shared" ca="1" si="1234"/>
        <v>160753.86345969481</v>
      </c>
      <c r="BF1016" s="52">
        <f t="shared" ca="1" si="1234"/>
        <v>332799.47136972559</v>
      </c>
      <c r="BG1016" s="52">
        <f t="shared" ca="1" si="1234"/>
        <v>96796.188270348299</v>
      </c>
      <c r="BH1016" s="52">
        <f t="shared" ca="1" si="1234"/>
        <v>81123.082613588675</v>
      </c>
      <c r="BI1016" s="52">
        <f t="shared" ca="1" si="1234"/>
        <v>168016.95861958951</v>
      </c>
      <c r="BJ1016" s="52">
        <f t="shared" ca="1" si="1234"/>
        <v>346945.31626497197</v>
      </c>
      <c r="BK1016" s="52">
        <f t="shared" ca="1" si="1234"/>
        <v>101501.89345053534</v>
      </c>
      <c r="BL1016" s="52">
        <f t="shared" ca="1" si="1234"/>
        <v>85207.327093450425</v>
      </c>
      <c r="BM1016" s="52">
        <f t="shared" ca="1" si="1234"/>
        <v>175577.9731376514</v>
      </c>
      <c r="BN1016" s="52">
        <f t="shared" ca="1" si="1234"/>
        <v>361664.48008680932</v>
      </c>
      <c r="BO1016" s="52">
        <f t="shared" ca="1" si="1234"/>
        <v>106403.32035979538</v>
      </c>
      <c r="BP1016" s="52">
        <f t="shared" ca="1" si="1234"/>
        <v>89454.941352506561</v>
      </c>
      <c r="BQ1016" s="52">
        <f t="shared" ca="1" si="1234"/>
        <v>183441.42823643581</v>
      </c>
      <c r="BR1016" s="52">
        <f t="shared" ca="1" si="1234"/>
        <v>366878.32320077933</v>
      </c>
      <c r="BS1016" s="52">
        <f t="shared" ca="1" si="1234"/>
        <v>101535.30418354771</v>
      </c>
      <c r="BT1016" s="52">
        <f t="shared" ca="1" si="1234"/>
        <v>85427.090101778362</v>
      </c>
      <c r="BU1016" s="52">
        <f t="shared" ca="1" si="1234"/>
        <v>182050.1053576312</v>
      </c>
      <c r="BV1016" s="52">
        <f t="shared" ca="1" si="1234"/>
        <v>383346.42966372601</v>
      </c>
      <c r="BW1016" s="52">
        <f t="shared" ca="1" si="1234"/>
        <v>107384.20450980795</v>
      </c>
      <c r="BX1016" s="52">
        <f t="shared" ca="1" si="1234"/>
        <v>89346.779546251739</v>
      </c>
      <c r="BY1016" s="52">
        <f t="shared" ca="1" si="1234"/>
        <v>191030.49154410677</v>
      </c>
      <c r="BZ1016" s="52">
        <f t="shared" ca="1" si="1234"/>
        <v>400384.32507466956</v>
      </c>
      <c r="CA1016" s="52">
        <f t="shared" ca="1" si="1234"/>
        <v>113378.82299836467</v>
      </c>
      <c r="CB1016" s="52">
        <f t="shared" ca="1" si="1234"/>
        <v>94627.934820744777</v>
      </c>
      <c r="CC1016" s="52">
        <f t="shared" ca="1" si="1234"/>
        <v>200384.56675236864</v>
      </c>
      <c r="CD1016" s="52">
        <f t="shared" ca="1" si="1234"/>
        <v>418118.01326314022</v>
      </c>
      <c r="CE1016" s="52">
        <f t="shared" ca="1" si="1234"/>
        <v>119627.14761982849</v>
      </c>
      <c r="CF1016" s="52">
        <f t="shared" ref="CF1016:CO1016" ca="1" si="1235">MAX(CF1005,0)</f>
        <v>100100.20962987389</v>
      </c>
      <c r="CG1016" s="52">
        <f t="shared" ca="1" si="1235"/>
        <v>210092.45466288016</v>
      </c>
      <c r="CH1016" s="52">
        <f t="shared" ca="1" si="1235"/>
        <v>436540.47504333133</v>
      </c>
      <c r="CI1016" s="52">
        <f t="shared" ca="1" si="1235"/>
        <v>126104.83129033286</v>
      </c>
      <c r="CJ1016" s="52">
        <f t="shared" ca="1" si="1235"/>
        <v>107182.67515663638</v>
      </c>
      <c r="CK1016" s="52">
        <f t="shared" ca="1" si="1235"/>
        <v>220196.39146406355</v>
      </c>
      <c r="CL1016" s="52">
        <f t="shared" ca="1" si="1235"/>
        <v>455707.31325459894</v>
      </c>
      <c r="CM1016" s="52">
        <f t="shared" ca="1" si="1235"/>
        <v>132848.75997874915</v>
      </c>
      <c r="CN1016" s="52">
        <f t="shared" ca="1" si="1235"/>
        <v>111649.00276883702</v>
      </c>
      <c r="CO1016" s="52">
        <f t="shared" ca="1" si="1235"/>
        <v>230626.84472333547</v>
      </c>
    </row>
    <row r="1017" spans="1:93">
      <c r="A1017" s="10"/>
      <c r="B1017" s="10"/>
      <c r="C1017" s="17"/>
      <c r="D1017" s="10"/>
      <c r="E1017" s="10"/>
      <c r="F1017" s="10"/>
      <c r="G1017" s="11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  <c r="BB1017" s="10"/>
      <c r="BC1017" s="10"/>
      <c r="BD1017" s="10"/>
      <c r="BE1017" s="10"/>
      <c r="BF1017" s="10"/>
      <c r="BG1017" s="10"/>
      <c r="BH1017" s="10"/>
      <c r="BI1017" s="10"/>
      <c r="BJ1017" s="10"/>
      <c r="BK1017" s="10"/>
      <c r="BL1017" s="10"/>
      <c r="BM1017" s="10"/>
      <c r="BN1017" s="10"/>
      <c r="BO1017" s="10"/>
      <c r="BP1017" s="10"/>
      <c r="BQ1017" s="10"/>
      <c r="BR1017" s="10"/>
      <c r="BS1017" s="10"/>
      <c r="BT1017" s="10"/>
      <c r="BU1017" s="10"/>
      <c r="BV1017" s="10"/>
      <c r="BW1017" s="10"/>
      <c r="BX1017" s="10"/>
      <c r="BY1017" s="10"/>
      <c r="BZ1017" s="10"/>
      <c r="CA1017" s="10"/>
      <c r="CB1017" s="10"/>
      <c r="CC1017" s="10"/>
      <c r="CD1017" s="10"/>
      <c r="CE1017" s="10"/>
      <c r="CF1017" s="10"/>
      <c r="CG1017" s="10"/>
      <c r="CH1017" s="10"/>
      <c r="CI1017" s="10"/>
      <c r="CJ1017" s="10"/>
      <c r="CK1017" s="10"/>
      <c r="CL1017" s="10"/>
      <c r="CM1017" s="10"/>
      <c r="CN1017" s="10"/>
      <c r="CO1017" s="10"/>
    </row>
    <row r="1018" spans="1:93">
      <c r="A1018" s="10"/>
      <c r="B1018" s="10"/>
      <c r="C1018" s="17" t="s">
        <v>407</v>
      </c>
      <c r="D1018" s="10"/>
      <c r="E1018" s="178">
        <f xml:space="preserve"> Предпосылки!E601</f>
        <v>0.5</v>
      </c>
      <c r="F1018" s="10"/>
      <c r="G1018" s="11" t="s">
        <v>28</v>
      </c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  <c r="BB1018" s="10"/>
      <c r="BC1018" s="10"/>
      <c r="BD1018" s="10"/>
      <c r="BE1018" s="10"/>
      <c r="BF1018" s="10"/>
      <c r="BG1018" s="10"/>
      <c r="BH1018" s="10"/>
      <c r="BI1018" s="10"/>
      <c r="BJ1018" s="10"/>
      <c r="BK1018" s="10"/>
      <c r="BL1018" s="10"/>
      <c r="BM1018" s="10"/>
      <c r="BN1018" s="10"/>
      <c r="BO1018" s="10"/>
      <c r="BP1018" s="10"/>
      <c r="BQ1018" s="10"/>
      <c r="BR1018" s="10"/>
      <c r="BS1018" s="10"/>
      <c r="BT1018" s="10"/>
      <c r="BU1018" s="10"/>
      <c r="BV1018" s="10"/>
      <c r="BW1018" s="10"/>
      <c r="BX1018" s="10"/>
      <c r="BY1018" s="10"/>
      <c r="BZ1018" s="10"/>
      <c r="CA1018" s="10"/>
      <c r="CB1018" s="10"/>
      <c r="CC1018" s="10"/>
      <c r="CD1018" s="10"/>
      <c r="CE1018" s="10"/>
      <c r="CF1018" s="10"/>
      <c r="CG1018" s="10"/>
      <c r="CH1018" s="10"/>
      <c r="CI1018" s="10"/>
      <c r="CJ1018" s="10"/>
      <c r="CK1018" s="10"/>
      <c r="CL1018" s="10"/>
      <c r="CM1018" s="10"/>
      <c r="CN1018" s="10"/>
      <c r="CO1018" s="10"/>
    </row>
    <row r="1019" spans="1:93" ht="26.25">
      <c r="A1019" s="10"/>
      <c r="B1019" s="10"/>
      <c r="C1019" s="40" t="s">
        <v>118</v>
      </c>
      <c r="D1019" s="10"/>
      <c r="E1019" s="379">
        <f xml:space="preserve"> Предпосылки!E602</f>
        <v>2039</v>
      </c>
      <c r="F1019" s="10"/>
      <c r="G1019" s="11" t="s">
        <v>45</v>
      </c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  <c r="BB1019" s="10"/>
      <c r="BC1019" s="10"/>
      <c r="BD1019" s="10"/>
      <c r="BE1019" s="10"/>
      <c r="BF1019" s="10"/>
      <c r="BG1019" s="10"/>
      <c r="BH1019" s="10"/>
      <c r="BI1019" s="10"/>
      <c r="BJ1019" s="10"/>
      <c r="BK1019" s="10"/>
      <c r="BL1019" s="10"/>
      <c r="BM1019" s="10"/>
      <c r="BN1019" s="10"/>
      <c r="BO1019" s="10"/>
      <c r="BP1019" s="10"/>
      <c r="BQ1019" s="10"/>
      <c r="BR1019" s="10"/>
      <c r="BS1019" s="10"/>
      <c r="BT1019" s="10"/>
      <c r="BU1019" s="10"/>
      <c r="BV1019" s="10"/>
      <c r="BW1019" s="10"/>
      <c r="BX1019" s="10"/>
      <c r="BY1019" s="10"/>
      <c r="BZ1019" s="10"/>
      <c r="CA1019" s="10"/>
      <c r="CB1019" s="10"/>
      <c r="CC1019" s="10"/>
      <c r="CD1019" s="10"/>
      <c r="CE1019" s="10"/>
      <c r="CF1019" s="10"/>
      <c r="CG1019" s="10"/>
      <c r="CH1019" s="10"/>
      <c r="CI1019" s="10"/>
      <c r="CJ1019" s="10"/>
      <c r="CK1019" s="10"/>
      <c r="CL1019" s="10"/>
      <c r="CM1019" s="10"/>
      <c r="CN1019" s="10"/>
      <c r="CO1019" s="10"/>
    </row>
    <row r="1020" spans="1:93">
      <c r="A1020" s="10"/>
      <c r="B1020" s="10"/>
      <c r="C1020" s="10"/>
      <c r="D1020" s="10"/>
      <c r="E1020" s="10"/>
      <c r="F1020" s="10"/>
      <c r="G1020" s="11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  <c r="BB1020" s="10"/>
      <c r="BC1020" s="10"/>
      <c r="BD1020" s="10"/>
      <c r="BE1020" s="10"/>
      <c r="BF1020" s="10"/>
      <c r="BG1020" s="10"/>
      <c r="BH1020" s="10"/>
      <c r="BI1020" s="10"/>
      <c r="BJ1020" s="10"/>
      <c r="BK1020" s="10"/>
      <c r="BL1020" s="10"/>
      <c r="BM1020" s="10"/>
      <c r="BN1020" s="10"/>
      <c r="BO1020" s="10"/>
      <c r="BP1020" s="10"/>
      <c r="BQ1020" s="10"/>
      <c r="BR1020" s="10"/>
      <c r="BS1020" s="10"/>
      <c r="BT1020" s="10"/>
      <c r="BU1020" s="10"/>
      <c r="BV1020" s="10"/>
      <c r="BW1020" s="10"/>
      <c r="BX1020" s="10"/>
      <c r="BY1020" s="10"/>
      <c r="BZ1020" s="10"/>
      <c r="CA1020" s="10"/>
      <c r="CB1020" s="10"/>
      <c r="CC1020" s="10"/>
      <c r="CD1020" s="10"/>
      <c r="CE1020" s="10"/>
      <c r="CF1020" s="10"/>
      <c r="CG1020" s="10"/>
      <c r="CH1020" s="10"/>
      <c r="CI1020" s="10"/>
      <c r="CJ1020" s="10"/>
      <c r="CK1020" s="10"/>
      <c r="CL1020" s="10"/>
      <c r="CM1020" s="10"/>
      <c r="CN1020" s="10"/>
      <c r="CO1020" s="10"/>
    </row>
    <row r="1021" spans="1:93" ht="22.5" customHeight="1">
      <c r="A1021" s="10"/>
      <c r="B1021" s="5" t="s">
        <v>111</v>
      </c>
      <c r="C1021" s="5"/>
      <c r="D1021" s="15"/>
      <c r="E1021" s="15"/>
      <c r="F1021" s="31"/>
      <c r="G1021" s="18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31"/>
      <c r="AX1021" s="31"/>
      <c r="AY1021" s="31"/>
      <c r="AZ1021" s="31"/>
      <c r="BA1021" s="31"/>
      <c r="BB1021" s="31"/>
      <c r="BC1021" s="31"/>
      <c r="BD1021" s="31"/>
      <c r="BE1021" s="31"/>
      <c r="BF1021" s="31"/>
      <c r="BG1021" s="31"/>
      <c r="BH1021" s="31"/>
      <c r="BI1021" s="31"/>
      <c r="BJ1021" s="31"/>
      <c r="BK1021" s="31"/>
      <c r="BL1021" s="31"/>
      <c r="BM1021" s="31"/>
      <c r="BN1021" s="31"/>
      <c r="BO1021" s="31"/>
      <c r="BP1021" s="31"/>
      <c r="BQ1021" s="31"/>
      <c r="BR1021" s="31"/>
      <c r="BS1021" s="31"/>
      <c r="BT1021" s="31"/>
      <c r="BU1021" s="31"/>
      <c r="BV1021" s="31"/>
      <c r="BW1021" s="31"/>
      <c r="BX1021" s="31"/>
      <c r="BY1021" s="31"/>
      <c r="BZ1021" s="31"/>
      <c r="CA1021" s="31"/>
      <c r="CB1021" s="31"/>
      <c r="CC1021" s="31"/>
      <c r="CD1021" s="31"/>
      <c r="CE1021" s="31"/>
      <c r="CF1021" s="31"/>
      <c r="CG1021" s="31"/>
      <c r="CH1021" s="31"/>
      <c r="CI1021" s="31"/>
      <c r="CJ1021" s="31"/>
      <c r="CK1021" s="31"/>
      <c r="CL1021" s="31"/>
      <c r="CM1021" s="31"/>
      <c r="CN1021" s="31"/>
      <c r="CO1021" s="31"/>
    </row>
    <row r="1022" spans="1:93">
      <c r="A1022" s="10"/>
      <c r="B1022" s="10"/>
      <c r="C1022" s="17"/>
      <c r="D1022" s="10"/>
      <c r="E1022" s="10"/>
      <c r="F1022" s="10"/>
      <c r="G1022" s="11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  <c r="BB1022" s="10"/>
      <c r="BC1022" s="10"/>
      <c r="BD1022" s="10"/>
      <c r="BE1022" s="10"/>
      <c r="BF1022" s="10"/>
      <c r="BG1022" s="10"/>
      <c r="BH1022" s="10"/>
      <c r="BI1022" s="10"/>
      <c r="BJ1022" s="10"/>
      <c r="BK1022" s="10"/>
      <c r="BL1022" s="10"/>
      <c r="BM1022" s="10"/>
      <c r="BN1022" s="10"/>
      <c r="BO1022" s="10"/>
      <c r="BP1022" s="10"/>
      <c r="BQ1022" s="10"/>
      <c r="BR1022" s="10"/>
      <c r="BS1022" s="10"/>
      <c r="BT1022" s="10"/>
      <c r="BU1022" s="10"/>
      <c r="BV1022" s="10"/>
      <c r="BW1022" s="10"/>
      <c r="BX1022" s="10"/>
      <c r="BY1022" s="10"/>
      <c r="BZ1022" s="10"/>
      <c r="CA1022" s="10"/>
      <c r="CB1022" s="10"/>
      <c r="CC1022" s="10"/>
      <c r="CD1022" s="10"/>
      <c r="CE1022" s="10"/>
      <c r="CF1022" s="10"/>
      <c r="CG1022" s="10"/>
      <c r="CH1022" s="10"/>
      <c r="CI1022" s="10"/>
      <c r="CJ1022" s="10"/>
      <c r="CK1022" s="10"/>
      <c r="CL1022" s="10"/>
      <c r="CM1022" s="10"/>
      <c r="CN1022" s="10"/>
      <c r="CO1022" s="10"/>
    </row>
    <row r="1023" spans="1:93">
      <c r="A1023" s="10"/>
      <c r="B1023" s="10"/>
      <c r="C1023" s="17" t="s">
        <v>125</v>
      </c>
      <c r="D1023" s="10"/>
      <c r="E1023" s="62"/>
      <c r="F1023" s="11"/>
      <c r="G1023" s="134" t="str">
        <f>Monetary_Unit</f>
        <v>тыс. руб.</v>
      </c>
      <c r="H1023" s="11"/>
      <c r="I1023" s="10"/>
      <c r="J1023" s="10"/>
      <c r="K1023" s="10"/>
      <c r="L1023" s="52">
        <f t="shared" ref="L1023:AQ1023" si="1236">L499</f>
        <v>0</v>
      </c>
      <c r="M1023" s="52">
        <f t="shared" ca="1" si="1236"/>
        <v>0</v>
      </c>
      <c r="N1023" s="52">
        <f t="shared" ca="1" si="1236"/>
        <v>0</v>
      </c>
      <c r="O1023" s="52">
        <f t="shared" ca="1" si="1236"/>
        <v>0</v>
      </c>
      <c r="P1023" s="52">
        <f t="shared" ca="1" si="1236"/>
        <v>0</v>
      </c>
      <c r="Q1023" s="52">
        <f t="shared" ca="1" si="1236"/>
        <v>0</v>
      </c>
      <c r="R1023" s="52">
        <f t="shared" ca="1" si="1236"/>
        <v>0</v>
      </c>
      <c r="S1023" s="52">
        <f t="shared" ca="1" si="1236"/>
        <v>0</v>
      </c>
      <c r="T1023" s="52">
        <f t="shared" ca="1" si="1236"/>
        <v>0</v>
      </c>
      <c r="U1023" s="52">
        <f t="shared" ca="1" si="1236"/>
        <v>0</v>
      </c>
      <c r="V1023" s="52">
        <f t="shared" ca="1" si="1236"/>
        <v>0</v>
      </c>
      <c r="W1023" s="52">
        <f t="shared" ca="1" si="1236"/>
        <v>0</v>
      </c>
      <c r="X1023" s="52">
        <f t="shared" ca="1" si="1236"/>
        <v>0</v>
      </c>
      <c r="Y1023" s="52">
        <f t="shared" ca="1" si="1236"/>
        <v>0</v>
      </c>
      <c r="Z1023" s="52">
        <f t="shared" ca="1" si="1236"/>
        <v>0</v>
      </c>
      <c r="AA1023" s="52">
        <f t="shared" ca="1" si="1236"/>
        <v>0</v>
      </c>
      <c r="AB1023" s="52">
        <f t="shared" ca="1" si="1236"/>
        <v>0</v>
      </c>
      <c r="AC1023" s="52">
        <f t="shared" ca="1" si="1236"/>
        <v>2782665.4793462679</v>
      </c>
      <c r="AD1023" s="52">
        <f t="shared" ca="1" si="1236"/>
        <v>2759476.6003517155</v>
      </c>
      <c r="AE1023" s="52">
        <f t="shared" ca="1" si="1236"/>
        <v>2736287.721357163</v>
      </c>
      <c r="AF1023" s="52">
        <f t="shared" ca="1" si="1236"/>
        <v>2713098.8423626106</v>
      </c>
      <c r="AG1023" s="52">
        <f t="shared" ca="1" si="1236"/>
        <v>2689909.9633680582</v>
      </c>
      <c r="AH1023" s="52">
        <f t="shared" ca="1" si="1236"/>
        <v>2666721.0843735058</v>
      </c>
      <c r="AI1023" s="52">
        <f t="shared" ca="1" si="1236"/>
        <v>2643532.2053789534</v>
      </c>
      <c r="AJ1023" s="52">
        <f t="shared" ca="1" si="1236"/>
        <v>2620343.3263844009</v>
      </c>
      <c r="AK1023" s="52">
        <f t="shared" ca="1" si="1236"/>
        <v>2597154.4473898485</v>
      </c>
      <c r="AL1023" s="52">
        <f t="shared" ca="1" si="1236"/>
        <v>2573965.5683952961</v>
      </c>
      <c r="AM1023" s="52">
        <f t="shared" ca="1" si="1236"/>
        <v>2550776.6894007437</v>
      </c>
      <c r="AN1023" s="52">
        <f t="shared" ca="1" si="1236"/>
        <v>2527587.8104061913</v>
      </c>
      <c r="AO1023" s="52">
        <f t="shared" ca="1" si="1236"/>
        <v>2504398.9314116389</v>
      </c>
      <c r="AP1023" s="52">
        <f t="shared" ca="1" si="1236"/>
        <v>2481210.0524170864</v>
      </c>
      <c r="AQ1023" s="52">
        <f t="shared" ca="1" si="1236"/>
        <v>2458021.173422534</v>
      </c>
      <c r="AR1023" s="52">
        <f t="shared" ref="AR1023:BW1023" ca="1" si="1237">AR499</f>
        <v>2434832.2944279816</v>
      </c>
      <c r="AS1023" s="52">
        <f t="shared" ca="1" si="1237"/>
        <v>2411643.4154334292</v>
      </c>
      <c r="AT1023" s="52">
        <f t="shared" ca="1" si="1237"/>
        <v>2388454.5364388768</v>
      </c>
      <c r="AU1023" s="52">
        <f t="shared" ca="1" si="1237"/>
        <v>2365265.6574443243</v>
      </c>
      <c r="AV1023" s="52">
        <f t="shared" ca="1" si="1237"/>
        <v>2342076.7784497719</v>
      </c>
      <c r="AW1023" s="52">
        <f t="shared" ca="1" si="1237"/>
        <v>2318887.8994552195</v>
      </c>
      <c r="AX1023" s="52">
        <f t="shared" ca="1" si="1237"/>
        <v>2295699.0204606671</v>
      </c>
      <c r="AY1023" s="52">
        <f t="shared" ca="1" si="1237"/>
        <v>2272510.1414661147</v>
      </c>
      <c r="AZ1023" s="52">
        <f t="shared" ca="1" si="1237"/>
        <v>2249321.2624715623</v>
      </c>
      <c r="BA1023" s="52">
        <f t="shared" ca="1" si="1237"/>
        <v>2226132.3834770098</v>
      </c>
      <c r="BB1023" s="52">
        <f t="shared" ca="1" si="1237"/>
        <v>2202943.5044824574</v>
      </c>
      <c r="BC1023" s="52">
        <f t="shared" ca="1" si="1237"/>
        <v>2179754.625487905</v>
      </c>
      <c r="BD1023" s="52">
        <f t="shared" ca="1" si="1237"/>
        <v>2156565.7464933526</v>
      </c>
      <c r="BE1023" s="52">
        <f t="shared" ca="1" si="1237"/>
        <v>2133376.8674988002</v>
      </c>
      <c r="BF1023" s="52">
        <f t="shared" ca="1" si="1237"/>
        <v>2110187.9885042477</v>
      </c>
      <c r="BG1023" s="52">
        <f t="shared" ca="1" si="1237"/>
        <v>2086999.1095096956</v>
      </c>
      <c r="BH1023" s="52">
        <f t="shared" ca="1" si="1237"/>
        <v>2063810.2305151434</v>
      </c>
      <c r="BI1023" s="52">
        <f t="shared" ca="1" si="1237"/>
        <v>2040621.3515205912</v>
      </c>
      <c r="BJ1023" s="52">
        <f t="shared" ca="1" si="1237"/>
        <v>2017432.472526039</v>
      </c>
      <c r="BK1023" s="52">
        <f t="shared" ca="1" si="1237"/>
        <v>1994243.5935314868</v>
      </c>
      <c r="BL1023" s="52">
        <f t="shared" ca="1" si="1237"/>
        <v>1971054.7145369346</v>
      </c>
      <c r="BM1023" s="52">
        <f t="shared" ca="1" si="1237"/>
        <v>1947865.8355423824</v>
      </c>
      <c r="BN1023" s="52">
        <f t="shared" ca="1" si="1237"/>
        <v>1924676.9565478303</v>
      </c>
      <c r="BO1023" s="52">
        <f t="shared" ca="1" si="1237"/>
        <v>1901488.0775532781</v>
      </c>
      <c r="BP1023" s="52">
        <f t="shared" ca="1" si="1237"/>
        <v>1878299.1985587259</v>
      </c>
      <c r="BQ1023" s="52">
        <f t="shared" ca="1" si="1237"/>
        <v>1855110.3195641737</v>
      </c>
      <c r="BR1023" s="52">
        <f t="shared" ca="1" si="1237"/>
        <v>1831921.4405696215</v>
      </c>
      <c r="BS1023" s="52">
        <f t="shared" ca="1" si="1237"/>
        <v>1808732.5615750693</v>
      </c>
      <c r="BT1023" s="52">
        <f t="shared" ca="1" si="1237"/>
        <v>1785543.6825805171</v>
      </c>
      <c r="BU1023" s="52">
        <f t="shared" ca="1" si="1237"/>
        <v>1762354.803585965</v>
      </c>
      <c r="BV1023" s="52">
        <f t="shared" ca="1" si="1237"/>
        <v>1739165.9245914128</v>
      </c>
      <c r="BW1023" s="52">
        <f t="shared" ca="1" si="1237"/>
        <v>1715977.0455968606</v>
      </c>
      <c r="BX1023" s="52">
        <f t="shared" ref="BX1023:CO1023" ca="1" si="1238">BX499</f>
        <v>1692788.1666023084</v>
      </c>
      <c r="BY1023" s="52">
        <f t="shared" ca="1" si="1238"/>
        <v>1669599.2876077562</v>
      </c>
      <c r="BZ1023" s="52">
        <f t="shared" ca="1" si="1238"/>
        <v>1646410.408613204</v>
      </c>
      <c r="CA1023" s="52">
        <f t="shared" ca="1" si="1238"/>
        <v>1623221.5296186518</v>
      </c>
      <c r="CB1023" s="52">
        <f t="shared" ca="1" si="1238"/>
        <v>1600032.6506240997</v>
      </c>
      <c r="CC1023" s="52">
        <f t="shared" ca="1" si="1238"/>
        <v>1576843.7716295475</v>
      </c>
      <c r="CD1023" s="52">
        <f t="shared" ca="1" si="1238"/>
        <v>1553654.8926349953</v>
      </c>
      <c r="CE1023" s="52">
        <f t="shared" ca="1" si="1238"/>
        <v>1530466.0136404431</v>
      </c>
      <c r="CF1023" s="52">
        <f t="shared" ca="1" si="1238"/>
        <v>1507277.1346458909</v>
      </c>
      <c r="CG1023" s="52">
        <f t="shared" ca="1" si="1238"/>
        <v>1484088.2556513387</v>
      </c>
      <c r="CH1023" s="52">
        <f t="shared" ca="1" si="1238"/>
        <v>1460899.3766567865</v>
      </c>
      <c r="CI1023" s="52">
        <f t="shared" ca="1" si="1238"/>
        <v>1437710.4976622344</v>
      </c>
      <c r="CJ1023" s="52">
        <f t="shared" ca="1" si="1238"/>
        <v>1414521.6186676822</v>
      </c>
      <c r="CK1023" s="52">
        <f t="shared" ca="1" si="1238"/>
        <v>1391332.73967313</v>
      </c>
      <c r="CL1023" s="52">
        <f t="shared" ca="1" si="1238"/>
        <v>1368143.8606785778</v>
      </c>
      <c r="CM1023" s="52">
        <f t="shared" ca="1" si="1238"/>
        <v>1344954.9816840256</v>
      </c>
      <c r="CN1023" s="52">
        <f t="shared" ca="1" si="1238"/>
        <v>1321766.1026894734</v>
      </c>
      <c r="CO1023" s="52">
        <f t="shared" ca="1" si="1238"/>
        <v>1298577.2236949212</v>
      </c>
    </row>
    <row r="1024" spans="1:93">
      <c r="A1024" s="10"/>
      <c r="B1024" s="10"/>
      <c r="C1024" s="17" t="s">
        <v>128</v>
      </c>
      <c r="D1024" s="10"/>
      <c r="E1024" s="62"/>
      <c r="F1024" s="11"/>
      <c r="G1024" s="134" t="str">
        <f>Monetary_Unit</f>
        <v>тыс. руб.</v>
      </c>
      <c r="H1024" s="11"/>
      <c r="I1024" s="10"/>
      <c r="J1024" s="10"/>
      <c r="K1024" s="10"/>
      <c r="L1024" s="52">
        <f t="shared" ref="L1024:AQ1024" ca="1" si="1239">L502</f>
        <v>0</v>
      </c>
      <c r="M1024" s="52">
        <f t="shared" ca="1" si="1239"/>
        <v>0</v>
      </c>
      <c r="N1024" s="52">
        <f t="shared" ca="1" si="1239"/>
        <v>0</v>
      </c>
      <c r="O1024" s="52">
        <f t="shared" ca="1" si="1239"/>
        <v>0</v>
      </c>
      <c r="P1024" s="52">
        <f t="shared" ca="1" si="1239"/>
        <v>0</v>
      </c>
      <c r="Q1024" s="52">
        <f t="shared" ca="1" si="1239"/>
        <v>0</v>
      </c>
      <c r="R1024" s="52">
        <f t="shared" ca="1" si="1239"/>
        <v>0</v>
      </c>
      <c r="S1024" s="52">
        <f t="shared" ca="1" si="1239"/>
        <v>0</v>
      </c>
      <c r="T1024" s="52">
        <f t="shared" ca="1" si="1239"/>
        <v>0</v>
      </c>
      <c r="U1024" s="52">
        <f t="shared" ca="1" si="1239"/>
        <v>0</v>
      </c>
      <c r="V1024" s="52">
        <f t="shared" ca="1" si="1239"/>
        <v>0</v>
      </c>
      <c r="W1024" s="52">
        <f t="shared" ca="1" si="1239"/>
        <v>0</v>
      </c>
      <c r="X1024" s="52">
        <f t="shared" ca="1" si="1239"/>
        <v>0</v>
      </c>
      <c r="Y1024" s="52">
        <f t="shared" ca="1" si="1239"/>
        <v>0</v>
      </c>
      <c r="Z1024" s="52">
        <f t="shared" ca="1" si="1239"/>
        <v>0</v>
      </c>
      <c r="AA1024" s="52">
        <f t="shared" ca="1" si="1239"/>
        <v>0</v>
      </c>
      <c r="AB1024" s="52">
        <f t="shared" ca="1" si="1239"/>
        <v>2782665.4793462679</v>
      </c>
      <c r="AC1024" s="52">
        <f t="shared" ca="1" si="1239"/>
        <v>2759476.6003517155</v>
      </c>
      <c r="AD1024" s="52">
        <f t="shared" ca="1" si="1239"/>
        <v>2736287.721357163</v>
      </c>
      <c r="AE1024" s="52">
        <f t="shared" ca="1" si="1239"/>
        <v>2713098.8423626106</v>
      </c>
      <c r="AF1024" s="52">
        <f t="shared" ca="1" si="1239"/>
        <v>2689909.9633680582</v>
      </c>
      <c r="AG1024" s="52">
        <f t="shared" ca="1" si="1239"/>
        <v>2666721.0843735058</v>
      </c>
      <c r="AH1024" s="52">
        <f t="shared" ca="1" si="1239"/>
        <v>2643532.2053789534</v>
      </c>
      <c r="AI1024" s="52">
        <f t="shared" ca="1" si="1239"/>
        <v>2620343.3263844009</v>
      </c>
      <c r="AJ1024" s="52">
        <f t="shared" ca="1" si="1239"/>
        <v>2597154.4473898485</v>
      </c>
      <c r="AK1024" s="52">
        <f t="shared" ca="1" si="1239"/>
        <v>2573965.5683952961</v>
      </c>
      <c r="AL1024" s="52">
        <f t="shared" ca="1" si="1239"/>
        <v>2550776.6894007437</v>
      </c>
      <c r="AM1024" s="52">
        <f t="shared" ca="1" si="1239"/>
        <v>2527587.8104061913</v>
      </c>
      <c r="AN1024" s="52">
        <f t="shared" ca="1" si="1239"/>
        <v>2504398.9314116389</v>
      </c>
      <c r="AO1024" s="52">
        <f t="shared" ca="1" si="1239"/>
        <v>2481210.0524170864</v>
      </c>
      <c r="AP1024" s="52">
        <f t="shared" ca="1" si="1239"/>
        <v>2458021.173422534</v>
      </c>
      <c r="AQ1024" s="52">
        <f t="shared" ca="1" si="1239"/>
        <v>2434832.2944279816</v>
      </c>
      <c r="AR1024" s="52">
        <f t="shared" ref="AR1024:BW1024" ca="1" si="1240">AR502</f>
        <v>2411643.4154334292</v>
      </c>
      <c r="AS1024" s="52">
        <f t="shared" ca="1" si="1240"/>
        <v>2388454.5364388768</v>
      </c>
      <c r="AT1024" s="52">
        <f t="shared" ca="1" si="1240"/>
        <v>2365265.6574443243</v>
      </c>
      <c r="AU1024" s="52">
        <f t="shared" ca="1" si="1240"/>
        <v>2342076.7784497719</v>
      </c>
      <c r="AV1024" s="52">
        <f t="shared" ca="1" si="1240"/>
        <v>2318887.8994552195</v>
      </c>
      <c r="AW1024" s="52">
        <f t="shared" ca="1" si="1240"/>
        <v>2295699.0204606671</v>
      </c>
      <c r="AX1024" s="52">
        <f t="shared" ca="1" si="1240"/>
        <v>2272510.1414661147</v>
      </c>
      <c r="AY1024" s="52">
        <f t="shared" ca="1" si="1240"/>
        <v>2249321.2624715623</v>
      </c>
      <c r="AZ1024" s="52">
        <f t="shared" ca="1" si="1240"/>
        <v>2226132.3834770098</v>
      </c>
      <c r="BA1024" s="52">
        <f t="shared" ca="1" si="1240"/>
        <v>2202943.5044824574</v>
      </c>
      <c r="BB1024" s="52">
        <f t="shared" ca="1" si="1240"/>
        <v>2179754.625487905</v>
      </c>
      <c r="BC1024" s="52">
        <f t="shared" ca="1" si="1240"/>
        <v>2156565.7464933526</v>
      </c>
      <c r="BD1024" s="52">
        <f t="shared" ca="1" si="1240"/>
        <v>2133376.8674988002</v>
      </c>
      <c r="BE1024" s="52">
        <f t="shared" ca="1" si="1240"/>
        <v>2110187.9885042477</v>
      </c>
      <c r="BF1024" s="52">
        <f t="shared" ca="1" si="1240"/>
        <v>2086999.1095096956</v>
      </c>
      <c r="BG1024" s="52">
        <f t="shared" ca="1" si="1240"/>
        <v>2063810.2305151434</v>
      </c>
      <c r="BH1024" s="52">
        <f t="shared" ca="1" si="1240"/>
        <v>2040621.3515205912</v>
      </c>
      <c r="BI1024" s="52">
        <f t="shared" ca="1" si="1240"/>
        <v>2017432.472526039</v>
      </c>
      <c r="BJ1024" s="52">
        <f t="shared" ca="1" si="1240"/>
        <v>1994243.5935314868</v>
      </c>
      <c r="BK1024" s="52">
        <f t="shared" ca="1" si="1240"/>
        <v>1971054.7145369346</v>
      </c>
      <c r="BL1024" s="52">
        <f t="shared" ca="1" si="1240"/>
        <v>1947865.8355423824</v>
      </c>
      <c r="BM1024" s="52">
        <f t="shared" ca="1" si="1240"/>
        <v>1924676.9565478303</v>
      </c>
      <c r="BN1024" s="52">
        <f t="shared" ca="1" si="1240"/>
        <v>1901488.0775532781</v>
      </c>
      <c r="BO1024" s="52">
        <f t="shared" ca="1" si="1240"/>
        <v>1878299.1985587259</v>
      </c>
      <c r="BP1024" s="52">
        <f t="shared" ca="1" si="1240"/>
        <v>1855110.3195641737</v>
      </c>
      <c r="BQ1024" s="52">
        <f t="shared" ca="1" si="1240"/>
        <v>1831921.4405696215</v>
      </c>
      <c r="BR1024" s="52">
        <f t="shared" ca="1" si="1240"/>
        <v>1808732.5615750693</v>
      </c>
      <c r="BS1024" s="52">
        <f t="shared" ca="1" si="1240"/>
        <v>1785543.6825805171</v>
      </c>
      <c r="BT1024" s="52">
        <f t="shared" ca="1" si="1240"/>
        <v>1762354.803585965</v>
      </c>
      <c r="BU1024" s="52">
        <f t="shared" ca="1" si="1240"/>
        <v>1739165.9245914128</v>
      </c>
      <c r="BV1024" s="52">
        <f t="shared" ca="1" si="1240"/>
        <v>1715977.0455968606</v>
      </c>
      <c r="BW1024" s="52">
        <f t="shared" ca="1" si="1240"/>
        <v>1692788.1666023084</v>
      </c>
      <c r="BX1024" s="52">
        <f t="shared" ref="BX1024:CO1024" ca="1" si="1241">BX502</f>
        <v>1669599.2876077562</v>
      </c>
      <c r="BY1024" s="52">
        <f t="shared" ca="1" si="1241"/>
        <v>1646410.408613204</v>
      </c>
      <c r="BZ1024" s="52">
        <f t="shared" ca="1" si="1241"/>
        <v>1623221.5296186518</v>
      </c>
      <c r="CA1024" s="52">
        <f t="shared" ca="1" si="1241"/>
        <v>1600032.6506240997</v>
      </c>
      <c r="CB1024" s="52">
        <f t="shared" ca="1" si="1241"/>
        <v>1576843.7716295475</v>
      </c>
      <c r="CC1024" s="52">
        <f t="shared" ca="1" si="1241"/>
        <v>1553654.8926349953</v>
      </c>
      <c r="CD1024" s="52">
        <f t="shared" ca="1" si="1241"/>
        <v>1530466.0136404431</v>
      </c>
      <c r="CE1024" s="52">
        <f t="shared" ca="1" si="1241"/>
        <v>1507277.1346458909</v>
      </c>
      <c r="CF1024" s="52">
        <f t="shared" ca="1" si="1241"/>
        <v>1484088.2556513387</v>
      </c>
      <c r="CG1024" s="52">
        <f t="shared" ca="1" si="1241"/>
        <v>1460899.3766567865</v>
      </c>
      <c r="CH1024" s="52">
        <f t="shared" ca="1" si="1241"/>
        <v>1437710.4976622344</v>
      </c>
      <c r="CI1024" s="52">
        <f t="shared" ca="1" si="1241"/>
        <v>1414521.6186676822</v>
      </c>
      <c r="CJ1024" s="52">
        <f t="shared" ca="1" si="1241"/>
        <v>1391332.73967313</v>
      </c>
      <c r="CK1024" s="52">
        <f t="shared" ca="1" si="1241"/>
        <v>1368143.8606785778</v>
      </c>
      <c r="CL1024" s="52">
        <f t="shared" ca="1" si="1241"/>
        <v>1344954.9816840256</v>
      </c>
      <c r="CM1024" s="52">
        <f t="shared" ca="1" si="1241"/>
        <v>1321766.1026894734</v>
      </c>
      <c r="CN1024" s="52">
        <f t="shared" ca="1" si="1241"/>
        <v>1298577.2236949212</v>
      </c>
      <c r="CO1024" s="52">
        <f t="shared" ca="1" si="1241"/>
        <v>1275388.3447003691</v>
      </c>
    </row>
    <row r="1025" spans="1:93">
      <c r="A1025" s="10"/>
      <c r="B1025" s="10"/>
      <c r="C1025" s="17"/>
      <c r="D1025" s="10"/>
      <c r="E1025" s="62"/>
      <c r="F1025" s="10"/>
      <c r="G1025" s="11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0"/>
      <c r="AH1025" s="10"/>
      <c r="AI1025" s="10"/>
      <c r="AJ1025" s="10"/>
      <c r="AK1025" s="10"/>
      <c r="AL1025" s="10"/>
      <c r="AM1025" s="10"/>
      <c r="AN1025" s="10"/>
      <c r="AO1025" s="10"/>
      <c r="AP1025" s="10"/>
      <c r="AQ1025" s="10"/>
      <c r="AR1025" s="10"/>
      <c r="AS1025" s="10"/>
      <c r="AT1025" s="10"/>
      <c r="AU1025" s="10"/>
      <c r="AV1025" s="10"/>
      <c r="AW1025" s="10"/>
      <c r="AX1025" s="10"/>
      <c r="AY1025" s="10"/>
      <c r="AZ1025" s="10"/>
      <c r="BA1025" s="10"/>
      <c r="BB1025" s="10"/>
      <c r="BC1025" s="10"/>
      <c r="BD1025" s="10"/>
      <c r="BE1025" s="10"/>
      <c r="BF1025" s="10"/>
      <c r="BG1025" s="10"/>
      <c r="BH1025" s="10"/>
      <c r="BI1025" s="10"/>
      <c r="BJ1025" s="10"/>
      <c r="BK1025" s="10"/>
      <c r="BL1025" s="10"/>
      <c r="BM1025" s="10"/>
      <c r="BN1025" s="10"/>
      <c r="BO1025" s="10"/>
      <c r="BP1025" s="10"/>
      <c r="BQ1025" s="10"/>
      <c r="BR1025" s="10"/>
      <c r="BS1025" s="10"/>
      <c r="BT1025" s="10"/>
      <c r="BU1025" s="10"/>
      <c r="BV1025" s="10"/>
      <c r="BW1025" s="10"/>
      <c r="BX1025" s="10"/>
      <c r="BY1025" s="10"/>
      <c r="BZ1025" s="10"/>
      <c r="CA1025" s="10"/>
      <c r="CB1025" s="10"/>
      <c r="CC1025" s="10"/>
      <c r="CD1025" s="10"/>
      <c r="CE1025" s="10"/>
      <c r="CF1025" s="10"/>
      <c r="CG1025" s="10"/>
      <c r="CH1025" s="10"/>
      <c r="CI1025" s="10"/>
      <c r="CJ1025" s="10"/>
      <c r="CK1025" s="10"/>
      <c r="CL1025" s="10"/>
      <c r="CM1025" s="10"/>
      <c r="CN1025" s="10"/>
      <c r="CO1025" s="10"/>
    </row>
    <row r="1026" spans="1:93">
      <c r="A1026" s="10"/>
      <c r="B1026" s="10"/>
      <c r="C1026" s="17" t="s">
        <v>156</v>
      </c>
      <c r="D1026" s="10"/>
      <c r="E1026" s="62"/>
      <c r="F1026" s="11"/>
      <c r="G1026" s="134" t="str">
        <f>Monetary_Unit</f>
        <v>тыс. руб.</v>
      </c>
      <c r="H1026" s="11"/>
      <c r="I1026" s="10"/>
      <c r="J1026" s="10"/>
      <c r="K1026" s="10"/>
      <c r="L1026" s="10">
        <f t="shared" ref="L1026:R1026" ca="1" si="1242">AVERAGE(L1023:L1024)*Flag_Operations</f>
        <v>0</v>
      </c>
      <c r="M1026" s="10">
        <f t="shared" ca="1" si="1242"/>
        <v>0</v>
      </c>
      <c r="N1026" s="10">
        <f t="shared" ca="1" si="1242"/>
        <v>0</v>
      </c>
      <c r="O1026" s="10">
        <f t="shared" ca="1" si="1242"/>
        <v>0</v>
      </c>
      <c r="P1026" s="10">
        <f t="shared" ca="1" si="1242"/>
        <v>0</v>
      </c>
      <c r="Q1026" s="10">
        <f t="shared" ca="1" si="1242"/>
        <v>0</v>
      </c>
      <c r="R1026" s="10">
        <f t="shared" ca="1" si="1242"/>
        <v>0</v>
      </c>
      <c r="S1026" s="10">
        <f ca="1">AVERAGE(S1023:S1024)*Flag_Operations</f>
        <v>0</v>
      </c>
      <c r="T1026" s="10">
        <f t="shared" ref="T1026:CE1026" ca="1" si="1243">AVERAGE(T1023:T1024)*Flag_Operations</f>
        <v>0</v>
      </c>
      <c r="U1026" s="10">
        <f t="shared" ca="1" si="1243"/>
        <v>0</v>
      </c>
      <c r="V1026" s="10">
        <f t="shared" ca="1" si="1243"/>
        <v>0</v>
      </c>
      <c r="W1026" s="10">
        <f t="shared" ca="1" si="1243"/>
        <v>0</v>
      </c>
      <c r="X1026" s="10">
        <f t="shared" ca="1" si="1243"/>
        <v>0</v>
      </c>
      <c r="Y1026" s="10">
        <f t="shared" ca="1" si="1243"/>
        <v>0</v>
      </c>
      <c r="Z1026" s="10">
        <f t="shared" ca="1" si="1243"/>
        <v>0</v>
      </c>
      <c r="AA1026" s="10">
        <f t="shared" ca="1" si="1243"/>
        <v>0</v>
      </c>
      <c r="AB1026" s="10">
        <f t="shared" ca="1" si="1243"/>
        <v>0</v>
      </c>
      <c r="AC1026" s="10">
        <f t="shared" ca="1" si="1243"/>
        <v>2771071.0398489917</v>
      </c>
      <c r="AD1026" s="10">
        <f t="shared" ca="1" si="1243"/>
        <v>2747882.1608544393</v>
      </c>
      <c r="AE1026" s="10">
        <f t="shared" ca="1" si="1243"/>
        <v>2724693.2818598868</v>
      </c>
      <c r="AF1026" s="10">
        <f t="shared" ca="1" si="1243"/>
        <v>2701504.4028653344</v>
      </c>
      <c r="AG1026" s="10">
        <f t="shared" ca="1" si="1243"/>
        <v>2678315.523870782</v>
      </c>
      <c r="AH1026" s="10">
        <f t="shared" ca="1" si="1243"/>
        <v>2655126.6448762296</v>
      </c>
      <c r="AI1026" s="10">
        <f t="shared" ca="1" si="1243"/>
        <v>2631937.7658816772</v>
      </c>
      <c r="AJ1026" s="10">
        <f t="shared" ca="1" si="1243"/>
        <v>2608748.8868871247</v>
      </c>
      <c r="AK1026" s="10">
        <f t="shared" ca="1" si="1243"/>
        <v>2585560.0078925723</v>
      </c>
      <c r="AL1026" s="10">
        <f t="shared" ca="1" si="1243"/>
        <v>2562371.1288980199</v>
      </c>
      <c r="AM1026" s="10">
        <f t="shared" ca="1" si="1243"/>
        <v>2539182.2499034675</v>
      </c>
      <c r="AN1026" s="10">
        <f t="shared" ca="1" si="1243"/>
        <v>2515993.3709089151</v>
      </c>
      <c r="AO1026" s="10">
        <f t="shared" ca="1" si="1243"/>
        <v>2492804.4919143626</v>
      </c>
      <c r="AP1026" s="10">
        <f t="shared" ca="1" si="1243"/>
        <v>2469615.6129198102</v>
      </c>
      <c r="AQ1026" s="10">
        <f t="shared" ca="1" si="1243"/>
        <v>2446426.7339252578</v>
      </c>
      <c r="AR1026" s="10">
        <f t="shared" ca="1" si="1243"/>
        <v>2423237.8549307054</v>
      </c>
      <c r="AS1026" s="10">
        <f t="shared" ca="1" si="1243"/>
        <v>2400048.975936153</v>
      </c>
      <c r="AT1026" s="10">
        <f t="shared" ca="1" si="1243"/>
        <v>2376860.0969416006</v>
      </c>
      <c r="AU1026" s="10">
        <f t="shared" ca="1" si="1243"/>
        <v>2353671.2179470481</v>
      </c>
      <c r="AV1026" s="10">
        <f t="shared" ca="1" si="1243"/>
        <v>2330482.3389524957</v>
      </c>
      <c r="AW1026" s="10">
        <f t="shared" ca="1" si="1243"/>
        <v>2307293.4599579433</v>
      </c>
      <c r="AX1026" s="10">
        <f t="shared" ca="1" si="1243"/>
        <v>2284104.5809633909</v>
      </c>
      <c r="AY1026" s="10">
        <f t="shared" ca="1" si="1243"/>
        <v>2260915.7019688385</v>
      </c>
      <c r="AZ1026" s="10">
        <f t="shared" ca="1" si="1243"/>
        <v>2237726.822974286</v>
      </c>
      <c r="BA1026" s="10">
        <f t="shared" ca="1" si="1243"/>
        <v>2214537.9439797336</v>
      </c>
      <c r="BB1026" s="10">
        <f t="shared" ca="1" si="1243"/>
        <v>2191349.0649851812</v>
      </c>
      <c r="BC1026" s="10">
        <f t="shared" ca="1" si="1243"/>
        <v>2168160.1859906288</v>
      </c>
      <c r="BD1026" s="10">
        <f t="shared" ca="1" si="1243"/>
        <v>2144971.3069960764</v>
      </c>
      <c r="BE1026" s="10">
        <f t="shared" ca="1" si="1243"/>
        <v>2121782.4280015239</v>
      </c>
      <c r="BF1026" s="10">
        <f t="shared" ca="1" si="1243"/>
        <v>2098593.5490069715</v>
      </c>
      <c r="BG1026" s="10">
        <f t="shared" ca="1" si="1243"/>
        <v>2075404.6700124196</v>
      </c>
      <c r="BH1026" s="10">
        <f t="shared" ca="1" si="1243"/>
        <v>2052215.7910178672</v>
      </c>
      <c r="BI1026" s="10">
        <f t="shared" ca="1" si="1243"/>
        <v>2029026.9120233152</v>
      </c>
      <c r="BJ1026" s="10">
        <f t="shared" ca="1" si="1243"/>
        <v>2005838.0330287628</v>
      </c>
      <c r="BK1026" s="10">
        <f t="shared" ca="1" si="1243"/>
        <v>1982649.1540342108</v>
      </c>
      <c r="BL1026" s="10">
        <f t="shared" ca="1" si="1243"/>
        <v>1959460.2750396584</v>
      </c>
      <c r="BM1026" s="10">
        <f t="shared" ca="1" si="1243"/>
        <v>1936271.3960451065</v>
      </c>
      <c r="BN1026" s="10">
        <f t="shared" ca="1" si="1243"/>
        <v>1913082.517050554</v>
      </c>
      <c r="BO1026" s="10">
        <f t="shared" ca="1" si="1243"/>
        <v>1889893.6380560021</v>
      </c>
      <c r="BP1026" s="10">
        <f t="shared" ca="1" si="1243"/>
        <v>1866704.7590614497</v>
      </c>
      <c r="BQ1026" s="10">
        <f t="shared" ca="1" si="1243"/>
        <v>1843515.8800668977</v>
      </c>
      <c r="BR1026" s="10">
        <f t="shared" ca="1" si="1243"/>
        <v>1820327.0010723453</v>
      </c>
      <c r="BS1026" s="10">
        <f t="shared" ca="1" si="1243"/>
        <v>1797138.1220777933</v>
      </c>
      <c r="BT1026" s="10">
        <f t="shared" ca="1" si="1243"/>
        <v>1773949.2430832409</v>
      </c>
      <c r="BU1026" s="10">
        <f t="shared" ca="1" si="1243"/>
        <v>1750760.364088689</v>
      </c>
      <c r="BV1026" s="10">
        <f t="shared" ca="1" si="1243"/>
        <v>1727571.4850941366</v>
      </c>
      <c r="BW1026" s="10">
        <f t="shared" ca="1" si="1243"/>
        <v>1704382.6060995846</v>
      </c>
      <c r="BX1026" s="10">
        <f t="shared" ca="1" si="1243"/>
        <v>1681193.7271050322</v>
      </c>
      <c r="BY1026" s="10">
        <f t="shared" ca="1" si="1243"/>
        <v>1658004.8481104802</v>
      </c>
      <c r="BZ1026" s="10">
        <f t="shared" ca="1" si="1243"/>
        <v>1634815.9691159278</v>
      </c>
      <c r="CA1026" s="10">
        <f t="shared" ca="1" si="1243"/>
        <v>1611627.0901213759</v>
      </c>
      <c r="CB1026" s="10">
        <f t="shared" ca="1" si="1243"/>
        <v>1588438.2111268234</v>
      </c>
      <c r="CC1026" s="10">
        <f t="shared" ca="1" si="1243"/>
        <v>1565249.3321322715</v>
      </c>
      <c r="CD1026" s="10">
        <f t="shared" ca="1" si="1243"/>
        <v>1542060.4531377191</v>
      </c>
      <c r="CE1026" s="10">
        <f t="shared" ca="1" si="1243"/>
        <v>1518871.5741431671</v>
      </c>
      <c r="CF1026" s="10">
        <f t="shared" ref="CF1026:CO1026" ca="1" si="1244">AVERAGE(CF1023:CF1024)*Flag_Operations</f>
        <v>1495682.6951486147</v>
      </c>
      <c r="CG1026" s="10">
        <f t="shared" ca="1" si="1244"/>
        <v>1472493.8161540627</v>
      </c>
      <c r="CH1026" s="10">
        <f t="shared" ca="1" si="1244"/>
        <v>1449304.9371595103</v>
      </c>
      <c r="CI1026" s="10">
        <f t="shared" ca="1" si="1244"/>
        <v>1426116.0581649584</v>
      </c>
      <c r="CJ1026" s="10">
        <f t="shared" ca="1" si="1244"/>
        <v>1402927.179170406</v>
      </c>
      <c r="CK1026" s="10">
        <f t="shared" ca="1" si="1244"/>
        <v>1379738.300175854</v>
      </c>
      <c r="CL1026" s="10">
        <f t="shared" ca="1" si="1244"/>
        <v>1356549.4211813016</v>
      </c>
      <c r="CM1026" s="10">
        <f t="shared" ca="1" si="1244"/>
        <v>1333360.5421867496</v>
      </c>
      <c r="CN1026" s="10">
        <f t="shared" ca="1" si="1244"/>
        <v>1310171.6631921972</v>
      </c>
      <c r="CO1026" s="10">
        <f t="shared" ca="1" si="1244"/>
        <v>1286982.7841976453</v>
      </c>
    </row>
    <row r="1027" spans="1:93" ht="15.75" thickBot="1">
      <c r="A1027" s="10"/>
      <c r="B1027" s="10"/>
      <c r="C1027" s="17" t="s">
        <v>111</v>
      </c>
      <c r="D1027" s="10"/>
      <c r="E1027" s="178">
        <f xml:space="preserve"> Property_Tax_Rate</f>
        <v>2.1999999999999999E-2</v>
      </c>
      <c r="F1027" s="11"/>
      <c r="G1027" s="134" t="str">
        <f>Monetary_Unit</f>
        <v>тыс. руб.</v>
      </c>
      <c r="H1027" s="11"/>
      <c r="I1027" s="10"/>
      <c r="J1027" s="10"/>
      <c r="K1027" s="10"/>
      <c r="L1027" s="10">
        <f t="shared" ref="L1027:R1027" ca="1" si="1245">L1026*$E$1027*Period_length</f>
        <v>0</v>
      </c>
      <c r="M1027" s="10">
        <f t="shared" ca="1" si="1245"/>
        <v>0</v>
      </c>
      <c r="N1027" s="10">
        <f t="shared" ca="1" si="1245"/>
        <v>0</v>
      </c>
      <c r="O1027" s="10">
        <f t="shared" ca="1" si="1245"/>
        <v>0</v>
      </c>
      <c r="P1027" s="10">
        <f t="shared" ca="1" si="1245"/>
        <v>0</v>
      </c>
      <c r="Q1027" s="10">
        <f t="shared" ca="1" si="1245"/>
        <v>0</v>
      </c>
      <c r="R1027" s="10">
        <f t="shared" ca="1" si="1245"/>
        <v>0</v>
      </c>
      <c r="S1027" s="10">
        <f t="shared" ref="S1027:AB1027" ca="1" si="1246">S1026*$E$1027*Period_length</f>
        <v>0</v>
      </c>
      <c r="T1027" s="10">
        <f t="shared" ca="1" si="1246"/>
        <v>0</v>
      </c>
      <c r="U1027" s="10">
        <f t="shared" ca="1" si="1246"/>
        <v>0</v>
      </c>
      <c r="V1027" s="10">
        <f t="shared" ca="1" si="1246"/>
        <v>0</v>
      </c>
      <c r="W1027" s="10">
        <f t="shared" ca="1" si="1246"/>
        <v>0</v>
      </c>
      <c r="X1027" s="10">
        <f t="shared" ca="1" si="1246"/>
        <v>0</v>
      </c>
      <c r="Y1027" s="10">
        <f t="shared" ca="1" si="1246"/>
        <v>0</v>
      </c>
      <c r="Z1027" s="10">
        <f t="shared" ca="1" si="1246"/>
        <v>0</v>
      </c>
      <c r="AA1027" s="10">
        <f t="shared" ca="1" si="1246"/>
        <v>0</v>
      </c>
      <c r="AB1027" s="10">
        <f t="shared" ca="1" si="1246"/>
        <v>0</v>
      </c>
      <c r="AC1027" s="10">
        <f t="shared" ref="AC1027:BQ1027" ca="1" si="1247">AC1026*$E$1027*Period_length*0</f>
        <v>0</v>
      </c>
      <c r="AD1027" s="10">
        <f t="shared" ca="1" si="1247"/>
        <v>0</v>
      </c>
      <c r="AE1027" s="10">
        <f t="shared" ca="1" si="1247"/>
        <v>0</v>
      </c>
      <c r="AF1027" s="10">
        <f t="shared" ca="1" si="1247"/>
        <v>0</v>
      </c>
      <c r="AG1027" s="10">
        <f t="shared" ca="1" si="1247"/>
        <v>0</v>
      </c>
      <c r="AH1027" s="10">
        <f t="shared" ca="1" si="1247"/>
        <v>0</v>
      </c>
      <c r="AI1027" s="10">
        <f t="shared" ca="1" si="1247"/>
        <v>0</v>
      </c>
      <c r="AJ1027" s="10">
        <f t="shared" ca="1" si="1247"/>
        <v>0</v>
      </c>
      <c r="AK1027" s="10">
        <f t="shared" ca="1" si="1247"/>
        <v>0</v>
      </c>
      <c r="AL1027" s="10">
        <f t="shared" ca="1" si="1247"/>
        <v>0</v>
      </c>
      <c r="AM1027" s="10">
        <f t="shared" ca="1" si="1247"/>
        <v>0</v>
      </c>
      <c r="AN1027" s="10">
        <f t="shared" ca="1" si="1247"/>
        <v>0</v>
      </c>
      <c r="AO1027" s="10">
        <f t="shared" ca="1" si="1247"/>
        <v>0</v>
      </c>
      <c r="AP1027" s="10">
        <f t="shared" ca="1" si="1247"/>
        <v>0</v>
      </c>
      <c r="AQ1027" s="10">
        <f t="shared" ca="1" si="1247"/>
        <v>0</v>
      </c>
      <c r="AR1027" s="10">
        <f t="shared" ca="1" si="1247"/>
        <v>0</v>
      </c>
      <c r="AS1027" s="10">
        <f t="shared" ca="1" si="1247"/>
        <v>0</v>
      </c>
      <c r="AT1027" s="10">
        <f t="shared" ca="1" si="1247"/>
        <v>0</v>
      </c>
      <c r="AU1027" s="10">
        <f t="shared" ca="1" si="1247"/>
        <v>0</v>
      </c>
      <c r="AV1027" s="10">
        <f t="shared" ca="1" si="1247"/>
        <v>0</v>
      </c>
      <c r="AW1027" s="10">
        <f t="shared" ca="1" si="1247"/>
        <v>0</v>
      </c>
      <c r="AX1027" s="10">
        <f t="shared" ca="1" si="1247"/>
        <v>0</v>
      </c>
      <c r="AY1027" s="10">
        <f t="shared" ca="1" si="1247"/>
        <v>0</v>
      </c>
      <c r="AZ1027" s="10">
        <f t="shared" ca="1" si="1247"/>
        <v>0</v>
      </c>
      <c r="BA1027" s="10">
        <f t="shared" ca="1" si="1247"/>
        <v>0</v>
      </c>
      <c r="BB1027" s="10">
        <f t="shared" ca="1" si="1247"/>
        <v>0</v>
      </c>
      <c r="BC1027" s="10">
        <f t="shared" ca="1" si="1247"/>
        <v>0</v>
      </c>
      <c r="BD1027" s="10">
        <f t="shared" ca="1" si="1247"/>
        <v>0</v>
      </c>
      <c r="BE1027" s="10">
        <f t="shared" ca="1" si="1247"/>
        <v>0</v>
      </c>
      <c r="BF1027" s="10">
        <f t="shared" ca="1" si="1247"/>
        <v>0</v>
      </c>
      <c r="BG1027" s="10">
        <f t="shared" ca="1" si="1247"/>
        <v>0</v>
      </c>
      <c r="BH1027" s="10">
        <f t="shared" ca="1" si="1247"/>
        <v>0</v>
      </c>
      <c r="BI1027" s="10">
        <f t="shared" ca="1" si="1247"/>
        <v>0</v>
      </c>
      <c r="BJ1027" s="10">
        <f t="shared" ca="1" si="1247"/>
        <v>0</v>
      </c>
      <c r="BK1027" s="10">
        <f t="shared" ca="1" si="1247"/>
        <v>0</v>
      </c>
      <c r="BL1027" s="10">
        <f t="shared" ca="1" si="1247"/>
        <v>0</v>
      </c>
      <c r="BM1027" s="10">
        <f t="shared" ca="1" si="1247"/>
        <v>0</v>
      </c>
      <c r="BN1027" s="10">
        <f t="shared" ca="1" si="1247"/>
        <v>0</v>
      </c>
      <c r="BO1027" s="10">
        <f t="shared" ca="1" si="1247"/>
        <v>0</v>
      </c>
      <c r="BP1027" s="10">
        <f t="shared" ca="1" si="1247"/>
        <v>0</v>
      </c>
      <c r="BQ1027" s="10">
        <f t="shared" ca="1" si="1247"/>
        <v>0</v>
      </c>
      <c r="BR1027" s="10">
        <f t="shared" ref="BR1027:CE1027" ca="1" si="1248">BR1026*$E$1027*Period_length</f>
        <v>10094.087260740896</v>
      </c>
      <c r="BS1027" s="10">
        <f t="shared" ca="1" si="1248"/>
        <v>9965.5001618779552</v>
      </c>
      <c r="BT1027" s="10">
        <f t="shared" ca="1" si="1248"/>
        <v>9703.4054225482178</v>
      </c>
      <c r="BU1027" s="10">
        <f t="shared" ca="1" si="1248"/>
        <v>9576.5635215998773</v>
      </c>
      <c r="BV1027" s="10">
        <f t="shared" ca="1" si="1248"/>
        <v>9553.5647153839673</v>
      </c>
      <c r="BW1027" s="10">
        <f t="shared" ca="1" si="1248"/>
        <v>9425.3289473922378</v>
      </c>
      <c r="BX1027" s="10">
        <f t="shared" ca="1" si="1248"/>
        <v>9119.9002182683926</v>
      </c>
      <c r="BY1027" s="10">
        <f t="shared" ca="1" si="1248"/>
        <v>9094.0430299100863</v>
      </c>
      <c r="BZ1027" s="10">
        <f t="shared" ca="1" si="1248"/>
        <v>9065.3904698373644</v>
      </c>
      <c r="CA1027" s="10">
        <f t="shared" ca="1" si="1248"/>
        <v>8936.8033709744232</v>
      </c>
      <c r="CB1027" s="10">
        <f t="shared" ca="1" si="1248"/>
        <v>8616.733309674275</v>
      </c>
      <c r="CC1027" s="10">
        <f t="shared" ca="1" si="1248"/>
        <v>8585.2853778871431</v>
      </c>
      <c r="CD1027" s="10">
        <f t="shared" ca="1" si="1248"/>
        <v>8551.0420743855975</v>
      </c>
      <c r="CE1027" s="10">
        <f t="shared" ca="1" si="1248"/>
        <v>8422.4549755226581</v>
      </c>
      <c r="CF1027" s="10">
        <f t="shared" ref="CF1027:CO1027" ca="1" si="1249">CF1026*$E$1027*Period_length</f>
        <v>8113.5664010801556</v>
      </c>
      <c r="CG1027" s="10">
        <f t="shared" ca="1" si="1249"/>
        <v>8076.5277258642009</v>
      </c>
      <c r="CH1027" s="10">
        <f t="shared" ca="1" si="1249"/>
        <v>8036.6936789338333</v>
      </c>
      <c r="CI1027" s="10">
        <f t="shared" ca="1" si="1249"/>
        <v>7908.106580070893</v>
      </c>
      <c r="CJ1027" s="10">
        <f t="shared" ca="1" si="1249"/>
        <v>7673.9350073747337</v>
      </c>
      <c r="CK1027" s="10">
        <f t="shared" ca="1" si="1249"/>
        <v>7547.0931064263923</v>
      </c>
      <c r="CL1027" s="10">
        <f t="shared" ca="1" si="1249"/>
        <v>7501.7924275162686</v>
      </c>
      <c r="CM1027" s="10">
        <f t="shared" ca="1" si="1249"/>
        <v>7373.5566595245382</v>
      </c>
      <c r="CN1027" s="10">
        <f t="shared" ca="1" si="1249"/>
        <v>7107.2325838919178</v>
      </c>
      <c r="CO1027" s="10">
        <f t="shared" ca="1" si="1249"/>
        <v>7059.0124218183173</v>
      </c>
    </row>
    <row r="1028" spans="1:93" ht="15.75" thickTop="1">
      <c r="A1028" s="172"/>
      <c r="B1028" s="35"/>
      <c r="C1028" s="173" t="s">
        <v>111</v>
      </c>
      <c r="D1028" s="49"/>
      <c r="E1028" s="49"/>
      <c r="F1028" s="49"/>
      <c r="G1028" s="159" t="str">
        <f>Monetary_Unit</f>
        <v>тыс. руб.</v>
      </c>
      <c r="H1028" s="49"/>
      <c r="I1028" s="176">
        <f ca="1">SUM(L1028:CO1028)</f>
        <v>205107.61944850432</v>
      </c>
      <c r="J1028" s="49"/>
      <c r="K1028" s="49"/>
      <c r="L1028" s="49">
        <f t="shared" ref="L1028:R1028" ca="1" si="1250">L1027</f>
        <v>0</v>
      </c>
      <c r="M1028" s="49">
        <f t="shared" ca="1" si="1250"/>
        <v>0</v>
      </c>
      <c r="N1028" s="49">
        <f t="shared" ca="1" si="1250"/>
        <v>0</v>
      </c>
      <c r="O1028" s="49">
        <f t="shared" ca="1" si="1250"/>
        <v>0</v>
      </c>
      <c r="P1028" s="49">
        <f t="shared" ca="1" si="1250"/>
        <v>0</v>
      </c>
      <c r="Q1028" s="49">
        <f t="shared" ca="1" si="1250"/>
        <v>0</v>
      </c>
      <c r="R1028" s="49">
        <f t="shared" ca="1" si="1250"/>
        <v>0</v>
      </c>
      <c r="S1028" s="49">
        <f ca="1">S1027</f>
        <v>0</v>
      </c>
      <c r="T1028" s="49">
        <f t="shared" ref="T1028:CE1028" ca="1" si="1251">T1027</f>
        <v>0</v>
      </c>
      <c r="U1028" s="49">
        <f t="shared" ca="1" si="1251"/>
        <v>0</v>
      </c>
      <c r="V1028" s="49">
        <f t="shared" ca="1" si="1251"/>
        <v>0</v>
      </c>
      <c r="W1028" s="49">
        <f t="shared" ca="1" si="1251"/>
        <v>0</v>
      </c>
      <c r="X1028" s="49">
        <f t="shared" ca="1" si="1251"/>
        <v>0</v>
      </c>
      <c r="Y1028" s="49">
        <f t="shared" ca="1" si="1251"/>
        <v>0</v>
      </c>
      <c r="Z1028" s="49">
        <f t="shared" ca="1" si="1251"/>
        <v>0</v>
      </c>
      <c r="AA1028" s="49">
        <f t="shared" ca="1" si="1251"/>
        <v>0</v>
      </c>
      <c r="AB1028" s="49">
        <f t="shared" ca="1" si="1251"/>
        <v>0</v>
      </c>
      <c r="AC1028" s="49">
        <f t="shared" ca="1" si="1251"/>
        <v>0</v>
      </c>
      <c r="AD1028" s="49">
        <f t="shared" ca="1" si="1251"/>
        <v>0</v>
      </c>
      <c r="AE1028" s="49">
        <f t="shared" ca="1" si="1251"/>
        <v>0</v>
      </c>
      <c r="AF1028" s="49">
        <f t="shared" ca="1" si="1251"/>
        <v>0</v>
      </c>
      <c r="AG1028" s="49">
        <f t="shared" ca="1" si="1251"/>
        <v>0</v>
      </c>
      <c r="AH1028" s="49">
        <f t="shared" ca="1" si="1251"/>
        <v>0</v>
      </c>
      <c r="AI1028" s="49">
        <f t="shared" ca="1" si="1251"/>
        <v>0</v>
      </c>
      <c r="AJ1028" s="49">
        <f t="shared" ca="1" si="1251"/>
        <v>0</v>
      </c>
      <c r="AK1028" s="49">
        <f t="shared" ca="1" si="1251"/>
        <v>0</v>
      </c>
      <c r="AL1028" s="49">
        <f t="shared" ca="1" si="1251"/>
        <v>0</v>
      </c>
      <c r="AM1028" s="49">
        <f t="shared" ca="1" si="1251"/>
        <v>0</v>
      </c>
      <c r="AN1028" s="49">
        <f t="shared" ca="1" si="1251"/>
        <v>0</v>
      </c>
      <c r="AO1028" s="49">
        <f t="shared" ca="1" si="1251"/>
        <v>0</v>
      </c>
      <c r="AP1028" s="49">
        <f t="shared" ca="1" si="1251"/>
        <v>0</v>
      </c>
      <c r="AQ1028" s="49">
        <f t="shared" ca="1" si="1251"/>
        <v>0</v>
      </c>
      <c r="AR1028" s="49">
        <f t="shared" ca="1" si="1251"/>
        <v>0</v>
      </c>
      <c r="AS1028" s="49">
        <f t="shared" ca="1" si="1251"/>
        <v>0</v>
      </c>
      <c r="AT1028" s="49">
        <f t="shared" ca="1" si="1251"/>
        <v>0</v>
      </c>
      <c r="AU1028" s="49">
        <f t="shared" ca="1" si="1251"/>
        <v>0</v>
      </c>
      <c r="AV1028" s="49">
        <f t="shared" ca="1" si="1251"/>
        <v>0</v>
      </c>
      <c r="AW1028" s="49">
        <f t="shared" ca="1" si="1251"/>
        <v>0</v>
      </c>
      <c r="AX1028" s="49">
        <f t="shared" ca="1" si="1251"/>
        <v>0</v>
      </c>
      <c r="AY1028" s="49">
        <f t="shared" ca="1" si="1251"/>
        <v>0</v>
      </c>
      <c r="AZ1028" s="49">
        <f t="shared" ca="1" si="1251"/>
        <v>0</v>
      </c>
      <c r="BA1028" s="49">
        <f t="shared" ca="1" si="1251"/>
        <v>0</v>
      </c>
      <c r="BB1028" s="49">
        <f t="shared" ca="1" si="1251"/>
        <v>0</v>
      </c>
      <c r="BC1028" s="49">
        <f t="shared" ca="1" si="1251"/>
        <v>0</v>
      </c>
      <c r="BD1028" s="49">
        <f t="shared" ca="1" si="1251"/>
        <v>0</v>
      </c>
      <c r="BE1028" s="49">
        <f t="shared" ca="1" si="1251"/>
        <v>0</v>
      </c>
      <c r="BF1028" s="49">
        <f t="shared" ca="1" si="1251"/>
        <v>0</v>
      </c>
      <c r="BG1028" s="49">
        <f t="shared" ca="1" si="1251"/>
        <v>0</v>
      </c>
      <c r="BH1028" s="49">
        <f t="shared" ca="1" si="1251"/>
        <v>0</v>
      </c>
      <c r="BI1028" s="49">
        <f t="shared" ca="1" si="1251"/>
        <v>0</v>
      </c>
      <c r="BJ1028" s="49">
        <f t="shared" ca="1" si="1251"/>
        <v>0</v>
      </c>
      <c r="BK1028" s="49">
        <f t="shared" ca="1" si="1251"/>
        <v>0</v>
      </c>
      <c r="BL1028" s="49">
        <f t="shared" ca="1" si="1251"/>
        <v>0</v>
      </c>
      <c r="BM1028" s="49">
        <f t="shared" ca="1" si="1251"/>
        <v>0</v>
      </c>
      <c r="BN1028" s="49">
        <f t="shared" ca="1" si="1251"/>
        <v>0</v>
      </c>
      <c r="BO1028" s="49">
        <f t="shared" ca="1" si="1251"/>
        <v>0</v>
      </c>
      <c r="BP1028" s="49">
        <f t="shared" ca="1" si="1251"/>
        <v>0</v>
      </c>
      <c r="BQ1028" s="49">
        <f t="shared" ca="1" si="1251"/>
        <v>0</v>
      </c>
      <c r="BR1028" s="49">
        <f t="shared" ca="1" si="1251"/>
        <v>10094.087260740896</v>
      </c>
      <c r="BS1028" s="49">
        <f t="shared" ca="1" si="1251"/>
        <v>9965.5001618779552</v>
      </c>
      <c r="BT1028" s="49">
        <f t="shared" ca="1" si="1251"/>
        <v>9703.4054225482178</v>
      </c>
      <c r="BU1028" s="49">
        <f t="shared" ca="1" si="1251"/>
        <v>9576.5635215998773</v>
      </c>
      <c r="BV1028" s="49">
        <f t="shared" ca="1" si="1251"/>
        <v>9553.5647153839673</v>
      </c>
      <c r="BW1028" s="49">
        <f t="shared" ca="1" si="1251"/>
        <v>9425.3289473922378</v>
      </c>
      <c r="BX1028" s="49">
        <f t="shared" ca="1" si="1251"/>
        <v>9119.9002182683926</v>
      </c>
      <c r="BY1028" s="49">
        <f t="shared" ca="1" si="1251"/>
        <v>9094.0430299100863</v>
      </c>
      <c r="BZ1028" s="49">
        <f t="shared" ca="1" si="1251"/>
        <v>9065.3904698373644</v>
      </c>
      <c r="CA1028" s="49">
        <f t="shared" ca="1" si="1251"/>
        <v>8936.8033709744232</v>
      </c>
      <c r="CB1028" s="49">
        <f t="shared" ca="1" si="1251"/>
        <v>8616.733309674275</v>
      </c>
      <c r="CC1028" s="49">
        <f t="shared" ca="1" si="1251"/>
        <v>8585.2853778871431</v>
      </c>
      <c r="CD1028" s="49">
        <f t="shared" ca="1" si="1251"/>
        <v>8551.0420743855975</v>
      </c>
      <c r="CE1028" s="49">
        <f t="shared" ca="1" si="1251"/>
        <v>8422.4549755226581</v>
      </c>
      <c r="CF1028" s="49">
        <f t="shared" ref="CF1028:CO1028" ca="1" si="1252">CF1027</f>
        <v>8113.5664010801556</v>
      </c>
      <c r="CG1028" s="49">
        <f t="shared" ca="1" si="1252"/>
        <v>8076.5277258642009</v>
      </c>
      <c r="CH1028" s="49">
        <f t="shared" ca="1" si="1252"/>
        <v>8036.6936789338333</v>
      </c>
      <c r="CI1028" s="49">
        <f t="shared" ca="1" si="1252"/>
        <v>7908.106580070893</v>
      </c>
      <c r="CJ1028" s="49">
        <f t="shared" ca="1" si="1252"/>
        <v>7673.9350073747337</v>
      </c>
      <c r="CK1028" s="49">
        <f t="shared" ca="1" si="1252"/>
        <v>7547.0931064263923</v>
      </c>
      <c r="CL1028" s="49">
        <f t="shared" ca="1" si="1252"/>
        <v>7501.7924275162686</v>
      </c>
      <c r="CM1028" s="49">
        <f t="shared" ca="1" si="1252"/>
        <v>7373.5566595245382</v>
      </c>
      <c r="CN1028" s="49">
        <f t="shared" ca="1" si="1252"/>
        <v>7107.2325838919178</v>
      </c>
      <c r="CO1028" s="49">
        <f t="shared" ca="1" si="1252"/>
        <v>7059.0124218183173</v>
      </c>
    </row>
    <row r="1029" spans="1:93">
      <c r="A1029" s="10"/>
      <c r="B1029" s="10"/>
      <c r="C1029" s="10"/>
      <c r="D1029" s="10"/>
      <c r="E1029" s="10"/>
      <c r="F1029" s="10"/>
      <c r="G1029" s="11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0"/>
      <c r="AH1029" s="10"/>
      <c r="AI1029" s="10"/>
      <c r="AJ1029" s="10"/>
      <c r="AK1029" s="10"/>
      <c r="AL1029" s="10"/>
      <c r="AM1029" s="10"/>
      <c r="AN1029" s="10"/>
      <c r="AO1029" s="10"/>
      <c r="AP1029" s="10"/>
      <c r="AQ1029" s="10"/>
      <c r="AR1029" s="10"/>
      <c r="AS1029" s="10"/>
      <c r="AT1029" s="10"/>
      <c r="AU1029" s="10"/>
      <c r="AV1029" s="10"/>
      <c r="AW1029" s="10"/>
      <c r="AX1029" s="10"/>
      <c r="AY1029" s="10"/>
      <c r="AZ1029" s="10"/>
      <c r="BA1029" s="10"/>
      <c r="BB1029" s="10"/>
      <c r="BC1029" s="10"/>
      <c r="BD1029" s="10"/>
      <c r="BE1029" s="10"/>
      <c r="BF1029" s="10"/>
      <c r="BG1029" s="10"/>
      <c r="BH1029" s="10"/>
      <c r="BI1029" s="10"/>
      <c r="BJ1029" s="10"/>
      <c r="BK1029" s="10"/>
      <c r="BL1029" s="10"/>
      <c r="BM1029" s="10"/>
      <c r="BN1029" s="10"/>
      <c r="BO1029" s="10"/>
      <c r="BP1029" s="10"/>
      <c r="BQ1029" s="10"/>
      <c r="BR1029" s="10"/>
      <c r="BS1029" s="10"/>
      <c r="BT1029" s="10"/>
      <c r="BU1029" s="10"/>
      <c r="BV1029" s="10"/>
      <c r="BW1029" s="10"/>
      <c r="BX1029" s="10"/>
      <c r="BY1029" s="10"/>
      <c r="BZ1029" s="10"/>
      <c r="CA1029" s="10"/>
      <c r="CB1029" s="10"/>
      <c r="CC1029" s="10"/>
      <c r="CD1029" s="10"/>
      <c r="CE1029" s="10"/>
      <c r="CF1029" s="10"/>
      <c r="CG1029" s="10"/>
      <c r="CH1029" s="10"/>
      <c r="CI1029" s="10"/>
      <c r="CJ1029" s="10"/>
      <c r="CK1029" s="10"/>
      <c r="CL1029" s="10"/>
      <c r="CM1029" s="10"/>
      <c r="CN1029" s="10"/>
      <c r="CO1029" s="10"/>
    </row>
    <row r="1030" spans="1:93" ht="22.5" customHeight="1">
      <c r="A1030" s="10"/>
      <c r="B1030" s="5" t="s">
        <v>455</v>
      </c>
      <c r="C1030" s="5"/>
      <c r="D1030" s="15"/>
      <c r="E1030" s="15"/>
      <c r="F1030" s="31"/>
      <c r="G1030" s="18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31"/>
      <c r="BO1030" s="31"/>
      <c r="BP1030" s="31"/>
      <c r="BQ1030" s="31"/>
      <c r="BR1030" s="31"/>
      <c r="BS1030" s="31"/>
      <c r="BT1030" s="31"/>
      <c r="BU1030" s="31"/>
      <c r="BV1030" s="31"/>
      <c r="BW1030" s="31"/>
      <c r="BX1030" s="31"/>
      <c r="BY1030" s="31"/>
      <c r="BZ1030" s="31"/>
      <c r="CA1030" s="31"/>
      <c r="CB1030" s="31"/>
      <c r="CC1030" s="31"/>
      <c r="CD1030" s="31"/>
      <c r="CE1030" s="31"/>
      <c r="CF1030" s="31"/>
      <c r="CG1030" s="31"/>
      <c r="CH1030" s="31"/>
      <c r="CI1030" s="31"/>
      <c r="CJ1030" s="31"/>
      <c r="CK1030" s="31"/>
      <c r="CL1030" s="31"/>
      <c r="CM1030" s="31"/>
      <c r="CN1030" s="31"/>
      <c r="CO1030" s="31"/>
    </row>
    <row r="1031" spans="1:93">
      <c r="A1031" s="10"/>
      <c r="B1031" s="10"/>
      <c r="C1031" s="17"/>
      <c r="D1031" s="10"/>
      <c r="E1031" s="62"/>
      <c r="F1031" s="10"/>
      <c r="G1031" s="11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0"/>
      <c r="AH1031" s="10"/>
      <c r="AI1031" s="10"/>
      <c r="AJ1031" s="10"/>
      <c r="AK1031" s="10"/>
      <c r="AL1031" s="10"/>
      <c r="AM1031" s="10"/>
      <c r="AN1031" s="10"/>
      <c r="AO1031" s="10"/>
      <c r="AP1031" s="10"/>
      <c r="AQ1031" s="10"/>
      <c r="AR1031" s="10"/>
      <c r="AS1031" s="10"/>
      <c r="AT1031" s="10"/>
      <c r="AU1031" s="10"/>
      <c r="AV1031" s="10"/>
      <c r="AW1031" s="10"/>
      <c r="AX1031" s="10"/>
      <c r="AY1031" s="10"/>
      <c r="AZ1031" s="10"/>
      <c r="BA1031" s="10"/>
      <c r="BB1031" s="10"/>
      <c r="BC1031" s="10"/>
      <c r="BD1031" s="10"/>
      <c r="BE1031" s="10"/>
      <c r="BF1031" s="10"/>
      <c r="BG1031" s="10"/>
      <c r="BH1031" s="10"/>
      <c r="BI1031" s="10"/>
      <c r="BJ1031" s="10"/>
      <c r="BK1031" s="10"/>
      <c r="BL1031" s="10"/>
      <c r="BM1031" s="10"/>
      <c r="BN1031" s="10"/>
      <c r="BO1031" s="10"/>
      <c r="BP1031" s="10"/>
      <c r="BQ1031" s="10"/>
      <c r="BR1031" s="10"/>
      <c r="BS1031" s="10"/>
      <c r="BT1031" s="10"/>
      <c r="BU1031" s="10"/>
      <c r="BV1031" s="10"/>
      <c r="BW1031" s="10"/>
      <c r="BX1031" s="10"/>
      <c r="BY1031" s="10"/>
      <c r="BZ1031" s="10"/>
      <c r="CA1031" s="10"/>
      <c r="CB1031" s="10"/>
      <c r="CC1031" s="10"/>
      <c r="CD1031" s="10"/>
      <c r="CE1031" s="10"/>
      <c r="CF1031" s="10"/>
      <c r="CG1031" s="10"/>
      <c r="CH1031" s="10"/>
      <c r="CI1031" s="10"/>
      <c r="CJ1031" s="10"/>
      <c r="CK1031" s="10"/>
      <c r="CL1031" s="10"/>
      <c r="CM1031" s="10"/>
      <c r="CN1031" s="10"/>
      <c r="CO1031" s="10"/>
    </row>
    <row r="1032" spans="1:93">
      <c r="A1032" s="10"/>
      <c r="B1032" s="10"/>
      <c r="C1032" s="17" t="s">
        <v>1072</v>
      </c>
      <c r="D1032" s="10"/>
      <c r="E1032" s="379">
        <f>Предпосылки!E624</f>
        <v>0</v>
      </c>
      <c r="F1032" s="11"/>
      <c r="G1032" s="134" t="str">
        <f>Monetary_Unit</f>
        <v>тыс. руб.</v>
      </c>
      <c r="H1032" s="11"/>
      <c r="I1032" s="10"/>
      <c r="J1032" s="10"/>
      <c r="K1032" s="10"/>
      <c r="L1032" s="10">
        <f t="shared" ref="L1032:AQ1032" ca="1" si="1253" xml:space="preserve"> $E1032*CPI_Accumulated_From_Date</f>
        <v>0</v>
      </c>
      <c r="M1032" s="10">
        <f t="shared" ca="1" si="1253"/>
        <v>0</v>
      </c>
      <c r="N1032" s="10">
        <f t="shared" ca="1" si="1253"/>
        <v>0</v>
      </c>
      <c r="O1032" s="10">
        <f t="shared" ca="1" si="1253"/>
        <v>0</v>
      </c>
      <c r="P1032" s="10">
        <f t="shared" ca="1" si="1253"/>
        <v>0</v>
      </c>
      <c r="Q1032" s="10">
        <f t="shared" ca="1" si="1253"/>
        <v>0</v>
      </c>
      <c r="R1032" s="10">
        <f t="shared" ca="1" si="1253"/>
        <v>0</v>
      </c>
      <c r="S1032" s="10">
        <f t="shared" ca="1" si="1253"/>
        <v>0</v>
      </c>
      <c r="T1032" s="10">
        <f t="shared" ca="1" si="1253"/>
        <v>0</v>
      </c>
      <c r="U1032" s="10">
        <f t="shared" ca="1" si="1253"/>
        <v>0</v>
      </c>
      <c r="V1032" s="10">
        <f t="shared" ca="1" si="1253"/>
        <v>0</v>
      </c>
      <c r="W1032" s="10">
        <f t="shared" ca="1" si="1253"/>
        <v>0</v>
      </c>
      <c r="X1032" s="10">
        <f t="shared" ca="1" si="1253"/>
        <v>0</v>
      </c>
      <c r="Y1032" s="10">
        <f t="shared" ca="1" si="1253"/>
        <v>0</v>
      </c>
      <c r="Z1032" s="10">
        <f t="shared" ca="1" si="1253"/>
        <v>0</v>
      </c>
      <c r="AA1032" s="10">
        <f t="shared" ca="1" si="1253"/>
        <v>0</v>
      </c>
      <c r="AB1032" s="10">
        <f t="shared" ca="1" si="1253"/>
        <v>0</v>
      </c>
      <c r="AC1032" s="10">
        <f t="shared" ca="1" si="1253"/>
        <v>0</v>
      </c>
      <c r="AD1032" s="10">
        <f t="shared" ca="1" si="1253"/>
        <v>0</v>
      </c>
      <c r="AE1032" s="10">
        <f t="shared" ca="1" si="1253"/>
        <v>0</v>
      </c>
      <c r="AF1032" s="10">
        <f t="shared" ca="1" si="1253"/>
        <v>0</v>
      </c>
      <c r="AG1032" s="10">
        <f t="shared" ca="1" si="1253"/>
        <v>0</v>
      </c>
      <c r="AH1032" s="10">
        <f t="shared" ca="1" si="1253"/>
        <v>0</v>
      </c>
      <c r="AI1032" s="10">
        <f t="shared" ca="1" si="1253"/>
        <v>0</v>
      </c>
      <c r="AJ1032" s="10">
        <f t="shared" ca="1" si="1253"/>
        <v>0</v>
      </c>
      <c r="AK1032" s="10">
        <f t="shared" ca="1" si="1253"/>
        <v>0</v>
      </c>
      <c r="AL1032" s="10">
        <f t="shared" ca="1" si="1253"/>
        <v>0</v>
      </c>
      <c r="AM1032" s="10">
        <f t="shared" ca="1" si="1253"/>
        <v>0</v>
      </c>
      <c r="AN1032" s="10">
        <f t="shared" ca="1" si="1253"/>
        <v>0</v>
      </c>
      <c r="AO1032" s="10">
        <f t="shared" ca="1" si="1253"/>
        <v>0</v>
      </c>
      <c r="AP1032" s="10">
        <f t="shared" ca="1" si="1253"/>
        <v>0</v>
      </c>
      <c r="AQ1032" s="10">
        <f t="shared" ca="1" si="1253"/>
        <v>0</v>
      </c>
      <c r="AR1032" s="10">
        <f t="shared" ref="AR1032:BW1032" ca="1" si="1254" xml:space="preserve"> $E1032*CPI_Accumulated_From_Date</f>
        <v>0</v>
      </c>
      <c r="AS1032" s="10">
        <f t="shared" ca="1" si="1254"/>
        <v>0</v>
      </c>
      <c r="AT1032" s="10">
        <f t="shared" ca="1" si="1254"/>
        <v>0</v>
      </c>
      <c r="AU1032" s="10">
        <f t="shared" ca="1" si="1254"/>
        <v>0</v>
      </c>
      <c r="AV1032" s="10">
        <f t="shared" ca="1" si="1254"/>
        <v>0</v>
      </c>
      <c r="AW1032" s="10">
        <f t="shared" ca="1" si="1254"/>
        <v>0</v>
      </c>
      <c r="AX1032" s="10">
        <f t="shared" ca="1" si="1254"/>
        <v>0</v>
      </c>
      <c r="AY1032" s="10">
        <f t="shared" ca="1" si="1254"/>
        <v>0</v>
      </c>
      <c r="AZ1032" s="10">
        <f t="shared" ca="1" si="1254"/>
        <v>0</v>
      </c>
      <c r="BA1032" s="10">
        <f t="shared" ca="1" si="1254"/>
        <v>0</v>
      </c>
      <c r="BB1032" s="10">
        <f t="shared" ca="1" si="1254"/>
        <v>0</v>
      </c>
      <c r="BC1032" s="10">
        <f t="shared" ca="1" si="1254"/>
        <v>0</v>
      </c>
      <c r="BD1032" s="10">
        <f t="shared" ca="1" si="1254"/>
        <v>0</v>
      </c>
      <c r="BE1032" s="10">
        <f t="shared" ca="1" si="1254"/>
        <v>0</v>
      </c>
      <c r="BF1032" s="10">
        <f t="shared" ca="1" si="1254"/>
        <v>0</v>
      </c>
      <c r="BG1032" s="10">
        <f t="shared" ca="1" si="1254"/>
        <v>0</v>
      </c>
      <c r="BH1032" s="10">
        <f t="shared" ca="1" si="1254"/>
        <v>0</v>
      </c>
      <c r="BI1032" s="10">
        <f t="shared" ca="1" si="1254"/>
        <v>0</v>
      </c>
      <c r="BJ1032" s="10">
        <f t="shared" ca="1" si="1254"/>
        <v>0</v>
      </c>
      <c r="BK1032" s="10">
        <f t="shared" ca="1" si="1254"/>
        <v>0</v>
      </c>
      <c r="BL1032" s="10">
        <f t="shared" ca="1" si="1254"/>
        <v>0</v>
      </c>
      <c r="BM1032" s="10">
        <f t="shared" ca="1" si="1254"/>
        <v>0</v>
      </c>
      <c r="BN1032" s="10">
        <f t="shared" ca="1" si="1254"/>
        <v>0</v>
      </c>
      <c r="BO1032" s="10">
        <f t="shared" ca="1" si="1254"/>
        <v>0</v>
      </c>
      <c r="BP1032" s="10">
        <f t="shared" ca="1" si="1254"/>
        <v>0</v>
      </c>
      <c r="BQ1032" s="10">
        <f t="shared" ca="1" si="1254"/>
        <v>0</v>
      </c>
      <c r="BR1032" s="10">
        <f t="shared" ca="1" si="1254"/>
        <v>0</v>
      </c>
      <c r="BS1032" s="10">
        <f t="shared" ca="1" si="1254"/>
        <v>0</v>
      </c>
      <c r="BT1032" s="10">
        <f t="shared" ca="1" si="1254"/>
        <v>0</v>
      </c>
      <c r="BU1032" s="10">
        <f t="shared" ca="1" si="1254"/>
        <v>0</v>
      </c>
      <c r="BV1032" s="10">
        <f t="shared" ca="1" si="1254"/>
        <v>0</v>
      </c>
      <c r="BW1032" s="10">
        <f t="shared" ca="1" si="1254"/>
        <v>0</v>
      </c>
      <c r="BX1032" s="10">
        <f t="shared" ref="BX1032:CO1032" ca="1" si="1255" xml:space="preserve"> $E1032*CPI_Accumulated_From_Date</f>
        <v>0</v>
      </c>
      <c r="BY1032" s="10">
        <f t="shared" ca="1" si="1255"/>
        <v>0</v>
      </c>
      <c r="BZ1032" s="10">
        <f t="shared" ca="1" si="1255"/>
        <v>0</v>
      </c>
      <c r="CA1032" s="10">
        <f t="shared" ca="1" si="1255"/>
        <v>0</v>
      </c>
      <c r="CB1032" s="10">
        <f t="shared" ca="1" si="1255"/>
        <v>0</v>
      </c>
      <c r="CC1032" s="10">
        <f t="shared" ca="1" si="1255"/>
        <v>0</v>
      </c>
      <c r="CD1032" s="10">
        <f t="shared" ca="1" si="1255"/>
        <v>0</v>
      </c>
      <c r="CE1032" s="10">
        <f t="shared" ca="1" si="1255"/>
        <v>0</v>
      </c>
      <c r="CF1032" s="10">
        <f t="shared" ca="1" si="1255"/>
        <v>0</v>
      </c>
      <c r="CG1032" s="10">
        <f t="shared" ca="1" si="1255"/>
        <v>0</v>
      </c>
      <c r="CH1032" s="10">
        <f t="shared" ca="1" si="1255"/>
        <v>0</v>
      </c>
      <c r="CI1032" s="10">
        <f t="shared" ca="1" si="1255"/>
        <v>0</v>
      </c>
      <c r="CJ1032" s="10">
        <f t="shared" ca="1" si="1255"/>
        <v>0</v>
      </c>
      <c r="CK1032" s="10">
        <f t="shared" ca="1" si="1255"/>
        <v>0</v>
      </c>
      <c r="CL1032" s="10">
        <f t="shared" ca="1" si="1255"/>
        <v>0</v>
      </c>
      <c r="CM1032" s="10">
        <f t="shared" ca="1" si="1255"/>
        <v>0</v>
      </c>
      <c r="CN1032" s="10">
        <f t="shared" ca="1" si="1255"/>
        <v>0</v>
      </c>
      <c r="CO1032" s="10">
        <f t="shared" ca="1" si="1255"/>
        <v>0</v>
      </c>
    </row>
    <row r="1033" spans="1:93" ht="15.75" thickBot="1">
      <c r="A1033" s="10"/>
      <c r="B1033" s="10"/>
      <c r="C1033" s="17" t="s">
        <v>474</v>
      </c>
      <c r="D1033" s="10"/>
      <c r="E1033" s="178">
        <f>Land_Tax_Rate</f>
        <v>0</v>
      </c>
      <c r="F1033" s="11"/>
      <c r="G1033" s="134" t="s">
        <v>28</v>
      </c>
      <c r="H1033" s="11"/>
      <c r="I1033" s="10"/>
      <c r="J1033" s="10"/>
      <c r="K1033" s="10"/>
      <c r="L1033" s="10">
        <f t="shared" ref="L1033:AQ1033" ca="1" si="1256" xml:space="preserve"> L1032 * $E1033 * Period_length</f>
        <v>0</v>
      </c>
      <c r="M1033" s="10">
        <f t="shared" ca="1" si="1256"/>
        <v>0</v>
      </c>
      <c r="N1033" s="10">
        <f t="shared" ca="1" si="1256"/>
        <v>0</v>
      </c>
      <c r="O1033" s="10">
        <f t="shared" ca="1" si="1256"/>
        <v>0</v>
      </c>
      <c r="P1033" s="10">
        <f t="shared" ca="1" si="1256"/>
        <v>0</v>
      </c>
      <c r="Q1033" s="10">
        <f t="shared" ca="1" si="1256"/>
        <v>0</v>
      </c>
      <c r="R1033" s="10">
        <f t="shared" ca="1" si="1256"/>
        <v>0</v>
      </c>
      <c r="S1033" s="10">
        <f t="shared" ca="1" si="1256"/>
        <v>0</v>
      </c>
      <c r="T1033" s="10">
        <f t="shared" ca="1" si="1256"/>
        <v>0</v>
      </c>
      <c r="U1033" s="10">
        <f t="shared" ca="1" si="1256"/>
        <v>0</v>
      </c>
      <c r="V1033" s="10">
        <f t="shared" ca="1" si="1256"/>
        <v>0</v>
      </c>
      <c r="W1033" s="10">
        <f t="shared" ca="1" si="1256"/>
        <v>0</v>
      </c>
      <c r="X1033" s="10">
        <f t="shared" ca="1" si="1256"/>
        <v>0</v>
      </c>
      <c r="Y1033" s="10">
        <f t="shared" ca="1" si="1256"/>
        <v>0</v>
      </c>
      <c r="Z1033" s="10">
        <f t="shared" ca="1" si="1256"/>
        <v>0</v>
      </c>
      <c r="AA1033" s="10">
        <f t="shared" ca="1" si="1256"/>
        <v>0</v>
      </c>
      <c r="AB1033" s="10">
        <f t="shared" ca="1" si="1256"/>
        <v>0</v>
      </c>
      <c r="AC1033" s="10">
        <f t="shared" ca="1" si="1256"/>
        <v>0</v>
      </c>
      <c r="AD1033" s="10">
        <f t="shared" ca="1" si="1256"/>
        <v>0</v>
      </c>
      <c r="AE1033" s="10">
        <f t="shared" ca="1" si="1256"/>
        <v>0</v>
      </c>
      <c r="AF1033" s="10">
        <f t="shared" ca="1" si="1256"/>
        <v>0</v>
      </c>
      <c r="AG1033" s="10">
        <f t="shared" ca="1" si="1256"/>
        <v>0</v>
      </c>
      <c r="AH1033" s="10">
        <f t="shared" ca="1" si="1256"/>
        <v>0</v>
      </c>
      <c r="AI1033" s="10">
        <f t="shared" ca="1" si="1256"/>
        <v>0</v>
      </c>
      <c r="AJ1033" s="10">
        <f t="shared" ca="1" si="1256"/>
        <v>0</v>
      </c>
      <c r="AK1033" s="10">
        <f t="shared" ca="1" si="1256"/>
        <v>0</v>
      </c>
      <c r="AL1033" s="10">
        <f t="shared" ca="1" si="1256"/>
        <v>0</v>
      </c>
      <c r="AM1033" s="10">
        <f t="shared" ca="1" si="1256"/>
        <v>0</v>
      </c>
      <c r="AN1033" s="10">
        <f t="shared" ca="1" si="1256"/>
        <v>0</v>
      </c>
      <c r="AO1033" s="10">
        <f t="shared" ca="1" si="1256"/>
        <v>0</v>
      </c>
      <c r="AP1033" s="10">
        <f t="shared" ca="1" si="1256"/>
        <v>0</v>
      </c>
      <c r="AQ1033" s="10">
        <f t="shared" ca="1" si="1256"/>
        <v>0</v>
      </c>
      <c r="AR1033" s="10">
        <f t="shared" ref="AR1033:BW1033" ca="1" si="1257" xml:space="preserve"> AR1032 * $E1033 * Period_length</f>
        <v>0</v>
      </c>
      <c r="AS1033" s="10">
        <f t="shared" ca="1" si="1257"/>
        <v>0</v>
      </c>
      <c r="AT1033" s="10">
        <f t="shared" ca="1" si="1257"/>
        <v>0</v>
      </c>
      <c r="AU1033" s="10">
        <f t="shared" ca="1" si="1257"/>
        <v>0</v>
      </c>
      <c r="AV1033" s="10">
        <f t="shared" ca="1" si="1257"/>
        <v>0</v>
      </c>
      <c r="AW1033" s="10">
        <f t="shared" ca="1" si="1257"/>
        <v>0</v>
      </c>
      <c r="AX1033" s="10">
        <f t="shared" ca="1" si="1257"/>
        <v>0</v>
      </c>
      <c r="AY1033" s="10">
        <f t="shared" ca="1" si="1257"/>
        <v>0</v>
      </c>
      <c r="AZ1033" s="10">
        <f t="shared" ca="1" si="1257"/>
        <v>0</v>
      </c>
      <c r="BA1033" s="10">
        <f t="shared" ca="1" si="1257"/>
        <v>0</v>
      </c>
      <c r="BB1033" s="10">
        <f t="shared" ca="1" si="1257"/>
        <v>0</v>
      </c>
      <c r="BC1033" s="10">
        <f t="shared" ca="1" si="1257"/>
        <v>0</v>
      </c>
      <c r="BD1033" s="10">
        <f t="shared" ca="1" si="1257"/>
        <v>0</v>
      </c>
      <c r="BE1033" s="10">
        <f t="shared" ca="1" si="1257"/>
        <v>0</v>
      </c>
      <c r="BF1033" s="10">
        <f t="shared" ca="1" si="1257"/>
        <v>0</v>
      </c>
      <c r="BG1033" s="10">
        <f t="shared" ca="1" si="1257"/>
        <v>0</v>
      </c>
      <c r="BH1033" s="10">
        <f t="shared" ca="1" si="1257"/>
        <v>0</v>
      </c>
      <c r="BI1033" s="10">
        <f t="shared" ca="1" si="1257"/>
        <v>0</v>
      </c>
      <c r="BJ1033" s="10">
        <f t="shared" ca="1" si="1257"/>
        <v>0</v>
      </c>
      <c r="BK1033" s="10">
        <f t="shared" ca="1" si="1257"/>
        <v>0</v>
      </c>
      <c r="BL1033" s="10">
        <f t="shared" ca="1" si="1257"/>
        <v>0</v>
      </c>
      <c r="BM1033" s="10">
        <f t="shared" ca="1" si="1257"/>
        <v>0</v>
      </c>
      <c r="BN1033" s="10">
        <f t="shared" ca="1" si="1257"/>
        <v>0</v>
      </c>
      <c r="BO1033" s="10">
        <f t="shared" ca="1" si="1257"/>
        <v>0</v>
      </c>
      <c r="BP1033" s="10">
        <f t="shared" ca="1" si="1257"/>
        <v>0</v>
      </c>
      <c r="BQ1033" s="10">
        <f t="shared" ca="1" si="1257"/>
        <v>0</v>
      </c>
      <c r="BR1033" s="10">
        <f t="shared" ca="1" si="1257"/>
        <v>0</v>
      </c>
      <c r="BS1033" s="10">
        <f t="shared" ca="1" si="1257"/>
        <v>0</v>
      </c>
      <c r="BT1033" s="10">
        <f t="shared" ca="1" si="1257"/>
        <v>0</v>
      </c>
      <c r="BU1033" s="10">
        <f t="shared" ca="1" si="1257"/>
        <v>0</v>
      </c>
      <c r="BV1033" s="10">
        <f t="shared" ca="1" si="1257"/>
        <v>0</v>
      </c>
      <c r="BW1033" s="10">
        <f t="shared" ca="1" si="1257"/>
        <v>0</v>
      </c>
      <c r="BX1033" s="10">
        <f t="shared" ref="BX1033:CO1033" ca="1" si="1258" xml:space="preserve"> BX1032 * $E1033 * Period_length</f>
        <v>0</v>
      </c>
      <c r="BY1033" s="10">
        <f t="shared" ca="1" si="1258"/>
        <v>0</v>
      </c>
      <c r="BZ1033" s="10">
        <f t="shared" ca="1" si="1258"/>
        <v>0</v>
      </c>
      <c r="CA1033" s="10">
        <f t="shared" ca="1" si="1258"/>
        <v>0</v>
      </c>
      <c r="CB1033" s="10">
        <f t="shared" ca="1" si="1258"/>
        <v>0</v>
      </c>
      <c r="CC1033" s="10">
        <f t="shared" ca="1" si="1258"/>
        <v>0</v>
      </c>
      <c r="CD1033" s="10">
        <f t="shared" ca="1" si="1258"/>
        <v>0</v>
      </c>
      <c r="CE1033" s="10">
        <f t="shared" ca="1" si="1258"/>
        <v>0</v>
      </c>
      <c r="CF1033" s="10">
        <f t="shared" ca="1" si="1258"/>
        <v>0</v>
      </c>
      <c r="CG1033" s="10">
        <f t="shared" ca="1" si="1258"/>
        <v>0</v>
      </c>
      <c r="CH1033" s="10">
        <f t="shared" ca="1" si="1258"/>
        <v>0</v>
      </c>
      <c r="CI1033" s="10">
        <f t="shared" ca="1" si="1258"/>
        <v>0</v>
      </c>
      <c r="CJ1033" s="10">
        <f t="shared" ca="1" si="1258"/>
        <v>0</v>
      </c>
      <c r="CK1033" s="10">
        <f t="shared" ca="1" si="1258"/>
        <v>0</v>
      </c>
      <c r="CL1033" s="10">
        <f t="shared" ca="1" si="1258"/>
        <v>0</v>
      </c>
      <c r="CM1033" s="10">
        <f t="shared" ca="1" si="1258"/>
        <v>0</v>
      </c>
      <c r="CN1033" s="10">
        <f t="shared" ca="1" si="1258"/>
        <v>0</v>
      </c>
      <c r="CO1033" s="10">
        <f t="shared" ca="1" si="1258"/>
        <v>0</v>
      </c>
    </row>
    <row r="1034" spans="1:93" ht="15.75" thickTop="1">
      <c r="A1034" s="172"/>
      <c r="B1034" s="35"/>
      <c r="C1034" s="173" t="s">
        <v>455</v>
      </c>
      <c r="D1034" s="49"/>
      <c r="E1034" s="49"/>
      <c r="F1034" s="49"/>
      <c r="G1034" s="159" t="str">
        <f>Monetary_Unit</f>
        <v>тыс. руб.</v>
      </c>
      <c r="H1034" s="49"/>
      <c r="I1034" s="176">
        <f ca="1">SUM(L1034:CO1034)</f>
        <v>0</v>
      </c>
      <c r="J1034" s="49"/>
      <c r="K1034" s="49"/>
      <c r="L1034" s="49">
        <f t="shared" ref="L1034:R1034" ca="1" si="1259">L1033</f>
        <v>0</v>
      </c>
      <c r="M1034" s="49">
        <f t="shared" ca="1" si="1259"/>
        <v>0</v>
      </c>
      <c r="N1034" s="49">
        <f t="shared" ca="1" si="1259"/>
        <v>0</v>
      </c>
      <c r="O1034" s="49">
        <f t="shared" ca="1" si="1259"/>
        <v>0</v>
      </c>
      <c r="P1034" s="49">
        <f t="shared" ca="1" si="1259"/>
        <v>0</v>
      </c>
      <c r="Q1034" s="49">
        <f t="shared" ca="1" si="1259"/>
        <v>0</v>
      </c>
      <c r="R1034" s="49">
        <f t="shared" ca="1" si="1259"/>
        <v>0</v>
      </c>
      <c r="S1034" s="49">
        <f ca="1">S1033</f>
        <v>0</v>
      </c>
      <c r="T1034" s="49">
        <f t="shared" ref="T1034:CE1034" ca="1" si="1260">T1033</f>
        <v>0</v>
      </c>
      <c r="U1034" s="49">
        <f t="shared" ca="1" si="1260"/>
        <v>0</v>
      </c>
      <c r="V1034" s="49">
        <f t="shared" ca="1" si="1260"/>
        <v>0</v>
      </c>
      <c r="W1034" s="49">
        <f t="shared" ca="1" si="1260"/>
        <v>0</v>
      </c>
      <c r="X1034" s="49">
        <f t="shared" ca="1" si="1260"/>
        <v>0</v>
      </c>
      <c r="Y1034" s="49">
        <f t="shared" ca="1" si="1260"/>
        <v>0</v>
      </c>
      <c r="Z1034" s="49">
        <f t="shared" ca="1" si="1260"/>
        <v>0</v>
      </c>
      <c r="AA1034" s="49">
        <f t="shared" ca="1" si="1260"/>
        <v>0</v>
      </c>
      <c r="AB1034" s="49">
        <f t="shared" ca="1" si="1260"/>
        <v>0</v>
      </c>
      <c r="AC1034" s="49">
        <f t="shared" ca="1" si="1260"/>
        <v>0</v>
      </c>
      <c r="AD1034" s="49">
        <f t="shared" ca="1" si="1260"/>
        <v>0</v>
      </c>
      <c r="AE1034" s="49">
        <f t="shared" ca="1" si="1260"/>
        <v>0</v>
      </c>
      <c r="AF1034" s="49">
        <f t="shared" ca="1" si="1260"/>
        <v>0</v>
      </c>
      <c r="AG1034" s="49">
        <f t="shared" ca="1" si="1260"/>
        <v>0</v>
      </c>
      <c r="AH1034" s="49">
        <f t="shared" ca="1" si="1260"/>
        <v>0</v>
      </c>
      <c r="AI1034" s="49">
        <f t="shared" ca="1" si="1260"/>
        <v>0</v>
      </c>
      <c r="AJ1034" s="49">
        <f t="shared" ca="1" si="1260"/>
        <v>0</v>
      </c>
      <c r="AK1034" s="49">
        <f t="shared" ca="1" si="1260"/>
        <v>0</v>
      </c>
      <c r="AL1034" s="49">
        <f t="shared" ca="1" si="1260"/>
        <v>0</v>
      </c>
      <c r="AM1034" s="49">
        <f t="shared" ca="1" si="1260"/>
        <v>0</v>
      </c>
      <c r="AN1034" s="49">
        <f t="shared" ca="1" si="1260"/>
        <v>0</v>
      </c>
      <c r="AO1034" s="49">
        <f t="shared" ca="1" si="1260"/>
        <v>0</v>
      </c>
      <c r="AP1034" s="49">
        <f t="shared" ca="1" si="1260"/>
        <v>0</v>
      </c>
      <c r="AQ1034" s="49">
        <f t="shared" ca="1" si="1260"/>
        <v>0</v>
      </c>
      <c r="AR1034" s="49">
        <f t="shared" ca="1" si="1260"/>
        <v>0</v>
      </c>
      <c r="AS1034" s="49">
        <f t="shared" ca="1" si="1260"/>
        <v>0</v>
      </c>
      <c r="AT1034" s="49">
        <f t="shared" ca="1" si="1260"/>
        <v>0</v>
      </c>
      <c r="AU1034" s="49">
        <f t="shared" ca="1" si="1260"/>
        <v>0</v>
      </c>
      <c r="AV1034" s="49">
        <f t="shared" ca="1" si="1260"/>
        <v>0</v>
      </c>
      <c r="AW1034" s="49">
        <f t="shared" ca="1" si="1260"/>
        <v>0</v>
      </c>
      <c r="AX1034" s="49">
        <f t="shared" ca="1" si="1260"/>
        <v>0</v>
      </c>
      <c r="AY1034" s="49">
        <f t="shared" ca="1" si="1260"/>
        <v>0</v>
      </c>
      <c r="AZ1034" s="49">
        <f t="shared" ca="1" si="1260"/>
        <v>0</v>
      </c>
      <c r="BA1034" s="49">
        <f t="shared" ca="1" si="1260"/>
        <v>0</v>
      </c>
      <c r="BB1034" s="49">
        <f t="shared" ca="1" si="1260"/>
        <v>0</v>
      </c>
      <c r="BC1034" s="49">
        <f t="shared" ca="1" si="1260"/>
        <v>0</v>
      </c>
      <c r="BD1034" s="49">
        <f t="shared" ca="1" si="1260"/>
        <v>0</v>
      </c>
      <c r="BE1034" s="49">
        <f t="shared" ca="1" si="1260"/>
        <v>0</v>
      </c>
      <c r="BF1034" s="49">
        <f t="shared" ca="1" si="1260"/>
        <v>0</v>
      </c>
      <c r="BG1034" s="49">
        <f t="shared" ca="1" si="1260"/>
        <v>0</v>
      </c>
      <c r="BH1034" s="49">
        <f t="shared" ca="1" si="1260"/>
        <v>0</v>
      </c>
      <c r="BI1034" s="49">
        <f t="shared" ca="1" si="1260"/>
        <v>0</v>
      </c>
      <c r="BJ1034" s="49">
        <f t="shared" ca="1" si="1260"/>
        <v>0</v>
      </c>
      <c r="BK1034" s="49">
        <f t="shared" ca="1" si="1260"/>
        <v>0</v>
      </c>
      <c r="BL1034" s="49">
        <f t="shared" ca="1" si="1260"/>
        <v>0</v>
      </c>
      <c r="BM1034" s="49">
        <f t="shared" ca="1" si="1260"/>
        <v>0</v>
      </c>
      <c r="BN1034" s="49">
        <f t="shared" ca="1" si="1260"/>
        <v>0</v>
      </c>
      <c r="BO1034" s="49">
        <f t="shared" ca="1" si="1260"/>
        <v>0</v>
      </c>
      <c r="BP1034" s="49">
        <f t="shared" ca="1" si="1260"/>
        <v>0</v>
      </c>
      <c r="BQ1034" s="49">
        <f t="shared" ca="1" si="1260"/>
        <v>0</v>
      </c>
      <c r="BR1034" s="49">
        <f t="shared" ca="1" si="1260"/>
        <v>0</v>
      </c>
      <c r="BS1034" s="49">
        <f t="shared" ca="1" si="1260"/>
        <v>0</v>
      </c>
      <c r="BT1034" s="49">
        <f t="shared" ca="1" si="1260"/>
        <v>0</v>
      </c>
      <c r="BU1034" s="49">
        <f t="shared" ca="1" si="1260"/>
        <v>0</v>
      </c>
      <c r="BV1034" s="49">
        <f t="shared" ca="1" si="1260"/>
        <v>0</v>
      </c>
      <c r="BW1034" s="49">
        <f t="shared" ca="1" si="1260"/>
        <v>0</v>
      </c>
      <c r="BX1034" s="49">
        <f t="shared" ca="1" si="1260"/>
        <v>0</v>
      </c>
      <c r="BY1034" s="49">
        <f t="shared" ca="1" si="1260"/>
        <v>0</v>
      </c>
      <c r="BZ1034" s="49">
        <f t="shared" ca="1" si="1260"/>
        <v>0</v>
      </c>
      <c r="CA1034" s="49">
        <f t="shared" ca="1" si="1260"/>
        <v>0</v>
      </c>
      <c r="CB1034" s="49">
        <f t="shared" ca="1" si="1260"/>
        <v>0</v>
      </c>
      <c r="CC1034" s="49">
        <f t="shared" ca="1" si="1260"/>
        <v>0</v>
      </c>
      <c r="CD1034" s="49">
        <f t="shared" ca="1" si="1260"/>
        <v>0</v>
      </c>
      <c r="CE1034" s="49">
        <f t="shared" ca="1" si="1260"/>
        <v>0</v>
      </c>
      <c r="CF1034" s="49">
        <f t="shared" ref="CF1034:CO1034" ca="1" si="1261">CF1033</f>
        <v>0</v>
      </c>
      <c r="CG1034" s="49">
        <f t="shared" ca="1" si="1261"/>
        <v>0</v>
      </c>
      <c r="CH1034" s="49">
        <f t="shared" ca="1" si="1261"/>
        <v>0</v>
      </c>
      <c r="CI1034" s="49">
        <f t="shared" ca="1" si="1261"/>
        <v>0</v>
      </c>
      <c r="CJ1034" s="49">
        <f t="shared" ca="1" si="1261"/>
        <v>0</v>
      </c>
      <c r="CK1034" s="49">
        <f t="shared" ca="1" si="1261"/>
        <v>0</v>
      </c>
      <c r="CL1034" s="49">
        <f t="shared" ca="1" si="1261"/>
        <v>0</v>
      </c>
      <c r="CM1034" s="49">
        <f t="shared" ca="1" si="1261"/>
        <v>0</v>
      </c>
      <c r="CN1034" s="49">
        <f t="shared" ca="1" si="1261"/>
        <v>0</v>
      </c>
      <c r="CO1034" s="49">
        <f t="shared" ca="1" si="1261"/>
        <v>0</v>
      </c>
    </row>
    <row r="1035" spans="1:93">
      <c r="A1035" s="10"/>
      <c r="B1035" s="10"/>
      <c r="C1035" s="10"/>
      <c r="D1035" s="10"/>
      <c r="E1035" s="10"/>
      <c r="F1035" s="10"/>
      <c r="G1035" s="11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0"/>
      <c r="AH1035" s="10"/>
      <c r="AI1035" s="10"/>
      <c r="AJ1035" s="10"/>
      <c r="AK1035" s="10"/>
      <c r="AL1035" s="10"/>
      <c r="AM1035" s="10"/>
      <c r="AN1035" s="10"/>
      <c r="AO1035" s="10"/>
      <c r="AP1035" s="10"/>
      <c r="AQ1035" s="10"/>
      <c r="AR1035" s="10"/>
      <c r="AS1035" s="10"/>
      <c r="AT1035" s="10"/>
      <c r="AU1035" s="10"/>
      <c r="AV1035" s="10"/>
      <c r="AW1035" s="10"/>
      <c r="AX1035" s="10"/>
      <c r="AY1035" s="10"/>
      <c r="AZ1035" s="10"/>
      <c r="BA1035" s="10"/>
      <c r="BB1035" s="10"/>
      <c r="BC1035" s="10"/>
      <c r="BD1035" s="10"/>
      <c r="BE1035" s="10"/>
      <c r="BF1035" s="10"/>
      <c r="BG1035" s="10"/>
      <c r="BH1035" s="10"/>
      <c r="BI1035" s="10"/>
      <c r="BJ1035" s="10"/>
      <c r="BK1035" s="10"/>
      <c r="BL1035" s="10"/>
      <c r="BM1035" s="10"/>
      <c r="BN1035" s="10"/>
      <c r="BO1035" s="10"/>
      <c r="BP1035" s="10"/>
      <c r="BQ1035" s="10"/>
      <c r="BR1035" s="10"/>
      <c r="BS1035" s="10"/>
      <c r="BT1035" s="10"/>
      <c r="BU1035" s="10"/>
      <c r="BV1035" s="10"/>
      <c r="BW1035" s="10"/>
      <c r="BX1035" s="10"/>
      <c r="BY1035" s="10"/>
      <c r="BZ1035" s="10"/>
      <c r="CA1035" s="10"/>
      <c r="CB1035" s="10"/>
      <c r="CC1035" s="10"/>
      <c r="CD1035" s="10"/>
      <c r="CE1035" s="10"/>
      <c r="CF1035" s="10"/>
      <c r="CG1035" s="10"/>
      <c r="CH1035" s="10"/>
      <c r="CI1035" s="10"/>
      <c r="CJ1035" s="10"/>
      <c r="CK1035" s="10"/>
      <c r="CL1035" s="10"/>
      <c r="CM1035" s="10"/>
      <c r="CN1035" s="10"/>
      <c r="CO1035" s="10"/>
    </row>
    <row r="1036" spans="1:93" ht="22.5" customHeight="1">
      <c r="A1036" s="10"/>
      <c r="B1036" s="5" t="s">
        <v>173</v>
      </c>
      <c r="C1036" s="5"/>
      <c r="D1036" s="15"/>
      <c r="E1036" s="5"/>
      <c r="F1036" s="5"/>
      <c r="G1036" s="6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5"/>
      <c r="BP1036" s="5"/>
      <c r="BQ1036" s="5"/>
      <c r="BR1036" s="5"/>
      <c r="BS1036" s="5"/>
      <c r="BT1036" s="5"/>
      <c r="BU1036" s="5"/>
      <c r="BV1036" s="5"/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</row>
    <row r="1037" spans="1:93">
      <c r="A1037" s="10"/>
      <c r="B1037" s="10"/>
      <c r="C1037" s="10"/>
      <c r="D1037" s="10"/>
      <c r="E1037" s="10"/>
      <c r="F1037" s="10"/>
      <c r="G1037" s="11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0"/>
      <c r="AH1037" s="10"/>
      <c r="AI1037" s="10"/>
      <c r="AJ1037" s="10"/>
      <c r="AK1037" s="10"/>
      <c r="AL1037" s="10"/>
      <c r="AM1037" s="10"/>
      <c r="AN1037" s="10"/>
      <c r="AO1037" s="10"/>
      <c r="AP1037" s="10"/>
      <c r="AQ1037" s="10"/>
      <c r="AR1037" s="10"/>
      <c r="AS1037" s="10"/>
      <c r="AT1037" s="10"/>
      <c r="AU1037" s="10"/>
      <c r="AV1037" s="10"/>
      <c r="AW1037" s="10"/>
      <c r="AX1037" s="10"/>
      <c r="AY1037" s="10"/>
      <c r="AZ1037" s="10"/>
      <c r="BA1037" s="10"/>
      <c r="BB1037" s="10"/>
      <c r="BC1037" s="10"/>
      <c r="BD1037" s="10"/>
      <c r="BE1037" s="10"/>
      <c r="BF1037" s="10"/>
      <c r="BG1037" s="10"/>
      <c r="BH1037" s="10"/>
      <c r="BI1037" s="10"/>
      <c r="BJ1037" s="10"/>
      <c r="BK1037" s="10"/>
      <c r="BL1037" s="10"/>
      <c r="BM1037" s="10"/>
      <c r="BN1037" s="10"/>
      <c r="BO1037" s="10"/>
      <c r="BP1037" s="10"/>
      <c r="BQ1037" s="10"/>
      <c r="BR1037" s="10"/>
      <c r="BS1037" s="10"/>
      <c r="BT1037" s="10"/>
      <c r="BU1037" s="10"/>
      <c r="BV1037" s="10"/>
      <c r="BW1037" s="10"/>
      <c r="BX1037" s="10"/>
      <c r="BY1037" s="10"/>
      <c r="BZ1037" s="10"/>
      <c r="CA1037" s="10"/>
      <c r="CB1037" s="10"/>
      <c r="CC1037" s="10"/>
      <c r="CD1037" s="10"/>
      <c r="CE1037" s="10"/>
      <c r="CF1037" s="10"/>
      <c r="CG1037" s="10"/>
      <c r="CH1037" s="10"/>
      <c r="CI1037" s="10"/>
      <c r="CJ1037" s="10"/>
      <c r="CK1037" s="10"/>
      <c r="CL1037" s="10"/>
      <c r="CM1037" s="10"/>
      <c r="CN1037" s="10"/>
      <c r="CO1037" s="10"/>
    </row>
    <row r="1038" spans="1:93" ht="16.5" thickBot="1">
      <c r="A1038" s="10"/>
      <c r="B1038" s="10"/>
      <c r="C1038" s="12" t="s">
        <v>172</v>
      </c>
      <c r="D1038" s="10"/>
      <c r="E1038" s="10"/>
      <c r="F1038" s="10"/>
      <c r="G1038" s="11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0"/>
      <c r="AH1038" s="10"/>
      <c r="AI1038" s="10"/>
      <c r="AJ1038" s="10"/>
      <c r="AK1038" s="10"/>
      <c r="AL1038" s="10"/>
      <c r="AM1038" s="10"/>
      <c r="AN1038" s="10"/>
      <c r="AO1038" s="10"/>
      <c r="AP1038" s="10"/>
      <c r="AQ1038" s="10"/>
      <c r="AR1038" s="10"/>
      <c r="AS1038" s="10"/>
      <c r="AT1038" s="10"/>
      <c r="AU1038" s="10"/>
      <c r="AV1038" s="10"/>
      <c r="AW1038" s="10"/>
      <c r="AX1038" s="10"/>
      <c r="AY1038" s="10"/>
      <c r="AZ1038" s="10"/>
      <c r="BA1038" s="10"/>
      <c r="BB1038" s="10"/>
      <c r="BC1038" s="10"/>
      <c r="BD1038" s="10"/>
      <c r="BE1038" s="10"/>
      <c r="BF1038" s="10"/>
      <c r="BG1038" s="10"/>
      <c r="BH1038" s="10"/>
      <c r="BI1038" s="10"/>
      <c r="BJ1038" s="10"/>
      <c r="BK1038" s="10"/>
      <c r="BL1038" s="10"/>
      <c r="BM1038" s="10"/>
      <c r="BN1038" s="10"/>
      <c r="BO1038" s="10"/>
      <c r="BP1038" s="10"/>
      <c r="BQ1038" s="10"/>
      <c r="BR1038" s="10"/>
      <c r="BS1038" s="10"/>
      <c r="BT1038" s="10"/>
      <c r="BU1038" s="10"/>
      <c r="BV1038" s="10"/>
      <c r="BW1038" s="10"/>
      <c r="BX1038" s="10"/>
      <c r="BY1038" s="10"/>
      <c r="BZ1038" s="10"/>
      <c r="CA1038" s="10"/>
      <c r="CB1038" s="10"/>
      <c r="CC1038" s="10"/>
      <c r="CD1038" s="10"/>
      <c r="CE1038" s="10"/>
      <c r="CF1038" s="10"/>
      <c r="CG1038" s="10"/>
      <c r="CH1038" s="10"/>
      <c r="CI1038" s="10"/>
      <c r="CJ1038" s="10"/>
      <c r="CK1038" s="10"/>
      <c r="CL1038" s="10"/>
      <c r="CM1038" s="10"/>
      <c r="CN1038" s="10"/>
      <c r="CO1038" s="10"/>
    </row>
    <row r="1039" spans="1:93">
      <c r="A1039" s="10"/>
      <c r="B1039" s="10"/>
      <c r="C1039" s="10"/>
      <c r="D1039" s="10"/>
      <c r="E1039" s="10"/>
      <c r="F1039" s="10"/>
      <c r="G1039" s="11"/>
      <c r="H1039" s="10"/>
      <c r="I1039" s="10">
        <f ca="1">I1041*1.2/Предпосылки!E90</f>
        <v>309.24911557328278</v>
      </c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0"/>
      <c r="AH1039" s="10"/>
      <c r="AI1039" s="10"/>
      <c r="AJ1039" s="10"/>
      <c r="AK1039" s="10"/>
      <c r="AL1039" s="10"/>
      <c r="AM1039" s="10"/>
      <c r="AN1039" s="10"/>
      <c r="AO1039" s="10"/>
      <c r="AP1039" s="10"/>
      <c r="AQ1039" s="10"/>
      <c r="AR1039" s="10"/>
      <c r="AS1039" s="10"/>
      <c r="AT1039" s="10"/>
      <c r="AU1039" s="10"/>
      <c r="AV1039" s="10"/>
      <c r="AW1039" s="10"/>
      <c r="AX1039" s="10"/>
      <c r="AY1039" s="10"/>
      <c r="AZ1039" s="10"/>
      <c r="BA1039" s="10"/>
      <c r="BB1039" s="10"/>
      <c r="BC1039" s="10"/>
      <c r="BD1039" s="10"/>
      <c r="BE1039" s="10"/>
      <c r="BF1039" s="10"/>
      <c r="BG1039" s="10"/>
      <c r="BH1039" s="10"/>
      <c r="BI1039" s="10"/>
      <c r="BJ1039" s="10"/>
      <c r="BK1039" s="10"/>
      <c r="BL1039" s="10"/>
      <c r="BM1039" s="10"/>
      <c r="BN1039" s="10"/>
      <c r="BO1039" s="10"/>
      <c r="BP1039" s="10"/>
      <c r="BQ1039" s="10"/>
      <c r="BR1039" s="10"/>
      <c r="BS1039" s="10"/>
      <c r="BT1039" s="10"/>
      <c r="BU1039" s="10"/>
      <c r="BV1039" s="10"/>
      <c r="BW1039" s="10"/>
      <c r="BX1039" s="10"/>
      <c r="BY1039" s="10"/>
      <c r="BZ1039" s="10"/>
      <c r="CA1039" s="10"/>
      <c r="CB1039" s="10"/>
      <c r="CC1039" s="10"/>
      <c r="CD1039" s="10"/>
      <c r="CE1039" s="10"/>
      <c r="CF1039" s="10"/>
      <c r="CG1039" s="10"/>
      <c r="CH1039" s="10"/>
      <c r="CI1039" s="10"/>
      <c r="CJ1039" s="10"/>
      <c r="CK1039" s="10"/>
      <c r="CL1039" s="10"/>
      <c r="CM1039" s="10"/>
      <c r="CN1039" s="10"/>
      <c r="CO1039" s="10"/>
    </row>
    <row r="1040" spans="1:93">
      <c r="A1040" s="10"/>
      <c r="B1040" s="10"/>
      <c r="C1040" s="32" t="s">
        <v>521</v>
      </c>
      <c r="D1040" s="10"/>
      <c r="E1040" s="10"/>
      <c r="F1040" s="10"/>
      <c r="G1040" s="11"/>
      <c r="H1040" s="10"/>
      <c r="I1040" s="10">
        <f ca="1">(I1041)/200</f>
        <v>15436.427311436722</v>
      </c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0"/>
      <c r="AH1040" s="10"/>
      <c r="AI1040" s="10"/>
      <c r="AJ1040" s="10"/>
      <c r="AK1040" s="10"/>
      <c r="AL1040" s="10"/>
      <c r="AM1040" s="10"/>
      <c r="AN1040" s="10"/>
      <c r="AO1040" s="10"/>
      <c r="AP1040" s="10"/>
      <c r="AQ1040" s="10"/>
      <c r="AR1040" s="10"/>
      <c r="AS1040" s="10"/>
      <c r="AT1040" s="10"/>
      <c r="AU1040" s="10"/>
      <c r="AV1040" s="10"/>
      <c r="AW1040" s="10"/>
      <c r="AX1040" s="10"/>
      <c r="AY1040" s="10"/>
      <c r="AZ1040" s="10"/>
      <c r="BA1040" s="10"/>
      <c r="BB1040" s="10"/>
      <c r="BC1040" s="10"/>
      <c r="BD1040" s="10"/>
      <c r="BE1040" s="10"/>
      <c r="BF1040" s="10"/>
      <c r="BG1040" s="10"/>
      <c r="BH1040" s="10"/>
      <c r="BI1040" s="10"/>
      <c r="BJ1040" s="10"/>
      <c r="BK1040" s="10"/>
      <c r="BL1040" s="10"/>
      <c r="BM1040" s="10"/>
      <c r="BN1040" s="10"/>
      <c r="BO1040" s="10"/>
      <c r="BP1040" s="10"/>
      <c r="BQ1040" s="10"/>
      <c r="BR1040" s="10"/>
      <c r="BS1040" s="10"/>
      <c r="BT1040" s="10"/>
      <c r="BU1040" s="10"/>
      <c r="BV1040" s="10"/>
      <c r="BW1040" s="10"/>
      <c r="BX1040" s="10"/>
      <c r="BY1040" s="10"/>
      <c r="BZ1040" s="10"/>
      <c r="CA1040" s="10"/>
      <c r="CB1040" s="10"/>
      <c r="CC1040" s="10"/>
      <c r="CD1040" s="10"/>
      <c r="CE1040" s="10"/>
      <c r="CF1040" s="10"/>
      <c r="CG1040" s="10"/>
      <c r="CH1040" s="10"/>
      <c r="CI1040" s="10"/>
      <c r="CJ1040" s="10"/>
      <c r="CK1040" s="10"/>
      <c r="CL1040" s="10"/>
      <c r="CM1040" s="10"/>
      <c r="CN1040" s="10"/>
      <c r="CO1040" s="10"/>
    </row>
    <row r="1041" spans="1:93">
      <c r="A1041" s="10"/>
      <c r="B1041" s="10"/>
      <c r="C1041" s="21" t="s">
        <v>161</v>
      </c>
      <c r="D1041" s="10"/>
      <c r="E1041" s="10"/>
      <c r="F1041" s="10"/>
      <c r="G1041" s="134" t="str">
        <f t="shared" ref="G1041:G1053" si="1262">Monetary_Unit</f>
        <v>тыс. руб.</v>
      </c>
      <c r="H1041" s="10"/>
      <c r="I1041" s="23">
        <f t="shared" ref="I1041:I1053" ca="1" si="1263">SUM(L1041:CO1041)</f>
        <v>3087285.4622873445</v>
      </c>
      <c r="J1041" s="10"/>
      <c r="K1041" s="10"/>
      <c r="L1041" s="10">
        <f t="shared" ref="L1041:BW1041" ca="1" si="1264">CAPEX</f>
        <v>16859.627844133964</v>
      </c>
      <c r="M1041" s="10">
        <f t="shared" ca="1" si="1264"/>
        <v>17098.948363166921</v>
      </c>
      <c r="N1041" s="10">
        <f t="shared" ca="1" si="1264"/>
        <v>17341.666010022611</v>
      </c>
      <c r="O1041" s="10">
        <f t="shared" ca="1" si="1264"/>
        <v>17587.829006547992</v>
      </c>
      <c r="P1041" s="10">
        <f t="shared" ca="1" si="1264"/>
        <v>147908.74218730364</v>
      </c>
      <c r="Q1041" s="10">
        <f t="shared" ca="1" si="1264"/>
        <v>149366.14715622176</v>
      </c>
      <c r="R1041" s="10">
        <f t="shared" ca="1" si="1264"/>
        <v>150837.91252880514</v>
      </c>
      <c r="S1041" s="10">
        <f t="shared" ca="1" si="1264"/>
        <v>152324.1798039492</v>
      </c>
      <c r="T1041" s="10">
        <f t="shared" ca="1" si="1264"/>
        <v>153825.09187479576</v>
      </c>
      <c r="U1041" s="10">
        <f t="shared" ca="1" si="1264"/>
        <v>155340.79304247064</v>
      </c>
      <c r="V1041" s="10">
        <f t="shared" ca="1" si="1264"/>
        <v>156871.42902995727</v>
      </c>
      <c r="W1041" s="10">
        <f t="shared" ca="1" si="1264"/>
        <v>158417.14699610716</v>
      </c>
      <c r="X1041" s="10">
        <f t="shared" ca="1" si="1264"/>
        <v>306312.90818037902</v>
      </c>
      <c r="Y1041" s="10">
        <f t="shared" ca="1" si="1264"/>
        <v>309331.13379587734</v>
      </c>
      <c r="Z1041" s="10">
        <f t="shared" ca="1" si="1264"/>
        <v>312379.09921542153</v>
      </c>
      <c r="AA1041" s="10">
        <f t="shared" ca="1" si="1264"/>
        <v>315457.09747739154</v>
      </c>
      <c r="AB1041" s="10">
        <f t="shared" ca="1" si="1264"/>
        <v>550025.70977479313</v>
      </c>
      <c r="AC1041" s="10">
        <f t="shared" ca="1" si="1264"/>
        <v>0</v>
      </c>
      <c r="AD1041" s="10">
        <f t="shared" ca="1" si="1264"/>
        <v>0</v>
      </c>
      <c r="AE1041" s="10">
        <f t="shared" ca="1" si="1264"/>
        <v>0</v>
      </c>
      <c r="AF1041" s="10">
        <f t="shared" ca="1" si="1264"/>
        <v>0</v>
      </c>
      <c r="AG1041" s="10">
        <f t="shared" ca="1" si="1264"/>
        <v>0</v>
      </c>
      <c r="AH1041" s="10">
        <f t="shared" ca="1" si="1264"/>
        <v>0</v>
      </c>
      <c r="AI1041" s="10">
        <f t="shared" ca="1" si="1264"/>
        <v>0</v>
      </c>
      <c r="AJ1041" s="10">
        <f t="shared" ca="1" si="1264"/>
        <v>0</v>
      </c>
      <c r="AK1041" s="10">
        <f t="shared" ca="1" si="1264"/>
        <v>0</v>
      </c>
      <c r="AL1041" s="10">
        <f t="shared" ca="1" si="1264"/>
        <v>0</v>
      </c>
      <c r="AM1041" s="10">
        <f t="shared" ca="1" si="1264"/>
        <v>0</v>
      </c>
      <c r="AN1041" s="10">
        <f t="shared" ca="1" si="1264"/>
        <v>0</v>
      </c>
      <c r="AO1041" s="10">
        <f t="shared" ca="1" si="1264"/>
        <v>0</v>
      </c>
      <c r="AP1041" s="10">
        <f t="shared" ca="1" si="1264"/>
        <v>0</v>
      </c>
      <c r="AQ1041" s="10">
        <f t="shared" ca="1" si="1264"/>
        <v>0</v>
      </c>
      <c r="AR1041" s="10">
        <f t="shared" ca="1" si="1264"/>
        <v>0</v>
      </c>
      <c r="AS1041" s="10">
        <f t="shared" ca="1" si="1264"/>
        <v>0</v>
      </c>
      <c r="AT1041" s="10">
        <f t="shared" ca="1" si="1264"/>
        <v>0</v>
      </c>
      <c r="AU1041" s="10">
        <f t="shared" ca="1" si="1264"/>
        <v>0</v>
      </c>
      <c r="AV1041" s="10">
        <f t="shared" ca="1" si="1264"/>
        <v>0</v>
      </c>
      <c r="AW1041" s="10">
        <f t="shared" ca="1" si="1264"/>
        <v>0</v>
      </c>
      <c r="AX1041" s="10">
        <f t="shared" ca="1" si="1264"/>
        <v>0</v>
      </c>
      <c r="AY1041" s="10">
        <f t="shared" ca="1" si="1264"/>
        <v>0</v>
      </c>
      <c r="AZ1041" s="10">
        <f t="shared" ca="1" si="1264"/>
        <v>0</v>
      </c>
      <c r="BA1041" s="10">
        <f t="shared" ca="1" si="1264"/>
        <v>0</v>
      </c>
      <c r="BB1041" s="10">
        <f t="shared" ca="1" si="1264"/>
        <v>0</v>
      </c>
      <c r="BC1041" s="10">
        <f t="shared" ca="1" si="1264"/>
        <v>0</v>
      </c>
      <c r="BD1041" s="10">
        <f t="shared" ca="1" si="1264"/>
        <v>0</v>
      </c>
      <c r="BE1041" s="10">
        <f t="shared" ca="1" si="1264"/>
        <v>0</v>
      </c>
      <c r="BF1041" s="10">
        <f t="shared" ca="1" si="1264"/>
        <v>0</v>
      </c>
      <c r="BG1041" s="10">
        <f t="shared" ca="1" si="1264"/>
        <v>0</v>
      </c>
      <c r="BH1041" s="10">
        <f t="shared" ca="1" si="1264"/>
        <v>0</v>
      </c>
      <c r="BI1041" s="10">
        <f t="shared" ca="1" si="1264"/>
        <v>0</v>
      </c>
      <c r="BJ1041" s="10">
        <f t="shared" ca="1" si="1264"/>
        <v>0</v>
      </c>
      <c r="BK1041" s="10">
        <f t="shared" ca="1" si="1264"/>
        <v>0</v>
      </c>
      <c r="BL1041" s="10">
        <f t="shared" ca="1" si="1264"/>
        <v>0</v>
      </c>
      <c r="BM1041" s="10">
        <f t="shared" ca="1" si="1264"/>
        <v>0</v>
      </c>
      <c r="BN1041" s="10">
        <f t="shared" ca="1" si="1264"/>
        <v>0</v>
      </c>
      <c r="BO1041" s="10">
        <f t="shared" ca="1" si="1264"/>
        <v>0</v>
      </c>
      <c r="BP1041" s="10">
        <f t="shared" ca="1" si="1264"/>
        <v>0</v>
      </c>
      <c r="BQ1041" s="10">
        <f t="shared" ca="1" si="1264"/>
        <v>0</v>
      </c>
      <c r="BR1041" s="10">
        <f t="shared" ca="1" si="1264"/>
        <v>0</v>
      </c>
      <c r="BS1041" s="10">
        <f t="shared" ca="1" si="1264"/>
        <v>0</v>
      </c>
      <c r="BT1041" s="10">
        <f t="shared" ca="1" si="1264"/>
        <v>0</v>
      </c>
      <c r="BU1041" s="10">
        <f t="shared" ca="1" si="1264"/>
        <v>0</v>
      </c>
      <c r="BV1041" s="10">
        <f t="shared" ca="1" si="1264"/>
        <v>0</v>
      </c>
      <c r="BW1041" s="10">
        <f t="shared" ca="1" si="1264"/>
        <v>0</v>
      </c>
      <c r="BX1041" s="10">
        <f t="shared" ref="BX1041:CO1041" ca="1" si="1265">CAPEX</f>
        <v>0</v>
      </c>
      <c r="BY1041" s="10">
        <f t="shared" ca="1" si="1265"/>
        <v>0</v>
      </c>
      <c r="BZ1041" s="10">
        <f t="shared" ca="1" si="1265"/>
        <v>0</v>
      </c>
      <c r="CA1041" s="10">
        <f t="shared" ca="1" si="1265"/>
        <v>0</v>
      </c>
      <c r="CB1041" s="10">
        <f t="shared" ca="1" si="1265"/>
        <v>0</v>
      </c>
      <c r="CC1041" s="10">
        <f t="shared" ca="1" si="1265"/>
        <v>0</v>
      </c>
      <c r="CD1041" s="10">
        <f t="shared" ca="1" si="1265"/>
        <v>0</v>
      </c>
      <c r="CE1041" s="10">
        <f t="shared" ca="1" si="1265"/>
        <v>0</v>
      </c>
      <c r="CF1041" s="10">
        <f t="shared" ca="1" si="1265"/>
        <v>0</v>
      </c>
      <c r="CG1041" s="10">
        <f t="shared" ca="1" si="1265"/>
        <v>0</v>
      </c>
      <c r="CH1041" s="10">
        <f t="shared" ca="1" si="1265"/>
        <v>0</v>
      </c>
      <c r="CI1041" s="10">
        <f t="shared" ca="1" si="1265"/>
        <v>0</v>
      </c>
      <c r="CJ1041" s="10">
        <f t="shared" ca="1" si="1265"/>
        <v>0</v>
      </c>
      <c r="CK1041" s="10">
        <f t="shared" ca="1" si="1265"/>
        <v>0</v>
      </c>
      <c r="CL1041" s="10">
        <f t="shared" ca="1" si="1265"/>
        <v>0</v>
      </c>
      <c r="CM1041" s="10">
        <f t="shared" ca="1" si="1265"/>
        <v>0</v>
      </c>
      <c r="CN1041" s="10">
        <f t="shared" ca="1" si="1265"/>
        <v>0</v>
      </c>
      <c r="CO1041" s="10">
        <f t="shared" ca="1" si="1265"/>
        <v>0</v>
      </c>
    </row>
    <row r="1042" spans="1:93">
      <c r="A1042" s="10"/>
      <c r="B1042" s="10"/>
      <c r="C1042" s="21" t="s">
        <v>700</v>
      </c>
      <c r="D1042" s="10"/>
      <c r="E1042" s="10"/>
      <c r="F1042" s="10"/>
      <c r="G1042" s="134" t="str">
        <f t="shared" si="1262"/>
        <v>тыс. руб.</v>
      </c>
      <c r="H1042" s="10"/>
      <c r="I1042" s="23">
        <f t="shared" ca="1" si="1263"/>
        <v>0</v>
      </c>
      <c r="J1042" s="10"/>
      <c r="K1042" s="10"/>
      <c r="L1042" s="10">
        <f t="shared" ref="L1042:BW1042" ca="1" si="1266">-(COGS) * (Flag_Construction)</f>
        <v>0</v>
      </c>
      <c r="M1042" s="10">
        <f t="shared" ca="1" si="1266"/>
        <v>0</v>
      </c>
      <c r="N1042" s="10">
        <f t="shared" ca="1" si="1266"/>
        <v>0</v>
      </c>
      <c r="O1042" s="10">
        <f t="shared" ca="1" si="1266"/>
        <v>0</v>
      </c>
      <c r="P1042" s="10">
        <f t="shared" ca="1" si="1266"/>
        <v>0</v>
      </c>
      <c r="Q1042" s="10">
        <f t="shared" ca="1" si="1266"/>
        <v>0</v>
      </c>
      <c r="R1042" s="10">
        <f t="shared" ca="1" si="1266"/>
        <v>0</v>
      </c>
      <c r="S1042" s="10">
        <f t="shared" ca="1" si="1266"/>
        <v>0</v>
      </c>
      <c r="T1042" s="10">
        <f t="shared" ca="1" si="1266"/>
        <v>0</v>
      </c>
      <c r="U1042" s="10">
        <f t="shared" ca="1" si="1266"/>
        <v>0</v>
      </c>
      <c r="V1042" s="10">
        <f t="shared" ca="1" si="1266"/>
        <v>0</v>
      </c>
      <c r="W1042" s="10">
        <f t="shared" ca="1" si="1266"/>
        <v>0</v>
      </c>
      <c r="X1042" s="10">
        <f t="shared" ca="1" si="1266"/>
        <v>0</v>
      </c>
      <c r="Y1042" s="10">
        <f t="shared" ca="1" si="1266"/>
        <v>0</v>
      </c>
      <c r="Z1042" s="10">
        <f t="shared" ca="1" si="1266"/>
        <v>0</v>
      </c>
      <c r="AA1042" s="10">
        <f t="shared" ca="1" si="1266"/>
        <v>0</v>
      </c>
      <c r="AB1042" s="10">
        <f t="shared" ca="1" si="1266"/>
        <v>0</v>
      </c>
      <c r="AC1042" s="10">
        <f t="shared" ca="1" si="1266"/>
        <v>0</v>
      </c>
      <c r="AD1042" s="10">
        <f t="shared" ca="1" si="1266"/>
        <v>0</v>
      </c>
      <c r="AE1042" s="10">
        <f t="shared" ca="1" si="1266"/>
        <v>0</v>
      </c>
      <c r="AF1042" s="10">
        <f t="shared" ca="1" si="1266"/>
        <v>0</v>
      </c>
      <c r="AG1042" s="10">
        <f t="shared" ca="1" si="1266"/>
        <v>0</v>
      </c>
      <c r="AH1042" s="10">
        <f t="shared" ca="1" si="1266"/>
        <v>0</v>
      </c>
      <c r="AI1042" s="10">
        <f t="shared" ca="1" si="1266"/>
        <v>0</v>
      </c>
      <c r="AJ1042" s="10">
        <f t="shared" ca="1" si="1266"/>
        <v>0</v>
      </c>
      <c r="AK1042" s="10">
        <f t="shared" ca="1" si="1266"/>
        <v>0</v>
      </c>
      <c r="AL1042" s="10">
        <f t="shared" ca="1" si="1266"/>
        <v>0</v>
      </c>
      <c r="AM1042" s="10">
        <f t="shared" ca="1" si="1266"/>
        <v>0</v>
      </c>
      <c r="AN1042" s="10">
        <f t="shared" ca="1" si="1266"/>
        <v>0</v>
      </c>
      <c r="AO1042" s="10">
        <f t="shared" ca="1" si="1266"/>
        <v>0</v>
      </c>
      <c r="AP1042" s="10">
        <f t="shared" ca="1" si="1266"/>
        <v>0</v>
      </c>
      <c r="AQ1042" s="10">
        <f t="shared" ca="1" si="1266"/>
        <v>0</v>
      </c>
      <c r="AR1042" s="10">
        <f t="shared" ca="1" si="1266"/>
        <v>0</v>
      </c>
      <c r="AS1042" s="10">
        <f t="shared" ca="1" si="1266"/>
        <v>0</v>
      </c>
      <c r="AT1042" s="10">
        <f t="shared" ca="1" si="1266"/>
        <v>0</v>
      </c>
      <c r="AU1042" s="10">
        <f t="shared" ca="1" si="1266"/>
        <v>0</v>
      </c>
      <c r="AV1042" s="10">
        <f t="shared" ca="1" si="1266"/>
        <v>0</v>
      </c>
      <c r="AW1042" s="10">
        <f t="shared" ca="1" si="1266"/>
        <v>0</v>
      </c>
      <c r="AX1042" s="10">
        <f t="shared" ca="1" si="1266"/>
        <v>0</v>
      </c>
      <c r="AY1042" s="10">
        <f t="shared" ca="1" si="1266"/>
        <v>0</v>
      </c>
      <c r="AZ1042" s="10">
        <f t="shared" ca="1" si="1266"/>
        <v>0</v>
      </c>
      <c r="BA1042" s="10">
        <f t="shared" ca="1" si="1266"/>
        <v>0</v>
      </c>
      <c r="BB1042" s="10">
        <f t="shared" ca="1" si="1266"/>
        <v>0</v>
      </c>
      <c r="BC1042" s="10">
        <f t="shared" ca="1" si="1266"/>
        <v>0</v>
      </c>
      <c r="BD1042" s="10">
        <f t="shared" ca="1" si="1266"/>
        <v>0</v>
      </c>
      <c r="BE1042" s="10">
        <f t="shared" ca="1" si="1266"/>
        <v>0</v>
      </c>
      <c r="BF1042" s="10">
        <f t="shared" ca="1" si="1266"/>
        <v>0</v>
      </c>
      <c r="BG1042" s="10">
        <f t="shared" ca="1" si="1266"/>
        <v>0</v>
      </c>
      <c r="BH1042" s="10">
        <f t="shared" ca="1" si="1266"/>
        <v>0</v>
      </c>
      <c r="BI1042" s="10">
        <f t="shared" ca="1" si="1266"/>
        <v>0</v>
      </c>
      <c r="BJ1042" s="10">
        <f t="shared" ca="1" si="1266"/>
        <v>0</v>
      </c>
      <c r="BK1042" s="10">
        <f t="shared" ca="1" si="1266"/>
        <v>0</v>
      </c>
      <c r="BL1042" s="10">
        <f t="shared" ca="1" si="1266"/>
        <v>0</v>
      </c>
      <c r="BM1042" s="10">
        <f t="shared" ca="1" si="1266"/>
        <v>0</v>
      </c>
      <c r="BN1042" s="10">
        <f t="shared" ca="1" si="1266"/>
        <v>0</v>
      </c>
      <c r="BO1042" s="10">
        <f t="shared" ca="1" si="1266"/>
        <v>0</v>
      </c>
      <c r="BP1042" s="10">
        <f t="shared" ca="1" si="1266"/>
        <v>0</v>
      </c>
      <c r="BQ1042" s="10">
        <f t="shared" ca="1" si="1266"/>
        <v>0</v>
      </c>
      <c r="BR1042" s="10">
        <f t="shared" ca="1" si="1266"/>
        <v>0</v>
      </c>
      <c r="BS1042" s="10">
        <f t="shared" ca="1" si="1266"/>
        <v>0</v>
      </c>
      <c r="BT1042" s="10">
        <f t="shared" ca="1" si="1266"/>
        <v>0</v>
      </c>
      <c r="BU1042" s="10">
        <f t="shared" ca="1" si="1266"/>
        <v>0</v>
      </c>
      <c r="BV1042" s="10">
        <f t="shared" ca="1" si="1266"/>
        <v>0</v>
      </c>
      <c r="BW1042" s="10">
        <f t="shared" ca="1" si="1266"/>
        <v>0</v>
      </c>
      <c r="BX1042" s="10">
        <f t="shared" ref="BX1042:CO1042" ca="1" si="1267">-(COGS) * (Flag_Construction)</f>
        <v>0</v>
      </c>
      <c r="BY1042" s="10">
        <f t="shared" ca="1" si="1267"/>
        <v>0</v>
      </c>
      <c r="BZ1042" s="10">
        <f t="shared" ca="1" si="1267"/>
        <v>0</v>
      </c>
      <c r="CA1042" s="10">
        <f t="shared" ca="1" si="1267"/>
        <v>0</v>
      </c>
      <c r="CB1042" s="10">
        <f t="shared" ca="1" si="1267"/>
        <v>0</v>
      </c>
      <c r="CC1042" s="10">
        <f t="shared" ca="1" si="1267"/>
        <v>0</v>
      </c>
      <c r="CD1042" s="10">
        <f t="shared" ca="1" si="1267"/>
        <v>0</v>
      </c>
      <c r="CE1042" s="10">
        <f t="shared" ca="1" si="1267"/>
        <v>0</v>
      </c>
      <c r="CF1042" s="10">
        <f t="shared" ca="1" si="1267"/>
        <v>0</v>
      </c>
      <c r="CG1042" s="10">
        <f t="shared" ca="1" si="1267"/>
        <v>0</v>
      </c>
      <c r="CH1042" s="10">
        <f t="shared" ca="1" si="1267"/>
        <v>0</v>
      </c>
      <c r="CI1042" s="10">
        <f t="shared" ca="1" si="1267"/>
        <v>0</v>
      </c>
      <c r="CJ1042" s="10">
        <f t="shared" ca="1" si="1267"/>
        <v>0</v>
      </c>
      <c r="CK1042" s="10">
        <f t="shared" ca="1" si="1267"/>
        <v>0</v>
      </c>
      <c r="CL1042" s="10">
        <f t="shared" ca="1" si="1267"/>
        <v>0</v>
      </c>
      <c r="CM1042" s="10">
        <f t="shared" ca="1" si="1267"/>
        <v>0</v>
      </c>
      <c r="CN1042" s="10">
        <f t="shared" ca="1" si="1267"/>
        <v>0</v>
      </c>
      <c r="CO1042" s="10">
        <f t="shared" ca="1" si="1267"/>
        <v>0</v>
      </c>
    </row>
    <row r="1043" spans="1:93">
      <c r="A1043" s="10"/>
      <c r="B1043" s="10"/>
      <c r="C1043" s="21" t="s">
        <v>728</v>
      </c>
      <c r="D1043" s="10"/>
      <c r="E1043" s="10"/>
      <c r="F1043" s="10"/>
      <c r="G1043" s="134" t="str">
        <f t="shared" si="1262"/>
        <v>тыс. руб.</v>
      </c>
      <c r="H1043" s="10"/>
      <c r="I1043" s="23">
        <f t="shared" ca="1" si="1263"/>
        <v>0</v>
      </c>
      <c r="J1043" s="10"/>
      <c r="K1043" s="10"/>
      <c r="L1043" s="10">
        <f t="shared" ref="L1043:BW1043" ca="1" si="1268">-(SGA) * (Flag_Construction)</f>
        <v>0</v>
      </c>
      <c r="M1043" s="10">
        <f t="shared" ca="1" si="1268"/>
        <v>0</v>
      </c>
      <c r="N1043" s="10">
        <f t="shared" ca="1" si="1268"/>
        <v>0</v>
      </c>
      <c r="O1043" s="10">
        <f t="shared" ca="1" si="1268"/>
        <v>0</v>
      </c>
      <c r="P1043" s="10">
        <f t="shared" ca="1" si="1268"/>
        <v>0</v>
      </c>
      <c r="Q1043" s="10">
        <f t="shared" ca="1" si="1268"/>
        <v>0</v>
      </c>
      <c r="R1043" s="10">
        <f t="shared" ca="1" si="1268"/>
        <v>0</v>
      </c>
      <c r="S1043" s="10">
        <f t="shared" ca="1" si="1268"/>
        <v>0</v>
      </c>
      <c r="T1043" s="10">
        <f t="shared" ca="1" si="1268"/>
        <v>0</v>
      </c>
      <c r="U1043" s="10">
        <f t="shared" ca="1" si="1268"/>
        <v>0</v>
      </c>
      <c r="V1043" s="10">
        <f t="shared" ca="1" si="1268"/>
        <v>0</v>
      </c>
      <c r="W1043" s="10">
        <f t="shared" ca="1" si="1268"/>
        <v>0</v>
      </c>
      <c r="X1043" s="10">
        <f t="shared" ca="1" si="1268"/>
        <v>0</v>
      </c>
      <c r="Y1043" s="10">
        <f t="shared" ca="1" si="1268"/>
        <v>0</v>
      </c>
      <c r="Z1043" s="10">
        <f t="shared" ca="1" si="1268"/>
        <v>0</v>
      </c>
      <c r="AA1043" s="10">
        <f t="shared" ca="1" si="1268"/>
        <v>0</v>
      </c>
      <c r="AB1043" s="10">
        <f t="shared" ca="1" si="1268"/>
        <v>0</v>
      </c>
      <c r="AC1043" s="10">
        <f t="shared" ca="1" si="1268"/>
        <v>0</v>
      </c>
      <c r="AD1043" s="10">
        <f t="shared" ca="1" si="1268"/>
        <v>0</v>
      </c>
      <c r="AE1043" s="10">
        <f t="shared" ca="1" si="1268"/>
        <v>0</v>
      </c>
      <c r="AF1043" s="10">
        <f t="shared" ca="1" si="1268"/>
        <v>0</v>
      </c>
      <c r="AG1043" s="10">
        <f t="shared" ca="1" si="1268"/>
        <v>0</v>
      </c>
      <c r="AH1043" s="10">
        <f t="shared" ca="1" si="1268"/>
        <v>0</v>
      </c>
      <c r="AI1043" s="10">
        <f t="shared" ca="1" si="1268"/>
        <v>0</v>
      </c>
      <c r="AJ1043" s="10">
        <f t="shared" ca="1" si="1268"/>
        <v>0</v>
      </c>
      <c r="AK1043" s="10">
        <f t="shared" ca="1" si="1268"/>
        <v>0</v>
      </c>
      <c r="AL1043" s="10">
        <f t="shared" ca="1" si="1268"/>
        <v>0</v>
      </c>
      <c r="AM1043" s="10">
        <f t="shared" ca="1" si="1268"/>
        <v>0</v>
      </c>
      <c r="AN1043" s="10">
        <f t="shared" ca="1" si="1268"/>
        <v>0</v>
      </c>
      <c r="AO1043" s="10">
        <f t="shared" ca="1" si="1268"/>
        <v>0</v>
      </c>
      <c r="AP1043" s="10">
        <f t="shared" ca="1" si="1268"/>
        <v>0</v>
      </c>
      <c r="AQ1043" s="10">
        <f t="shared" ca="1" si="1268"/>
        <v>0</v>
      </c>
      <c r="AR1043" s="10">
        <f t="shared" ca="1" si="1268"/>
        <v>0</v>
      </c>
      <c r="AS1043" s="10">
        <f t="shared" ca="1" si="1268"/>
        <v>0</v>
      </c>
      <c r="AT1043" s="10">
        <f t="shared" ca="1" si="1268"/>
        <v>0</v>
      </c>
      <c r="AU1043" s="10">
        <f t="shared" ca="1" si="1268"/>
        <v>0</v>
      </c>
      <c r="AV1043" s="10">
        <f t="shared" ca="1" si="1268"/>
        <v>0</v>
      </c>
      <c r="AW1043" s="10">
        <f t="shared" ca="1" si="1268"/>
        <v>0</v>
      </c>
      <c r="AX1043" s="10">
        <f t="shared" ca="1" si="1268"/>
        <v>0</v>
      </c>
      <c r="AY1043" s="10">
        <f t="shared" ca="1" si="1268"/>
        <v>0</v>
      </c>
      <c r="AZ1043" s="10">
        <f t="shared" ca="1" si="1268"/>
        <v>0</v>
      </c>
      <c r="BA1043" s="10">
        <f t="shared" ca="1" si="1268"/>
        <v>0</v>
      </c>
      <c r="BB1043" s="10">
        <f t="shared" ca="1" si="1268"/>
        <v>0</v>
      </c>
      <c r="BC1043" s="10">
        <f t="shared" ca="1" si="1268"/>
        <v>0</v>
      </c>
      <c r="BD1043" s="10">
        <f t="shared" ca="1" si="1268"/>
        <v>0</v>
      </c>
      <c r="BE1043" s="10">
        <f t="shared" ca="1" si="1268"/>
        <v>0</v>
      </c>
      <c r="BF1043" s="10">
        <f t="shared" ca="1" si="1268"/>
        <v>0</v>
      </c>
      <c r="BG1043" s="10">
        <f t="shared" ca="1" si="1268"/>
        <v>0</v>
      </c>
      <c r="BH1043" s="10">
        <f t="shared" ca="1" si="1268"/>
        <v>0</v>
      </c>
      <c r="BI1043" s="10">
        <f t="shared" ca="1" si="1268"/>
        <v>0</v>
      </c>
      <c r="BJ1043" s="10">
        <f t="shared" ca="1" si="1268"/>
        <v>0</v>
      </c>
      <c r="BK1043" s="10">
        <f t="shared" ca="1" si="1268"/>
        <v>0</v>
      </c>
      <c r="BL1043" s="10">
        <f t="shared" ca="1" si="1268"/>
        <v>0</v>
      </c>
      <c r="BM1043" s="10">
        <f t="shared" ca="1" si="1268"/>
        <v>0</v>
      </c>
      <c r="BN1043" s="10">
        <f t="shared" ca="1" si="1268"/>
        <v>0</v>
      </c>
      <c r="BO1043" s="10">
        <f t="shared" ca="1" si="1268"/>
        <v>0</v>
      </c>
      <c r="BP1043" s="10">
        <f t="shared" ca="1" si="1268"/>
        <v>0</v>
      </c>
      <c r="BQ1043" s="10">
        <f t="shared" ca="1" si="1268"/>
        <v>0</v>
      </c>
      <c r="BR1043" s="10">
        <f t="shared" ca="1" si="1268"/>
        <v>0</v>
      </c>
      <c r="BS1043" s="10">
        <f t="shared" ca="1" si="1268"/>
        <v>0</v>
      </c>
      <c r="BT1043" s="10">
        <f t="shared" ca="1" si="1268"/>
        <v>0</v>
      </c>
      <c r="BU1043" s="10">
        <f t="shared" ca="1" si="1268"/>
        <v>0</v>
      </c>
      <c r="BV1043" s="10">
        <f t="shared" ca="1" si="1268"/>
        <v>0</v>
      </c>
      <c r="BW1043" s="10">
        <f t="shared" ca="1" si="1268"/>
        <v>0</v>
      </c>
      <c r="BX1043" s="10">
        <f t="shared" ref="BX1043:CO1043" ca="1" si="1269">-(SGA) * (Flag_Construction)</f>
        <v>0</v>
      </c>
      <c r="BY1043" s="10">
        <f t="shared" ca="1" si="1269"/>
        <v>0</v>
      </c>
      <c r="BZ1043" s="10">
        <f t="shared" ca="1" si="1269"/>
        <v>0</v>
      </c>
      <c r="CA1043" s="10">
        <f t="shared" ca="1" si="1269"/>
        <v>0</v>
      </c>
      <c r="CB1043" s="10">
        <f t="shared" ca="1" si="1269"/>
        <v>0</v>
      </c>
      <c r="CC1043" s="10">
        <f t="shared" ca="1" si="1269"/>
        <v>0</v>
      </c>
      <c r="CD1043" s="10">
        <f t="shared" ca="1" si="1269"/>
        <v>0</v>
      </c>
      <c r="CE1043" s="10">
        <f t="shared" ca="1" si="1269"/>
        <v>0</v>
      </c>
      <c r="CF1043" s="10">
        <f t="shared" ca="1" si="1269"/>
        <v>0</v>
      </c>
      <c r="CG1043" s="10">
        <f t="shared" ca="1" si="1269"/>
        <v>0</v>
      </c>
      <c r="CH1043" s="10">
        <f t="shared" ca="1" si="1269"/>
        <v>0</v>
      </c>
      <c r="CI1043" s="10">
        <f t="shared" ca="1" si="1269"/>
        <v>0</v>
      </c>
      <c r="CJ1043" s="10">
        <f t="shared" ca="1" si="1269"/>
        <v>0</v>
      </c>
      <c r="CK1043" s="10">
        <f t="shared" ca="1" si="1269"/>
        <v>0</v>
      </c>
      <c r="CL1043" s="10">
        <f t="shared" ca="1" si="1269"/>
        <v>0</v>
      </c>
      <c r="CM1043" s="10">
        <f t="shared" ca="1" si="1269"/>
        <v>0</v>
      </c>
      <c r="CN1043" s="10">
        <f t="shared" ca="1" si="1269"/>
        <v>0</v>
      </c>
      <c r="CO1043" s="10">
        <f t="shared" ca="1" si="1269"/>
        <v>0</v>
      </c>
    </row>
    <row r="1044" spans="1:93">
      <c r="A1044" s="10"/>
      <c r="B1044" s="10"/>
      <c r="C1044" s="21" t="s">
        <v>488</v>
      </c>
      <c r="D1044" s="10"/>
      <c r="E1044" s="10"/>
      <c r="F1044" s="10"/>
      <c r="G1044" s="134" t="str">
        <f t="shared" si="1262"/>
        <v>тыс. руб.</v>
      </c>
      <c r="H1044" s="10"/>
      <c r="I1044" s="23">
        <f t="shared" ca="1" si="1263"/>
        <v>123533.77374294518</v>
      </c>
      <c r="J1044" s="10"/>
      <c r="K1044" s="10"/>
      <c r="L1044" s="10">
        <f t="shared" ref="L1044:BW1044" si="1270">-(Debt_Interest_Paid) * (Flag_Construction)</f>
        <v>0</v>
      </c>
      <c r="M1044" s="10">
        <f t="shared" ca="1" si="1270"/>
        <v>0</v>
      </c>
      <c r="N1044" s="10">
        <f t="shared" ca="1" si="1270"/>
        <v>0</v>
      </c>
      <c r="O1044" s="10">
        <f t="shared" ca="1" si="1270"/>
        <v>0</v>
      </c>
      <c r="P1044" s="10">
        <f t="shared" ca="1" si="1270"/>
        <v>0</v>
      </c>
      <c r="Q1044" s="10">
        <f t="shared" ca="1" si="1270"/>
        <v>0</v>
      </c>
      <c r="R1044" s="10">
        <f t="shared" ca="1" si="1270"/>
        <v>0</v>
      </c>
      <c r="S1044" s="10">
        <f t="shared" ca="1" si="1270"/>
        <v>0</v>
      </c>
      <c r="T1044" s="10">
        <f t="shared" ca="1" si="1270"/>
        <v>375.82926333388428</v>
      </c>
      <c r="U1044" s="10">
        <f t="shared" ca="1" si="1270"/>
        <v>2049.679343298747</v>
      </c>
      <c r="V1044" s="10">
        <f t="shared" ca="1" si="1270"/>
        <v>4692.73305525248</v>
      </c>
      <c r="W1044" s="10">
        <f t="shared" ca="1" si="1270"/>
        <v>7339.0839635085113</v>
      </c>
      <c r="X1044" s="10">
        <f t="shared" ca="1" si="1270"/>
        <v>11087.213428915877</v>
      </c>
      <c r="Y1044" s="10">
        <f t="shared" ca="1" si="1270"/>
        <v>16184.443320720929</v>
      </c>
      <c r="Z1044" s="10">
        <f t="shared" ca="1" si="1270"/>
        <v>21566.314755658917</v>
      </c>
      <c r="AA1044" s="10">
        <f t="shared" ca="1" si="1270"/>
        <v>26821.612493877776</v>
      </c>
      <c r="AB1044" s="10">
        <f t="shared" ca="1" si="1270"/>
        <v>33416.864118378056</v>
      </c>
      <c r="AC1044" s="10">
        <f t="shared" ca="1" si="1270"/>
        <v>0</v>
      </c>
      <c r="AD1044" s="10">
        <f t="shared" ca="1" si="1270"/>
        <v>0</v>
      </c>
      <c r="AE1044" s="10">
        <f t="shared" ca="1" si="1270"/>
        <v>0</v>
      </c>
      <c r="AF1044" s="10">
        <f t="shared" ca="1" si="1270"/>
        <v>0</v>
      </c>
      <c r="AG1044" s="10">
        <f t="shared" ca="1" si="1270"/>
        <v>0</v>
      </c>
      <c r="AH1044" s="10">
        <f t="shared" ca="1" si="1270"/>
        <v>0</v>
      </c>
      <c r="AI1044" s="10">
        <f t="shared" ca="1" si="1270"/>
        <v>0</v>
      </c>
      <c r="AJ1044" s="10">
        <f t="shared" ca="1" si="1270"/>
        <v>0</v>
      </c>
      <c r="AK1044" s="10">
        <f t="shared" ca="1" si="1270"/>
        <v>0</v>
      </c>
      <c r="AL1044" s="10">
        <f t="shared" ca="1" si="1270"/>
        <v>0</v>
      </c>
      <c r="AM1044" s="10">
        <f t="shared" ca="1" si="1270"/>
        <v>0</v>
      </c>
      <c r="AN1044" s="10">
        <f t="shared" ca="1" si="1270"/>
        <v>0</v>
      </c>
      <c r="AO1044" s="10">
        <f t="shared" ca="1" si="1270"/>
        <v>0</v>
      </c>
      <c r="AP1044" s="10">
        <f t="shared" ca="1" si="1270"/>
        <v>0</v>
      </c>
      <c r="AQ1044" s="10">
        <f t="shared" ca="1" si="1270"/>
        <v>0</v>
      </c>
      <c r="AR1044" s="10">
        <f t="shared" ca="1" si="1270"/>
        <v>0</v>
      </c>
      <c r="AS1044" s="10">
        <f t="shared" ca="1" si="1270"/>
        <v>0</v>
      </c>
      <c r="AT1044" s="10">
        <f t="shared" ca="1" si="1270"/>
        <v>0</v>
      </c>
      <c r="AU1044" s="10">
        <f t="shared" ca="1" si="1270"/>
        <v>0</v>
      </c>
      <c r="AV1044" s="10">
        <f t="shared" ca="1" si="1270"/>
        <v>0</v>
      </c>
      <c r="AW1044" s="10">
        <f t="shared" ca="1" si="1270"/>
        <v>0</v>
      </c>
      <c r="AX1044" s="10">
        <f t="shared" ca="1" si="1270"/>
        <v>0</v>
      </c>
      <c r="AY1044" s="10">
        <f t="shared" ca="1" si="1270"/>
        <v>0</v>
      </c>
      <c r="AZ1044" s="10">
        <f t="shared" ca="1" si="1270"/>
        <v>0</v>
      </c>
      <c r="BA1044" s="10">
        <f t="shared" ca="1" si="1270"/>
        <v>0</v>
      </c>
      <c r="BB1044" s="10">
        <f t="shared" ca="1" si="1270"/>
        <v>0</v>
      </c>
      <c r="BC1044" s="10">
        <f t="shared" ca="1" si="1270"/>
        <v>0</v>
      </c>
      <c r="BD1044" s="10">
        <f t="shared" ca="1" si="1270"/>
        <v>0</v>
      </c>
      <c r="BE1044" s="10">
        <f t="shared" ca="1" si="1270"/>
        <v>0</v>
      </c>
      <c r="BF1044" s="10">
        <f t="shared" ca="1" si="1270"/>
        <v>0</v>
      </c>
      <c r="BG1044" s="10">
        <f t="shared" ca="1" si="1270"/>
        <v>0</v>
      </c>
      <c r="BH1044" s="10">
        <f t="shared" ca="1" si="1270"/>
        <v>0</v>
      </c>
      <c r="BI1044" s="10">
        <f t="shared" ca="1" si="1270"/>
        <v>0</v>
      </c>
      <c r="BJ1044" s="10">
        <f t="shared" ca="1" si="1270"/>
        <v>0</v>
      </c>
      <c r="BK1044" s="10">
        <f t="shared" ca="1" si="1270"/>
        <v>0</v>
      </c>
      <c r="BL1044" s="10">
        <f t="shared" ca="1" si="1270"/>
        <v>0</v>
      </c>
      <c r="BM1044" s="10">
        <f t="shared" ca="1" si="1270"/>
        <v>0</v>
      </c>
      <c r="BN1044" s="10">
        <f t="shared" ca="1" si="1270"/>
        <v>0</v>
      </c>
      <c r="BO1044" s="10">
        <f t="shared" ca="1" si="1270"/>
        <v>0</v>
      </c>
      <c r="BP1044" s="10">
        <f t="shared" ca="1" si="1270"/>
        <v>0</v>
      </c>
      <c r="BQ1044" s="10">
        <f t="shared" ca="1" si="1270"/>
        <v>0</v>
      </c>
      <c r="BR1044" s="10">
        <f t="shared" ca="1" si="1270"/>
        <v>0</v>
      </c>
      <c r="BS1044" s="10">
        <f t="shared" ca="1" si="1270"/>
        <v>0</v>
      </c>
      <c r="BT1044" s="10">
        <f t="shared" ca="1" si="1270"/>
        <v>0</v>
      </c>
      <c r="BU1044" s="10">
        <f t="shared" ca="1" si="1270"/>
        <v>0</v>
      </c>
      <c r="BV1044" s="10">
        <f t="shared" ca="1" si="1270"/>
        <v>0</v>
      </c>
      <c r="BW1044" s="10">
        <f t="shared" ca="1" si="1270"/>
        <v>0</v>
      </c>
      <c r="BX1044" s="10">
        <f t="shared" ref="BX1044:CO1044" ca="1" si="1271">-(Debt_Interest_Paid) * (Flag_Construction)</f>
        <v>0</v>
      </c>
      <c r="BY1044" s="10">
        <f t="shared" ca="1" si="1271"/>
        <v>0</v>
      </c>
      <c r="BZ1044" s="10">
        <f t="shared" ca="1" si="1271"/>
        <v>0</v>
      </c>
      <c r="CA1044" s="10">
        <f t="shared" ca="1" si="1271"/>
        <v>0</v>
      </c>
      <c r="CB1044" s="10">
        <f t="shared" ca="1" si="1271"/>
        <v>0</v>
      </c>
      <c r="CC1044" s="10">
        <f t="shared" ca="1" si="1271"/>
        <v>0</v>
      </c>
      <c r="CD1044" s="10">
        <f t="shared" ca="1" si="1271"/>
        <v>0</v>
      </c>
      <c r="CE1044" s="10">
        <f t="shared" ca="1" si="1271"/>
        <v>0</v>
      </c>
      <c r="CF1044" s="10">
        <f t="shared" ca="1" si="1271"/>
        <v>0</v>
      </c>
      <c r="CG1044" s="10">
        <f t="shared" ca="1" si="1271"/>
        <v>0</v>
      </c>
      <c r="CH1044" s="10">
        <f t="shared" ca="1" si="1271"/>
        <v>0</v>
      </c>
      <c r="CI1044" s="10">
        <f t="shared" ca="1" si="1271"/>
        <v>0</v>
      </c>
      <c r="CJ1044" s="10">
        <f t="shared" ca="1" si="1271"/>
        <v>0</v>
      </c>
      <c r="CK1044" s="10">
        <f t="shared" ca="1" si="1271"/>
        <v>0</v>
      </c>
      <c r="CL1044" s="10">
        <f t="shared" ca="1" si="1271"/>
        <v>0</v>
      </c>
      <c r="CM1044" s="10">
        <f t="shared" ca="1" si="1271"/>
        <v>0</v>
      </c>
      <c r="CN1044" s="10">
        <f t="shared" ca="1" si="1271"/>
        <v>0</v>
      </c>
      <c r="CO1044" s="10">
        <f t="shared" ca="1" si="1271"/>
        <v>0</v>
      </c>
    </row>
    <row r="1045" spans="1:93">
      <c r="A1045" s="10"/>
      <c r="B1045" s="10"/>
      <c r="C1045" s="21" t="s">
        <v>103</v>
      </c>
      <c r="D1045" s="10"/>
      <c r="E1045" s="10"/>
      <c r="F1045" s="10"/>
      <c r="G1045" s="134" t="str">
        <f t="shared" si="1262"/>
        <v>тыс. руб.</v>
      </c>
      <c r="H1045" s="10"/>
      <c r="I1045" s="23">
        <f t="shared" ca="1" si="1263"/>
        <v>10990.619012601321</v>
      </c>
      <c r="J1045" s="10"/>
      <c r="K1045" s="10"/>
      <c r="L1045" s="10">
        <f t="shared" ref="L1045:BW1045" si="1272">-Bank_Fees</f>
        <v>0</v>
      </c>
      <c r="M1045" s="10">
        <f t="shared" ca="1" si="1272"/>
        <v>0</v>
      </c>
      <c r="N1045" s="10">
        <f t="shared" ca="1" si="1272"/>
        <v>0</v>
      </c>
      <c r="O1045" s="10">
        <f t="shared" ca="1" si="1272"/>
        <v>0</v>
      </c>
      <c r="P1045" s="10">
        <f t="shared" ca="1" si="1272"/>
        <v>0</v>
      </c>
      <c r="Q1045" s="10">
        <f t="shared" ca="1" si="1272"/>
        <v>0</v>
      </c>
      <c r="R1045" s="10">
        <f t="shared" ca="1" si="1272"/>
        <v>0</v>
      </c>
      <c r="S1045" s="10">
        <f t="shared" ca="1" si="1272"/>
        <v>0</v>
      </c>
      <c r="T1045" s="10">
        <f t="shared" ca="1" si="1272"/>
        <v>0</v>
      </c>
      <c r="U1045" s="10">
        <f t="shared" ca="1" si="1272"/>
        <v>2032.1389863481136</v>
      </c>
      <c r="V1045" s="10">
        <f t="shared" ca="1" si="1272"/>
        <v>1913.5143739847667</v>
      </c>
      <c r="W1045" s="10">
        <f t="shared" ca="1" si="1272"/>
        <v>1771.1696690677206</v>
      </c>
      <c r="X1045" s="10">
        <f t="shared" ca="1" si="1272"/>
        <v>1605.3348325415557</v>
      </c>
      <c r="Y1045" s="10">
        <f t="shared" ca="1" si="1272"/>
        <v>1331.1596721046919</v>
      </c>
      <c r="Z1045" s="10">
        <f t="shared" ca="1" si="1272"/>
        <v>1065.8684792952763</v>
      </c>
      <c r="AA1045" s="10">
        <f t="shared" ca="1" si="1272"/>
        <v>783.19099934951782</v>
      </c>
      <c r="AB1045" s="10">
        <f t="shared" ca="1" si="1272"/>
        <v>488.24199990967918</v>
      </c>
      <c r="AC1045" s="10">
        <f t="shared" ca="1" si="1272"/>
        <v>0</v>
      </c>
      <c r="AD1045" s="10">
        <f t="shared" ca="1" si="1272"/>
        <v>0</v>
      </c>
      <c r="AE1045" s="10">
        <f t="shared" ca="1" si="1272"/>
        <v>0</v>
      </c>
      <c r="AF1045" s="10">
        <f t="shared" ca="1" si="1272"/>
        <v>0</v>
      </c>
      <c r="AG1045" s="10">
        <f t="shared" ca="1" si="1272"/>
        <v>0</v>
      </c>
      <c r="AH1045" s="10">
        <f t="shared" ca="1" si="1272"/>
        <v>0</v>
      </c>
      <c r="AI1045" s="10">
        <f t="shared" ca="1" si="1272"/>
        <v>0</v>
      </c>
      <c r="AJ1045" s="10">
        <f t="shared" ca="1" si="1272"/>
        <v>0</v>
      </c>
      <c r="AK1045" s="10">
        <f t="shared" ca="1" si="1272"/>
        <v>0</v>
      </c>
      <c r="AL1045" s="10">
        <f t="shared" ca="1" si="1272"/>
        <v>0</v>
      </c>
      <c r="AM1045" s="10">
        <f t="shared" ca="1" si="1272"/>
        <v>0</v>
      </c>
      <c r="AN1045" s="10">
        <f t="shared" ca="1" si="1272"/>
        <v>0</v>
      </c>
      <c r="AO1045" s="10">
        <f t="shared" ca="1" si="1272"/>
        <v>0</v>
      </c>
      <c r="AP1045" s="10">
        <f t="shared" ca="1" si="1272"/>
        <v>0</v>
      </c>
      <c r="AQ1045" s="10">
        <f t="shared" ca="1" si="1272"/>
        <v>0</v>
      </c>
      <c r="AR1045" s="10">
        <f t="shared" ca="1" si="1272"/>
        <v>0</v>
      </c>
      <c r="AS1045" s="10">
        <f t="shared" ca="1" si="1272"/>
        <v>0</v>
      </c>
      <c r="AT1045" s="10">
        <f t="shared" ca="1" si="1272"/>
        <v>0</v>
      </c>
      <c r="AU1045" s="10">
        <f t="shared" ca="1" si="1272"/>
        <v>0</v>
      </c>
      <c r="AV1045" s="10">
        <f t="shared" ca="1" si="1272"/>
        <v>0</v>
      </c>
      <c r="AW1045" s="10">
        <f t="shared" ca="1" si="1272"/>
        <v>0</v>
      </c>
      <c r="AX1045" s="10">
        <f t="shared" ca="1" si="1272"/>
        <v>0</v>
      </c>
      <c r="AY1045" s="10">
        <f t="shared" ca="1" si="1272"/>
        <v>0</v>
      </c>
      <c r="AZ1045" s="10">
        <f t="shared" ca="1" si="1272"/>
        <v>0</v>
      </c>
      <c r="BA1045" s="10">
        <f t="shared" ca="1" si="1272"/>
        <v>0</v>
      </c>
      <c r="BB1045" s="10">
        <f t="shared" ca="1" si="1272"/>
        <v>0</v>
      </c>
      <c r="BC1045" s="10">
        <f t="shared" ca="1" si="1272"/>
        <v>0</v>
      </c>
      <c r="BD1045" s="10">
        <f t="shared" ca="1" si="1272"/>
        <v>0</v>
      </c>
      <c r="BE1045" s="10">
        <f t="shared" ca="1" si="1272"/>
        <v>0</v>
      </c>
      <c r="BF1045" s="10">
        <f t="shared" ca="1" si="1272"/>
        <v>0</v>
      </c>
      <c r="BG1045" s="10">
        <f t="shared" ca="1" si="1272"/>
        <v>0</v>
      </c>
      <c r="BH1045" s="10">
        <f t="shared" ca="1" si="1272"/>
        <v>0</v>
      </c>
      <c r="BI1045" s="10">
        <f t="shared" ca="1" si="1272"/>
        <v>0</v>
      </c>
      <c r="BJ1045" s="10">
        <f t="shared" ca="1" si="1272"/>
        <v>0</v>
      </c>
      <c r="BK1045" s="10">
        <f t="shared" ca="1" si="1272"/>
        <v>0</v>
      </c>
      <c r="BL1045" s="10">
        <f t="shared" ca="1" si="1272"/>
        <v>0</v>
      </c>
      <c r="BM1045" s="10">
        <f t="shared" ca="1" si="1272"/>
        <v>0</v>
      </c>
      <c r="BN1045" s="10">
        <f t="shared" ca="1" si="1272"/>
        <v>0</v>
      </c>
      <c r="BO1045" s="10">
        <f t="shared" ca="1" si="1272"/>
        <v>0</v>
      </c>
      <c r="BP1045" s="10">
        <f t="shared" ca="1" si="1272"/>
        <v>0</v>
      </c>
      <c r="BQ1045" s="10">
        <f t="shared" ca="1" si="1272"/>
        <v>0</v>
      </c>
      <c r="BR1045" s="10">
        <f t="shared" ca="1" si="1272"/>
        <v>0</v>
      </c>
      <c r="BS1045" s="10">
        <f t="shared" ca="1" si="1272"/>
        <v>0</v>
      </c>
      <c r="BT1045" s="10">
        <f t="shared" ca="1" si="1272"/>
        <v>0</v>
      </c>
      <c r="BU1045" s="10">
        <f t="shared" ca="1" si="1272"/>
        <v>0</v>
      </c>
      <c r="BV1045" s="10">
        <f t="shared" ca="1" si="1272"/>
        <v>0</v>
      </c>
      <c r="BW1045" s="10">
        <f t="shared" ca="1" si="1272"/>
        <v>0</v>
      </c>
      <c r="BX1045" s="10">
        <f t="shared" ref="BX1045:CO1045" ca="1" si="1273">-Bank_Fees</f>
        <v>0</v>
      </c>
      <c r="BY1045" s="10">
        <f t="shared" ca="1" si="1273"/>
        <v>0</v>
      </c>
      <c r="BZ1045" s="10">
        <f t="shared" ca="1" si="1273"/>
        <v>0</v>
      </c>
      <c r="CA1045" s="10">
        <f t="shared" ca="1" si="1273"/>
        <v>0</v>
      </c>
      <c r="CB1045" s="10">
        <f t="shared" ca="1" si="1273"/>
        <v>0</v>
      </c>
      <c r="CC1045" s="10">
        <f t="shared" ca="1" si="1273"/>
        <v>0</v>
      </c>
      <c r="CD1045" s="10">
        <f t="shared" ca="1" si="1273"/>
        <v>0</v>
      </c>
      <c r="CE1045" s="10">
        <f t="shared" ca="1" si="1273"/>
        <v>0</v>
      </c>
      <c r="CF1045" s="10">
        <f t="shared" ca="1" si="1273"/>
        <v>0</v>
      </c>
      <c r="CG1045" s="10">
        <f t="shared" ca="1" si="1273"/>
        <v>0</v>
      </c>
      <c r="CH1045" s="10">
        <f t="shared" ca="1" si="1273"/>
        <v>0</v>
      </c>
      <c r="CI1045" s="10">
        <f t="shared" ca="1" si="1273"/>
        <v>0</v>
      </c>
      <c r="CJ1045" s="10">
        <f t="shared" ca="1" si="1273"/>
        <v>0</v>
      </c>
      <c r="CK1045" s="10">
        <f t="shared" ca="1" si="1273"/>
        <v>0</v>
      </c>
      <c r="CL1045" s="10">
        <f t="shared" ca="1" si="1273"/>
        <v>0</v>
      </c>
      <c r="CM1045" s="10">
        <f t="shared" ca="1" si="1273"/>
        <v>0</v>
      </c>
      <c r="CN1045" s="10">
        <f t="shared" ca="1" si="1273"/>
        <v>0</v>
      </c>
      <c r="CO1045" s="10">
        <f t="shared" ca="1" si="1273"/>
        <v>0</v>
      </c>
    </row>
    <row r="1046" spans="1:93">
      <c r="A1046" s="10"/>
      <c r="B1046" s="10"/>
      <c r="C1046" s="21" t="s">
        <v>438</v>
      </c>
      <c r="D1046" s="10"/>
      <c r="E1046" s="10"/>
      <c r="F1046" s="10"/>
      <c r="G1046" s="134" t="str">
        <f t="shared" si="1262"/>
        <v>тыс. руб.</v>
      </c>
      <c r="H1046" s="10"/>
      <c r="I1046" s="23">
        <f t="shared" ca="1" si="1263"/>
        <v>0</v>
      </c>
      <c r="J1046" s="10"/>
      <c r="K1046" s="10"/>
      <c r="L1046" s="10">
        <f t="shared" ref="L1046:AQ1046" ca="1" si="1274">-Profits_Tax * Flag_Construction</f>
        <v>0</v>
      </c>
      <c r="M1046" s="10">
        <f t="shared" ca="1" si="1274"/>
        <v>0</v>
      </c>
      <c r="N1046" s="10">
        <f t="shared" ca="1" si="1274"/>
        <v>0</v>
      </c>
      <c r="O1046" s="10">
        <f t="shared" ca="1" si="1274"/>
        <v>0</v>
      </c>
      <c r="P1046" s="10">
        <f t="shared" ca="1" si="1274"/>
        <v>0</v>
      </c>
      <c r="Q1046" s="10">
        <f t="shared" ca="1" si="1274"/>
        <v>0</v>
      </c>
      <c r="R1046" s="10">
        <f t="shared" ca="1" si="1274"/>
        <v>0</v>
      </c>
      <c r="S1046" s="10">
        <f t="shared" ca="1" si="1274"/>
        <v>0</v>
      </c>
      <c r="T1046" s="10">
        <f t="shared" ca="1" si="1274"/>
        <v>0</v>
      </c>
      <c r="U1046" s="10">
        <f t="shared" ca="1" si="1274"/>
        <v>0</v>
      </c>
      <c r="V1046" s="10">
        <f t="shared" ca="1" si="1274"/>
        <v>0</v>
      </c>
      <c r="W1046" s="10">
        <f t="shared" ca="1" si="1274"/>
        <v>0</v>
      </c>
      <c r="X1046" s="10">
        <f t="shared" ca="1" si="1274"/>
        <v>0</v>
      </c>
      <c r="Y1046" s="10">
        <f t="shared" ca="1" si="1274"/>
        <v>0</v>
      </c>
      <c r="Z1046" s="10">
        <f t="shared" ca="1" si="1274"/>
        <v>0</v>
      </c>
      <c r="AA1046" s="10">
        <f t="shared" ca="1" si="1274"/>
        <v>0</v>
      </c>
      <c r="AB1046" s="10">
        <f t="shared" ca="1" si="1274"/>
        <v>0</v>
      </c>
      <c r="AC1046" s="10">
        <f t="shared" ca="1" si="1274"/>
        <v>0</v>
      </c>
      <c r="AD1046" s="10">
        <f t="shared" ca="1" si="1274"/>
        <v>0</v>
      </c>
      <c r="AE1046" s="10">
        <f t="shared" ca="1" si="1274"/>
        <v>0</v>
      </c>
      <c r="AF1046" s="10">
        <f t="shared" ca="1" si="1274"/>
        <v>0</v>
      </c>
      <c r="AG1046" s="10">
        <f t="shared" ca="1" si="1274"/>
        <v>0</v>
      </c>
      <c r="AH1046" s="10">
        <f t="shared" ca="1" si="1274"/>
        <v>0</v>
      </c>
      <c r="AI1046" s="10">
        <f t="shared" ca="1" si="1274"/>
        <v>0</v>
      </c>
      <c r="AJ1046" s="10">
        <f t="shared" ca="1" si="1274"/>
        <v>0</v>
      </c>
      <c r="AK1046" s="10">
        <f t="shared" ca="1" si="1274"/>
        <v>0</v>
      </c>
      <c r="AL1046" s="10">
        <f t="shared" ca="1" si="1274"/>
        <v>0</v>
      </c>
      <c r="AM1046" s="10">
        <f t="shared" ca="1" si="1274"/>
        <v>0</v>
      </c>
      <c r="AN1046" s="10">
        <f t="shared" ca="1" si="1274"/>
        <v>0</v>
      </c>
      <c r="AO1046" s="10">
        <f t="shared" ca="1" si="1274"/>
        <v>0</v>
      </c>
      <c r="AP1046" s="10">
        <f t="shared" ca="1" si="1274"/>
        <v>0</v>
      </c>
      <c r="AQ1046" s="10">
        <f t="shared" ca="1" si="1274"/>
        <v>0</v>
      </c>
      <c r="AR1046" s="10">
        <f t="shared" ref="AR1046:BW1046" ca="1" si="1275">-Profits_Tax * Flag_Construction</f>
        <v>0</v>
      </c>
      <c r="AS1046" s="10">
        <f t="shared" ca="1" si="1275"/>
        <v>0</v>
      </c>
      <c r="AT1046" s="10">
        <f t="shared" ca="1" si="1275"/>
        <v>0</v>
      </c>
      <c r="AU1046" s="10">
        <f t="shared" ca="1" si="1275"/>
        <v>0</v>
      </c>
      <c r="AV1046" s="10">
        <f t="shared" ca="1" si="1275"/>
        <v>0</v>
      </c>
      <c r="AW1046" s="10">
        <f t="shared" ca="1" si="1275"/>
        <v>0</v>
      </c>
      <c r="AX1046" s="10">
        <f t="shared" ca="1" si="1275"/>
        <v>0</v>
      </c>
      <c r="AY1046" s="10">
        <f t="shared" ca="1" si="1275"/>
        <v>0</v>
      </c>
      <c r="AZ1046" s="10">
        <f t="shared" ca="1" si="1275"/>
        <v>0</v>
      </c>
      <c r="BA1046" s="10">
        <f t="shared" ca="1" si="1275"/>
        <v>0</v>
      </c>
      <c r="BB1046" s="10">
        <f t="shared" ca="1" si="1275"/>
        <v>0</v>
      </c>
      <c r="BC1046" s="10">
        <f t="shared" ca="1" si="1275"/>
        <v>0</v>
      </c>
      <c r="BD1046" s="10">
        <f t="shared" ca="1" si="1275"/>
        <v>0</v>
      </c>
      <c r="BE1046" s="10">
        <f t="shared" ca="1" si="1275"/>
        <v>0</v>
      </c>
      <c r="BF1046" s="10">
        <f t="shared" ca="1" si="1275"/>
        <v>0</v>
      </c>
      <c r="BG1046" s="10">
        <f t="shared" ca="1" si="1275"/>
        <v>0</v>
      </c>
      <c r="BH1046" s="10">
        <f t="shared" ca="1" si="1275"/>
        <v>0</v>
      </c>
      <c r="BI1046" s="10">
        <f t="shared" ca="1" si="1275"/>
        <v>0</v>
      </c>
      <c r="BJ1046" s="10">
        <f t="shared" ca="1" si="1275"/>
        <v>0</v>
      </c>
      <c r="BK1046" s="10">
        <f t="shared" ca="1" si="1275"/>
        <v>0</v>
      </c>
      <c r="BL1046" s="10">
        <f t="shared" ca="1" si="1275"/>
        <v>0</v>
      </c>
      <c r="BM1046" s="10">
        <f t="shared" ca="1" si="1275"/>
        <v>0</v>
      </c>
      <c r="BN1046" s="10">
        <f t="shared" ca="1" si="1275"/>
        <v>0</v>
      </c>
      <c r="BO1046" s="10">
        <f t="shared" ca="1" si="1275"/>
        <v>0</v>
      </c>
      <c r="BP1046" s="10">
        <f t="shared" ca="1" si="1275"/>
        <v>0</v>
      </c>
      <c r="BQ1046" s="10">
        <f t="shared" ca="1" si="1275"/>
        <v>0</v>
      </c>
      <c r="BR1046" s="10">
        <f t="shared" ca="1" si="1275"/>
        <v>0</v>
      </c>
      <c r="BS1046" s="10">
        <f t="shared" ca="1" si="1275"/>
        <v>0</v>
      </c>
      <c r="BT1046" s="10">
        <f t="shared" ca="1" si="1275"/>
        <v>0</v>
      </c>
      <c r="BU1046" s="10">
        <f t="shared" ca="1" si="1275"/>
        <v>0</v>
      </c>
      <c r="BV1046" s="10">
        <f t="shared" ca="1" si="1275"/>
        <v>0</v>
      </c>
      <c r="BW1046" s="10">
        <f t="shared" ca="1" si="1275"/>
        <v>0</v>
      </c>
      <c r="BX1046" s="10">
        <f t="shared" ref="BX1046:CO1046" ca="1" si="1276">-Profits_Tax * Flag_Construction</f>
        <v>0</v>
      </c>
      <c r="BY1046" s="10">
        <f t="shared" ca="1" si="1276"/>
        <v>0</v>
      </c>
      <c r="BZ1046" s="10">
        <f t="shared" ca="1" si="1276"/>
        <v>0</v>
      </c>
      <c r="CA1046" s="10">
        <f t="shared" ca="1" si="1276"/>
        <v>0</v>
      </c>
      <c r="CB1046" s="10">
        <f t="shared" ca="1" si="1276"/>
        <v>0</v>
      </c>
      <c r="CC1046" s="10">
        <f t="shared" ca="1" si="1276"/>
        <v>0</v>
      </c>
      <c r="CD1046" s="10">
        <f t="shared" ca="1" si="1276"/>
        <v>0</v>
      </c>
      <c r="CE1046" s="10">
        <f t="shared" ca="1" si="1276"/>
        <v>0</v>
      </c>
      <c r="CF1046" s="10">
        <f t="shared" ca="1" si="1276"/>
        <v>0</v>
      </c>
      <c r="CG1046" s="10">
        <f t="shared" ca="1" si="1276"/>
        <v>0</v>
      </c>
      <c r="CH1046" s="10">
        <f t="shared" ca="1" si="1276"/>
        <v>0</v>
      </c>
      <c r="CI1046" s="10">
        <f t="shared" ca="1" si="1276"/>
        <v>0</v>
      </c>
      <c r="CJ1046" s="10">
        <f t="shared" ca="1" si="1276"/>
        <v>0</v>
      </c>
      <c r="CK1046" s="10">
        <f t="shared" ca="1" si="1276"/>
        <v>0</v>
      </c>
      <c r="CL1046" s="10">
        <f t="shared" ca="1" si="1276"/>
        <v>0</v>
      </c>
      <c r="CM1046" s="10">
        <f t="shared" ca="1" si="1276"/>
        <v>0</v>
      </c>
      <c r="CN1046" s="10">
        <f t="shared" ca="1" si="1276"/>
        <v>0</v>
      </c>
      <c r="CO1046" s="10">
        <f t="shared" ca="1" si="1276"/>
        <v>0</v>
      </c>
    </row>
    <row r="1047" spans="1:93">
      <c r="A1047" s="10"/>
      <c r="B1047" s="10"/>
      <c r="C1047" s="21" t="s">
        <v>302</v>
      </c>
      <c r="D1047" s="10"/>
      <c r="E1047" s="10"/>
      <c r="F1047" s="10"/>
      <c r="G1047" s="134" t="str">
        <f t="shared" si="1262"/>
        <v>тыс. руб.</v>
      </c>
      <c r="H1047" s="10"/>
      <c r="I1047" s="23">
        <f t="shared" ca="1" si="1263"/>
        <v>617457.09245746897</v>
      </c>
      <c r="J1047" s="10"/>
      <c r="K1047" s="10"/>
      <c r="L1047" s="10">
        <f t="shared" ref="L1047:BW1047" ca="1" si="1277">-VAT_Cash_Flow*(VAT_Cash_Flow&lt;0)*Flag_Construction</f>
        <v>3371.9255688267931</v>
      </c>
      <c r="M1047" s="10">
        <f t="shared" ca="1" si="1277"/>
        <v>3419.7896726333838</v>
      </c>
      <c r="N1047" s="10">
        <f t="shared" ca="1" si="1277"/>
        <v>3468.3332020045218</v>
      </c>
      <c r="O1047" s="10">
        <f t="shared" ca="1" si="1277"/>
        <v>3517.5658013095981</v>
      </c>
      <c r="P1047" s="10">
        <f t="shared" ca="1" si="1277"/>
        <v>29581.74843746073</v>
      </c>
      <c r="Q1047" s="10">
        <f t="shared" ca="1" si="1277"/>
        <v>29873.229431244363</v>
      </c>
      <c r="R1047" s="10">
        <f t="shared" ca="1" si="1277"/>
        <v>30167.582505761035</v>
      </c>
      <c r="S1047" s="10">
        <f t="shared" ca="1" si="1277"/>
        <v>30464.835960789846</v>
      </c>
      <c r="T1047" s="10">
        <f t="shared" ca="1" si="1277"/>
        <v>30765.018374959152</v>
      </c>
      <c r="U1047" s="10">
        <f t="shared" ca="1" si="1277"/>
        <v>31068.158608494123</v>
      </c>
      <c r="V1047" s="10">
        <f t="shared" ca="1" si="1277"/>
        <v>31374.285805991443</v>
      </c>
      <c r="W1047" s="10">
        <f t="shared" ca="1" si="1277"/>
        <v>31683.429399221437</v>
      </c>
      <c r="X1047" s="10">
        <f t="shared" ca="1" si="1277"/>
        <v>61262.581636075804</v>
      </c>
      <c r="Y1047" s="10">
        <f t="shared" ca="1" si="1277"/>
        <v>61866.226759175479</v>
      </c>
      <c r="Z1047" s="10">
        <f t="shared" ca="1" si="1277"/>
        <v>62475.819843084319</v>
      </c>
      <c r="AA1047" s="10">
        <f t="shared" ca="1" si="1277"/>
        <v>63091.419495478331</v>
      </c>
      <c r="AB1047" s="10">
        <f t="shared" ca="1" si="1277"/>
        <v>110005.14195495861</v>
      </c>
      <c r="AC1047" s="10">
        <f t="shared" ca="1" si="1277"/>
        <v>0</v>
      </c>
      <c r="AD1047" s="10">
        <f t="shared" ca="1" si="1277"/>
        <v>0</v>
      </c>
      <c r="AE1047" s="10">
        <f t="shared" ca="1" si="1277"/>
        <v>0</v>
      </c>
      <c r="AF1047" s="10">
        <f t="shared" ca="1" si="1277"/>
        <v>0</v>
      </c>
      <c r="AG1047" s="10">
        <f t="shared" ca="1" si="1277"/>
        <v>0</v>
      </c>
      <c r="AH1047" s="10">
        <f t="shared" ca="1" si="1277"/>
        <v>0</v>
      </c>
      <c r="AI1047" s="10">
        <f t="shared" ca="1" si="1277"/>
        <v>0</v>
      </c>
      <c r="AJ1047" s="10">
        <f t="shared" ca="1" si="1277"/>
        <v>0</v>
      </c>
      <c r="AK1047" s="10">
        <f t="shared" ca="1" si="1277"/>
        <v>0</v>
      </c>
      <c r="AL1047" s="10">
        <f t="shared" ca="1" si="1277"/>
        <v>0</v>
      </c>
      <c r="AM1047" s="10">
        <f t="shared" ca="1" si="1277"/>
        <v>0</v>
      </c>
      <c r="AN1047" s="10">
        <f t="shared" ca="1" si="1277"/>
        <v>0</v>
      </c>
      <c r="AO1047" s="10">
        <f t="shared" ca="1" si="1277"/>
        <v>0</v>
      </c>
      <c r="AP1047" s="10">
        <f t="shared" ca="1" si="1277"/>
        <v>0</v>
      </c>
      <c r="AQ1047" s="10">
        <f t="shared" ca="1" si="1277"/>
        <v>0</v>
      </c>
      <c r="AR1047" s="10">
        <f t="shared" ca="1" si="1277"/>
        <v>0</v>
      </c>
      <c r="AS1047" s="10">
        <f t="shared" ca="1" si="1277"/>
        <v>0</v>
      </c>
      <c r="AT1047" s="10">
        <f t="shared" ca="1" si="1277"/>
        <v>0</v>
      </c>
      <c r="AU1047" s="10">
        <f t="shared" ca="1" si="1277"/>
        <v>0</v>
      </c>
      <c r="AV1047" s="10">
        <f t="shared" ca="1" si="1277"/>
        <v>0</v>
      </c>
      <c r="AW1047" s="10">
        <f t="shared" ca="1" si="1277"/>
        <v>0</v>
      </c>
      <c r="AX1047" s="10">
        <f t="shared" ca="1" si="1277"/>
        <v>0</v>
      </c>
      <c r="AY1047" s="10">
        <f t="shared" ca="1" si="1277"/>
        <v>0</v>
      </c>
      <c r="AZ1047" s="10">
        <f t="shared" ca="1" si="1277"/>
        <v>0</v>
      </c>
      <c r="BA1047" s="10">
        <f t="shared" ca="1" si="1277"/>
        <v>0</v>
      </c>
      <c r="BB1047" s="10">
        <f t="shared" ca="1" si="1277"/>
        <v>0</v>
      </c>
      <c r="BC1047" s="10">
        <f t="shared" ca="1" si="1277"/>
        <v>0</v>
      </c>
      <c r="BD1047" s="10">
        <f t="shared" ca="1" si="1277"/>
        <v>0</v>
      </c>
      <c r="BE1047" s="10">
        <f t="shared" ca="1" si="1277"/>
        <v>0</v>
      </c>
      <c r="BF1047" s="10">
        <f t="shared" ca="1" si="1277"/>
        <v>0</v>
      </c>
      <c r="BG1047" s="10">
        <f t="shared" ca="1" si="1277"/>
        <v>0</v>
      </c>
      <c r="BH1047" s="10">
        <f t="shared" ca="1" si="1277"/>
        <v>0</v>
      </c>
      <c r="BI1047" s="10">
        <f t="shared" ca="1" si="1277"/>
        <v>0</v>
      </c>
      <c r="BJ1047" s="10">
        <f t="shared" ca="1" si="1277"/>
        <v>0</v>
      </c>
      <c r="BK1047" s="10">
        <f t="shared" ca="1" si="1277"/>
        <v>0</v>
      </c>
      <c r="BL1047" s="10">
        <f t="shared" ca="1" si="1277"/>
        <v>0</v>
      </c>
      <c r="BM1047" s="10">
        <f t="shared" ca="1" si="1277"/>
        <v>0</v>
      </c>
      <c r="BN1047" s="10">
        <f t="shared" ca="1" si="1277"/>
        <v>0</v>
      </c>
      <c r="BO1047" s="10">
        <f t="shared" ca="1" si="1277"/>
        <v>0</v>
      </c>
      <c r="BP1047" s="10">
        <f t="shared" ca="1" si="1277"/>
        <v>0</v>
      </c>
      <c r="BQ1047" s="10">
        <f t="shared" ca="1" si="1277"/>
        <v>0</v>
      </c>
      <c r="BR1047" s="10">
        <f t="shared" ca="1" si="1277"/>
        <v>0</v>
      </c>
      <c r="BS1047" s="10">
        <f t="shared" ca="1" si="1277"/>
        <v>0</v>
      </c>
      <c r="BT1047" s="10">
        <f t="shared" ca="1" si="1277"/>
        <v>0</v>
      </c>
      <c r="BU1047" s="10">
        <f t="shared" ca="1" si="1277"/>
        <v>0</v>
      </c>
      <c r="BV1047" s="10">
        <f t="shared" ca="1" si="1277"/>
        <v>0</v>
      </c>
      <c r="BW1047" s="10">
        <f t="shared" ca="1" si="1277"/>
        <v>0</v>
      </c>
      <c r="BX1047" s="10">
        <f t="shared" ref="BX1047:CO1047" ca="1" si="1278">-VAT_Cash_Flow*(VAT_Cash_Flow&lt;0)*Flag_Construction</f>
        <v>0</v>
      </c>
      <c r="BY1047" s="10">
        <f t="shared" ca="1" si="1278"/>
        <v>0</v>
      </c>
      <c r="BZ1047" s="10">
        <f t="shared" ca="1" si="1278"/>
        <v>0</v>
      </c>
      <c r="CA1047" s="10">
        <f t="shared" ca="1" si="1278"/>
        <v>0</v>
      </c>
      <c r="CB1047" s="10">
        <f t="shared" ca="1" si="1278"/>
        <v>0</v>
      </c>
      <c r="CC1047" s="10">
        <f t="shared" ca="1" si="1278"/>
        <v>0</v>
      </c>
      <c r="CD1047" s="10">
        <f t="shared" ca="1" si="1278"/>
        <v>0</v>
      </c>
      <c r="CE1047" s="10">
        <f t="shared" ca="1" si="1278"/>
        <v>0</v>
      </c>
      <c r="CF1047" s="10">
        <f t="shared" ca="1" si="1278"/>
        <v>0</v>
      </c>
      <c r="CG1047" s="10">
        <f t="shared" ca="1" si="1278"/>
        <v>0</v>
      </c>
      <c r="CH1047" s="10">
        <f t="shared" ca="1" si="1278"/>
        <v>0</v>
      </c>
      <c r="CI1047" s="10">
        <f t="shared" ca="1" si="1278"/>
        <v>0</v>
      </c>
      <c r="CJ1047" s="10">
        <f t="shared" ca="1" si="1278"/>
        <v>0</v>
      </c>
      <c r="CK1047" s="10">
        <f t="shared" ca="1" si="1278"/>
        <v>0</v>
      </c>
      <c r="CL1047" s="10">
        <f t="shared" ca="1" si="1278"/>
        <v>0</v>
      </c>
      <c r="CM1047" s="10">
        <f t="shared" ca="1" si="1278"/>
        <v>0</v>
      </c>
      <c r="CN1047" s="10">
        <f t="shared" ca="1" si="1278"/>
        <v>0</v>
      </c>
      <c r="CO1047" s="10">
        <f t="shared" ca="1" si="1278"/>
        <v>0</v>
      </c>
    </row>
    <row r="1048" spans="1:93">
      <c r="A1048" s="10"/>
      <c r="B1048" s="10"/>
      <c r="C1048" s="21" t="s">
        <v>339</v>
      </c>
      <c r="D1048" s="10"/>
      <c r="E1048" s="10"/>
      <c r="F1048" s="10"/>
      <c r="G1048" s="134" t="str">
        <f t="shared" si="1262"/>
        <v>тыс. руб.</v>
      </c>
      <c r="H1048" s="10"/>
      <c r="I1048" s="23">
        <f t="shared" ca="1" si="1263"/>
        <v>0</v>
      </c>
      <c r="J1048" s="10"/>
      <c r="K1048" s="10"/>
      <c r="L1048" s="10">
        <f t="shared" ref="L1048:BW1048" ca="1" si="1279">-(WC_Cash_Flow) * (Flag_Construction)</f>
        <v>0</v>
      </c>
      <c r="M1048" s="10">
        <f t="shared" ca="1" si="1279"/>
        <v>0</v>
      </c>
      <c r="N1048" s="10">
        <f t="shared" ca="1" si="1279"/>
        <v>0</v>
      </c>
      <c r="O1048" s="10">
        <f t="shared" ca="1" si="1279"/>
        <v>0</v>
      </c>
      <c r="P1048" s="10">
        <f t="shared" ca="1" si="1279"/>
        <v>0</v>
      </c>
      <c r="Q1048" s="10">
        <f t="shared" ca="1" si="1279"/>
        <v>0</v>
      </c>
      <c r="R1048" s="10">
        <f t="shared" ca="1" si="1279"/>
        <v>0</v>
      </c>
      <c r="S1048" s="10">
        <f t="shared" ca="1" si="1279"/>
        <v>0</v>
      </c>
      <c r="T1048" s="10">
        <f t="shared" ca="1" si="1279"/>
        <v>0</v>
      </c>
      <c r="U1048" s="10">
        <f t="shared" ca="1" si="1279"/>
        <v>0</v>
      </c>
      <c r="V1048" s="10">
        <f t="shared" ca="1" si="1279"/>
        <v>0</v>
      </c>
      <c r="W1048" s="10">
        <f t="shared" ca="1" si="1279"/>
        <v>0</v>
      </c>
      <c r="X1048" s="10">
        <f t="shared" ca="1" si="1279"/>
        <v>0</v>
      </c>
      <c r="Y1048" s="10">
        <f t="shared" ca="1" si="1279"/>
        <v>0</v>
      </c>
      <c r="Z1048" s="10">
        <f t="shared" ca="1" si="1279"/>
        <v>0</v>
      </c>
      <c r="AA1048" s="10">
        <f t="shared" ca="1" si="1279"/>
        <v>0</v>
      </c>
      <c r="AB1048" s="10">
        <f t="shared" ca="1" si="1279"/>
        <v>0</v>
      </c>
      <c r="AC1048" s="10">
        <f t="shared" ca="1" si="1279"/>
        <v>0</v>
      </c>
      <c r="AD1048" s="10">
        <f t="shared" ca="1" si="1279"/>
        <v>0</v>
      </c>
      <c r="AE1048" s="10">
        <f t="shared" ca="1" si="1279"/>
        <v>0</v>
      </c>
      <c r="AF1048" s="10">
        <f t="shared" ca="1" si="1279"/>
        <v>0</v>
      </c>
      <c r="AG1048" s="10">
        <f t="shared" ca="1" si="1279"/>
        <v>0</v>
      </c>
      <c r="AH1048" s="10">
        <f t="shared" ca="1" si="1279"/>
        <v>0</v>
      </c>
      <c r="AI1048" s="10">
        <f t="shared" ca="1" si="1279"/>
        <v>0</v>
      </c>
      <c r="AJ1048" s="10">
        <f t="shared" ca="1" si="1279"/>
        <v>0</v>
      </c>
      <c r="AK1048" s="10">
        <f t="shared" ca="1" si="1279"/>
        <v>0</v>
      </c>
      <c r="AL1048" s="10">
        <f t="shared" ca="1" si="1279"/>
        <v>0</v>
      </c>
      <c r="AM1048" s="10">
        <f t="shared" ca="1" si="1279"/>
        <v>0</v>
      </c>
      <c r="AN1048" s="10">
        <f t="shared" ca="1" si="1279"/>
        <v>0</v>
      </c>
      <c r="AO1048" s="10">
        <f t="shared" ca="1" si="1279"/>
        <v>0</v>
      </c>
      <c r="AP1048" s="10">
        <f t="shared" ca="1" si="1279"/>
        <v>0</v>
      </c>
      <c r="AQ1048" s="10">
        <f t="shared" ca="1" si="1279"/>
        <v>0</v>
      </c>
      <c r="AR1048" s="10">
        <f t="shared" ca="1" si="1279"/>
        <v>0</v>
      </c>
      <c r="AS1048" s="10">
        <f t="shared" ca="1" si="1279"/>
        <v>0</v>
      </c>
      <c r="AT1048" s="10">
        <f t="shared" ca="1" si="1279"/>
        <v>0</v>
      </c>
      <c r="AU1048" s="10">
        <f t="shared" ca="1" si="1279"/>
        <v>0</v>
      </c>
      <c r="AV1048" s="10">
        <f t="shared" ca="1" si="1279"/>
        <v>0</v>
      </c>
      <c r="AW1048" s="10">
        <f t="shared" ca="1" si="1279"/>
        <v>0</v>
      </c>
      <c r="AX1048" s="10">
        <f t="shared" ca="1" si="1279"/>
        <v>0</v>
      </c>
      <c r="AY1048" s="10">
        <f t="shared" ca="1" si="1279"/>
        <v>0</v>
      </c>
      <c r="AZ1048" s="10">
        <f t="shared" ca="1" si="1279"/>
        <v>0</v>
      </c>
      <c r="BA1048" s="10">
        <f t="shared" ca="1" si="1279"/>
        <v>0</v>
      </c>
      <c r="BB1048" s="10">
        <f t="shared" ca="1" si="1279"/>
        <v>0</v>
      </c>
      <c r="BC1048" s="10">
        <f t="shared" ca="1" si="1279"/>
        <v>0</v>
      </c>
      <c r="BD1048" s="10">
        <f t="shared" ca="1" si="1279"/>
        <v>0</v>
      </c>
      <c r="BE1048" s="10">
        <f t="shared" ca="1" si="1279"/>
        <v>0</v>
      </c>
      <c r="BF1048" s="10">
        <f t="shared" ca="1" si="1279"/>
        <v>0</v>
      </c>
      <c r="BG1048" s="10">
        <f t="shared" ca="1" si="1279"/>
        <v>0</v>
      </c>
      <c r="BH1048" s="10">
        <f t="shared" ca="1" si="1279"/>
        <v>0</v>
      </c>
      <c r="BI1048" s="10">
        <f t="shared" ca="1" si="1279"/>
        <v>0</v>
      </c>
      <c r="BJ1048" s="10">
        <f t="shared" ca="1" si="1279"/>
        <v>0</v>
      </c>
      <c r="BK1048" s="10">
        <f t="shared" ca="1" si="1279"/>
        <v>0</v>
      </c>
      <c r="BL1048" s="10">
        <f t="shared" ca="1" si="1279"/>
        <v>0</v>
      </c>
      <c r="BM1048" s="10">
        <f t="shared" ca="1" si="1279"/>
        <v>0</v>
      </c>
      <c r="BN1048" s="10">
        <f t="shared" ca="1" si="1279"/>
        <v>0</v>
      </c>
      <c r="BO1048" s="10">
        <f t="shared" ca="1" si="1279"/>
        <v>0</v>
      </c>
      <c r="BP1048" s="10">
        <f t="shared" ca="1" si="1279"/>
        <v>0</v>
      </c>
      <c r="BQ1048" s="10">
        <f t="shared" ca="1" si="1279"/>
        <v>0</v>
      </c>
      <c r="BR1048" s="10">
        <f t="shared" ca="1" si="1279"/>
        <v>0</v>
      </c>
      <c r="BS1048" s="10">
        <f t="shared" ca="1" si="1279"/>
        <v>0</v>
      </c>
      <c r="BT1048" s="10">
        <f t="shared" ca="1" si="1279"/>
        <v>0</v>
      </c>
      <c r="BU1048" s="10">
        <f t="shared" ca="1" si="1279"/>
        <v>0</v>
      </c>
      <c r="BV1048" s="10">
        <f t="shared" ca="1" si="1279"/>
        <v>0</v>
      </c>
      <c r="BW1048" s="10">
        <f t="shared" ca="1" si="1279"/>
        <v>0</v>
      </c>
      <c r="BX1048" s="10">
        <f t="shared" ref="BX1048:CO1048" ca="1" si="1280">-(WC_Cash_Flow) * (Flag_Construction)</f>
        <v>0</v>
      </c>
      <c r="BY1048" s="10">
        <f t="shared" ca="1" si="1280"/>
        <v>0</v>
      </c>
      <c r="BZ1048" s="10">
        <f t="shared" ca="1" si="1280"/>
        <v>0</v>
      </c>
      <c r="CA1048" s="10">
        <f t="shared" ca="1" si="1280"/>
        <v>0</v>
      </c>
      <c r="CB1048" s="10">
        <f t="shared" ca="1" si="1280"/>
        <v>0</v>
      </c>
      <c r="CC1048" s="10">
        <f t="shared" ca="1" si="1280"/>
        <v>0</v>
      </c>
      <c r="CD1048" s="10">
        <f t="shared" ca="1" si="1280"/>
        <v>0</v>
      </c>
      <c r="CE1048" s="10">
        <f t="shared" ca="1" si="1280"/>
        <v>0</v>
      </c>
      <c r="CF1048" s="10">
        <f t="shared" ca="1" si="1280"/>
        <v>0</v>
      </c>
      <c r="CG1048" s="10">
        <f t="shared" ca="1" si="1280"/>
        <v>0</v>
      </c>
      <c r="CH1048" s="10">
        <f t="shared" ca="1" si="1280"/>
        <v>0</v>
      </c>
      <c r="CI1048" s="10">
        <f t="shared" ca="1" si="1280"/>
        <v>0</v>
      </c>
      <c r="CJ1048" s="10">
        <f t="shared" ca="1" si="1280"/>
        <v>0</v>
      </c>
      <c r="CK1048" s="10">
        <f t="shared" ca="1" si="1280"/>
        <v>0</v>
      </c>
      <c r="CL1048" s="10">
        <f t="shared" ca="1" si="1280"/>
        <v>0</v>
      </c>
      <c r="CM1048" s="10">
        <f t="shared" ca="1" si="1280"/>
        <v>0</v>
      </c>
      <c r="CN1048" s="10">
        <f t="shared" ca="1" si="1280"/>
        <v>0</v>
      </c>
      <c r="CO1048" s="10">
        <f t="shared" ca="1" si="1280"/>
        <v>0</v>
      </c>
    </row>
    <row r="1049" spans="1:93">
      <c r="A1049" s="10"/>
      <c r="B1049" s="10"/>
      <c r="C1049" s="21" t="s">
        <v>303</v>
      </c>
      <c r="D1049" s="10"/>
      <c r="E1049" s="10"/>
      <c r="F1049" s="10"/>
      <c r="G1049" s="134" t="str">
        <f t="shared" si="1262"/>
        <v>тыс. руб.</v>
      </c>
      <c r="H1049" s="10"/>
      <c r="I1049" s="23">
        <f t="shared" ca="1" si="1263"/>
        <v>0</v>
      </c>
      <c r="J1049" s="10"/>
      <c r="K1049" s="10"/>
      <c r="L1049" s="10">
        <f t="shared" ref="L1049:BW1049" ca="1" si="1281">-(VAT_Cash_Flow)*((VAT_Cash_Flow)&gt;0) * (Flag_Construction)</f>
        <v>0</v>
      </c>
      <c r="M1049" s="10">
        <f t="shared" ca="1" si="1281"/>
        <v>0</v>
      </c>
      <c r="N1049" s="10">
        <f t="shared" ca="1" si="1281"/>
        <v>0</v>
      </c>
      <c r="O1049" s="10">
        <f t="shared" ca="1" si="1281"/>
        <v>0</v>
      </c>
      <c r="P1049" s="10">
        <f t="shared" ca="1" si="1281"/>
        <v>0</v>
      </c>
      <c r="Q1049" s="10">
        <f t="shared" ca="1" si="1281"/>
        <v>0</v>
      </c>
      <c r="R1049" s="10">
        <f t="shared" ca="1" si="1281"/>
        <v>0</v>
      </c>
      <c r="S1049" s="10">
        <f t="shared" ca="1" si="1281"/>
        <v>0</v>
      </c>
      <c r="T1049" s="10">
        <f t="shared" ca="1" si="1281"/>
        <v>0</v>
      </c>
      <c r="U1049" s="10">
        <f t="shared" ca="1" si="1281"/>
        <v>0</v>
      </c>
      <c r="V1049" s="10">
        <f t="shared" ca="1" si="1281"/>
        <v>0</v>
      </c>
      <c r="W1049" s="10">
        <f t="shared" ca="1" si="1281"/>
        <v>0</v>
      </c>
      <c r="X1049" s="10">
        <f t="shared" ca="1" si="1281"/>
        <v>0</v>
      </c>
      <c r="Y1049" s="10">
        <f t="shared" ca="1" si="1281"/>
        <v>0</v>
      </c>
      <c r="Z1049" s="10">
        <f t="shared" ca="1" si="1281"/>
        <v>0</v>
      </c>
      <c r="AA1049" s="10">
        <f t="shared" ca="1" si="1281"/>
        <v>0</v>
      </c>
      <c r="AB1049" s="10">
        <f t="shared" ca="1" si="1281"/>
        <v>0</v>
      </c>
      <c r="AC1049" s="10">
        <f t="shared" ca="1" si="1281"/>
        <v>0</v>
      </c>
      <c r="AD1049" s="10">
        <f t="shared" ca="1" si="1281"/>
        <v>0</v>
      </c>
      <c r="AE1049" s="10">
        <f t="shared" ca="1" si="1281"/>
        <v>0</v>
      </c>
      <c r="AF1049" s="10">
        <f t="shared" ca="1" si="1281"/>
        <v>0</v>
      </c>
      <c r="AG1049" s="10">
        <f t="shared" ca="1" si="1281"/>
        <v>0</v>
      </c>
      <c r="AH1049" s="10">
        <f t="shared" ca="1" si="1281"/>
        <v>0</v>
      </c>
      <c r="AI1049" s="10">
        <f t="shared" ca="1" si="1281"/>
        <v>0</v>
      </c>
      <c r="AJ1049" s="10">
        <f t="shared" ca="1" si="1281"/>
        <v>0</v>
      </c>
      <c r="AK1049" s="10">
        <f t="shared" ca="1" si="1281"/>
        <v>0</v>
      </c>
      <c r="AL1049" s="10">
        <f t="shared" ca="1" si="1281"/>
        <v>0</v>
      </c>
      <c r="AM1049" s="10">
        <f t="shared" ca="1" si="1281"/>
        <v>0</v>
      </c>
      <c r="AN1049" s="10">
        <f t="shared" ca="1" si="1281"/>
        <v>0</v>
      </c>
      <c r="AO1049" s="10">
        <f t="shared" ca="1" si="1281"/>
        <v>0</v>
      </c>
      <c r="AP1049" s="10">
        <f t="shared" ca="1" si="1281"/>
        <v>0</v>
      </c>
      <c r="AQ1049" s="10">
        <f t="shared" ca="1" si="1281"/>
        <v>0</v>
      </c>
      <c r="AR1049" s="10">
        <f t="shared" ca="1" si="1281"/>
        <v>0</v>
      </c>
      <c r="AS1049" s="10">
        <f t="shared" ca="1" si="1281"/>
        <v>0</v>
      </c>
      <c r="AT1049" s="10">
        <f t="shared" ca="1" si="1281"/>
        <v>0</v>
      </c>
      <c r="AU1049" s="10">
        <f t="shared" ca="1" si="1281"/>
        <v>0</v>
      </c>
      <c r="AV1049" s="10">
        <f t="shared" ca="1" si="1281"/>
        <v>0</v>
      </c>
      <c r="AW1049" s="10">
        <f t="shared" ca="1" si="1281"/>
        <v>0</v>
      </c>
      <c r="AX1049" s="10">
        <f t="shared" ca="1" si="1281"/>
        <v>0</v>
      </c>
      <c r="AY1049" s="10">
        <f t="shared" ca="1" si="1281"/>
        <v>0</v>
      </c>
      <c r="AZ1049" s="10">
        <f t="shared" ca="1" si="1281"/>
        <v>0</v>
      </c>
      <c r="BA1049" s="10">
        <f t="shared" ca="1" si="1281"/>
        <v>0</v>
      </c>
      <c r="BB1049" s="10">
        <f t="shared" ca="1" si="1281"/>
        <v>0</v>
      </c>
      <c r="BC1049" s="10">
        <f t="shared" ca="1" si="1281"/>
        <v>0</v>
      </c>
      <c r="BD1049" s="10">
        <f t="shared" ca="1" si="1281"/>
        <v>0</v>
      </c>
      <c r="BE1049" s="10">
        <f t="shared" ca="1" si="1281"/>
        <v>0</v>
      </c>
      <c r="BF1049" s="10">
        <f t="shared" ca="1" si="1281"/>
        <v>0</v>
      </c>
      <c r="BG1049" s="10">
        <f t="shared" ca="1" si="1281"/>
        <v>0</v>
      </c>
      <c r="BH1049" s="10">
        <f t="shared" ca="1" si="1281"/>
        <v>0</v>
      </c>
      <c r="BI1049" s="10">
        <f t="shared" ca="1" si="1281"/>
        <v>0</v>
      </c>
      <c r="BJ1049" s="10">
        <f t="shared" ca="1" si="1281"/>
        <v>0</v>
      </c>
      <c r="BK1049" s="10">
        <f t="shared" ca="1" si="1281"/>
        <v>0</v>
      </c>
      <c r="BL1049" s="10">
        <f t="shared" ca="1" si="1281"/>
        <v>0</v>
      </c>
      <c r="BM1049" s="10">
        <f t="shared" ca="1" si="1281"/>
        <v>0</v>
      </c>
      <c r="BN1049" s="10">
        <f t="shared" ca="1" si="1281"/>
        <v>0</v>
      </c>
      <c r="BO1049" s="10">
        <f t="shared" ca="1" si="1281"/>
        <v>0</v>
      </c>
      <c r="BP1049" s="10">
        <f t="shared" ca="1" si="1281"/>
        <v>0</v>
      </c>
      <c r="BQ1049" s="10">
        <f t="shared" ca="1" si="1281"/>
        <v>0</v>
      </c>
      <c r="BR1049" s="10">
        <f t="shared" ca="1" si="1281"/>
        <v>0</v>
      </c>
      <c r="BS1049" s="10">
        <f t="shared" ca="1" si="1281"/>
        <v>0</v>
      </c>
      <c r="BT1049" s="10">
        <f t="shared" ca="1" si="1281"/>
        <v>0</v>
      </c>
      <c r="BU1049" s="10">
        <f t="shared" ca="1" si="1281"/>
        <v>0</v>
      </c>
      <c r="BV1049" s="10">
        <f t="shared" ca="1" si="1281"/>
        <v>0</v>
      </c>
      <c r="BW1049" s="10">
        <f t="shared" ca="1" si="1281"/>
        <v>0</v>
      </c>
      <c r="BX1049" s="10">
        <f t="shared" ref="BX1049:CO1049" ca="1" si="1282">-(VAT_Cash_Flow)*((VAT_Cash_Flow)&gt;0) * (Flag_Construction)</f>
        <v>0</v>
      </c>
      <c r="BY1049" s="10">
        <f t="shared" ca="1" si="1282"/>
        <v>0</v>
      </c>
      <c r="BZ1049" s="10">
        <f t="shared" ca="1" si="1282"/>
        <v>0</v>
      </c>
      <c r="CA1049" s="10">
        <f t="shared" ca="1" si="1282"/>
        <v>0</v>
      </c>
      <c r="CB1049" s="10">
        <f t="shared" ca="1" si="1282"/>
        <v>0</v>
      </c>
      <c r="CC1049" s="10">
        <f t="shared" ca="1" si="1282"/>
        <v>0</v>
      </c>
      <c r="CD1049" s="10">
        <f t="shared" ca="1" si="1282"/>
        <v>0</v>
      </c>
      <c r="CE1049" s="10">
        <f t="shared" ca="1" si="1282"/>
        <v>0</v>
      </c>
      <c r="CF1049" s="10">
        <f t="shared" ca="1" si="1282"/>
        <v>0</v>
      </c>
      <c r="CG1049" s="10">
        <f t="shared" ca="1" si="1282"/>
        <v>0</v>
      </c>
      <c r="CH1049" s="10">
        <f t="shared" ca="1" si="1282"/>
        <v>0</v>
      </c>
      <c r="CI1049" s="10">
        <f t="shared" ca="1" si="1282"/>
        <v>0</v>
      </c>
      <c r="CJ1049" s="10">
        <f t="shared" ca="1" si="1282"/>
        <v>0</v>
      </c>
      <c r="CK1049" s="10">
        <f t="shared" ca="1" si="1282"/>
        <v>0</v>
      </c>
      <c r="CL1049" s="10">
        <f t="shared" ca="1" si="1282"/>
        <v>0</v>
      </c>
      <c r="CM1049" s="10">
        <f t="shared" ca="1" si="1282"/>
        <v>0</v>
      </c>
      <c r="CN1049" s="10">
        <f t="shared" ca="1" si="1282"/>
        <v>0</v>
      </c>
      <c r="CO1049" s="10">
        <f t="shared" ca="1" si="1282"/>
        <v>0</v>
      </c>
    </row>
    <row r="1050" spans="1:93">
      <c r="A1050" s="10"/>
      <c r="B1050" s="10"/>
      <c r="C1050" s="21" t="s">
        <v>96</v>
      </c>
      <c r="D1050" s="10"/>
      <c r="E1050" s="10"/>
      <c r="F1050" s="10"/>
      <c r="G1050" s="134" t="str">
        <f t="shared" si="1262"/>
        <v>тыс. руб.</v>
      </c>
      <c r="H1050" s="10"/>
      <c r="I1050" s="23">
        <f t="shared" ca="1" si="1263"/>
        <v>0</v>
      </c>
      <c r="J1050" s="10"/>
      <c r="K1050" s="10"/>
      <c r="L1050" s="10">
        <f t="shared" ref="L1050:BW1050" ca="1" si="1283">-(Revenue) * (Flag_Construction)</f>
        <v>0</v>
      </c>
      <c r="M1050" s="10">
        <f t="shared" ca="1" si="1283"/>
        <v>0</v>
      </c>
      <c r="N1050" s="10">
        <f t="shared" ca="1" si="1283"/>
        <v>0</v>
      </c>
      <c r="O1050" s="10">
        <f t="shared" ca="1" si="1283"/>
        <v>0</v>
      </c>
      <c r="P1050" s="10">
        <f t="shared" ca="1" si="1283"/>
        <v>0</v>
      </c>
      <c r="Q1050" s="10">
        <f t="shared" ca="1" si="1283"/>
        <v>0</v>
      </c>
      <c r="R1050" s="10">
        <f t="shared" ca="1" si="1283"/>
        <v>0</v>
      </c>
      <c r="S1050" s="10">
        <f t="shared" ca="1" si="1283"/>
        <v>0</v>
      </c>
      <c r="T1050" s="10">
        <f t="shared" ca="1" si="1283"/>
        <v>0</v>
      </c>
      <c r="U1050" s="10">
        <f t="shared" ca="1" si="1283"/>
        <v>0</v>
      </c>
      <c r="V1050" s="10">
        <f t="shared" ca="1" si="1283"/>
        <v>0</v>
      </c>
      <c r="W1050" s="10">
        <f t="shared" ca="1" si="1283"/>
        <v>0</v>
      </c>
      <c r="X1050" s="10">
        <f t="shared" ca="1" si="1283"/>
        <v>0</v>
      </c>
      <c r="Y1050" s="10">
        <f t="shared" ca="1" si="1283"/>
        <v>0</v>
      </c>
      <c r="Z1050" s="10">
        <f t="shared" ca="1" si="1283"/>
        <v>0</v>
      </c>
      <c r="AA1050" s="10">
        <f t="shared" ca="1" si="1283"/>
        <v>0</v>
      </c>
      <c r="AB1050" s="10">
        <f t="shared" ca="1" si="1283"/>
        <v>0</v>
      </c>
      <c r="AC1050" s="10">
        <f t="shared" ca="1" si="1283"/>
        <v>0</v>
      </c>
      <c r="AD1050" s="10">
        <f t="shared" ca="1" si="1283"/>
        <v>0</v>
      </c>
      <c r="AE1050" s="10">
        <f t="shared" ca="1" si="1283"/>
        <v>0</v>
      </c>
      <c r="AF1050" s="10">
        <f t="shared" ca="1" si="1283"/>
        <v>0</v>
      </c>
      <c r="AG1050" s="10">
        <f t="shared" ca="1" si="1283"/>
        <v>0</v>
      </c>
      <c r="AH1050" s="10">
        <f t="shared" ca="1" si="1283"/>
        <v>0</v>
      </c>
      <c r="AI1050" s="10">
        <f t="shared" ca="1" si="1283"/>
        <v>0</v>
      </c>
      <c r="AJ1050" s="10">
        <f t="shared" ca="1" si="1283"/>
        <v>0</v>
      </c>
      <c r="AK1050" s="10">
        <f t="shared" ca="1" si="1283"/>
        <v>0</v>
      </c>
      <c r="AL1050" s="10">
        <f t="shared" ca="1" si="1283"/>
        <v>0</v>
      </c>
      <c r="AM1050" s="10">
        <f t="shared" ca="1" si="1283"/>
        <v>0</v>
      </c>
      <c r="AN1050" s="10">
        <f t="shared" ca="1" si="1283"/>
        <v>0</v>
      </c>
      <c r="AO1050" s="10">
        <f t="shared" ca="1" si="1283"/>
        <v>0</v>
      </c>
      <c r="AP1050" s="10">
        <f t="shared" ca="1" si="1283"/>
        <v>0</v>
      </c>
      <c r="AQ1050" s="10">
        <f t="shared" ca="1" si="1283"/>
        <v>0</v>
      </c>
      <c r="AR1050" s="10">
        <f t="shared" ca="1" si="1283"/>
        <v>0</v>
      </c>
      <c r="AS1050" s="10">
        <f t="shared" ca="1" si="1283"/>
        <v>0</v>
      </c>
      <c r="AT1050" s="10">
        <f t="shared" ca="1" si="1283"/>
        <v>0</v>
      </c>
      <c r="AU1050" s="10">
        <f t="shared" ca="1" si="1283"/>
        <v>0</v>
      </c>
      <c r="AV1050" s="10">
        <f t="shared" ca="1" si="1283"/>
        <v>0</v>
      </c>
      <c r="AW1050" s="10">
        <f t="shared" ca="1" si="1283"/>
        <v>0</v>
      </c>
      <c r="AX1050" s="10">
        <f t="shared" ca="1" si="1283"/>
        <v>0</v>
      </c>
      <c r="AY1050" s="10">
        <f t="shared" ca="1" si="1283"/>
        <v>0</v>
      </c>
      <c r="AZ1050" s="10">
        <f t="shared" ca="1" si="1283"/>
        <v>0</v>
      </c>
      <c r="BA1050" s="10">
        <f t="shared" ca="1" si="1283"/>
        <v>0</v>
      </c>
      <c r="BB1050" s="10">
        <f t="shared" ca="1" si="1283"/>
        <v>0</v>
      </c>
      <c r="BC1050" s="10">
        <f t="shared" ca="1" si="1283"/>
        <v>0</v>
      </c>
      <c r="BD1050" s="10">
        <f t="shared" ca="1" si="1283"/>
        <v>0</v>
      </c>
      <c r="BE1050" s="10">
        <f t="shared" ca="1" si="1283"/>
        <v>0</v>
      </c>
      <c r="BF1050" s="10">
        <f t="shared" ca="1" si="1283"/>
        <v>0</v>
      </c>
      <c r="BG1050" s="10">
        <f t="shared" ca="1" si="1283"/>
        <v>0</v>
      </c>
      <c r="BH1050" s="10">
        <f t="shared" ca="1" si="1283"/>
        <v>0</v>
      </c>
      <c r="BI1050" s="10">
        <f t="shared" ca="1" si="1283"/>
        <v>0</v>
      </c>
      <c r="BJ1050" s="10">
        <f t="shared" ca="1" si="1283"/>
        <v>0</v>
      </c>
      <c r="BK1050" s="10">
        <f t="shared" ca="1" si="1283"/>
        <v>0</v>
      </c>
      <c r="BL1050" s="10">
        <f t="shared" ca="1" si="1283"/>
        <v>0</v>
      </c>
      <c r="BM1050" s="10">
        <f t="shared" ca="1" si="1283"/>
        <v>0</v>
      </c>
      <c r="BN1050" s="10">
        <f t="shared" ca="1" si="1283"/>
        <v>0</v>
      </c>
      <c r="BO1050" s="10">
        <f t="shared" ca="1" si="1283"/>
        <v>0</v>
      </c>
      <c r="BP1050" s="10">
        <f t="shared" ca="1" si="1283"/>
        <v>0</v>
      </c>
      <c r="BQ1050" s="10">
        <f t="shared" ca="1" si="1283"/>
        <v>0</v>
      </c>
      <c r="BR1050" s="10">
        <f t="shared" ca="1" si="1283"/>
        <v>0</v>
      </c>
      <c r="BS1050" s="10">
        <f t="shared" ca="1" si="1283"/>
        <v>0</v>
      </c>
      <c r="BT1050" s="10">
        <f t="shared" ca="1" si="1283"/>
        <v>0</v>
      </c>
      <c r="BU1050" s="10">
        <f t="shared" ca="1" si="1283"/>
        <v>0</v>
      </c>
      <c r="BV1050" s="10">
        <f t="shared" ca="1" si="1283"/>
        <v>0</v>
      </c>
      <c r="BW1050" s="10">
        <f t="shared" ca="1" si="1283"/>
        <v>0</v>
      </c>
      <c r="BX1050" s="10">
        <f t="shared" ref="BX1050:CO1050" ca="1" si="1284">-(Revenue) * (Flag_Construction)</f>
        <v>0</v>
      </c>
      <c r="BY1050" s="10">
        <f t="shared" ca="1" si="1284"/>
        <v>0</v>
      </c>
      <c r="BZ1050" s="10">
        <f t="shared" ca="1" si="1284"/>
        <v>0</v>
      </c>
      <c r="CA1050" s="10">
        <f t="shared" ca="1" si="1284"/>
        <v>0</v>
      </c>
      <c r="CB1050" s="10">
        <f t="shared" ca="1" si="1284"/>
        <v>0</v>
      </c>
      <c r="CC1050" s="10">
        <f t="shared" ca="1" si="1284"/>
        <v>0</v>
      </c>
      <c r="CD1050" s="10">
        <f t="shared" ca="1" si="1284"/>
        <v>0</v>
      </c>
      <c r="CE1050" s="10">
        <f t="shared" ca="1" si="1284"/>
        <v>0</v>
      </c>
      <c r="CF1050" s="10">
        <f t="shared" ca="1" si="1284"/>
        <v>0</v>
      </c>
      <c r="CG1050" s="10">
        <f t="shared" ca="1" si="1284"/>
        <v>0</v>
      </c>
      <c r="CH1050" s="10">
        <f t="shared" ca="1" si="1284"/>
        <v>0</v>
      </c>
      <c r="CI1050" s="10">
        <f t="shared" ca="1" si="1284"/>
        <v>0</v>
      </c>
      <c r="CJ1050" s="10">
        <f t="shared" ca="1" si="1284"/>
        <v>0</v>
      </c>
      <c r="CK1050" s="10">
        <f t="shared" ca="1" si="1284"/>
        <v>0</v>
      </c>
      <c r="CL1050" s="10">
        <f t="shared" ca="1" si="1284"/>
        <v>0</v>
      </c>
      <c r="CM1050" s="10">
        <f t="shared" ca="1" si="1284"/>
        <v>0</v>
      </c>
      <c r="CN1050" s="10">
        <f t="shared" ca="1" si="1284"/>
        <v>0</v>
      </c>
      <c r="CO1050" s="10">
        <f t="shared" ca="1" si="1284"/>
        <v>0</v>
      </c>
    </row>
    <row r="1051" spans="1:93">
      <c r="A1051" s="10"/>
      <c r="B1051" s="10"/>
      <c r="C1051" s="21" t="s">
        <v>510</v>
      </c>
      <c r="D1051" s="10"/>
      <c r="E1051" s="10"/>
      <c r="F1051" s="10"/>
      <c r="G1051" s="134" t="str">
        <f t="shared" si="1262"/>
        <v>тыс. руб.</v>
      </c>
      <c r="H1051" s="10"/>
      <c r="I1051" s="23">
        <f t="shared" ca="1" si="1263"/>
        <v>0</v>
      </c>
      <c r="J1051" s="10"/>
      <c r="K1051" s="10"/>
      <c r="L1051" s="10">
        <f t="shared" ref="L1051:AQ1051" si="1285">-MAX(L1213,0) * Flag_Construction</f>
        <v>0</v>
      </c>
      <c r="M1051" s="10">
        <f t="shared" ca="1" si="1285"/>
        <v>0</v>
      </c>
      <c r="N1051" s="10">
        <f t="shared" ca="1" si="1285"/>
        <v>0</v>
      </c>
      <c r="O1051" s="10">
        <f t="shared" ca="1" si="1285"/>
        <v>0</v>
      </c>
      <c r="P1051" s="10">
        <f t="shared" ca="1" si="1285"/>
        <v>0</v>
      </c>
      <c r="Q1051" s="10">
        <f t="shared" ca="1" si="1285"/>
        <v>0</v>
      </c>
      <c r="R1051" s="10">
        <f t="shared" ca="1" si="1285"/>
        <v>0</v>
      </c>
      <c r="S1051" s="10">
        <f t="shared" ca="1" si="1285"/>
        <v>0</v>
      </c>
      <c r="T1051" s="10">
        <f t="shared" ca="1" si="1285"/>
        <v>0</v>
      </c>
      <c r="U1051" s="10">
        <f t="shared" ca="1" si="1285"/>
        <v>0</v>
      </c>
      <c r="V1051" s="10">
        <f t="shared" ca="1" si="1285"/>
        <v>0</v>
      </c>
      <c r="W1051" s="10">
        <f t="shared" ca="1" si="1285"/>
        <v>0</v>
      </c>
      <c r="X1051" s="10">
        <f t="shared" ca="1" si="1285"/>
        <v>0</v>
      </c>
      <c r="Y1051" s="10">
        <f t="shared" ca="1" si="1285"/>
        <v>0</v>
      </c>
      <c r="Z1051" s="10">
        <f t="shared" ca="1" si="1285"/>
        <v>0</v>
      </c>
      <c r="AA1051" s="10">
        <f t="shared" ca="1" si="1285"/>
        <v>0</v>
      </c>
      <c r="AB1051" s="10">
        <f t="shared" ca="1" si="1285"/>
        <v>0</v>
      </c>
      <c r="AC1051" s="10">
        <f t="shared" ca="1" si="1285"/>
        <v>0</v>
      </c>
      <c r="AD1051" s="10">
        <f t="shared" ca="1" si="1285"/>
        <v>0</v>
      </c>
      <c r="AE1051" s="10">
        <f t="shared" ca="1" si="1285"/>
        <v>0</v>
      </c>
      <c r="AF1051" s="10">
        <f t="shared" ca="1" si="1285"/>
        <v>0</v>
      </c>
      <c r="AG1051" s="10">
        <f t="shared" ca="1" si="1285"/>
        <v>0</v>
      </c>
      <c r="AH1051" s="10">
        <f t="shared" ca="1" si="1285"/>
        <v>0</v>
      </c>
      <c r="AI1051" s="10">
        <f t="shared" ca="1" si="1285"/>
        <v>0</v>
      </c>
      <c r="AJ1051" s="10">
        <f t="shared" ca="1" si="1285"/>
        <v>0</v>
      </c>
      <c r="AK1051" s="10">
        <f t="shared" ca="1" si="1285"/>
        <v>0</v>
      </c>
      <c r="AL1051" s="10">
        <f t="shared" ca="1" si="1285"/>
        <v>0</v>
      </c>
      <c r="AM1051" s="10">
        <f t="shared" ca="1" si="1285"/>
        <v>0</v>
      </c>
      <c r="AN1051" s="10">
        <f t="shared" ca="1" si="1285"/>
        <v>0</v>
      </c>
      <c r="AO1051" s="10">
        <f t="shared" ca="1" si="1285"/>
        <v>0</v>
      </c>
      <c r="AP1051" s="10">
        <f t="shared" ca="1" si="1285"/>
        <v>0</v>
      </c>
      <c r="AQ1051" s="10">
        <f t="shared" ca="1" si="1285"/>
        <v>0</v>
      </c>
      <c r="AR1051" s="10">
        <f t="shared" ref="AR1051:BW1051" ca="1" si="1286">-MAX(AR1213,0) * Flag_Construction</f>
        <v>0</v>
      </c>
      <c r="AS1051" s="10">
        <f t="shared" ca="1" si="1286"/>
        <v>0</v>
      </c>
      <c r="AT1051" s="10">
        <f t="shared" ca="1" si="1286"/>
        <v>0</v>
      </c>
      <c r="AU1051" s="10">
        <f t="shared" ca="1" si="1286"/>
        <v>0</v>
      </c>
      <c r="AV1051" s="10">
        <f t="shared" ca="1" si="1286"/>
        <v>0</v>
      </c>
      <c r="AW1051" s="10">
        <f t="shared" ca="1" si="1286"/>
        <v>0</v>
      </c>
      <c r="AX1051" s="10">
        <f t="shared" ca="1" si="1286"/>
        <v>0</v>
      </c>
      <c r="AY1051" s="10">
        <f t="shared" ca="1" si="1286"/>
        <v>0</v>
      </c>
      <c r="AZ1051" s="10">
        <f t="shared" ca="1" si="1286"/>
        <v>0</v>
      </c>
      <c r="BA1051" s="10">
        <f t="shared" ca="1" si="1286"/>
        <v>0</v>
      </c>
      <c r="BB1051" s="10">
        <f t="shared" ca="1" si="1286"/>
        <v>0</v>
      </c>
      <c r="BC1051" s="10">
        <f t="shared" ca="1" si="1286"/>
        <v>0</v>
      </c>
      <c r="BD1051" s="10">
        <f t="shared" ca="1" si="1286"/>
        <v>0</v>
      </c>
      <c r="BE1051" s="10">
        <f t="shared" ca="1" si="1286"/>
        <v>0</v>
      </c>
      <c r="BF1051" s="10">
        <f t="shared" ca="1" si="1286"/>
        <v>0</v>
      </c>
      <c r="BG1051" s="10">
        <f t="shared" ca="1" si="1286"/>
        <v>0</v>
      </c>
      <c r="BH1051" s="10">
        <f t="shared" ca="1" si="1286"/>
        <v>0</v>
      </c>
      <c r="BI1051" s="10">
        <f t="shared" ca="1" si="1286"/>
        <v>0</v>
      </c>
      <c r="BJ1051" s="10">
        <f t="shared" ca="1" si="1286"/>
        <v>0</v>
      </c>
      <c r="BK1051" s="10">
        <f t="shared" ca="1" si="1286"/>
        <v>0</v>
      </c>
      <c r="BL1051" s="10">
        <f t="shared" ca="1" si="1286"/>
        <v>0</v>
      </c>
      <c r="BM1051" s="10">
        <f t="shared" ca="1" si="1286"/>
        <v>0</v>
      </c>
      <c r="BN1051" s="10">
        <f t="shared" ca="1" si="1286"/>
        <v>0</v>
      </c>
      <c r="BO1051" s="10">
        <f t="shared" ca="1" si="1286"/>
        <v>0</v>
      </c>
      <c r="BP1051" s="10">
        <f t="shared" ca="1" si="1286"/>
        <v>0</v>
      </c>
      <c r="BQ1051" s="10">
        <f t="shared" ca="1" si="1286"/>
        <v>0</v>
      </c>
      <c r="BR1051" s="10">
        <f t="shared" ca="1" si="1286"/>
        <v>0</v>
      </c>
      <c r="BS1051" s="10">
        <f t="shared" ca="1" si="1286"/>
        <v>0</v>
      </c>
      <c r="BT1051" s="10">
        <f t="shared" ca="1" si="1286"/>
        <v>0</v>
      </c>
      <c r="BU1051" s="10">
        <f t="shared" ca="1" si="1286"/>
        <v>0</v>
      </c>
      <c r="BV1051" s="10">
        <f t="shared" ca="1" si="1286"/>
        <v>0</v>
      </c>
      <c r="BW1051" s="10">
        <f t="shared" ca="1" si="1286"/>
        <v>0</v>
      </c>
      <c r="BX1051" s="10">
        <f t="shared" ref="BX1051:CO1051" ca="1" si="1287">-MAX(BX1213,0) * Flag_Construction</f>
        <v>0</v>
      </c>
      <c r="BY1051" s="10">
        <f t="shared" ca="1" si="1287"/>
        <v>0</v>
      </c>
      <c r="BZ1051" s="10">
        <f t="shared" ca="1" si="1287"/>
        <v>0</v>
      </c>
      <c r="CA1051" s="10">
        <f t="shared" ca="1" si="1287"/>
        <v>0</v>
      </c>
      <c r="CB1051" s="10">
        <f t="shared" ca="1" si="1287"/>
        <v>0</v>
      </c>
      <c r="CC1051" s="10">
        <f t="shared" ca="1" si="1287"/>
        <v>0</v>
      </c>
      <c r="CD1051" s="10">
        <f t="shared" ca="1" si="1287"/>
        <v>0</v>
      </c>
      <c r="CE1051" s="10">
        <f t="shared" ca="1" si="1287"/>
        <v>0</v>
      </c>
      <c r="CF1051" s="10">
        <f t="shared" ca="1" si="1287"/>
        <v>0</v>
      </c>
      <c r="CG1051" s="10">
        <f t="shared" ca="1" si="1287"/>
        <v>0</v>
      </c>
      <c r="CH1051" s="10">
        <f t="shared" ca="1" si="1287"/>
        <v>0</v>
      </c>
      <c r="CI1051" s="10">
        <f t="shared" ca="1" si="1287"/>
        <v>0</v>
      </c>
      <c r="CJ1051" s="10">
        <f t="shared" ca="1" si="1287"/>
        <v>0</v>
      </c>
      <c r="CK1051" s="10">
        <f t="shared" ca="1" si="1287"/>
        <v>0</v>
      </c>
      <c r="CL1051" s="10">
        <f t="shared" ca="1" si="1287"/>
        <v>0</v>
      </c>
      <c r="CM1051" s="10">
        <f t="shared" ca="1" si="1287"/>
        <v>0</v>
      </c>
      <c r="CN1051" s="10">
        <f t="shared" ca="1" si="1287"/>
        <v>0</v>
      </c>
      <c r="CO1051" s="10">
        <f t="shared" ca="1" si="1287"/>
        <v>0</v>
      </c>
    </row>
    <row r="1052" spans="1:93" ht="15.75" thickBot="1">
      <c r="A1052" s="10"/>
      <c r="B1052" s="10"/>
      <c r="C1052" s="21" t="s">
        <v>1175</v>
      </c>
      <c r="D1052" s="10"/>
      <c r="E1052" s="10"/>
      <c r="F1052" s="10"/>
      <c r="G1052" s="134" t="str">
        <f t="shared" si="1262"/>
        <v>тыс. руб.</v>
      </c>
      <c r="H1052" s="10"/>
      <c r="I1052" s="23">
        <f>SUM(L1052:CO1052)</f>
        <v>0</v>
      </c>
      <c r="J1052" s="10"/>
      <c r="K1052" s="10"/>
      <c r="L1052" s="10">
        <f>Предпосылки!L531 * (Flag_Historical+Flag_Construction)</f>
        <v>0</v>
      </c>
      <c r="M1052" s="10">
        <f>Предпосылки!M531 * (Flag_Historical+Flag_Construction)</f>
        <v>0</v>
      </c>
      <c r="N1052" s="10">
        <f>Предпосылки!N531 * (Flag_Historical+Flag_Construction)</f>
        <v>0</v>
      </c>
      <c r="O1052" s="10">
        <f>Предпосылки!O531 * (Flag_Historical+Flag_Construction)</f>
        <v>0</v>
      </c>
      <c r="P1052" s="10">
        <f>Предпосылки!P531 * (Flag_Historical+Flag_Construction)</f>
        <v>0</v>
      </c>
      <c r="Q1052" s="10">
        <f>Предпосылки!Q531 * (Flag_Historical+Flag_Construction)</f>
        <v>0</v>
      </c>
      <c r="R1052" s="10">
        <f>Предпосылки!R531 * (Flag_Historical+Flag_Construction)</f>
        <v>0</v>
      </c>
      <c r="S1052" s="10">
        <f>Предпосылки!S531 * (Flag_Historical+Flag_Construction)</f>
        <v>0</v>
      </c>
      <c r="T1052" s="10">
        <f>Предпосылки!T531 * (Flag_Historical+Flag_Construction)</f>
        <v>0</v>
      </c>
      <c r="U1052" s="10">
        <f>Предпосылки!U531 * (Flag_Historical+Flag_Construction)</f>
        <v>0</v>
      </c>
      <c r="V1052" s="10">
        <f>Предпосылки!V531 * (Flag_Historical+Flag_Construction)</f>
        <v>0</v>
      </c>
      <c r="W1052" s="10">
        <f>Предпосылки!W531 * (Flag_Historical+Flag_Construction)</f>
        <v>0</v>
      </c>
      <c r="X1052" s="10">
        <f>Предпосылки!X531 * (Flag_Historical+Flag_Construction)</f>
        <v>0</v>
      </c>
      <c r="Y1052" s="10">
        <f>Предпосылки!Y531 * (Flag_Historical+Flag_Construction)</f>
        <v>0</v>
      </c>
      <c r="Z1052" s="10">
        <f>Предпосылки!Z531 * (Flag_Historical+Flag_Construction)</f>
        <v>0</v>
      </c>
      <c r="AA1052" s="10">
        <f>Предпосылки!AA531 * (Flag_Historical+Flag_Construction)</f>
        <v>0</v>
      </c>
      <c r="AB1052" s="10">
        <f>Предпосылки!AB531 * (Flag_Historical+Flag_Construction)</f>
        <v>0</v>
      </c>
      <c r="AC1052" s="10">
        <f>Предпосылки!AC531 * (Flag_Historical+Flag_Construction)</f>
        <v>0</v>
      </c>
      <c r="AD1052" s="10">
        <f>Предпосылки!AD531 * (Flag_Historical+Flag_Construction)</f>
        <v>0</v>
      </c>
      <c r="AE1052" s="10">
        <f>Предпосылки!AE531 * (Flag_Historical+Flag_Construction)</f>
        <v>0</v>
      </c>
      <c r="AF1052" s="10">
        <f>Предпосылки!AF531 * (Flag_Historical+Flag_Construction)</f>
        <v>0</v>
      </c>
      <c r="AG1052" s="10">
        <f>Предпосылки!AG531 * (Flag_Historical+Flag_Construction)</f>
        <v>0</v>
      </c>
      <c r="AH1052" s="10">
        <f>Предпосылки!AH531 * (Flag_Historical+Flag_Construction)</f>
        <v>0</v>
      </c>
      <c r="AI1052" s="10">
        <f>Предпосылки!AI531 * (Flag_Historical+Flag_Construction)</f>
        <v>0</v>
      </c>
      <c r="AJ1052" s="10">
        <f>Предпосылки!AJ531 * (Flag_Historical+Flag_Construction)</f>
        <v>0</v>
      </c>
      <c r="AK1052" s="10">
        <f>Предпосылки!AK531 * (Flag_Historical+Flag_Construction)</f>
        <v>0</v>
      </c>
      <c r="AL1052" s="10">
        <f>Предпосылки!AL531 * (Flag_Historical+Flag_Construction)</f>
        <v>0</v>
      </c>
      <c r="AM1052" s="10">
        <f>Предпосылки!AM531 * (Flag_Historical+Flag_Construction)</f>
        <v>0</v>
      </c>
      <c r="AN1052" s="10">
        <f>Предпосылки!AN531 * (Flag_Historical+Flag_Construction)</f>
        <v>0</v>
      </c>
      <c r="AO1052" s="10">
        <f>Предпосылки!AO531 * (Flag_Historical+Flag_Construction)</f>
        <v>0</v>
      </c>
      <c r="AP1052" s="10">
        <f>Предпосылки!AP531 * (Flag_Historical+Flag_Construction)</f>
        <v>0</v>
      </c>
      <c r="AQ1052" s="10">
        <f>Предпосылки!AQ531 * (Flag_Historical+Flag_Construction)</f>
        <v>0</v>
      </c>
      <c r="AR1052" s="10">
        <f>Предпосылки!AR531 * (Flag_Historical+Flag_Construction)</f>
        <v>0</v>
      </c>
      <c r="AS1052" s="10">
        <f>Предпосылки!AS531 * (Flag_Historical+Flag_Construction)</f>
        <v>0</v>
      </c>
      <c r="AT1052" s="10">
        <f>Предпосылки!AT531 * (Flag_Historical+Flag_Construction)</f>
        <v>0</v>
      </c>
      <c r="AU1052" s="10">
        <f>Предпосылки!AU531 * (Flag_Historical+Flag_Construction)</f>
        <v>0</v>
      </c>
      <c r="AV1052" s="10">
        <f>Предпосылки!AV531 * (Flag_Historical+Flag_Construction)</f>
        <v>0</v>
      </c>
      <c r="AW1052" s="10">
        <f>Предпосылки!AW531 * (Flag_Historical+Flag_Construction)</f>
        <v>0</v>
      </c>
      <c r="AX1052" s="10">
        <f>Предпосылки!AX531 * (Flag_Historical+Flag_Construction)</f>
        <v>0</v>
      </c>
      <c r="AY1052" s="10">
        <f>Предпосылки!AY531 * (Flag_Historical+Flag_Construction)</f>
        <v>0</v>
      </c>
      <c r="AZ1052" s="10">
        <f>Предпосылки!AZ531 * (Flag_Historical+Flag_Construction)</f>
        <v>0</v>
      </c>
      <c r="BA1052" s="10">
        <f>Предпосылки!BA531 * (Flag_Historical+Flag_Construction)</f>
        <v>0</v>
      </c>
      <c r="BB1052" s="10">
        <f>Предпосылки!BB531 * (Flag_Historical+Flag_Construction)</f>
        <v>0</v>
      </c>
      <c r="BC1052" s="10">
        <f>Предпосылки!BC531 * (Flag_Historical+Flag_Construction)</f>
        <v>0</v>
      </c>
      <c r="BD1052" s="10">
        <f>Предпосылки!BD531 * (Flag_Historical+Flag_Construction)</f>
        <v>0</v>
      </c>
      <c r="BE1052" s="10">
        <f>Предпосылки!BE531 * (Flag_Historical+Flag_Construction)</f>
        <v>0</v>
      </c>
      <c r="BF1052" s="10">
        <f>Предпосылки!BF531 * (Flag_Historical+Flag_Construction)</f>
        <v>0</v>
      </c>
      <c r="BG1052" s="10">
        <f>Предпосылки!BG531 * (Flag_Historical+Flag_Construction)</f>
        <v>0</v>
      </c>
      <c r="BH1052" s="10">
        <f>Предпосылки!BH531 * (Flag_Historical+Flag_Construction)</f>
        <v>0</v>
      </c>
      <c r="BI1052" s="10">
        <f>Предпосылки!BI531 * (Flag_Historical+Flag_Construction)</f>
        <v>0</v>
      </c>
      <c r="BJ1052" s="10">
        <f>Предпосылки!BJ531 * (Flag_Historical+Flag_Construction)</f>
        <v>0</v>
      </c>
      <c r="BK1052" s="10">
        <f>Предпосылки!BK531 * (Flag_Historical+Flag_Construction)</f>
        <v>0</v>
      </c>
      <c r="BL1052" s="10">
        <f>Предпосылки!BL531 * (Flag_Historical+Flag_Construction)</f>
        <v>0</v>
      </c>
      <c r="BM1052" s="10">
        <f>Предпосылки!BM531 * (Flag_Historical+Flag_Construction)</f>
        <v>0</v>
      </c>
      <c r="BN1052" s="10">
        <f>Предпосылки!BN531 * (Flag_Historical+Flag_Construction)</f>
        <v>0</v>
      </c>
      <c r="BO1052" s="10">
        <f>Предпосылки!BO531 * (Flag_Historical+Flag_Construction)</f>
        <v>0</v>
      </c>
      <c r="BP1052" s="10">
        <f>Предпосылки!BP531 * (Flag_Historical+Flag_Construction)</f>
        <v>0</v>
      </c>
      <c r="BQ1052" s="10">
        <f>Предпосылки!BQ531 * (Flag_Historical+Flag_Construction)</f>
        <v>0</v>
      </c>
      <c r="BR1052" s="10">
        <f>Предпосылки!BR531 * (Flag_Historical+Flag_Construction)</f>
        <v>0</v>
      </c>
      <c r="BS1052" s="10">
        <f>Предпосылки!BS531 * (Flag_Historical+Flag_Construction)</f>
        <v>0</v>
      </c>
      <c r="BT1052" s="10">
        <f>Предпосылки!BT531 * (Flag_Historical+Flag_Construction)</f>
        <v>0</v>
      </c>
      <c r="BU1052" s="10">
        <f>Предпосылки!BU531 * (Flag_Historical+Flag_Construction)</f>
        <v>0</v>
      </c>
      <c r="BV1052" s="10">
        <f>Предпосылки!BV531 * (Flag_Historical+Flag_Construction)</f>
        <v>0</v>
      </c>
      <c r="BW1052" s="10">
        <f>Предпосылки!BW531 * (Flag_Historical+Flag_Construction)</f>
        <v>0</v>
      </c>
      <c r="BX1052" s="10">
        <f>Предпосылки!BX531 * (Flag_Historical+Flag_Construction)</f>
        <v>0</v>
      </c>
      <c r="BY1052" s="10">
        <f>Предпосылки!BY531 * (Flag_Historical+Flag_Construction)</f>
        <v>0</v>
      </c>
      <c r="BZ1052" s="10">
        <f>Предпосылки!BZ531 * (Flag_Historical+Flag_Construction)</f>
        <v>0</v>
      </c>
      <c r="CA1052" s="10">
        <f>Предпосылки!CA531 * (Flag_Historical+Flag_Construction)</f>
        <v>0</v>
      </c>
      <c r="CB1052" s="10">
        <f>Предпосылки!CB531 * (Flag_Historical+Flag_Construction)</f>
        <v>0</v>
      </c>
      <c r="CC1052" s="10">
        <f>Предпосылки!CC531 * (Flag_Historical+Flag_Construction)</f>
        <v>0</v>
      </c>
      <c r="CD1052" s="10">
        <f>Предпосылки!CD531 * (Flag_Historical+Flag_Construction)</f>
        <v>0</v>
      </c>
      <c r="CE1052" s="10">
        <f>Предпосылки!CE531 * (Flag_Historical+Flag_Construction)</f>
        <v>0</v>
      </c>
      <c r="CF1052" s="10">
        <f>Предпосылки!CF531 * (Flag_Historical+Flag_Construction)</f>
        <v>0</v>
      </c>
      <c r="CG1052" s="10">
        <f>Предпосылки!CG531 * (Flag_Historical+Flag_Construction)</f>
        <v>0</v>
      </c>
      <c r="CH1052" s="10">
        <f>Предпосылки!CH531 * (Flag_Historical+Flag_Construction)</f>
        <v>0</v>
      </c>
      <c r="CI1052" s="10">
        <f>Предпосылки!CI531 * (Flag_Historical+Flag_Construction)</f>
        <v>0</v>
      </c>
      <c r="CJ1052" s="10">
        <f>Предпосылки!CJ531 * (Flag_Historical+Flag_Construction)</f>
        <v>0</v>
      </c>
      <c r="CK1052" s="10">
        <f>Предпосылки!CK531 * (Flag_Historical+Flag_Construction)</f>
        <v>0</v>
      </c>
      <c r="CL1052" s="10">
        <f>Предпосылки!CL531 * (Flag_Historical+Flag_Construction)</f>
        <v>0</v>
      </c>
      <c r="CM1052" s="10">
        <f>Предпосылки!CM531 * (Flag_Historical+Flag_Construction)</f>
        <v>0</v>
      </c>
      <c r="CN1052" s="10">
        <f>Предпосылки!CN531 * (Flag_Historical+Flag_Construction)</f>
        <v>0</v>
      </c>
      <c r="CO1052" s="10">
        <f>Предпосылки!CO531 * (Flag_Historical+Flag_Construction)</f>
        <v>0</v>
      </c>
    </row>
    <row r="1053" spans="1:93" ht="15.75" thickTop="1">
      <c r="A1053" s="172"/>
      <c r="B1053" s="35"/>
      <c r="C1053" s="173" t="s">
        <v>484</v>
      </c>
      <c r="D1053" s="49"/>
      <c r="E1053" s="49"/>
      <c r="F1053" s="49"/>
      <c r="G1053" s="159" t="str">
        <f t="shared" si="1262"/>
        <v>тыс. руб.</v>
      </c>
      <c r="H1053" s="49"/>
      <c r="I1053" s="176">
        <f t="shared" ca="1" si="1263"/>
        <v>3839266.9475003602</v>
      </c>
      <c r="J1053" s="49"/>
      <c r="K1053" s="49"/>
      <c r="L1053" s="49">
        <f t="shared" ref="L1053:AQ1053" ca="1" si="1288">SUM(L1041:L1052)*(Flag_Historical+Flag_Construction)</f>
        <v>20231.553412960755</v>
      </c>
      <c r="M1053" s="49">
        <f t="shared" ca="1" si="1288"/>
        <v>20518.738035800307</v>
      </c>
      <c r="N1053" s="49">
        <f t="shared" ca="1" si="1288"/>
        <v>20809.999212027134</v>
      </c>
      <c r="O1053" s="49">
        <f t="shared" ca="1" si="1288"/>
        <v>21105.394807857592</v>
      </c>
      <c r="P1053" s="49">
        <f t="shared" ca="1" si="1288"/>
        <v>177490.49062476435</v>
      </c>
      <c r="Q1053" s="49">
        <f t="shared" ca="1" si="1288"/>
        <v>179239.37658746613</v>
      </c>
      <c r="R1053" s="49">
        <f t="shared" ca="1" si="1288"/>
        <v>181005.49503456618</v>
      </c>
      <c r="S1053" s="49">
        <f t="shared" ca="1" si="1288"/>
        <v>182789.01576473904</v>
      </c>
      <c r="T1053" s="49">
        <f t="shared" ca="1" si="1288"/>
        <v>184965.93951308879</v>
      </c>
      <c r="U1053" s="49">
        <f t="shared" ca="1" si="1288"/>
        <v>190490.76998061163</v>
      </c>
      <c r="V1053" s="49">
        <f t="shared" ca="1" si="1288"/>
        <v>194851.96226518595</v>
      </c>
      <c r="W1053" s="49">
        <f t="shared" ca="1" si="1288"/>
        <v>199210.83002790483</v>
      </c>
      <c r="X1053" s="49">
        <f t="shared" ca="1" si="1288"/>
        <v>380268.03807791224</v>
      </c>
      <c r="Y1053" s="49">
        <f t="shared" ca="1" si="1288"/>
        <v>388712.96354787843</v>
      </c>
      <c r="Z1053" s="49">
        <f t="shared" ca="1" si="1288"/>
        <v>397487.10229346005</v>
      </c>
      <c r="AA1053" s="49">
        <f t="shared" ca="1" si="1288"/>
        <v>406153.32046609715</v>
      </c>
      <c r="AB1053" s="49">
        <f t="shared" ca="1" si="1288"/>
        <v>693935.95784803946</v>
      </c>
      <c r="AC1053" s="49">
        <f t="shared" ca="1" si="1288"/>
        <v>0</v>
      </c>
      <c r="AD1053" s="49">
        <f t="shared" ca="1" si="1288"/>
        <v>0</v>
      </c>
      <c r="AE1053" s="49">
        <f t="shared" ca="1" si="1288"/>
        <v>0</v>
      </c>
      <c r="AF1053" s="49">
        <f t="shared" ca="1" si="1288"/>
        <v>0</v>
      </c>
      <c r="AG1053" s="49">
        <f t="shared" ca="1" si="1288"/>
        <v>0</v>
      </c>
      <c r="AH1053" s="49">
        <f t="shared" ca="1" si="1288"/>
        <v>0</v>
      </c>
      <c r="AI1053" s="49">
        <f t="shared" ca="1" si="1288"/>
        <v>0</v>
      </c>
      <c r="AJ1053" s="49">
        <f t="shared" ca="1" si="1288"/>
        <v>0</v>
      </c>
      <c r="AK1053" s="49">
        <f t="shared" ca="1" si="1288"/>
        <v>0</v>
      </c>
      <c r="AL1053" s="49">
        <f t="shared" ca="1" si="1288"/>
        <v>0</v>
      </c>
      <c r="AM1053" s="49">
        <f t="shared" ca="1" si="1288"/>
        <v>0</v>
      </c>
      <c r="AN1053" s="49">
        <f t="shared" ca="1" si="1288"/>
        <v>0</v>
      </c>
      <c r="AO1053" s="49">
        <f t="shared" ca="1" si="1288"/>
        <v>0</v>
      </c>
      <c r="AP1053" s="49">
        <f t="shared" ca="1" si="1288"/>
        <v>0</v>
      </c>
      <c r="AQ1053" s="49">
        <f t="shared" ca="1" si="1288"/>
        <v>0</v>
      </c>
      <c r="AR1053" s="49">
        <f t="shared" ref="AR1053:BW1053" ca="1" si="1289">SUM(AR1041:AR1052)*(Flag_Historical+Flag_Construction)</f>
        <v>0</v>
      </c>
      <c r="AS1053" s="49">
        <f t="shared" ca="1" si="1289"/>
        <v>0</v>
      </c>
      <c r="AT1053" s="49">
        <f t="shared" ca="1" si="1289"/>
        <v>0</v>
      </c>
      <c r="AU1053" s="49">
        <f t="shared" ca="1" si="1289"/>
        <v>0</v>
      </c>
      <c r="AV1053" s="49">
        <f t="shared" ca="1" si="1289"/>
        <v>0</v>
      </c>
      <c r="AW1053" s="49">
        <f t="shared" ca="1" si="1289"/>
        <v>0</v>
      </c>
      <c r="AX1053" s="49">
        <f t="shared" ca="1" si="1289"/>
        <v>0</v>
      </c>
      <c r="AY1053" s="49">
        <f t="shared" ca="1" si="1289"/>
        <v>0</v>
      </c>
      <c r="AZ1053" s="49">
        <f t="shared" ca="1" si="1289"/>
        <v>0</v>
      </c>
      <c r="BA1053" s="49">
        <f t="shared" ca="1" si="1289"/>
        <v>0</v>
      </c>
      <c r="BB1053" s="49">
        <f t="shared" ca="1" si="1289"/>
        <v>0</v>
      </c>
      <c r="BC1053" s="49">
        <f t="shared" ca="1" si="1289"/>
        <v>0</v>
      </c>
      <c r="BD1053" s="49">
        <f t="shared" ca="1" si="1289"/>
        <v>0</v>
      </c>
      <c r="BE1053" s="49">
        <f t="shared" ca="1" si="1289"/>
        <v>0</v>
      </c>
      <c r="BF1053" s="49">
        <f t="shared" ca="1" si="1289"/>
        <v>0</v>
      </c>
      <c r="BG1053" s="49">
        <f t="shared" ca="1" si="1289"/>
        <v>0</v>
      </c>
      <c r="BH1053" s="49">
        <f t="shared" ca="1" si="1289"/>
        <v>0</v>
      </c>
      <c r="BI1053" s="49">
        <f t="shared" ca="1" si="1289"/>
        <v>0</v>
      </c>
      <c r="BJ1053" s="49">
        <f t="shared" ca="1" si="1289"/>
        <v>0</v>
      </c>
      <c r="BK1053" s="49">
        <f t="shared" ca="1" si="1289"/>
        <v>0</v>
      </c>
      <c r="BL1053" s="49">
        <f t="shared" ca="1" si="1289"/>
        <v>0</v>
      </c>
      <c r="BM1053" s="49">
        <f t="shared" ca="1" si="1289"/>
        <v>0</v>
      </c>
      <c r="BN1053" s="49">
        <f t="shared" ca="1" si="1289"/>
        <v>0</v>
      </c>
      <c r="BO1053" s="49">
        <f t="shared" ca="1" si="1289"/>
        <v>0</v>
      </c>
      <c r="BP1053" s="49">
        <f t="shared" ca="1" si="1289"/>
        <v>0</v>
      </c>
      <c r="BQ1053" s="49">
        <f t="shared" ca="1" si="1289"/>
        <v>0</v>
      </c>
      <c r="BR1053" s="49">
        <f t="shared" ca="1" si="1289"/>
        <v>0</v>
      </c>
      <c r="BS1053" s="49">
        <f t="shared" ca="1" si="1289"/>
        <v>0</v>
      </c>
      <c r="BT1053" s="49">
        <f t="shared" ca="1" si="1289"/>
        <v>0</v>
      </c>
      <c r="BU1053" s="49">
        <f t="shared" ca="1" si="1289"/>
        <v>0</v>
      </c>
      <c r="BV1053" s="49">
        <f t="shared" ca="1" si="1289"/>
        <v>0</v>
      </c>
      <c r="BW1053" s="49">
        <f t="shared" ca="1" si="1289"/>
        <v>0</v>
      </c>
      <c r="BX1053" s="49">
        <f t="shared" ref="BX1053:CO1053" ca="1" si="1290">SUM(BX1041:BX1052)*(Flag_Historical+Flag_Construction)</f>
        <v>0</v>
      </c>
      <c r="BY1053" s="49">
        <f t="shared" ca="1" si="1290"/>
        <v>0</v>
      </c>
      <c r="BZ1053" s="49">
        <f t="shared" ca="1" si="1290"/>
        <v>0</v>
      </c>
      <c r="CA1053" s="49">
        <f t="shared" ca="1" si="1290"/>
        <v>0</v>
      </c>
      <c r="CB1053" s="49">
        <f t="shared" ca="1" si="1290"/>
        <v>0</v>
      </c>
      <c r="CC1053" s="49">
        <f t="shared" ca="1" si="1290"/>
        <v>0</v>
      </c>
      <c r="CD1053" s="49">
        <f t="shared" ca="1" si="1290"/>
        <v>0</v>
      </c>
      <c r="CE1053" s="49">
        <f t="shared" ca="1" si="1290"/>
        <v>0</v>
      </c>
      <c r="CF1053" s="49">
        <f t="shared" ca="1" si="1290"/>
        <v>0</v>
      </c>
      <c r="CG1053" s="49">
        <f t="shared" ca="1" si="1290"/>
        <v>0</v>
      </c>
      <c r="CH1053" s="49">
        <f t="shared" ca="1" si="1290"/>
        <v>0</v>
      </c>
      <c r="CI1053" s="49">
        <f t="shared" ca="1" si="1290"/>
        <v>0</v>
      </c>
      <c r="CJ1053" s="49">
        <f t="shared" ca="1" si="1290"/>
        <v>0</v>
      </c>
      <c r="CK1053" s="49">
        <f t="shared" ca="1" si="1290"/>
        <v>0</v>
      </c>
      <c r="CL1053" s="49">
        <f t="shared" ca="1" si="1290"/>
        <v>0</v>
      </c>
      <c r="CM1053" s="49">
        <f t="shared" ca="1" si="1290"/>
        <v>0</v>
      </c>
      <c r="CN1053" s="49">
        <f t="shared" ca="1" si="1290"/>
        <v>0</v>
      </c>
      <c r="CO1053" s="49">
        <f t="shared" ca="1" si="1290"/>
        <v>0</v>
      </c>
    </row>
    <row r="1054" spans="1:93">
      <c r="A1054" s="10"/>
      <c r="B1054" s="10"/>
      <c r="C1054" s="21"/>
      <c r="D1054" s="10"/>
      <c r="E1054" s="10"/>
      <c r="F1054" s="10"/>
      <c r="G1054" s="11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0"/>
      <c r="AH1054" s="10"/>
      <c r="AI1054" s="10"/>
      <c r="AJ1054" s="10"/>
      <c r="AK1054" s="10"/>
      <c r="AL1054" s="10"/>
      <c r="AM1054" s="10"/>
      <c r="AN1054" s="10"/>
      <c r="AO1054" s="10"/>
      <c r="AP1054" s="10"/>
      <c r="AQ1054" s="10"/>
      <c r="AR1054" s="10"/>
      <c r="AS1054" s="10"/>
      <c r="AT1054" s="10"/>
      <c r="AU1054" s="10"/>
      <c r="AV1054" s="10"/>
      <c r="AW1054" s="10"/>
      <c r="AX1054" s="10"/>
      <c r="AY1054" s="10"/>
      <c r="AZ1054" s="10"/>
      <c r="BA1054" s="10"/>
      <c r="BB1054" s="10"/>
      <c r="BC1054" s="10"/>
      <c r="BD1054" s="10"/>
      <c r="BE1054" s="10"/>
      <c r="BF1054" s="10"/>
      <c r="BG1054" s="10"/>
      <c r="BH1054" s="10"/>
      <c r="BI1054" s="10"/>
      <c r="BJ1054" s="10"/>
      <c r="BK1054" s="10"/>
      <c r="BL1054" s="10"/>
      <c r="BM1054" s="10"/>
      <c r="BN1054" s="10"/>
      <c r="BO1054" s="10"/>
      <c r="BP1054" s="10"/>
      <c r="BQ1054" s="10"/>
      <c r="BR1054" s="10"/>
      <c r="BS1054" s="10"/>
      <c r="BT1054" s="10"/>
      <c r="BU1054" s="10"/>
      <c r="BV1054" s="10"/>
      <c r="BW1054" s="10"/>
      <c r="BX1054" s="10"/>
      <c r="BY1054" s="10"/>
      <c r="BZ1054" s="10"/>
      <c r="CA1054" s="10"/>
      <c r="CB1054" s="10"/>
      <c r="CC1054" s="10"/>
      <c r="CD1054" s="10"/>
      <c r="CE1054" s="10"/>
      <c r="CF1054" s="10"/>
      <c r="CG1054" s="10"/>
      <c r="CH1054" s="10"/>
      <c r="CI1054" s="10"/>
      <c r="CJ1054" s="10"/>
      <c r="CK1054" s="10"/>
      <c r="CL1054" s="10"/>
      <c r="CM1054" s="10"/>
      <c r="CN1054" s="10"/>
      <c r="CO1054" s="10"/>
    </row>
    <row r="1055" spans="1:93">
      <c r="A1055" s="10"/>
      <c r="B1055" s="10"/>
      <c r="C1055" s="21" t="s">
        <v>322</v>
      </c>
      <c r="D1055" s="10"/>
      <c r="E1055" s="10"/>
      <c r="F1055" s="10"/>
      <c r="G1055" s="134" t="str">
        <f>Monetary_Unit</f>
        <v>тыс. руб.</v>
      </c>
      <c r="H1055" s="10"/>
      <c r="I1055" s="23">
        <f ca="1">SUM(L1055:CO1055)</f>
        <v>3704742.5547448136</v>
      </c>
      <c r="J1055" s="10"/>
      <c r="K1055" s="10"/>
      <c r="L1055" s="10">
        <f ca="1">MAX(L$1053-SUM(L1044:L1045)*($E$1064="да"),0)</f>
        <v>20231.553412960755</v>
      </c>
      <c r="M1055" s="10">
        <f ca="1">MAX(M$1053-SUM(M1044:M1045)*($E$1064="да"),0)</f>
        <v>20518.738035800307</v>
      </c>
      <c r="N1055" s="10">
        <f t="shared" ref="N1055:BX1055" ca="1" si="1291">MAX(N$1053,0)-SUM(N1044:N1045)*($E$1064="да")</f>
        <v>20809.999212027134</v>
      </c>
      <c r="O1055" s="10">
        <f t="shared" ca="1" si="1291"/>
        <v>21105.394807857592</v>
      </c>
      <c r="P1055" s="10">
        <f t="shared" ca="1" si="1291"/>
        <v>177490.49062476435</v>
      </c>
      <c r="Q1055" s="10">
        <f t="shared" ca="1" si="1291"/>
        <v>179239.37658746613</v>
      </c>
      <c r="R1055" s="10">
        <f t="shared" ca="1" si="1291"/>
        <v>181005.49503456618</v>
      </c>
      <c r="S1055" s="10">
        <f t="shared" ca="1" si="1291"/>
        <v>182789.01576473904</v>
      </c>
      <c r="T1055" s="10">
        <f t="shared" ca="1" si="1291"/>
        <v>184590.11024975491</v>
      </c>
      <c r="U1055" s="10">
        <f t="shared" ca="1" si="1291"/>
        <v>186408.95165096477</v>
      </c>
      <c r="V1055" s="10">
        <f t="shared" ca="1" si="1291"/>
        <v>188245.71483594872</v>
      </c>
      <c r="W1055" s="10">
        <f t="shared" ca="1" si="1291"/>
        <v>190100.57639532859</v>
      </c>
      <c r="X1055" s="10">
        <f t="shared" ca="1" si="1291"/>
        <v>367575.48981645482</v>
      </c>
      <c r="Y1055" s="10">
        <f t="shared" ca="1" si="1291"/>
        <v>371197.36055505282</v>
      </c>
      <c r="Z1055" s="10">
        <f t="shared" ca="1" si="1291"/>
        <v>374854.91905850585</v>
      </c>
      <c r="AA1055" s="10">
        <f t="shared" ca="1" si="1291"/>
        <v>378548.51697286987</v>
      </c>
      <c r="AB1055" s="10">
        <f t="shared" ca="1" si="1291"/>
        <v>660030.85172975168</v>
      </c>
      <c r="AC1055" s="10">
        <f t="shared" ca="1" si="1291"/>
        <v>0</v>
      </c>
      <c r="AD1055" s="10">
        <f t="shared" ca="1" si="1291"/>
        <v>0</v>
      </c>
      <c r="AE1055" s="10">
        <f t="shared" ca="1" si="1291"/>
        <v>0</v>
      </c>
      <c r="AF1055" s="10">
        <f t="shared" ca="1" si="1291"/>
        <v>0</v>
      </c>
      <c r="AG1055" s="10">
        <f t="shared" ca="1" si="1291"/>
        <v>0</v>
      </c>
      <c r="AH1055" s="10">
        <f t="shared" ca="1" si="1291"/>
        <v>0</v>
      </c>
      <c r="AI1055" s="10">
        <f t="shared" ca="1" si="1291"/>
        <v>0</v>
      </c>
      <c r="AJ1055" s="10">
        <f t="shared" ca="1" si="1291"/>
        <v>0</v>
      </c>
      <c r="AK1055" s="10">
        <f t="shared" ca="1" si="1291"/>
        <v>0</v>
      </c>
      <c r="AL1055" s="10">
        <f t="shared" ca="1" si="1291"/>
        <v>0</v>
      </c>
      <c r="AM1055" s="10">
        <f t="shared" ca="1" si="1291"/>
        <v>0</v>
      </c>
      <c r="AN1055" s="10">
        <f t="shared" ca="1" si="1291"/>
        <v>0</v>
      </c>
      <c r="AO1055" s="10">
        <f t="shared" ca="1" si="1291"/>
        <v>0</v>
      </c>
      <c r="AP1055" s="10">
        <f t="shared" ca="1" si="1291"/>
        <v>0</v>
      </c>
      <c r="AQ1055" s="10">
        <f t="shared" ca="1" si="1291"/>
        <v>0</v>
      </c>
      <c r="AR1055" s="10">
        <f t="shared" ca="1" si="1291"/>
        <v>0</v>
      </c>
      <c r="AS1055" s="10">
        <f t="shared" ca="1" si="1291"/>
        <v>0</v>
      </c>
      <c r="AT1055" s="10">
        <f t="shared" ca="1" si="1291"/>
        <v>0</v>
      </c>
      <c r="AU1055" s="10">
        <f t="shared" ca="1" si="1291"/>
        <v>0</v>
      </c>
      <c r="AV1055" s="10">
        <f t="shared" ca="1" si="1291"/>
        <v>0</v>
      </c>
      <c r="AW1055" s="10">
        <f t="shared" ca="1" si="1291"/>
        <v>0</v>
      </c>
      <c r="AX1055" s="10">
        <f t="shared" ca="1" si="1291"/>
        <v>0</v>
      </c>
      <c r="AY1055" s="10">
        <f t="shared" ca="1" si="1291"/>
        <v>0</v>
      </c>
      <c r="AZ1055" s="10">
        <f t="shared" ca="1" si="1291"/>
        <v>0</v>
      </c>
      <c r="BA1055" s="10">
        <f t="shared" ca="1" si="1291"/>
        <v>0</v>
      </c>
      <c r="BB1055" s="10">
        <f t="shared" ca="1" si="1291"/>
        <v>0</v>
      </c>
      <c r="BC1055" s="10">
        <f t="shared" ca="1" si="1291"/>
        <v>0</v>
      </c>
      <c r="BD1055" s="10">
        <f t="shared" ca="1" si="1291"/>
        <v>0</v>
      </c>
      <c r="BE1055" s="10">
        <f t="shared" ca="1" si="1291"/>
        <v>0</v>
      </c>
      <c r="BF1055" s="10">
        <f t="shared" ca="1" si="1291"/>
        <v>0</v>
      </c>
      <c r="BG1055" s="10">
        <f t="shared" ca="1" si="1291"/>
        <v>0</v>
      </c>
      <c r="BH1055" s="10">
        <f t="shared" ca="1" si="1291"/>
        <v>0</v>
      </c>
      <c r="BI1055" s="10">
        <f t="shared" ca="1" si="1291"/>
        <v>0</v>
      </c>
      <c r="BJ1055" s="10">
        <f t="shared" ca="1" si="1291"/>
        <v>0</v>
      </c>
      <c r="BK1055" s="10">
        <f t="shared" ca="1" si="1291"/>
        <v>0</v>
      </c>
      <c r="BL1055" s="10">
        <f t="shared" ca="1" si="1291"/>
        <v>0</v>
      </c>
      <c r="BM1055" s="10">
        <f t="shared" ca="1" si="1291"/>
        <v>0</v>
      </c>
      <c r="BN1055" s="10">
        <f t="shared" ca="1" si="1291"/>
        <v>0</v>
      </c>
      <c r="BO1055" s="10">
        <f t="shared" ca="1" si="1291"/>
        <v>0</v>
      </c>
      <c r="BP1055" s="10">
        <f t="shared" ca="1" si="1291"/>
        <v>0</v>
      </c>
      <c r="BQ1055" s="10">
        <f t="shared" ca="1" si="1291"/>
        <v>0</v>
      </c>
      <c r="BR1055" s="10">
        <f t="shared" ca="1" si="1291"/>
        <v>0</v>
      </c>
      <c r="BS1055" s="10">
        <f t="shared" ca="1" si="1291"/>
        <v>0</v>
      </c>
      <c r="BT1055" s="10">
        <f t="shared" ca="1" si="1291"/>
        <v>0</v>
      </c>
      <c r="BU1055" s="10">
        <f t="shared" ca="1" si="1291"/>
        <v>0</v>
      </c>
      <c r="BV1055" s="10">
        <f t="shared" ca="1" si="1291"/>
        <v>0</v>
      </c>
      <c r="BW1055" s="10">
        <f t="shared" ca="1" si="1291"/>
        <v>0</v>
      </c>
      <c r="BX1055" s="10">
        <f t="shared" ca="1" si="1291"/>
        <v>0</v>
      </c>
      <c r="BY1055" s="10">
        <f t="shared" ref="BY1055:CO1055" ca="1" si="1292">MAX(BY$1053,0)-SUM(BY1044:BY1045)*($E$1064="да")</f>
        <v>0</v>
      </c>
      <c r="BZ1055" s="10">
        <f t="shared" ca="1" si="1292"/>
        <v>0</v>
      </c>
      <c r="CA1055" s="10">
        <f t="shared" ca="1" si="1292"/>
        <v>0</v>
      </c>
      <c r="CB1055" s="10">
        <f t="shared" ca="1" si="1292"/>
        <v>0</v>
      </c>
      <c r="CC1055" s="10">
        <f t="shared" ca="1" si="1292"/>
        <v>0</v>
      </c>
      <c r="CD1055" s="10">
        <f t="shared" ca="1" si="1292"/>
        <v>0</v>
      </c>
      <c r="CE1055" s="10">
        <f t="shared" ca="1" si="1292"/>
        <v>0</v>
      </c>
      <c r="CF1055" s="10">
        <f t="shared" ca="1" si="1292"/>
        <v>0</v>
      </c>
      <c r="CG1055" s="10">
        <f t="shared" ca="1" si="1292"/>
        <v>0</v>
      </c>
      <c r="CH1055" s="10">
        <f t="shared" ca="1" si="1292"/>
        <v>0</v>
      </c>
      <c r="CI1055" s="10">
        <f t="shared" ca="1" si="1292"/>
        <v>0</v>
      </c>
      <c r="CJ1055" s="10">
        <f t="shared" ca="1" si="1292"/>
        <v>0</v>
      </c>
      <c r="CK1055" s="10">
        <f t="shared" ca="1" si="1292"/>
        <v>0</v>
      </c>
      <c r="CL1055" s="10">
        <f t="shared" ca="1" si="1292"/>
        <v>0</v>
      </c>
      <c r="CM1055" s="10">
        <f t="shared" ca="1" si="1292"/>
        <v>0</v>
      </c>
      <c r="CN1055" s="10">
        <f t="shared" ca="1" si="1292"/>
        <v>0</v>
      </c>
      <c r="CO1055" s="10">
        <f t="shared" ca="1" si="1292"/>
        <v>0</v>
      </c>
    </row>
    <row r="1056" spans="1:93">
      <c r="A1056" s="10"/>
      <c r="B1056" s="10"/>
      <c r="C1056" s="21" t="s">
        <v>499</v>
      </c>
      <c r="D1056" s="10"/>
      <c r="E1056" s="10"/>
      <c r="F1056" s="10"/>
      <c r="G1056" s="134" t="str">
        <f>Monetary_Unit</f>
        <v>тыс. руб.</v>
      </c>
      <c r="H1056" s="10"/>
      <c r="I1056" s="23">
        <f>SUM(L1056:CO1056)</f>
        <v>3704742.5547448136</v>
      </c>
      <c r="J1056" s="11"/>
      <c r="K1056" s="11"/>
      <c r="L1056" s="64">
        <v>20231.553412960755</v>
      </c>
      <c r="M1056" s="64">
        <v>20518.738035800307</v>
      </c>
      <c r="N1056" s="64">
        <v>20809.999212027134</v>
      </c>
      <c r="O1056" s="64">
        <v>21105.394807857592</v>
      </c>
      <c r="P1056" s="64">
        <v>177490.49062476435</v>
      </c>
      <c r="Q1056" s="64">
        <v>179239.37658746613</v>
      </c>
      <c r="R1056" s="64">
        <v>181005.49503456618</v>
      </c>
      <c r="S1056" s="64">
        <v>182789.01576473904</v>
      </c>
      <c r="T1056" s="64">
        <v>184590.11024975491</v>
      </c>
      <c r="U1056" s="64">
        <v>186408.95165096477</v>
      </c>
      <c r="V1056" s="64">
        <v>188245.71483594872</v>
      </c>
      <c r="W1056" s="64">
        <v>190100.57639532859</v>
      </c>
      <c r="X1056" s="64">
        <v>367575.48981645482</v>
      </c>
      <c r="Y1056" s="64">
        <v>371197.36055505282</v>
      </c>
      <c r="Z1056" s="64">
        <v>374854.91905850585</v>
      </c>
      <c r="AA1056" s="64">
        <v>378548.51697286987</v>
      </c>
      <c r="AB1056" s="64">
        <v>660030.85172975168</v>
      </c>
      <c r="AC1056" s="64">
        <v>0</v>
      </c>
      <c r="AD1056" s="64">
        <v>0</v>
      </c>
      <c r="AE1056" s="64">
        <v>0</v>
      </c>
      <c r="AF1056" s="64">
        <v>0</v>
      </c>
      <c r="AG1056" s="64">
        <v>0</v>
      </c>
      <c r="AH1056" s="64">
        <v>0</v>
      </c>
      <c r="AI1056" s="64">
        <v>0</v>
      </c>
      <c r="AJ1056" s="64">
        <v>0</v>
      </c>
      <c r="AK1056" s="64">
        <v>0</v>
      </c>
      <c r="AL1056" s="64">
        <v>0</v>
      </c>
      <c r="AM1056" s="64">
        <v>0</v>
      </c>
      <c r="AN1056" s="64">
        <v>0</v>
      </c>
      <c r="AO1056" s="64">
        <v>0</v>
      </c>
      <c r="AP1056" s="64">
        <v>0</v>
      </c>
      <c r="AQ1056" s="64">
        <v>0</v>
      </c>
      <c r="AR1056" s="64">
        <v>0</v>
      </c>
      <c r="AS1056" s="64">
        <v>0</v>
      </c>
      <c r="AT1056" s="64">
        <v>0</v>
      </c>
      <c r="AU1056" s="64">
        <v>0</v>
      </c>
      <c r="AV1056" s="64">
        <v>0</v>
      </c>
      <c r="AW1056" s="64">
        <v>0</v>
      </c>
      <c r="AX1056" s="64">
        <v>0</v>
      </c>
      <c r="AY1056" s="64">
        <v>0</v>
      </c>
      <c r="AZ1056" s="64">
        <v>0</v>
      </c>
      <c r="BA1056" s="64">
        <v>0</v>
      </c>
      <c r="BB1056" s="64">
        <v>0</v>
      </c>
      <c r="BC1056" s="64">
        <v>0</v>
      </c>
      <c r="BD1056" s="64">
        <v>0</v>
      </c>
      <c r="BE1056" s="64">
        <v>0</v>
      </c>
      <c r="BF1056" s="64">
        <v>0</v>
      </c>
      <c r="BG1056" s="64">
        <v>0</v>
      </c>
      <c r="BH1056" s="64">
        <v>0</v>
      </c>
      <c r="BI1056" s="64">
        <v>0</v>
      </c>
      <c r="BJ1056" s="64">
        <v>0</v>
      </c>
      <c r="BK1056" s="64">
        <v>0</v>
      </c>
      <c r="BL1056" s="64">
        <v>0</v>
      </c>
      <c r="BM1056" s="64">
        <v>0</v>
      </c>
      <c r="BN1056" s="64">
        <v>0</v>
      </c>
      <c r="BO1056" s="64">
        <v>0</v>
      </c>
      <c r="BP1056" s="64">
        <v>0</v>
      </c>
      <c r="BQ1056" s="64">
        <v>0</v>
      </c>
      <c r="BR1056" s="64">
        <v>0</v>
      </c>
      <c r="BS1056" s="64">
        <v>0</v>
      </c>
      <c r="BT1056" s="64">
        <v>0</v>
      </c>
      <c r="BU1056" s="64">
        <v>0</v>
      </c>
      <c r="BV1056" s="64">
        <v>0</v>
      </c>
      <c r="BW1056" s="64">
        <v>0</v>
      </c>
      <c r="BX1056" s="64">
        <v>0</v>
      </c>
      <c r="BY1056" s="64">
        <v>0</v>
      </c>
      <c r="BZ1056" s="64">
        <v>0</v>
      </c>
      <c r="CA1056" s="64">
        <v>0</v>
      </c>
      <c r="CB1056" s="64">
        <v>0</v>
      </c>
      <c r="CC1056" s="64">
        <v>0</v>
      </c>
      <c r="CD1056" s="64">
        <v>0</v>
      </c>
      <c r="CE1056" s="64">
        <v>0</v>
      </c>
      <c r="CF1056" s="64">
        <v>0</v>
      </c>
      <c r="CG1056" s="64">
        <v>0</v>
      </c>
      <c r="CH1056" s="64">
        <v>0</v>
      </c>
      <c r="CI1056" s="64">
        <v>0</v>
      </c>
      <c r="CJ1056" s="64">
        <v>0</v>
      </c>
      <c r="CK1056" s="64">
        <v>0</v>
      </c>
      <c r="CL1056" s="64">
        <v>0</v>
      </c>
      <c r="CM1056" s="64">
        <v>0</v>
      </c>
      <c r="CN1056" s="64">
        <v>0</v>
      </c>
      <c r="CO1056" s="64">
        <v>0</v>
      </c>
    </row>
    <row r="1057" spans="1:94">
      <c r="A1057" s="10"/>
      <c r="B1057" s="10"/>
      <c r="C1057" s="10"/>
      <c r="D1057" s="10"/>
      <c r="E1057" s="10"/>
      <c r="F1057" s="10"/>
      <c r="G1057" s="11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0"/>
      <c r="AH1057" s="10"/>
      <c r="AI1057" s="10"/>
      <c r="AJ1057" s="10"/>
      <c r="AK1057" s="10"/>
      <c r="AL1057" s="10"/>
      <c r="AM1057" s="10"/>
      <c r="AN1057" s="10"/>
      <c r="AO1057" s="10"/>
      <c r="AP1057" s="10"/>
      <c r="AQ1057" s="10"/>
      <c r="AR1057" s="10"/>
      <c r="AS1057" s="10"/>
      <c r="AT1057" s="10"/>
      <c r="AU1057" s="10"/>
      <c r="AV1057" s="10"/>
      <c r="AW1057" s="10"/>
      <c r="AX1057" s="10"/>
      <c r="AY1057" s="10"/>
      <c r="AZ1057" s="10"/>
      <c r="BA1057" s="10"/>
      <c r="BB1057" s="10"/>
      <c r="BC1057" s="10"/>
      <c r="BD1057" s="10"/>
      <c r="BE1057" s="10"/>
      <c r="BF1057" s="10"/>
      <c r="BG1057" s="10"/>
      <c r="BH1057" s="10"/>
      <c r="BI1057" s="10"/>
      <c r="BJ1057" s="10"/>
      <c r="BK1057" s="10"/>
      <c r="BL1057" s="10"/>
      <c r="BM1057" s="10"/>
      <c r="BN1057" s="10"/>
      <c r="BO1057" s="10"/>
      <c r="BP1057" s="10"/>
      <c r="BQ1057" s="10"/>
      <c r="BR1057" s="10"/>
      <c r="BS1057" s="10"/>
      <c r="BT1057" s="10"/>
      <c r="BU1057" s="10"/>
      <c r="BV1057" s="10"/>
      <c r="BW1057" s="10"/>
      <c r="BX1057" s="10"/>
      <c r="BY1057" s="10"/>
      <c r="BZ1057" s="10"/>
      <c r="CA1057" s="10"/>
      <c r="CB1057" s="10"/>
      <c r="CC1057" s="10"/>
      <c r="CD1057" s="10"/>
      <c r="CE1057" s="10"/>
      <c r="CF1057" s="10"/>
      <c r="CG1057" s="10"/>
      <c r="CH1057" s="10"/>
      <c r="CI1057" s="10"/>
      <c r="CJ1057" s="10"/>
      <c r="CK1057" s="10"/>
      <c r="CL1057" s="10"/>
      <c r="CM1057" s="10"/>
      <c r="CN1057" s="10"/>
      <c r="CO1057" s="10"/>
    </row>
    <row r="1058" spans="1:94">
      <c r="A1058" s="10"/>
      <c r="B1058" s="10"/>
      <c r="C1058" s="54" t="s">
        <v>266</v>
      </c>
      <c r="D1058" s="46"/>
      <c r="E1058" s="61">
        <f ca="1">IF(SUM(Funding_Requirement_Check_Arr)&gt;Very_Small_Number,SUM(Funding_Requirement_Check_Arr),0)</f>
        <v>0</v>
      </c>
      <c r="G1058" s="89"/>
      <c r="H1058" s="46"/>
      <c r="I1058" s="46"/>
      <c r="J1058" s="46"/>
      <c r="K1058" s="46"/>
      <c r="L1058" s="61">
        <f t="shared" ref="L1058:R1058" ca="1" si="1293">ABS(L1055-L1056)</f>
        <v>0</v>
      </c>
      <c r="M1058" s="61">
        <f t="shared" ca="1" si="1293"/>
        <v>0</v>
      </c>
      <c r="N1058" s="61">
        <f t="shared" ca="1" si="1293"/>
        <v>0</v>
      </c>
      <c r="O1058" s="61">
        <f t="shared" ca="1" si="1293"/>
        <v>0</v>
      </c>
      <c r="P1058" s="61">
        <f t="shared" ca="1" si="1293"/>
        <v>0</v>
      </c>
      <c r="Q1058" s="61">
        <f t="shared" ca="1" si="1293"/>
        <v>0</v>
      </c>
      <c r="R1058" s="61">
        <f t="shared" ca="1" si="1293"/>
        <v>0</v>
      </c>
      <c r="S1058" s="61">
        <f ca="1">ABS(S1055-S1056)</f>
        <v>0</v>
      </c>
      <c r="T1058" s="61">
        <f t="shared" ref="T1058:CE1058" ca="1" si="1294">ABS(T1055-T1056)</f>
        <v>0</v>
      </c>
      <c r="U1058" s="61">
        <f t="shared" ca="1" si="1294"/>
        <v>0</v>
      </c>
      <c r="V1058" s="61">
        <f t="shared" ca="1" si="1294"/>
        <v>0</v>
      </c>
      <c r="W1058" s="61">
        <f t="shared" ca="1" si="1294"/>
        <v>0</v>
      </c>
      <c r="X1058" s="61">
        <f t="shared" ca="1" si="1294"/>
        <v>0</v>
      </c>
      <c r="Y1058" s="61">
        <f t="shared" ca="1" si="1294"/>
        <v>0</v>
      </c>
      <c r="Z1058" s="61">
        <f t="shared" ca="1" si="1294"/>
        <v>0</v>
      </c>
      <c r="AA1058" s="61">
        <f t="shared" ca="1" si="1294"/>
        <v>0</v>
      </c>
      <c r="AB1058" s="61">
        <f t="shared" ca="1" si="1294"/>
        <v>0</v>
      </c>
      <c r="AC1058" s="61">
        <f t="shared" ca="1" si="1294"/>
        <v>0</v>
      </c>
      <c r="AD1058" s="61">
        <f t="shared" ca="1" si="1294"/>
        <v>0</v>
      </c>
      <c r="AE1058" s="61">
        <f t="shared" ca="1" si="1294"/>
        <v>0</v>
      </c>
      <c r="AF1058" s="61">
        <f t="shared" ca="1" si="1294"/>
        <v>0</v>
      </c>
      <c r="AG1058" s="61">
        <f t="shared" ca="1" si="1294"/>
        <v>0</v>
      </c>
      <c r="AH1058" s="61">
        <f t="shared" ca="1" si="1294"/>
        <v>0</v>
      </c>
      <c r="AI1058" s="61">
        <f t="shared" ca="1" si="1294"/>
        <v>0</v>
      </c>
      <c r="AJ1058" s="61">
        <f t="shared" ca="1" si="1294"/>
        <v>0</v>
      </c>
      <c r="AK1058" s="61">
        <f t="shared" ca="1" si="1294"/>
        <v>0</v>
      </c>
      <c r="AL1058" s="61">
        <f t="shared" ca="1" si="1294"/>
        <v>0</v>
      </c>
      <c r="AM1058" s="61">
        <f t="shared" ca="1" si="1294"/>
        <v>0</v>
      </c>
      <c r="AN1058" s="61">
        <f t="shared" ca="1" si="1294"/>
        <v>0</v>
      </c>
      <c r="AO1058" s="61">
        <f t="shared" ca="1" si="1294"/>
        <v>0</v>
      </c>
      <c r="AP1058" s="61">
        <f t="shared" ca="1" si="1294"/>
        <v>0</v>
      </c>
      <c r="AQ1058" s="61">
        <f t="shared" ca="1" si="1294"/>
        <v>0</v>
      </c>
      <c r="AR1058" s="61">
        <f t="shared" ca="1" si="1294"/>
        <v>0</v>
      </c>
      <c r="AS1058" s="61">
        <f t="shared" ca="1" si="1294"/>
        <v>0</v>
      </c>
      <c r="AT1058" s="61">
        <f t="shared" ca="1" si="1294"/>
        <v>0</v>
      </c>
      <c r="AU1058" s="61">
        <f t="shared" ca="1" si="1294"/>
        <v>0</v>
      </c>
      <c r="AV1058" s="61">
        <f t="shared" ca="1" si="1294"/>
        <v>0</v>
      </c>
      <c r="AW1058" s="61">
        <f t="shared" ca="1" si="1294"/>
        <v>0</v>
      </c>
      <c r="AX1058" s="61">
        <f t="shared" ca="1" si="1294"/>
        <v>0</v>
      </c>
      <c r="AY1058" s="61">
        <f t="shared" ca="1" si="1294"/>
        <v>0</v>
      </c>
      <c r="AZ1058" s="61">
        <f t="shared" ca="1" si="1294"/>
        <v>0</v>
      </c>
      <c r="BA1058" s="61">
        <f t="shared" ca="1" si="1294"/>
        <v>0</v>
      </c>
      <c r="BB1058" s="61">
        <f t="shared" ca="1" si="1294"/>
        <v>0</v>
      </c>
      <c r="BC1058" s="61">
        <f t="shared" ca="1" si="1294"/>
        <v>0</v>
      </c>
      <c r="BD1058" s="61">
        <f t="shared" ca="1" si="1294"/>
        <v>0</v>
      </c>
      <c r="BE1058" s="61">
        <f t="shared" ca="1" si="1294"/>
        <v>0</v>
      </c>
      <c r="BF1058" s="61">
        <f t="shared" ca="1" si="1294"/>
        <v>0</v>
      </c>
      <c r="BG1058" s="61">
        <f t="shared" ca="1" si="1294"/>
        <v>0</v>
      </c>
      <c r="BH1058" s="61">
        <f t="shared" ca="1" si="1294"/>
        <v>0</v>
      </c>
      <c r="BI1058" s="61">
        <f t="shared" ca="1" si="1294"/>
        <v>0</v>
      </c>
      <c r="BJ1058" s="61">
        <f t="shared" ca="1" si="1294"/>
        <v>0</v>
      </c>
      <c r="BK1058" s="61">
        <f t="shared" ca="1" si="1294"/>
        <v>0</v>
      </c>
      <c r="BL1058" s="61">
        <f t="shared" ca="1" si="1294"/>
        <v>0</v>
      </c>
      <c r="BM1058" s="61">
        <f t="shared" ca="1" si="1294"/>
        <v>0</v>
      </c>
      <c r="BN1058" s="61">
        <f t="shared" ca="1" si="1294"/>
        <v>0</v>
      </c>
      <c r="BO1058" s="61">
        <f t="shared" ca="1" si="1294"/>
        <v>0</v>
      </c>
      <c r="BP1058" s="61">
        <f t="shared" ca="1" si="1294"/>
        <v>0</v>
      </c>
      <c r="BQ1058" s="61">
        <f t="shared" ca="1" si="1294"/>
        <v>0</v>
      </c>
      <c r="BR1058" s="61">
        <f t="shared" ca="1" si="1294"/>
        <v>0</v>
      </c>
      <c r="BS1058" s="61">
        <f t="shared" ca="1" si="1294"/>
        <v>0</v>
      </c>
      <c r="BT1058" s="61">
        <f t="shared" ca="1" si="1294"/>
        <v>0</v>
      </c>
      <c r="BU1058" s="61">
        <f t="shared" ca="1" si="1294"/>
        <v>0</v>
      </c>
      <c r="BV1058" s="61">
        <f t="shared" ca="1" si="1294"/>
        <v>0</v>
      </c>
      <c r="BW1058" s="61">
        <f t="shared" ca="1" si="1294"/>
        <v>0</v>
      </c>
      <c r="BX1058" s="61">
        <f t="shared" ca="1" si="1294"/>
        <v>0</v>
      </c>
      <c r="BY1058" s="61">
        <f t="shared" ca="1" si="1294"/>
        <v>0</v>
      </c>
      <c r="BZ1058" s="61">
        <f t="shared" ca="1" si="1294"/>
        <v>0</v>
      </c>
      <c r="CA1058" s="61">
        <f t="shared" ca="1" si="1294"/>
        <v>0</v>
      </c>
      <c r="CB1058" s="61">
        <f t="shared" ca="1" si="1294"/>
        <v>0</v>
      </c>
      <c r="CC1058" s="61">
        <f t="shared" ca="1" si="1294"/>
        <v>0</v>
      </c>
      <c r="CD1058" s="61">
        <f t="shared" ca="1" si="1294"/>
        <v>0</v>
      </c>
      <c r="CE1058" s="61">
        <f t="shared" ca="1" si="1294"/>
        <v>0</v>
      </c>
      <c r="CF1058" s="61">
        <f t="shared" ref="CF1058:CO1058" ca="1" si="1295">ABS(CF1055-CF1056)</f>
        <v>0</v>
      </c>
      <c r="CG1058" s="61">
        <f t="shared" ca="1" si="1295"/>
        <v>0</v>
      </c>
      <c r="CH1058" s="61">
        <f t="shared" ca="1" si="1295"/>
        <v>0</v>
      </c>
      <c r="CI1058" s="61">
        <f t="shared" ca="1" si="1295"/>
        <v>0</v>
      </c>
      <c r="CJ1058" s="61">
        <f t="shared" ca="1" si="1295"/>
        <v>0</v>
      </c>
      <c r="CK1058" s="61">
        <f t="shared" ca="1" si="1295"/>
        <v>0</v>
      </c>
      <c r="CL1058" s="61">
        <f t="shared" ca="1" si="1295"/>
        <v>0</v>
      </c>
      <c r="CM1058" s="61">
        <f t="shared" ca="1" si="1295"/>
        <v>0</v>
      </c>
      <c r="CN1058" s="61">
        <f t="shared" ca="1" si="1295"/>
        <v>0</v>
      </c>
      <c r="CO1058" s="61">
        <f t="shared" ca="1" si="1295"/>
        <v>0</v>
      </c>
    </row>
    <row r="1059" spans="1:94">
      <c r="A1059" s="10"/>
      <c r="B1059" s="10"/>
      <c r="C1059" s="10"/>
      <c r="D1059" s="10"/>
      <c r="E1059" s="10"/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1"/>
      <c r="AI1059" s="11"/>
      <c r="AJ1059" s="11"/>
      <c r="AK1059" s="11"/>
      <c r="AL1059" s="11"/>
      <c r="AM1059" s="11"/>
      <c r="AN1059" s="11"/>
      <c r="AO1059" s="11"/>
      <c r="AP1059" s="11"/>
      <c r="AQ1059" s="11"/>
      <c r="AR1059" s="11"/>
      <c r="AS1059" s="11"/>
      <c r="AT1059" s="11"/>
      <c r="AU1059" s="11"/>
      <c r="AV1059" s="11"/>
      <c r="AW1059" s="11"/>
      <c r="AX1059" s="11"/>
      <c r="AY1059" s="11"/>
      <c r="AZ1059" s="11"/>
      <c r="BA1059" s="11"/>
      <c r="BB1059" s="11"/>
      <c r="BC1059" s="11"/>
      <c r="BD1059" s="11"/>
      <c r="BE1059" s="11"/>
      <c r="BF1059" s="11"/>
      <c r="BG1059" s="11"/>
      <c r="BH1059" s="11"/>
      <c r="BI1059" s="11"/>
      <c r="BJ1059" s="11"/>
      <c r="BK1059" s="11"/>
      <c r="BL1059" s="11"/>
      <c r="BM1059" s="11"/>
      <c r="BN1059" s="11"/>
      <c r="BO1059" s="11"/>
      <c r="BP1059" s="11"/>
      <c r="BQ1059" s="11"/>
      <c r="BR1059" s="11"/>
      <c r="BS1059" s="11"/>
      <c r="BT1059" s="11"/>
      <c r="BU1059" s="11"/>
      <c r="BV1059" s="11"/>
      <c r="BW1059" s="11"/>
      <c r="BX1059" s="11"/>
      <c r="BY1059" s="11"/>
      <c r="BZ1059" s="11"/>
      <c r="CA1059" s="11"/>
      <c r="CB1059" s="11"/>
      <c r="CC1059" s="11"/>
      <c r="CD1059" s="11"/>
      <c r="CE1059" s="11"/>
      <c r="CF1059" s="11"/>
      <c r="CG1059" s="11"/>
      <c r="CH1059" s="11"/>
      <c r="CI1059" s="11"/>
      <c r="CJ1059" s="11"/>
      <c r="CK1059" s="11"/>
      <c r="CL1059" s="11"/>
      <c r="CM1059" s="11"/>
      <c r="CN1059" s="11"/>
      <c r="CO1059" s="11"/>
    </row>
    <row r="1060" spans="1:94">
      <c r="A1060" s="10"/>
      <c r="B1060" s="10"/>
      <c r="C1060" s="67" t="s">
        <v>522</v>
      </c>
      <c r="D1060" s="10"/>
      <c r="E1060" s="10"/>
      <c r="F1060" s="10"/>
      <c r="G1060" s="11"/>
      <c r="H1060" s="10"/>
      <c r="I1060" s="157"/>
      <c r="J1060" s="10"/>
      <c r="K1060" s="10"/>
      <c r="L1060" s="458"/>
      <c r="M1060" s="458"/>
      <c r="N1060" s="458"/>
      <c r="O1060" s="458"/>
      <c r="P1060" s="458"/>
      <c r="Q1060" s="458"/>
      <c r="R1060" s="458"/>
      <c r="S1060" s="458"/>
      <c r="T1060" s="458"/>
      <c r="U1060" s="458"/>
      <c r="V1060" s="458"/>
      <c r="W1060" s="458"/>
      <c r="X1060" s="458"/>
      <c r="Y1060" s="458"/>
      <c r="Z1060" s="458"/>
      <c r="AA1060" s="458"/>
      <c r="AB1060" s="458"/>
      <c r="AC1060" s="458"/>
      <c r="AD1060" s="458"/>
      <c r="AE1060" s="458"/>
      <c r="AF1060" s="458"/>
      <c r="AG1060" s="458"/>
      <c r="AH1060" s="458"/>
      <c r="AI1060" s="458"/>
      <c r="AJ1060" s="458"/>
      <c r="AK1060" s="458"/>
      <c r="AL1060" s="458"/>
      <c r="AM1060" s="458"/>
      <c r="AN1060" s="458"/>
      <c r="AO1060" s="458"/>
      <c r="AP1060" s="458"/>
      <c r="AQ1060" s="458"/>
      <c r="AR1060" s="458"/>
      <c r="AS1060" s="458"/>
      <c r="AT1060" s="458"/>
      <c r="AU1060" s="458"/>
      <c r="AV1060" s="458"/>
      <c r="AW1060" s="458"/>
      <c r="AX1060" s="458"/>
      <c r="AY1060" s="458"/>
      <c r="AZ1060" s="458"/>
      <c r="BA1060" s="458"/>
      <c r="BB1060" s="458"/>
      <c r="BC1060" s="458"/>
      <c r="BD1060" s="458"/>
      <c r="BE1060" s="458"/>
      <c r="BF1060" s="458"/>
      <c r="BG1060" s="458"/>
      <c r="BH1060" s="458"/>
      <c r="BI1060" s="458"/>
      <c r="BJ1060" s="458"/>
      <c r="BK1060" s="458"/>
      <c r="BL1060" s="458"/>
      <c r="BM1060" s="458"/>
      <c r="BN1060" s="458"/>
      <c r="BO1060" s="458"/>
      <c r="BP1060" s="458"/>
      <c r="BQ1060" s="458"/>
      <c r="BR1060" s="458"/>
      <c r="BS1060" s="458"/>
      <c r="BT1060" s="458"/>
      <c r="BU1060" s="458"/>
      <c r="BV1060" s="458"/>
      <c r="BW1060" s="458"/>
      <c r="BX1060" s="458"/>
      <c r="BY1060" s="458"/>
      <c r="BZ1060" s="458"/>
      <c r="CA1060" s="458"/>
      <c r="CB1060" s="458"/>
      <c r="CC1060" s="458"/>
      <c r="CD1060" s="458"/>
      <c r="CE1060" s="458"/>
      <c r="CF1060" s="458"/>
      <c r="CG1060" s="458"/>
      <c r="CH1060" s="458"/>
      <c r="CI1060" s="458"/>
      <c r="CJ1060" s="458"/>
      <c r="CK1060" s="458"/>
      <c r="CL1060" s="458"/>
      <c r="CM1060" s="458"/>
      <c r="CN1060" s="458"/>
      <c r="CO1060" s="458"/>
      <c r="CP1060" s="458"/>
    </row>
    <row r="1061" spans="1:94">
      <c r="A1061" s="10"/>
      <c r="B1061" s="10"/>
      <c r="C1061" s="17" t="s">
        <v>344</v>
      </c>
      <c r="D1061" s="10"/>
      <c r="E1061" s="10"/>
      <c r="F1061" s="10"/>
      <c r="G1061" s="134" t="str">
        <f>Monetary_Unit</f>
        <v>тыс. руб.</v>
      </c>
      <c r="H1061" s="10"/>
      <c r="I1061" s="23">
        <f>SUM(L1061:CO1061)</f>
        <v>932854.17528474412</v>
      </c>
      <c r="J1061" s="10"/>
      <c r="K1061" s="10"/>
      <c r="L1061" s="450">
        <f>IF($E$1065="да",IF($I$1056*(1-$E$1063)&gt;SUM($K1061:K1061),MIN(L1056,$I$1056*(1-$E$1063)-SUM($K1061:K1061)),0),L1056-L1062)</f>
        <v>20231.553412960755</v>
      </c>
      <c r="M1061" s="450">
        <f>IF($E$1065="да",IF($I$1056*(1-$E$1063)&gt;SUM($K1061:L1061),MIN(M1056,$I$1056*(1-$E$1063)-SUM($K1061:L1061)),0),M1056-M1062)</f>
        <v>20518.738035800307</v>
      </c>
      <c r="N1061" s="450">
        <f>IF($E$1065="да",IF($I$1056*(1-$E$1063)&gt;SUM($K1061:M1061),MIN(N1056,$I$1056*(1-$E$1063)-SUM($K1061:M1061)),0),N1056-N1062)</f>
        <v>20809.999212027134</v>
      </c>
      <c r="O1061" s="450">
        <f>IF($E$1065="да",IF($I$1056*(1-$E$1063)&gt;SUM($K1061:N1061),MIN(O1056,$I$1056*(1-$E$1063)-SUM($K1061:N1061)),0),O1056-O1062)</f>
        <v>21105.394807857592</v>
      </c>
      <c r="P1061" s="450">
        <f>IF($E$1065="да",IF($I$1056*(1-$E$1063)&gt;SUM($K1061:O1061),MIN(P1056,$I$1056*(1-$E$1063)-SUM($K1061:O1061)),0),P1056-P1062)</f>
        <v>177490.49062476435</v>
      </c>
      <c r="Q1061" s="450">
        <f>IF($E$1065="да",IF($I$1056*(1-$E$1063)&gt;SUM($K1061:P1061),MIN(Q1056,$I$1056*(1-$E$1063)-SUM($K1061:P1061)),0),Q1056-Q1062)</f>
        <v>179239.37658746613</v>
      </c>
      <c r="R1061" s="450">
        <f>IF($E$1065="да",IF($I$1056*(1-$E$1063)&gt;SUM($K1061:Q1061),MIN(R1056,$I$1056*(1-$E$1063)-SUM($K1061:Q1061)),0),R1056-R1062)</f>
        <v>181005.49503456618</v>
      </c>
      <c r="S1061" s="450">
        <f>IF($E$1065="да",IF($I$1056*(1-$E$1063)&gt;SUM($K1061:R1061),MIN(S1056,$I$1056*(1-$E$1063)-SUM($K1061:R1061)),0),S1056-S1062)</f>
        <v>182789.01576473904</v>
      </c>
      <c r="T1061" s="450">
        <f>IF($E$1065="да",IF($I$1056*(1-$E$1063)&gt;SUM($K1061:S1061),MIN(T1056,$I$1056*(1-$E$1063)-SUM($K1061:S1061)),0),T1056-T1062)</f>
        <v>129664.11180456262</v>
      </c>
      <c r="U1061" s="450">
        <f>IF($E$1065="да",IF($I$1056*(1-$E$1063)&gt;SUM($K1061:T1061),MIN(U1056,$I$1056*(1-$E$1063)-SUM($K1061:T1061)),0),U1056-U1062)</f>
        <v>0</v>
      </c>
      <c r="V1061" s="450">
        <f>IF($E$1065="да",IF($I$1056*(1-$E$1063)&gt;SUM($K1061:U1061),MIN(V1056,$I$1056*(1-$E$1063)-SUM($K1061:U1061)),0),V1056-V1062)</f>
        <v>0</v>
      </c>
      <c r="W1061" s="450">
        <f>IF($E$1065="да",IF($I$1056*(1-$E$1063)&gt;SUM($K1061:V1061),MIN(W1056,$I$1056*(1-$E$1063)-SUM($K1061:V1061)),0),W1056-W1062)</f>
        <v>0</v>
      </c>
      <c r="X1061" s="450">
        <f>IF($E$1065="да",IF($I$1056*(1-$E$1063)&gt;SUM($K1061:W1061),MIN(X1056,$I$1056*(1-$E$1063)-SUM($K1061:W1061)),0),X1056-X1062)</f>
        <v>0</v>
      </c>
      <c r="Y1061" s="450">
        <f>IF($E$1065="да",IF($I$1056*(1-$E$1063)&gt;SUM($K1061:X1061),MIN(Y1056,$I$1056*(1-$E$1063)-SUM($K1061:X1061)),0),Y1056-Y1062)</f>
        <v>0</v>
      </c>
      <c r="Z1061" s="450">
        <f>IF($E$1065="да",IF($I$1056*(1-$E$1063)&gt;SUM($K1061:Y1061),MIN(Z1056,$I$1056*(1-$E$1063)-SUM($K1061:Y1061)),0),Z1056-Z1062)</f>
        <v>0</v>
      </c>
      <c r="AA1061" s="450">
        <f>IF($E$1065="да",IF($I$1056*(1-$E$1063)&gt;SUM($K1061:Z1061),MIN(AA1056,$I$1056*(1-$E$1063)-SUM($K1061:Z1061)),0),AA1056-AA1062)</f>
        <v>0</v>
      </c>
      <c r="AB1061" s="450">
        <f>IF($E$1065="да",IF($I$1056*(1-$E$1063)&gt;SUM($K1061:AA1061),MIN(AB1056,$I$1056*(1-$E$1063)-SUM($K1061:AA1061)),0),AB1056-AB1062)</f>
        <v>0</v>
      </c>
      <c r="AC1061" s="450">
        <f>IF($E$1065="да",IF($I$1056*(1-$E$1063)&gt;SUM($K1061:AB1061),MIN(AC1056,$I$1056*(1-$E$1063)-SUM($K1061:AB1061)),0),AC1056-AC1062)</f>
        <v>0</v>
      </c>
      <c r="AD1061" s="450">
        <f>IF($E$1065="да",IF($I$1056*(1-$E$1063)&gt;SUM($K1061:AC1061),MIN(AD1056,$I$1056*(1-$E$1063)-SUM($K1061:AC1061)),0),AD1056-AD1062)</f>
        <v>0</v>
      </c>
      <c r="AE1061" s="450">
        <f>IF($E$1065="да",IF($I$1056*(1-$E$1063)&gt;SUM($K1061:AD1061),MIN(AE1056,$I$1056*(1-$E$1063)-SUM($K1061:AD1061)),0),AE1056-AE1062)</f>
        <v>0</v>
      </c>
      <c r="AF1061" s="450">
        <f>IF($E$1065="да",IF($I$1056*(1-$E$1063)&gt;SUM($K1061:AE1061),MIN(AF1056,$I$1056*(1-$E$1063)-SUM($K1061:AE1061)),0),AF1056-AF1062)</f>
        <v>0</v>
      </c>
      <c r="AG1061" s="450">
        <f>IF($E$1065="да",IF($I$1056*(1-$E$1063)&gt;SUM($K1061:AF1061),MIN(AG1056,$I$1056*(1-$E$1063)-SUM($K1061:AF1061)),0),AG1056-AG1062)</f>
        <v>0</v>
      </c>
      <c r="AH1061" s="450">
        <f>IF($E$1065="да",IF($I$1056*(1-$E$1063)&gt;SUM($K1061:AG1061),MIN(AH1056,$I$1056*(1-$E$1063)-SUM($K1061:AG1061)),0),AH1056-AH1062)</f>
        <v>0</v>
      </c>
      <c r="AI1061" s="450">
        <f>IF($E$1065="да",IF($I$1056*(1-$E$1063)&gt;SUM($K1061:AH1061),MIN(AI1056,$I$1056*(1-$E$1063)-SUM($K1061:AH1061)),0),AI1056-AI1062)</f>
        <v>0</v>
      </c>
      <c r="AJ1061" s="450">
        <f>IF($E$1065="да",IF($I$1056*(1-$E$1063)&gt;SUM($K1061:AI1061),MIN(AJ1056,$I$1056*(1-$E$1063)-SUM($K1061:AI1061)),0),AJ1056-AJ1062)</f>
        <v>0</v>
      </c>
      <c r="AK1061" s="450">
        <f>IF($E$1065="да",IF($I$1056*(1-$E$1063)&gt;SUM($K1061:AJ1061),MIN(AK1056,$I$1056*(1-$E$1063)-SUM($K1061:AJ1061)),0),AK1056-AK1062)</f>
        <v>0</v>
      </c>
      <c r="AL1061" s="450">
        <f>IF($E$1065="да",IF($I$1056*(1-$E$1063)&gt;SUM($K1061:AK1061),MIN(AL1056,$I$1056*(1-$E$1063)-SUM($K1061:AK1061)),0),AL1056-AL1062)</f>
        <v>0</v>
      </c>
      <c r="AM1061" s="450">
        <f>IF($E$1065="да",IF($I$1056*(1-$E$1063)&gt;SUM($K1061:AL1061),MIN(AM1056,$I$1056*(1-$E$1063)-SUM($K1061:AL1061)),0),AM1056-AM1062)</f>
        <v>0</v>
      </c>
      <c r="AN1061" s="450">
        <f>IF($E$1065="да",IF($I$1056*(1-$E$1063)&gt;SUM($K1061:AM1061),MIN(AN1056,$I$1056*(1-$E$1063)-SUM($K1061:AM1061)),0),AN1056-AN1062)</f>
        <v>0</v>
      </c>
      <c r="AO1061" s="450">
        <f>IF($E$1065="да",IF($I$1056*(1-$E$1063)&gt;SUM($K1061:AN1061),MIN(AO1056,$I$1056*(1-$E$1063)-SUM($K1061:AN1061)),0),AO1056-AO1062)</f>
        <v>0</v>
      </c>
      <c r="AP1061" s="450">
        <f>IF($E$1065="да",IF($I$1056*(1-$E$1063)&gt;SUM($K1061:AO1061),MIN(AP1056,$I$1056*(1-$E$1063)-SUM($K1061:AO1061)),0),AP1056-AP1062)</f>
        <v>0</v>
      </c>
      <c r="AQ1061" s="450">
        <f>IF($E$1065="да",IF($I$1056*(1-$E$1063)&gt;SUM($K1061:AP1061),MIN(AQ1056,$I$1056*(1-$E$1063)-SUM($K1061:AP1061)),0),AQ1056-AQ1062)</f>
        <v>0</v>
      </c>
      <c r="AR1061" s="450">
        <f>IF($E$1065="да",IF($I$1056*(1-$E$1063)&gt;SUM($K1061:AQ1061),MIN(AR1056,$I$1056*(1-$E$1063)-SUM($K1061:AQ1061)),0),AR1056-AR1062)</f>
        <v>0</v>
      </c>
      <c r="AS1061" s="450">
        <f>IF($E$1065="да",IF($I$1056*(1-$E$1063)&gt;SUM($K1061:AR1061),MIN(AS1056,$I$1056*(1-$E$1063)-SUM($K1061:AR1061)),0),AS1056-AS1062)</f>
        <v>0</v>
      </c>
      <c r="AT1061" s="450">
        <f>IF($E$1065="да",IF($I$1056*(1-$E$1063)&gt;SUM($K1061:AS1061),MIN(AT1056,$I$1056*(1-$E$1063)-SUM($K1061:AS1061)),0),AT1056-AT1062)</f>
        <v>0</v>
      </c>
      <c r="AU1061" s="450">
        <f>IF($E$1065="да",IF($I$1056*(1-$E$1063)&gt;SUM($K1061:AT1061),MIN(AU1056,$I$1056*(1-$E$1063)-SUM($K1061:AT1061)),0),AU1056-AU1062)</f>
        <v>0</v>
      </c>
      <c r="AV1061" s="450">
        <f>IF($E$1065="да",IF($I$1056*(1-$E$1063)&gt;SUM($K1061:AU1061),MIN(AV1056,$I$1056*(1-$E$1063)-SUM($K1061:AU1061)),0),AV1056-AV1062)</f>
        <v>0</v>
      </c>
      <c r="AW1061" s="450">
        <f>IF($E$1065="да",IF($I$1056*(1-$E$1063)&gt;SUM($K1061:AV1061),MIN(AW1056,$I$1056*(1-$E$1063)-SUM($K1061:AV1061)),0),AW1056-AW1062)</f>
        <v>0</v>
      </c>
      <c r="AX1061" s="450">
        <f>IF($E$1065="да",IF($I$1056*(1-$E$1063)&gt;SUM($K1061:AW1061),MIN(AX1056,$I$1056*(1-$E$1063)-SUM($K1061:AW1061)),0),AX1056-AX1062)</f>
        <v>0</v>
      </c>
      <c r="AY1061" s="450">
        <f>IF($E$1065="да",IF($I$1056*(1-$E$1063)&gt;SUM($K1061:AX1061),MIN(AY1056,$I$1056*(1-$E$1063)-SUM($K1061:AX1061)),0),AY1056-AY1062)</f>
        <v>0</v>
      </c>
      <c r="AZ1061" s="450">
        <f>IF($E$1065="да",IF($I$1056*(1-$E$1063)&gt;SUM($K1061:AY1061),MIN(AZ1056,$I$1056*(1-$E$1063)-SUM($K1061:AY1061)),0),AZ1056-AZ1062)</f>
        <v>0</v>
      </c>
      <c r="BA1061" s="450">
        <f>IF($E$1065="да",IF($I$1056*(1-$E$1063)&gt;SUM($K1061:AZ1061),MIN(BA1056,$I$1056*(1-$E$1063)-SUM($K1061:AZ1061)),0),BA1056-BA1062)</f>
        <v>0</v>
      </c>
      <c r="BB1061" s="450">
        <f>IF($E$1065="да",IF($I$1056*(1-$E$1063)&gt;SUM($K1061:BA1061),MIN(BB1056,$I$1056*(1-$E$1063)-SUM($K1061:BA1061)),0),BB1056-BB1062)</f>
        <v>0</v>
      </c>
      <c r="BC1061" s="450">
        <f>IF($E$1065="да",IF($I$1056*(1-$E$1063)&gt;SUM($K1061:BB1061),MIN(BC1056,$I$1056*(1-$E$1063)-SUM($K1061:BB1061)),0),BC1056-BC1062)</f>
        <v>0</v>
      </c>
      <c r="BD1061" s="450">
        <f>IF($E$1065="да",IF($I$1056*(1-$E$1063)&gt;SUM($K1061:BC1061),MIN(BD1056,$I$1056*(1-$E$1063)-SUM($K1061:BC1061)),0),BD1056-BD1062)</f>
        <v>0</v>
      </c>
      <c r="BE1061" s="450">
        <f>IF($E$1065="да",IF($I$1056*(1-$E$1063)&gt;SUM($K1061:BD1061),MIN(BE1056,$I$1056*(1-$E$1063)-SUM($K1061:BD1061)),0),BE1056-BE1062)</f>
        <v>0</v>
      </c>
      <c r="BF1061" s="450">
        <f>IF($E$1065="да",IF($I$1056*(1-$E$1063)&gt;SUM($K1061:BE1061),MIN(BF1056,$I$1056*(1-$E$1063)-SUM($K1061:BE1061)),0),BF1056-BF1062)</f>
        <v>0</v>
      </c>
      <c r="BG1061" s="450">
        <f>IF($E$1065="да",IF($I$1056*(1-$E$1063)&gt;SUM($K1061:BF1061),MIN(BG1056,$I$1056*(1-$E$1063)-SUM($K1061:BF1061)),0),BG1056-BG1062)</f>
        <v>0</v>
      </c>
      <c r="BH1061" s="450">
        <f>IF($E$1065="да",IF($I$1056*(1-$E$1063)&gt;SUM($K1061:BG1061),MIN(BH1056,$I$1056*(1-$E$1063)-SUM($K1061:BG1061)),0),BH1056-BH1062)</f>
        <v>0</v>
      </c>
      <c r="BI1061" s="450">
        <f>IF($E$1065="да",IF($I$1056*(1-$E$1063)&gt;SUM($K1061:BH1061),MIN(BI1056,$I$1056*(1-$E$1063)-SUM($K1061:BH1061)),0),BI1056-BI1062)</f>
        <v>0</v>
      </c>
      <c r="BJ1061" s="450">
        <f>IF($E$1065="да",IF($I$1056*(1-$E$1063)&gt;SUM($K1061:BI1061),MIN(BJ1056,$I$1056*(1-$E$1063)-SUM($K1061:BI1061)),0),BJ1056-BJ1062)</f>
        <v>0</v>
      </c>
      <c r="BK1061" s="450">
        <f>IF($E$1065="да",IF($I$1056*(1-$E$1063)&gt;SUM($K1061:BJ1061),MIN(BK1056,$I$1056*(1-$E$1063)-SUM($K1061:BJ1061)),0),BK1056-BK1062)</f>
        <v>0</v>
      </c>
      <c r="BL1061" s="450">
        <f>IF($E$1065="да",IF($I$1056*(1-$E$1063)&gt;SUM($K1061:BK1061),MIN(BL1056,$I$1056*(1-$E$1063)-SUM($K1061:BK1061)),0),BL1056-BL1062)</f>
        <v>0</v>
      </c>
      <c r="BM1061" s="450">
        <f>IF($E$1065="да",IF($I$1056*(1-$E$1063)&gt;SUM($K1061:BL1061),MIN(BM1056,$I$1056*(1-$E$1063)-SUM($K1061:BL1061)),0),BM1056-BM1062)</f>
        <v>0</v>
      </c>
      <c r="BN1061" s="450">
        <f>IF($E$1065="да",IF($I$1056*(1-$E$1063)&gt;SUM($K1061:BM1061),MIN(BN1056,$I$1056*(1-$E$1063)-SUM($K1061:BM1061)),0),BN1056-BN1062)</f>
        <v>0</v>
      </c>
      <c r="BO1061" s="450">
        <f>IF($E$1065="да",IF($I$1056*(1-$E$1063)&gt;SUM($K1061:BN1061),MIN(BO1056,$I$1056*(1-$E$1063)-SUM($K1061:BN1061)),0),BO1056-BO1062)</f>
        <v>0</v>
      </c>
      <c r="BP1061" s="450">
        <f>IF($E$1065="да",IF($I$1056*(1-$E$1063)&gt;SUM($K1061:BO1061),MIN(BP1056,$I$1056*(1-$E$1063)-SUM($K1061:BO1061)),0),BP1056-BP1062)</f>
        <v>0</v>
      </c>
      <c r="BQ1061" s="450">
        <f>IF($E$1065="да",IF($I$1056*(1-$E$1063)&gt;SUM($K1061:BP1061),MIN(BQ1056,$I$1056*(1-$E$1063)-SUM($K1061:BP1061)),0),BQ1056-BQ1062)</f>
        <v>0</v>
      </c>
      <c r="BR1061" s="450">
        <f>IF($E$1065="да",IF($I$1056*(1-$E$1063)&gt;SUM($K1061:BQ1061),MIN(BR1056,$I$1056*(1-$E$1063)-SUM($K1061:BQ1061)),0),BR1056-BR1062)</f>
        <v>0</v>
      </c>
      <c r="BS1061" s="450">
        <f>IF($E$1065="да",IF($I$1056*(1-$E$1063)&gt;SUM($K1061:BR1061),MIN(BS1056,$I$1056*(1-$E$1063)-SUM($K1061:BR1061)),0),BS1056-BS1062)</f>
        <v>0</v>
      </c>
      <c r="BT1061" s="450">
        <f>IF($E$1065="да",IF($I$1056*(1-$E$1063)&gt;SUM($K1061:BS1061),MIN(BT1056,$I$1056*(1-$E$1063)-SUM($K1061:BS1061)),0),BT1056-BT1062)</f>
        <v>0</v>
      </c>
      <c r="BU1061" s="450">
        <f>IF($E$1065="да",IF($I$1056*(1-$E$1063)&gt;SUM($K1061:BT1061),MIN(BU1056,$I$1056*(1-$E$1063)-SUM($K1061:BT1061)),0),BU1056-BU1062)</f>
        <v>0</v>
      </c>
      <c r="BV1061" s="450">
        <f>IF($E$1065="да",IF($I$1056*(1-$E$1063)&gt;SUM($K1061:BU1061),MIN(BV1056,$I$1056*(1-$E$1063)-SUM($K1061:BU1061)),0),BV1056-BV1062)</f>
        <v>0</v>
      </c>
      <c r="BW1061" s="450">
        <f>IF($E$1065="да",IF($I$1056*(1-$E$1063)&gt;SUM($K1061:BV1061),MIN(BW1056,$I$1056*(1-$E$1063)-SUM($K1061:BV1061)),0),BW1056-BW1062)</f>
        <v>0</v>
      </c>
      <c r="BX1061" s="450">
        <f>IF($E$1065="да",IF($I$1056*(1-$E$1063)&gt;SUM($K1061:BW1061),MIN(BX1056,$I$1056*(1-$E$1063)-SUM($K1061:BW1061)),0),BX1056-BX1062)</f>
        <v>0</v>
      </c>
      <c r="BY1061" s="450">
        <f>IF($E$1065="да",IF($I$1056*(1-$E$1063)&gt;SUM($K1061:BX1061),MIN(BY1056,$I$1056*(1-$E$1063)-SUM($K1061:BX1061)),0),BY1056-BY1062)</f>
        <v>0</v>
      </c>
      <c r="BZ1061" s="450">
        <f>IF($E$1065="да",IF($I$1056*(1-$E$1063)&gt;SUM($K1061:BY1061),MIN(BZ1056,$I$1056*(1-$E$1063)-SUM($K1061:BY1061)),0),BZ1056-BZ1062)</f>
        <v>0</v>
      </c>
      <c r="CA1061" s="450">
        <f>IF($E$1065="да",IF($I$1056*(1-$E$1063)&gt;SUM($K1061:BZ1061),MIN(CA1056,$I$1056*(1-$E$1063)-SUM($K1061:BZ1061)),0),CA1056-CA1062)</f>
        <v>0</v>
      </c>
      <c r="CB1061" s="450">
        <f>IF($E$1065="да",IF($I$1056*(1-$E$1063)&gt;SUM($K1061:CA1061),MIN(CB1056,$I$1056*(1-$E$1063)-SUM($K1061:CA1061)),0),CB1056-CB1062)</f>
        <v>0</v>
      </c>
      <c r="CC1061" s="450">
        <f>IF($E$1065="да",IF($I$1056*(1-$E$1063)&gt;SUM($K1061:CB1061),MIN(CC1056,$I$1056*(1-$E$1063)-SUM($K1061:CB1061)),0),CC1056-CC1062)</f>
        <v>0</v>
      </c>
      <c r="CD1061" s="450">
        <f>IF($E$1065="да",IF($I$1056*(1-$E$1063)&gt;SUM($K1061:CC1061),MIN(CD1056,$I$1056*(1-$E$1063)-SUM($K1061:CC1061)),0),CD1056-CD1062)</f>
        <v>0</v>
      </c>
      <c r="CE1061" s="450">
        <f>IF($E$1065="да",IF($I$1056*(1-$E$1063)&gt;SUM($K1061:CD1061),MIN(CE1056,$I$1056*(1-$E$1063)-SUM($K1061:CD1061)),0),CE1056-CE1062)</f>
        <v>0</v>
      </c>
      <c r="CF1061" s="450">
        <f>IF($E$1065="да",IF($I$1056*(1-$E$1063)&gt;SUM($K1061:CE1061),MIN(CF1056,$I$1056*(1-$E$1063)-SUM($K1061:CE1061)),0),CF1056-CF1062)</f>
        <v>0</v>
      </c>
      <c r="CG1061" s="450">
        <f>IF($E$1065="да",IF($I$1056*(1-$E$1063)&gt;SUM($K1061:CF1061),MIN(CG1056,$I$1056*(1-$E$1063)-SUM($K1061:CF1061)),0),CG1056-CG1062)</f>
        <v>0</v>
      </c>
      <c r="CH1061" s="450">
        <f>IF($E$1065="да",IF($I$1056*(1-$E$1063)&gt;SUM($K1061:CG1061),MIN(CH1056,$I$1056*(1-$E$1063)-SUM($K1061:CG1061)),0),CH1056-CH1062)</f>
        <v>0</v>
      </c>
      <c r="CI1061" s="450">
        <f>IF($E$1065="да",IF($I$1056*(1-$E$1063)&gt;SUM($K1061:CH1061),MIN(CI1056,$I$1056*(1-$E$1063)-SUM($K1061:CH1061)),0),CI1056-CI1062)</f>
        <v>0</v>
      </c>
      <c r="CJ1061" s="450">
        <f>IF($E$1065="да",IF($I$1056*(1-$E$1063)&gt;SUM($K1061:CI1061),MIN(CJ1056,$I$1056*(1-$E$1063)-SUM($K1061:CI1061)),0),CJ1056-CJ1062)</f>
        <v>0</v>
      </c>
      <c r="CK1061" s="450">
        <f>IF($E$1065="да",IF($I$1056*(1-$E$1063)&gt;SUM($K1061:CJ1061),MIN(CK1056,$I$1056*(1-$E$1063)-SUM($K1061:CJ1061)),0),CK1056-CK1062)</f>
        <v>0</v>
      </c>
      <c r="CL1061" s="450">
        <f>IF($E$1065="да",IF($I$1056*(1-$E$1063)&gt;SUM($K1061:CK1061),MIN(CL1056,$I$1056*(1-$E$1063)-SUM($K1061:CK1061)),0),CL1056-CL1062)</f>
        <v>0</v>
      </c>
      <c r="CM1061" s="450">
        <f>IF($E$1065="да",IF($I$1056*(1-$E$1063)&gt;SUM($K1061:CL1061),MIN(CM1056,$I$1056*(1-$E$1063)-SUM($K1061:CL1061)),0),CM1056-CM1062)</f>
        <v>0</v>
      </c>
      <c r="CN1061" s="450">
        <f>IF($E$1065="да",IF($I$1056*(1-$E$1063)&gt;SUM($K1061:CM1061),MIN(CN1056,$I$1056*(1-$E$1063)-SUM($K1061:CM1061)),0),CN1056-CN1062)</f>
        <v>0</v>
      </c>
      <c r="CO1061" s="450">
        <f>IF($E$1065="да",IF($I$1056*(1-$E$1063)&gt;SUM($K1061:CN1061),MIN(CO1056,$I$1056*(1-$E$1063)-SUM($K1061:CN1061)),0),CO1056-CO1062)</f>
        <v>0</v>
      </c>
    </row>
    <row r="1062" spans="1:94">
      <c r="A1062" s="10"/>
      <c r="B1062" s="10"/>
      <c r="C1062" s="17" t="s">
        <v>343</v>
      </c>
      <c r="D1062" s="10"/>
      <c r="E1062" s="231"/>
      <c r="F1062" s="10">
        <f>23100*200</f>
        <v>4620000</v>
      </c>
      <c r="G1062" s="134" t="str">
        <f>Monetary_Unit</f>
        <v>тыс. руб.</v>
      </c>
      <c r="H1062" s="10"/>
      <c r="I1062" s="23">
        <f>SUM(L1062:CO1062)</f>
        <v>2771888.3794600694</v>
      </c>
      <c r="J1062" s="10"/>
      <c r="K1062" s="10"/>
      <c r="L1062" s="450">
        <f>IF($E$1065="да",L1056-L1061,L1056*MAX($L1063:L1063)*L1079)</f>
        <v>0</v>
      </c>
      <c r="M1062" s="450">
        <f>IF($E$1065="да",M1056-M1061,M1056*MAX($L1063:M1063)*M1079)</f>
        <v>0</v>
      </c>
      <c r="N1062" s="450">
        <f>IF($E$1065="да",N1056-N1061,N1056*MAX($L1063:N1063)*N1079)</f>
        <v>0</v>
      </c>
      <c r="O1062" s="450">
        <f>IF($E$1065="да",O1056-O1061,O1056*MAX($L1063:O1063)*O1079)</f>
        <v>0</v>
      </c>
      <c r="P1062" s="450">
        <f>IF($E$1065="да",P1056-P1061,P1056*MAX($L1063:P1063)*P1079)</f>
        <v>0</v>
      </c>
      <c r="Q1062" s="450">
        <f>IF($E$1065="да",Q1056-Q1061,Q1056*MAX($L1063:Q1063)*Q1079)</f>
        <v>0</v>
      </c>
      <c r="R1062" s="450">
        <f>IF($E$1065="да",R1056-R1061,R1056*MAX($L1063:R1063)*R1079)</f>
        <v>0</v>
      </c>
      <c r="S1062" s="450">
        <f>IF($E$1065="да",S1056-S1061,S1056*MAX($L1063:S1063)*S1079)</f>
        <v>0</v>
      </c>
      <c r="T1062" s="450">
        <f>IF($E$1065="да",T1056-T1061,T1056*MAX($L1063:T1063)*T1079)</f>
        <v>54925.998445192294</v>
      </c>
      <c r="U1062" s="450">
        <f>IF($E$1065="да",U1056-U1061,U1056*MAX($L1063:U1063)*U1079)</f>
        <v>186408.95165096477</v>
      </c>
      <c r="V1062" s="450">
        <f>IF($E$1065="да",V1056-V1061,V1056*MAX($L1063:V1063)*V1079)</f>
        <v>188245.71483594872</v>
      </c>
      <c r="W1062" s="450">
        <f>IF($E$1065="да",W1056-W1061,W1056*MAX($L1063:W1063)*W1079)</f>
        <v>190100.57639532859</v>
      </c>
      <c r="X1062" s="450">
        <f>IF($E$1065="да",X1056-X1061,X1056*MAX($L1063:X1063)*X1079)</f>
        <v>367575.48981645482</v>
      </c>
      <c r="Y1062" s="450">
        <f>IF($E$1065="да",Y1056-Y1061,Y1056*MAX($L1063:Y1063)*Y1079)</f>
        <v>371197.36055505282</v>
      </c>
      <c r="Z1062" s="450">
        <f>IF($E$1065="да",Z1056-Z1061,Z1056*MAX($L1063:Z1063)*Z1079)</f>
        <v>374854.91905850585</v>
      </c>
      <c r="AA1062" s="450">
        <f>IF($E$1065="да",AA1056-AA1061,AA1056*MAX($L1063:AA1063)*AA1079)</f>
        <v>378548.51697286987</v>
      </c>
      <c r="AB1062" s="450">
        <f>IF($E$1065="да",AB1056-AB1061,AB1056*MAX($L1063:AB1063)*AB1079)</f>
        <v>660030.85172975168</v>
      </c>
      <c r="AC1062" s="450">
        <f>IF($E$1065="да",AC1056-AC1061,AC1056*MAX($L1063:AC1063)*AC1079)</f>
        <v>0</v>
      </c>
      <c r="AD1062" s="450">
        <f>IF($E$1065="да",AD1056-AD1061,AD1056*MAX($L1063:AD1063)*AD1079)</f>
        <v>0</v>
      </c>
      <c r="AE1062" s="450">
        <f>IF($E$1065="да",AE1056-AE1061,AE1056*MAX($L1063:AE1063)*AE1079)</f>
        <v>0</v>
      </c>
      <c r="AF1062" s="450">
        <f>IF($E$1065="да",AF1056-AF1061,AF1056*MAX($L1063:AF1063)*AF1079)</f>
        <v>0</v>
      </c>
      <c r="AG1062" s="450">
        <f>IF($E$1065="да",AG1056-AG1061,AG1056*MAX($L1063:AG1063)*AG1079)</f>
        <v>0</v>
      </c>
      <c r="AH1062" s="450">
        <f>IF($E$1065="да",AH1056-AH1061,AH1056*MAX($L1063:AH1063)*AH1079)</f>
        <v>0</v>
      </c>
      <c r="AI1062" s="450">
        <f>IF($E$1065="да",AI1056-AI1061,AI1056*MAX($L1063:AI1063)*AI1079)</f>
        <v>0</v>
      </c>
      <c r="AJ1062" s="450">
        <f>IF($E$1065="да",AJ1056-AJ1061,AJ1056*MAX($L1063:AJ1063)*AJ1079)</f>
        <v>0</v>
      </c>
      <c r="AK1062" s="450">
        <f>IF($E$1065="да",AK1056-AK1061,AK1056*MAX($L1063:AK1063)*AK1079)</f>
        <v>0</v>
      </c>
      <c r="AL1062" s="450">
        <f>IF($E$1065="да",AL1056-AL1061,AL1056*MAX($L1063:AL1063)*AL1079)</f>
        <v>0</v>
      </c>
      <c r="AM1062" s="450">
        <f>IF($E$1065="да",AM1056-AM1061,AM1056*MAX($L1063:AM1063)*AM1079)</f>
        <v>0</v>
      </c>
      <c r="AN1062" s="450">
        <f>IF($E$1065="да",AN1056-AN1061,AN1056*MAX($L1063:AN1063)*AN1079)</f>
        <v>0</v>
      </c>
      <c r="AO1062" s="450">
        <f>IF($E$1065="да",AO1056-AO1061,AO1056*MAX($L1063:AO1063)*AO1079)</f>
        <v>0</v>
      </c>
      <c r="AP1062" s="450">
        <f>IF($E$1065="да",AP1056-AP1061,AP1056*MAX($L1063:AP1063)*AP1079)</f>
        <v>0</v>
      </c>
      <c r="AQ1062" s="450">
        <f>IF($E$1065="да",AQ1056-AQ1061,AQ1056*MAX($L1063:AQ1063)*AQ1079)</f>
        <v>0</v>
      </c>
      <c r="AR1062" s="450">
        <f>IF($E$1065="да",AR1056-AR1061,AR1056*MAX($L1063:AR1063)*AR1079)</f>
        <v>0</v>
      </c>
      <c r="AS1062" s="450">
        <f>IF($E$1065="да",AS1056-AS1061,AS1056*MAX($L1063:AS1063)*AS1079)</f>
        <v>0</v>
      </c>
      <c r="AT1062" s="450">
        <f>IF($E$1065="да",AT1056-AT1061,AT1056*MAX($L1063:AT1063)*AT1079)</f>
        <v>0</v>
      </c>
      <c r="AU1062" s="450">
        <f>IF($E$1065="да",AU1056-AU1061,AU1056*MAX($L1063:AU1063)*AU1079)</f>
        <v>0</v>
      </c>
      <c r="AV1062" s="450">
        <f>IF($E$1065="да",AV1056-AV1061,AV1056*MAX($L1063:AV1063)*AV1079)</f>
        <v>0</v>
      </c>
      <c r="AW1062" s="450">
        <f>IF($E$1065="да",AW1056-AW1061,AW1056*MAX($L1063:AW1063)*AW1079)</f>
        <v>0</v>
      </c>
      <c r="AX1062" s="450">
        <f>IF($E$1065="да",AX1056-AX1061,AX1056*MAX($L1063:AX1063)*AX1079)</f>
        <v>0</v>
      </c>
      <c r="AY1062" s="450">
        <f>IF($E$1065="да",AY1056-AY1061,AY1056*MAX($L1063:AY1063)*AY1079)</f>
        <v>0</v>
      </c>
      <c r="AZ1062" s="450">
        <f>IF($E$1065="да",AZ1056-AZ1061,AZ1056*MAX($L1063:AZ1063)*AZ1079)</f>
        <v>0</v>
      </c>
      <c r="BA1062" s="450">
        <f>IF($E$1065="да",BA1056-BA1061,BA1056*MAX($L1063:BA1063)*BA1079)</f>
        <v>0</v>
      </c>
      <c r="BB1062" s="450">
        <f>IF($E$1065="да",BB1056-BB1061,BB1056*MAX($L1063:BB1063)*BB1079)</f>
        <v>0</v>
      </c>
      <c r="BC1062" s="450">
        <f>IF($E$1065="да",BC1056-BC1061,BC1056*MAX($L1063:BC1063)*BC1079)</f>
        <v>0</v>
      </c>
      <c r="BD1062" s="450">
        <f>IF($E$1065="да",BD1056-BD1061,BD1056*MAX($L1063:BD1063)*BD1079)</f>
        <v>0</v>
      </c>
      <c r="BE1062" s="450">
        <f>IF($E$1065="да",BE1056-BE1061,BE1056*MAX($L1063:BE1063)*BE1079)</f>
        <v>0</v>
      </c>
      <c r="BF1062" s="450">
        <f>IF($E$1065="да",BF1056-BF1061,BF1056*MAX($L1063:BF1063)*BF1079)</f>
        <v>0</v>
      </c>
      <c r="BG1062" s="450">
        <f>IF($E$1065="да",BG1056-BG1061,BG1056*MAX($L1063:BG1063)*BG1079)</f>
        <v>0</v>
      </c>
      <c r="BH1062" s="450">
        <f>IF($E$1065="да",BH1056-BH1061,BH1056*MAX($L1063:BH1063)*BH1079)</f>
        <v>0</v>
      </c>
      <c r="BI1062" s="450">
        <f>IF($E$1065="да",BI1056-BI1061,BI1056*MAX($L1063:BI1063)*BI1079)</f>
        <v>0</v>
      </c>
      <c r="BJ1062" s="450">
        <f>IF($E$1065="да",BJ1056-BJ1061,BJ1056*MAX($L1063:BJ1063)*BJ1079)</f>
        <v>0</v>
      </c>
      <c r="BK1062" s="450">
        <f>IF($E$1065="да",BK1056-BK1061,BK1056*MAX($L1063:BK1063)*BK1079)</f>
        <v>0</v>
      </c>
      <c r="BL1062" s="450">
        <f>IF($E$1065="да",BL1056-BL1061,BL1056*MAX($L1063:BL1063)*BL1079)</f>
        <v>0</v>
      </c>
      <c r="BM1062" s="450">
        <f>IF($E$1065="да",BM1056-BM1061,BM1056*MAX($L1063:BM1063)*BM1079)</f>
        <v>0</v>
      </c>
      <c r="BN1062" s="450">
        <f>IF($E$1065="да",BN1056-BN1061,BN1056*MAX($L1063:BN1063)*BN1079)</f>
        <v>0</v>
      </c>
      <c r="BO1062" s="450">
        <f>IF($E$1065="да",BO1056-BO1061,BO1056*MAX($L1063:BO1063)*BO1079)</f>
        <v>0</v>
      </c>
      <c r="BP1062" s="450">
        <f>IF($E$1065="да",BP1056-BP1061,BP1056*MAX($L1063:BP1063)*BP1079)</f>
        <v>0</v>
      </c>
      <c r="BQ1062" s="450">
        <f>IF($E$1065="да",BQ1056-BQ1061,BQ1056*MAX($L1063:BQ1063)*BQ1079)</f>
        <v>0</v>
      </c>
      <c r="BR1062" s="450">
        <f>IF($E$1065="да",BR1056-BR1061,BR1056*MAX($L1063:BR1063)*BR1079)</f>
        <v>0</v>
      </c>
      <c r="BS1062" s="450">
        <f>IF($E$1065="да",BS1056-BS1061,BS1056*MAX($L1063:BS1063)*BS1079)</f>
        <v>0</v>
      </c>
      <c r="BT1062" s="450">
        <f>IF($E$1065="да",BT1056-BT1061,BT1056*MAX($L1063:BT1063)*BT1079)</f>
        <v>0</v>
      </c>
      <c r="BU1062" s="450">
        <f>IF($E$1065="да",BU1056-BU1061,BU1056*MAX($L1063:BU1063)*BU1079)</f>
        <v>0</v>
      </c>
      <c r="BV1062" s="450">
        <f>IF($E$1065="да",BV1056-BV1061,BV1056*MAX($L1063:BV1063)*BV1079)</f>
        <v>0</v>
      </c>
      <c r="BW1062" s="450">
        <f>IF($E$1065="да",BW1056-BW1061,BW1056*MAX($L1063:BW1063)*BW1079)</f>
        <v>0</v>
      </c>
      <c r="BX1062" s="450">
        <f>IF($E$1065="да",BX1056-BX1061,BX1056*MAX($L1063:BX1063)*BX1079)</f>
        <v>0</v>
      </c>
      <c r="BY1062" s="450">
        <f>IF($E$1065="да",BY1056-BY1061,BY1056*MAX($L1063:BY1063)*BY1079)</f>
        <v>0</v>
      </c>
      <c r="BZ1062" s="450">
        <f>IF($E$1065="да",BZ1056-BZ1061,BZ1056*MAX($L1063:BZ1063)*BZ1079)</f>
        <v>0</v>
      </c>
      <c r="CA1062" s="450">
        <f>IF($E$1065="да",CA1056-CA1061,CA1056*MAX($L1063:CA1063)*CA1079)</f>
        <v>0</v>
      </c>
      <c r="CB1062" s="450">
        <f>IF($E$1065="да",CB1056-CB1061,CB1056*MAX($L1063:CB1063)*CB1079)</f>
        <v>0</v>
      </c>
      <c r="CC1062" s="450">
        <f>IF($E$1065="да",CC1056-CC1061,CC1056*MAX($L1063:CC1063)*CC1079)</f>
        <v>0</v>
      </c>
      <c r="CD1062" s="450">
        <f>IF($E$1065="да",CD1056-CD1061,CD1056*MAX($L1063:CD1063)*CD1079)</f>
        <v>0</v>
      </c>
      <c r="CE1062" s="450">
        <f>IF($E$1065="да",CE1056-CE1061,CE1056*MAX($L1063:CE1063)*CE1079)</f>
        <v>0</v>
      </c>
      <c r="CF1062" s="450">
        <f>IF($E$1065="да",CF1056-CF1061,CF1056*MAX($L1063:CF1063)*CF1079)</f>
        <v>0</v>
      </c>
      <c r="CG1062" s="450">
        <f>IF($E$1065="да",CG1056-CG1061,CG1056*MAX($L1063:CG1063)*CG1079)</f>
        <v>0</v>
      </c>
      <c r="CH1062" s="450">
        <f>IF($E$1065="да",CH1056-CH1061,CH1056*MAX($L1063:CH1063)*CH1079)</f>
        <v>0</v>
      </c>
      <c r="CI1062" s="450">
        <f>IF($E$1065="да",CI1056-CI1061,CI1056*MAX($L1063:CI1063)*CI1079)</f>
        <v>0</v>
      </c>
      <c r="CJ1062" s="450">
        <f>IF($E$1065="да",CJ1056-CJ1061,CJ1056*MAX($L1063:CJ1063)*CJ1079)</f>
        <v>0</v>
      </c>
      <c r="CK1062" s="450">
        <f>IF($E$1065="да",CK1056-CK1061,CK1056*MAX($L1063:CK1063)*CK1079)</f>
        <v>0</v>
      </c>
      <c r="CL1062" s="450">
        <f>IF($E$1065="да",CL1056-CL1061,CL1056*MAX($L1063:CL1063)*CL1079)</f>
        <v>0</v>
      </c>
      <c r="CM1062" s="450">
        <f>IF($E$1065="да",CM1056-CM1061,CM1056*MAX($L1063:CM1063)*CM1079)</f>
        <v>0</v>
      </c>
      <c r="CN1062" s="450">
        <f>IF($E$1065="да",CN1056-CN1061,CN1056*MAX($L1063:CN1063)*CN1079)</f>
        <v>0</v>
      </c>
      <c r="CO1062" s="450">
        <f>IF($E$1065="да",CO1056-CO1061,CO1056*MAX($L1063:CO1063)*CO1079)</f>
        <v>0</v>
      </c>
    </row>
    <row r="1063" spans="1:94">
      <c r="A1063" s="10"/>
      <c r="B1063" s="10"/>
      <c r="C1063" s="17" t="s">
        <v>334</v>
      </c>
      <c r="D1063" s="10"/>
      <c r="E1063" s="178">
        <f>Предпосылки!E537</f>
        <v>0.74819999999999998</v>
      </c>
      <c r="F1063" s="10"/>
      <c r="G1063" s="11" t="s">
        <v>28</v>
      </c>
      <c r="H1063" s="10"/>
      <c r="I1063" s="10"/>
      <c r="J1063" s="10"/>
      <c r="K1063" s="10"/>
      <c r="L1063" s="468">
        <f>IFERROR($I1056*$E1063/($I1056-SUM($K1056:K1056))*L1079*(L1079&gt;K1079),0)</f>
        <v>0.74819999999999998</v>
      </c>
      <c r="M1063" s="468">
        <f>IFERROR($I1056*$E1063/($I1056-SUM($K1056:L1056))*M1079*(M1079&gt;L1079),0)</f>
        <v>0</v>
      </c>
      <c r="N1063" s="468">
        <f>IFERROR($I1056*$E1063/($I1056-SUM($K1056:M1056))*N1079*(N1079&gt;M1079),0)</f>
        <v>0</v>
      </c>
      <c r="O1063" s="468">
        <f>IFERROR($I1056*$E1063/($I1056-SUM($K1056:N1056))*O1079*(O1079&gt;N1079),0)</f>
        <v>0</v>
      </c>
      <c r="P1063" s="468">
        <f>IFERROR($I1056*$E1063/($I1056-SUM($K1056:O1056))*P1079*(P1079&gt;O1079),0)</f>
        <v>0</v>
      </c>
      <c r="Q1063" s="468">
        <f>IFERROR($I1056*$E1063/($I1056-SUM($K1056:P1056))*Q1079*(Q1079&gt;P1079),0)</f>
        <v>0</v>
      </c>
      <c r="R1063" s="468">
        <f>IFERROR($I1056*$E1063/($I1056-SUM($K1056:Q1056))*R1079*(R1079&gt;Q1079),0)</f>
        <v>0</v>
      </c>
      <c r="S1063" s="468">
        <f>IFERROR($I1056*$E1063/($I1056-SUM($K1056:R1056))*S1079*(S1079&gt;R1079),0)</f>
        <v>0</v>
      </c>
      <c r="T1063" s="468">
        <f>IFERROR($I1056*$E1063/($I1056-SUM($K1056:S1056))*T1079*(T1079&gt;S1079),0)</f>
        <v>0</v>
      </c>
      <c r="U1063" s="468">
        <f>IFERROR($I1056*$E1063/($I1056-SUM($K1056:T1056))*U1079*(U1079&gt;T1079),0)</f>
        <v>0</v>
      </c>
      <c r="V1063" s="468">
        <f>IFERROR($I1056*$E1063/($I1056-SUM($K1056:U1056))*V1079*(V1079&gt;U1079),0)</f>
        <v>0</v>
      </c>
      <c r="W1063" s="468">
        <f>IFERROR($I1056*$E1063/($I1056-SUM($K1056:V1056))*W1079*(W1079&gt;V1079),0)</f>
        <v>0</v>
      </c>
      <c r="X1063" s="468">
        <f>IFERROR($I1056*$E1063/($I1056-SUM($K1056:W1056))*X1079*(X1079&gt;W1079),0)</f>
        <v>0</v>
      </c>
      <c r="Y1063" s="468">
        <f>IFERROR($I1056*$E1063/($I1056-SUM($K1056:X1056))*Y1079*(Y1079&gt;X1079),0)</f>
        <v>0</v>
      </c>
      <c r="Z1063" s="468">
        <f>IFERROR($I1056*$E1063/($I1056-SUM($K1056:Y1056))*Z1079*(Z1079&gt;Y1079),0)</f>
        <v>0</v>
      </c>
      <c r="AA1063" s="468">
        <f>IFERROR($I1056*$E1063/($I1056-SUM($K1056:Z1056))*AA1079*(AA1079&gt;Z1079),0)</f>
        <v>0</v>
      </c>
      <c r="AB1063" s="468">
        <f>IFERROR($I1056*$E1063/($I1056-SUM($K1056:AA1056))*AB1079*(AB1079&gt;AA1079),0)</f>
        <v>0</v>
      </c>
      <c r="AC1063" s="468">
        <f>IFERROR($I1056*$E1063/($I1056-SUM($K1056:AB1056))*AC1079*(AC1079&gt;AB1079),0)</f>
        <v>0</v>
      </c>
      <c r="AD1063" s="468">
        <f>IFERROR($I1056*$E1063/($I1056-SUM($K1056:AC1056))*AD1079*(AD1079&gt;AC1079),0)</f>
        <v>0</v>
      </c>
      <c r="AE1063" s="468">
        <f>IFERROR($I1056*$E1063/($I1056-SUM($K1056:AD1056))*AE1079*(AE1079&gt;AD1079),0)</f>
        <v>0</v>
      </c>
      <c r="AF1063" s="468">
        <f>IFERROR($I1056*$E1063/($I1056-SUM($K1056:AE1056))*AF1079*(AF1079&gt;AE1079),0)</f>
        <v>0</v>
      </c>
      <c r="AG1063" s="468">
        <f>IFERROR($I1056*$E1063/($I1056-SUM($K1056:AF1056))*AG1079*(AG1079&gt;AF1079),0)</f>
        <v>0</v>
      </c>
      <c r="AH1063" s="468">
        <f>IFERROR($I1056*$E1063/($I1056-SUM($K1056:AG1056))*AH1079*(AH1079&gt;AG1079),0)</f>
        <v>0</v>
      </c>
      <c r="AI1063" s="468">
        <f>IFERROR($I1056*$E1063/($I1056-SUM($K1056:AH1056))*AI1079*(AI1079&gt;AH1079),0)</f>
        <v>0</v>
      </c>
      <c r="AJ1063" s="468">
        <f>IFERROR($I1056*$E1063/($I1056-SUM($K1056:AI1056))*AJ1079*(AJ1079&gt;AI1079),0)</f>
        <v>0</v>
      </c>
      <c r="AK1063" s="468">
        <f>IFERROR($I1056*$E1063/($I1056-SUM($K1056:AJ1056))*AK1079*(AK1079&gt;AJ1079),0)</f>
        <v>0</v>
      </c>
      <c r="AL1063" s="468">
        <f>IFERROR($I1056*$E1063/($I1056-SUM($K1056:AK1056))*AL1079*(AL1079&gt;AK1079),0)</f>
        <v>0</v>
      </c>
      <c r="AM1063" s="468">
        <f>IFERROR($I1056*$E1063/($I1056-SUM($K1056:AL1056))*AM1079*(AM1079&gt;AL1079),0)</f>
        <v>0</v>
      </c>
      <c r="AN1063" s="468">
        <f>IFERROR($I1056*$E1063/($I1056-SUM($K1056:AM1056))*AN1079*(AN1079&gt;AM1079),0)</f>
        <v>0</v>
      </c>
      <c r="AO1063" s="468">
        <f>IFERROR($I1056*$E1063/($I1056-SUM($K1056:AN1056))*AO1079*(AO1079&gt;AN1079),0)</f>
        <v>0</v>
      </c>
      <c r="AP1063" s="468">
        <f>IFERROR($I1056*$E1063/($I1056-SUM($K1056:AO1056))*AP1079*(AP1079&gt;AO1079),0)</f>
        <v>0</v>
      </c>
      <c r="AQ1063" s="468">
        <f>IFERROR($I1056*$E1063/($I1056-SUM($K1056:AP1056))*AQ1079*(AQ1079&gt;AP1079),0)</f>
        <v>0</v>
      </c>
      <c r="AR1063" s="468">
        <f>IFERROR($I1056*$E1063/($I1056-SUM($K1056:AQ1056))*AR1079*(AR1079&gt;AQ1079),0)</f>
        <v>0</v>
      </c>
      <c r="AS1063" s="468">
        <f>IFERROR($I1056*$E1063/($I1056-SUM($K1056:AR1056))*AS1079*(AS1079&gt;AR1079),0)</f>
        <v>0</v>
      </c>
      <c r="AT1063" s="468">
        <f>IFERROR($I1056*$E1063/($I1056-SUM($K1056:AS1056))*AT1079*(AT1079&gt;AS1079),0)</f>
        <v>0</v>
      </c>
      <c r="AU1063" s="468">
        <f>IFERROR($I1056*$E1063/($I1056-SUM($K1056:AT1056))*AU1079*(AU1079&gt;AT1079),0)</f>
        <v>0</v>
      </c>
      <c r="AV1063" s="468">
        <f>IFERROR($I1056*$E1063/($I1056-SUM($K1056:AU1056))*AV1079*(AV1079&gt;AU1079),0)</f>
        <v>0</v>
      </c>
      <c r="AW1063" s="468">
        <f>IFERROR($I1056*$E1063/($I1056-SUM($K1056:AV1056))*AW1079*(AW1079&gt;AV1079),0)</f>
        <v>0</v>
      </c>
      <c r="AX1063" s="468">
        <f>IFERROR($I1056*$E1063/($I1056-SUM($K1056:AW1056))*AX1079*(AX1079&gt;AW1079),0)</f>
        <v>0</v>
      </c>
      <c r="AY1063" s="468">
        <f>IFERROR($I1056*$E1063/($I1056-SUM($K1056:AX1056))*AY1079*(AY1079&gt;AX1079),0)</f>
        <v>0</v>
      </c>
      <c r="AZ1063" s="468">
        <f>IFERROR($I1056*$E1063/($I1056-SUM($K1056:AY1056))*AZ1079*(AZ1079&gt;AY1079),0)</f>
        <v>0</v>
      </c>
      <c r="BA1063" s="468">
        <f>IFERROR($I1056*$E1063/($I1056-SUM($K1056:AZ1056))*BA1079*(BA1079&gt;AZ1079),0)</f>
        <v>0</v>
      </c>
      <c r="BB1063" s="468">
        <f>IFERROR($I1056*$E1063/($I1056-SUM($K1056:BA1056))*BB1079*(BB1079&gt;BA1079),0)</f>
        <v>0</v>
      </c>
      <c r="BC1063" s="468">
        <f>IFERROR($I1056*$E1063/($I1056-SUM($K1056:BB1056))*BC1079*(BC1079&gt;BB1079),0)</f>
        <v>0</v>
      </c>
      <c r="BD1063" s="468">
        <f>IFERROR($I1056*$E1063/($I1056-SUM($K1056:BC1056))*BD1079*(BD1079&gt;BC1079),0)</f>
        <v>0</v>
      </c>
      <c r="BE1063" s="468">
        <f>IFERROR($I1056*$E1063/($I1056-SUM($K1056:BD1056))*BE1079*(BE1079&gt;BD1079),0)</f>
        <v>0</v>
      </c>
      <c r="BF1063" s="468">
        <f>IFERROR($I1056*$E1063/($I1056-SUM($K1056:BE1056))*BF1079*(BF1079&gt;BE1079),0)</f>
        <v>0</v>
      </c>
      <c r="BG1063" s="468">
        <f>IFERROR($I1056*$E1063/($I1056-SUM($K1056:BF1056))*BG1079*(BG1079&gt;BF1079),0)</f>
        <v>0</v>
      </c>
      <c r="BH1063" s="468">
        <f>IFERROR($I1056*$E1063/($I1056-SUM($K1056:BG1056))*BH1079*(BH1079&gt;BG1079),0)</f>
        <v>0</v>
      </c>
      <c r="BI1063" s="468">
        <f>IFERROR($I1056*$E1063/($I1056-SUM($K1056:BH1056))*BI1079*(BI1079&gt;BH1079),0)</f>
        <v>0</v>
      </c>
      <c r="BJ1063" s="468">
        <f>IFERROR($I1056*$E1063/($I1056-SUM($K1056:BI1056))*BJ1079*(BJ1079&gt;BI1079),0)</f>
        <v>0</v>
      </c>
      <c r="BK1063" s="468">
        <f>IFERROR($I1056*$E1063/($I1056-SUM($K1056:BJ1056))*BK1079*(BK1079&gt;BJ1079),0)</f>
        <v>0</v>
      </c>
      <c r="BL1063" s="468">
        <f>IFERROR($I1056*$E1063/($I1056-SUM($K1056:BK1056))*BL1079*(BL1079&gt;BK1079),0)</f>
        <v>0</v>
      </c>
      <c r="BM1063" s="468">
        <f>IFERROR($I1056*$E1063/($I1056-SUM($K1056:BL1056))*BM1079*(BM1079&gt;BL1079),0)</f>
        <v>0</v>
      </c>
      <c r="BN1063" s="468">
        <f>IFERROR($I1056*$E1063/($I1056-SUM($K1056:BM1056))*BN1079*(BN1079&gt;BM1079),0)</f>
        <v>0</v>
      </c>
      <c r="BO1063" s="468">
        <f>IFERROR($I1056*$E1063/($I1056-SUM($K1056:BN1056))*BO1079*(BO1079&gt;BN1079),0)</f>
        <v>0</v>
      </c>
      <c r="BP1063" s="468">
        <f>IFERROR($I1056*$E1063/($I1056-SUM($K1056:BO1056))*BP1079*(BP1079&gt;BO1079),0)</f>
        <v>0</v>
      </c>
      <c r="BQ1063" s="468">
        <f>IFERROR($I1056*$E1063/($I1056-SUM($K1056:BP1056))*BQ1079*(BQ1079&gt;BP1079),0)</f>
        <v>0</v>
      </c>
      <c r="BR1063" s="468">
        <f>IFERROR($I1056*$E1063/($I1056-SUM($K1056:BQ1056))*BR1079*(BR1079&gt;BQ1079),0)</f>
        <v>0</v>
      </c>
      <c r="BS1063" s="468">
        <f>IFERROR($I1056*$E1063/($I1056-SUM($K1056:BR1056))*BS1079*(BS1079&gt;BR1079),0)</f>
        <v>0</v>
      </c>
      <c r="BT1063" s="468">
        <f>IFERROR($I1056*$E1063/($I1056-SUM($K1056:BS1056))*BT1079*(BT1079&gt;BS1079),0)</f>
        <v>0</v>
      </c>
      <c r="BU1063" s="468">
        <f>IFERROR($I1056*$E1063/($I1056-SUM($K1056:BT1056))*BU1079*(BU1079&gt;BT1079),0)</f>
        <v>0</v>
      </c>
      <c r="BV1063" s="468">
        <f>IFERROR($I1056*$E1063/($I1056-SUM($K1056:BU1056))*BV1079*(BV1079&gt;BU1079),0)</f>
        <v>0</v>
      </c>
      <c r="BW1063" s="468">
        <f>IFERROR($I1056*$E1063/($I1056-SUM($K1056:BV1056))*BW1079*(BW1079&gt;BV1079),0)</f>
        <v>0</v>
      </c>
      <c r="BX1063" s="468">
        <f>IFERROR($I1056*$E1063/($I1056-SUM($K1056:BW1056))*BX1079*(BX1079&gt;BW1079),0)</f>
        <v>0</v>
      </c>
      <c r="BY1063" s="468">
        <f>IFERROR($I1056*$E1063/($I1056-SUM($K1056:BX1056))*BY1079*(BY1079&gt;BX1079),0)</f>
        <v>0</v>
      </c>
      <c r="BZ1063" s="468">
        <f>IFERROR($I1056*$E1063/($I1056-SUM($K1056:BY1056))*BZ1079*(BZ1079&gt;BY1079),0)</f>
        <v>0</v>
      </c>
      <c r="CA1063" s="468">
        <f>IFERROR($I1056*$E1063/($I1056-SUM($K1056:BZ1056))*CA1079*(CA1079&gt;BZ1079),0)</f>
        <v>0</v>
      </c>
      <c r="CB1063" s="468">
        <f>IFERROR($I1056*$E1063/($I1056-SUM($K1056:CA1056))*CB1079*(CB1079&gt;CA1079),0)</f>
        <v>0</v>
      </c>
      <c r="CC1063" s="468">
        <f>IFERROR($I1056*$E1063/($I1056-SUM($K1056:CB1056))*CC1079*(CC1079&gt;CB1079),0)</f>
        <v>0</v>
      </c>
      <c r="CD1063" s="468">
        <f>IFERROR($I1056*$E1063/($I1056-SUM($K1056:CC1056))*CD1079*(CD1079&gt;CC1079),0)</f>
        <v>0</v>
      </c>
      <c r="CE1063" s="468">
        <f>IFERROR($I1056*$E1063/($I1056-SUM($K1056:CD1056))*CE1079*(CE1079&gt;CD1079),0)</f>
        <v>0</v>
      </c>
      <c r="CF1063" s="468">
        <f>IFERROR($I1056*$E1063/($I1056-SUM($K1056:CE1056))*CF1079*(CF1079&gt;CE1079),0)</f>
        <v>0</v>
      </c>
      <c r="CG1063" s="468">
        <f>IFERROR($I1056*$E1063/($I1056-SUM($K1056:CF1056))*CG1079*(CG1079&gt;CF1079),0)</f>
        <v>0</v>
      </c>
      <c r="CH1063" s="468">
        <f>IFERROR($I1056*$E1063/($I1056-SUM($K1056:CG1056))*CH1079*(CH1079&gt;CG1079),0)</f>
        <v>0</v>
      </c>
      <c r="CI1063" s="468">
        <f>IFERROR($I1056*$E1063/($I1056-SUM($K1056:CH1056))*CI1079*(CI1079&gt;CH1079),0)</f>
        <v>0</v>
      </c>
      <c r="CJ1063" s="468">
        <f>IFERROR($I1056*$E1063/($I1056-SUM($K1056:CI1056))*CJ1079*(CJ1079&gt;CI1079),0)</f>
        <v>0</v>
      </c>
      <c r="CK1063" s="468">
        <f>IFERROR($I1056*$E1063/($I1056-SUM($K1056:CJ1056))*CK1079*(CK1079&gt;CJ1079),0)</f>
        <v>0</v>
      </c>
      <c r="CL1063" s="468">
        <f>IFERROR($I1056*$E1063/($I1056-SUM($K1056:CK1056))*CL1079*(CL1079&gt;CK1079),0)</f>
        <v>0</v>
      </c>
      <c r="CM1063" s="468">
        <f>IFERROR($I1056*$E1063/($I1056-SUM($K1056:CL1056))*CM1079*(CM1079&gt;CL1079),0)</f>
        <v>0</v>
      </c>
      <c r="CN1063" s="468">
        <f>IFERROR($I1056*$E1063/($I1056-SUM($K1056:CM1056))*CN1079*(CN1079&gt;CM1079),0)</f>
        <v>0</v>
      </c>
      <c r="CO1063" s="468">
        <f>IFERROR($I1056*$E1063/($I1056-SUM($K1056:CN1056))*CO1079*(CO1079&gt;CN1079),0)</f>
        <v>0</v>
      </c>
      <c r="CP1063" s="10"/>
    </row>
    <row r="1064" spans="1:94">
      <c r="A1064" s="10"/>
      <c r="B1064" s="10"/>
      <c r="C1064" s="403" t="s">
        <v>1115</v>
      </c>
      <c r="D1064" s="10"/>
      <c r="E1064" s="188" t="str">
        <f>Предпосылки!E565</f>
        <v>да</v>
      </c>
      <c r="F1064" s="10"/>
      <c r="G1064" s="11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0"/>
      <c r="AH1064" s="10"/>
      <c r="AI1064" s="10"/>
      <c r="AJ1064" s="10"/>
      <c r="AK1064" s="10"/>
      <c r="AL1064" s="10"/>
      <c r="AM1064" s="10"/>
      <c r="AN1064" s="10"/>
      <c r="AO1064" s="10"/>
      <c r="AP1064" s="10"/>
      <c r="AQ1064" s="10"/>
      <c r="AR1064" s="10"/>
      <c r="AS1064" s="10"/>
      <c r="AT1064" s="10"/>
      <c r="AU1064" s="10"/>
      <c r="AV1064" s="10"/>
      <c r="AW1064" s="10"/>
      <c r="AX1064" s="10"/>
      <c r="AY1064" s="10"/>
      <c r="AZ1064" s="10"/>
      <c r="BA1064" s="10"/>
      <c r="BB1064" s="10"/>
      <c r="BC1064" s="10"/>
      <c r="BD1064" s="10"/>
      <c r="BE1064" s="10"/>
      <c r="BF1064" s="10"/>
      <c r="BG1064" s="10"/>
      <c r="BH1064" s="10"/>
      <c r="BI1064" s="10"/>
      <c r="BJ1064" s="10"/>
      <c r="BK1064" s="10"/>
      <c r="BL1064" s="10"/>
      <c r="BM1064" s="10"/>
      <c r="BN1064" s="10"/>
      <c r="BO1064" s="10"/>
      <c r="BP1064" s="10"/>
      <c r="BQ1064" s="10"/>
      <c r="BR1064" s="10"/>
      <c r="BS1064" s="10"/>
      <c r="BT1064" s="10"/>
      <c r="BU1064" s="10"/>
      <c r="BV1064" s="10"/>
      <c r="BW1064" s="10"/>
      <c r="BX1064" s="10"/>
      <c r="BY1064" s="10"/>
      <c r="BZ1064" s="10"/>
      <c r="CA1064" s="10"/>
      <c r="CB1064" s="10"/>
      <c r="CC1064" s="10"/>
      <c r="CD1064" s="10"/>
      <c r="CE1064" s="10"/>
      <c r="CF1064" s="10"/>
      <c r="CG1064" s="10"/>
      <c r="CH1064" s="10"/>
      <c r="CI1064" s="10"/>
      <c r="CJ1064" s="10"/>
      <c r="CK1064" s="10"/>
      <c r="CL1064" s="10"/>
      <c r="CM1064" s="10"/>
      <c r="CN1064" s="10"/>
      <c r="CO1064" s="10"/>
    </row>
    <row r="1065" spans="1:94">
      <c r="A1065" s="10"/>
      <c r="B1065" s="10"/>
      <c r="C1065" s="17" t="s">
        <v>1170</v>
      </c>
      <c r="D1065" s="10"/>
      <c r="E1065" s="188" t="str">
        <f>Предпосылки!E567</f>
        <v>да</v>
      </c>
      <c r="F1065" s="10"/>
      <c r="G1065" s="11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0"/>
      <c r="AH1065" s="10"/>
      <c r="AI1065" s="10"/>
      <c r="AJ1065" s="10"/>
      <c r="AK1065" s="10"/>
      <c r="AL1065" s="10"/>
      <c r="AM1065" s="10"/>
      <c r="AN1065" s="10"/>
      <c r="AO1065" s="10"/>
      <c r="AP1065" s="10"/>
      <c r="AQ1065" s="10"/>
      <c r="AR1065" s="10"/>
      <c r="AS1065" s="10"/>
      <c r="AT1065" s="10"/>
      <c r="AU1065" s="10"/>
      <c r="AV1065" s="10"/>
      <c r="AW1065" s="10"/>
      <c r="AX1065" s="10"/>
      <c r="AY1065" s="10"/>
      <c r="AZ1065" s="10"/>
      <c r="BA1065" s="10"/>
      <c r="BB1065" s="10"/>
      <c r="BC1065" s="10"/>
      <c r="BD1065" s="10"/>
      <c r="BE1065" s="10"/>
      <c r="BF1065" s="10"/>
      <c r="BG1065" s="10"/>
      <c r="BH1065" s="10"/>
      <c r="BI1065" s="10"/>
      <c r="BJ1065" s="10"/>
      <c r="BK1065" s="10"/>
      <c r="BL1065" s="10"/>
      <c r="BM1065" s="10"/>
      <c r="BN1065" s="10"/>
      <c r="BO1065" s="10"/>
      <c r="BP1065" s="10"/>
      <c r="BQ1065" s="10"/>
      <c r="BR1065" s="10"/>
      <c r="BS1065" s="10"/>
      <c r="BT1065" s="10"/>
      <c r="BU1065" s="10"/>
      <c r="BV1065" s="10"/>
      <c r="BW1065" s="10"/>
      <c r="BX1065" s="10"/>
      <c r="BY1065" s="10"/>
      <c r="BZ1065" s="10"/>
      <c r="CA1065" s="10"/>
      <c r="CB1065" s="10"/>
      <c r="CC1065" s="10"/>
      <c r="CD1065" s="10"/>
      <c r="CE1065" s="10"/>
      <c r="CF1065" s="10"/>
      <c r="CG1065" s="10"/>
      <c r="CH1065" s="10"/>
      <c r="CI1065" s="10"/>
      <c r="CJ1065" s="10"/>
      <c r="CK1065" s="10"/>
      <c r="CL1065" s="10"/>
      <c r="CM1065" s="10"/>
      <c r="CN1065" s="10"/>
      <c r="CO1065" s="10"/>
    </row>
    <row r="1066" spans="1:94">
      <c r="A1066" s="10"/>
      <c r="B1066" s="10"/>
      <c r="C1066" s="17" t="s">
        <v>485</v>
      </c>
      <c r="D1066" s="10"/>
      <c r="E1066" s="157"/>
      <c r="F1066" s="10"/>
      <c r="G1066" s="134" t="str">
        <f>Monetary_Unit</f>
        <v>тыс. руб.</v>
      </c>
      <c r="H1066" s="10"/>
      <c r="I1066" s="23">
        <f>SUM(L1066:CO1066)</f>
        <v>2771888.3794600694</v>
      </c>
      <c r="J1066" s="10"/>
      <c r="K1066" s="10"/>
      <c r="L1066" s="10">
        <f t="shared" ref="L1066:BW1066" si="1296">L$1079*MAX(L$1062,0)</f>
        <v>0</v>
      </c>
      <c r="M1066" s="10">
        <f t="shared" si="1296"/>
        <v>0</v>
      </c>
      <c r="N1066" s="10">
        <f t="shared" si="1296"/>
        <v>0</v>
      </c>
      <c r="O1066" s="10">
        <f t="shared" si="1296"/>
        <v>0</v>
      </c>
      <c r="P1066" s="10">
        <f t="shared" si="1296"/>
        <v>0</v>
      </c>
      <c r="Q1066" s="10">
        <f t="shared" si="1296"/>
        <v>0</v>
      </c>
      <c r="R1066" s="10">
        <f t="shared" si="1296"/>
        <v>0</v>
      </c>
      <c r="S1066" s="10">
        <f t="shared" si="1296"/>
        <v>0</v>
      </c>
      <c r="T1066" s="10">
        <f t="shared" si="1296"/>
        <v>54925.998445192294</v>
      </c>
      <c r="U1066" s="10">
        <f t="shared" si="1296"/>
        <v>186408.95165096477</v>
      </c>
      <c r="V1066" s="10">
        <f t="shared" si="1296"/>
        <v>188245.71483594872</v>
      </c>
      <c r="W1066" s="10">
        <f t="shared" si="1296"/>
        <v>190100.57639532859</v>
      </c>
      <c r="X1066" s="10">
        <f t="shared" si="1296"/>
        <v>367575.48981645482</v>
      </c>
      <c r="Y1066" s="10">
        <f t="shared" si="1296"/>
        <v>371197.36055505282</v>
      </c>
      <c r="Z1066" s="10">
        <f t="shared" si="1296"/>
        <v>374854.91905850585</v>
      </c>
      <c r="AA1066" s="10">
        <f t="shared" si="1296"/>
        <v>378548.51697286987</v>
      </c>
      <c r="AB1066" s="10">
        <f t="shared" si="1296"/>
        <v>660030.85172975168</v>
      </c>
      <c r="AC1066" s="10">
        <f t="shared" si="1296"/>
        <v>0</v>
      </c>
      <c r="AD1066" s="10">
        <f t="shared" si="1296"/>
        <v>0</v>
      </c>
      <c r="AE1066" s="10">
        <f t="shared" si="1296"/>
        <v>0</v>
      </c>
      <c r="AF1066" s="10">
        <f t="shared" si="1296"/>
        <v>0</v>
      </c>
      <c r="AG1066" s="10">
        <f t="shared" si="1296"/>
        <v>0</v>
      </c>
      <c r="AH1066" s="10">
        <f t="shared" si="1296"/>
        <v>0</v>
      </c>
      <c r="AI1066" s="10">
        <f t="shared" si="1296"/>
        <v>0</v>
      </c>
      <c r="AJ1066" s="10">
        <f t="shared" si="1296"/>
        <v>0</v>
      </c>
      <c r="AK1066" s="10">
        <f t="shared" si="1296"/>
        <v>0</v>
      </c>
      <c r="AL1066" s="10">
        <f t="shared" si="1296"/>
        <v>0</v>
      </c>
      <c r="AM1066" s="10">
        <f t="shared" si="1296"/>
        <v>0</v>
      </c>
      <c r="AN1066" s="10">
        <f t="shared" si="1296"/>
        <v>0</v>
      </c>
      <c r="AO1066" s="10">
        <f t="shared" si="1296"/>
        <v>0</v>
      </c>
      <c r="AP1066" s="10">
        <f t="shared" si="1296"/>
        <v>0</v>
      </c>
      <c r="AQ1066" s="10">
        <f t="shared" si="1296"/>
        <v>0</v>
      </c>
      <c r="AR1066" s="10">
        <f t="shared" si="1296"/>
        <v>0</v>
      </c>
      <c r="AS1066" s="10">
        <f t="shared" si="1296"/>
        <v>0</v>
      </c>
      <c r="AT1066" s="10">
        <f t="shared" si="1296"/>
        <v>0</v>
      </c>
      <c r="AU1066" s="10">
        <f t="shared" si="1296"/>
        <v>0</v>
      </c>
      <c r="AV1066" s="10">
        <f t="shared" si="1296"/>
        <v>0</v>
      </c>
      <c r="AW1066" s="10">
        <f t="shared" si="1296"/>
        <v>0</v>
      </c>
      <c r="AX1066" s="10">
        <f t="shared" si="1296"/>
        <v>0</v>
      </c>
      <c r="AY1066" s="10">
        <f t="shared" si="1296"/>
        <v>0</v>
      </c>
      <c r="AZ1066" s="10">
        <f t="shared" si="1296"/>
        <v>0</v>
      </c>
      <c r="BA1066" s="10">
        <f t="shared" si="1296"/>
        <v>0</v>
      </c>
      <c r="BB1066" s="10">
        <f t="shared" si="1296"/>
        <v>0</v>
      </c>
      <c r="BC1066" s="10">
        <f t="shared" si="1296"/>
        <v>0</v>
      </c>
      <c r="BD1066" s="10">
        <f t="shared" si="1296"/>
        <v>0</v>
      </c>
      <c r="BE1066" s="10">
        <f t="shared" si="1296"/>
        <v>0</v>
      </c>
      <c r="BF1066" s="10">
        <f t="shared" si="1296"/>
        <v>0</v>
      </c>
      <c r="BG1066" s="10">
        <f t="shared" si="1296"/>
        <v>0</v>
      </c>
      <c r="BH1066" s="10">
        <f t="shared" si="1296"/>
        <v>0</v>
      </c>
      <c r="BI1066" s="10">
        <f t="shared" si="1296"/>
        <v>0</v>
      </c>
      <c r="BJ1066" s="10">
        <f t="shared" si="1296"/>
        <v>0</v>
      </c>
      <c r="BK1066" s="10">
        <f t="shared" si="1296"/>
        <v>0</v>
      </c>
      <c r="BL1066" s="10">
        <f t="shared" si="1296"/>
        <v>0</v>
      </c>
      <c r="BM1066" s="10">
        <f t="shared" si="1296"/>
        <v>0</v>
      </c>
      <c r="BN1066" s="10">
        <f t="shared" si="1296"/>
        <v>0</v>
      </c>
      <c r="BO1066" s="10">
        <f t="shared" si="1296"/>
        <v>0</v>
      </c>
      <c r="BP1066" s="10">
        <f t="shared" si="1296"/>
        <v>0</v>
      </c>
      <c r="BQ1066" s="10">
        <f t="shared" si="1296"/>
        <v>0</v>
      </c>
      <c r="BR1066" s="10">
        <f t="shared" si="1296"/>
        <v>0</v>
      </c>
      <c r="BS1066" s="10">
        <f t="shared" si="1296"/>
        <v>0</v>
      </c>
      <c r="BT1066" s="10">
        <f t="shared" si="1296"/>
        <v>0</v>
      </c>
      <c r="BU1066" s="10">
        <f t="shared" si="1296"/>
        <v>0</v>
      </c>
      <c r="BV1066" s="10">
        <f t="shared" si="1296"/>
        <v>0</v>
      </c>
      <c r="BW1066" s="10">
        <f t="shared" si="1296"/>
        <v>0</v>
      </c>
      <c r="BX1066" s="10">
        <f t="shared" ref="BX1066:CO1066" si="1297">BX$1079*MAX(BX$1062,0)</f>
        <v>0</v>
      </c>
      <c r="BY1066" s="10">
        <f t="shared" si="1297"/>
        <v>0</v>
      </c>
      <c r="BZ1066" s="10">
        <f t="shared" si="1297"/>
        <v>0</v>
      </c>
      <c r="CA1066" s="10">
        <f t="shared" si="1297"/>
        <v>0</v>
      </c>
      <c r="CB1066" s="10">
        <f t="shared" si="1297"/>
        <v>0</v>
      </c>
      <c r="CC1066" s="10">
        <f t="shared" si="1297"/>
        <v>0</v>
      </c>
      <c r="CD1066" s="10">
        <f t="shared" si="1297"/>
        <v>0</v>
      </c>
      <c r="CE1066" s="10">
        <f t="shared" si="1297"/>
        <v>0</v>
      </c>
      <c r="CF1066" s="10">
        <f t="shared" si="1297"/>
        <v>0</v>
      </c>
      <c r="CG1066" s="10">
        <f t="shared" si="1297"/>
        <v>0</v>
      </c>
      <c r="CH1066" s="10">
        <f t="shared" si="1297"/>
        <v>0</v>
      </c>
      <c r="CI1066" s="10">
        <f t="shared" si="1297"/>
        <v>0</v>
      </c>
      <c r="CJ1066" s="10">
        <f t="shared" si="1297"/>
        <v>0</v>
      </c>
      <c r="CK1066" s="10">
        <f t="shared" si="1297"/>
        <v>0</v>
      </c>
      <c r="CL1066" s="10">
        <f t="shared" si="1297"/>
        <v>0</v>
      </c>
      <c r="CM1066" s="10">
        <f t="shared" si="1297"/>
        <v>0</v>
      </c>
      <c r="CN1066" s="10">
        <f t="shared" si="1297"/>
        <v>0</v>
      </c>
      <c r="CO1066" s="10">
        <f t="shared" si="1297"/>
        <v>0</v>
      </c>
    </row>
    <row r="1067" spans="1:94" ht="15.75" thickBot="1">
      <c r="A1067" s="10"/>
      <c r="B1067" s="10"/>
      <c r="C1067" s="17" t="s">
        <v>486</v>
      </c>
      <c r="D1067" s="10"/>
      <c r="E1067" s="10"/>
      <c r="F1067" s="10"/>
      <c r="G1067" s="134" t="str">
        <f>Monetary_Unit</f>
        <v>тыс. руб.</v>
      </c>
      <c r="H1067" s="10"/>
      <c r="I1067" s="23">
        <f ca="1">SUM(L1067:CO1067)</f>
        <v>1067378.5680402906</v>
      </c>
      <c r="J1067" s="10"/>
      <c r="K1067" s="10"/>
      <c r="L1067" s="10">
        <f>L1061+MAX(L1062-L1066,0)+SUM(L1044:L1045)*($E$1064="да")</f>
        <v>20231.553412960755</v>
      </c>
      <c r="M1067" s="10">
        <f t="shared" ref="M1067:BX1067" ca="1" si="1298">M1061+MAX(M1062-M1066,0)+SUM(M1044:M1045)*($E$1064="да")</f>
        <v>20518.738035800307</v>
      </c>
      <c r="N1067" s="10">
        <f t="shared" ca="1" si="1298"/>
        <v>20809.999212027134</v>
      </c>
      <c r="O1067" s="10">
        <f t="shared" ca="1" si="1298"/>
        <v>21105.394807857592</v>
      </c>
      <c r="P1067" s="10">
        <f t="shared" ca="1" si="1298"/>
        <v>177490.49062476435</v>
      </c>
      <c r="Q1067" s="10">
        <f t="shared" ca="1" si="1298"/>
        <v>179239.37658746613</v>
      </c>
      <c r="R1067" s="10">
        <f t="shared" ca="1" si="1298"/>
        <v>181005.49503456618</v>
      </c>
      <c r="S1067" s="10">
        <f t="shared" ca="1" si="1298"/>
        <v>182789.01576473904</v>
      </c>
      <c r="T1067" s="10">
        <f t="shared" ca="1" si="1298"/>
        <v>130039.94106789651</v>
      </c>
      <c r="U1067" s="10">
        <f t="shared" ca="1" si="1298"/>
        <v>4081.8183296468605</v>
      </c>
      <c r="V1067" s="10">
        <f t="shared" ca="1" si="1298"/>
        <v>6606.2474292372463</v>
      </c>
      <c r="W1067" s="10">
        <f t="shared" ca="1" si="1298"/>
        <v>9110.2536325762321</v>
      </c>
      <c r="X1067" s="10">
        <f t="shared" ca="1" si="1298"/>
        <v>12692.548261457432</v>
      </c>
      <c r="Y1067" s="10">
        <f t="shared" ca="1" si="1298"/>
        <v>17515.602992825621</v>
      </c>
      <c r="Z1067" s="10">
        <f t="shared" ca="1" si="1298"/>
        <v>22632.183234954195</v>
      </c>
      <c r="AA1067" s="10">
        <f t="shared" ca="1" si="1298"/>
        <v>27604.803493227293</v>
      </c>
      <c r="AB1067" s="10">
        <f t="shared" ca="1" si="1298"/>
        <v>33905.106118287738</v>
      </c>
      <c r="AC1067" s="10">
        <f t="shared" ca="1" si="1298"/>
        <v>0</v>
      </c>
      <c r="AD1067" s="10">
        <f t="shared" ca="1" si="1298"/>
        <v>0</v>
      </c>
      <c r="AE1067" s="10">
        <f t="shared" ca="1" si="1298"/>
        <v>0</v>
      </c>
      <c r="AF1067" s="10">
        <f t="shared" ca="1" si="1298"/>
        <v>0</v>
      </c>
      <c r="AG1067" s="10">
        <f t="shared" ca="1" si="1298"/>
        <v>0</v>
      </c>
      <c r="AH1067" s="10">
        <f t="shared" ca="1" si="1298"/>
        <v>0</v>
      </c>
      <c r="AI1067" s="10">
        <f t="shared" ca="1" si="1298"/>
        <v>0</v>
      </c>
      <c r="AJ1067" s="10">
        <f t="shared" ca="1" si="1298"/>
        <v>0</v>
      </c>
      <c r="AK1067" s="10">
        <f t="shared" ca="1" si="1298"/>
        <v>0</v>
      </c>
      <c r="AL1067" s="10">
        <f t="shared" ca="1" si="1298"/>
        <v>0</v>
      </c>
      <c r="AM1067" s="10">
        <f t="shared" ca="1" si="1298"/>
        <v>0</v>
      </c>
      <c r="AN1067" s="10">
        <f t="shared" ca="1" si="1298"/>
        <v>0</v>
      </c>
      <c r="AO1067" s="10">
        <f t="shared" ca="1" si="1298"/>
        <v>0</v>
      </c>
      <c r="AP1067" s="10">
        <f t="shared" ca="1" si="1298"/>
        <v>0</v>
      </c>
      <c r="AQ1067" s="10">
        <f t="shared" ca="1" si="1298"/>
        <v>0</v>
      </c>
      <c r="AR1067" s="10">
        <f t="shared" ca="1" si="1298"/>
        <v>0</v>
      </c>
      <c r="AS1067" s="10">
        <f t="shared" ca="1" si="1298"/>
        <v>0</v>
      </c>
      <c r="AT1067" s="10">
        <f t="shared" ca="1" si="1298"/>
        <v>0</v>
      </c>
      <c r="AU1067" s="10">
        <f t="shared" ca="1" si="1298"/>
        <v>0</v>
      </c>
      <c r="AV1067" s="10">
        <f t="shared" ca="1" si="1298"/>
        <v>0</v>
      </c>
      <c r="AW1067" s="10">
        <f t="shared" ca="1" si="1298"/>
        <v>0</v>
      </c>
      <c r="AX1067" s="10">
        <f t="shared" ca="1" si="1298"/>
        <v>0</v>
      </c>
      <c r="AY1067" s="10">
        <f t="shared" ca="1" si="1298"/>
        <v>0</v>
      </c>
      <c r="AZ1067" s="10">
        <f t="shared" ca="1" si="1298"/>
        <v>0</v>
      </c>
      <c r="BA1067" s="10">
        <f t="shared" ca="1" si="1298"/>
        <v>0</v>
      </c>
      <c r="BB1067" s="10">
        <f t="shared" ca="1" si="1298"/>
        <v>0</v>
      </c>
      <c r="BC1067" s="10">
        <f t="shared" ca="1" si="1298"/>
        <v>0</v>
      </c>
      <c r="BD1067" s="10">
        <f t="shared" ca="1" si="1298"/>
        <v>0</v>
      </c>
      <c r="BE1067" s="10">
        <f t="shared" ca="1" si="1298"/>
        <v>0</v>
      </c>
      <c r="BF1067" s="10">
        <f t="shared" ca="1" si="1298"/>
        <v>0</v>
      </c>
      <c r="BG1067" s="10">
        <f t="shared" ca="1" si="1298"/>
        <v>0</v>
      </c>
      <c r="BH1067" s="10">
        <f t="shared" ca="1" si="1298"/>
        <v>0</v>
      </c>
      <c r="BI1067" s="10">
        <f t="shared" ca="1" si="1298"/>
        <v>0</v>
      </c>
      <c r="BJ1067" s="10">
        <f t="shared" ca="1" si="1298"/>
        <v>0</v>
      </c>
      <c r="BK1067" s="10">
        <f t="shared" ca="1" si="1298"/>
        <v>0</v>
      </c>
      <c r="BL1067" s="10">
        <f t="shared" ca="1" si="1298"/>
        <v>0</v>
      </c>
      <c r="BM1067" s="10">
        <f t="shared" ca="1" si="1298"/>
        <v>0</v>
      </c>
      <c r="BN1067" s="10">
        <f t="shared" ca="1" si="1298"/>
        <v>0</v>
      </c>
      <c r="BO1067" s="10">
        <f t="shared" ca="1" si="1298"/>
        <v>0</v>
      </c>
      <c r="BP1067" s="10">
        <f t="shared" ca="1" si="1298"/>
        <v>0</v>
      </c>
      <c r="BQ1067" s="10">
        <f t="shared" ca="1" si="1298"/>
        <v>0</v>
      </c>
      <c r="BR1067" s="10">
        <f t="shared" ca="1" si="1298"/>
        <v>0</v>
      </c>
      <c r="BS1067" s="10">
        <f t="shared" ca="1" si="1298"/>
        <v>0</v>
      </c>
      <c r="BT1067" s="10">
        <f t="shared" ca="1" si="1298"/>
        <v>0</v>
      </c>
      <c r="BU1067" s="10">
        <f t="shared" ca="1" si="1298"/>
        <v>0</v>
      </c>
      <c r="BV1067" s="10">
        <f t="shared" ca="1" si="1298"/>
        <v>0</v>
      </c>
      <c r="BW1067" s="10">
        <f t="shared" ca="1" si="1298"/>
        <v>0</v>
      </c>
      <c r="BX1067" s="10">
        <f t="shared" ca="1" si="1298"/>
        <v>0</v>
      </c>
      <c r="BY1067" s="10">
        <f t="shared" ref="BY1067:CO1067" ca="1" si="1299">BY1061+MAX(BY1062-BY1066,0)+SUM(BY1044:BY1045)*($E$1064="да")</f>
        <v>0</v>
      </c>
      <c r="BZ1067" s="10">
        <f t="shared" ca="1" si="1299"/>
        <v>0</v>
      </c>
      <c r="CA1067" s="10">
        <f t="shared" ca="1" si="1299"/>
        <v>0</v>
      </c>
      <c r="CB1067" s="10">
        <f t="shared" ca="1" si="1299"/>
        <v>0</v>
      </c>
      <c r="CC1067" s="10">
        <f t="shared" ca="1" si="1299"/>
        <v>0</v>
      </c>
      <c r="CD1067" s="10">
        <f t="shared" ca="1" si="1299"/>
        <v>0</v>
      </c>
      <c r="CE1067" s="10">
        <f t="shared" ca="1" si="1299"/>
        <v>0</v>
      </c>
      <c r="CF1067" s="10">
        <f t="shared" ca="1" si="1299"/>
        <v>0</v>
      </c>
      <c r="CG1067" s="10">
        <f t="shared" ca="1" si="1299"/>
        <v>0</v>
      </c>
      <c r="CH1067" s="10">
        <f t="shared" ca="1" si="1299"/>
        <v>0</v>
      </c>
      <c r="CI1067" s="10">
        <f t="shared" ca="1" si="1299"/>
        <v>0</v>
      </c>
      <c r="CJ1067" s="10">
        <f t="shared" ca="1" si="1299"/>
        <v>0</v>
      </c>
      <c r="CK1067" s="10">
        <f t="shared" ca="1" si="1299"/>
        <v>0</v>
      </c>
      <c r="CL1067" s="10">
        <f t="shared" ca="1" si="1299"/>
        <v>0</v>
      </c>
      <c r="CM1067" s="10">
        <f t="shared" ca="1" si="1299"/>
        <v>0</v>
      </c>
      <c r="CN1067" s="10">
        <f t="shared" ca="1" si="1299"/>
        <v>0</v>
      </c>
      <c r="CO1067" s="10">
        <f t="shared" ca="1" si="1299"/>
        <v>0</v>
      </c>
    </row>
    <row r="1068" spans="1:94" ht="15.75" thickTop="1">
      <c r="A1068" s="172"/>
      <c r="B1068" s="35"/>
      <c r="C1068" s="173" t="s">
        <v>913</v>
      </c>
      <c r="D1068" s="49"/>
      <c r="E1068" s="49"/>
      <c r="F1068" s="49"/>
      <c r="G1068" s="159" t="str">
        <f>Monetary_Unit</f>
        <v>тыс. руб.</v>
      </c>
      <c r="H1068" s="49"/>
      <c r="I1068" s="176">
        <f ca="1">SUM(L1068:CO1068)</f>
        <v>3839266.9475003602</v>
      </c>
      <c r="J1068" s="49"/>
      <c r="K1068" s="49"/>
      <c r="L1068" s="49">
        <f t="shared" ref="L1068:R1068" si="1300">SUM(L1066:L1067)</f>
        <v>20231.553412960755</v>
      </c>
      <c r="M1068" s="49">
        <f t="shared" ca="1" si="1300"/>
        <v>20518.738035800307</v>
      </c>
      <c r="N1068" s="49">
        <f t="shared" ca="1" si="1300"/>
        <v>20809.999212027134</v>
      </c>
      <c r="O1068" s="49">
        <f t="shared" ca="1" si="1300"/>
        <v>21105.394807857592</v>
      </c>
      <c r="P1068" s="49">
        <f t="shared" ca="1" si="1300"/>
        <v>177490.49062476435</v>
      </c>
      <c r="Q1068" s="49">
        <f t="shared" ca="1" si="1300"/>
        <v>179239.37658746613</v>
      </c>
      <c r="R1068" s="49">
        <f t="shared" ca="1" si="1300"/>
        <v>181005.49503456618</v>
      </c>
      <c r="S1068" s="49">
        <f ca="1">SUM(S1066:S1067)</f>
        <v>182789.01576473904</v>
      </c>
      <c r="T1068" s="49">
        <f t="shared" ref="T1068:CE1068" ca="1" si="1301">SUM(T1066:T1067)</f>
        <v>184965.93951308879</v>
      </c>
      <c r="U1068" s="49">
        <f t="shared" ca="1" si="1301"/>
        <v>190490.76998061163</v>
      </c>
      <c r="V1068" s="49">
        <f t="shared" ca="1" si="1301"/>
        <v>194851.96226518595</v>
      </c>
      <c r="W1068" s="49">
        <f t="shared" ca="1" si="1301"/>
        <v>199210.83002790483</v>
      </c>
      <c r="X1068" s="49">
        <f t="shared" ca="1" si="1301"/>
        <v>380268.03807791224</v>
      </c>
      <c r="Y1068" s="49">
        <f t="shared" ca="1" si="1301"/>
        <v>388712.96354787843</v>
      </c>
      <c r="Z1068" s="49">
        <f t="shared" ca="1" si="1301"/>
        <v>397487.10229346005</v>
      </c>
      <c r="AA1068" s="49">
        <f t="shared" ca="1" si="1301"/>
        <v>406153.32046609715</v>
      </c>
      <c r="AB1068" s="49">
        <f t="shared" ca="1" si="1301"/>
        <v>693935.95784803946</v>
      </c>
      <c r="AC1068" s="49">
        <f t="shared" ca="1" si="1301"/>
        <v>0</v>
      </c>
      <c r="AD1068" s="49">
        <f t="shared" ca="1" si="1301"/>
        <v>0</v>
      </c>
      <c r="AE1068" s="49">
        <f t="shared" ca="1" si="1301"/>
        <v>0</v>
      </c>
      <c r="AF1068" s="49">
        <f t="shared" ca="1" si="1301"/>
        <v>0</v>
      </c>
      <c r="AG1068" s="49">
        <f t="shared" ca="1" si="1301"/>
        <v>0</v>
      </c>
      <c r="AH1068" s="49">
        <f t="shared" ca="1" si="1301"/>
        <v>0</v>
      </c>
      <c r="AI1068" s="49">
        <f t="shared" ca="1" si="1301"/>
        <v>0</v>
      </c>
      <c r="AJ1068" s="49">
        <f t="shared" ca="1" si="1301"/>
        <v>0</v>
      </c>
      <c r="AK1068" s="49">
        <f t="shared" ca="1" si="1301"/>
        <v>0</v>
      </c>
      <c r="AL1068" s="49">
        <f t="shared" ca="1" si="1301"/>
        <v>0</v>
      </c>
      <c r="AM1068" s="49">
        <f t="shared" ca="1" si="1301"/>
        <v>0</v>
      </c>
      <c r="AN1068" s="49">
        <f t="shared" ca="1" si="1301"/>
        <v>0</v>
      </c>
      <c r="AO1068" s="49">
        <f t="shared" ca="1" si="1301"/>
        <v>0</v>
      </c>
      <c r="AP1068" s="49">
        <f t="shared" ca="1" si="1301"/>
        <v>0</v>
      </c>
      <c r="AQ1068" s="49">
        <f t="shared" ca="1" si="1301"/>
        <v>0</v>
      </c>
      <c r="AR1068" s="49">
        <f t="shared" ca="1" si="1301"/>
        <v>0</v>
      </c>
      <c r="AS1068" s="49">
        <f t="shared" ca="1" si="1301"/>
        <v>0</v>
      </c>
      <c r="AT1068" s="49">
        <f t="shared" ca="1" si="1301"/>
        <v>0</v>
      </c>
      <c r="AU1068" s="49">
        <f t="shared" ca="1" si="1301"/>
        <v>0</v>
      </c>
      <c r="AV1068" s="49">
        <f t="shared" ca="1" si="1301"/>
        <v>0</v>
      </c>
      <c r="AW1068" s="49">
        <f t="shared" ca="1" si="1301"/>
        <v>0</v>
      </c>
      <c r="AX1068" s="49">
        <f t="shared" ca="1" si="1301"/>
        <v>0</v>
      </c>
      <c r="AY1068" s="49">
        <f t="shared" ca="1" si="1301"/>
        <v>0</v>
      </c>
      <c r="AZ1068" s="49">
        <f t="shared" ca="1" si="1301"/>
        <v>0</v>
      </c>
      <c r="BA1068" s="49">
        <f t="shared" ca="1" si="1301"/>
        <v>0</v>
      </c>
      <c r="BB1068" s="49">
        <f t="shared" ca="1" si="1301"/>
        <v>0</v>
      </c>
      <c r="BC1068" s="49">
        <f t="shared" ca="1" si="1301"/>
        <v>0</v>
      </c>
      <c r="BD1068" s="49">
        <f t="shared" ca="1" si="1301"/>
        <v>0</v>
      </c>
      <c r="BE1068" s="49">
        <f t="shared" ca="1" si="1301"/>
        <v>0</v>
      </c>
      <c r="BF1068" s="49">
        <f t="shared" ca="1" si="1301"/>
        <v>0</v>
      </c>
      <c r="BG1068" s="49">
        <f t="shared" ca="1" si="1301"/>
        <v>0</v>
      </c>
      <c r="BH1068" s="49">
        <f t="shared" ca="1" si="1301"/>
        <v>0</v>
      </c>
      <c r="BI1068" s="49">
        <f t="shared" ca="1" si="1301"/>
        <v>0</v>
      </c>
      <c r="BJ1068" s="49">
        <f t="shared" ca="1" si="1301"/>
        <v>0</v>
      </c>
      <c r="BK1068" s="49">
        <f t="shared" ca="1" si="1301"/>
        <v>0</v>
      </c>
      <c r="BL1068" s="49">
        <f t="shared" ca="1" si="1301"/>
        <v>0</v>
      </c>
      <c r="BM1068" s="49">
        <f t="shared" ca="1" si="1301"/>
        <v>0</v>
      </c>
      <c r="BN1068" s="49">
        <f t="shared" ca="1" si="1301"/>
        <v>0</v>
      </c>
      <c r="BO1068" s="49">
        <f t="shared" ca="1" si="1301"/>
        <v>0</v>
      </c>
      <c r="BP1068" s="49">
        <f t="shared" ca="1" si="1301"/>
        <v>0</v>
      </c>
      <c r="BQ1068" s="49">
        <f t="shared" ca="1" si="1301"/>
        <v>0</v>
      </c>
      <c r="BR1068" s="49">
        <f t="shared" ca="1" si="1301"/>
        <v>0</v>
      </c>
      <c r="BS1068" s="49">
        <f t="shared" ca="1" si="1301"/>
        <v>0</v>
      </c>
      <c r="BT1068" s="49">
        <f t="shared" ca="1" si="1301"/>
        <v>0</v>
      </c>
      <c r="BU1068" s="49">
        <f t="shared" ca="1" si="1301"/>
        <v>0</v>
      </c>
      <c r="BV1068" s="49">
        <f t="shared" ca="1" si="1301"/>
        <v>0</v>
      </c>
      <c r="BW1068" s="49">
        <f t="shared" ca="1" si="1301"/>
        <v>0</v>
      </c>
      <c r="BX1068" s="49">
        <f t="shared" ca="1" si="1301"/>
        <v>0</v>
      </c>
      <c r="BY1068" s="49">
        <f t="shared" ca="1" si="1301"/>
        <v>0</v>
      </c>
      <c r="BZ1068" s="49">
        <f t="shared" ca="1" si="1301"/>
        <v>0</v>
      </c>
      <c r="CA1068" s="49">
        <f t="shared" ca="1" si="1301"/>
        <v>0</v>
      </c>
      <c r="CB1068" s="49">
        <f t="shared" ca="1" si="1301"/>
        <v>0</v>
      </c>
      <c r="CC1068" s="49">
        <f t="shared" ca="1" si="1301"/>
        <v>0</v>
      </c>
      <c r="CD1068" s="49">
        <f t="shared" ca="1" si="1301"/>
        <v>0</v>
      </c>
      <c r="CE1068" s="49">
        <f t="shared" ca="1" si="1301"/>
        <v>0</v>
      </c>
      <c r="CF1068" s="49">
        <f t="shared" ref="CF1068:CO1068" ca="1" si="1302">SUM(CF1066:CF1067)</f>
        <v>0</v>
      </c>
      <c r="CG1068" s="49">
        <f t="shared" ca="1" si="1302"/>
        <v>0</v>
      </c>
      <c r="CH1068" s="49">
        <f t="shared" ca="1" si="1302"/>
        <v>0</v>
      </c>
      <c r="CI1068" s="49">
        <f t="shared" ca="1" si="1302"/>
        <v>0</v>
      </c>
      <c r="CJ1068" s="49">
        <f t="shared" ca="1" si="1302"/>
        <v>0</v>
      </c>
      <c r="CK1068" s="49">
        <f t="shared" ca="1" si="1302"/>
        <v>0</v>
      </c>
      <c r="CL1068" s="49">
        <f t="shared" ca="1" si="1302"/>
        <v>0</v>
      </c>
      <c r="CM1068" s="49">
        <f t="shared" ca="1" si="1302"/>
        <v>0</v>
      </c>
      <c r="CN1068" s="49">
        <f t="shared" ca="1" si="1302"/>
        <v>0</v>
      </c>
      <c r="CO1068" s="49">
        <f t="shared" ca="1" si="1302"/>
        <v>0</v>
      </c>
    </row>
    <row r="1069" spans="1:94">
      <c r="A1069" s="10"/>
      <c r="B1069" s="10"/>
      <c r="C1069" s="10"/>
      <c r="D1069" s="10"/>
      <c r="E1069" s="10"/>
      <c r="F1069" s="10"/>
      <c r="G1069" s="11"/>
      <c r="H1069" s="10"/>
      <c r="I1069" s="231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0"/>
      <c r="AH1069" s="10"/>
      <c r="AI1069" s="10"/>
      <c r="AJ1069" s="10"/>
      <c r="AK1069" s="10"/>
      <c r="AL1069" s="10"/>
      <c r="AM1069" s="10"/>
      <c r="AN1069" s="10"/>
      <c r="AO1069" s="10"/>
      <c r="AP1069" s="10"/>
      <c r="AQ1069" s="10"/>
      <c r="AR1069" s="10"/>
      <c r="AS1069" s="10"/>
      <c r="AT1069" s="10"/>
      <c r="AU1069" s="10"/>
      <c r="AV1069" s="10"/>
      <c r="AW1069" s="10"/>
      <c r="AX1069" s="10"/>
      <c r="AY1069" s="10"/>
      <c r="AZ1069" s="10"/>
      <c r="BA1069" s="10"/>
      <c r="BB1069" s="10"/>
      <c r="BC1069" s="10"/>
      <c r="BD1069" s="10"/>
      <c r="BE1069" s="10"/>
      <c r="BF1069" s="10"/>
      <c r="BG1069" s="10"/>
      <c r="BH1069" s="10"/>
      <c r="BI1069" s="10"/>
      <c r="BJ1069" s="10"/>
      <c r="BK1069" s="10"/>
      <c r="BL1069" s="10"/>
      <c r="BM1069" s="10"/>
      <c r="BN1069" s="10"/>
      <c r="BO1069" s="10"/>
      <c r="BP1069" s="10"/>
      <c r="BQ1069" s="10"/>
      <c r="BR1069" s="10"/>
      <c r="BS1069" s="10"/>
      <c r="BT1069" s="10"/>
      <c r="BU1069" s="10"/>
      <c r="BV1069" s="10"/>
      <c r="BW1069" s="10"/>
      <c r="BX1069" s="10"/>
      <c r="BY1069" s="10"/>
      <c r="BZ1069" s="10"/>
      <c r="CA1069" s="10"/>
      <c r="CB1069" s="10"/>
      <c r="CC1069" s="10"/>
      <c r="CD1069" s="10"/>
      <c r="CE1069" s="10"/>
      <c r="CF1069" s="10"/>
      <c r="CG1069" s="10"/>
      <c r="CH1069" s="10"/>
      <c r="CI1069" s="10"/>
      <c r="CJ1069" s="10"/>
      <c r="CK1069" s="10"/>
      <c r="CL1069" s="10"/>
      <c r="CM1069" s="10"/>
      <c r="CN1069" s="10"/>
      <c r="CO1069" s="10"/>
    </row>
    <row r="1070" spans="1:94" ht="22.5" customHeight="1">
      <c r="A1070" s="10"/>
      <c r="B1070" s="5" t="s">
        <v>489</v>
      </c>
      <c r="C1070" s="5"/>
      <c r="D1070" s="15"/>
      <c r="E1070" s="5"/>
      <c r="F1070" s="5"/>
      <c r="G1070" s="6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5"/>
      <c r="BP1070" s="5"/>
      <c r="BQ1070" s="5"/>
      <c r="BR1070" s="5"/>
      <c r="BS1070" s="5"/>
      <c r="BT1070" s="5"/>
      <c r="BU1070" s="5"/>
      <c r="BV1070" s="5"/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</row>
    <row r="1071" spans="1:94">
      <c r="A1071" s="10"/>
      <c r="B1071" s="10"/>
      <c r="C1071" s="10"/>
      <c r="D1071" s="10"/>
      <c r="E1071" s="10"/>
      <c r="F1071" s="10"/>
      <c r="G1071" s="89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0"/>
      <c r="AH1071" s="10"/>
      <c r="AI1071" s="10"/>
      <c r="AJ1071" s="10"/>
      <c r="AK1071" s="10"/>
      <c r="AL1071" s="10"/>
      <c r="AM1071" s="10"/>
      <c r="AN1071" s="10"/>
      <c r="AO1071" s="10"/>
      <c r="AP1071" s="10"/>
      <c r="AQ1071" s="10"/>
      <c r="AR1071" s="10"/>
      <c r="AS1071" s="10"/>
      <c r="AT1071" s="10"/>
      <c r="AU1071" s="10"/>
      <c r="AV1071" s="10"/>
      <c r="AW1071" s="10"/>
      <c r="AX1071" s="10"/>
      <c r="AY1071" s="10"/>
      <c r="AZ1071" s="10"/>
      <c r="BA1071" s="10"/>
      <c r="BB1071" s="10"/>
      <c r="BC1071" s="10"/>
      <c r="BD1071" s="10"/>
      <c r="BE1071" s="10"/>
      <c r="BF1071" s="10"/>
      <c r="BG1071" s="10"/>
      <c r="BH1071" s="10"/>
      <c r="BI1071" s="10"/>
      <c r="BJ1071" s="10"/>
      <c r="BK1071" s="10"/>
      <c r="BL1071" s="10"/>
      <c r="BM1071" s="10"/>
      <c r="BN1071" s="10"/>
      <c r="BO1071" s="10"/>
      <c r="BP1071" s="10"/>
      <c r="BQ1071" s="10"/>
      <c r="BR1071" s="10"/>
      <c r="BS1071" s="10"/>
      <c r="BT1071" s="10"/>
      <c r="BU1071" s="10"/>
      <c r="BV1071" s="10"/>
      <c r="BW1071" s="10"/>
      <c r="BX1071" s="10"/>
      <c r="BY1071" s="10"/>
      <c r="BZ1071" s="10"/>
      <c r="CA1071" s="10"/>
      <c r="CB1071" s="10"/>
      <c r="CC1071" s="10"/>
      <c r="CD1071" s="10"/>
      <c r="CE1071" s="10"/>
      <c r="CF1071" s="10"/>
      <c r="CG1071" s="10"/>
      <c r="CH1071" s="10"/>
      <c r="CI1071" s="10"/>
      <c r="CJ1071" s="10"/>
      <c r="CK1071" s="10"/>
      <c r="CL1071" s="10"/>
      <c r="CM1071" s="10"/>
      <c r="CN1071" s="10"/>
      <c r="CO1071" s="10"/>
    </row>
    <row r="1072" spans="1:94" ht="16.5" thickBot="1">
      <c r="A1072" s="10"/>
      <c r="B1072" s="10"/>
      <c r="C1072" s="12" t="s">
        <v>169</v>
      </c>
      <c r="D1072" s="10"/>
      <c r="E1072" s="10"/>
      <c r="F1072" s="10"/>
      <c r="G1072" s="89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0"/>
      <c r="AH1072" s="10"/>
      <c r="AI1072" s="10"/>
      <c r="AJ1072" s="10"/>
      <c r="AK1072" s="10"/>
      <c r="AL1072" s="10"/>
      <c r="AM1072" s="10"/>
      <c r="AN1072" s="10"/>
      <c r="AO1072" s="10"/>
      <c r="AP1072" s="10"/>
      <c r="AQ1072" s="10"/>
      <c r="AR1072" s="10"/>
      <c r="AS1072" s="10"/>
      <c r="AT1072" s="10"/>
      <c r="AU1072" s="10"/>
      <c r="AV1072" s="10"/>
      <c r="AW1072" s="10"/>
      <c r="AX1072" s="10"/>
      <c r="AY1072" s="10"/>
      <c r="AZ1072" s="10"/>
      <c r="BA1072" s="10"/>
      <c r="BB1072" s="10"/>
      <c r="BC1072" s="10"/>
      <c r="BD1072" s="10"/>
      <c r="BE1072" s="10"/>
      <c r="BF1072" s="10"/>
      <c r="BG1072" s="10"/>
      <c r="BH1072" s="10"/>
      <c r="BI1072" s="10"/>
      <c r="BJ1072" s="10"/>
      <c r="BK1072" s="10"/>
      <c r="BL1072" s="10"/>
      <c r="BM1072" s="10"/>
      <c r="BN1072" s="10"/>
      <c r="BO1072" s="10"/>
      <c r="BP1072" s="10"/>
      <c r="BQ1072" s="10"/>
      <c r="BR1072" s="10"/>
      <c r="BS1072" s="10"/>
      <c r="BT1072" s="10"/>
      <c r="BU1072" s="10"/>
      <c r="BV1072" s="10"/>
      <c r="BW1072" s="10"/>
      <c r="BX1072" s="10"/>
      <c r="BY1072" s="10"/>
      <c r="BZ1072" s="10"/>
      <c r="CA1072" s="10"/>
      <c r="CB1072" s="10"/>
      <c r="CC1072" s="10"/>
      <c r="CD1072" s="10"/>
      <c r="CE1072" s="10"/>
      <c r="CF1072" s="10"/>
      <c r="CG1072" s="10"/>
      <c r="CH1072" s="10"/>
      <c r="CI1072" s="10"/>
      <c r="CJ1072" s="10"/>
      <c r="CK1072" s="10"/>
      <c r="CL1072" s="10"/>
      <c r="CM1072" s="10"/>
      <c r="CN1072" s="10"/>
      <c r="CO1072" s="10"/>
    </row>
    <row r="1073" spans="1:93">
      <c r="A1073" s="10"/>
      <c r="B1073" s="10"/>
      <c r="C1073" s="21"/>
      <c r="D1073" s="10"/>
      <c r="E1073" s="10"/>
      <c r="F1073" s="10"/>
      <c r="G1073" s="89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0"/>
      <c r="AH1073" s="10"/>
      <c r="AI1073" s="10"/>
      <c r="AJ1073" s="10"/>
      <c r="AK1073" s="10"/>
      <c r="AL1073" s="10"/>
      <c r="AM1073" s="10"/>
      <c r="AN1073" s="10"/>
      <c r="AO1073" s="10"/>
      <c r="AP1073" s="10"/>
      <c r="AQ1073" s="10"/>
      <c r="AR1073" s="10"/>
      <c r="AS1073" s="10"/>
      <c r="AT1073" s="10"/>
      <c r="AU1073" s="10"/>
      <c r="AV1073" s="10"/>
      <c r="AW1073" s="10"/>
      <c r="AX1073" s="10"/>
      <c r="AY1073" s="10"/>
      <c r="AZ1073" s="10"/>
      <c r="BA1073" s="10"/>
      <c r="BB1073" s="10"/>
      <c r="BC1073" s="10"/>
      <c r="BD1073" s="10"/>
      <c r="BE1073" s="10"/>
      <c r="BF1073" s="10"/>
      <c r="BG1073" s="10"/>
      <c r="BH1073" s="10"/>
      <c r="BI1073" s="10"/>
      <c r="BJ1073" s="10"/>
      <c r="BK1073" s="10"/>
      <c r="BL1073" s="10"/>
      <c r="BM1073" s="10"/>
      <c r="BN1073" s="10"/>
      <c r="BO1073" s="10"/>
      <c r="BP1073" s="10"/>
      <c r="BQ1073" s="10"/>
      <c r="BR1073" s="10"/>
      <c r="BS1073" s="10"/>
      <c r="BT1073" s="10"/>
      <c r="BU1073" s="10"/>
      <c r="BV1073" s="10"/>
      <c r="BW1073" s="10"/>
      <c r="BX1073" s="10"/>
      <c r="BY1073" s="10"/>
      <c r="BZ1073" s="10"/>
      <c r="CA1073" s="10"/>
      <c r="CB1073" s="10"/>
      <c r="CC1073" s="10"/>
      <c r="CD1073" s="10"/>
      <c r="CE1073" s="10"/>
      <c r="CF1073" s="10"/>
      <c r="CG1073" s="10"/>
      <c r="CH1073" s="10"/>
      <c r="CI1073" s="10"/>
      <c r="CJ1073" s="10"/>
      <c r="CK1073" s="10"/>
      <c r="CL1073" s="10"/>
      <c r="CM1073" s="10"/>
      <c r="CN1073" s="10"/>
      <c r="CO1073" s="10"/>
    </row>
    <row r="1074" spans="1:93">
      <c r="A1074" s="10"/>
      <c r="B1074" s="10"/>
      <c r="C1074" s="17" t="s">
        <v>914</v>
      </c>
      <c r="D1074" s="10"/>
      <c r="E1074" s="10"/>
      <c r="F1074" s="10"/>
      <c r="G1074" s="11" t="str">
        <f>MIN(L1074:AY1074) &amp; ".." &amp; MAX(L1074:AY1074)</f>
        <v>0..1</v>
      </c>
      <c r="H1074" s="10"/>
      <c r="I1074" s="10"/>
      <c r="J1074" s="10"/>
      <c r="K1074" s="10"/>
      <c r="L1074" s="79">
        <f t="shared" ref="L1074:BW1074" si="1303">Flag_Construction</f>
        <v>1</v>
      </c>
      <c r="M1074" s="79">
        <f t="shared" si="1303"/>
        <v>1</v>
      </c>
      <c r="N1074" s="79">
        <f t="shared" si="1303"/>
        <v>1</v>
      </c>
      <c r="O1074" s="79">
        <f t="shared" si="1303"/>
        <v>1</v>
      </c>
      <c r="P1074" s="79">
        <f t="shared" si="1303"/>
        <v>1</v>
      </c>
      <c r="Q1074" s="79">
        <f t="shared" si="1303"/>
        <v>1</v>
      </c>
      <c r="R1074" s="79">
        <f t="shared" si="1303"/>
        <v>1</v>
      </c>
      <c r="S1074" s="79">
        <f t="shared" si="1303"/>
        <v>1</v>
      </c>
      <c r="T1074" s="79">
        <f t="shared" si="1303"/>
        <v>1</v>
      </c>
      <c r="U1074" s="79">
        <f t="shared" si="1303"/>
        <v>1</v>
      </c>
      <c r="V1074" s="79">
        <f t="shared" si="1303"/>
        <v>1</v>
      </c>
      <c r="W1074" s="79">
        <f t="shared" si="1303"/>
        <v>1</v>
      </c>
      <c r="X1074" s="79">
        <f t="shared" si="1303"/>
        <v>1</v>
      </c>
      <c r="Y1074" s="79">
        <f t="shared" si="1303"/>
        <v>1</v>
      </c>
      <c r="Z1074" s="79">
        <f t="shared" si="1303"/>
        <v>1</v>
      </c>
      <c r="AA1074" s="79">
        <f t="shared" si="1303"/>
        <v>1</v>
      </c>
      <c r="AB1074" s="79">
        <f t="shared" si="1303"/>
        <v>1</v>
      </c>
      <c r="AC1074" s="79">
        <f t="shared" si="1303"/>
        <v>0</v>
      </c>
      <c r="AD1074" s="79">
        <f t="shared" si="1303"/>
        <v>0</v>
      </c>
      <c r="AE1074" s="79">
        <f t="shared" si="1303"/>
        <v>0</v>
      </c>
      <c r="AF1074" s="79">
        <f t="shared" si="1303"/>
        <v>0</v>
      </c>
      <c r="AG1074" s="79">
        <f t="shared" si="1303"/>
        <v>0</v>
      </c>
      <c r="AH1074" s="79">
        <f t="shared" si="1303"/>
        <v>0</v>
      </c>
      <c r="AI1074" s="79">
        <f t="shared" si="1303"/>
        <v>0</v>
      </c>
      <c r="AJ1074" s="79">
        <f t="shared" si="1303"/>
        <v>0</v>
      </c>
      <c r="AK1074" s="79">
        <f t="shared" si="1303"/>
        <v>0</v>
      </c>
      <c r="AL1074" s="79">
        <f t="shared" si="1303"/>
        <v>0</v>
      </c>
      <c r="AM1074" s="79">
        <f t="shared" si="1303"/>
        <v>0</v>
      </c>
      <c r="AN1074" s="79">
        <f t="shared" si="1303"/>
        <v>0</v>
      </c>
      <c r="AO1074" s="79">
        <f t="shared" si="1303"/>
        <v>0</v>
      </c>
      <c r="AP1074" s="79">
        <f t="shared" si="1303"/>
        <v>0</v>
      </c>
      <c r="AQ1074" s="79">
        <f t="shared" si="1303"/>
        <v>0</v>
      </c>
      <c r="AR1074" s="79">
        <f t="shared" si="1303"/>
        <v>0</v>
      </c>
      <c r="AS1074" s="79">
        <f t="shared" si="1303"/>
        <v>0</v>
      </c>
      <c r="AT1074" s="79">
        <f t="shared" si="1303"/>
        <v>0</v>
      </c>
      <c r="AU1074" s="79">
        <f t="shared" si="1303"/>
        <v>0</v>
      </c>
      <c r="AV1074" s="79">
        <f t="shared" si="1303"/>
        <v>0</v>
      </c>
      <c r="AW1074" s="79">
        <f t="shared" si="1303"/>
        <v>0</v>
      </c>
      <c r="AX1074" s="79">
        <f t="shared" si="1303"/>
        <v>0</v>
      </c>
      <c r="AY1074" s="79">
        <f t="shared" si="1303"/>
        <v>0</v>
      </c>
      <c r="AZ1074" s="79">
        <f t="shared" si="1303"/>
        <v>0</v>
      </c>
      <c r="BA1074" s="79">
        <f t="shared" si="1303"/>
        <v>0</v>
      </c>
      <c r="BB1074" s="79">
        <f t="shared" si="1303"/>
        <v>0</v>
      </c>
      <c r="BC1074" s="79">
        <f t="shared" si="1303"/>
        <v>0</v>
      </c>
      <c r="BD1074" s="79">
        <f t="shared" si="1303"/>
        <v>0</v>
      </c>
      <c r="BE1074" s="79">
        <f t="shared" si="1303"/>
        <v>0</v>
      </c>
      <c r="BF1074" s="79">
        <f t="shared" si="1303"/>
        <v>0</v>
      </c>
      <c r="BG1074" s="79">
        <f t="shared" si="1303"/>
        <v>0</v>
      </c>
      <c r="BH1074" s="79">
        <f t="shared" si="1303"/>
        <v>0</v>
      </c>
      <c r="BI1074" s="79">
        <f t="shared" si="1303"/>
        <v>0</v>
      </c>
      <c r="BJ1074" s="79">
        <f t="shared" si="1303"/>
        <v>0</v>
      </c>
      <c r="BK1074" s="79">
        <f t="shared" si="1303"/>
        <v>0</v>
      </c>
      <c r="BL1074" s="79">
        <f t="shared" si="1303"/>
        <v>0</v>
      </c>
      <c r="BM1074" s="79">
        <f t="shared" si="1303"/>
        <v>0</v>
      </c>
      <c r="BN1074" s="79">
        <f t="shared" si="1303"/>
        <v>0</v>
      </c>
      <c r="BO1074" s="79">
        <f t="shared" si="1303"/>
        <v>0</v>
      </c>
      <c r="BP1074" s="79">
        <f t="shared" si="1303"/>
        <v>0</v>
      </c>
      <c r="BQ1074" s="79">
        <f t="shared" si="1303"/>
        <v>0</v>
      </c>
      <c r="BR1074" s="79">
        <f t="shared" si="1303"/>
        <v>0</v>
      </c>
      <c r="BS1074" s="79">
        <f t="shared" si="1303"/>
        <v>0</v>
      </c>
      <c r="BT1074" s="79">
        <f t="shared" si="1303"/>
        <v>0</v>
      </c>
      <c r="BU1074" s="79">
        <f t="shared" si="1303"/>
        <v>0</v>
      </c>
      <c r="BV1074" s="79">
        <f t="shared" si="1303"/>
        <v>0</v>
      </c>
      <c r="BW1074" s="79">
        <f t="shared" si="1303"/>
        <v>0</v>
      </c>
      <c r="BX1074" s="79">
        <f t="shared" ref="BX1074:CO1074" si="1304">Flag_Construction</f>
        <v>0</v>
      </c>
      <c r="BY1074" s="79">
        <f t="shared" si="1304"/>
        <v>0</v>
      </c>
      <c r="BZ1074" s="79">
        <f t="shared" si="1304"/>
        <v>0</v>
      </c>
      <c r="CA1074" s="79">
        <f t="shared" si="1304"/>
        <v>0</v>
      </c>
      <c r="CB1074" s="79">
        <f t="shared" si="1304"/>
        <v>0</v>
      </c>
      <c r="CC1074" s="79">
        <f t="shared" si="1304"/>
        <v>0</v>
      </c>
      <c r="CD1074" s="79">
        <f t="shared" si="1304"/>
        <v>0</v>
      </c>
      <c r="CE1074" s="79">
        <f t="shared" si="1304"/>
        <v>0</v>
      </c>
      <c r="CF1074" s="79">
        <f t="shared" si="1304"/>
        <v>0</v>
      </c>
      <c r="CG1074" s="79">
        <f t="shared" si="1304"/>
        <v>0</v>
      </c>
      <c r="CH1074" s="79">
        <f t="shared" si="1304"/>
        <v>0</v>
      </c>
      <c r="CI1074" s="79">
        <f t="shared" si="1304"/>
        <v>0</v>
      </c>
      <c r="CJ1074" s="79">
        <f t="shared" si="1304"/>
        <v>0</v>
      </c>
      <c r="CK1074" s="79">
        <f t="shared" si="1304"/>
        <v>0</v>
      </c>
      <c r="CL1074" s="79">
        <f t="shared" si="1304"/>
        <v>0</v>
      </c>
      <c r="CM1074" s="79">
        <f t="shared" si="1304"/>
        <v>0</v>
      </c>
      <c r="CN1074" s="79">
        <f t="shared" si="1304"/>
        <v>0</v>
      </c>
      <c r="CO1074" s="79">
        <f t="shared" si="1304"/>
        <v>0</v>
      </c>
    </row>
    <row r="1075" spans="1:93">
      <c r="A1075" s="10"/>
      <c r="B1075" s="10"/>
      <c r="C1075" s="17" t="s">
        <v>487</v>
      </c>
      <c r="D1075" s="10"/>
      <c r="E1075" s="10"/>
      <c r="F1075" s="10"/>
      <c r="G1075" s="11" t="str">
        <f>Monetary_Unit</f>
        <v>тыс. руб.</v>
      </c>
      <c r="H1075" s="10"/>
      <c r="I1075" s="23">
        <f>SUM(L1075:CO1075)</f>
        <v>2771888.3794600694</v>
      </c>
      <c r="J1075" s="10"/>
      <c r="K1075" s="10"/>
      <c r="L1075" s="52">
        <f t="shared" ref="L1075:R1075" si="1305">MAX(L$1066,0)*L1079</f>
        <v>0</v>
      </c>
      <c r="M1075" s="52">
        <f t="shared" si="1305"/>
        <v>0</v>
      </c>
      <c r="N1075" s="52">
        <f t="shared" si="1305"/>
        <v>0</v>
      </c>
      <c r="O1075" s="52">
        <f t="shared" si="1305"/>
        <v>0</v>
      </c>
      <c r="P1075" s="52">
        <f t="shared" si="1305"/>
        <v>0</v>
      </c>
      <c r="Q1075" s="52">
        <f t="shared" si="1305"/>
        <v>0</v>
      </c>
      <c r="R1075" s="52">
        <f t="shared" si="1305"/>
        <v>0</v>
      </c>
      <c r="S1075" s="52">
        <f>MAX(S$1066,0)*S1079</f>
        <v>0</v>
      </c>
      <c r="T1075" s="52">
        <f t="shared" ref="T1075:CE1075" si="1306">MAX(T$1066,0)*T1079</f>
        <v>54925.998445192294</v>
      </c>
      <c r="U1075" s="52">
        <f t="shared" si="1306"/>
        <v>186408.95165096477</v>
      </c>
      <c r="V1075" s="52">
        <f t="shared" si="1306"/>
        <v>188245.71483594872</v>
      </c>
      <c r="W1075" s="52">
        <f t="shared" si="1306"/>
        <v>190100.57639532859</v>
      </c>
      <c r="X1075" s="52">
        <f t="shared" si="1306"/>
        <v>367575.48981645482</v>
      </c>
      <c r="Y1075" s="52">
        <f t="shared" si="1306"/>
        <v>371197.36055505282</v>
      </c>
      <c r="Z1075" s="52">
        <f t="shared" si="1306"/>
        <v>374854.91905850585</v>
      </c>
      <c r="AA1075" s="52">
        <f t="shared" si="1306"/>
        <v>378548.51697286987</v>
      </c>
      <c r="AB1075" s="52">
        <f t="shared" si="1306"/>
        <v>660030.85172975168</v>
      </c>
      <c r="AC1075" s="52">
        <f t="shared" si="1306"/>
        <v>0</v>
      </c>
      <c r="AD1075" s="52">
        <f t="shared" si="1306"/>
        <v>0</v>
      </c>
      <c r="AE1075" s="52">
        <f t="shared" si="1306"/>
        <v>0</v>
      </c>
      <c r="AF1075" s="52">
        <f t="shared" si="1306"/>
        <v>0</v>
      </c>
      <c r="AG1075" s="52">
        <f t="shared" si="1306"/>
        <v>0</v>
      </c>
      <c r="AH1075" s="52">
        <f t="shared" si="1306"/>
        <v>0</v>
      </c>
      <c r="AI1075" s="52">
        <f t="shared" si="1306"/>
        <v>0</v>
      </c>
      <c r="AJ1075" s="52">
        <f t="shared" si="1306"/>
        <v>0</v>
      </c>
      <c r="AK1075" s="52">
        <f t="shared" si="1306"/>
        <v>0</v>
      </c>
      <c r="AL1075" s="52">
        <f t="shared" si="1306"/>
        <v>0</v>
      </c>
      <c r="AM1075" s="52">
        <f t="shared" si="1306"/>
        <v>0</v>
      </c>
      <c r="AN1075" s="52">
        <f t="shared" si="1306"/>
        <v>0</v>
      </c>
      <c r="AO1075" s="52">
        <f t="shared" si="1306"/>
        <v>0</v>
      </c>
      <c r="AP1075" s="52">
        <f t="shared" si="1306"/>
        <v>0</v>
      </c>
      <c r="AQ1075" s="52">
        <f t="shared" si="1306"/>
        <v>0</v>
      </c>
      <c r="AR1075" s="52">
        <f t="shared" si="1306"/>
        <v>0</v>
      </c>
      <c r="AS1075" s="52">
        <f t="shared" si="1306"/>
        <v>0</v>
      </c>
      <c r="AT1075" s="52">
        <f t="shared" si="1306"/>
        <v>0</v>
      </c>
      <c r="AU1075" s="52">
        <f t="shared" si="1306"/>
        <v>0</v>
      </c>
      <c r="AV1075" s="52">
        <f t="shared" si="1306"/>
        <v>0</v>
      </c>
      <c r="AW1075" s="52">
        <f t="shared" si="1306"/>
        <v>0</v>
      </c>
      <c r="AX1075" s="52">
        <f t="shared" si="1306"/>
        <v>0</v>
      </c>
      <c r="AY1075" s="52">
        <f t="shared" si="1306"/>
        <v>0</v>
      </c>
      <c r="AZ1075" s="52">
        <f t="shared" si="1306"/>
        <v>0</v>
      </c>
      <c r="BA1075" s="52">
        <f t="shared" si="1306"/>
        <v>0</v>
      </c>
      <c r="BB1075" s="52">
        <f t="shared" si="1306"/>
        <v>0</v>
      </c>
      <c r="BC1075" s="52">
        <f t="shared" si="1306"/>
        <v>0</v>
      </c>
      <c r="BD1075" s="52">
        <f t="shared" si="1306"/>
        <v>0</v>
      </c>
      <c r="BE1075" s="52">
        <f t="shared" si="1306"/>
        <v>0</v>
      </c>
      <c r="BF1075" s="52">
        <f t="shared" si="1306"/>
        <v>0</v>
      </c>
      <c r="BG1075" s="52">
        <f t="shared" si="1306"/>
        <v>0</v>
      </c>
      <c r="BH1075" s="52">
        <f t="shared" si="1306"/>
        <v>0</v>
      </c>
      <c r="BI1075" s="52">
        <f t="shared" si="1306"/>
        <v>0</v>
      </c>
      <c r="BJ1075" s="52">
        <f t="shared" si="1306"/>
        <v>0</v>
      </c>
      <c r="BK1075" s="52">
        <f t="shared" si="1306"/>
        <v>0</v>
      </c>
      <c r="BL1075" s="52">
        <f t="shared" si="1306"/>
        <v>0</v>
      </c>
      <c r="BM1075" s="52">
        <f t="shared" si="1306"/>
        <v>0</v>
      </c>
      <c r="BN1075" s="52">
        <f t="shared" si="1306"/>
        <v>0</v>
      </c>
      <c r="BO1075" s="52">
        <f t="shared" si="1306"/>
        <v>0</v>
      </c>
      <c r="BP1075" s="52">
        <f t="shared" si="1306"/>
        <v>0</v>
      </c>
      <c r="BQ1075" s="52">
        <f t="shared" si="1306"/>
        <v>0</v>
      </c>
      <c r="BR1075" s="52">
        <f t="shared" si="1306"/>
        <v>0</v>
      </c>
      <c r="BS1075" s="52">
        <f t="shared" si="1306"/>
        <v>0</v>
      </c>
      <c r="BT1075" s="52">
        <f t="shared" si="1306"/>
        <v>0</v>
      </c>
      <c r="BU1075" s="52">
        <f t="shared" si="1306"/>
        <v>0</v>
      </c>
      <c r="BV1075" s="52">
        <f t="shared" si="1306"/>
        <v>0</v>
      </c>
      <c r="BW1075" s="52">
        <f t="shared" si="1306"/>
        <v>0</v>
      </c>
      <c r="BX1075" s="52">
        <f t="shared" si="1306"/>
        <v>0</v>
      </c>
      <c r="BY1075" s="52">
        <f t="shared" si="1306"/>
        <v>0</v>
      </c>
      <c r="BZ1075" s="52">
        <f t="shared" si="1306"/>
        <v>0</v>
      </c>
      <c r="CA1075" s="52">
        <f t="shared" si="1306"/>
        <v>0</v>
      </c>
      <c r="CB1075" s="52">
        <f t="shared" si="1306"/>
        <v>0</v>
      </c>
      <c r="CC1075" s="52">
        <f t="shared" si="1306"/>
        <v>0</v>
      </c>
      <c r="CD1075" s="52">
        <f t="shared" si="1306"/>
        <v>0</v>
      </c>
      <c r="CE1075" s="52">
        <f t="shared" si="1306"/>
        <v>0</v>
      </c>
      <c r="CF1075" s="52">
        <f t="shared" ref="CF1075:CO1075" si="1307">MAX(CF$1066,0)*CF1079</f>
        <v>0</v>
      </c>
      <c r="CG1075" s="52">
        <f t="shared" si="1307"/>
        <v>0</v>
      </c>
      <c r="CH1075" s="52">
        <f t="shared" si="1307"/>
        <v>0</v>
      </c>
      <c r="CI1075" s="52">
        <f t="shared" si="1307"/>
        <v>0</v>
      </c>
      <c r="CJ1075" s="52">
        <f t="shared" si="1307"/>
        <v>0</v>
      </c>
      <c r="CK1075" s="52">
        <f t="shared" si="1307"/>
        <v>0</v>
      </c>
      <c r="CL1075" s="52">
        <f t="shared" si="1307"/>
        <v>0</v>
      </c>
      <c r="CM1075" s="52">
        <f t="shared" si="1307"/>
        <v>0</v>
      </c>
      <c r="CN1075" s="52">
        <f t="shared" si="1307"/>
        <v>0</v>
      </c>
      <c r="CO1075" s="52">
        <f t="shared" si="1307"/>
        <v>0</v>
      </c>
    </row>
    <row r="1076" spans="1:93">
      <c r="A1076" s="10"/>
      <c r="B1076" s="10"/>
      <c r="C1076" s="21"/>
      <c r="D1076" s="10"/>
      <c r="E1076" s="10"/>
      <c r="F1076" s="10"/>
      <c r="G1076" s="11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0"/>
      <c r="AH1076" s="10"/>
      <c r="AI1076" s="10"/>
      <c r="AJ1076" s="10"/>
      <c r="AK1076" s="10"/>
      <c r="AL1076" s="10"/>
      <c r="AM1076" s="10"/>
      <c r="AN1076" s="10"/>
      <c r="AO1076" s="10"/>
      <c r="AP1076" s="10"/>
      <c r="AQ1076" s="10"/>
      <c r="AR1076" s="10"/>
      <c r="AS1076" s="10"/>
      <c r="AT1076" s="10"/>
      <c r="AU1076" s="10"/>
      <c r="AV1076" s="10"/>
      <c r="AW1076" s="10"/>
      <c r="AX1076" s="10"/>
      <c r="AY1076" s="10"/>
      <c r="AZ1076" s="10"/>
      <c r="BA1076" s="10"/>
      <c r="BB1076" s="10"/>
      <c r="BC1076" s="10"/>
      <c r="BD1076" s="10"/>
      <c r="BE1076" s="10"/>
      <c r="BF1076" s="10"/>
      <c r="BG1076" s="10"/>
      <c r="BH1076" s="10"/>
      <c r="BI1076" s="10"/>
      <c r="BJ1076" s="10"/>
      <c r="BK1076" s="10"/>
      <c r="BL1076" s="10"/>
      <c r="BM1076" s="10"/>
      <c r="BN1076" s="10"/>
      <c r="BO1076" s="10"/>
      <c r="BP1076" s="10"/>
      <c r="BQ1076" s="10"/>
      <c r="BR1076" s="10"/>
      <c r="BS1076" s="10"/>
      <c r="BT1076" s="10"/>
      <c r="BU1076" s="10"/>
      <c r="BV1076" s="10"/>
      <c r="BW1076" s="10"/>
      <c r="BX1076" s="10"/>
      <c r="BY1076" s="10"/>
      <c r="BZ1076" s="10"/>
      <c r="CA1076" s="10"/>
      <c r="CB1076" s="10"/>
      <c r="CC1076" s="10"/>
      <c r="CD1076" s="10"/>
      <c r="CE1076" s="10"/>
      <c r="CF1076" s="10"/>
      <c r="CG1076" s="10"/>
      <c r="CH1076" s="10"/>
      <c r="CI1076" s="10"/>
      <c r="CJ1076" s="10"/>
      <c r="CK1076" s="10"/>
      <c r="CL1076" s="10"/>
      <c r="CM1076" s="10"/>
      <c r="CN1076" s="10"/>
      <c r="CO1076" s="10"/>
    </row>
    <row r="1077" spans="1:93" ht="16.5" thickBot="1">
      <c r="A1077" s="10"/>
      <c r="B1077" s="10"/>
      <c r="C1077" s="30" t="s">
        <v>162</v>
      </c>
      <c r="D1077" s="10"/>
      <c r="E1077" s="10"/>
      <c r="F1077" s="10"/>
      <c r="G1077" s="11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0"/>
      <c r="AH1077" s="10"/>
      <c r="AI1077" s="10"/>
      <c r="AJ1077" s="10"/>
      <c r="AK1077" s="10"/>
      <c r="AL1077" s="10"/>
      <c r="AM1077" s="10"/>
      <c r="AN1077" s="10"/>
      <c r="AO1077" s="10"/>
      <c r="AP1077" s="10"/>
      <c r="AQ1077" s="10"/>
      <c r="AR1077" s="10"/>
      <c r="AS1077" s="10"/>
      <c r="AT1077" s="10"/>
      <c r="AU1077" s="10"/>
      <c r="AV1077" s="10"/>
      <c r="AW1077" s="10"/>
      <c r="AX1077" s="10"/>
      <c r="AY1077" s="10"/>
      <c r="AZ1077" s="10"/>
      <c r="BA1077" s="10"/>
      <c r="BB1077" s="10"/>
      <c r="BC1077" s="10"/>
      <c r="BD1077" s="10"/>
      <c r="BE1077" s="10"/>
      <c r="BF1077" s="10"/>
      <c r="BG1077" s="10"/>
      <c r="BH1077" s="10"/>
      <c r="BI1077" s="10"/>
      <c r="BJ1077" s="10"/>
      <c r="BK1077" s="10"/>
      <c r="BL1077" s="10"/>
      <c r="BM1077" s="10"/>
      <c r="BN1077" s="10"/>
      <c r="BO1077" s="10"/>
      <c r="BP1077" s="10"/>
      <c r="BQ1077" s="10"/>
      <c r="BR1077" s="10"/>
      <c r="BS1077" s="10"/>
      <c r="BT1077" s="10"/>
      <c r="BU1077" s="10"/>
      <c r="BV1077" s="10"/>
      <c r="BW1077" s="10"/>
      <c r="BX1077" s="10"/>
      <c r="BY1077" s="10"/>
      <c r="BZ1077" s="10"/>
      <c r="CA1077" s="10"/>
      <c r="CB1077" s="10"/>
      <c r="CC1077" s="10"/>
      <c r="CD1077" s="10"/>
      <c r="CE1077" s="10"/>
      <c r="CF1077" s="10"/>
      <c r="CG1077" s="10"/>
      <c r="CH1077" s="10"/>
      <c r="CI1077" s="10"/>
      <c r="CJ1077" s="10"/>
      <c r="CK1077" s="10"/>
      <c r="CL1077" s="10"/>
      <c r="CM1077" s="10"/>
      <c r="CN1077" s="10"/>
      <c r="CO1077" s="10"/>
    </row>
    <row r="1078" spans="1:93">
      <c r="A1078" s="10"/>
      <c r="B1078" s="10"/>
      <c r="C1078" s="17"/>
      <c r="D1078" s="10"/>
      <c r="E1078" s="10"/>
      <c r="F1078" s="10"/>
      <c r="G1078" s="11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0"/>
      <c r="AH1078" s="10"/>
      <c r="AI1078" s="10"/>
      <c r="AJ1078" s="10"/>
      <c r="AK1078" s="10"/>
      <c r="AL1078" s="10"/>
      <c r="AM1078" s="10"/>
      <c r="AN1078" s="10"/>
      <c r="AO1078" s="10"/>
      <c r="AP1078" s="10"/>
      <c r="AQ1078" s="10"/>
      <c r="AR1078" s="10"/>
      <c r="AS1078" s="10"/>
      <c r="AT1078" s="10"/>
      <c r="AU1078" s="10"/>
      <c r="AV1078" s="10"/>
      <c r="AW1078" s="10"/>
      <c r="AX1078" s="10"/>
      <c r="AY1078" s="10"/>
      <c r="AZ1078" s="10"/>
      <c r="BA1078" s="10"/>
      <c r="BB1078" s="10"/>
      <c r="BC1078" s="10"/>
      <c r="BD1078" s="10"/>
      <c r="BE1078" s="10"/>
      <c r="BF1078" s="10"/>
      <c r="BG1078" s="10"/>
      <c r="BH1078" s="10"/>
      <c r="BI1078" s="10"/>
      <c r="BJ1078" s="10"/>
      <c r="BK1078" s="10"/>
      <c r="BL1078" s="10"/>
      <c r="BM1078" s="10"/>
      <c r="BN1078" s="10"/>
      <c r="BO1078" s="10"/>
      <c r="BP1078" s="10"/>
      <c r="BQ1078" s="10"/>
      <c r="BR1078" s="10"/>
      <c r="BS1078" s="10"/>
      <c r="BT1078" s="10"/>
      <c r="BU1078" s="10"/>
      <c r="BV1078" s="10"/>
      <c r="BW1078" s="10"/>
      <c r="BX1078" s="10"/>
      <c r="BY1078" s="10"/>
      <c r="BZ1078" s="10"/>
      <c r="CA1078" s="10"/>
      <c r="CB1078" s="10"/>
      <c r="CC1078" s="10"/>
      <c r="CD1078" s="10"/>
      <c r="CE1078" s="10"/>
      <c r="CF1078" s="10"/>
      <c r="CG1078" s="10"/>
      <c r="CH1078" s="10"/>
      <c r="CI1078" s="10"/>
      <c r="CJ1078" s="10"/>
      <c r="CK1078" s="10"/>
      <c r="CL1078" s="10"/>
      <c r="CM1078" s="10"/>
      <c r="CN1078" s="10"/>
      <c r="CO1078" s="10"/>
    </row>
    <row r="1079" spans="1:93">
      <c r="A1079" s="10"/>
      <c r="B1079" s="10"/>
      <c r="C1079" s="17" t="s">
        <v>534</v>
      </c>
      <c r="D1079" s="10"/>
      <c r="E1079" s="10"/>
      <c r="F1079" s="10"/>
      <c r="G1079" s="11" t="str">
        <f>MIN(L1079:CO1079) &amp; ".." &amp; MAX(L1079:CO1079)</f>
        <v>0..1</v>
      </c>
      <c r="H1079" s="10"/>
      <c r="I1079" s="10"/>
      <c r="J1079" s="10"/>
      <c r="K1079" s="10"/>
      <c r="L1079" s="79">
        <f>(Предпосылки!$E$552&lt;=End_of_period)*(Предпосылки!$E$556&gt;End_of_period)</f>
        <v>1</v>
      </c>
      <c r="M1079" s="79">
        <f>(Предпосылки!$E$552&lt;=End_of_period)*(Предпосылки!$E$556&gt;End_of_period)</f>
        <v>1</v>
      </c>
      <c r="N1079" s="79">
        <f>(Предпосылки!$E$552&lt;=End_of_period)*(Предпосылки!$E$556&gt;End_of_period)</f>
        <v>1</v>
      </c>
      <c r="O1079" s="79">
        <f>(Предпосылки!$E$552&lt;=End_of_period)*(Предпосылки!$E$556&gt;End_of_period)</f>
        <v>1</v>
      </c>
      <c r="P1079" s="79">
        <f>(Предпосылки!$E$552&lt;=End_of_period)*(Предпосылки!$E$556&gt;End_of_period)</f>
        <v>1</v>
      </c>
      <c r="Q1079" s="79">
        <f>(Предпосылки!$E$552&lt;=End_of_period)*(Предпосылки!$E$556&gt;End_of_period)</f>
        <v>1</v>
      </c>
      <c r="R1079" s="79">
        <f>(Предпосылки!$E$552&lt;=End_of_period)*(Предпосылки!$E$556&gt;End_of_period)</f>
        <v>1</v>
      </c>
      <c r="S1079" s="79">
        <f>(Предпосылки!$E$552&lt;=End_of_period)*(Предпосылки!$E$556&gt;End_of_period)</f>
        <v>1</v>
      </c>
      <c r="T1079" s="79">
        <f>(Предпосылки!$E$552&lt;=End_of_period)*(Предпосылки!$E$556&gt;End_of_period)</f>
        <v>1</v>
      </c>
      <c r="U1079" s="79">
        <f>(Предпосылки!$E$552&lt;=End_of_period)*(Предпосылки!$E$556&gt;End_of_period)</f>
        <v>1</v>
      </c>
      <c r="V1079" s="79">
        <f>(Предпосылки!$E$552&lt;=End_of_period)*(Предпосылки!$E$556&gt;End_of_period)</f>
        <v>1</v>
      </c>
      <c r="W1079" s="79">
        <f>(Предпосылки!$E$552&lt;=End_of_period)*(Предпосылки!$E$556&gt;End_of_period)</f>
        <v>1</v>
      </c>
      <c r="X1079" s="79">
        <f>(Предпосылки!$E$552&lt;=End_of_period)*(Предпосылки!$E$556&gt;End_of_period)</f>
        <v>1</v>
      </c>
      <c r="Y1079" s="79">
        <f>(Предпосылки!$E$552&lt;=End_of_period)*(Предпосылки!$E$556&gt;End_of_period)</f>
        <v>1</v>
      </c>
      <c r="Z1079" s="79">
        <f>(Предпосылки!$E$552&lt;=End_of_period)*(Предпосылки!$E$556&gt;End_of_period)</f>
        <v>1</v>
      </c>
      <c r="AA1079" s="79">
        <f>(Предпосылки!$E$552&lt;=End_of_period)*(Предпосылки!$E$556&gt;End_of_period)</f>
        <v>1</v>
      </c>
      <c r="AB1079" s="79">
        <f>(Предпосылки!$E$552&lt;=End_of_period)*(Предпосылки!$E$556&gt;End_of_period)</f>
        <v>1</v>
      </c>
      <c r="AC1079" s="79">
        <f>(Предпосылки!$E$552&lt;=End_of_period)*(Предпосылки!$E$556&gt;End_of_period)</f>
        <v>0</v>
      </c>
      <c r="AD1079" s="79">
        <f>(Предпосылки!$E$552&lt;=End_of_period)*(Предпосылки!$E$556&gt;End_of_period)</f>
        <v>0</v>
      </c>
      <c r="AE1079" s="79">
        <f>(Предпосылки!$E$552&lt;=End_of_period)*(Предпосылки!$E$556&gt;End_of_period)</f>
        <v>0</v>
      </c>
      <c r="AF1079" s="79">
        <f>(Предпосылки!$E$552&lt;=End_of_period)*(Предпосылки!$E$556&gt;End_of_period)</f>
        <v>0</v>
      </c>
      <c r="AG1079" s="79">
        <f>(Предпосылки!$E$552&lt;=End_of_period)*(Предпосылки!$E$556&gt;End_of_period)</f>
        <v>0</v>
      </c>
      <c r="AH1079" s="79">
        <f>(Предпосылки!$E$552&lt;=End_of_period)*(Предпосылки!$E$556&gt;End_of_period)</f>
        <v>0</v>
      </c>
      <c r="AI1079" s="79">
        <f>(Предпосылки!$E$552&lt;=End_of_period)*(Предпосылки!$E$556&gt;End_of_period)</f>
        <v>0</v>
      </c>
      <c r="AJ1079" s="79">
        <f>(Предпосылки!$E$552&lt;=End_of_period)*(Предпосылки!$E$556&gt;End_of_period)</f>
        <v>0</v>
      </c>
      <c r="AK1079" s="79">
        <f>(Предпосылки!$E$552&lt;=End_of_period)*(Предпосылки!$E$556&gt;End_of_period)</f>
        <v>0</v>
      </c>
      <c r="AL1079" s="79">
        <f>(Предпосылки!$E$552&lt;=End_of_period)*(Предпосылки!$E$556&gt;End_of_period)</f>
        <v>0</v>
      </c>
      <c r="AM1079" s="79">
        <f>(Предпосылки!$E$552&lt;=End_of_period)*(Предпосылки!$E$556&gt;End_of_period)</f>
        <v>0</v>
      </c>
      <c r="AN1079" s="79">
        <f>(Предпосылки!$E$552&lt;=End_of_period)*(Предпосылки!$E$556&gt;End_of_period)</f>
        <v>0</v>
      </c>
      <c r="AO1079" s="79">
        <f>(Предпосылки!$E$552&lt;=End_of_period)*(Предпосылки!$E$556&gt;End_of_period)</f>
        <v>0</v>
      </c>
      <c r="AP1079" s="79">
        <f>(Предпосылки!$E$552&lt;=End_of_period)*(Предпосылки!$E$556&gt;End_of_period)</f>
        <v>0</v>
      </c>
      <c r="AQ1079" s="79">
        <f>(Предпосылки!$E$552&lt;=End_of_period)*(Предпосылки!$E$556&gt;End_of_period)</f>
        <v>0</v>
      </c>
      <c r="AR1079" s="79">
        <f>(Предпосылки!$E$552&lt;=End_of_period)*(Предпосылки!$E$556&gt;End_of_period)</f>
        <v>0</v>
      </c>
      <c r="AS1079" s="79">
        <f>(Предпосылки!$E$552&lt;=End_of_period)*(Предпосылки!$E$556&gt;End_of_period)</f>
        <v>0</v>
      </c>
      <c r="AT1079" s="79">
        <f>(Предпосылки!$E$552&lt;=End_of_period)*(Предпосылки!$E$556&gt;End_of_period)</f>
        <v>0</v>
      </c>
      <c r="AU1079" s="79">
        <f>(Предпосылки!$E$552&lt;=End_of_period)*(Предпосылки!$E$556&gt;End_of_period)</f>
        <v>0</v>
      </c>
      <c r="AV1079" s="79">
        <f>(Предпосылки!$E$552&lt;=End_of_period)*(Предпосылки!$E$556&gt;End_of_period)</f>
        <v>0</v>
      </c>
      <c r="AW1079" s="79">
        <f>(Предпосылки!$E$552&lt;=End_of_period)*(Предпосылки!$E$556&gt;End_of_period)</f>
        <v>0</v>
      </c>
      <c r="AX1079" s="79">
        <f>(Предпосылки!$E$552&lt;=End_of_period)*(Предпосылки!$E$556&gt;End_of_period)</f>
        <v>0</v>
      </c>
      <c r="AY1079" s="79">
        <f>(Предпосылки!$E$552&lt;=End_of_period)*(Предпосылки!$E$556&gt;End_of_period)</f>
        <v>0</v>
      </c>
      <c r="AZ1079" s="79">
        <f>(Предпосылки!$E$552&lt;=End_of_period)*(Предпосылки!$E$556&gt;End_of_period)</f>
        <v>0</v>
      </c>
      <c r="BA1079" s="79">
        <f>(Предпосылки!$E$552&lt;=End_of_period)*(Предпосылки!$E$556&gt;End_of_period)</f>
        <v>0</v>
      </c>
      <c r="BB1079" s="79">
        <f>(Предпосылки!$E$552&lt;=End_of_period)*(Предпосылки!$E$556&gt;End_of_period)</f>
        <v>0</v>
      </c>
      <c r="BC1079" s="79">
        <f>(Предпосылки!$E$552&lt;=End_of_period)*(Предпосылки!$E$556&gt;End_of_period)</f>
        <v>0</v>
      </c>
      <c r="BD1079" s="79">
        <f>(Предпосылки!$E$552&lt;=End_of_period)*(Предпосылки!$E$556&gt;End_of_period)</f>
        <v>0</v>
      </c>
      <c r="BE1079" s="79">
        <f>(Предпосылки!$E$552&lt;=End_of_period)*(Предпосылки!$E$556&gt;End_of_period)</f>
        <v>0</v>
      </c>
      <c r="BF1079" s="79">
        <f>(Предпосылки!$E$552&lt;=End_of_period)*(Предпосылки!$E$556&gt;End_of_period)</f>
        <v>0</v>
      </c>
      <c r="BG1079" s="79">
        <f>(Предпосылки!$E$552&lt;=End_of_period)*(Предпосылки!$E$556&gt;End_of_period)</f>
        <v>0</v>
      </c>
      <c r="BH1079" s="79">
        <f>(Предпосылки!$E$552&lt;=End_of_period)*(Предпосылки!$E$556&gt;End_of_period)</f>
        <v>0</v>
      </c>
      <c r="BI1079" s="79">
        <f>(Предпосылки!$E$552&lt;=End_of_period)*(Предпосылки!$E$556&gt;End_of_period)</f>
        <v>0</v>
      </c>
      <c r="BJ1079" s="79">
        <f>(Предпосылки!$E$552&lt;=End_of_period)*(Предпосылки!$E$556&gt;End_of_period)</f>
        <v>0</v>
      </c>
      <c r="BK1079" s="79">
        <f>(Предпосылки!$E$552&lt;=End_of_period)*(Предпосылки!$E$556&gt;End_of_period)</f>
        <v>0</v>
      </c>
      <c r="BL1079" s="79">
        <f>(Предпосылки!$E$552&lt;=End_of_period)*(Предпосылки!$E$556&gt;End_of_period)</f>
        <v>0</v>
      </c>
      <c r="BM1079" s="79">
        <f>(Предпосылки!$E$552&lt;=End_of_period)*(Предпосылки!$E$556&gt;End_of_period)</f>
        <v>0</v>
      </c>
      <c r="BN1079" s="79">
        <f>(Предпосылки!$E$552&lt;=End_of_period)*(Предпосылки!$E$556&gt;End_of_period)</f>
        <v>0</v>
      </c>
      <c r="BO1079" s="79">
        <f>(Предпосылки!$E$552&lt;=End_of_period)*(Предпосылки!$E$556&gt;End_of_period)</f>
        <v>0</v>
      </c>
      <c r="BP1079" s="79">
        <f>(Предпосылки!$E$552&lt;=End_of_period)*(Предпосылки!$E$556&gt;End_of_period)</f>
        <v>0</v>
      </c>
      <c r="BQ1079" s="79">
        <f>(Предпосылки!$E$552&lt;=End_of_period)*(Предпосылки!$E$556&gt;End_of_period)</f>
        <v>0</v>
      </c>
      <c r="BR1079" s="79">
        <f>(Предпосылки!$E$552&lt;=End_of_period)*(Предпосылки!$E$556&gt;End_of_period)</f>
        <v>0</v>
      </c>
      <c r="BS1079" s="79">
        <f>(Предпосылки!$E$552&lt;=End_of_period)*(Предпосылки!$E$556&gt;End_of_period)</f>
        <v>0</v>
      </c>
      <c r="BT1079" s="79">
        <f>(Предпосылки!$E$552&lt;=End_of_period)*(Предпосылки!$E$556&gt;End_of_period)</f>
        <v>0</v>
      </c>
      <c r="BU1079" s="79">
        <f>(Предпосылки!$E$552&lt;=End_of_period)*(Предпосылки!$E$556&gt;End_of_period)</f>
        <v>0</v>
      </c>
      <c r="BV1079" s="79">
        <f>(Предпосылки!$E$552&lt;=End_of_period)*(Предпосылки!$E$556&gt;End_of_period)</f>
        <v>0</v>
      </c>
      <c r="BW1079" s="79">
        <f>(Предпосылки!$E$552&lt;=End_of_period)*(Предпосылки!$E$556&gt;End_of_period)</f>
        <v>0</v>
      </c>
      <c r="BX1079" s="79">
        <f>(Предпосылки!$E$552&lt;=End_of_period)*(Предпосылки!$E$556&gt;End_of_period)</f>
        <v>0</v>
      </c>
      <c r="BY1079" s="79">
        <f>(Предпосылки!$E$552&lt;=End_of_period)*(Предпосылки!$E$556&gt;End_of_period)</f>
        <v>0</v>
      </c>
      <c r="BZ1079" s="79">
        <f>(Предпосылки!$E$552&lt;=End_of_period)*(Предпосылки!$E$556&gt;End_of_period)</f>
        <v>0</v>
      </c>
      <c r="CA1079" s="79">
        <f>(Предпосылки!$E$552&lt;=End_of_period)*(Предпосылки!$E$556&gt;End_of_period)</f>
        <v>0</v>
      </c>
      <c r="CB1079" s="79">
        <f>(Предпосылки!$E$552&lt;=End_of_period)*(Предпосылки!$E$556&gt;End_of_period)</f>
        <v>0</v>
      </c>
      <c r="CC1079" s="79">
        <f>(Предпосылки!$E$552&lt;=End_of_period)*(Предпосылки!$E$556&gt;End_of_period)</f>
        <v>0</v>
      </c>
      <c r="CD1079" s="79">
        <f>(Предпосылки!$E$552&lt;=End_of_period)*(Предпосылки!$E$556&gt;End_of_period)</f>
        <v>0</v>
      </c>
      <c r="CE1079" s="79">
        <f>(Предпосылки!$E$552&lt;=End_of_period)*(Предпосылки!$E$556&gt;End_of_period)</f>
        <v>0</v>
      </c>
      <c r="CF1079" s="79">
        <f>(Предпосылки!$E$552&lt;=End_of_period)*(Предпосылки!$E$556&gt;End_of_period)</f>
        <v>0</v>
      </c>
      <c r="CG1079" s="79">
        <f>(Предпосылки!$E$552&lt;=End_of_period)*(Предпосылки!$E$556&gt;End_of_period)</f>
        <v>0</v>
      </c>
      <c r="CH1079" s="79">
        <f>(Предпосылки!$E$552&lt;=End_of_period)*(Предпосылки!$E$556&gt;End_of_period)</f>
        <v>0</v>
      </c>
      <c r="CI1079" s="79">
        <f>(Предпосылки!$E$552&lt;=End_of_period)*(Предпосылки!$E$556&gt;End_of_period)</f>
        <v>0</v>
      </c>
      <c r="CJ1079" s="79">
        <f>(Предпосылки!$E$552&lt;=End_of_period)*(Предпосылки!$E$556&gt;End_of_period)</f>
        <v>0</v>
      </c>
      <c r="CK1079" s="79">
        <f>(Предпосылки!$E$552&lt;=End_of_period)*(Предпосылки!$E$556&gt;End_of_period)</f>
        <v>0</v>
      </c>
      <c r="CL1079" s="79">
        <f>(Предпосылки!$E$552&lt;=End_of_period)*(Предпосылки!$E$556&gt;End_of_period)</f>
        <v>0</v>
      </c>
      <c r="CM1079" s="79">
        <f>(Предпосылки!$E$552&lt;=End_of_period)*(Предпосылки!$E$556&gt;End_of_period)</f>
        <v>0</v>
      </c>
      <c r="CN1079" s="79">
        <f>(Предпосылки!$E$552&lt;=End_of_period)*(Предпосылки!$E$556&gt;End_of_period)</f>
        <v>0</v>
      </c>
      <c r="CO1079" s="79">
        <f>(Предпосылки!$E$552&lt;=End_of_period)*(Предпосылки!$E$556&gt;End_of_period)</f>
        <v>0</v>
      </c>
    </row>
    <row r="1080" spans="1:93">
      <c r="A1080" s="10"/>
      <c r="B1080" s="10"/>
      <c r="C1080" s="17" t="s">
        <v>535</v>
      </c>
      <c r="D1080" s="10"/>
      <c r="E1080" s="10"/>
      <c r="F1080" s="10"/>
      <c r="G1080" s="11" t="str">
        <f>MIN(L1080:CO1080) &amp; ".." &amp; MAX(L1080:CO1080)</f>
        <v>0..1</v>
      </c>
      <c r="H1080" s="10"/>
      <c r="I1080" s="10"/>
      <c r="J1080" s="10"/>
      <c r="K1080" s="10"/>
      <c r="L1080" s="79">
        <f>L1079</f>
        <v>1</v>
      </c>
      <c r="M1080" s="79">
        <f t="shared" ref="M1080:BX1080" si="1308">M1079</f>
        <v>1</v>
      </c>
      <c r="N1080" s="79">
        <f t="shared" si="1308"/>
        <v>1</v>
      </c>
      <c r="O1080" s="79">
        <f t="shared" si="1308"/>
        <v>1</v>
      </c>
      <c r="P1080" s="79">
        <f t="shared" si="1308"/>
        <v>1</v>
      </c>
      <c r="Q1080" s="79">
        <f t="shared" si="1308"/>
        <v>1</v>
      </c>
      <c r="R1080" s="79">
        <f t="shared" si="1308"/>
        <v>1</v>
      </c>
      <c r="S1080" s="79">
        <f t="shared" si="1308"/>
        <v>1</v>
      </c>
      <c r="T1080" s="79">
        <f t="shared" si="1308"/>
        <v>1</v>
      </c>
      <c r="U1080" s="79">
        <f t="shared" si="1308"/>
        <v>1</v>
      </c>
      <c r="V1080" s="79">
        <f t="shared" si="1308"/>
        <v>1</v>
      </c>
      <c r="W1080" s="79">
        <f t="shared" si="1308"/>
        <v>1</v>
      </c>
      <c r="X1080" s="79">
        <f t="shared" si="1308"/>
        <v>1</v>
      </c>
      <c r="Y1080" s="79">
        <f t="shared" si="1308"/>
        <v>1</v>
      </c>
      <c r="Z1080" s="79">
        <f t="shared" si="1308"/>
        <v>1</v>
      </c>
      <c r="AA1080" s="79">
        <f t="shared" si="1308"/>
        <v>1</v>
      </c>
      <c r="AB1080" s="79">
        <f t="shared" si="1308"/>
        <v>1</v>
      </c>
      <c r="AC1080" s="79">
        <f t="shared" si="1308"/>
        <v>0</v>
      </c>
      <c r="AD1080" s="79">
        <f t="shared" si="1308"/>
        <v>0</v>
      </c>
      <c r="AE1080" s="79">
        <f t="shared" si="1308"/>
        <v>0</v>
      </c>
      <c r="AF1080" s="79">
        <f t="shared" si="1308"/>
        <v>0</v>
      </c>
      <c r="AG1080" s="79">
        <f t="shared" si="1308"/>
        <v>0</v>
      </c>
      <c r="AH1080" s="79">
        <f t="shared" si="1308"/>
        <v>0</v>
      </c>
      <c r="AI1080" s="79">
        <f t="shared" si="1308"/>
        <v>0</v>
      </c>
      <c r="AJ1080" s="79">
        <f t="shared" si="1308"/>
        <v>0</v>
      </c>
      <c r="AK1080" s="79">
        <f t="shared" si="1308"/>
        <v>0</v>
      </c>
      <c r="AL1080" s="79">
        <f t="shared" si="1308"/>
        <v>0</v>
      </c>
      <c r="AM1080" s="79">
        <f t="shared" si="1308"/>
        <v>0</v>
      </c>
      <c r="AN1080" s="79">
        <f t="shared" si="1308"/>
        <v>0</v>
      </c>
      <c r="AO1080" s="79">
        <f t="shared" si="1308"/>
        <v>0</v>
      </c>
      <c r="AP1080" s="79">
        <f t="shared" si="1308"/>
        <v>0</v>
      </c>
      <c r="AQ1080" s="79">
        <f t="shared" si="1308"/>
        <v>0</v>
      </c>
      <c r="AR1080" s="79">
        <f t="shared" si="1308"/>
        <v>0</v>
      </c>
      <c r="AS1080" s="79">
        <f t="shared" si="1308"/>
        <v>0</v>
      </c>
      <c r="AT1080" s="79">
        <f t="shared" si="1308"/>
        <v>0</v>
      </c>
      <c r="AU1080" s="79">
        <f t="shared" si="1308"/>
        <v>0</v>
      </c>
      <c r="AV1080" s="79">
        <f t="shared" si="1308"/>
        <v>0</v>
      </c>
      <c r="AW1080" s="79">
        <f t="shared" si="1308"/>
        <v>0</v>
      </c>
      <c r="AX1080" s="79">
        <f t="shared" si="1308"/>
        <v>0</v>
      </c>
      <c r="AY1080" s="79">
        <f t="shared" si="1308"/>
        <v>0</v>
      </c>
      <c r="AZ1080" s="79">
        <f t="shared" si="1308"/>
        <v>0</v>
      </c>
      <c r="BA1080" s="79">
        <f t="shared" si="1308"/>
        <v>0</v>
      </c>
      <c r="BB1080" s="79">
        <f t="shared" si="1308"/>
        <v>0</v>
      </c>
      <c r="BC1080" s="79">
        <f t="shared" si="1308"/>
        <v>0</v>
      </c>
      <c r="BD1080" s="79">
        <f t="shared" si="1308"/>
        <v>0</v>
      </c>
      <c r="BE1080" s="79">
        <f t="shared" si="1308"/>
        <v>0</v>
      </c>
      <c r="BF1080" s="79">
        <f t="shared" si="1308"/>
        <v>0</v>
      </c>
      <c r="BG1080" s="79">
        <f t="shared" si="1308"/>
        <v>0</v>
      </c>
      <c r="BH1080" s="79">
        <f t="shared" si="1308"/>
        <v>0</v>
      </c>
      <c r="BI1080" s="79">
        <f t="shared" si="1308"/>
        <v>0</v>
      </c>
      <c r="BJ1080" s="79">
        <f t="shared" si="1308"/>
        <v>0</v>
      </c>
      <c r="BK1080" s="79">
        <f t="shared" si="1308"/>
        <v>0</v>
      </c>
      <c r="BL1080" s="79">
        <f t="shared" si="1308"/>
        <v>0</v>
      </c>
      <c r="BM1080" s="79">
        <f t="shared" si="1308"/>
        <v>0</v>
      </c>
      <c r="BN1080" s="79">
        <f t="shared" si="1308"/>
        <v>0</v>
      </c>
      <c r="BO1080" s="79">
        <f t="shared" si="1308"/>
        <v>0</v>
      </c>
      <c r="BP1080" s="79">
        <f t="shared" si="1308"/>
        <v>0</v>
      </c>
      <c r="BQ1080" s="79">
        <f t="shared" si="1308"/>
        <v>0</v>
      </c>
      <c r="BR1080" s="79">
        <f t="shared" si="1308"/>
        <v>0</v>
      </c>
      <c r="BS1080" s="79">
        <f t="shared" si="1308"/>
        <v>0</v>
      </c>
      <c r="BT1080" s="79">
        <f t="shared" si="1308"/>
        <v>0</v>
      </c>
      <c r="BU1080" s="79">
        <f t="shared" si="1308"/>
        <v>0</v>
      </c>
      <c r="BV1080" s="79">
        <f t="shared" si="1308"/>
        <v>0</v>
      </c>
      <c r="BW1080" s="79">
        <f t="shared" si="1308"/>
        <v>0</v>
      </c>
      <c r="BX1080" s="79">
        <f t="shared" si="1308"/>
        <v>0</v>
      </c>
      <c r="BY1080" s="79">
        <f t="shared" ref="BY1080:CO1080" si="1309">BY1079</f>
        <v>0</v>
      </c>
      <c r="BZ1080" s="79">
        <f t="shared" si="1309"/>
        <v>0</v>
      </c>
      <c r="CA1080" s="79">
        <f t="shared" si="1309"/>
        <v>0</v>
      </c>
      <c r="CB1080" s="79">
        <f t="shared" si="1309"/>
        <v>0</v>
      </c>
      <c r="CC1080" s="79">
        <f t="shared" si="1309"/>
        <v>0</v>
      </c>
      <c r="CD1080" s="79">
        <f t="shared" si="1309"/>
        <v>0</v>
      </c>
      <c r="CE1080" s="79">
        <f t="shared" si="1309"/>
        <v>0</v>
      </c>
      <c r="CF1080" s="79">
        <f t="shared" si="1309"/>
        <v>0</v>
      </c>
      <c r="CG1080" s="79">
        <f t="shared" si="1309"/>
        <v>0</v>
      </c>
      <c r="CH1080" s="79">
        <f t="shared" si="1309"/>
        <v>0</v>
      </c>
      <c r="CI1080" s="79">
        <f t="shared" si="1309"/>
        <v>0</v>
      </c>
      <c r="CJ1080" s="79">
        <f t="shared" si="1309"/>
        <v>0</v>
      </c>
      <c r="CK1080" s="79">
        <f t="shared" si="1309"/>
        <v>0</v>
      </c>
      <c r="CL1080" s="79">
        <f t="shared" si="1309"/>
        <v>0</v>
      </c>
      <c r="CM1080" s="79">
        <f t="shared" si="1309"/>
        <v>0</v>
      </c>
      <c r="CN1080" s="79">
        <f t="shared" si="1309"/>
        <v>0</v>
      </c>
      <c r="CO1080" s="79">
        <f t="shared" si="1309"/>
        <v>0</v>
      </c>
    </row>
    <row r="1081" spans="1:93">
      <c r="A1081" s="10"/>
      <c r="B1081" s="10"/>
      <c r="C1081" s="17" t="s">
        <v>409</v>
      </c>
      <c r="D1081" s="10"/>
      <c r="E1081" s="10"/>
      <c r="F1081" s="10"/>
      <c r="G1081" s="11" t="str">
        <f>MIN(L1081:CO1081) &amp; ".." &amp; MAX(L1081:CO1081)</f>
        <v>0..1</v>
      </c>
      <c r="H1081" s="10"/>
      <c r="I1081" s="10"/>
      <c r="J1081" s="10"/>
      <c r="K1081" s="10"/>
      <c r="L1081" s="79">
        <f>(Предпосылки!$E$556&lt;=End_of_period)*(Предпосылки!$E$558&gt;=End_of_period)</f>
        <v>0</v>
      </c>
      <c r="M1081" s="79">
        <f>(Предпосылки!$E$556&lt;=End_of_period)*(Предпосылки!$E$558&gt;=End_of_period)</f>
        <v>0</v>
      </c>
      <c r="N1081" s="79">
        <f>(Предпосылки!$E$556&lt;=End_of_period)*(Предпосылки!$E$558&gt;=End_of_period)</f>
        <v>0</v>
      </c>
      <c r="O1081" s="79">
        <f>(Предпосылки!$E$556&lt;=End_of_period)*(Предпосылки!$E$558&gt;=End_of_period)</f>
        <v>0</v>
      </c>
      <c r="P1081" s="79">
        <f>(Предпосылки!$E$556&lt;=End_of_period)*(Предпосылки!$E$558&gt;=End_of_period)</f>
        <v>0</v>
      </c>
      <c r="Q1081" s="79">
        <f>(Предпосылки!$E$556&lt;=End_of_period)*(Предпосылки!$E$558&gt;=End_of_period)</f>
        <v>0</v>
      </c>
      <c r="R1081" s="79">
        <f>(Предпосылки!$E$556&lt;=End_of_period)*(Предпосылки!$E$558&gt;=End_of_period)</f>
        <v>0</v>
      </c>
      <c r="S1081" s="79">
        <f>(Предпосылки!$E$556&lt;=End_of_period)*(Предпосылки!$E$558&gt;=End_of_period)</f>
        <v>0</v>
      </c>
      <c r="T1081" s="79">
        <f>(Предпосылки!$E$556&lt;=End_of_period)*(Предпосылки!$E$558&gt;=End_of_period)</f>
        <v>0</v>
      </c>
      <c r="U1081" s="79">
        <f>(Предпосылки!$E$556&lt;=End_of_period)*(Предпосылки!$E$558&gt;=End_of_period)</f>
        <v>0</v>
      </c>
      <c r="V1081" s="79">
        <f>(Предпосылки!$E$556&lt;=End_of_period)*(Предпосылки!$E$558&gt;=End_of_period)</f>
        <v>0</v>
      </c>
      <c r="W1081" s="79">
        <f>(Предпосылки!$E$556&lt;=End_of_period)*(Предпосылки!$E$558&gt;=End_of_period)</f>
        <v>0</v>
      </c>
      <c r="X1081" s="79">
        <f>(Предпосылки!$E$556&lt;=End_of_period)*(Предпосылки!$E$558&gt;=End_of_period)</f>
        <v>0</v>
      </c>
      <c r="Y1081" s="79">
        <f>(Предпосылки!$E$556&lt;=End_of_period)*(Предпосылки!$E$558&gt;=End_of_period)</f>
        <v>0</v>
      </c>
      <c r="Z1081" s="79">
        <f>(Предпосылки!$E$556&lt;=End_of_period)*(Предпосылки!$E$558&gt;=End_of_period)</f>
        <v>0</v>
      </c>
      <c r="AA1081" s="79">
        <f>(Предпосылки!$E$556&lt;=End_of_period)*(Предпосылки!$E$558&gt;=End_of_period)</f>
        <v>0</v>
      </c>
      <c r="AB1081" s="79">
        <f>(Предпосылки!$E$556&lt;=End_of_period)*(Предпосылки!$E$558&gt;=End_of_period)</f>
        <v>0</v>
      </c>
      <c r="AC1081" s="79">
        <f>(Предпосылки!$E$556&lt;=End_of_period)*(Предпосылки!$E$558&gt;=End_of_period)</f>
        <v>1</v>
      </c>
      <c r="AD1081" s="79">
        <f>(Предпосылки!$E$556&lt;=End_of_period)*(Предпосылки!$E$558&gt;=End_of_period)</f>
        <v>1</v>
      </c>
      <c r="AE1081" s="79">
        <f>(Предпосылки!$E$556&lt;=End_of_period)*(Предпосылки!$E$558&gt;=End_of_period)</f>
        <v>1</v>
      </c>
      <c r="AF1081" s="79">
        <f>(Предпосылки!$E$556&lt;=End_of_period)*(Предпосылки!$E$558&gt;=End_of_period)</f>
        <v>1</v>
      </c>
      <c r="AG1081" s="79">
        <f>(Предпосылки!$E$556&lt;=End_of_period)*(Предпосылки!$E$558&gt;=End_of_period)</f>
        <v>1</v>
      </c>
      <c r="AH1081" s="79">
        <f>(Предпосылки!$E$556&lt;=End_of_period)*(Предпосылки!$E$558&gt;=End_of_period)</f>
        <v>1</v>
      </c>
      <c r="AI1081" s="79">
        <f>(Предпосылки!$E$556&lt;=End_of_period)*(Предпосылки!$E$558&gt;=End_of_period)</f>
        <v>1</v>
      </c>
      <c r="AJ1081" s="79">
        <f>(Предпосылки!$E$556&lt;=End_of_period)*(Предпосылки!$E$558&gt;=End_of_period)</f>
        <v>1</v>
      </c>
      <c r="AK1081" s="79">
        <f>(Предпосылки!$E$556&lt;=End_of_period)*(Предпосылки!$E$558&gt;=End_of_period)</f>
        <v>1</v>
      </c>
      <c r="AL1081" s="79">
        <f>(Предпосылки!$E$556&lt;=End_of_period)*(Предпосылки!$E$558&gt;=End_of_period)</f>
        <v>1</v>
      </c>
      <c r="AM1081" s="79">
        <f>(Предпосылки!$E$556&lt;=End_of_period)*(Предпосылки!$E$558&gt;=End_of_period)</f>
        <v>1</v>
      </c>
      <c r="AN1081" s="79">
        <f>(Предпосылки!$E$556&lt;=End_of_period)*(Предпосылки!$E$558&gt;=End_of_period)</f>
        <v>1</v>
      </c>
      <c r="AO1081" s="79">
        <f>(Предпосылки!$E$556&lt;=End_of_period)*(Предпосылки!$E$558&gt;=End_of_period)</f>
        <v>1</v>
      </c>
      <c r="AP1081" s="79">
        <f>(Предпосылки!$E$556&lt;=End_of_period)*(Предпосылки!$E$558&gt;=End_of_period)</f>
        <v>1</v>
      </c>
      <c r="AQ1081" s="79">
        <f>(Предпосылки!$E$556&lt;=End_of_period)*(Предпосылки!$E$558&gt;=End_of_period)</f>
        <v>1</v>
      </c>
      <c r="AR1081" s="79">
        <f>(Предпосылки!$E$556&lt;=End_of_period)*(Предпосылки!$E$558&gt;=End_of_period)</f>
        <v>1</v>
      </c>
      <c r="AS1081" s="79">
        <f>(Предпосылки!$E$556&lt;=End_of_period)*(Предпосылки!$E$558&gt;=End_of_period)</f>
        <v>1</v>
      </c>
      <c r="AT1081" s="79">
        <f>(Предпосылки!$E$556&lt;=End_of_period)*(Предпосылки!$E$558&gt;=End_of_period)</f>
        <v>1</v>
      </c>
      <c r="AU1081" s="79">
        <f>(Предпосылки!$E$556&lt;=End_of_period)*(Предпосылки!$E$558&gt;=End_of_period)</f>
        <v>1</v>
      </c>
      <c r="AV1081" s="79">
        <f>(Предпосылки!$E$556&lt;=End_of_period)*(Предпосылки!$E$558&gt;=End_of_period)</f>
        <v>1</v>
      </c>
      <c r="AW1081" s="79">
        <f>(Предпосылки!$E$556&lt;=End_of_period)*(Предпосылки!$E$558&gt;=End_of_period)</f>
        <v>1</v>
      </c>
      <c r="AX1081" s="79">
        <f>(Предпосылки!$E$556&lt;=End_of_period)*(Предпосылки!$E$558&gt;=End_of_period)</f>
        <v>1</v>
      </c>
      <c r="AY1081" s="79">
        <f>(Предпосылки!$E$556&lt;=End_of_period)*(Предпосылки!$E$558&gt;=End_of_period)</f>
        <v>1</v>
      </c>
      <c r="AZ1081" s="79">
        <f>(Предпосылки!$E$556&lt;=End_of_period)*(Предпосылки!$E$558&gt;=End_of_period)</f>
        <v>1</v>
      </c>
      <c r="BA1081" s="79">
        <f>(Предпосылки!$E$556&lt;=End_of_period)*(Предпосылки!$E$558&gt;=End_of_period)</f>
        <v>1</v>
      </c>
      <c r="BB1081" s="79">
        <f>(Предпосылки!$E$556&lt;=End_of_period)*(Предпосылки!$E$558&gt;=End_of_period)</f>
        <v>1</v>
      </c>
      <c r="BC1081" s="79">
        <f>(Предпосылки!$E$556&lt;=End_of_period)*(Предпосылки!$E$558&gt;=End_of_period)</f>
        <v>1</v>
      </c>
      <c r="BD1081" s="79">
        <f>(Предпосылки!$E$556&lt;=End_of_period)*(Предпосылки!$E$558&gt;=End_of_period)</f>
        <v>1</v>
      </c>
      <c r="BE1081" s="79">
        <f>(Предпосылки!$E$556&lt;=End_of_period)*(Предпосылки!$E$558&gt;=End_of_period)</f>
        <v>1</v>
      </c>
      <c r="BF1081" s="79">
        <f>(Предпосылки!$E$556&lt;=End_of_period)*(Предпосылки!$E$558&gt;=End_of_period)</f>
        <v>1</v>
      </c>
      <c r="BG1081" s="79">
        <f>(Предпосылки!$E$556&lt;=End_of_period)*(Предпосылки!$E$558&gt;=End_of_period)</f>
        <v>1</v>
      </c>
      <c r="BH1081" s="79">
        <f>(Предпосылки!$E$556&lt;=End_of_period)*(Предпосылки!$E$558&gt;=End_of_period)</f>
        <v>0</v>
      </c>
      <c r="BI1081" s="79">
        <f>(Предпосылки!$E$556&lt;=End_of_period)*(Предпосылки!$E$558&gt;=End_of_period)</f>
        <v>0</v>
      </c>
      <c r="BJ1081" s="79">
        <f>(Предпосылки!$E$556&lt;=End_of_period)*(Предпосылки!$E$558&gt;=End_of_period)</f>
        <v>0</v>
      </c>
      <c r="BK1081" s="79">
        <f>(Предпосылки!$E$556&lt;=End_of_period)*(Предпосылки!$E$558&gt;=End_of_period)</f>
        <v>0</v>
      </c>
      <c r="BL1081" s="79">
        <f>(Предпосылки!$E$556&lt;=End_of_period)*(Предпосылки!$E$558&gt;=End_of_period)</f>
        <v>0</v>
      </c>
      <c r="BM1081" s="79">
        <f>(Предпосылки!$E$556&lt;=End_of_period)*(Предпосылки!$E$558&gt;=End_of_period)</f>
        <v>0</v>
      </c>
      <c r="BN1081" s="79">
        <f>(Предпосылки!$E$556&lt;=End_of_period)*(Предпосылки!$E$558&gt;=End_of_period)</f>
        <v>0</v>
      </c>
      <c r="BO1081" s="79">
        <f>(Предпосылки!$E$556&lt;=End_of_period)*(Предпосылки!$E$558&gt;=End_of_period)</f>
        <v>0</v>
      </c>
      <c r="BP1081" s="79">
        <f>(Предпосылки!$E$556&lt;=End_of_period)*(Предпосылки!$E$558&gt;=End_of_period)</f>
        <v>0</v>
      </c>
      <c r="BQ1081" s="79">
        <f>(Предпосылки!$E$556&lt;=End_of_period)*(Предпосылки!$E$558&gt;=End_of_period)</f>
        <v>0</v>
      </c>
      <c r="BR1081" s="79">
        <f>(Предпосылки!$E$556&lt;=End_of_period)*(Предпосылки!$E$558&gt;=End_of_period)</f>
        <v>0</v>
      </c>
      <c r="BS1081" s="79">
        <f>(Предпосылки!$E$556&lt;=End_of_period)*(Предпосылки!$E$558&gt;=End_of_period)</f>
        <v>0</v>
      </c>
      <c r="BT1081" s="79">
        <f>(Предпосылки!$E$556&lt;=End_of_period)*(Предпосылки!$E$558&gt;=End_of_period)</f>
        <v>0</v>
      </c>
      <c r="BU1081" s="79">
        <f>(Предпосылки!$E$556&lt;=End_of_period)*(Предпосылки!$E$558&gt;=End_of_period)</f>
        <v>0</v>
      </c>
      <c r="BV1081" s="79">
        <f>(Предпосылки!$E$556&lt;=End_of_period)*(Предпосылки!$E$558&gt;=End_of_period)</f>
        <v>0</v>
      </c>
      <c r="BW1081" s="79">
        <f>(Предпосылки!$E$556&lt;=End_of_period)*(Предпосылки!$E$558&gt;=End_of_period)</f>
        <v>0</v>
      </c>
      <c r="BX1081" s="79">
        <f>(Предпосылки!$E$556&lt;=End_of_period)*(Предпосылки!$E$558&gt;=End_of_period)</f>
        <v>0</v>
      </c>
      <c r="BY1081" s="79">
        <f>(Предпосылки!$E$556&lt;=End_of_period)*(Предпосылки!$E$558&gt;=End_of_period)</f>
        <v>0</v>
      </c>
      <c r="BZ1081" s="79">
        <f>(Предпосылки!$E$556&lt;=End_of_period)*(Предпосылки!$E$558&gt;=End_of_period)</f>
        <v>0</v>
      </c>
      <c r="CA1081" s="79">
        <f>(Предпосылки!$E$556&lt;=End_of_period)*(Предпосылки!$E$558&gt;=End_of_period)</f>
        <v>0</v>
      </c>
      <c r="CB1081" s="79">
        <f>(Предпосылки!$E$556&lt;=End_of_period)*(Предпосылки!$E$558&gt;=End_of_period)</f>
        <v>0</v>
      </c>
      <c r="CC1081" s="79">
        <f>(Предпосылки!$E$556&lt;=End_of_period)*(Предпосылки!$E$558&gt;=End_of_period)</f>
        <v>0</v>
      </c>
      <c r="CD1081" s="79">
        <f>(Предпосылки!$E$556&lt;=End_of_period)*(Предпосылки!$E$558&gt;=End_of_period)</f>
        <v>0</v>
      </c>
      <c r="CE1081" s="79">
        <f>(Предпосылки!$E$556&lt;=End_of_period)*(Предпосылки!$E$558&gt;=End_of_period)</f>
        <v>0</v>
      </c>
      <c r="CF1081" s="79">
        <f>(Предпосылки!$E$556&lt;=End_of_period)*(Предпосылки!$E$558&gt;=End_of_period)</f>
        <v>0</v>
      </c>
      <c r="CG1081" s="79">
        <f>(Предпосылки!$E$556&lt;=End_of_period)*(Предпосылки!$E$558&gt;=End_of_period)</f>
        <v>0</v>
      </c>
      <c r="CH1081" s="79">
        <f>(Предпосылки!$E$556&lt;=End_of_period)*(Предпосылки!$E$558&gt;=End_of_period)</f>
        <v>0</v>
      </c>
      <c r="CI1081" s="79">
        <f>(Предпосылки!$E$556&lt;=End_of_period)*(Предпосылки!$E$558&gt;=End_of_period)</f>
        <v>0</v>
      </c>
      <c r="CJ1081" s="79">
        <f>(Предпосылки!$E$556&lt;=End_of_period)*(Предпосылки!$E$558&gt;=End_of_period)</f>
        <v>0</v>
      </c>
      <c r="CK1081" s="79">
        <f>(Предпосылки!$E$556&lt;=End_of_period)*(Предпосылки!$E$558&gt;=End_of_period)</f>
        <v>0</v>
      </c>
      <c r="CL1081" s="79">
        <f>(Предпосылки!$E$556&lt;=End_of_period)*(Предпосылки!$E$558&gt;=End_of_period)</f>
        <v>0</v>
      </c>
      <c r="CM1081" s="79">
        <f>(Предпосылки!$E$556&lt;=End_of_period)*(Предпосылки!$E$558&gt;=End_of_period)</f>
        <v>0</v>
      </c>
      <c r="CN1081" s="79">
        <f>(Предпосылки!$E$556&lt;=End_of_period)*(Предпосылки!$E$558&gt;=End_of_period)</f>
        <v>0</v>
      </c>
      <c r="CO1081" s="79">
        <f>(Предпосылки!$E$556&lt;=End_of_period)*(Предпосылки!$E$558&gt;=End_of_period)</f>
        <v>0</v>
      </c>
    </row>
    <row r="1082" spans="1:93">
      <c r="A1082" s="10"/>
      <c r="B1082" s="10"/>
      <c r="C1082" s="17" t="s">
        <v>533</v>
      </c>
      <c r="D1082" s="10"/>
      <c r="E1082" s="10"/>
      <c r="F1082" s="10"/>
      <c r="G1082" s="11" t="str">
        <f>MIN(L1082:CO1082) &amp; ".." &amp; MAX(L1082:CO1082)</f>
        <v>0..1</v>
      </c>
      <c r="H1082" s="10"/>
      <c r="I1082" s="10"/>
      <c r="J1082" s="10"/>
      <c r="K1082" s="10"/>
      <c r="L1082" s="79">
        <f t="shared" ref="L1082:AQ1082" si="1310">(L1081&gt;K1081)*L1081</f>
        <v>0</v>
      </c>
      <c r="M1082" s="79">
        <f t="shared" si="1310"/>
        <v>0</v>
      </c>
      <c r="N1082" s="79">
        <f t="shared" si="1310"/>
        <v>0</v>
      </c>
      <c r="O1082" s="79">
        <f t="shared" si="1310"/>
        <v>0</v>
      </c>
      <c r="P1082" s="79">
        <f t="shared" si="1310"/>
        <v>0</v>
      </c>
      <c r="Q1082" s="79">
        <f t="shared" si="1310"/>
        <v>0</v>
      </c>
      <c r="R1082" s="79">
        <f t="shared" si="1310"/>
        <v>0</v>
      </c>
      <c r="S1082" s="79">
        <f t="shared" si="1310"/>
        <v>0</v>
      </c>
      <c r="T1082" s="79">
        <f t="shared" si="1310"/>
        <v>0</v>
      </c>
      <c r="U1082" s="79">
        <f t="shared" si="1310"/>
        <v>0</v>
      </c>
      <c r="V1082" s="79">
        <f t="shared" si="1310"/>
        <v>0</v>
      </c>
      <c r="W1082" s="79">
        <f t="shared" si="1310"/>
        <v>0</v>
      </c>
      <c r="X1082" s="79">
        <f t="shared" si="1310"/>
        <v>0</v>
      </c>
      <c r="Y1082" s="79">
        <f t="shared" si="1310"/>
        <v>0</v>
      </c>
      <c r="Z1082" s="79">
        <f t="shared" si="1310"/>
        <v>0</v>
      </c>
      <c r="AA1082" s="79">
        <f t="shared" si="1310"/>
        <v>0</v>
      </c>
      <c r="AB1082" s="79">
        <f t="shared" si="1310"/>
        <v>0</v>
      </c>
      <c r="AC1082" s="79">
        <f t="shared" si="1310"/>
        <v>1</v>
      </c>
      <c r="AD1082" s="79">
        <f t="shared" si="1310"/>
        <v>0</v>
      </c>
      <c r="AE1082" s="79">
        <f t="shared" si="1310"/>
        <v>0</v>
      </c>
      <c r="AF1082" s="79">
        <f t="shared" si="1310"/>
        <v>0</v>
      </c>
      <c r="AG1082" s="79">
        <f t="shared" si="1310"/>
        <v>0</v>
      </c>
      <c r="AH1082" s="79">
        <f t="shared" si="1310"/>
        <v>0</v>
      </c>
      <c r="AI1082" s="79">
        <f t="shared" si="1310"/>
        <v>0</v>
      </c>
      <c r="AJ1082" s="79">
        <f t="shared" si="1310"/>
        <v>0</v>
      </c>
      <c r="AK1082" s="79">
        <f t="shared" si="1310"/>
        <v>0</v>
      </c>
      <c r="AL1082" s="79">
        <f t="shared" si="1310"/>
        <v>0</v>
      </c>
      <c r="AM1082" s="79">
        <f t="shared" si="1310"/>
        <v>0</v>
      </c>
      <c r="AN1082" s="79">
        <f t="shared" si="1310"/>
        <v>0</v>
      </c>
      <c r="AO1082" s="79">
        <f t="shared" si="1310"/>
        <v>0</v>
      </c>
      <c r="AP1082" s="79">
        <f t="shared" si="1310"/>
        <v>0</v>
      </c>
      <c r="AQ1082" s="79">
        <f t="shared" si="1310"/>
        <v>0</v>
      </c>
      <c r="AR1082" s="79">
        <f t="shared" ref="AR1082:BW1082" si="1311">(AR1081&gt;AQ1081)*AR1081</f>
        <v>0</v>
      </c>
      <c r="AS1082" s="79">
        <f t="shared" si="1311"/>
        <v>0</v>
      </c>
      <c r="AT1082" s="79">
        <f t="shared" si="1311"/>
        <v>0</v>
      </c>
      <c r="AU1082" s="79">
        <f t="shared" si="1311"/>
        <v>0</v>
      </c>
      <c r="AV1082" s="79">
        <f t="shared" si="1311"/>
        <v>0</v>
      </c>
      <c r="AW1082" s="79">
        <f t="shared" si="1311"/>
        <v>0</v>
      </c>
      <c r="AX1082" s="79">
        <f t="shared" si="1311"/>
        <v>0</v>
      </c>
      <c r="AY1082" s="79">
        <f t="shared" si="1311"/>
        <v>0</v>
      </c>
      <c r="AZ1082" s="79">
        <f t="shared" si="1311"/>
        <v>0</v>
      </c>
      <c r="BA1082" s="79">
        <f t="shared" si="1311"/>
        <v>0</v>
      </c>
      <c r="BB1082" s="79">
        <f t="shared" si="1311"/>
        <v>0</v>
      </c>
      <c r="BC1082" s="79">
        <f t="shared" si="1311"/>
        <v>0</v>
      </c>
      <c r="BD1082" s="79">
        <f t="shared" si="1311"/>
        <v>0</v>
      </c>
      <c r="BE1082" s="79">
        <f t="shared" si="1311"/>
        <v>0</v>
      </c>
      <c r="BF1082" s="79">
        <f t="shared" si="1311"/>
        <v>0</v>
      </c>
      <c r="BG1082" s="79">
        <f t="shared" si="1311"/>
        <v>0</v>
      </c>
      <c r="BH1082" s="79">
        <f t="shared" si="1311"/>
        <v>0</v>
      </c>
      <c r="BI1082" s="79">
        <f t="shared" si="1311"/>
        <v>0</v>
      </c>
      <c r="BJ1082" s="79">
        <f t="shared" si="1311"/>
        <v>0</v>
      </c>
      <c r="BK1082" s="79">
        <f t="shared" si="1311"/>
        <v>0</v>
      </c>
      <c r="BL1082" s="79">
        <f t="shared" si="1311"/>
        <v>0</v>
      </c>
      <c r="BM1082" s="79">
        <f t="shared" si="1311"/>
        <v>0</v>
      </c>
      <c r="BN1082" s="79">
        <f t="shared" si="1311"/>
        <v>0</v>
      </c>
      <c r="BO1082" s="79">
        <f t="shared" si="1311"/>
        <v>0</v>
      </c>
      <c r="BP1082" s="79">
        <f t="shared" si="1311"/>
        <v>0</v>
      </c>
      <c r="BQ1082" s="79">
        <f t="shared" si="1311"/>
        <v>0</v>
      </c>
      <c r="BR1082" s="79">
        <f t="shared" si="1311"/>
        <v>0</v>
      </c>
      <c r="BS1082" s="79">
        <f t="shared" si="1311"/>
        <v>0</v>
      </c>
      <c r="BT1082" s="79">
        <f t="shared" si="1311"/>
        <v>0</v>
      </c>
      <c r="BU1082" s="79">
        <f t="shared" si="1311"/>
        <v>0</v>
      </c>
      <c r="BV1082" s="79">
        <f t="shared" si="1311"/>
        <v>0</v>
      </c>
      <c r="BW1082" s="79">
        <f t="shared" si="1311"/>
        <v>0</v>
      </c>
      <c r="BX1082" s="79">
        <f t="shared" ref="BX1082:CO1082" si="1312">(BX1081&gt;BW1081)*BX1081</f>
        <v>0</v>
      </c>
      <c r="BY1082" s="79">
        <f t="shared" si="1312"/>
        <v>0</v>
      </c>
      <c r="BZ1082" s="79">
        <f t="shared" si="1312"/>
        <v>0</v>
      </c>
      <c r="CA1082" s="79">
        <f t="shared" si="1312"/>
        <v>0</v>
      </c>
      <c r="CB1082" s="79">
        <f t="shared" si="1312"/>
        <v>0</v>
      </c>
      <c r="CC1082" s="79">
        <f t="shared" si="1312"/>
        <v>0</v>
      </c>
      <c r="CD1082" s="79">
        <f t="shared" si="1312"/>
        <v>0</v>
      </c>
      <c r="CE1082" s="79">
        <f t="shared" si="1312"/>
        <v>0</v>
      </c>
      <c r="CF1082" s="79">
        <f t="shared" si="1312"/>
        <v>0</v>
      </c>
      <c r="CG1082" s="79">
        <f t="shared" si="1312"/>
        <v>0</v>
      </c>
      <c r="CH1082" s="79">
        <f t="shared" si="1312"/>
        <v>0</v>
      </c>
      <c r="CI1082" s="79">
        <f t="shared" si="1312"/>
        <v>0</v>
      </c>
      <c r="CJ1082" s="79">
        <f t="shared" si="1312"/>
        <v>0</v>
      </c>
      <c r="CK1082" s="79">
        <f t="shared" si="1312"/>
        <v>0</v>
      </c>
      <c r="CL1082" s="79">
        <f t="shared" si="1312"/>
        <v>0</v>
      </c>
      <c r="CM1082" s="79">
        <f t="shared" si="1312"/>
        <v>0</v>
      </c>
      <c r="CN1082" s="79">
        <f t="shared" si="1312"/>
        <v>0</v>
      </c>
      <c r="CO1082" s="79">
        <f t="shared" si="1312"/>
        <v>0</v>
      </c>
    </row>
    <row r="1083" spans="1:93">
      <c r="A1083" s="10"/>
      <c r="B1083" s="10"/>
      <c r="C1083" s="17" t="s">
        <v>532</v>
      </c>
      <c r="D1083" s="10"/>
      <c r="E1083" s="10"/>
      <c r="F1083" s="10"/>
      <c r="G1083" s="11" t="str">
        <f>MIN(L1083:CO1083) &amp; ".." &amp; MAX(L1083:CO1083)</f>
        <v>0..1</v>
      </c>
      <c r="H1083" s="10"/>
      <c r="I1083" s="10"/>
      <c r="J1083" s="10"/>
      <c r="K1083" s="10"/>
      <c r="L1083" s="79">
        <f>(Предпосылки!$E$558&lt;=End_of_period)*(Предпосылки!$E$558&gt;=Beginning_of_period)*Предпосылки!$E$546</f>
        <v>0</v>
      </c>
      <c r="M1083" s="79">
        <f>(Предпосылки!$E$558&lt;=End_of_period)*(Предпосылки!$E$558&gt;=Beginning_of_period)*Предпосылки!$E$546</f>
        <v>0</v>
      </c>
      <c r="N1083" s="79">
        <f>(Предпосылки!$E$558&lt;=End_of_period)*(Предпосылки!$E$558&gt;=Beginning_of_period)*Предпосылки!$E$546</f>
        <v>0</v>
      </c>
      <c r="O1083" s="79">
        <f>(Предпосылки!$E$558&lt;=End_of_period)*(Предпосылки!$E$558&gt;=Beginning_of_period)*Предпосылки!$E$546</f>
        <v>0</v>
      </c>
      <c r="P1083" s="79">
        <f>(Предпосылки!$E$558&lt;=End_of_period)*(Предпосылки!$E$558&gt;=Beginning_of_period)*Предпосылки!$E$546</f>
        <v>0</v>
      </c>
      <c r="Q1083" s="79">
        <f>(Предпосылки!$E$558&lt;=End_of_period)*(Предпосылки!$E$558&gt;=Beginning_of_period)*Предпосылки!$E$546</f>
        <v>0</v>
      </c>
      <c r="R1083" s="79">
        <f>(Предпосылки!$E$558&lt;=End_of_period)*(Предпосылки!$E$558&gt;=Beginning_of_period)*Предпосылки!$E$546</f>
        <v>0</v>
      </c>
      <c r="S1083" s="79">
        <f>(Предпосылки!$E$558&lt;=End_of_period)*(Предпосылки!$E$558&gt;=Beginning_of_period)*Предпосылки!$E$546</f>
        <v>0</v>
      </c>
      <c r="T1083" s="79">
        <f>(Предпосылки!$E$558&lt;=End_of_period)*(Предпосылки!$E$558&gt;=Beginning_of_period)*Предпосылки!$E$546</f>
        <v>0</v>
      </c>
      <c r="U1083" s="79">
        <f>(Предпосылки!$E$558&lt;=End_of_period)*(Предпосылки!$E$558&gt;=Beginning_of_period)*Предпосылки!$E$546</f>
        <v>0</v>
      </c>
      <c r="V1083" s="79">
        <f>(Предпосылки!$E$558&lt;=End_of_period)*(Предпосылки!$E$558&gt;=Beginning_of_period)*Предпосылки!$E$546</f>
        <v>0</v>
      </c>
      <c r="W1083" s="79">
        <f>(Предпосылки!$E$558&lt;=End_of_period)*(Предпосылки!$E$558&gt;=Beginning_of_period)*Предпосылки!$E$546</f>
        <v>0</v>
      </c>
      <c r="X1083" s="79">
        <f>(Предпосылки!$E$558&lt;=End_of_period)*(Предпосылки!$E$558&gt;=Beginning_of_period)*Предпосылки!$E$546</f>
        <v>0</v>
      </c>
      <c r="Y1083" s="79">
        <f>(Предпосылки!$E$558&lt;=End_of_period)*(Предпосылки!$E$558&gt;=Beginning_of_period)*Предпосылки!$E$546</f>
        <v>0</v>
      </c>
      <c r="Z1083" s="79">
        <f>(Предпосылки!$E$558&lt;=End_of_period)*(Предпосылки!$E$558&gt;=Beginning_of_period)*Предпосылки!$E$546</f>
        <v>0</v>
      </c>
      <c r="AA1083" s="79">
        <f>(Предпосылки!$E$558&lt;=End_of_period)*(Предпосылки!$E$558&gt;=Beginning_of_period)*Предпосылки!$E$546</f>
        <v>0</v>
      </c>
      <c r="AB1083" s="79">
        <f>(Предпосылки!$E$558&lt;=End_of_period)*(Предпосылки!$E$558&gt;=Beginning_of_period)*Предпосылки!$E$546</f>
        <v>0</v>
      </c>
      <c r="AC1083" s="79">
        <f>(Предпосылки!$E$558&lt;=End_of_period)*(Предпосылки!$E$558&gt;=Beginning_of_period)*Предпосылки!$E$546</f>
        <v>0</v>
      </c>
      <c r="AD1083" s="79">
        <f>(Предпосылки!$E$558&lt;=End_of_period)*(Предпосылки!$E$558&gt;=Beginning_of_period)*Предпосылки!$E$546</f>
        <v>0</v>
      </c>
      <c r="AE1083" s="79">
        <f>(Предпосылки!$E$558&lt;=End_of_period)*(Предпосылки!$E$558&gt;=Beginning_of_period)*Предпосылки!$E$546</f>
        <v>0</v>
      </c>
      <c r="AF1083" s="79">
        <f>(Предпосылки!$E$558&lt;=End_of_period)*(Предпосылки!$E$558&gt;=Beginning_of_period)*Предпосылки!$E$546</f>
        <v>0</v>
      </c>
      <c r="AG1083" s="79">
        <f>(Предпосылки!$E$558&lt;=End_of_period)*(Предпосылки!$E$558&gt;=Beginning_of_period)*Предпосылки!$E$546</f>
        <v>0</v>
      </c>
      <c r="AH1083" s="79">
        <f>(Предпосылки!$E$558&lt;=End_of_period)*(Предпосылки!$E$558&gt;=Beginning_of_period)*Предпосылки!$E$546</f>
        <v>0</v>
      </c>
      <c r="AI1083" s="79">
        <f>(Предпосылки!$E$558&lt;=End_of_period)*(Предпосылки!$E$558&gt;=Beginning_of_period)*Предпосылки!$E$546</f>
        <v>0</v>
      </c>
      <c r="AJ1083" s="79">
        <f>(Предпосылки!$E$558&lt;=End_of_period)*(Предпосылки!$E$558&gt;=Beginning_of_period)*Предпосылки!$E$546</f>
        <v>0</v>
      </c>
      <c r="AK1083" s="79">
        <f>(Предпосылки!$E$558&lt;=End_of_period)*(Предпосылки!$E$558&gt;=Beginning_of_period)*Предпосылки!$E$546</f>
        <v>0</v>
      </c>
      <c r="AL1083" s="79">
        <f>(Предпосылки!$E$558&lt;=End_of_period)*(Предпосылки!$E$558&gt;=Beginning_of_period)*Предпосылки!$E$546</f>
        <v>0</v>
      </c>
      <c r="AM1083" s="79">
        <f>(Предпосылки!$E$558&lt;=End_of_period)*(Предпосылки!$E$558&gt;=Beginning_of_period)*Предпосылки!$E$546</f>
        <v>0</v>
      </c>
      <c r="AN1083" s="79">
        <f>(Предпосылки!$E$558&lt;=End_of_period)*(Предпосылки!$E$558&gt;=Beginning_of_period)*Предпосылки!$E$546</f>
        <v>0</v>
      </c>
      <c r="AO1083" s="79">
        <f>(Предпосылки!$E$558&lt;=End_of_period)*(Предпосылки!$E$558&gt;=Beginning_of_period)*Предпосылки!$E$546</f>
        <v>0</v>
      </c>
      <c r="AP1083" s="79">
        <f>(Предпосылки!$E$558&lt;=End_of_period)*(Предпосылки!$E$558&gt;=Beginning_of_period)*Предпосылки!$E$546</f>
        <v>0</v>
      </c>
      <c r="AQ1083" s="79">
        <f>(Предпосылки!$E$558&lt;=End_of_period)*(Предпосылки!$E$558&gt;=Beginning_of_period)*Предпосылки!$E$546</f>
        <v>0</v>
      </c>
      <c r="AR1083" s="79">
        <f>(Предпосылки!$E$558&lt;=End_of_period)*(Предпосылки!$E$558&gt;=Beginning_of_period)*Предпосылки!$E$546</f>
        <v>0</v>
      </c>
      <c r="AS1083" s="79">
        <f>(Предпосылки!$E$558&lt;=End_of_period)*(Предпосылки!$E$558&gt;=Beginning_of_period)*Предпосылки!$E$546</f>
        <v>0</v>
      </c>
      <c r="AT1083" s="79">
        <f>(Предпосылки!$E$558&lt;=End_of_period)*(Предпосылки!$E$558&gt;=Beginning_of_period)*Предпосылки!$E$546</f>
        <v>0</v>
      </c>
      <c r="AU1083" s="79">
        <f>(Предпосылки!$E$558&lt;=End_of_period)*(Предпосылки!$E$558&gt;=Beginning_of_period)*Предпосылки!$E$546</f>
        <v>0</v>
      </c>
      <c r="AV1083" s="79">
        <f>(Предпосылки!$E$558&lt;=End_of_period)*(Предпосылки!$E$558&gt;=Beginning_of_period)*Предпосылки!$E$546</f>
        <v>0</v>
      </c>
      <c r="AW1083" s="79">
        <f>(Предпосылки!$E$558&lt;=End_of_period)*(Предпосылки!$E$558&gt;=Beginning_of_period)*Предпосылки!$E$546</f>
        <v>0</v>
      </c>
      <c r="AX1083" s="79">
        <f>(Предпосылки!$E$558&lt;=End_of_period)*(Предпосылки!$E$558&gt;=Beginning_of_period)*Предпосылки!$E$546</f>
        <v>0</v>
      </c>
      <c r="AY1083" s="79">
        <f>(Предпосылки!$E$558&lt;=End_of_period)*(Предпосылки!$E$558&gt;=Beginning_of_period)*Предпосылки!$E$546</f>
        <v>0</v>
      </c>
      <c r="AZ1083" s="79">
        <f>(Предпосылки!$E$558&lt;=End_of_period)*(Предпосылки!$E$558&gt;=Beginning_of_period)*Предпосылки!$E$546</f>
        <v>0</v>
      </c>
      <c r="BA1083" s="79">
        <f>(Предпосылки!$E$558&lt;=End_of_period)*(Предпосылки!$E$558&gt;=Beginning_of_period)*Предпосылки!$E$546</f>
        <v>0</v>
      </c>
      <c r="BB1083" s="79">
        <f>(Предпосылки!$E$558&lt;=End_of_period)*(Предпосылки!$E$558&gt;=Beginning_of_period)*Предпосылки!$E$546</f>
        <v>0</v>
      </c>
      <c r="BC1083" s="79">
        <f>(Предпосылки!$E$558&lt;=End_of_period)*(Предпосылки!$E$558&gt;=Beginning_of_period)*Предпосылки!$E$546</f>
        <v>0</v>
      </c>
      <c r="BD1083" s="79">
        <f>(Предпосылки!$E$558&lt;=End_of_period)*(Предпосылки!$E$558&gt;=Beginning_of_period)*Предпосылки!$E$546</f>
        <v>0</v>
      </c>
      <c r="BE1083" s="79">
        <f>(Предпосылки!$E$558&lt;=End_of_period)*(Предпосылки!$E$558&gt;=Beginning_of_period)*Предпосылки!$E$546</f>
        <v>0</v>
      </c>
      <c r="BF1083" s="79">
        <f>(Предпосылки!$E$558&lt;=End_of_period)*(Предпосылки!$E$558&gt;=Beginning_of_period)*Предпосылки!$E$546</f>
        <v>0</v>
      </c>
      <c r="BG1083" s="79">
        <f>(Предпосылки!$E$558&lt;=End_of_period)*(Предпосылки!$E$558&gt;=Beginning_of_period)*Предпосылки!$E$546</f>
        <v>1</v>
      </c>
      <c r="BH1083" s="79">
        <f>(Предпосылки!$E$558&lt;=End_of_period)*(Предпосылки!$E$558&gt;=Beginning_of_period)*Предпосылки!$E$546</f>
        <v>0</v>
      </c>
      <c r="BI1083" s="79">
        <f>(Предпосылки!$E$558&lt;=End_of_period)*(Предпосылки!$E$558&gt;=Beginning_of_period)*Предпосылки!$E$546</f>
        <v>0</v>
      </c>
      <c r="BJ1083" s="79">
        <f>(Предпосылки!$E$558&lt;=End_of_period)*(Предпосылки!$E$558&gt;=Beginning_of_period)*Предпосылки!$E$546</f>
        <v>0</v>
      </c>
      <c r="BK1083" s="79">
        <f>(Предпосылки!$E$558&lt;=End_of_period)*(Предпосылки!$E$558&gt;=Beginning_of_period)*Предпосылки!$E$546</f>
        <v>0</v>
      </c>
      <c r="BL1083" s="79">
        <f>(Предпосылки!$E$558&lt;=End_of_period)*(Предпосылки!$E$558&gt;=Beginning_of_period)*Предпосылки!$E$546</f>
        <v>0</v>
      </c>
      <c r="BM1083" s="79">
        <f>(Предпосылки!$E$558&lt;=End_of_period)*(Предпосылки!$E$558&gt;=Beginning_of_period)*Предпосылки!$E$546</f>
        <v>0</v>
      </c>
      <c r="BN1083" s="79">
        <f>(Предпосылки!$E$558&lt;=End_of_period)*(Предпосылки!$E$558&gt;=Beginning_of_period)*Предпосылки!$E$546</f>
        <v>0</v>
      </c>
      <c r="BO1083" s="79">
        <f>(Предпосылки!$E$558&lt;=End_of_period)*(Предпосылки!$E$558&gt;=Beginning_of_period)*Предпосылки!$E$546</f>
        <v>0</v>
      </c>
      <c r="BP1083" s="79">
        <f>(Предпосылки!$E$558&lt;=End_of_period)*(Предпосылки!$E$558&gt;=Beginning_of_period)*Предпосылки!$E$546</f>
        <v>0</v>
      </c>
      <c r="BQ1083" s="79">
        <f>(Предпосылки!$E$558&lt;=End_of_period)*(Предпосылки!$E$558&gt;=Beginning_of_period)*Предпосылки!$E$546</f>
        <v>0</v>
      </c>
      <c r="BR1083" s="79">
        <f>(Предпосылки!$E$558&lt;=End_of_period)*(Предпосылки!$E$558&gt;=Beginning_of_period)*Предпосылки!$E$546</f>
        <v>0</v>
      </c>
      <c r="BS1083" s="79">
        <f>(Предпосылки!$E$558&lt;=End_of_period)*(Предпосылки!$E$558&gt;=Beginning_of_period)*Предпосылки!$E$546</f>
        <v>0</v>
      </c>
      <c r="BT1083" s="79">
        <f>(Предпосылки!$E$558&lt;=End_of_period)*(Предпосылки!$E$558&gt;=Beginning_of_period)*Предпосылки!$E$546</f>
        <v>0</v>
      </c>
      <c r="BU1083" s="79">
        <f>(Предпосылки!$E$558&lt;=End_of_period)*(Предпосылки!$E$558&gt;=Beginning_of_period)*Предпосылки!$E$546</f>
        <v>0</v>
      </c>
      <c r="BV1083" s="79">
        <f>(Предпосылки!$E$558&lt;=End_of_period)*(Предпосылки!$E$558&gt;=Beginning_of_period)*Предпосылки!$E$546</f>
        <v>0</v>
      </c>
      <c r="BW1083" s="79">
        <f>(Предпосылки!$E$558&lt;=End_of_period)*(Предпосылки!$E$558&gt;=Beginning_of_period)*Предпосылки!$E$546</f>
        <v>0</v>
      </c>
      <c r="BX1083" s="79">
        <f>(Предпосылки!$E$558&lt;=End_of_period)*(Предпосылки!$E$558&gt;=Beginning_of_period)*Предпосылки!$E$546</f>
        <v>0</v>
      </c>
      <c r="BY1083" s="79">
        <f>(Предпосылки!$E$558&lt;=End_of_period)*(Предпосылки!$E$558&gt;=Beginning_of_period)*Предпосылки!$E$546</f>
        <v>0</v>
      </c>
      <c r="BZ1083" s="79">
        <f>(Предпосылки!$E$558&lt;=End_of_period)*(Предпосылки!$E$558&gt;=Beginning_of_period)*Предпосылки!$E$546</f>
        <v>0</v>
      </c>
      <c r="CA1083" s="79">
        <f>(Предпосылки!$E$558&lt;=End_of_period)*(Предпосылки!$E$558&gt;=Beginning_of_period)*Предпосылки!$E$546</f>
        <v>0</v>
      </c>
      <c r="CB1083" s="79">
        <f>(Предпосылки!$E$558&lt;=End_of_period)*(Предпосылки!$E$558&gt;=Beginning_of_period)*Предпосылки!$E$546</f>
        <v>0</v>
      </c>
      <c r="CC1083" s="79">
        <f>(Предпосылки!$E$558&lt;=End_of_period)*(Предпосылки!$E$558&gt;=Beginning_of_period)*Предпосылки!$E$546</f>
        <v>0</v>
      </c>
      <c r="CD1083" s="79">
        <f>(Предпосылки!$E$558&lt;=End_of_period)*(Предпосылки!$E$558&gt;=Beginning_of_period)*Предпосылки!$E$546</f>
        <v>0</v>
      </c>
      <c r="CE1083" s="79">
        <f>(Предпосылки!$E$558&lt;=End_of_period)*(Предпосылки!$E$558&gt;=Beginning_of_period)*Предпосылки!$E$546</f>
        <v>0</v>
      </c>
      <c r="CF1083" s="79">
        <f>(Предпосылки!$E$558&lt;=End_of_period)*(Предпосылки!$E$558&gt;=Beginning_of_period)*Предпосылки!$E$546</f>
        <v>0</v>
      </c>
      <c r="CG1083" s="79">
        <f>(Предпосылки!$E$558&lt;=End_of_period)*(Предпосылки!$E$558&gt;=Beginning_of_period)*Предпосылки!$E$546</f>
        <v>0</v>
      </c>
      <c r="CH1083" s="79">
        <f>(Предпосылки!$E$558&lt;=End_of_period)*(Предпосылки!$E$558&gt;=Beginning_of_period)*Предпосылки!$E$546</f>
        <v>0</v>
      </c>
      <c r="CI1083" s="79">
        <f>(Предпосылки!$E$558&lt;=End_of_period)*(Предпосылки!$E$558&gt;=Beginning_of_period)*Предпосылки!$E$546</f>
        <v>0</v>
      </c>
      <c r="CJ1083" s="79">
        <f>(Предпосылки!$E$558&lt;=End_of_period)*(Предпосылки!$E$558&gt;=Beginning_of_period)*Предпосылки!$E$546</f>
        <v>0</v>
      </c>
      <c r="CK1083" s="79">
        <f>(Предпосылки!$E$558&lt;=End_of_period)*(Предпосылки!$E$558&gt;=Beginning_of_period)*Предпосылки!$E$546</f>
        <v>0</v>
      </c>
      <c r="CL1083" s="79">
        <f>(Предпосылки!$E$558&lt;=End_of_period)*(Предпосылки!$E$558&gt;=Beginning_of_period)*Предпосылки!$E$546</f>
        <v>0</v>
      </c>
      <c r="CM1083" s="79">
        <f>(Предпосылки!$E$558&lt;=End_of_period)*(Предпосылки!$E$558&gt;=Beginning_of_period)*Предпосылки!$E$546</f>
        <v>0</v>
      </c>
      <c r="CN1083" s="79">
        <f>(Предпосылки!$E$558&lt;=End_of_period)*(Предпосылки!$E$558&gt;=Beginning_of_period)*Предпосылки!$E$546</f>
        <v>0</v>
      </c>
      <c r="CO1083" s="79">
        <f>(Предпосылки!$E$558&lt;=End_of_period)*(Предпосылки!$E$558&gt;=Beginning_of_period)*Предпосылки!$E$546</f>
        <v>0</v>
      </c>
    </row>
    <row r="1084" spans="1:93">
      <c r="A1084" s="10"/>
      <c r="B1084" s="10"/>
      <c r="C1084" s="17"/>
      <c r="D1084" s="10"/>
      <c r="E1084" s="10"/>
      <c r="F1084" s="10"/>
      <c r="G1084" s="11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0"/>
      <c r="AH1084" s="10"/>
      <c r="AI1084" s="10"/>
      <c r="AJ1084" s="10"/>
      <c r="AK1084" s="10"/>
      <c r="AL1084" s="10"/>
      <c r="AM1084" s="10"/>
      <c r="AN1084" s="10"/>
      <c r="AO1084" s="10"/>
      <c r="AP1084" s="10"/>
      <c r="AQ1084" s="10"/>
      <c r="AR1084" s="10"/>
      <c r="AS1084" s="10"/>
      <c r="AT1084" s="10"/>
      <c r="AU1084" s="10"/>
      <c r="AV1084" s="10"/>
      <c r="AW1084" s="10"/>
      <c r="AX1084" s="10"/>
      <c r="AY1084" s="10"/>
      <c r="AZ1084" s="10"/>
      <c r="BA1084" s="10"/>
      <c r="BB1084" s="10"/>
      <c r="BC1084" s="10"/>
      <c r="BD1084" s="10"/>
      <c r="BE1084" s="10"/>
      <c r="BF1084" s="10"/>
      <c r="BG1084" s="10"/>
      <c r="BH1084" s="10"/>
      <c r="BI1084" s="10"/>
      <c r="BJ1084" s="10"/>
      <c r="BK1084" s="10"/>
      <c r="BL1084" s="10"/>
      <c r="BM1084" s="10"/>
      <c r="BN1084" s="10"/>
      <c r="BO1084" s="10"/>
      <c r="BP1084" s="10"/>
      <c r="BQ1084" s="10"/>
      <c r="BR1084" s="10"/>
      <c r="BS1084" s="10"/>
      <c r="BT1084" s="10"/>
      <c r="BU1084" s="10"/>
      <c r="BV1084" s="10"/>
      <c r="BW1084" s="10"/>
      <c r="BX1084" s="10"/>
      <c r="BY1084" s="10"/>
      <c r="BZ1084" s="10"/>
      <c r="CA1084" s="10"/>
      <c r="CB1084" s="10"/>
      <c r="CC1084" s="10"/>
      <c r="CD1084" s="10"/>
      <c r="CE1084" s="10"/>
      <c r="CF1084" s="10"/>
      <c r="CG1084" s="10"/>
      <c r="CH1084" s="10"/>
      <c r="CI1084" s="10"/>
      <c r="CJ1084" s="10"/>
      <c r="CK1084" s="10"/>
      <c r="CL1084" s="10"/>
      <c r="CM1084" s="10"/>
      <c r="CN1084" s="10"/>
      <c r="CO1084" s="10"/>
    </row>
    <row r="1085" spans="1:93">
      <c r="A1085" s="10"/>
      <c r="B1085" s="10"/>
      <c r="C1085" s="17" t="s">
        <v>180</v>
      </c>
      <c r="D1085" s="10"/>
      <c r="E1085" s="10"/>
      <c r="F1085" s="10"/>
      <c r="G1085" s="11" t="str">
        <f>Monetary_Unit</f>
        <v>тыс. руб.</v>
      </c>
      <c r="H1085" s="10"/>
      <c r="I1085" s="10"/>
      <c r="J1085" s="10"/>
      <c r="K1085" s="10"/>
      <c r="L1085" s="52">
        <f t="shared" ref="L1085:AQ1085" si="1313">K1088</f>
        <v>0</v>
      </c>
      <c r="M1085" s="52">
        <f t="shared" ca="1" si="1313"/>
        <v>0</v>
      </c>
      <c r="N1085" s="52">
        <f t="shared" ca="1" si="1313"/>
        <v>0</v>
      </c>
      <c r="O1085" s="52">
        <f t="shared" ca="1" si="1313"/>
        <v>0</v>
      </c>
      <c r="P1085" s="52">
        <f t="shared" ca="1" si="1313"/>
        <v>0</v>
      </c>
      <c r="Q1085" s="52">
        <f t="shared" ca="1" si="1313"/>
        <v>0</v>
      </c>
      <c r="R1085" s="52">
        <f t="shared" ca="1" si="1313"/>
        <v>0</v>
      </c>
      <c r="S1085" s="52">
        <f t="shared" ca="1" si="1313"/>
        <v>0</v>
      </c>
      <c r="T1085" s="52">
        <f t="shared" ca="1" si="1313"/>
        <v>0</v>
      </c>
      <c r="U1085" s="52">
        <f t="shared" ca="1" si="1313"/>
        <v>54925.998445192294</v>
      </c>
      <c r="V1085" s="52">
        <f t="shared" ca="1" si="1313"/>
        <v>241334.95009615706</v>
      </c>
      <c r="W1085" s="52">
        <f t="shared" ca="1" si="1313"/>
        <v>429580.66493210581</v>
      </c>
      <c r="X1085" s="52">
        <f t="shared" ca="1" si="1313"/>
        <v>619681.24132743443</v>
      </c>
      <c r="Y1085" s="52">
        <f t="shared" ca="1" si="1313"/>
        <v>987256.73114388925</v>
      </c>
      <c r="Z1085" s="52">
        <f t="shared" ca="1" si="1313"/>
        <v>1358454.091698942</v>
      </c>
      <c r="AA1085" s="52">
        <f t="shared" ca="1" si="1313"/>
        <v>1733309.0107574479</v>
      </c>
      <c r="AB1085" s="52">
        <f t="shared" ca="1" si="1313"/>
        <v>2111857.5277303178</v>
      </c>
      <c r="AC1085" s="52">
        <f t="shared" ca="1" si="1313"/>
        <v>2771888.3794600694</v>
      </c>
      <c r="AD1085" s="52">
        <f t="shared" ca="1" si="1313"/>
        <v>2344957.2516447473</v>
      </c>
      <c r="AE1085" s="52">
        <f t="shared" ca="1" si="1313"/>
        <v>2136769.7000716003</v>
      </c>
      <c r="AF1085" s="52">
        <f t="shared" ca="1" si="1313"/>
        <v>2017993.7277197978</v>
      </c>
      <c r="AG1085" s="52">
        <f t="shared" ca="1" si="1313"/>
        <v>1962594.493968616</v>
      </c>
      <c r="AH1085" s="52">
        <f t="shared" ca="1" si="1313"/>
        <v>1897110.0613220145</v>
      </c>
      <c r="AI1085" s="52">
        <f t="shared" ca="1" si="1313"/>
        <v>1743894.451950738</v>
      </c>
      <c r="AJ1085" s="52">
        <f t="shared" ca="1" si="1313"/>
        <v>1595325.642261199</v>
      </c>
      <c r="AK1085" s="52">
        <f t="shared" ca="1" si="1313"/>
        <v>1520744.8199508614</v>
      </c>
      <c r="AL1085" s="52">
        <f t="shared" ca="1" si="1313"/>
        <v>1434686.7297717063</v>
      </c>
      <c r="AM1085" s="52">
        <f t="shared" ca="1" si="1313"/>
        <v>1247696.2264534044</v>
      </c>
      <c r="AN1085" s="52">
        <f t="shared" ca="1" si="1313"/>
        <v>1066198.5492529529</v>
      </c>
      <c r="AO1085" s="52">
        <f t="shared" ca="1" si="1313"/>
        <v>969315.88586949522</v>
      </c>
      <c r="AP1085" s="52">
        <f t="shared" ca="1" si="1313"/>
        <v>860133.2583737144</v>
      </c>
      <c r="AQ1085" s="52">
        <f t="shared" ca="1" si="1313"/>
        <v>638877.17472442822</v>
      </c>
      <c r="AR1085" s="52">
        <f t="shared" ref="AR1085:BW1085" ca="1" si="1314">AQ1088</f>
        <v>426803.06275349879</v>
      </c>
      <c r="AS1085" s="52">
        <f t="shared" ca="1" si="1314"/>
        <v>312713.58332558116</v>
      </c>
      <c r="AT1085" s="52">
        <f t="shared" ca="1" si="1314"/>
        <v>189347.13450160954</v>
      </c>
      <c r="AU1085" s="52">
        <f t="shared" ca="1" si="1314"/>
        <v>0</v>
      </c>
      <c r="AV1085" s="52">
        <f t="shared" ca="1" si="1314"/>
        <v>0</v>
      </c>
      <c r="AW1085" s="52">
        <f t="shared" ca="1" si="1314"/>
        <v>0</v>
      </c>
      <c r="AX1085" s="52">
        <f t="shared" ca="1" si="1314"/>
        <v>0</v>
      </c>
      <c r="AY1085" s="52">
        <f t="shared" ca="1" si="1314"/>
        <v>0</v>
      </c>
      <c r="AZ1085" s="52">
        <f t="shared" ca="1" si="1314"/>
        <v>0</v>
      </c>
      <c r="BA1085" s="52">
        <f t="shared" ca="1" si="1314"/>
        <v>0</v>
      </c>
      <c r="BB1085" s="52">
        <f t="shared" ca="1" si="1314"/>
        <v>0</v>
      </c>
      <c r="BC1085" s="52">
        <f t="shared" ca="1" si="1314"/>
        <v>0</v>
      </c>
      <c r="BD1085" s="52">
        <f t="shared" ca="1" si="1314"/>
        <v>0</v>
      </c>
      <c r="BE1085" s="52">
        <f t="shared" ca="1" si="1314"/>
        <v>0</v>
      </c>
      <c r="BF1085" s="52">
        <f t="shared" ca="1" si="1314"/>
        <v>0</v>
      </c>
      <c r="BG1085" s="52">
        <f t="shared" ca="1" si="1314"/>
        <v>0</v>
      </c>
      <c r="BH1085" s="52">
        <f t="shared" ca="1" si="1314"/>
        <v>0</v>
      </c>
      <c r="BI1085" s="52">
        <f t="shared" ca="1" si="1314"/>
        <v>0</v>
      </c>
      <c r="BJ1085" s="52">
        <f t="shared" ca="1" si="1314"/>
        <v>0</v>
      </c>
      <c r="BK1085" s="52">
        <f t="shared" ca="1" si="1314"/>
        <v>0</v>
      </c>
      <c r="BL1085" s="52">
        <f t="shared" ca="1" si="1314"/>
        <v>0</v>
      </c>
      <c r="BM1085" s="52">
        <f t="shared" ca="1" si="1314"/>
        <v>0</v>
      </c>
      <c r="BN1085" s="52">
        <f t="shared" ca="1" si="1314"/>
        <v>0</v>
      </c>
      <c r="BO1085" s="52">
        <f t="shared" ca="1" si="1314"/>
        <v>0</v>
      </c>
      <c r="BP1085" s="52">
        <f t="shared" ca="1" si="1314"/>
        <v>0</v>
      </c>
      <c r="BQ1085" s="52">
        <f t="shared" ca="1" si="1314"/>
        <v>0</v>
      </c>
      <c r="BR1085" s="52">
        <f t="shared" ca="1" si="1314"/>
        <v>0</v>
      </c>
      <c r="BS1085" s="52">
        <f t="shared" ca="1" si="1314"/>
        <v>0</v>
      </c>
      <c r="BT1085" s="52">
        <f t="shared" ca="1" si="1314"/>
        <v>0</v>
      </c>
      <c r="BU1085" s="52">
        <f t="shared" ca="1" si="1314"/>
        <v>0</v>
      </c>
      <c r="BV1085" s="52">
        <f t="shared" ca="1" si="1314"/>
        <v>0</v>
      </c>
      <c r="BW1085" s="52">
        <f t="shared" ca="1" si="1314"/>
        <v>0</v>
      </c>
      <c r="BX1085" s="52">
        <f t="shared" ref="BX1085:CO1085" ca="1" si="1315">BW1088</f>
        <v>0</v>
      </c>
      <c r="BY1085" s="52">
        <f t="shared" ca="1" si="1315"/>
        <v>0</v>
      </c>
      <c r="BZ1085" s="52">
        <f t="shared" ca="1" si="1315"/>
        <v>0</v>
      </c>
      <c r="CA1085" s="52">
        <f t="shared" ca="1" si="1315"/>
        <v>0</v>
      </c>
      <c r="CB1085" s="52">
        <f t="shared" ca="1" si="1315"/>
        <v>0</v>
      </c>
      <c r="CC1085" s="52">
        <f t="shared" ca="1" si="1315"/>
        <v>0</v>
      </c>
      <c r="CD1085" s="52">
        <f t="shared" ca="1" si="1315"/>
        <v>0</v>
      </c>
      <c r="CE1085" s="52">
        <f t="shared" ca="1" si="1315"/>
        <v>0</v>
      </c>
      <c r="CF1085" s="52">
        <f t="shared" ca="1" si="1315"/>
        <v>0</v>
      </c>
      <c r="CG1085" s="52">
        <f t="shared" ca="1" si="1315"/>
        <v>0</v>
      </c>
      <c r="CH1085" s="52">
        <f t="shared" ca="1" si="1315"/>
        <v>0</v>
      </c>
      <c r="CI1085" s="52">
        <f t="shared" ca="1" si="1315"/>
        <v>0</v>
      </c>
      <c r="CJ1085" s="52">
        <f t="shared" ca="1" si="1315"/>
        <v>0</v>
      </c>
      <c r="CK1085" s="52">
        <f t="shared" ca="1" si="1315"/>
        <v>0</v>
      </c>
      <c r="CL1085" s="52">
        <f t="shared" ca="1" si="1315"/>
        <v>0</v>
      </c>
      <c r="CM1085" s="52">
        <f t="shared" ca="1" si="1315"/>
        <v>0</v>
      </c>
      <c r="CN1085" s="52">
        <f t="shared" ca="1" si="1315"/>
        <v>0</v>
      </c>
      <c r="CO1085" s="52">
        <f t="shared" ca="1" si="1315"/>
        <v>0</v>
      </c>
    </row>
    <row r="1086" spans="1:93">
      <c r="A1086" s="10"/>
      <c r="B1086" s="10"/>
      <c r="C1086" s="17" t="s">
        <v>170</v>
      </c>
      <c r="D1086" s="10"/>
      <c r="E1086" s="10"/>
      <c r="F1086" s="10"/>
      <c r="G1086" s="11" t="str">
        <f>Monetary_Unit</f>
        <v>тыс. руб.</v>
      </c>
      <c r="H1086" s="10"/>
      <c r="I1086" s="23">
        <f ca="1">SUM(L1086:CO1086)</f>
        <v>2771888.3794600694</v>
      </c>
      <c r="J1086" s="10"/>
      <c r="K1086" s="10"/>
      <c r="L1086" s="52">
        <f>MIN($E1124-L1085,L$1075)*L1079</f>
        <v>0</v>
      </c>
      <c r="M1086" s="52">
        <f t="shared" ref="M1086:BX1086" ca="1" si="1316">MIN($E1124-M1085,M$1075)*M1079</f>
        <v>0</v>
      </c>
      <c r="N1086" s="52">
        <f t="shared" ca="1" si="1316"/>
        <v>0</v>
      </c>
      <c r="O1086" s="52">
        <f t="shared" ca="1" si="1316"/>
        <v>0</v>
      </c>
      <c r="P1086" s="52">
        <f t="shared" ca="1" si="1316"/>
        <v>0</v>
      </c>
      <c r="Q1086" s="52">
        <f t="shared" ca="1" si="1316"/>
        <v>0</v>
      </c>
      <c r="R1086" s="52">
        <f t="shared" ca="1" si="1316"/>
        <v>0</v>
      </c>
      <c r="S1086" s="52">
        <f t="shared" ca="1" si="1316"/>
        <v>0</v>
      </c>
      <c r="T1086" s="52">
        <f t="shared" ca="1" si="1316"/>
        <v>54925.998445192294</v>
      </c>
      <c r="U1086" s="52">
        <f t="shared" ca="1" si="1316"/>
        <v>186408.95165096477</v>
      </c>
      <c r="V1086" s="52">
        <f t="shared" ca="1" si="1316"/>
        <v>188245.71483594872</v>
      </c>
      <c r="W1086" s="52">
        <f t="shared" ca="1" si="1316"/>
        <v>190100.57639532859</v>
      </c>
      <c r="X1086" s="52">
        <f t="shared" ca="1" si="1316"/>
        <v>367575.48981645482</v>
      </c>
      <c r="Y1086" s="52">
        <f t="shared" ca="1" si="1316"/>
        <v>371197.36055505282</v>
      </c>
      <c r="Z1086" s="52">
        <f t="shared" ca="1" si="1316"/>
        <v>374854.91905850585</v>
      </c>
      <c r="AA1086" s="52">
        <f t="shared" ca="1" si="1316"/>
        <v>378548.51697286987</v>
      </c>
      <c r="AB1086" s="52">
        <f t="shared" ca="1" si="1316"/>
        <v>660030.85172975156</v>
      </c>
      <c r="AC1086" s="52">
        <f t="shared" ca="1" si="1316"/>
        <v>0</v>
      </c>
      <c r="AD1086" s="52">
        <f t="shared" ca="1" si="1316"/>
        <v>0</v>
      </c>
      <c r="AE1086" s="52">
        <f t="shared" ca="1" si="1316"/>
        <v>0</v>
      </c>
      <c r="AF1086" s="52">
        <f t="shared" ca="1" si="1316"/>
        <v>0</v>
      </c>
      <c r="AG1086" s="52">
        <f t="shared" ca="1" si="1316"/>
        <v>0</v>
      </c>
      <c r="AH1086" s="52">
        <f t="shared" ca="1" si="1316"/>
        <v>0</v>
      </c>
      <c r="AI1086" s="52">
        <f t="shared" ca="1" si="1316"/>
        <v>0</v>
      </c>
      <c r="AJ1086" s="52">
        <f t="shared" ca="1" si="1316"/>
        <v>0</v>
      </c>
      <c r="AK1086" s="52">
        <f t="shared" ca="1" si="1316"/>
        <v>0</v>
      </c>
      <c r="AL1086" s="52">
        <f t="shared" ca="1" si="1316"/>
        <v>0</v>
      </c>
      <c r="AM1086" s="52">
        <f t="shared" ca="1" si="1316"/>
        <v>0</v>
      </c>
      <c r="AN1086" s="52">
        <f t="shared" ca="1" si="1316"/>
        <v>0</v>
      </c>
      <c r="AO1086" s="52">
        <f t="shared" ca="1" si="1316"/>
        <v>0</v>
      </c>
      <c r="AP1086" s="52">
        <f t="shared" ca="1" si="1316"/>
        <v>0</v>
      </c>
      <c r="AQ1086" s="52">
        <f t="shared" ca="1" si="1316"/>
        <v>0</v>
      </c>
      <c r="AR1086" s="52">
        <f t="shared" ca="1" si="1316"/>
        <v>0</v>
      </c>
      <c r="AS1086" s="52">
        <f t="shared" ca="1" si="1316"/>
        <v>0</v>
      </c>
      <c r="AT1086" s="52">
        <f t="shared" ca="1" si="1316"/>
        <v>0</v>
      </c>
      <c r="AU1086" s="52">
        <f t="shared" ca="1" si="1316"/>
        <v>0</v>
      </c>
      <c r="AV1086" s="52">
        <f t="shared" ca="1" si="1316"/>
        <v>0</v>
      </c>
      <c r="AW1086" s="52">
        <f t="shared" ca="1" si="1316"/>
        <v>0</v>
      </c>
      <c r="AX1086" s="52">
        <f t="shared" ca="1" si="1316"/>
        <v>0</v>
      </c>
      <c r="AY1086" s="52">
        <f t="shared" ca="1" si="1316"/>
        <v>0</v>
      </c>
      <c r="AZ1086" s="52">
        <f t="shared" ca="1" si="1316"/>
        <v>0</v>
      </c>
      <c r="BA1086" s="52">
        <f t="shared" ca="1" si="1316"/>
        <v>0</v>
      </c>
      <c r="BB1086" s="52">
        <f t="shared" ca="1" si="1316"/>
        <v>0</v>
      </c>
      <c r="BC1086" s="52">
        <f t="shared" ca="1" si="1316"/>
        <v>0</v>
      </c>
      <c r="BD1086" s="52">
        <f t="shared" ca="1" si="1316"/>
        <v>0</v>
      </c>
      <c r="BE1086" s="52">
        <f t="shared" ca="1" si="1316"/>
        <v>0</v>
      </c>
      <c r="BF1086" s="52">
        <f t="shared" ca="1" si="1316"/>
        <v>0</v>
      </c>
      <c r="BG1086" s="52">
        <f t="shared" ca="1" si="1316"/>
        <v>0</v>
      </c>
      <c r="BH1086" s="52">
        <f t="shared" ca="1" si="1316"/>
        <v>0</v>
      </c>
      <c r="BI1086" s="52">
        <f t="shared" ca="1" si="1316"/>
        <v>0</v>
      </c>
      <c r="BJ1086" s="52">
        <f t="shared" ca="1" si="1316"/>
        <v>0</v>
      </c>
      <c r="BK1086" s="52">
        <f t="shared" ca="1" si="1316"/>
        <v>0</v>
      </c>
      <c r="BL1086" s="52">
        <f t="shared" ca="1" si="1316"/>
        <v>0</v>
      </c>
      <c r="BM1086" s="52">
        <f t="shared" ca="1" si="1316"/>
        <v>0</v>
      </c>
      <c r="BN1086" s="52">
        <f t="shared" ca="1" si="1316"/>
        <v>0</v>
      </c>
      <c r="BO1086" s="52">
        <f t="shared" ca="1" si="1316"/>
        <v>0</v>
      </c>
      <c r="BP1086" s="52">
        <f t="shared" ca="1" si="1316"/>
        <v>0</v>
      </c>
      <c r="BQ1086" s="52">
        <f t="shared" ca="1" si="1316"/>
        <v>0</v>
      </c>
      <c r="BR1086" s="52">
        <f t="shared" ca="1" si="1316"/>
        <v>0</v>
      </c>
      <c r="BS1086" s="52">
        <f t="shared" ca="1" si="1316"/>
        <v>0</v>
      </c>
      <c r="BT1086" s="52">
        <f t="shared" ca="1" si="1316"/>
        <v>0</v>
      </c>
      <c r="BU1086" s="52">
        <f t="shared" ca="1" si="1316"/>
        <v>0</v>
      </c>
      <c r="BV1086" s="52">
        <f t="shared" ca="1" si="1316"/>
        <v>0</v>
      </c>
      <c r="BW1086" s="52">
        <f t="shared" ca="1" si="1316"/>
        <v>0</v>
      </c>
      <c r="BX1086" s="52">
        <f t="shared" ca="1" si="1316"/>
        <v>0</v>
      </c>
      <c r="BY1086" s="52">
        <f t="shared" ref="BY1086:CO1086" ca="1" si="1317">MIN($E1124-BY1085,BY$1075)*BY1079</f>
        <v>0</v>
      </c>
      <c r="BZ1086" s="52">
        <f t="shared" ca="1" si="1317"/>
        <v>0</v>
      </c>
      <c r="CA1086" s="52">
        <f t="shared" ca="1" si="1317"/>
        <v>0</v>
      </c>
      <c r="CB1086" s="52">
        <f t="shared" ca="1" si="1317"/>
        <v>0</v>
      </c>
      <c r="CC1086" s="52">
        <f t="shared" ca="1" si="1317"/>
        <v>0</v>
      </c>
      <c r="CD1086" s="52">
        <f t="shared" ca="1" si="1317"/>
        <v>0</v>
      </c>
      <c r="CE1086" s="52">
        <f t="shared" ca="1" si="1317"/>
        <v>0</v>
      </c>
      <c r="CF1086" s="52">
        <f t="shared" ca="1" si="1317"/>
        <v>0</v>
      </c>
      <c r="CG1086" s="52">
        <f t="shared" ca="1" si="1317"/>
        <v>0</v>
      </c>
      <c r="CH1086" s="52">
        <f t="shared" ca="1" si="1317"/>
        <v>0</v>
      </c>
      <c r="CI1086" s="52">
        <f t="shared" ca="1" si="1317"/>
        <v>0</v>
      </c>
      <c r="CJ1086" s="52">
        <f t="shared" ca="1" si="1317"/>
        <v>0</v>
      </c>
      <c r="CK1086" s="52">
        <f t="shared" ca="1" si="1317"/>
        <v>0</v>
      </c>
      <c r="CL1086" s="52">
        <f t="shared" ca="1" si="1317"/>
        <v>0</v>
      </c>
      <c r="CM1086" s="52">
        <f t="shared" ca="1" si="1317"/>
        <v>0</v>
      </c>
      <c r="CN1086" s="52">
        <f t="shared" ca="1" si="1317"/>
        <v>0</v>
      </c>
      <c r="CO1086" s="52">
        <f t="shared" ca="1" si="1317"/>
        <v>0</v>
      </c>
    </row>
    <row r="1087" spans="1:93">
      <c r="A1087" s="10"/>
      <c r="B1087" s="10"/>
      <c r="C1087" s="17" t="s">
        <v>395</v>
      </c>
      <c r="D1087" s="10"/>
      <c r="E1087" s="10"/>
      <c r="F1087" s="10"/>
      <c r="G1087" s="11" t="str">
        <f>Monetary_Unit</f>
        <v>тыс. руб.</v>
      </c>
      <c r="H1087" s="10"/>
      <c r="I1087" s="23">
        <f ca="1">SUM(L1087:CO1087)</f>
        <v>-2771888.3794600698</v>
      </c>
      <c r="J1087" s="10"/>
      <c r="K1087" s="10"/>
      <c r="L1087" s="52">
        <f ca="1">-MIN(L1085,CHOOSE(Предпосылки!$E$548,L1111,L1121))*L$1081</f>
        <v>0</v>
      </c>
      <c r="M1087" s="52">
        <f ca="1">-MIN(M1085,CHOOSE(Предпосылки!$E$548,M1111,M1121))*M$1081</f>
        <v>0</v>
      </c>
      <c r="N1087" s="52">
        <f ca="1">-MIN(N1085,CHOOSE(Предпосылки!$E$548,N1111,N1121))*N$1081</f>
        <v>0</v>
      </c>
      <c r="O1087" s="52">
        <f ca="1">-MIN(O1085,CHOOSE(Предпосылки!$E$548,O1111,O1121))*O$1081</f>
        <v>0</v>
      </c>
      <c r="P1087" s="52">
        <f ca="1">-MIN(P1085,CHOOSE(Предпосылки!$E$548,P1111,P1121))*P$1081</f>
        <v>0</v>
      </c>
      <c r="Q1087" s="52">
        <f ca="1">-MIN(Q1085,CHOOSE(Предпосылки!$E$548,Q1111,Q1121))*Q$1081</f>
        <v>0</v>
      </c>
      <c r="R1087" s="52">
        <f ca="1">-MIN(R1085,CHOOSE(Предпосылки!$E$548,R1111,R1121))*R$1081</f>
        <v>0</v>
      </c>
      <c r="S1087" s="52">
        <f ca="1">-MIN(S1085,CHOOSE(Предпосылки!$E$548,S1111,S1121))*S$1081</f>
        <v>0</v>
      </c>
      <c r="T1087" s="52">
        <f ca="1">-MIN(T1085,CHOOSE(Предпосылки!$E$548,T1111,T1121))*T$1081</f>
        <v>0</v>
      </c>
      <c r="U1087" s="52">
        <f ca="1">-MIN(U1085,CHOOSE(Предпосылки!$E$548,U1111,U1121))*U$1081</f>
        <v>0</v>
      </c>
      <c r="V1087" s="52">
        <f ca="1">-MIN(V1085,CHOOSE(Предпосылки!$E$548,V1111,V1121))*V$1081</f>
        <v>0</v>
      </c>
      <c r="W1087" s="52">
        <f ca="1">-MIN(W1085,CHOOSE(Предпосылки!$E$548,W1111,W1121))*W$1081</f>
        <v>0</v>
      </c>
      <c r="X1087" s="52">
        <f ca="1">-MIN(X1085,CHOOSE(Предпосылки!$E$548,X1111,X1121))*X$1081</f>
        <v>0</v>
      </c>
      <c r="Y1087" s="52">
        <f ca="1">-MIN(Y1085,CHOOSE(Предпосылки!$E$548,Y1111,Y1121))*Y$1081</f>
        <v>0</v>
      </c>
      <c r="Z1087" s="52">
        <f ca="1">-MIN(Z1085,CHOOSE(Предпосылки!$E$548,Z1111,Z1121))*Z$1081</f>
        <v>0</v>
      </c>
      <c r="AA1087" s="52">
        <f ca="1">-MIN(AA1085,CHOOSE(Предпосылки!$E$548,AA1111,AA1121))*AA$1081</f>
        <v>0</v>
      </c>
      <c r="AB1087" s="52">
        <f ca="1">-MIN(AB1085,CHOOSE(Предпосылки!$E$548,AB1111,AB1121))*AB$1081</f>
        <v>0</v>
      </c>
      <c r="AC1087" s="52">
        <f ca="1">-MIN(AC1085,CHOOSE(Предпосылки!$E$548,AC1111,AC1121))*AC$1081</f>
        <v>-426931.12781532214</v>
      </c>
      <c r="AD1087" s="52">
        <f ca="1">-MIN(AD1085,CHOOSE(Предпосылки!$E$548,AD1111,AD1121))*AD$1081</f>
        <v>-208187.55157314718</v>
      </c>
      <c r="AE1087" s="52">
        <f ca="1">-MIN(AE1085,CHOOSE(Предпосылки!$E$548,AE1111,AE1121))*AE$1081</f>
        <v>-118775.97235180263</v>
      </c>
      <c r="AF1087" s="52">
        <f ca="1">-MIN(AF1085,CHOOSE(Предпосылки!$E$548,AF1111,AF1121))*AF$1081</f>
        <v>-55399.233751181804</v>
      </c>
      <c r="AG1087" s="52">
        <f ca="1">-MIN(AG1085,CHOOSE(Предпосылки!$E$548,AG1111,AG1121))*AG$1081</f>
        <v>-65484.432646601446</v>
      </c>
      <c r="AH1087" s="52">
        <f ca="1">-MIN(AH1085,CHOOSE(Предпосылки!$E$548,AH1111,AH1121))*AH$1081</f>
        <v>-153215.60937127657</v>
      </c>
      <c r="AI1087" s="52">
        <f ca="1">-MIN(AI1085,CHOOSE(Предпосылки!$E$548,AI1111,AI1121))*AI$1081</f>
        <v>-148568.80968953908</v>
      </c>
      <c r="AJ1087" s="52">
        <f ca="1">-MIN(AJ1085,CHOOSE(Предпосылки!$E$548,AJ1111,AJ1121))*AJ$1081</f>
        <v>-74580.822310337593</v>
      </c>
      <c r="AK1087" s="52">
        <f ca="1">-MIN(AK1085,CHOOSE(Предпосылки!$E$548,AK1111,AK1121))*AK$1081</f>
        <v>-86058.090179155028</v>
      </c>
      <c r="AL1087" s="52">
        <f ca="1">-MIN(AL1085,CHOOSE(Предпосылки!$E$548,AL1111,AL1121))*AL$1081</f>
        <v>-186990.50331830193</v>
      </c>
      <c r="AM1087" s="52">
        <f ca="1">-MIN(AM1085,CHOOSE(Предпосылки!$E$548,AM1111,AM1121))*AM$1081</f>
        <v>-181497.67720045152</v>
      </c>
      <c r="AN1087" s="52">
        <f ca="1">-MIN(AN1085,CHOOSE(Предпосылки!$E$548,AN1111,AN1121))*AN$1081</f>
        <v>-96882.663383457737</v>
      </c>
      <c r="AO1087" s="52">
        <f ca="1">-MIN(AO1085,CHOOSE(Предпосылки!$E$548,AO1111,AO1121))*AO$1081</f>
        <v>-109182.62749578085</v>
      </c>
      <c r="AP1087" s="52">
        <f ca="1">-MIN(AP1085,CHOOSE(Предпосылки!$E$548,AP1111,AP1121))*AP$1081</f>
        <v>-221256.08364928619</v>
      </c>
      <c r="AQ1087" s="52">
        <f ca="1">-MIN(AQ1085,CHOOSE(Предпосылки!$E$548,AQ1111,AQ1121))*AQ$1081</f>
        <v>-212074.11197092943</v>
      </c>
      <c r="AR1087" s="52">
        <f ca="1">-MIN(AR1085,CHOOSE(Предпосылки!$E$548,AR1111,AR1121))*AR$1081</f>
        <v>-114089.47942791763</v>
      </c>
      <c r="AS1087" s="52">
        <f ca="1">-MIN(AS1085,CHOOSE(Предпосылки!$E$548,AS1111,AS1121))*AS$1081</f>
        <v>-123366.4488239716</v>
      </c>
      <c r="AT1087" s="52">
        <f ca="1">-MIN(AT1085,CHOOSE(Предпосылки!$E$548,AT1111,AT1121))*AT$1081</f>
        <v>-189347.13450160954</v>
      </c>
      <c r="AU1087" s="52">
        <f ca="1">-MIN(AU1085,CHOOSE(Предпосылки!$E$548,AU1111,AU1121))*AU$1081</f>
        <v>0</v>
      </c>
      <c r="AV1087" s="52">
        <f ca="1">-MIN(AV1085,CHOOSE(Предпосылки!$E$548,AV1111,AV1121))*AV$1081</f>
        <v>0</v>
      </c>
      <c r="AW1087" s="52">
        <f ca="1">-MIN(AW1085,CHOOSE(Предпосылки!$E$548,AW1111,AW1121))*AW$1081</f>
        <v>0</v>
      </c>
      <c r="AX1087" s="52">
        <f ca="1">-MIN(AX1085,CHOOSE(Предпосылки!$E$548,AX1111,AX1121))*AX$1081</f>
        <v>0</v>
      </c>
      <c r="AY1087" s="52">
        <f ca="1">-MIN(AY1085,CHOOSE(Предпосылки!$E$548,AY1111,AY1121))*AY$1081</f>
        <v>0</v>
      </c>
      <c r="AZ1087" s="52">
        <f ca="1">-MIN(AZ1085,CHOOSE(Предпосылки!$E$548,AZ1111,AZ1121))*AZ$1081</f>
        <v>0</v>
      </c>
      <c r="BA1087" s="52">
        <f ca="1">-MIN(BA1085,CHOOSE(Предпосылки!$E$548,BA1111,BA1121))*BA$1081</f>
        <v>0</v>
      </c>
      <c r="BB1087" s="52">
        <f ca="1">-MIN(BB1085,CHOOSE(Предпосылки!$E$548,BB1111,BB1121))*BB$1081</f>
        <v>0</v>
      </c>
      <c r="BC1087" s="52">
        <f ca="1">-MIN(BC1085,CHOOSE(Предпосылки!$E$548,BC1111,BC1121))*BC$1081</f>
        <v>0</v>
      </c>
      <c r="BD1087" s="52">
        <f ca="1">-MIN(BD1085,CHOOSE(Предпосылки!$E$548,BD1111,BD1121))*BD$1081</f>
        <v>0</v>
      </c>
      <c r="BE1087" s="52">
        <f ca="1">-MIN(BE1085,CHOOSE(Предпосылки!$E$548,BE1111,BE1121))*BE$1081</f>
        <v>0</v>
      </c>
      <c r="BF1087" s="52">
        <f ca="1">-MIN(BF1085,CHOOSE(Предпосылки!$E$548,BF1111,BF1121))*BF$1081</f>
        <v>0</v>
      </c>
      <c r="BG1087" s="52">
        <f ca="1">-MIN(BG1085,CHOOSE(Предпосылки!$E$548,BG1111,BG1121))*BG$1081</f>
        <v>0</v>
      </c>
      <c r="BH1087" s="52">
        <f ca="1">-MIN(BH1085,CHOOSE(Предпосылки!$E$548,BH1111,BH1121))*BH$1081</f>
        <v>0</v>
      </c>
      <c r="BI1087" s="52">
        <f ca="1">-MIN(BI1085,CHOOSE(Предпосылки!$E$548,BI1111,BI1121))*BI$1081</f>
        <v>0</v>
      </c>
      <c r="BJ1087" s="52">
        <f ca="1">-MIN(BJ1085,CHOOSE(Предпосылки!$E$548,BJ1111,BJ1121))*BJ$1081</f>
        <v>0</v>
      </c>
      <c r="BK1087" s="52">
        <f ca="1">-MIN(BK1085,CHOOSE(Предпосылки!$E$548,BK1111,BK1121))*BK$1081</f>
        <v>0</v>
      </c>
      <c r="BL1087" s="52">
        <f ca="1">-MIN(BL1085,CHOOSE(Предпосылки!$E$548,BL1111,BL1121))*BL$1081</f>
        <v>0</v>
      </c>
      <c r="BM1087" s="52">
        <f ca="1">-MIN(BM1085,CHOOSE(Предпосылки!$E$548,BM1111,BM1121))*BM$1081</f>
        <v>0</v>
      </c>
      <c r="BN1087" s="52">
        <f ca="1">-MIN(BN1085,CHOOSE(Предпосылки!$E$548,BN1111,BN1121))*BN$1081</f>
        <v>0</v>
      </c>
      <c r="BO1087" s="52">
        <f ca="1">-MIN(BO1085,CHOOSE(Предпосылки!$E$548,BO1111,BO1121))*BO$1081</f>
        <v>0</v>
      </c>
      <c r="BP1087" s="52">
        <f ca="1">-MIN(BP1085,CHOOSE(Предпосылки!$E$548,BP1111,BP1121))*BP$1081</f>
        <v>0</v>
      </c>
      <c r="BQ1087" s="52">
        <f ca="1">-MIN(BQ1085,CHOOSE(Предпосылки!$E$548,BQ1111,BQ1121))*BQ$1081</f>
        <v>0</v>
      </c>
      <c r="BR1087" s="52">
        <f ca="1">-MIN(BR1085,CHOOSE(Предпосылки!$E$548,BR1111,BR1121))*BR$1081</f>
        <v>0</v>
      </c>
      <c r="BS1087" s="52">
        <f ca="1">-MIN(BS1085,CHOOSE(Предпосылки!$E$548,BS1111,BS1121))*BS$1081</f>
        <v>0</v>
      </c>
      <c r="BT1087" s="52">
        <f ca="1">-MIN(BT1085,CHOOSE(Предпосылки!$E$548,BT1111,BT1121))*BT$1081</f>
        <v>0</v>
      </c>
      <c r="BU1087" s="52">
        <f ca="1">-MIN(BU1085,CHOOSE(Предпосылки!$E$548,BU1111,BU1121))*BU$1081</f>
        <v>0</v>
      </c>
      <c r="BV1087" s="52">
        <f ca="1">-MIN(BV1085,CHOOSE(Предпосылки!$E$548,BV1111,BV1121))*BV$1081</f>
        <v>0</v>
      </c>
      <c r="BW1087" s="52">
        <f ca="1">-MIN(BW1085,CHOOSE(Предпосылки!$E$548,BW1111,BW1121))*BW$1081</f>
        <v>0</v>
      </c>
      <c r="BX1087" s="52">
        <f ca="1">-MIN(BX1085,CHOOSE(Предпосылки!$E$548,BX1111,BX1121))*BX$1081</f>
        <v>0</v>
      </c>
      <c r="BY1087" s="52">
        <f ca="1">-MIN(BY1085,CHOOSE(Предпосылки!$E$548,BY1111,BY1121))*BY$1081</f>
        <v>0</v>
      </c>
      <c r="BZ1087" s="52">
        <f ca="1">-MIN(BZ1085,CHOOSE(Предпосылки!$E$548,BZ1111,BZ1121))*BZ$1081</f>
        <v>0</v>
      </c>
      <c r="CA1087" s="52">
        <f ca="1">-MIN(CA1085,CHOOSE(Предпосылки!$E$548,CA1111,CA1121))*CA$1081</f>
        <v>0</v>
      </c>
      <c r="CB1087" s="52">
        <f ca="1">-MIN(CB1085,CHOOSE(Предпосылки!$E$548,CB1111,CB1121))*CB$1081</f>
        <v>0</v>
      </c>
      <c r="CC1087" s="52">
        <f ca="1">-MIN(CC1085,CHOOSE(Предпосылки!$E$548,CC1111,CC1121))*CC$1081</f>
        <v>0</v>
      </c>
      <c r="CD1087" s="52">
        <f ca="1">-MIN(CD1085,CHOOSE(Предпосылки!$E$548,CD1111,CD1121))*CD$1081</f>
        <v>0</v>
      </c>
      <c r="CE1087" s="52">
        <f ca="1">-MIN(CE1085,CHOOSE(Предпосылки!$E$548,CE1111,CE1121))*CE$1081</f>
        <v>0</v>
      </c>
      <c r="CF1087" s="52">
        <f ca="1">-MIN(CF1085,CHOOSE(Предпосылки!$E$548,CF1111,CF1121))*CF$1081</f>
        <v>0</v>
      </c>
      <c r="CG1087" s="52">
        <f ca="1">-MIN(CG1085,CHOOSE(Предпосылки!$E$548,CG1111,CG1121))*CG$1081</f>
        <v>0</v>
      </c>
      <c r="CH1087" s="52">
        <f ca="1">-MIN(CH1085,CHOOSE(Предпосылки!$E$548,CH1111,CH1121))*CH$1081</f>
        <v>0</v>
      </c>
      <c r="CI1087" s="52">
        <f ca="1">-MIN(CI1085,CHOOSE(Предпосылки!$E$548,CI1111,CI1121))*CI$1081</f>
        <v>0</v>
      </c>
      <c r="CJ1087" s="52">
        <f ca="1">-MIN(CJ1085,CHOOSE(Предпосылки!$E$548,CJ1111,CJ1121))*CJ$1081</f>
        <v>0</v>
      </c>
      <c r="CK1087" s="52">
        <f ca="1">-MIN(CK1085,CHOOSE(Предпосылки!$E$548,CK1111,CK1121))*CK$1081</f>
        <v>0</v>
      </c>
      <c r="CL1087" s="52">
        <f ca="1">-MIN(CL1085,CHOOSE(Предпосылки!$E$548,CL1111,CL1121))*CL$1081</f>
        <v>0</v>
      </c>
      <c r="CM1087" s="52">
        <f ca="1">-MIN(CM1085,CHOOSE(Предпосылки!$E$548,CM1111,CM1121))*CM$1081</f>
        <v>0</v>
      </c>
      <c r="CN1087" s="52">
        <f ca="1">-MIN(CN1085,CHOOSE(Предпосылки!$E$548,CN1111,CN1121))*CN$1081</f>
        <v>0</v>
      </c>
      <c r="CO1087" s="52">
        <f ca="1">-MIN(CO1085,CHOOSE(Предпосылки!$E$548,CO1111,CO1121))*CO$1081</f>
        <v>0</v>
      </c>
    </row>
    <row r="1088" spans="1:93">
      <c r="A1088" s="10"/>
      <c r="B1088" s="10"/>
      <c r="C1088" s="17" t="s">
        <v>179</v>
      </c>
      <c r="D1088" s="10"/>
      <c r="E1088" s="10"/>
      <c r="F1088" s="10"/>
      <c r="G1088" s="11" t="str">
        <f>Monetary_Unit</f>
        <v>тыс. руб.</v>
      </c>
      <c r="H1088" s="10"/>
      <c r="I1088" s="10"/>
      <c r="J1088" s="10"/>
      <c r="K1088" s="10"/>
      <c r="L1088" s="52">
        <f ca="1">SUM(L1085:L1087)*ABS(SUM(L1085:L1087)&gt;Accuracy)</f>
        <v>0</v>
      </c>
      <c r="M1088" s="52">
        <f t="shared" ref="M1088:BX1088" ca="1" si="1318">SUM(M1085:M1087)*ABS(SUM(M1085:M1087)&gt;Accuracy)</f>
        <v>0</v>
      </c>
      <c r="N1088" s="52">
        <f t="shared" ca="1" si="1318"/>
        <v>0</v>
      </c>
      <c r="O1088" s="52">
        <f t="shared" ca="1" si="1318"/>
        <v>0</v>
      </c>
      <c r="P1088" s="52">
        <f t="shared" ca="1" si="1318"/>
        <v>0</v>
      </c>
      <c r="Q1088" s="52">
        <f t="shared" ca="1" si="1318"/>
        <v>0</v>
      </c>
      <c r="R1088" s="52">
        <f t="shared" ca="1" si="1318"/>
        <v>0</v>
      </c>
      <c r="S1088" s="52">
        <f t="shared" ca="1" si="1318"/>
        <v>0</v>
      </c>
      <c r="T1088" s="52">
        <f t="shared" ca="1" si="1318"/>
        <v>54925.998445192294</v>
      </c>
      <c r="U1088" s="52">
        <f t="shared" ca="1" si="1318"/>
        <v>241334.95009615706</v>
      </c>
      <c r="V1088" s="52">
        <f t="shared" ca="1" si="1318"/>
        <v>429580.66493210581</v>
      </c>
      <c r="W1088" s="52">
        <f t="shared" ca="1" si="1318"/>
        <v>619681.24132743443</v>
      </c>
      <c r="X1088" s="52">
        <f t="shared" ca="1" si="1318"/>
        <v>987256.73114388925</v>
      </c>
      <c r="Y1088" s="52">
        <f t="shared" ca="1" si="1318"/>
        <v>1358454.091698942</v>
      </c>
      <c r="Z1088" s="52">
        <f t="shared" ca="1" si="1318"/>
        <v>1733309.0107574479</v>
      </c>
      <c r="AA1088" s="52">
        <f t="shared" ca="1" si="1318"/>
        <v>2111857.5277303178</v>
      </c>
      <c r="AB1088" s="52">
        <f t="shared" ca="1" si="1318"/>
        <v>2771888.3794600694</v>
      </c>
      <c r="AC1088" s="52">
        <f t="shared" ca="1" si="1318"/>
        <v>2344957.2516447473</v>
      </c>
      <c r="AD1088" s="52">
        <f t="shared" ca="1" si="1318"/>
        <v>2136769.7000716003</v>
      </c>
      <c r="AE1088" s="52">
        <f t="shared" ca="1" si="1318"/>
        <v>2017993.7277197978</v>
      </c>
      <c r="AF1088" s="52">
        <f t="shared" ca="1" si="1318"/>
        <v>1962594.493968616</v>
      </c>
      <c r="AG1088" s="52">
        <f t="shared" ca="1" si="1318"/>
        <v>1897110.0613220145</v>
      </c>
      <c r="AH1088" s="52">
        <f t="shared" ca="1" si="1318"/>
        <v>1743894.451950738</v>
      </c>
      <c r="AI1088" s="52">
        <f t="shared" ca="1" si="1318"/>
        <v>1595325.642261199</v>
      </c>
      <c r="AJ1088" s="52">
        <f t="shared" ca="1" si="1318"/>
        <v>1520744.8199508614</v>
      </c>
      <c r="AK1088" s="52">
        <f t="shared" ca="1" si="1318"/>
        <v>1434686.7297717063</v>
      </c>
      <c r="AL1088" s="52">
        <f t="shared" ca="1" si="1318"/>
        <v>1247696.2264534044</v>
      </c>
      <c r="AM1088" s="52">
        <f t="shared" ca="1" si="1318"/>
        <v>1066198.5492529529</v>
      </c>
      <c r="AN1088" s="52">
        <f t="shared" ca="1" si="1318"/>
        <v>969315.88586949522</v>
      </c>
      <c r="AO1088" s="52">
        <f t="shared" ca="1" si="1318"/>
        <v>860133.2583737144</v>
      </c>
      <c r="AP1088" s="52">
        <f t="shared" ca="1" si="1318"/>
        <v>638877.17472442822</v>
      </c>
      <c r="AQ1088" s="52">
        <f t="shared" ca="1" si="1318"/>
        <v>426803.06275349879</v>
      </c>
      <c r="AR1088" s="52">
        <f t="shared" ca="1" si="1318"/>
        <v>312713.58332558116</v>
      </c>
      <c r="AS1088" s="52">
        <f t="shared" ca="1" si="1318"/>
        <v>189347.13450160954</v>
      </c>
      <c r="AT1088" s="52">
        <f t="shared" ca="1" si="1318"/>
        <v>0</v>
      </c>
      <c r="AU1088" s="52">
        <f t="shared" ca="1" si="1318"/>
        <v>0</v>
      </c>
      <c r="AV1088" s="52">
        <f t="shared" ca="1" si="1318"/>
        <v>0</v>
      </c>
      <c r="AW1088" s="52">
        <f t="shared" ca="1" si="1318"/>
        <v>0</v>
      </c>
      <c r="AX1088" s="52">
        <f t="shared" ca="1" si="1318"/>
        <v>0</v>
      </c>
      <c r="AY1088" s="52">
        <f t="shared" ca="1" si="1318"/>
        <v>0</v>
      </c>
      <c r="AZ1088" s="52">
        <f t="shared" ca="1" si="1318"/>
        <v>0</v>
      </c>
      <c r="BA1088" s="52">
        <f t="shared" ca="1" si="1318"/>
        <v>0</v>
      </c>
      <c r="BB1088" s="52">
        <f t="shared" ca="1" si="1318"/>
        <v>0</v>
      </c>
      <c r="BC1088" s="52">
        <f t="shared" ca="1" si="1318"/>
        <v>0</v>
      </c>
      <c r="BD1088" s="52">
        <f t="shared" ca="1" si="1318"/>
        <v>0</v>
      </c>
      <c r="BE1088" s="52">
        <f t="shared" ca="1" si="1318"/>
        <v>0</v>
      </c>
      <c r="BF1088" s="52">
        <f t="shared" ca="1" si="1318"/>
        <v>0</v>
      </c>
      <c r="BG1088" s="52">
        <f t="shared" ca="1" si="1318"/>
        <v>0</v>
      </c>
      <c r="BH1088" s="52">
        <f t="shared" ca="1" si="1318"/>
        <v>0</v>
      </c>
      <c r="BI1088" s="52">
        <f t="shared" ca="1" si="1318"/>
        <v>0</v>
      </c>
      <c r="BJ1088" s="52">
        <f t="shared" ca="1" si="1318"/>
        <v>0</v>
      </c>
      <c r="BK1088" s="52">
        <f t="shared" ca="1" si="1318"/>
        <v>0</v>
      </c>
      <c r="BL1088" s="52">
        <f t="shared" ca="1" si="1318"/>
        <v>0</v>
      </c>
      <c r="BM1088" s="52">
        <f t="shared" ca="1" si="1318"/>
        <v>0</v>
      </c>
      <c r="BN1088" s="52">
        <f t="shared" ca="1" si="1318"/>
        <v>0</v>
      </c>
      <c r="BO1088" s="52">
        <f t="shared" ca="1" si="1318"/>
        <v>0</v>
      </c>
      <c r="BP1088" s="52">
        <f t="shared" ca="1" si="1318"/>
        <v>0</v>
      </c>
      <c r="BQ1088" s="52">
        <f t="shared" ca="1" si="1318"/>
        <v>0</v>
      </c>
      <c r="BR1088" s="52">
        <f t="shared" ca="1" si="1318"/>
        <v>0</v>
      </c>
      <c r="BS1088" s="52">
        <f t="shared" ca="1" si="1318"/>
        <v>0</v>
      </c>
      <c r="BT1088" s="52">
        <f t="shared" ca="1" si="1318"/>
        <v>0</v>
      </c>
      <c r="BU1088" s="52">
        <f t="shared" ca="1" si="1318"/>
        <v>0</v>
      </c>
      <c r="BV1088" s="52">
        <f t="shared" ca="1" si="1318"/>
        <v>0</v>
      </c>
      <c r="BW1088" s="52">
        <f t="shared" ca="1" si="1318"/>
        <v>0</v>
      </c>
      <c r="BX1088" s="52">
        <f t="shared" ca="1" si="1318"/>
        <v>0</v>
      </c>
      <c r="BY1088" s="52">
        <f t="shared" ref="BY1088:CO1088" ca="1" si="1319">SUM(BY1085:BY1087)*ABS(SUM(BY1085:BY1087)&gt;Accuracy)</f>
        <v>0</v>
      </c>
      <c r="BZ1088" s="52">
        <f t="shared" ca="1" si="1319"/>
        <v>0</v>
      </c>
      <c r="CA1088" s="52">
        <f t="shared" ca="1" si="1319"/>
        <v>0</v>
      </c>
      <c r="CB1088" s="52">
        <f t="shared" ca="1" si="1319"/>
        <v>0</v>
      </c>
      <c r="CC1088" s="52">
        <f t="shared" ca="1" si="1319"/>
        <v>0</v>
      </c>
      <c r="CD1088" s="52">
        <f t="shared" ca="1" si="1319"/>
        <v>0</v>
      </c>
      <c r="CE1088" s="52">
        <f t="shared" ca="1" si="1319"/>
        <v>0</v>
      </c>
      <c r="CF1088" s="52">
        <f t="shared" ca="1" si="1319"/>
        <v>0</v>
      </c>
      <c r="CG1088" s="52">
        <f t="shared" ca="1" si="1319"/>
        <v>0</v>
      </c>
      <c r="CH1088" s="52">
        <f t="shared" ca="1" si="1319"/>
        <v>0</v>
      </c>
      <c r="CI1088" s="52">
        <f t="shared" ca="1" si="1319"/>
        <v>0</v>
      </c>
      <c r="CJ1088" s="52">
        <f t="shared" ca="1" si="1319"/>
        <v>0</v>
      </c>
      <c r="CK1088" s="52">
        <f t="shared" ca="1" si="1319"/>
        <v>0</v>
      </c>
      <c r="CL1088" s="52">
        <f t="shared" ca="1" si="1319"/>
        <v>0</v>
      </c>
      <c r="CM1088" s="52">
        <f t="shared" ca="1" si="1319"/>
        <v>0</v>
      </c>
      <c r="CN1088" s="52">
        <f t="shared" ca="1" si="1319"/>
        <v>0</v>
      </c>
      <c r="CO1088" s="52">
        <f t="shared" ca="1" si="1319"/>
        <v>0</v>
      </c>
    </row>
    <row r="1089" spans="1:93">
      <c r="A1089" s="10"/>
      <c r="B1089" s="10"/>
      <c r="C1089" s="17"/>
      <c r="D1089" s="10"/>
      <c r="E1089" s="10"/>
      <c r="F1089" s="10"/>
      <c r="G1089" s="11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0"/>
      <c r="AH1089" s="10"/>
      <c r="AI1089" s="10"/>
      <c r="AJ1089" s="10"/>
      <c r="AK1089" s="10"/>
      <c r="AL1089" s="10"/>
      <c r="AM1089" s="10"/>
      <c r="AN1089" s="10"/>
      <c r="AO1089" s="10"/>
      <c r="AP1089" s="10"/>
      <c r="AQ1089" s="10"/>
      <c r="AR1089" s="10"/>
      <c r="AS1089" s="10"/>
      <c r="AT1089" s="10"/>
      <c r="AU1089" s="10"/>
      <c r="AV1089" s="10"/>
      <c r="AW1089" s="10"/>
      <c r="AX1089" s="10"/>
      <c r="AY1089" s="10"/>
      <c r="AZ1089" s="10"/>
      <c r="BA1089" s="10"/>
      <c r="BB1089" s="10"/>
      <c r="BC1089" s="10"/>
      <c r="BD1089" s="10"/>
      <c r="BE1089" s="10"/>
      <c r="BF1089" s="10"/>
      <c r="BG1089" s="10"/>
      <c r="BH1089" s="10"/>
      <c r="BI1089" s="10"/>
      <c r="BJ1089" s="10"/>
      <c r="BK1089" s="10"/>
      <c r="BL1089" s="10"/>
      <c r="BM1089" s="10"/>
      <c r="BN1089" s="10"/>
      <c r="BO1089" s="10"/>
      <c r="BP1089" s="10"/>
      <c r="BQ1089" s="10"/>
      <c r="BR1089" s="10"/>
      <c r="BS1089" s="10"/>
      <c r="BT1089" s="10"/>
      <c r="BU1089" s="10"/>
      <c r="BV1089" s="10"/>
      <c r="BW1089" s="10"/>
      <c r="BX1089" s="10"/>
      <c r="BY1089" s="10"/>
      <c r="BZ1089" s="10"/>
      <c r="CA1089" s="10"/>
      <c r="CB1089" s="10"/>
      <c r="CC1089" s="10"/>
      <c r="CD1089" s="10"/>
      <c r="CE1089" s="10"/>
      <c r="CF1089" s="10"/>
      <c r="CG1089" s="10"/>
      <c r="CH1089" s="10"/>
      <c r="CI1089" s="10"/>
      <c r="CJ1089" s="10"/>
      <c r="CK1089" s="10"/>
      <c r="CL1089" s="10"/>
      <c r="CM1089" s="10"/>
      <c r="CN1089" s="10"/>
      <c r="CO1089" s="10"/>
    </row>
    <row r="1090" spans="1:93">
      <c r="A1090" s="10"/>
      <c r="B1090" s="10"/>
      <c r="C1090" s="67" t="s">
        <v>536</v>
      </c>
      <c r="D1090" s="10"/>
      <c r="E1090" s="62"/>
      <c r="F1090" s="10"/>
      <c r="G1090" s="11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0"/>
      <c r="AH1090" s="10"/>
      <c r="AI1090" s="10"/>
      <c r="AJ1090" s="10"/>
      <c r="AK1090" s="10"/>
      <c r="AL1090" s="10"/>
      <c r="AM1090" s="10"/>
      <c r="AN1090" s="10"/>
      <c r="AO1090" s="10"/>
      <c r="AP1090" s="10"/>
      <c r="AQ1090" s="10"/>
      <c r="AR1090" s="10"/>
      <c r="AS1090" s="10"/>
      <c r="AT1090" s="10"/>
      <c r="AU1090" s="10"/>
      <c r="AV1090" s="10"/>
      <c r="AW1090" s="10"/>
      <c r="AX1090" s="10"/>
      <c r="AY1090" s="10"/>
      <c r="AZ1090" s="10"/>
      <c r="BA1090" s="10"/>
      <c r="BB1090" s="10"/>
      <c r="BC1090" s="10"/>
      <c r="BD1090" s="10"/>
      <c r="BE1090" s="10"/>
      <c r="BF1090" s="10"/>
      <c r="BG1090" s="10"/>
      <c r="BH1090" s="10"/>
      <c r="BI1090" s="10"/>
      <c r="BJ1090" s="10"/>
      <c r="BK1090" s="10"/>
      <c r="BL1090" s="10"/>
      <c r="BM1090" s="10"/>
      <c r="BN1090" s="10"/>
      <c r="BO1090" s="10"/>
      <c r="BP1090" s="10"/>
      <c r="BQ1090" s="10"/>
      <c r="BR1090" s="10"/>
      <c r="BS1090" s="10"/>
      <c r="BT1090" s="10"/>
      <c r="BU1090" s="10"/>
      <c r="BV1090" s="10"/>
      <c r="BW1090" s="10"/>
      <c r="BX1090" s="10"/>
      <c r="BY1090" s="10"/>
      <c r="BZ1090" s="10"/>
      <c r="CA1090" s="10"/>
      <c r="CB1090" s="10"/>
      <c r="CC1090" s="10"/>
      <c r="CD1090" s="10"/>
      <c r="CE1090" s="10"/>
      <c r="CF1090" s="10"/>
      <c r="CG1090" s="10"/>
      <c r="CH1090" s="10"/>
      <c r="CI1090" s="10"/>
      <c r="CJ1090" s="10"/>
      <c r="CK1090" s="10"/>
      <c r="CL1090" s="10"/>
      <c r="CM1090" s="10"/>
      <c r="CN1090" s="10"/>
      <c r="CO1090" s="10"/>
    </row>
    <row r="1091" spans="1:93">
      <c r="A1091" s="10"/>
      <c r="B1091" s="10"/>
      <c r="C1091" s="17" t="s">
        <v>396</v>
      </c>
      <c r="D1091" s="10"/>
      <c r="E1091" s="62"/>
      <c r="F1091" s="10"/>
      <c r="G1091" s="11" t="str">
        <f>Monetary_Unit</f>
        <v>тыс. руб.</v>
      </c>
      <c r="H1091" s="10"/>
      <c r="I1091" s="23">
        <f ca="1">SUM(L1091:CO1091)</f>
        <v>1228427.6946609463</v>
      </c>
      <c r="J1091" s="10"/>
      <c r="K1091" s="10"/>
      <c r="L1091" s="52">
        <f>IF(L1108=0,0,L1103/(1-(1+L1100+Very_Small_Number)^-L1108))*L1107</f>
        <v>0</v>
      </c>
      <c r="M1091" s="52">
        <f t="shared" ref="M1091:BX1091" si="1320">IF(M1108=0,0,M1103/(1-(1+M1100+Very_Small_Number)^-M1108))*M1107</f>
        <v>0</v>
      </c>
      <c r="N1091" s="52">
        <f t="shared" si="1320"/>
        <v>0</v>
      </c>
      <c r="O1091" s="52">
        <f t="shared" si="1320"/>
        <v>0</v>
      </c>
      <c r="P1091" s="52">
        <f t="shared" si="1320"/>
        <v>0</v>
      </c>
      <c r="Q1091" s="52">
        <f t="shared" si="1320"/>
        <v>0</v>
      </c>
      <c r="R1091" s="52">
        <f t="shared" si="1320"/>
        <v>0</v>
      </c>
      <c r="S1091" s="52">
        <f t="shared" si="1320"/>
        <v>0</v>
      </c>
      <c r="T1091" s="52">
        <f t="shared" si="1320"/>
        <v>0</v>
      </c>
      <c r="U1091" s="52">
        <f t="shared" si="1320"/>
        <v>0</v>
      </c>
      <c r="V1091" s="52">
        <f t="shared" si="1320"/>
        <v>0</v>
      </c>
      <c r="W1091" s="52">
        <f t="shared" si="1320"/>
        <v>0</v>
      </c>
      <c r="X1091" s="52">
        <f t="shared" si="1320"/>
        <v>0</v>
      </c>
      <c r="Y1091" s="52">
        <f t="shared" si="1320"/>
        <v>0</v>
      </c>
      <c r="Z1091" s="52">
        <f t="shared" si="1320"/>
        <v>0</v>
      </c>
      <c r="AA1091" s="52">
        <f t="shared" si="1320"/>
        <v>0</v>
      </c>
      <c r="AB1091" s="52">
        <f t="shared" si="1320"/>
        <v>0</v>
      </c>
      <c r="AC1091" s="52">
        <f t="shared" ca="1" si="1320"/>
        <v>110567.75012567204</v>
      </c>
      <c r="AD1091" s="52">
        <f t="shared" ca="1" si="1320"/>
        <v>96248.546562723597</v>
      </c>
      <c r="AE1091" s="52">
        <f t="shared" ca="1" si="1320"/>
        <v>90142.38871499279</v>
      </c>
      <c r="AF1091" s="52">
        <f t="shared" ca="1" si="1320"/>
        <v>87245.017411696346</v>
      </c>
      <c r="AG1091" s="52">
        <f t="shared" ca="1" si="1320"/>
        <v>87606.370375040555</v>
      </c>
      <c r="AH1091" s="52">
        <f t="shared" ca="1" si="1320"/>
        <v>87541.393463441651</v>
      </c>
      <c r="AI1091" s="52">
        <f t="shared" ca="1" si="1320"/>
        <v>83144.890763924748</v>
      </c>
      <c r="AJ1091" s="52">
        <f t="shared" ca="1" si="1320"/>
        <v>78434.094470871554</v>
      </c>
      <c r="AK1091" s="52">
        <f t="shared" ca="1" si="1320"/>
        <v>77650.316529331045</v>
      </c>
      <c r="AL1091" s="52">
        <f t="shared" ca="1" si="1320"/>
        <v>76213.415121312399</v>
      </c>
      <c r="AM1091" s="52">
        <f t="shared" ca="1" si="1320"/>
        <v>68979.477970751177</v>
      </c>
      <c r="AN1091" s="52">
        <f t="shared" ca="1" si="1320"/>
        <v>61368.870966495917</v>
      </c>
      <c r="AO1091" s="52">
        <f t="shared" ca="1" si="1320"/>
        <v>58345.611689029887</v>
      </c>
      <c r="AP1091" s="52">
        <f t="shared" ca="1" si="1320"/>
        <v>54366.623264059301</v>
      </c>
      <c r="AQ1091" s="52">
        <f t="shared" ca="1" si="1320"/>
        <v>42473.747188177287</v>
      </c>
      <c r="AR1091" s="52">
        <f t="shared" ca="1" si="1320"/>
        <v>29883.453498520721</v>
      </c>
      <c r="AS1091" s="52">
        <f t="shared" ca="1" si="1320"/>
        <v>23229.256335505197</v>
      </c>
      <c r="AT1091" s="52">
        <f t="shared" ca="1" si="1320"/>
        <v>14986.470209400182</v>
      </c>
      <c r="AU1091" s="52">
        <f t="shared" ca="1" si="1320"/>
        <v>0</v>
      </c>
      <c r="AV1091" s="52">
        <f t="shared" ca="1" si="1320"/>
        <v>0</v>
      </c>
      <c r="AW1091" s="52">
        <f t="shared" ca="1" si="1320"/>
        <v>0</v>
      </c>
      <c r="AX1091" s="52">
        <f t="shared" ca="1" si="1320"/>
        <v>0</v>
      </c>
      <c r="AY1091" s="52">
        <f t="shared" ca="1" si="1320"/>
        <v>0</v>
      </c>
      <c r="AZ1091" s="52">
        <f t="shared" ca="1" si="1320"/>
        <v>0</v>
      </c>
      <c r="BA1091" s="52">
        <f t="shared" ca="1" si="1320"/>
        <v>0</v>
      </c>
      <c r="BB1091" s="52">
        <f t="shared" ca="1" si="1320"/>
        <v>0</v>
      </c>
      <c r="BC1091" s="52">
        <f t="shared" ca="1" si="1320"/>
        <v>0</v>
      </c>
      <c r="BD1091" s="52">
        <f t="shared" ca="1" si="1320"/>
        <v>0</v>
      </c>
      <c r="BE1091" s="52">
        <f t="shared" ca="1" si="1320"/>
        <v>0</v>
      </c>
      <c r="BF1091" s="52">
        <f t="shared" ca="1" si="1320"/>
        <v>0</v>
      </c>
      <c r="BG1091" s="52">
        <f t="shared" ca="1" si="1320"/>
        <v>0</v>
      </c>
      <c r="BH1091" s="52">
        <f t="shared" si="1320"/>
        <v>0</v>
      </c>
      <c r="BI1091" s="52">
        <f t="shared" si="1320"/>
        <v>0</v>
      </c>
      <c r="BJ1091" s="52">
        <f t="shared" si="1320"/>
        <v>0</v>
      </c>
      <c r="BK1091" s="52">
        <f t="shared" si="1320"/>
        <v>0</v>
      </c>
      <c r="BL1091" s="52">
        <f t="shared" si="1320"/>
        <v>0</v>
      </c>
      <c r="BM1091" s="52">
        <f t="shared" si="1320"/>
        <v>0</v>
      </c>
      <c r="BN1091" s="52">
        <f t="shared" si="1320"/>
        <v>0</v>
      </c>
      <c r="BO1091" s="52">
        <f t="shared" si="1320"/>
        <v>0</v>
      </c>
      <c r="BP1091" s="52">
        <f t="shared" si="1320"/>
        <v>0</v>
      </c>
      <c r="BQ1091" s="52">
        <f t="shared" si="1320"/>
        <v>0</v>
      </c>
      <c r="BR1091" s="52">
        <f t="shared" si="1320"/>
        <v>0</v>
      </c>
      <c r="BS1091" s="52">
        <f t="shared" si="1320"/>
        <v>0</v>
      </c>
      <c r="BT1091" s="52">
        <f t="shared" si="1320"/>
        <v>0</v>
      </c>
      <c r="BU1091" s="52">
        <f t="shared" si="1320"/>
        <v>0</v>
      </c>
      <c r="BV1091" s="52">
        <f t="shared" si="1320"/>
        <v>0</v>
      </c>
      <c r="BW1091" s="52">
        <f t="shared" si="1320"/>
        <v>0</v>
      </c>
      <c r="BX1091" s="52">
        <f t="shared" si="1320"/>
        <v>0</v>
      </c>
      <c r="BY1091" s="52">
        <f t="shared" ref="BY1091:CO1091" si="1321">IF(BY1108=0,0,BY1103/(1-(1+BY1100+Very_Small_Number)^-BY1108))*BY1107</f>
        <v>0</v>
      </c>
      <c r="BZ1091" s="52">
        <f t="shared" si="1321"/>
        <v>0</v>
      </c>
      <c r="CA1091" s="52">
        <f t="shared" si="1321"/>
        <v>0</v>
      </c>
      <c r="CB1091" s="52">
        <f t="shared" si="1321"/>
        <v>0</v>
      </c>
      <c r="CC1091" s="52">
        <f t="shared" si="1321"/>
        <v>0</v>
      </c>
      <c r="CD1091" s="52">
        <f t="shared" si="1321"/>
        <v>0</v>
      </c>
      <c r="CE1091" s="52">
        <f t="shared" si="1321"/>
        <v>0</v>
      </c>
      <c r="CF1091" s="52">
        <f t="shared" si="1321"/>
        <v>0</v>
      </c>
      <c r="CG1091" s="52">
        <f t="shared" si="1321"/>
        <v>0</v>
      </c>
      <c r="CH1091" s="52">
        <f t="shared" si="1321"/>
        <v>0</v>
      </c>
      <c r="CI1091" s="52">
        <f t="shared" si="1321"/>
        <v>0</v>
      </c>
      <c r="CJ1091" s="52">
        <f t="shared" si="1321"/>
        <v>0</v>
      </c>
      <c r="CK1091" s="52">
        <f t="shared" si="1321"/>
        <v>0</v>
      </c>
      <c r="CL1091" s="52">
        <f t="shared" si="1321"/>
        <v>0</v>
      </c>
      <c r="CM1091" s="52">
        <f t="shared" si="1321"/>
        <v>0</v>
      </c>
      <c r="CN1091" s="52">
        <f t="shared" si="1321"/>
        <v>0</v>
      </c>
      <c r="CO1091" s="52">
        <f t="shared" si="1321"/>
        <v>0</v>
      </c>
    </row>
    <row r="1092" spans="1:93">
      <c r="A1092" s="10"/>
      <c r="B1092" s="10"/>
      <c r="C1092" s="21" t="s">
        <v>332</v>
      </c>
      <c r="D1092" s="10"/>
      <c r="E1092" s="62"/>
      <c r="F1092" s="10"/>
      <c r="G1092" s="11" t="str">
        <f>Monetary_Unit</f>
        <v>тыс. руб.</v>
      </c>
      <c r="H1092" s="10"/>
      <c r="I1092" s="23">
        <f ca="1">SUM(L1092:CO1092)</f>
        <v>348972.14176435355</v>
      </c>
      <c r="J1092" s="10"/>
      <c r="K1092" s="10"/>
      <c r="L1092" s="52">
        <f>L1103*L$1081</f>
        <v>0</v>
      </c>
      <c r="M1092" s="52">
        <f t="shared" ref="M1092:BX1092" ca="1" si="1322">M1103*M$1081</f>
        <v>0</v>
      </c>
      <c r="N1092" s="52">
        <f t="shared" ca="1" si="1322"/>
        <v>0</v>
      </c>
      <c r="O1092" s="52">
        <f t="shared" ca="1" si="1322"/>
        <v>0</v>
      </c>
      <c r="P1092" s="52">
        <f t="shared" ca="1" si="1322"/>
        <v>0</v>
      </c>
      <c r="Q1092" s="52">
        <f t="shared" ca="1" si="1322"/>
        <v>0</v>
      </c>
      <c r="R1092" s="52">
        <f t="shared" ca="1" si="1322"/>
        <v>0</v>
      </c>
      <c r="S1092" s="52">
        <f t="shared" ca="1" si="1322"/>
        <v>0</v>
      </c>
      <c r="T1092" s="52">
        <f t="shared" ca="1" si="1322"/>
        <v>0</v>
      </c>
      <c r="U1092" s="52">
        <f t="shared" ca="1" si="1322"/>
        <v>0</v>
      </c>
      <c r="V1092" s="52">
        <f t="shared" ca="1" si="1322"/>
        <v>0</v>
      </c>
      <c r="W1092" s="52">
        <f t="shared" ca="1" si="1322"/>
        <v>0</v>
      </c>
      <c r="X1092" s="52">
        <f t="shared" ca="1" si="1322"/>
        <v>0</v>
      </c>
      <c r="Y1092" s="52">
        <f t="shared" ca="1" si="1322"/>
        <v>0</v>
      </c>
      <c r="Z1092" s="52">
        <f t="shared" ca="1" si="1322"/>
        <v>0</v>
      </c>
      <c r="AA1092" s="52">
        <f t="shared" ca="1" si="1322"/>
        <v>0</v>
      </c>
      <c r="AB1092" s="52">
        <f t="shared" ca="1" si="1322"/>
        <v>0</v>
      </c>
      <c r="AC1092" s="52">
        <f t="shared" ca="1" si="1322"/>
        <v>38354.581535515288</v>
      </c>
      <c r="AD1092" s="52">
        <f t="shared" ca="1" si="1322"/>
        <v>32803.703361364605</v>
      </c>
      <c r="AE1092" s="52">
        <f t="shared" ca="1" si="1322"/>
        <v>29891.359146755047</v>
      </c>
      <c r="AF1092" s="52">
        <f t="shared" ca="1" si="1322"/>
        <v>27616.105945096959</v>
      </c>
      <c r="AG1092" s="52">
        <f t="shared" ca="1" si="1322"/>
        <v>27156.393128187661</v>
      </c>
      <c r="AH1092" s="52">
        <f t="shared" ca="1" si="1322"/>
        <v>26538.750611260843</v>
      </c>
      <c r="AI1092" s="52">
        <f t="shared" ca="1" si="1322"/>
        <v>24395.411155234164</v>
      </c>
      <c r="AJ1092" s="52">
        <f t="shared" ca="1" si="1322"/>
        <v>21831.922145464901</v>
      </c>
      <c r="AK1092" s="52">
        <f t="shared" ca="1" si="1322"/>
        <v>21042.52524153925</v>
      </c>
      <c r="AL1092" s="52">
        <f t="shared" ca="1" si="1322"/>
        <v>20069.891622505023</v>
      </c>
      <c r="AM1092" s="52">
        <f t="shared" ca="1" si="1322"/>
        <v>17454.073787044064</v>
      </c>
      <c r="AN1092" s="52">
        <f t="shared" ca="1" si="1322"/>
        <v>14712.666046453658</v>
      </c>
      <c r="AO1092" s="52">
        <f t="shared" ca="1" si="1322"/>
        <v>13375.764703781109</v>
      </c>
      <c r="AP1092" s="52">
        <f t="shared" ca="1" si="1322"/>
        <v>11999.563981574278</v>
      </c>
      <c r="AQ1092" s="52">
        <f t="shared" ca="1" si="1322"/>
        <v>8912.8602572211221</v>
      </c>
      <c r="AR1092" s="52">
        <f t="shared" ca="1" si="1322"/>
        <v>5840.770680695141</v>
      </c>
      <c r="AS1092" s="52">
        <f t="shared" ca="1" si="1322"/>
        <v>4327.01356872835</v>
      </c>
      <c r="AT1092" s="52">
        <f t="shared" ca="1" si="1322"/>
        <v>2648.7848459321053</v>
      </c>
      <c r="AU1092" s="52">
        <f t="shared" ca="1" si="1322"/>
        <v>0</v>
      </c>
      <c r="AV1092" s="52">
        <f t="shared" ca="1" si="1322"/>
        <v>0</v>
      </c>
      <c r="AW1092" s="52">
        <f t="shared" ca="1" si="1322"/>
        <v>0</v>
      </c>
      <c r="AX1092" s="52">
        <f t="shared" ca="1" si="1322"/>
        <v>0</v>
      </c>
      <c r="AY1092" s="52">
        <f t="shared" ca="1" si="1322"/>
        <v>0</v>
      </c>
      <c r="AZ1092" s="52">
        <f t="shared" ca="1" si="1322"/>
        <v>0</v>
      </c>
      <c r="BA1092" s="52">
        <f t="shared" ca="1" si="1322"/>
        <v>0</v>
      </c>
      <c r="BB1092" s="52">
        <f t="shared" ca="1" si="1322"/>
        <v>0</v>
      </c>
      <c r="BC1092" s="52">
        <f t="shared" ca="1" si="1322"/>
        <v>0</v>
      </c>
      <c r="BD1092" s="52">
        <f t="shared" ca="1" si="1322"/>
        <v>0</v>
      </c>
      <c r="BE1092" s="52">
        <f t="shared" ca="1" si="1322"/>
        <v>0</v>
      </c>
      <c r="BF1092" s="52">
        <f t="shared" ca="1" si="1322"/>
        <v>0</v>
      </c>
      <c r="BG1092" s="52">
        <f t="shared" ca="1" si="1322"/>
        <v>0</v>
      </c>
      <c r="BH1092" s="52">
        <f t="shared" ca="1" si="1322"/>
        <v>0</v>
      </c>
      <c r="BI1092" s="52">
        <f t="shared" ca="1" si="1322"/>
        <v>0</v>
      </c>
      <c r="BJ1092" s="52">
        <f t="shared" ca="1" si="1322"/>
        <v>0</v>
      </c>
      <c r="BK1092" s="52">
        <f t="shared" ca="1" si="1322"/>
        <v>0</v>
      </c>
      <c r="BL1092" s="52">
        <f t="shared" ca="1" si="1322"/>
        <v>0</v>
      </c>
      <c r="BM1092" s="52">
        <f t="shared" ca="1" si="1322"/>
        <v>0</v>
      </c>
      <c r="BN1092" s="52">
        <f t="shared" ca="1" si="1322"/>
        <v>0</v>
      </c>
      <c r="BO1092" s="52">
        <f t="shared" ca="1" si="1322"/>
        <v>0</v>
      </c>
      <c r="BP1092" s="52">
        <f t="shared" ca="1" si="1322"/>
        <v>0</v>
      </c>
      <c r="BQ1092" s="52">
        <f t="shared" ca="1" si="1322"/>
        <v>0</v>
      </c>
      <c r="BR1092" s="52">
        <f t="shared" ca="1" si="1322"/>
        <v>0</v>
      </c>
      <c r="BS1092" s="52">
        <f t="shared" ca="1" si="1322"/>
        <v>0</v>
      </c>
      <c r="BT1092" s="52">
        <f t="shared" ca="1" si="1322"/>
        <v>0</v>
      </c>
      <c r="BU1092" s="52">
        <f t="shared" ca="1" si="1322"/>
        <v>0</v>
      </c>
      <c r="BV1092" s="52">
        <f t="shared" ca="1" si="1322"/>
        <v>0</v>
      </c>
      <c r="BW1092" s="52">
        <f t="shared" ca="1" si="1322"/>
        <v>0</v>
      </c>
      <c r="BX1092" s="52">
        <f t="shared" ca="1" si="1322"/>
        <v>0</v>
      </c>
      <c r="BY1092" s="52">
        <f t="shared" ref="BY1092:CO1092" ca="1" si="1323">BY1103*BY$1081</f>
        <v>0</v>
      </c>
      <c r="BZ1092" s="52">
        <f t="shared" ca="1" si="1323"/>
        <v>0</v>
      </c>
      <c r="CA1092" s="52">
        <f t="shared" ca="1" si="1323"/>
        <v>0</v>
      </c>
      <c r="CB1092" s="52">
        <f t="shared" ca="1" si="1323"/>
        <v>0</v>
      </c>
      <c r="CC1092" s="52">
        <f t="shared" ca="1" si="1323"/>
        <v>0</v>
      </c>
      <c r="CD1092" s="52">
        <f t="shared" ca="1" si="1323"/>
        <v>0</v>
      </c>
      <c r="CE1092" s="52">
        <f t="shared" ca="1" si="1323"/>
        <v>0</v>
      </c>
      <c r="CF1092" s="52">
        <f t="shared" ca="1" si="1323"/>
        <v>0</v>
      </c>
      <c r="CG1092" s="52">
        <f t="shared" ca="1" si="1323"/>
        <v>0</v>
      </c>
      <c r="CH1092" s="52">
        <f t="shared" ca="1" si="1323"/>
        <v>0</v>
      </c>
      <c r="CI1092" s="52">
        <f t="shared" ca="1" si="1323"/>
        <v>0</v>
      </c>
      <c r="CJ1092" s="52">
        <f t="shared" ca="1" si="1323"/>
        <v>0</v>
      </c>
      <c r="CK1092" s="52">
        <f t="shared" ca="1" si="1323"/>
        <v>0</v>
      </c>
      <c r="CL1092" s="52">
        <f t="shared" ca="1" si="1323"/>
        <v>0</v>
      </c>
      <c r="CM1092" s="52">
        <f t="shared" ca="1" si="1323"/>
        <v>0</v>
      </c>
      <c r="CN1092" s="52">
        <f t="shared" ca="1" si="1323"/>
        <v>0</v>
      </c>
      <c r="CO1092" s="52">
        <f t="shared" ca="1" si="1323"/>
        <v>0</v>
      </c>
    </row>
    <row r="1093" spans="1:93">
      <c r="A1093" s="10"/>
      <c r="B1093" s="10"/>
      <c r="C1093" s="21" t="s">
        <v>194</v>
      </c>
      <c r="D1093" s="10"/>
      <c r="E1093" s="62"/>
      <c r="F1093" s="10"/>
      <c r="G1093" s="11" t="str">
        <f>Monetary_Unit</f>
        <v>тыс. руб.</v>
      </c>
      <c r="H1093" s="10"/>
      <c r="I1093" s="23">
        <f ca="1">SUM(L1093:CO1093)</f>
        <v>879455.55289659288</v>
      </c>
      <c r="J1093" s="10"/>
      <c r="K1093" s="10"/>
      <c r="L1093" s="52">
        <f>(L1091-L1092)*L$1081</f>
        <v>0</v>
      </c>
      <c r="M1093" s="52">
        <f t="shared" ref="M1093:BX1093" ca="1" si="1324">(M1091-M1092)*M$1081</f>
        <v>0</v>
      </c>
      <c r="N1093" s="52">
        <f t="shared" ca="1" si="1324"/>
        <v>0</v>
      </c>
      <c r="O1093" s="52">
        <f t="shared" ca="1" si="1324"/>
        <v>0</v>
      </c>
      <c r="P1093" s="52">
        <f t="shared" ca="1" si="1324"/>
        <v>0</v>
      </c>
      <c r="Q1093" s="52">
        <f t="shared" ca="1" si="1324"/>
        <v>0</v>
      </c>
      <c r="R1093" s="52">
        <f t="shared" ca="1" si="1324"/>
        <v>0</v>
      </c>
      <c r="S1093" s="52">
        <f t="shared" ca="1" si="1324"/>
        <v>0</v>
      </c>
      <c r="T1093" s="52">
        <f t="shared" ca="1" si="1324"/>
        <v>0</v>
      </c>
      <c r="U1093" s="52">
        <f t="shared" ca="1" si="1324"/>
        <v>0</v>
      </c>
      <c r="V1093" s="52">
        <f t="shared" ca="1" si="1324"/>
        <v>0</v>
      </c>
      <c r="W1093" s="52">
        <f t="shared" ca="1" si="1324"/>
        <v>0</v>
      </c>
      <c r="X1093" s="52">
        <f t="shared" ca="1" si="1324"/>
        <v>0</v>
      </c>
      <c r="Y1093" s="52">
        <f t="shared" ca="1" si="1324"/>
        <v>0</v>
      </c>
      <c r="Z1093" s="52">
        <f t="shared" ca="1" si="1324"/>
        <v>0</v>
      </c>
      <c r="AA1093" s="52">
        <f t="shared" ca="1" si="1324"/>
        <v>0</v>
      </c>
      <c r="AB1093" s="52">
        <f t="shared" ca="1" si="1324"/>
        <v>0</v>
      </c>
      <c r="AC1093" s="52">
        <f t="shared" ca="1" si="1324"/>
        <v>72213.168590156754</v>
      </c>
      <c r="AD1093" s="52">
        <f t="shared" ca="1" si="1324"/>
        <v>63444.843201358992</v>
      </c>
      <c r="AE1093" s="52">
        <f t="shared" ca="1" si="1324"/>
        <v>60251.029568237747</v>
      </c>
      <c r="AF1093" s="52">
        <f t="shared" ca="1" si="1324"/>
        <v>59628.911466599384</v>
      </c>
      <c r="AG1093" s="52">
        <f t="shared" ca="1" si="1324"/>
        <v>60449.977246852897</v>
      </c>
      <c r="AH1093" s="52">
        <f t="shared" ca="1" si="1324"/>
        <v>61002.642852180812</v>
      </c>
      <c r="AI1093" s="52">
        <f t="shared" ca="1" si="1324"/>
        <v>58749.479608690584</v>
      </c>
      <c r="AJ1093" s="52">
        <f t="shared" ca="1" si="1324"/>
        <v>56602.172325406653</v>
      </c>
      <c r="AK1093" s="52">
        <f t="shared" ca="1" si="1324"/>
        <v>56607.791287791799</v>
      </c>
      <c r="AL1093" s="52">
        <f t="shared" ca="1" si="1324"/>
        <v>56143.523498807379</v>
      </c>
      <c r="AM1093" s="52">
        <f t="shared" ca="1" si="1324"/>
        <v>51525.404183707113</v>
      </c>
      <c r="AN1093" s="52">
        <f t="shared" ca="1" si="1324"/>
        <v>46656.204920042263</v>
      </c>
      <c r="AO1093" s="52">
        <f t="shared" ca="1" si="1324"/>
        <v>44969.846985248776</v>
      </c>
      <c r="AP1093" s="52">
        <f t="shared" ca="1" si="1324"/>
        <v>42367.059282485025</v>
      </c>
      <c r="AQ1093" s="52">
        <f t="shared" ca="1" si="1324"/>
        <v>33560.886930956163</v>
      </c>
      <c r="AR1093" s="52">
        <f t="shared" ca="1" si="1324"/>
        <v>24042.682817825582</v>
      </c>
      <c r="AS1093" s="52">
        <f t="shared" ca="1" si="1324"/>
        <v>18902.242766776846</v>
      </c>
      <c r="AT1093" s="52">
        <f t="shared" ca="1" si="1324"/>
        <v>12337.685363468077</v>
      </c>
      <c r="AU1093" s="52">
        <f t="shared" ca="1" si="1324"/>
        <v>0</v>
      </c>
      <c r="AV1093" s="52">
        <f t="shared" ca="1" si="1324"/>
        <v>0</v>
      </c>
      <c r="AW1093" s="52">
        <f t="shared" ca="1" si="1324"/>
        <v>0</v>
      </c>
      <c r="AX1093" s="52">
        <f t="shared" ca="1" si="1324"/>
        <v>0</v>
      </c>
      <c r="AY1093" s="52">
        <f t="shared" ca="1" si="1324"/>
        <v>0</v>
      </c>
      <c r="AZ1093" s="52">
        <f t="shared" ca="1" si="1324"/>
        <v>0</v>
      </c>
      <c r="BA1093" s="52">
        <f t="shared" ca="1" si="1324"/>
        <v>0</v>
      </c>
      <c r="BB1093" s="52">
        <f t="shared" ca="1" si="1324"/>
        <v>0</v>
      </c>
      <c r="BC1093" s="52">
        <f t="shared" ca="1" si="1324"/>
        <v>0</v>
      </c>
      <c r="BD1093" s="52">
        <f t="shared" ca="1" si="1324"/>
        <v>0</v>
      </c>
      <c r="BE1093" s="52">
        <f t="shared" ca="1" si="1324"/>
        <v>0</v>
      </c>
      <c r="BF1093" s="52">
        <f t="shared" ca="1" si="1324"/>
        <v>0</v>
      </c>
      <c r="BG1093" s="52">
        <f t="shared" ca="1" si="1324"/>
        <v>0</v>
      </c>
      <c r="BH1093" s="52">
        <f t="shared" ca="1" si="1324"/>
        <v>0</v>
      </c>
      <c r="BI1093" s="52">
        <f t="shared" ca="1" si="1324"/>
        <v>0</v>
      </c>
      <c r="BJ1093" s="52">
        <f t="shared" ca="1" si="1324"/>
        <v>0</v>
      </c>
      <c r="BK1093" s="52">
        <f t="shared" ca="1" si="1324"/>
        <v>0</v>
      </c>
      <c r="BL1093" s="52">
        <f t="shared" ca="1" si="1324"/>
        <v>0</v>
      </c>
      <c r="BM1093" s="52">
        <f t="shared" ca="1" si="1324"/>
        <v>0</v>
      </c>
      <c r="BN1093" s="52">
        <f t="shared" ca="1" si="1324"/>
        <v>0</v>
      </c>
      <c r="BO1093" s="52">
        <f t="shared" ca="1" si="1324"/>
        <v>0</v>
      </c>
      <c r="BP1093" s="52">
        <f t="shared" ca="1" si="1324"/>
        <v>0</v>
      </c>
      <c r="BQ1093" s="52">
        <f t="shared" ca="1" si="1324"/>
        <v>0</v>
      </c>
      <c r="BR1093" s="52">
        <f t="shared" ca="1" si="1324"/>
        <v>0</v>
      </c>
      <c r="BS1093" s="52">
        <f t="shared" ca="1" si="1324"/>
        <v>0</v>
      </c>
      <c r="BT1093" s="52">
        <f t="shared" ca="1" si="1324"/>
        <v>0</v>
      </c>
      <c r="BU1093" s="52">
        <f t="shared" ca="1" si="1324"/>
        <v>0</v>
      </c>
      <c r="BV1093" s="52">
        <f t="shared" ca="1" si="1324"/>
        <v>0</v>
      </c>
      <c r="BW1093" s="52">
        <f t="shared" ca="1" si="1324"/>
        <v>0</v>
      </c>
      <c r="BX1093" s="52">
        <f t="shared" ca="1" si="1324"/>
        <v>0</v>
      </c>
      <c r="BY1093" s="52">
        <f t="shared" ref="BY1093:CO1093" ca="1" si="1325">(BY1091-BY1092)*BY$1081</f>
        <v>0</v>
      </c>
      <c r="BZ1093" s="52">
        <f t="shared" ca="1" si="1325"/>
        <v>0</v>
      </c>
      <c r="CA1093" s="52">
        <f t="shared" ca="1" si="1325"/>
        <v>0</v>
      </c>
      <c r="CB1093" s="52">
        <f t="shared" ca="1" si="1325"/>
        <v>0</v>
      </c>
      <c r="CC1093" s="52">
        <f t="shared" ca="1" si="1325"/>
        <v>0</v>
      </c>
      <c r="CD1093" s="52">
        <f t="shared" ca="1" si="1325"/>
        <v>0</v>
      </c>
      <c r="CE1093" s="52">
        <f t="shared" ca="1" si="1325"/>
        <v>0</v>
      </c>
      <c r="CF1093" s="52">
        <f t="shared" ca="1" si="1325"/>
        <v>0</v>
      </c>
      <c r="CG1093" s="52">
        <f t="shared" ca="1" si="1325"/>
        <v>0</v>
      </c>
      <c r="CH1093" s="52">
        <f t="shared" ca="1" si="1325"/>
        <v>0</v>
      </c>
      <c r="CI1093" s="52">
        <f t="shared" ca="1" si="1325"/>
        <v>0</v>
      </c>
      <c r="CJ1093" s="52">
        <f t="shared" ca="1" si="1325"/>
        <v>0</v>
      </c>
      <c r="CK1093" s="52">
        <f t="shared" ca="1" si="1325"/>
        <v>0</v>
      </c>
      <c r="CL1093" s="52">
        <f t="shared" ca="1" si="1325"/>
        <v>0</v>
      </c>
      <c r="CM1093" s="52">
        <f t="shared" ca="1" si="1325"/>
        <v>0</v>
      </c>
      <c r="CN1093" s="52">
        <f t="shared" ca="1" si="1325"/>
        <v>0</v>
      </c>
      <c r="CO1093" s="52">
        <f t="shared" ca="1" si="1325"/>
        <v>0</v>
      </c>
    </row>
    <row r="1094" spans="1:93">
      <c r="A1094" s="10"/>
      <c r="B1094" s="10"/>
      <c r="C1094" s="17"/>
      <c r="D1094" s="10"/>
      <c r="E1094" s="10"/>
      <c r="F1094" s="10"/>
      <c r="G1094" s="11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0"/>
      <c r="AH1094" s="10"/>
      <c r="AI1094" s="10"/>
      <c r="AJ1094" s="10"/>
      <c r="AK1094" s="10"/>
      <c r="AL1094" s="10"/>
      <c r="AM1094" s="10"/>
      <c r="AN1094" s="10"/>
      <c r="AO1094" s="10"/>
      <c r="AP1094" s="10"/>
      <c r="AQ1094" s="10"/>
      <c r="AR1094" s="10"/>
      <c r="AS1094" s="10"/>
      <c r="AT1094" s="10"/>
      <c r="AU1094" s="10"/>
      <c r="AV1094" s="10"/>
      <c r="AW1094" s="10"/>
      <c r="AX1094" s="10"/>
      <c r="AY1094" s="10"/>
      <c r="AZ1094" s="10"/>
      <c r="BA1094" s="10"/>
      <c r="BB1094" s="10"/>
      <c r="BC1094" s="10"/>
      <c r="BD1094" s="10"/>
      <c r="BE1094" s="10"/>
      <c r="BF1094" s="10"/>
      <c r="BG1094" s="10"/>
      <c r="BH1094" s="10"/>
      <c r="BI1094" s="10"/>
      <c r="BJ1094" s="10"/>
      <c r="BK1094" s="10"/>
      <c r="BL1094" s="10"/>
      <c r="BM1094" s="10"/>
      <c r="BN1094" s="10"/>
      <c r="BO1094" s="10"/>
      <c r="BP1094" s="10"/>
      <c r="BQ1094" s="10"/>
      <c r="BR1094" s="10"/>
      <c r="BS1094" s="10"/>
      <c r="BT1094" s="10"/>
      <c r="BU1094" s="10"/>
      <c r="BV1094" s="10"/>
      <c r="BW1094" s="10"/>
      <c r="BX1094" s="10"/>
      <c r="BY1094" s="10"/>
      <c r="BZ1094" s="10"/>
      <c r="CA1094" s="10"/>
      <c r="CB1094" s="10"/>
      <c r="CC1094" s="10"/>
      <c r="CD1094" s="10"/>
      <c r="CE1094" s="10"/>
      <c r="CF1094" s="10"/>
      <c r="CG1094" s="10"/>
      <c r="CH1094" s="10"/>
      <c r="CI1094" s="10"/>
      <c r="CJ1094" s="10"/>
      <c r="CK1094" s="10"/>
      <c r="CL1094" s="10"/>
      <c r="CM1094" s="10"/>
      <c r="CN1094" s="10"/>
      <c r="CO1094" s="10"/>
    </row>
    <row r="1095" spans="1:93">
      <c r="A1095" s="10"/>
      <c r="B1095" s="10"/>
      <c r="C1095" s="67" t="s">
        <v>434</v>
      </c>
      <c r="D1095" s="10"/>
      <c r="E1095" s="10"/>
      <c r="F1095" s="10"/>
      <c r="G1095" s="11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0"/>
      <c r="AH1095" s="10"/>
      <c r="AI1095" s="10"/>
      <c r="AJ1095" s="10"/>
      <c r="AK1095" s="10"/>
      <c r="AL1095" s="10"/>
      <c r="AM1095" s="10"/>
      <c r="AN1095" s="10"/>
      <c r="AO1095" s="10"/>
      <c r="AP1095" s="10"/>
      <c r="AQ1095" s="10"/>
      <c r="AR1095" s="10"/>
      <c r="AS1095" s="10"/>
      <c r="AT1095" s="10"/>
      <c r="AU1095" s="10"/>
      <c r="AV1095" s="10"/>
      <c r="AW1095" s="10"/>
      <c r="AX1095" s="10"/>
      <c r="AY1095" s="10"/>
      <c r="AZ1095" s="10"/>
      <c r="BA1095" s="10"/>
      <c r="BB1095" s="10"/>
      <c r="BC1095" s="10"/>
      <c r="BD1095" s="10"/>
      <c r="BE1095" s="10"/>
      <c r="BF1095" s="10"/>
      <c r="BG1095" s="10"/>
      <c r="BH1095" s="10"/>
      <c r="BI1095" s="10"/>
      <c r="BJ1095" s="10"/>
      <c r="BK1095" s="10"/>
      <c r="BL1095" s="10"/>
      <c r="BM1095" s="10"/>
      <c r="BN1095" s="10"/>
      <c r="BO1095" s="10"/>
      <c r="BP1095" s="10"/>
      <c r="BQ1095" s="10"/>
      <c r="BR1095" s="10"/>
      <c r="BS1095" s="10"/>
      <c r="BT1095" s="10"/>
      <c r="BU1095" s="10"/>
      <c r="BV1095" s="10"/>
      <c r="BW1095" s="10"/>
      <c r="BX1095" s="10"/>
      <c r="BY1095" s="10"/>
      <c r="BZ1095" s="10"/>
      <c r="CA1095" s="10"/>
      <c r="CB1095" s="10"/>
      <c r="CC1095" s="10"/>
      <c r="CD1095" s="10"/>
      <c r="CE1095" s="10"/>
      <c r="CF1095" s="10"/>
      <c r="CG1095" s="10"/>
      <c r="CH1095" s="10"/>
      <c r="CI1095" s="10"/>
      <c r="CJ1095" s="10"/>
      <c r="CK1095" s="10"/>
      <c r="CL1095" s="10"/>
      <c r="CM1095" s="10"/>
      <c r="CN1095" s="10"/>
      <c r="CO1095" s="10"/>
    </row>
    <row r="1096" spans="1:93">
      <c r="A1096" s="10"/>
      <c r="B1096" s="10"/>
      <c r="C1096" s="40" t="s">
        <v>337</v>
      </c>
      <c r="D1096" s="10"/>
      <c r="E1096" s="178">
        <f xml:space="preserve"> Предпосылки!E559 + Debt_rate_sens</f>
        <v>0.03</v>
      </c>
      <c r="F1096" s="10"/>
      <c r="G1096" s="11" t="s">
        <v>983</v>
      </c>
      <c r="H1096" s="10"/>
      <c r="I1096" s="10"/>
      <c r="J1096" s="10"/>
      <c r="K1096" s="10"/>
      <c r="L1096" s="58">
        <f t="shared" ref="L1096:AQ1096" si="1326">CBR_Rate_Forecast/Period_length*$E$1097+$E$1096</f>
        <v>7.8E-2</v>
      </c>
      <c r="M1096" s="58">
        <f t="shared" si="1326"/>
        <v>7.8E-2</v>
      </c>
      <c r="N1096" s="58">
        <f t="shared" si="1326"/>
        <v>7.8E-2</v>
      </c>
      <c r="O1096" s="58">
        <f t="shared" si="1326"/>
        <v>7.8E-2</v>
      </c>
      <c r="P1096" s="58">
        <f t="shared" si="1326"/>
        <v>6.3E-2</v>
      </c>
      <c r="Q1096" s="58">
        <f t="shared" si="1326"/>
        <v>6.3E-2</v>
      </c>
      <c r="R1096" s="58">
        <f t="shared" si="1326"/>
        <v>6.3E-2</v>
      </c>
      <c r="S1096" s="58">
        <f t="shared" si="1326"/>
        <v>6.3E-2</v>
      </c>
      <c r="T1096" s="58">
        <f t="shared" si="1326"/>
        <v>5.5500000000000001E-2</v>
      </c>
      <c r="U1096" s="58">
        <f t="shared" si="1326"/>
        <v>5.5500000000000001E-2</v>
      </c>
      <c r="V1096" s="58">
        <f t="shared" si="1326"/>
        <v>5.5500000000000001E-2</v>
      </c>
      <c r="W1096" s="58">
        <f t="shared" si="1326"/>
        <v>5.5500000000000001E-2</v>
      </c>
      <c r="X1096" s="58">
        <f t="shared" si="1326"/>
        <v>5.5500000000000001E-2</v>
      </c>
      <c r="Y1096" s="58">
        <f t="shared" si="1326"/>
        <v>5.5500000000000001E-2</v>
      </c>
      <c r="Z1096" s="58">
        <f t="shared" si="1326"/>
        <v>5.5500000000000001E-2</v>
      </c>
      <c r="AA1096" s="58">
        <f t="shared" si="1326"/>
        <v>5.5500000000000001E-2</v>
      </c>
      <c r="AB1096" s="58">
        <f t="shared" si="1326"/>
        <v>5.5500000000000001E-2</v>
      </c>
      <c r="AC1096" s="58">
        <f t="shared" si="1326"/>
        <v>5.5500000000000001E-2</v>
      </c>
      <c r="AD1096" s="58">
        <f t="shared" si="1326"/>
        <v>5.5500000000000001E-2</v>
      </c>
      <c r="AE1096" s="58">
        <f t="shared" si="1326"/>
        <v>5.5500000000000001E-2</v>
      </c>
      <c r="AF1096" s="58">
        <f t="shared" si="1326"/>
        <v>5.5500000000000001E-2</v>
      </c>
      <c r="AG1096" s="58">
        <f t="shared" si="1326"/>
        <v>5.5500000000000001E-2</v>
      </c>
      <c r="AH1096" s="58">
        <f t="shared" si="1326"/>
        <v>5.5500000000000001E-2</v>
      </c>
      <c r="AI1096" s="58">
        <f t="shared" si="1326"/>
        <v>5.5500000000000001E-2</v>
      </c>
      <c r="AJ1096" s="58">
        <f t="shared" si="1326"/>
        <v>5.5500000000000001E-2</v>
      </c>
      <c r="AK1096" s="58">
        <f t="shared" si="1326"/>
        <v>5.5500000000000001E-2</v>
      </c>
      <c r="AL1096" s="58">
        <f t="shared" si="1326"/>
        <v>5.5500000000000001E-2</v>
      </c>
      <c r="AM1096" s="58">
        <f t="shared" si="1326"/>
        <v>5.5500000000000001E-2</v>
      </c>
      <c r="AN1096" s="58">
        <f t="shared" si="1326"/>
        <v>5.5500000000000001E-2</v>
      </c>
      <c r="AO1096" s="58">
        <f t="shared" si="1326"/>
        <v>5.5500000000000001E-2</v>
      </c>
      <c r="AP1096" s="58">
        <f t="shared" si="1326"/>
        <v>5.5500000000000001E-2</v>
      </c>
      <c r="AQ1096" s="58">
        <f t="shared" si="1326"/>
        <v>5.5500000000000001E-2</v>
      </c>
      <c r="AR1096" s="58">
        <f t="shared" ref="AR1096:BW1096" si="1327">CBR_Rate_Forecast/Period_length*$E$1097+$E$1096</f>
        <v>5.5500000000000001E-2</v>
      </c>
      <c r="AS1096" s="58">
        <f t="shared" si="1327"/>
        <v>5.5500000000000001E-2</v>
      </c>
      <c r="AT1096" s="58">
        <f t="shared" si="1327"/>
        <v>5.5500000000000001E-2</v>
      </c>
      <c r="AU1096" s="58">
        <f t="shared" si="1327"/>
        <v>5.5500000000000001E-2</v>
      </c>
      <c r="AV1096" s="58">
        <f t="shared" si="1327"/>
        <v>5.5500000000000001E-2</v>
      </c>
      <c r="AW1096" s="58">
        <f t="shared" si="1327"/>
        <v>5.5500000000000001E-2</v>
      </c>
      <c r="AX1096" s="58">
        <f t="shared" si="1327"/>
        <v>5.5500000000000001E-2</v>
      </c>
      <c r="AY1096" s="58">
        <f t="shared" si="1327"/>
        <v>5.5500000000000001E-2</v>
      </c>
      <c r="AZ1096" s="58">
        <f t="shared" si="1327"/>
        <v>5.5500000000000001E-2</v>
      </c>
      <c r="BA1096" s="58">
        <f t="shared" si="1327"/>
        <v>5.5500000000000001E-2</v>
      </c>
      <c r="BB1096" s="58">
        <f t="shared" si="1327"/>
        <v>5.5500000000000001E-2</v>
      </c>
      <c r="BC1096" s="58">
        <f t="shared" si="1327"/>
        <v>5.5500000000000001E-2</v>
      </c>
      <c r="BD1096" s="58">
        <f t="shared" si="1327"/>
        <v>5.5500000000000001E-2</v>
      </c>
      <c r="BE1096" s="58">
        <f t="shared" si="1327"/>
        <v>5.5500000000000001E-2</v>
      </c>
      <c r="BF1096" s="58">
        <f t="shared" si="1327"/>
        <v>5.5500000000000001E-2</v>
      </c>
      <c r="BG1096" s="58">
        <f t="shared" si="1327"/>
        <v>5.5500000000000001E-2</v>
      </c>
      <c r="BH1096" s="58">
        <f t="shared" si="1327"/>
        <v>5.5500000000000001E-2</v>
      </c>
      <c r="BI1096" s="58">
        <f t="shared" si="1327"/>
        <v>5.5500000000000001E-2</v>
      </c>
      <c r="BJ1096" s="58">
        <f t="shared" si="1327"/>
        <v>5.5500000000000001E-2</v>
      </c>
      <c r="BK1096" s="58">
        <f t="shared" si="1327"/>
        <v>5.5500000000000001E-2</v>
      </c>
      <c r="BL1096" s="58">
        <f t="shared" si="1327"/>
        <v>5.5500000000000001E-2</v>
      </c>
      <c r="BM1096" s="58">
        <f t="shared" si="1327"/>
        <v>5.5500000000000001E-2</v>
      </c>
      <c r="BN1096" s="58">
        <f t="shared" si="1327"/>
        <v>5.5500000000000001E-2</v>
      </c>
      <c r="BO1096" s="58">
        <f t="shared" si="1327"/>
        <v>5.5500000000000001E-2</v>
      </c>
      <c r="BP1096" s="58">
        <f t="shared" si="1327"/>
        <v>5.5500000000000001E-2</v>
      </c>
      <c r="BQ1096" s="58">
        <f t="shared" si="1327"/>
        <v>5.5500000000000001E-2</v>
      </c>
      <c r="BR1096" s="58">
        <f t="shared" si="1327"/>
        <v>5.5500000000000001E-2</v>
      </c>
      <c r="BS1096" s="58">
        <f t="shared" si="1327"/>
        <v>5.5500000000000001E-2</v>
      </c>
      <c r="BT1096" s="58">
        <f t="shared" si="1327"/>
        <v>5.5500000000000001E-2</v>
      </c>
      <c r="BU1096" s="58">
        <f t="shared" si="1327"/>
        <v>5.5500000000000001E-2</v>
      </c>
      <c r="BV1096" s="58">
        <f t="shared" si="1327"/>
        <v>5.5500000000000001E-2</v>
      </c>
      <c r="BW1096" s="58">
        <f t="shared" si="1327"/>
        <v>5.5500000000000001E-2</v>
      </c>
      <c r="BX1096" s="58">
        <f t="shared" ref="BX1096:CO1096" si="1328">CBR_Rate_Forecast/Period_length*$E$1097+$E$1096</f>
        <v>5.5500000000000001E-2</v>
      </c>
      <c r="BY1096" s="58">
        <f t="shared" si="1328"/>
        <v>5.5500000000000001E-2</v>
      </c>
      <c r="BZ1096" s="58">
        <f t="shared" si="1328"/>
        <v>5.5500000000000001E-2</v>
      </c>
      <c r="CA1096" s="58">
        <f t="shared" si="1328"/>
        <v>5.5500000000000001E-2</v>
      </c>
      <c r="CB1096" s="58">
        <f t="shared" si="1328"/>
        <v>5.5500000000000001E-2</v>
      </c>
      <c r="CC1096" s="58">
        <f t="shared" si="1328"/>
        <v>5.5500000000000001E-2</v>
      </c>
      <c r="CD1096" s="58">
        <f t="shared" si="1328"/>
        <v>5.5500000000000001E-2</v>
      </c>
      <c r="CE1096" s="58">
        <f t="shared" si="1328"/>
        <v>5.5500000000000001E-2</v>
      </c>
      <c r="CF1096" s="58">
        <f t="shared" si="1328"/>
        <v>5.5500000000000001E-2</v>
      </c>
      <c r="CG1096" s="58">
        <f t="shared" si="1328"/>
        <v>5.5500000000000001E-2</v>
      </c>
      <c r="CH1096" s="58">
        <f t="shared" si="1328"/>
        <v>5.5500000000000001E-2</v>
      </c>
      <c r="CI1096" s="58">
        <f t="shared" si="1328"/>
        <v>5.5500000000000001E-2</v>
      </c>
      <c r="CJ1096" s="58">
        <f t="shared" si="1328"/>
        <v>5.5500000000000001E-2</v>
      </c>
      <c r="CK1096" s="58">
        <f t="shared" si="1328"/>
        <v>5.5500000000000001E-2</v>
      </c>
      <c r="CL1096" s="58">
        <f t="shared" si="1328"/>
        <v>5.5500000000000001E-2</v>
      </c>
      <c r="CM1096" s="58">
        <f t="shared" si="1328"/>
        <v>5.5500000000000001E-2</v>
      </c>
      <c r="CN1096" s="58">
        <f t="shared" si="1328"/>
        <v>5.5500000000000001E-2</v>
      </c>
      <c r="CO1096" s="58">
        <f t="shared" si="1328"/>
        <v>5.5500000000000001E-2</v>
      </c>
    </row>
    <row r="1097" spans="1:93">
      <c r="A1097" s="10"/>
      <c r="B1097" s="10"/>
      <c r="C1097" s="40" t="s">
        <v>1205</v>
      </c>
      <c r="D1097" s="10"/>
      <c r="E1097" s="178">
        <f xml:space="preserve"> Предпосылки!E560</f>
        <v>0.3</v>
      </c>
      <c r="F1097" s="10"/>
      <c r="G1097" s="11" t="s">
        <v>28</v>
      </c>
      <c r="H1097" s="10"/>
      <c r="I1097" s="10"/>
      <c r="J1097" s="10"/>
      <c r="K1097" s="10"/>
    </row>
    <row r="1098" spans="1:93">
      <c r="A1098" s="10"/>
      <c r="B1098" s="10"/>
      <c r="C1098" s="40" t="s">
        <v>502</v>
      </c>
      <c r="D1098" s="10"/>
      <c r="E1098" s="178">
        <f xml:space="preserve"> Предпосылки!E561 + Debt_rate_sens</f>
        <v>0</v>
      </c>
      <c r="F1098" s="10"/>
      <c r="G1098" s="11" t="s">
        <v>983</v>
      </c>
      <c r="H1098" s="10"/>
      <c r="I1098" s="10"/>
      <c r="J1098" s="10"/>
      <c r="K1098" s="10"/>
      <c r="L1098" s="58">
        <f>$E$1098</f>
        <v>0</v>
      </c>
      <c r="M1098" s="58">
        <f t="shared" ref="M1098:BX1098" si="1329">$E$1098</f>
        <v>0</v>
      </c>
      <c r="N1098" s="58">
        <f t="shared" si="1329"/>
        <v>0</v>
      </c>
      <c r="O1098" s="58">
        <f t="shared" si="1329"/>
        <v>0</v>
      </c>
      <c r="P1098" s="58">
        <f t="shared" si="1329"/>
        <v>0</v>
      </c>
      <c r="Q1098" s="58">
        <f t="shared" si="1329"/>
        <v>0</v>
      </c>
      <c r="R1098" s="58">
        <f t="shared" si="1329"/>
        <v>0</v>
      </c>
      <c r="S1098" s="58">
        <f t="shared" si="1329"/>
        <v>0</v>
      </c>
      <c r="T1098" s="58">
        <f t="shared" si="1329"/>
        <v>0</v>
      </c>
      <c r="U1098" s="58">
        <f t="shared" si="1329"/>
        <v>0</v>
      </c>
      <c r="V1098" s="58">
        <f t="shared" si="1329"/>
        <v>0</v>
      </c>
      <c r="W1098" s="58">
        <f t="shared" si="1329"/>
        <v>0</v>
      </c>
      <c r="X1098" s="58">
        <f t="shared" si="1329"/>
        <v>0</v>
      </c>
      <c r="Y1098" s="58">
        <f t="shared" si="1329"/>
        <v>0</v>
      </c>
      <c r="Z1098" s="58">
        <f t="shared" si="1329"/>
        <v>0</v>
      </c>
      <c r="AA1098" s="58">
        <f t="shared" si="1329"/>
        <v>0</v>
      </c>
      <c r="AB1098" s="58">
        <f t="shared" si="1329"/>
        <v>0</v>
      </c>
      <c r="AC1098" s="58">
        <f t="shared" si="1329"/>
        <v>0</v>
      </c>
      <c r="AD1098" s="58">
        <f t="shared" si="1329"/>
        <v>0</v>
      </c>
      <c r="AE1098" s="58">
        <f t="shared" si="1329"/>
        <v>0</v>
      </c>
      <c r="AF1098" s="58">
        <f t="shared" si="1329"/>
        <v>0</v>
      </c>
      <c r="AG1098" s="58">
        <f t="shared" si="1329"/>
        <v>0</v>
      </c>
      <c r="AH1098" s="58">
        <f t="shared" si="1329"/>
        <v>0</v>
      </c>
      <c r="AI1098" s="58">
        <f t="shared" si="1329"/>
        <v>0</v>
      </c>
      <c r="AJ1098" s="58">
        <f t="shared" si="1329"/>
        <v>0</v>
      </c>
      <c r="AK1098" s="58">
        <f t="shared" si="1329"/>
        <v>0</v>
      </c>
      <c r="AL1098" s="58">
        <f t="shared" si="1329"/>
        <v>0</v>
      </c>
      <c r="AM1098" s="58">
        <f t="shared" si="1329"/>
        <v>0</v>
      </c>
      <c r="AN1098" s="58">
        <f t="shared" si="1329"/>
        <v>0</v>
      </c>
      <c r="AO1098" s="58">
        <f t="shared" si="1329"/>
        <v>0</v>
      </c>
      <c r="AP1098" s="58">
        <f t="shared" si="1329"/>
        <v>0</v>
      </c>
      <c r="AQ1098" s="58">
        <f t="shared" si="1329"/>
        <v>0</v>
      </c>
      <c r="AR1098" s="58">
        <f t="shared" si="1329"/>
        <v>0</v>
      </c>
      <c r="AS1098" s="58">
        <f t="shared" si="1329"/>
        <v>0</v>
      </c>
      <c r="AT1098" s="58">
        <f t="shared" si="1329"/>
        <v>0</v>
      </c>
      <c r="AU1098" s="58">
        <f t="shared" si="1329"/>
        <v>0</v>
      </c>
      <c r="AV1098" s="58">
        <f t="shared" si="1329"/>
        <v>0</v>
      </c>
      <c r="AW1098" s="58">
        <f t="shared" si="1329"/>
        <v>0</v>
      </c>
      <c r="AX1098" s="58">
        <f t="shared" si="1329"/>
        <v>0</v>
      </c>
      <c r="AY1098" s="58">
        <f t="shared" si="1329"/>
        <v>0</v>
      </c>
      <c r="AZ1098" s="58">
        <f t="shared" si="1329"/>
        <v>0</v>
      </c>
      <c r="BA1098" s="58">
        <f t="shared" si="1329"/>
        <v>0</v>
      </c>
      <c r="BB1098" s="58">
        <f t="shared" si="1329"/>
        <v>0</v>
      </c>
      <c r="BC1098" s="58">
        <f t="shared" si="1329"/>
        <v>0</v>
      </c>
      <c r="BD1098" s="58">
        <f t="shared" si="1329"/>
        <v>0</v>
      </c>
      <c r="BE1098" s="58">
        <f t="shared" si="1329"/>
        <v>0</v>
      </c>
      <c r="BF1098" s="58">
        <f t="shared" si="1329"/>
        <v>0</v>
      </c>
      <c r="BG1098" s="58">
        <f t="shared" si="1329"/>
        <v>0</v>
      </c>
      <c r="BH1098" s="58">
        <f t="shared" si="1329"/>
        <v>0</v>
      </c>
      <c r="BI1098" s="58">
        <f t="shared" si="1329"/>
        <v>0</v>
      </c>
      <c r="BJ1098" s="58">
        <f t="shared" si="1329"/>
        <v>0</v>
      </c>
      <c r="BK1098" s="58">
        <f t="shared" si="1329"/>
        <v>0</v>
      </c>
      <c r="BL1098" s="58">
        <f t="shared" si="1329"/>
        <v>0</v>
      </c>
      <c r="BM1098" s="58">
        <f t="shared" si="1329"/>
        <v>0</v>
      </c>
      <c r="BN1098" s="58">
        <f t="shared" si="1329"/>
        <v>0</v>
      </c>
      <c r="BO1098" s="58">
        <f t="shared" si="1329"/>
        <v>0</v>
      </c>
      <c r="BP1098" s="58">
        <f t="shared" si="1329"/>
        <v>0</v>
      </c>
      <c r="BQ1098" s="58">
        <f t="shared" si="1329"/>
        <v>0</v>
      </c>
      <c r="BR1098" s="58">
        <f t="shared" si="1329"/>
        <v>0</v>
      </c>
      <c r="BS1098" s="58">
        <f t="shared" si="1329"/>
        <v>0</v>
      </c>
      <c r="BT1098" s="58">
        <f t="shared" si="1329"/>
        <v>0</v>
      </c>
      <c r="BU1098" s="58">
        <f t="shared" si="1329"/>
        <v>0</v>
      </c>
      <c r="BV1098" s="58">
        <f t="shared" si="1329"/>
        <v>0</v>
      </c>
      <c r="BW1098" s="58">
        <f t="shared" si="1329"/>
        <v>0</v>
      </c>
      <c r="BX1098" s="58">
        <f t="shared" si="1329"/>
        <v>0</v>
      </c>
      <c r="BY1098" s="58">
        <f t="shared" ref="BY1098:CO1098" si="1330">$E$1098</f>
        <v>0</v>
      </c>
      <c r="BZ1098" s="58">
        <f t="shared" si="1330"/>
        <v>0</v>
      </c>
      <c r="CA1098" s="58">
        <f t="shared" si="1330"/>
        <v>0</v>
      </c>
      <c r="CB1098" s="58">
        <f t="shared" si="1330"/>
        <v>0</v>
      </c>
      <c r="CC1098" s="58">
        <f t="shared" si="1330"/>
        <v>0</v>
      </c>
      <c r="CD1098" s="58">
        <f t="shared" si="1330"/>
        <v>0</v>
      </c>
      <c r="CE1098" s="58">
        <f t="shared" si="1330"/>
        <v>0</v>
      </c>
      <c r="CF1098" s="58">
        <f t="shared" si="1330"/>
        <v>0</v>
      </c>
      <c r="CG1098" s="58">
        <f t="shared" si="1330"/>
        <v>0</v>
      </c>
      <c r="CH1098" s="58">
        <f t="shared" si="1330"/>
        <v>0</v>
      </c>
      <c r="CI1098" s="58">
        <f t="shared" si="1330"/>
        <v>0</v>
      </c>
      <c r="CJ1098" s="58">
        <f t="shared" si="1330"/>
        <v>0</v>
      </c>
      <c r="CK1098" s="58">
        <f t="shared" si="1330"/>
        <v>0</v>
      </c>
      <c r="CL1098" s="58">
        <f t="shared" si="1330"/>
        <v>0</v>
      </c>
      <c r="CM1098" s="58">
        <f t="shared" si="1330"/>
        <v>0</v>
      </c>
      <c r="CN1098" s="58">
        <f t="shared" si="1330"/>
        <v>0</v>
      </c>
      <c r="CO1098" s="58">
        <f t="shared" si="1330"/>
        <v>0</v>
      </c>
    </row>
    <row r="1099" spans="1:93">
      <c r="A1099" s="10"/>
      <c r="B1099" s="10"/>
      <c r="C1099" s="40" t="str">
        <f>"Сценарий расчета ставки: "&amp;CHOOSE(E1099,Предпосылки!C539,Предпосылки!C540)</f>
        <v>Сценарий расчета ставки: Доля ключевой ставки ЦБ плюс маржа</v>
      </c>
      <c r="D1099" s="10"/>
      <c r="E1099" s="472">
        <f>Предпосылки!E542</f>
        <v>1</v>
      </c>
      <c r="F1099" s="10"/>
      <c r="G1099" s="11"/>
      <c r="H1099" s="10"/>
      <c r="I1099" s="10"/>
      <c r="J1099" s="10"/>
      <c r="K1099" s="10"/>
      <c r="L1099" s="58"/>
      <c r="M1099" s="58"/>
      <c r="N1099" s="58"/>
      <c r="O1099" s="58"/>
      <c r="P1099" s="58"/>
      <c r="Q1099" s="58"/>
      <c r="R1099" s="58"/>
      <c r="S1099" s="58"/>
      <c r="T1099" s="58"/>
      <c r="U1099" s="58"/>
      <c r="V1099" s="58"/>
      <c r="W1099" s="58"/>
      <c r="X1099" s="58"/>
      <c r="Y1099" s="58"/>
      <c r="Z1099" s="58"/>
      <c r="AA1099" s="58"/>
      <c r="AB1099" s="58"/>
      <c r="AC1099" s="58"/>
      <c r="AD1099" s="58"/>
      <c r="AE1099" s="58"/>
      <c r="AF1099" s="58"/>
      <c r="AG1099" s="58"/>
      <c r="AH1099" s="58"/>
      <c r="AI1099" s="58"/>
      <c r="AJ1099" s="58"/>
      <c r="AK1099" s="58"/>
      <c r="AL1099" s="58"/>
      <c r="AM1099" s="58"/>
      <c r="AN1099" s="58"/>
      <c r="AO1099" s="58"/>
      <c r="AP1099" s="58"/>
      <c r="AQ1099" s="58"/>
      <c r="AR1099" s="58"/>
      <c r="AS1099" s="58"/>
      <c r="AT1099" s="58"/>
      <c r="AU1099" s="58"/>
      <c r="AV1099" s="58"/>
      <c r="AW1099" s="58"/>
      <c r="AX1099" s="58"/>
      <c r="AY1099" s="58"/>
      <c r="AZ1099" s="58"/>
      <c r="BA1099" s="58"/>
      <c r="BB1099" s="58"/>
      <c r="BC1099" s="58"/>
      <c r="BD1099" s="58"/>
      <c r="BE1099" s="58"/>
      <c r="BF1099" s="58"/>
      <c r="BG1099" s="58"/>
      <c r="BH1099" s="58"/>
      <c r="BI1099" s="58"/>
      <c r="BJ1099" s="58"/>
      <c r="BK1099" s="58"/>
      <c r="BL1099" s="58"/>
      <c r="BM1099" s="58"/>
      <c r="BN1099" s="58"/>
      <c r="BO1099" s="58"/>
      <c r="BP1099" s="58"/>
      <c r="BQ1099" s="58"/>
      <c r="BR1099" s="58"/>
      <c r="BS1099" s="58"/>
      <c r="BT1099" s="58"/>
      <c r="BU1099" s="58"/>
      <c r="BV1099" s="58"/>
      <c r="BW1099" s="58"/>
      <c r="BX1099" s="58"/>
      <c r="BY1099" s="58"/>
      <c r="BZ1099" s="58"/>
      <c r="CA1099" s="58"/>
      <c r="CB1099" s="58"/>
      <c r="CC1099" s="58"/>
      <c r="CD1099" s="58"/>
      <c r="CE1099" s="58"/>
      <c r="CF1099" s="58"/>
      <c r="CG1099" s="58"/>
      <c r="CH1099" s="58"/>
      <c r="CI1099" s="58"/>
      <c r="CJ1099" s="58"/>
      <c r="CK1099" s="58"/>
      <c r="CL1099" s="58"/>
      <c r="CM1099" s="58"/>
      <c r="CN1099" s="58"/>
      <c r="CO1099" s="58"/>
    </row>
    <row r="1100" spans="1:93">
      <c r="A1100" s="10"/>
      <c r="B1100" s="10"/>
      <c r="C1100" s="17" t="s">
        <v>321</v>
      </c>
      <c r="D1100" s="10"/>
      <c r="F1100" s="10"/>
      <c r="G1100" s="11" t="s">
        <v>28</v>
      </c>
      <c r="H1100" s="10"/>
      <c r="I1100" s="10"/>
      <c r="J1100" s="10"/>
      <c r="K1100" s="10"/>
      <c r="L1100" s="58">
        <f t="shared" ref="L1100:AQ1100" si="1331">CHOOSE($E$1099,L1096,L1098)*Period_length*Flag_Financial_Model</f>
        <v>1.9232876712328765E-2</v>
      </c>
      <c r="M1100" s="58">
        <f t="shared" si="1331"/>
        <v>1.9446575342465754E-2</v>
      </c>
      <c r="N1100" s="58">
        <f t="shared" si="1331"/>
        <v>1.966027397260274E-2</v>
      </c>
      <c r="O1100" s="58">
        <f t="shared" si="1331"/>
        <v>1.966027397260274E-2</v>
      </c>
      <c r="P1100" s="58">
        <f t="shared" si="1331"/>
        <v>1.5534246575342464E-2</v>
      </c>
      <c r="Q1100" s="58">
        <f t="shared" si="1331"/>
        <v>1.5706849315068494E-2</v>
      </c>
      <c r="R1100" s="58">
        <f t="shared" si="1331"/>
        <v>1.5879452054794522E-2</v>
      </c>
      <c r="S1100" s="58">
        <f t="shared" si="1331"/>
        <v>1.5879452054794522E-2</v>
      </c>
      <c r="T1100" s="58">
        <f t="shared" si="1331"/>
        <v>1.3684931506849315E-2</v>
      </c>
      <c r="U1100" s="58">
        <f t="shared" si="1331"/>
        <v>1.3836986301369864E-2</v>
      </c>
      <c r="V1100" s="58">
        <f t="shared" si="1331"/>
        <v>1.3989041095890413E-2</v>
      </c>
      <c r="W1100" s="58">
        <f t="shared" si="1331"/>
        <v>1.3989041095890413E-2</v>
      </c>
      <c r="X1100" s="58">
        <f t="shared" si="1331"/>
        <v>1.3799180327868853E-2</v>
      </c>
      <c r="Y1100" s="58">
        <f t="shared" si="1331"/>
        <v>1.3799180327868853E-2</v>
      </c>
      <c r="Z1100" s="58">
        <f t="shared" si="1331"/>
        <v>1.3950819672131147E-2</v>
      </c>
      <c r="AA1100" s="58">
        <f t="shared" si="1331"/>
        <v>1.3950819672131147E-2</v>
      </c>
      <c r="AB1100" s="58">
        <f t="shared" si="1331"/>
        <v>1.3684931506849315E-2</v>
      </c>
      <c r="AC1100" s="58">
        <f t="shared" si="1331"/>
        <v>1.3836986301369864E-2</v>
      </c>
      <c r="AD1100" s="58">
        <f t="shared" si="1331"/>
        <v>1.3989041095890413E-2</v>
      </c>
      <c r="AE1100" s="58">
        <f t="shared" si="1331"/>
        <v>1.3989041095890413E-2</v>
      </c>
      <c r="AF1100" s="58">
        <f t="shared" si="1331"/>
        <v>1.3684931506849315E-2</v>
      </c>
      <c r="AG1100" s="58">
        <f t="shared" si="1331"/>
        <v>1.3836986301369864E-2</v>
      </c>
      <c r="AH1100" s="58">
        <f t="shared" si="1331"/>
        <v>1.3989041095890413E-2</v>
      </c>
      <c r="AI1100" s="58">
        <f t="shared" si="1331"/>
        <v>1.3989041095890413E-2</v>
      </c>
      <c r="AJ1100" s="58">
        <f t="shared" si="1331"/>
        <v>1.3684931506849315E-2</v>
      </c>
      <c r="AK1100" s="58">
        <f t="shared" si="1331"/>
        <v>1.3836986301369864E-2</v>
      </c>
      <c r="AL1100" s="58">
        <f t="shared" si="1331"/>
        <v>1.3989041095890413E-2</v>
      </c>
      <c r="AM1100" s="58">
        <f t="shared" si="1331"/>
        <v>1.3989041095890413E-2</v>
      </c>
      <c r="AN1100" s="58">
        <f t="shared" si="1331"/>
        <v>1.3799180327868853E-2</v>
      </c>
      <c r="AO1100" s="58">
        <f t="shared" si="1331"/>
        <v>1.3799180327868853E-2</v>
      </c>
      <c r="AP1100" s="58">
        <f t="shared" si="1331"/>
        <v>1.3950819672131147E-2</v>
      </c>
      <c r="AQ1100" s="58">
        <f t="shared" si="1331"/>
        <v>1.3950819672131147E-2</v>
      </c>
      <c r="AR1100" s="58">
        <f t="shared" ref="AR1100:BW1100" si="1332">CHOOSE($E$1099,AR1096,AR1098)*Period_length*Flag_Financial_Model</f>
        <v>1.3684931506849315E-2</v>
      </c>
      <c r="AS1100" s="58">
        <f t="shared" si="1332"/>
        <v>1.3836986301369864E-2</v>
      </c>
      <c r="AT1100" s="58">
        <f t="shared" si="1332"/>
        <v>1.3989041095890413E-2</v>
      </c>
      <c r="AU1100" s="58">
        <f t="shared" si="1332"/>
        <v>1.3989041095890413E-2</v>
      </c>
      <c r="AV1100" s="58">
        <f t="shared" si="1332"/>
        <v>1.3684931506849315E-2</v>
      </c>
      <c r="AW1100" s="58">
        <f t="shared" si="1332"/>
        <v>1.3836986301369864E-2</v>
      </c>
      <c r="AX1100" s="58">
        <f t="shared" si="1332"/>
        <v>1.3989041095890413E-2</v>
      </c>
      <c r="AY1100" s="58">
        <f t="shared" si="1332"/>
        <v>1.3989041095890413E-2</v>
      </c>
      <c r="AZ1100" s="58">
        <f t="shared" si="1332"/>
        <v>1.3684931506849315E-2</v>
      </c>
      <c r="BA1100" s="58">
        <f t="shared" si="1332"/>
        <v>1.3836986301369864E-2</v>
      </c>
      <c r="BB1100" s="58">
        <f t="shared" si="1332"/>
        <v>1.3989041095890413E-2</v>
      </c>
      <c r="BC1100" s="58">
        <f t="shared" si="1332"/>
        <v>1.3989041095890413E-2</v>
      </c>
      <c r="BD1100" s="58">
        <f t="shared" si="1332"/>
        <v>1.3799180327868853E-2</v>
      </c>
      <c r="BE1100" s="58">
        <f t="shared" si="1332"/>
        <v>1.3799180327868853E-2</v>
      </c>
      <c r="BF1100" s="58">
        <f t="shared" si="1332"/>
        <v>1.3950819672131147E-2</v>
      </c>
      <c r="BG1100" s="58">
        <f t="shared" si="1332"/>
        <v>1.3950819672131147E-2</v>
      </c>
      <c r="BH1100" s="58">
        <f t="shared" si="1332"/>
        <v>1.3684931506849315E-2</v>
      </c>
      <c r="BI1100" s="58">
        <f t="shared" si="1332"/>
        <v>1.3836986301369864E-2</v>
      </c>
      <c r="BJ1100" s="58">
        <f t="shared" si="1332"/>
        <v>1.3989041095890413E-2</v>
      </c>
      <c r="BK1100" s="58">
        <f t="shared" si="1332"/>
        <v>1.3989041095890413E-2</v>
      </c>
      <c r="BL1100" s="58">
        <f t="shared" si="1332"/>
        <v>1.3684931506849315E-2</v>
      </c>
      <c r="BM1100" s="58">
        <f t="shared" si="1332"/>
        <v>1.3836986301369864E-2</v>
      </c>
      <c r="BN1100" s="58">
        <f t="shared" si="1332"/>
        <v>1.3989041095890413E-2</v>
      </c>
      <c r="BO1100" s="58">
        <f t="shared" si="1332"/>
        <v>1.3989041095890413E-2</v>
      </c>
      <c r="BP1100" s="58">
        <f t="shared" si="1332"/>
        <v>1.3684931506849315E-2</v>
      </c>
      <c r="BQ1100" s="58">
        <f t="shared" si="1332"/>
        <v>1.3836986301369864E-2</v>
      </c>
      <c r="BR1100" s="58">
        <f t="shared" si="1332"/>
        <v>1.3989041095890413E-2</v>
      </c>
      <c r="BS1100" s="58">
        <f t="shared" si="1332"/>
        <v>1.3989041095890413E-2</v>
      </c>
      <c r="BT1100" s="58">
        <f t="shared" si="1332"/>
        <v>1.3799180327868853E-2</v>
      </c>
      <c r="BU1100" s="58">
        <f t="shared" si="1332"/>
        <v>1.3799180327868853E-2</v>
      </c>
      <c r="BV1100" s="58">
        <f t="shared" si="1332"/>
        <v>1.3950819672131147E-2</v>
      </c>
      <c r="BW1100" s="58">
        <f t="shared" si="1332"/>
        <v>1.3950819672131147E-2</v>
      </c>
      <c r="BX1100" s="58">
        <f t="shared" ref="BX1100:CO1100" si="1333">CHOOSE($E$1099,BX1096,BX1098)*Period_length*Flag_Financial_Model</f>
        <v>1.3684931506849315E-2</v>
      </c>
      <c r="BY1100" s="58">
        <f t="shared" si="1333"/>
        <v>1.3836986301369864E-2</v>
      </c>
      <c r="BZ1100" s="58">
        <f t="shared" si="1333"/>
        <v>1.3989041095890413E-2</v>
      </c>
      <c r="CA1100" s="58">
        <f t="shared" si="1333"/>
        <v>1.3989041095890413E-2</v>
      </c>
      <c r="CB1100" s="58">
        <f t="shared" si="1333"/>
        <v>1.3684931506849315E-2</v>
      </c>
      <c r="CC1100" s="58">
        <f t="shared" si="1333"/>
        <v>1.3836986301369864E-2</v>
      </c>
      <c r="CD1100" s="58">
        <f t="shared" si="1333"/>
        <v>1.3989041095890413E-2</v>
      </c>
      <c r="CE1100" s="58">
        <f t="shared" si="1333"/>
        <v>1.3989041095890413E-2</v>
      </c>
      <c r="CF1100" s="58">
        <f t="shared" si="1333"/>
        <v>1.3684931506849315E-2</v>
      </c>
      <c r="CG1100" s="58">
        <f t="shared" si="1333"/>
        <v>1.3836986301369864E-2</v>
      </c>
      <c r="CH1100" s="58">
        <f t="shared" si="1333"/>
        <v>1.3989041095890413E-2</v>
      </c>
      <c r="CI1100" s="58">
        <f t="shared" si="1333"/>
        <v>1.3989041095890413E-2</v>
      </c>
      <c r="CJ1100" s="58">
        <f t="shared" si="1333"/>
        <v>1.3799180327868853E-2</v>
      </c>
      <c r="CK1100" s="58">
        <f t="shared" si="1333"/>
        <v>1.3799180327868853E-2</v>
      </c>
      <c r="CL1100" s="58">
        <f t="shared" si="1333"/>
        <v>1.3950819672131147E-2</v>
      </c>
      <c r="CM1100" s="58">
        <f t="shared" si="1333"/>
        <v>1.3950819672131147E-2</v>
      </c>
      <c r="CN1100" s="58">
        <f t="shared" si="1333"/>
        <v>1.3684931506849315E-2</v>
      </c>
      <c r="CO1100" s="58">
        <f t="shared" si="1333"/>
        <v>1.3836986301369864E-2</v>
      </c>
    </row>
    <row r="1101" spans="1:93">
      <c r="A1101" s="10"/>
      <c r="B1101" s="10"/>
      <c r="C1101" s="17" t="s">
        <v>505</v>
      </c>
      <c r="D1101" s="10"/>
      <c r="E1101" s="10"/>
      <c r="F1101" s="10"/>
      <c r="G1101" s="11" t="str">
        <f>Monetary_Unit</f>
        <v>тыс. руб.</v>
      </c>
      <c r="H1101" s="10"/>
      <c r="I1101" s="23">
        <f ca="1">SUM(L1101:CO1101)</f>
        <v>472505.91550729872</v>
      </c>
      <c r="J1101" s="10"/>
      <c r="K1101" s="10"/>
      <c r="L1101" s="52">
        <f t="shared" ref="L1101:AQ1101" si="1334">L1100*(K1088+L1086/2)</f>
        <v>0</v>
      </c>
      <c r="M1101" s="52">
        <f t="shared" ca="1" si="1334"/>
        <v>0</v>
      </c>
      <c r="N1101" s="52">
        <f t="shared" ca="1" si="1334"/>
        <v>0</v>
      </c>
      <c r="O1101" s="52">
        <f t="shared" ca="1" si="1334"/>
        <v>0</v>
      </c>
      <c r="P1101" s="52">
        <f t="shared" ca="1" si="1334"/>
        <v>0</v>
      </c>
      <c r="Q1101" s="52">
        <f t="shared" ca="1" si="1334"/>
        <v>0</v>
      </c>
      <c r="R1101" s="52">
        <f t="shared" ca="1" si="1334"/>
        <v>0</v>
      </c>
      <c r="S1101" s="52">
        <f t="shared" ca="1" si="1334"/>
        <v>0</v>
      </c>
      <c r="T1101" s="52">
        <f t="shared" ca="1" si="1334"/>
        <v>375.82926333388428</v>
      </c>
      <c r="U1101" s="52">
        <f t="shared" ca="1" si="1334"/>
        <v>2049.679343298747</v>
      </c>
      <c r="V1101" s="52">
        <f t="shared" ca="1" si="1334"/>
        <v>4692.73305525248</v>
      </c>
      <c r="W1101" s="52">
        <f t="shared" ca="1" si="1334"/>
        <v>7339.0839635085113</v>
      </c>
      <c r="X1101" s="52">
        <f t="shared" ca="1" si="1334"/>
        <v>11087.213428915877</v>
      </c>
      <c r="Y1101" s="52">
        <f t="shared" ca="1" si="1334"/>
        <v>16184.443320720929</v>
      </c>
      <c r="Z1101" s="52">
        <f t="shared" ca="1" si="1334"/>
        <v>21566.314755658917</v>
      </c>
      <c r="AA1101" s="52">
        <f t="shared" ca="1" si="1334"/>
        <v>26821.612493877776</v>
      </c>
      <c r="AB1101" s="52">
        <f t="shared" ca="1" si="1334"/>
        <v>33416.864118378056</v>
      </c>
      <c r="AC1101" s="52">
        <f t="shared" ca="1" si="1334"/>
        <v>38354.581535515288</v>
      </c>
      <c r="AD1101" s="52">
        <f t="shared" ca="1" si="1334"/>
        <v>32803.703361364605</v>
      </c>
      <c r="AE1101" s="52">
        <f t="shared" ca="1" si="1334"/>
        <v>29891.359146755047</v>
      </c>
      <c r="AF1101" s="52">
        <f t="shared" ca="1" si="1334"/>
        <v>27616.105945096959</v>
      </c>
      <c r="AG1101" s="52">
        <f t="shared" ca="1" si="1334"/>
        <v>27156.393128187661</v>
      </c>
      <c r="AH1101" s="52">
        <f t="shared" ca="1" si="1334"/>
        <v>26538.750611260843</v>
      </c>
      <c r="AI1101" s="52">
        <f t="shared" ca="1" si="1334"/>
        <v>24395.411155234164</v>
      </c>
      <c r="AJ1101" s="52">
        <f t="shared" ca="1" si="1334"/>
        <v>21831.922145464901</v>
      </c>
      <c r="AK1101" s="52">
        <f t="shared" ca="1" si="1334"/>
        <v>21042.52524153925</v>
      </c>
      <c r="AL1101" s="52">
        <f t="shared" ca="1" si="1334"/>
        <v>20069.891622505023</v>
      </c>
      <c r="AM1101" s="52">
        <f t="shared" ca="1" si="1334"/>
        <v>17454.073787044064</v>
      </c>
      <c r="AN1101" s="52">
        <f t="shared" ca="1" si="1334"/>
        <v>14712.666046453658</v>
      </c>
      <c r="AO1101" s="52">
        <f t="shared" ca="1" si="1334"/>
        <v>13375.764703781109</v>
      </c>
      <c r="AP1101" s="52">
        <f t="shared" ca="1" si="1334"/>
        <v>11999.563981574278</v>
      </c>
      <c r="AQ1101" s="52">
        <f t="shared" ca="1" si="1334"/>
        <v>8912.8602572211221</v>
      </c>
      <c r="AR1101" s="52">
        <f t="shared" ref="AR1101:BW1101" ca="1" si="1335">AR1100*(AQ1088+AR1086/2)</f>
        <v>5840.770680695141</v>
      </c>
      <c r="AS1101" s="52">
        <f t="shared" ca="1" si="1335"/>
        <v>4327.01356872835</v>
      </c>
      <c r="AT1101" s="52">
        <f t="shared" ca="1" si="1335"/>
        <v>2648.7848459321053</v>
      </c>
      <c r="AU1101" s="52">
        <f t="shared" ca="1" si="1335"/>
        <v>0</v>
      </c>
      <c r="AV1101" s="52">
        <f t="shared" ca="1" si="1335"/>
        <v>0</v>
      </c>
      <c r="AW1101" s="52">
        <f t="shared" ca="1" si="1335"/>
        <v>0</v>
      </c>
      <c r="AX1101" s="52">
        <f t="shared" ca="1" si="1335"/>
        <v>0</v>
      </c>
      <c r="AY1101" s="52">
        <f t="shared" ca="1" si="1335"/>
        <v>0</v>
      </c>
      <c r="AZ1101" s="52">
        <f t="shared" ca="1" si="1335"/>
        <v>0</v>
      </c>
      <c r="BA1101" s="52">
        <f t="shared" ca="1" si="1335"/>
        <v>0</v>
      </c>
      <c r="BB1101" s="52">
        <f t="shared" ca="1" si="1335"/>
        <v>0</v>
      </c>
      <c r="BC1101" s="52">
        <f t="shared" ca="1" si="1335"/>
        <v>0</v>
      </c>
      <c r="BD1101" s="52">
        <f t="shared" ca="1" si="1335"/>
        <v>0</v>
      </c>
      <c r="BE1101" s="52">
        <f t="shared" ca="1" si="1335"/>
        <v>0</v>
      </c>
      <c r="BF1101" s="52">
        <f t="shared" ca="1" si="1335"/>
        <v>0</v>
      </c>
      <c r="BG1101" s="52">
        <f t="shared" ca="1" si="1335"/>
        <v>0</v>
      </c>
      <c r="BH1101" s="52">
        <f t="shared" ca="1" si="1335"/>
        <v>0</v>
      </c>
      <c r="BI1101" s="52">
        <f t="shared" ca="1" si="1335"/>
        <v>0</v>
      </c>
      <c r="BJ1101" s="52">
        <f t="shared" ca="1" si="1335"/>
        <v>0</v>
      </c>
      <c r="BK1101" s="52">
        <f t="shared" ca="1" si="1335"/>
        <v>0</v>
      </c>
      <c r="BL1101" s="52">
        <f t="shared" ca="1" si="1335"/>
        <v>0</v>
      </c>
      <c r="BM1101" s="52">
        <f t="shared" ca="1" si="1335"/>
        <v>0</v>
      </c>
      <c r="BN1101" s="52">
        <f t="shared" ca="1" si="1335"/>
        <v>0</v>
      </c>
      <c r="BO1101" s="52">
        <f t="shared" ca="1" si="1335"/>
        <v>0</v>
      </c>
      <c r="BP1101" s="52">
        <f t="shared" ca="1" si="1335"/>
        <v>0</v>
      </c>
      <c r="BQ1101" s="52">
        <f t="shared" ca="1" si="1335"/>
        <v>0</v>
      </c>
      <c r="BR1101" s="52">
        <f t="shared" ca="1" si="1335"/>
        <v>0</v>
      </c>
      <c r="BS1101" s="52">
        <f t="shared" ca="1" si="1335"/>
        <v>0</v>
      </c>
      <c r="BT1101" s="52">
        <f t="shared" ca="1" si="1335"/>
        <v>0</v>
      </c>
      <c r="BU1101" s="52">
        <f t="shared" ca="1" si="1335"/>
        <v>0</v>
      </c>
      <c r="BV1101" s="52">
        <f t="shared" ca="1" si="1335"/>
        <v>0</v>
      </c>
      <c r="BW1101" s="52">
        <f t="shared" ca="1" si="1335"/>
        <v>0</v>
      </c>
      <c r="BX1101" s="52">
        <f t="shared" ref="BX1101:CO1101" ca="1" si="1336">BX1100*(BW1088+BX1086/2)</f>
        <v>0</v>
      </c>
      <c r="BY1101" s="52">
        <f t="shared" ca="1" si="1336"/>
        <v>0</v>
      </c>
      <c r="BZ1101" s="52">
        <f t="shared" ca="1" si="1336"/>
        <v>0</v>
      </c>
      <c r="CA1101" s="52">
        <f t="shared" ca="1" si="1336"/>
        <v>0</v>
      </c>
      <c r="CB1101" s="52">
        <f t="shared" ca="1" si="1336"/>
        <v>0</v>
      </c>
      <c r="CC1101" s="52">
        <f t="shared" ca="1" si="1336"/>
        <v>0</v>
      </c>
      <c r="CD1101" s="52">
        <f t="shared" ca="1" si="1336"/>
        <v>0</v>
      </c>
      <c r="CE1101" s="52">
        <f t="shared" ca="1" si="1336"/>
        <v>0</v>
      </c>
      <c r="CF1101" s="52">
        <f t="shared" ca="1" si="1336"/>
        <v>0</v>
      </c>
      <c r="CG1101" s="52">
        <f t="shared" ca="1" si="1336"/>
        <v>0</v>
      </c>
      <c r="CH1101" s="52">
        <f t="shared" ca="1" si="1336"/>
        <v>0</v>
      </c>
      <c r="CI1101" s="52">
        <f t="shared" ca="1" si="1336"/>
        <v>0</v>
      </c>
      <c r="CJ1101" s="52">
        <f t="shared" ca="1" si="1336"/>
        <v>0</v>
      </c>
      <c r="CK1101" s="52">
        <f t="shared" ca="1" si="1336"/>
        <v>0</v>
      </c>
      <c r="CL1101" s="52">
        <f t="shared" ca="1" si="1336"/>
        <v>0</v>
      </c>
      <c r="CM1101" s="52">
        <f t="shared" ca="1" si="1336"/>
        <v>0</v>
      </c>
      <c r="CN1101" s="52">
        <f t="shared" ca="1" si="1336"/>
        <v>0</v>
      </c>
      <c r="CO1101" s="52">
        <f t="shared" ca="1" si="1336"/>
        <v>0</v>
      </c>
    </row>
    <row r="1102" spans="1:93">
      <c r="A1102" s="10"/>
      <c r="B1102" s="10"/>
      <c r="C1102" s="17" t="s">
        <v>340</v>
      </c>
      <c r="D1102" s="10"/>
      <c r="E1102" s="10"/>
      <c r="F1102" s="10"/>
      <c r="G1102" s="11" t="str">
        <f>Monetary_Unit</f>
        <v>тыс. руб.</v>
      </c>
      <c r="H1102" s="10"/>
      <c r="I1102" s="23">
        <f ca="1">SUM(L1102:CO1102)</f>
        <v>123533.77374294518</v>
      </c>
      <c r="J1102" s="10"/>
      <c r="K1102" s="10"/>
      <c r="L1102" s="52">
        <f>L1101*NOT(Flag_Operations)</f>
        <v>0</v>
      </c>
      <c r="M1102" s="52">
        <f t="shared" ref="M1102:BX1102" ca="1" si="1337">M1101*NOT(Flag_Operations)</f>
        <v>0</v>
      </c>
      <c r="N1102" s="52">
        <f t="shared" ca="1" si="1337"/>
        <v>0</v>
      </c>
      <c r="O1102" s="52">
        <f t="shared" ca="1" si="1337"/>
        <v>0</v>
      </c>
      <c r="P1102" s="52">
        <f t="shared" ca="1" si="1337"/>
        <v>0</v>
      </c>
      <c r="Q1102" s="52">
        <f t="shared" ca="1" si="1337"/>
        <v>0</v>
      </c>
      <c r="R1102" s="52">
        <f t="shared" ca="1" si="1337"/>
        <v>0</v>
      </c>
      <c r="S1102" s="52">
        <f t="shared" ca="1" si="1337"/>
        <v>0</v>
      </c>
      <c r="T1102" s="52">
        <f t="shared" ca="1" si="1337"/>
        <v>375.82926333388428</v>
      </c>
      <c r="U1102" s="52">
        <f t="shared" ca="1" si="1337"/>
        <v>2049.679343298747</v>
      </c>
      <c r="V1102" s="52">
        <f t="shared" ca="1" si="1337"/>
        <v>4692.73305525248</v>
      </c>
      <c r="W1102" s="52">
        <f t="shared" ca="1" si="1337"/>
        <v>7339.0839635085113</v>
      </c>
      <c r="X1102" s="52">
        <f t="shared" ca="1" si="1337"/>
        <v>11087.213428915877</v>
      </c>
      <c r="Y1102" s="52">
        <f t="shared" ca="1" si="1337"/>
        <v>16184.443320720929</v>
      </c>
      <c r="Z1102" s="52">
        <f t="shared" ca="1" si="1337"/>
        <v>21566.314755658917</v>
      </c>
      <c r="AA1102" s="52">
        <f t="shared" ca="1" si="1337"/>
        <v>26821.612493877776</v>
      </c>
      <c r="AB1102" s="52">
        <f t="shared" ca="1" si="1337"/>
        <v>33416.864118378056</v>
      </c>
      <c r="AC1102" s="52">
        <f t="shared" ca="1" si="1337"/>
        <v>0</v>
      </c>
      <c r="AD1102" s="52">
        <f t="shared" ca="1" si="1337"/>
        <v>0</v>
      </c>
      <c r="AE1102" s="52">
        <f t="shared" ca="1" si="1337"/>
        <v>0</v>
      </c>
      <c r="AF1102" s="52">
        <f t="shared" ca="1" si="1337"/>
        <v>0</v>
      </c>
      <c r="AG1102" s="52">
        <f t="shared" ca="1" si="1337"/>
        <v>0</v>
      </c>
      <c r="AH1102" s="52">
        <f t="shared" ca="1" si="1337"/>
        <v>0</v>
      </c>
      <c r="AI1102" s="52">
        <f t="shared" ca="1" si="1337"/>
        <v>0</v>
      </c>
      <c r="AJ1102" s="52">
        <f t="shared" ca="1" si="1337"/>
        <v>0</v>
      </c>
      <c r="AK1102" s="52">
        <f t="shared" ca="1" si="1337"/>
        <v>0</v>
      </c>
      <c r="AL1102" s="52">
        <f t="shared" ca="1" si="1337"/>
        <v>0</v>
      </c>
      <c r="AM1102" s="52">
        <f t="shared" ca="1" si="1337"/>
        <v>0</v>
      </c>
      <c r="AN1102" s="52">
        <f t="shared" ca="1" si="1337"/>
        <v>0</v>
      </c>
      <c r="AO1102" s="52">
        <f t="shared" ca="1" si="1337"/>
        <v>0</v>
      </c>
      <c r="AP1102" s="52">
        <f t="shared" ca="1" si="1337"/>
        <v>0</v>
      </c>
      <c r="AQ1102" s="52">
        <f t="shared" ca="1" si="1337"/>
        <v>0</v>
      </c>
      <c r="AR1102" s="52">
        <f t="shared" ca="1" si="1337"/>
        <v>0</v>
      </c>
      <c r="AS1102" s="52">
        <f t="shared" ca="1" si="1337"/>
        <v>0</v>
      </c>
      <c r="AT1102" s="52">
        <f t="shared" ca="1" si="1337"/>
        <v>0</v>
      </c>
      <c r="AU1102" s="52">
        <f t="shared" ca="1" si="1337"/>
        <v>0</v>
      </c>
      <c r="AV1102" s="52">
        <f t="shared" ca="1" si="1337"/>
        <v>0</v>
      </c>
      <c r="AW1102" s="52">
        <f t="shared" ca="1" si="1337"/>
        <v>0</v>
      </c>
      <c r="AX1102" s="52">
        <f t="shared" ca="1" si="1337"/>
        <v>0</v>
      </c>
      <c r="AY1102" s="52">
        <f t="shared" ca="1" si="1337"/>
        <v>0</v>
      </c>
      <c r="AZ1102" s="52">
        <f t="shared" ca="1" si="1337"/>
        <v>0</v>
      </c>
      <c r="BA1102" s="52">
        <f t="shared" ca="1" si="1337"/>
        <v>0</v>
      </c>
      <c r="BB1102" s="52">
        <f t="shared" ca="1" si="1337"/>
        <v>0</v>
      </c>
      <c r="BC1102" s="52">
        <f t="shared" ca="1" si="1337"/>
        <v>0</v>
      </c>
      <c r="BD1102" s="52">
        <f t="shared" ca="1" si="1337"/>
        <v>0</v>
      </c>
      <c r="BE1102" s="52">
        <f t="shared" ca="1" si="1337"/>
        <v>0</v>
      </c>
      <c r="BF1102" s="52">
        <f t="shared" ca="1" si="1337"/>
        <v>0</v>
      </c>
      <c r="BG1102" s="52">
        <f t="shared" ca="1" si="1337"/>
        <v>0</v>
      </c>
      <c r="BH1102" s="52">
        <f t="shared" ca="1" si="1337"/>
        <v>0</v>
      </c>
      <c r="BI1102" s="52">
        <f t="shared" ca="1" si="1337"/>
        <v>0</v>
      </c>
      <c r="BJ1102" s="52">
        <f t="shared" ca="1" si="1337"/>
        <v>0</v>
      </c>
      <c r="BK1102" s="52">
        <f t="shared" ca="1" si="1337"/>
        <v>0</v>
      </c>
      <c r="BL1102" s="52">
        <f t="shared" ca="1" si="1337"/>
        <v>0</v>
      </c>
      <c r="BM1102" s="52">
        <f t="shared" ca="1" si="1337"/>
        <v>0</v>
      </c>
      <c r="BN1102" s="52">
        <f t="shared" ca="1" si="1337"/>
        <v>0</v>
      </c>
      <c r="BO1102" s="52">
        <f t="shared" ca="1" si="1337"/>
        <v>0</v>
      </c>
      <c r="BP1102" s="52">
        <f t="shared" ca="1" si="1337"/>
        <v>0</v>
      </c>
      <c r="BQ1102" s="52">
        <f t="shared" ca="1" si="1337"/>
        <v>0</v>
      </c>
      <c r="BR1102" s="52">
        <f t="shared" ca="1" si="1337"/>
        <v>0</v>
      </c>
      <c r="BS1102" s="52">
        <f t="shared" ca="1" si="1337"/>
        <v>0</v>
      </c>
      <c r="BT1102" s="52">
        <f t="shared" ca="1" si="1337"/>
        <v>0</v>
      </c>
      <c r="BU1102" s="52">
        <f t="shared" ca="1" si="1337"/>
        <v>0</v>
      </c>
      <c r="BV1102" s="52">
        <f t="shared" ca="1" si="1337"/>
        <v>0</v>
      </c>
      <c r="BW1102" s="52">
        <f t="shared" ca="1" si="1337"/>
        <v>0</v>
      </c>
      <c r="BX1102" s="52">
        <f t="shared" ca="1" si="1337"/>
        <v>0</v>
      </c>
      <c r="BY1102" s="52">
        <f t="shared" ref="BY1102:CO1102" ca="1" si="1338">BY1101*NOT(Flag_Operations)</f>
        <v>0</v>
      </c>
      <c r="BZ1102" s="52">
        <f t="shared" ca="1" si="1338"/>
        <v>0</v>
      </c>
      <c r="CA1102" s="52">
        <f t="shared" ca="1" si="1338"/>
        <v>0</v>
      </c>
      <c r="CB1102" s="52">
        <f t="shared" ca="1" si="1338"/>
        <v>0</v>
      </c>
      <c r="CC1102" s="52">
        <f t="shared" ca="1" si="1338"/>
        <v>0</v>
      </c>
      <c r="CD1102" s="52">
        <f t="shared" ca="1" si="1338"/>
        <v>0</v>
      </c>
      <c r="CE1102" s="52">
        <f t="shared" ca="1" si="1338"/>
        <v>0</v>
      </c>
      <c r="CF1102" s="52">
        <f t="shared" ca="1" si="1338"/>
        <v>0</v>
      </c>
      <c r="CG1102" s="52">
        <f t="shared" ca="1" si="1338"/>
        <v>0</v>
      </c>
      <c r="CH1102" s="52">
        <f t="shared" ca="1" si="1338"/>
        <v>0</v>
      </c>
      <c r="CI1102" s="52">
        <f t="shared" ca="1" si="1338"/>
        <v>0</v>
      </c>
      <c r="CJ1102" s="52">
        <f t="shared" ca="1" si="1338"/>
        <v>0</v>
      </c>
      <c r="CK1102" s="52">
        <f t="shared" ca="1" si="1338"/>
        <v>0</v>
      </c>
      <c r="CL1102" s="52">
        <f t="shared" ca="1" si="1338"/>
        <v>0</v>
      </c>
      <c r="CM1102" s="52">
        <f t="shared" ca="1" si="1338"/>
        <v>0</v>
      </c>
      <c r="CN1102" s="52">
        <f t="shared" ca="1" si="1338"/>
        <v>0</v>
      </c>
      <c r="CO1102" s="52">
        <f t="shared" ca="1" si="1338"/>
        <v>0</v>
      </c>
    </row>
    <row r="1103" spans="1:93">
      <c r="A1103" s="10"/>
      <c r="B1103" s="10"/>
      <c r="C1103" s="17" t="s">
        <v>410</v>
      </c>
      <c r="D1103" s="10"/>
      <c r="E1103" s="10"/>
      <c r="F1103" s="10"/>
      <c r="G1103" s="11" t="str">
        <f>Monetary_Unit</f>
        <v>тыс. руб.</v>
      </c>
      <c r="H1103" s="10"/>
      <c r="I1103" s="23">
        <f ca="1">SUM(L1103:CO1103)</f>
        <v>348972.14176435355</v>
      </c>
      <c r="J1103" s="10"/>
      <c r="K1103" s="10"/>
      <c r="L1103" s="52">
        <f>L1101*Flag_Operations</f>
        <v>0</v>
      </c>
      <c r="M1103" s="52">
        <f t="shared" ref="M1103:BX1103" ca="1" si="1339">M1101*Flag_Operations</f>
        <v>0</v>
      </c>
      <c r="N1103" s="52">
        <f t="shared" ca="1" si="1339"/>
        <v>0</v>
      </c>
      <c r="O1103" s="52">
        <f t="shared" ca="1" si="1339"/>
        <v>0</v>
      </c>
      <c r="P1103" s="52">
        <f t="shared" ca="1" si="1339"/>
        <v>0</v>
      </c>
      <c r="Q1103" s="52">
        <f t="shared" ca="1" si="1339"/>
        <v>0</v>
      </c>
      <c r="R1103" s="52">
        <f t="shared" ca="1" si="1339"/>
        <v>0</v>
      </c>
      <c r="S1103" s="52">
        <f t="shared" ca="1" si="1339"/>
        <v>0</v>
      </c>
      <c r="T1103" s="52">
        <f t="shared" ca="1" si="1339"/>
        <v>0</v>
      </c>
      <c r="U1103" s="52">
        <f t="shared" ca="1" si="1339"/>
        <v>0</v>
      </c>
      <c r="V1103" s="52">
        <f t="shared" ca="1" si="1339"/>
        <v>0</v>
      </c>
      <c r="W1103" s="52">
        <f t="shared" ca="1" si="1339"/>
        <v>0</v>
      </c>
      <c r="X1103" s="52">
        <f t="shared" ca="1" si="1339"/>
        <v>0</v>
      </c>
      <c r="Y1103" s="52">
        <f t="shared" ca="1" si="1339"/>
        <v>0</v>
      </c>
      <c r="Z1103" s="52">
        <f t="shared" ca="1" si="1339"/>
        <v>0</v>
      </c>
      <c r="AA1103" s="52">
        <f t="shared" ca="1" si="1339"/>
        <v>0</v>
      </c>
      <c r="AB1103" s="52">
        <f t="shared" ca="1" si="1339"/>
        <v>0</v>
      </c>
      <c r="AC1103" s="52">
        <f t="shared" ca="1" si="1339"/>
        <v>38354.581535515288</v>
      </c>
      <c r="AD1103" s="52">
        <f t="shared" ca="1" si="1339"/>
        <v>32803.703361364605</v>
      </c>
      <c r="AE1103" s="52">
        <f t="shared" ca="1" si="1339"/>
        <v>29891.359146755047</v>
      </c>
      <c r="AF1103" s="52">
        <f t="shared" ca="1" si="1339"/>
        <v>27616.105945096959</v>
      </c>
      <c r="AG1103" s="52">
        <f t="shared" ca="1" si="1339"/>
        <v>27156.393128187661</v>
      </c>
      <c r="AH1103" s="52">
        <f t="shared" ca="1" si="1339"/>
        <v>26538.750611260843</v>
      </c>
      <c r="AI1103" s="52">
        <f t="shared" ca="1" si="1339"/>
        <v>24395.411155234164</v>
      </c>
      <c r="AJ1103" s="52">
        <f t="shared" ca="1" si="1339"/>
        <v>21831.922145464901</v>
      </c>
      <c r="AK1103" s="52">
        <f t="shared" ca="1" si="1339"/>
        <v>21042.52524153925</v>
      </c>
      <c r="AL1103" s="52">
        <f t="shared" ca="1" si="1339"/>
        <v>20069.891622505023</v>
      </c>
      <c r="AM1103" s="52">
        <f t="shared" ca="1" si="1339"/>
        <v>17454.073787044064</v>
      </c>
      <c r="AN1103" s="52">
        <f t="shared" ca="1" si="1339"/>
        <v>14712.666046453658</v>
      </c>
      <c r="AO1103" s="52">
        <f t="shared" ca="1" si="1339"/>
        <v>13375.764703781109</v>
      </c>
      <c r="AP1103" s="52">
        <f t="shared" ca="1" si="1339"/>
        <v>11999.563981574278</v>
      </c>
      <c r="AQ1103" s="52">
        <f t="shared" ca="1" si="1339"/>
        <v>8912.8602572211221</v>
      </c>
      <c r="AR1103" s="52">
        <f t="shared" ca="1" si="1339"/>
        <v>5840.770680695141</v>
      </c>
      <c r="AS1103" s="52">
        <f t="shared" ca="1" si="1339"/>
        <v>4327.01356872835</v>
      </c>
      <c r="AT1103" s="52">
        <f t="shared" ca="1" si="1339"/>
        <v>2648.7848459321053</v>
      </c>
      <c r="AU1103" s="52">
        <f t="shared" ca="1" si="1339"/>
        <v>0</v>
      </c>
      <c r="AV1103" s="52">
        <f t="shared" ca="1" si="1339"/>
        <v>0</v>
      </c>
      <c r="AW1103" s="52">
        <f t="shared" ca="1" si="1339"/>
        <v>0</v>
      </c>
      <c r="AX1103" s="52">
        <f t="shared" ca="1" si="1339"/>
        <v>0</v>
      </c>
      <c r="AY1103" s="52">
        <f t="shared" ca="1" si="1339"/>
        <v>0</v>
      </c>
      <c r="AZ1103" s="52">
        <f t="shared" ca="1" si="1339"/>
        <v>0</v>
      </c>
      <c r="BA1103" s="52">
        <f t="shared" ca="1" si="1339"/>
        <v>0</v>
      </c>
      <c r="BB1103" s="52">
        <f t="shared" ca="1" si="1339"/>
        <v>0</v>
      </c>
      <c r="BC1103" s="52">
        <f t="shared" ca="1" si="1339"/>
        <v>0</v>
      </c>
      <c r="BD1103" s="52">
        <f t="shared" ca="1" si="1339"/>
        <v>0</v>
      </c>
      <c r="BE1103" s="52">
        <f t="shared" ca="1" si="1339"/>
        <v>0</v>
      </c>
      <c r="BF1103" s="52">
        <f t="shared" ca="1" si="1339"/>
        <v>0</v>
      </c>
      <c r="BG1103" s="52">
        <f t="shared" ca="1" si="1339"/>
        <v>0</v>
      </c>
      <c r="BH1103" s="52">
        <f t="shared" ca="1" si="1339"/>
        <v>0</v>
      </c>
      <c r="BI1103" s="52">
        <f t="shared" ca="1" si="1339"/>
        <v>0</v>
      </c>
      <c r="BJ1103" s="52">
        <f t="shared" ca="1" si="1339"/>
        <v>0</v>
      </c>
      <c r="BK1103" s="52">
        <f t="shared" ca="1" si="1339"/>
        <v>0</v>
      </c>
      <c r="BL1103" s="52">
        <f t="shared" ca="1" si="1339"/>
        <v>0</v>
      </c>
      <c r="BM1103" s="52">
        <f t="shared" ca="1" si="1339"/>
        <v>0</v>
      </c>
      <c r="BN1103" s="52">
        <f t="shared" ca="1" si="1339"/>
        <v>0</v>
      </c>
      <c r="BO1103" s="52">
        <f t="shared" ca="1" si="1339"/>
        <v>0</v>
      </c>
      <c r="BP1103" s="52">
        <f t="shared" ca="1" si="1339"/>
        <v>0</v>
      </c>
      <c r="BQ1103" s="52">
        <f t="shared" ca="1" si="1339"/>
        <v>0</v>
      </c>
      <c r="BR1103" s="52">
        <f t="shared" ca="1" si="1339"/>
        <v>0</v>
      </c>
      <c r="BS1103" s="52">
        <f t="shared" ca="1" si="1339"/>
        <v>0</v>
      </c>
      <c r="BT1103" s="52">
        <f t="shared" ca="1" si="1339"/>
        <v>0</v>
      </c>
      <c r="BU1103" s="52">
        <f t="shared" ca="1" si="1339"/>
        <v>0</v>
      </c>
      <c r="BV1103" s="52">
        <f t="shared" ca="1" si="1339"/>
        <v>0</v>
      </c>
      <c r="BW1103" s="52">
        <f t="shared" ca="1" si="1339"/>
        <v>0</v>
      </c>
      <c r="BX1103" s="52">
        <f t="shared" ca="1" si="1339"/>
        <v>0</v>
      </c>
      <c r="BY1103" s="52">
        <f t="shared" ref="BY1103:CO1103" ca="1" si="1340">BY1101*Flag_Operations</f>
        <v>0</v>
      </c>
      <c r="BZ1103" s="52">
        <f t="shared" ca="1" si="1340"/>
        <v>0</v>
      </c>
      <c r="CA1103" s="52">
        <f t="shared" ca="1" si="1340"/>
        <v>0</v>
      </c>
      <c r="CB1103" s="52">
        <f t="shared" ca="1" si="1340"/>
        <v>0</v>
      </c>
      <c r="CC1103" s="52">
        <f t="shared" ca="1" si="1340"/>
        <v>0</v>
      </c>
      <c r="CD1103" s="52">
        <f t="shared" ca="1" si="1340"/>
        <v>0</v>
      </c>
      <c r="CE1103" s="52">
        <f t="shared" ca="1" si="1340"/>
        <v>0</v>
      </c>
      <c r="CF1103" s="52">
        <f t="shared" ca="1" si="1340"/>
        <v>0</v>
      </c>
      <c r="CG1103" s="52">
        <f t="shared" ca="1" si="1340"/>
        <v>0</v>
      </c>
      <c r="CH1103" s="52">
        <f t="shared" ca="1" si="1340"/>
        <v>0</v>
      </c>
      <c r="CI1103" s="52">
        <f t="shared" ca="1" si="1340"/>
        <v>0</v>
      </c>
      <c r="CJ1103" s="52">
        <f t="shared" ca="1" si="1340"/>
        <v>0</v>
      </c>
      <c r="CK1103" s="52">
        <f t="shared" ca="1" si="1340"/>
        <v>0</v>
      </c>
      <c r="CL1103" s="52">
        <f t="shared" ca="1" si="1340"/>
        <v>0</v>
      </c>
      <c r="CM1103" s="52">
        <f t="shared" ca="1" si="1340"/>
        <v>0</v>
      </c>
      <c r="CN1103" s="52">
        <f t="shared" ca="1" si="1340"/>
        <v>0</v>
      </c>
      <c r="CO1103" s="52">
        <f t="shared" ca="1" si="1340"/>
        <v>0</v>
      </c>
    </row>
    <row r="1104" spans="1:93">
      <c r="A1104" s="10"/>
      <c r="B1104" s="10"/>
      <c r="C1104" s="17" t="s">
        <v>183</v>
      </c>
      <c r="D1104" s="10"/>
      <c r="E1104" s="10"/>
      <c r="F1104" s="10"/>
      <c r="G1104" s="11" t="str">
        <f>Monetary_Unit</f>
        <v>тыс. руб.</v>
      </c>
      <c r="H1104" s="10"/>
      <c r="I1104" s="23">
        <f ca="1">SUM(L1104:CO1104)</f>
        <v>472505.91550729872</v>
      </c>
      <c r="J1104" s="10"/>
      <c r="K1104" s="10"/>
      <c r="L1104" s="52">
        <f>SUM(L1102:L1103)</f>
        <v>0</v>
      </c>
      <c r="M1104" s="52">
        <f t="shared" ref="M1104:BX1104" ca="1" si="1341">SUM(M1102:M1103)</f>
        <v>0</v>
      </c>
      <c r="N1104" s="52">
        <f t="shared" ca="1" si="1341"/>
        <v>0</v>
      </c>
      <c r="O1104" s="52">
        <f t="shared" ca="1" si="1341"/>
        <v>0</v>
      </c>
      <c r="P1104" s="52">
        <f t="shared" ca="1" si="1341"/>
        <v>0</v>
      </c>
      <c r="Q1104" s="52">
        <f t="shared" ca="1" si="1341"/>
        <v>0</v>
      </c>
      <c r="R1104" s="52">
        <f t="shared" ca="1" si="1341"/>
        <v>0</v>
      </c>
      <c r="S1104" s="52">
        <f t="shared" ca="1" si="1341"/>
        <v>0</v>
      </c>
      <c r="T1104" s="52">
        <f t="shared" ca="1" si="1341"/>
        <v>375.82926333388428</v>
      </c>
      <c r="U1104" s="52">
        <f t="shared" ca="1" si="1341"/>
        <v>2049.679343298747</v>
      </c>
      <c r="V1104" s="52">
        <f t="shared" ca="1" si="1341"/>
        <v>4692.73305525248</v>
      </c>
      <c r="W1104" s="52">
        <f t="shared" ca="1" si="1341"/>
        <v>7339.0839635085113</v>
      </c>
      <c r="X1104" s="52">
        <f t="shared" ca="1" si="1341"/>
        <v>11087.213428915877</v>
      </c>
      <c r="Y1104" s="52">
        <f t="shared" ca="1" si="1341"/>
        <v>16184.443320720929</v>
      </c>
      <c r="Z1104" s="52">
        <f t="shared" ca="1" si="1341"/>
        <v>21566.314755658917</v>
      </c>
      <c r="AA1104" s="52">
        <f t="shared" ca="1" si="1341"/>
        <v>26821.612493877776</v>
      </c>
      <c r="AB1104" s="52">
        <f t="shared" ca="1" si="1341"/>
        <v>33416.864118378056</v>
      </c>
      <c r="AC1104" s="52">
        <f t="shared" ca="1" si="1341"/>
        <v>38354.581535515288</v>
      </c>
      <c r="AD1104" s="52">
        <f t="shared" ca="1" si="1341"/>
        <v>32803.703361364605</v>
      </c>
      <c r="AE1104" s="52">
        <f t="shared" ca="1" si="1341"/>
        <v>29891.359146755047</v>
      </c>
      <c r="AF1104" s="52">
        <f t="shared" ca="1" si="1341"/>
        <v>27616.105945096959</v>
      </c>
      <c r="AG1104" s="52">
        <f t="shared" ca="1" si="1341"/>
        <v>27156.393128187661</v>
      </c>
      <c r="AH1104" s="52">
        <f t="shared" ca="1" si="1341"/>
        <v>26538.750611260843</v>
      </c>
      <c r="AI1104" s="52">
        <f t="shared" ca="1" si="1341"/>
        <v>24395.411155234164</v>
      </c>
      <c r="AJ1104" s="52">
        <f t="shared" ca="1" si="1341"/>
        <v>21831.922145464901</v>
      </c>
      <c r="AK1104" s="52">
        <f t="shared" ca="1" si="1341"/>
        <v>21042.52524153925</v>
      </c>
      <c r="AL1104" s="52">
        <f t="shared" ca="1" si="1341"/>
        <v>20069.891622505023</v>
      </c>
      <c r="AM1104" s="52">
        <f t="shared" ca="1" si="1341"/>
        <v>17454.073787044064</v>
      </c>
      <c r="AN1104" s="52">
        <f t="shared" ca="1" si="1341"/>
        <v>14712.666046453658</v>
      </c>
      <c r="AO1104" s="52">
        <f t="shared" ca="1" si="1341"/>
        <v>13375.764703781109</v>
      </c>
      <c r="AP1104" s="52">
        <f t="shared" ca="1" si="1341"/>
        <v>11999.563981574278</v>
      </c>
      <c r="AQ1104" s="52">
        <f t="shared" ca="1" si="1341"/>
        <v>8912.8602572211221</v>
      </c>
      <c r="AR1104" s="52">
        <f t="shared" ca="1" si="1341"/>
        <v>5840.770680695141</v>
      </c>
      <c r="AS1104" s="52">
        <f t="shared" ca="1" si="1341"/>
        <v>4327.01356872835</v>
      </c>
      <c r="AT1104" s="52">
        <f t="shared" ca="1" si="1341"/>
        <v>2648.7848459321053</v>
      </c>
      <c r="AU1104" s="52">
        <f t="shared" ca="1" si="1341"/>
        <v>0</v>
      </c>
      <c r="AV1104" s="52">
        <f t="shared" ca="1" si="1341"/>
        <v>0</v>
      </c>
      <c r="AW1104" s="52">
        <f t="shared" ca="1" si="1341"/>
        <v>0</v>
      </c>
      <c r="AX1104" s="52">
        <f t="shared" ca="1" si="1341"/>
        <v>0</v>
      </c>
      <c r="AY1104" s="52">
        <f t="shared" ca="1" si="1341"/>
        <v>0</v>
      </c>
      <c r="AZ1104" s="52">
        <f t="shared" ca="1" si="1341"/>
        <v>0</v>
      </c>
      <c r="BA1104" s="52">
        <f t="shared" ca="1" si="1341"/>
        <v>0</v>
      </c>
      <c r="BB1104" s="52">
        <f t="shared" ca="1" si="1341"/>
        <v>0</v>
      </c>
      <c r="BC1104" s="52">
        <f t="shared" ca="1" si="1341"/>
        <v>0</v>
      </c>
      <c r="BD1104" s="52">
        <f t="shared" ca="1" si="1341"/>
        <v>0</v>
      </c>
      <c r="BE1104" s="52">
        <f t="shared" ca="1" si="1341"/>
        <v>0</v>
      </c>
      <c r="BF1104" s="52">
        <f t="shared" ca="1" si="1341"/>
        <v>0</v>
      </c>
      <c r="BG1104" s="52">
        <f t="shared" ca="1" si="1341"/>
        <v>0</v>
      </c>
      <c r="BH1104" s="52">
        <f t="shared" ca="1" si="1341"/>
        <v>0</v>
      </c>
      <c r="BI1104" s="52">
        <f t="shared" ca="1" si="1341"/>
        <v>0</v>
      </c>
      <c r="BJ1104" s="52">
        <f t="shared" ca="1" si="1341"/>
        <v>0</v>
      </c>
      <c r="BK1104" s="52">
        <f t="shared" ca="1" si="1341"/>
        <v>0</v>
      </c>
      <c r="BL1104" s="52">
        <f t="shared" ca="1" si="1341"/>
        <v>0</v>
      </c>
      <c r="BM1104" s="52">
        <f t="shared" ca="1" si="1341"/>
        <v>0</v>
      </c>
      <c r="BN1104" s="52">
        <f t="shared" ca="1" si="1341"/>
        <v>0</v>
      </c>
      <c r="BO1104" s="52">
        <f t="shared" ca="1" si="1341"/>
        <v>0</v>
      </c>
      <c r="BP1104" s="52">
        <f t="shared" ca="1" si="1341"/>
        <v>0</v>
      </c>
      <c r="BQ1104" s="52">
        <f t="shared" ca="1" si="1341"/>
        <v>0</v>
      </c>
      <c r="BR1104" s="52">
        <f t="shared" ca="1" si="1341"/>
        <v>0</v>
      </c>
      <c r="BS1104" s="52">
        <f t="shared" ca="1" si="1341"/>
        <v>0</v>
      </c>
      <c r="BT1104" s="52">
        <f t="shared" ca="1" si="1341"/>
        <v>0</v>
      </c>
      <c r="BU1104" s="52">
        <f t="shared" ca="1" si="1341"/>
        <v>0</v>
      </c>
      <c r="BV1104" s="52">
        <f t="shared" ca="1" si="1341"/>
        <v>0</v>
      </c>
      <c r="BW1104" s="52">
        <f t="shared" ca="1" si="1341"/>
        <v>0</v>
      </c>
      <c r="BX1104" s="52">
        <f t="shared" ca="1" si="1341"/>
        <v>0</v>
      </c>
      <c r="BY1104" s="52">
        <f t="shared" ref="BY1104:CO1104" ca="1" si="1342">SUM(BY1102:BY1103)</f>
        <v>0</v>
      </c>
      <c r="BZ1104" s="52">
        <f t="shared" ca="1" si="1342"/>
        <v>0</v>
      </c>
      <c r="CA1104" s="52">
        <f t="shared" ca="1" si="1342"/>
        <v>0</v>
      </c>
      <c r="CB1104" s="52">
        <f t="shared" ca="1" si="1342"/>
        <v>0</v>
      </c>
      <c r="CC1104" s="52">
        <f t="shared" ca="1" si="1342"/>
        <v>0</v>
      </c>
      <c r="CD1104" s="52">
        <f t="shared" ca="1" si="1342"/>
        <v>0</v>
      </c>
      <c r="CE1104" s="52">
        <f t="shared" ca="1" si="1342"/>
        <v>0</v>
      </c>
      <c r="CF1104" s="52">
        <f t="shared" ca="1" si="1342"/>
        <v>0</v>
      </c>
      <c r="CG1104" s="52">
        <f t="shared" ca="1" si="1342"/>
        <v>0</v>
      </c>
      <c r="CH1104" s="52">
        <f t="shared" ca="1" si="1342"/>
        <v>0</v>
      </c>
      <c r="CI1104" s="52">
        <f t="shared" ca="1" si="1342"/>
        <v>0</v>
      </c>
      <c r="CJ1104" s="52">
        <f t="shared" ca="1" si="1342"/>
        <v>0</v>
      </c>
      <c r="CK1104" s="52">
        <f t="shared" ca="1" si="1342"/>
        <v>0</v>
      </c>
      <c r="CL1104" s="52">
        <f t="shared" ca="1" si="1342"/>
        <v>0</v>
      </c>
      <c r="CM1104" s="52">
        <f t="shared" ca="1" si="1342"/>
        <v>0</v>
      </c>
      <c r="CN1104" s="52">
        <f t="shared" ca="1" si="1342"/>
        <v>0</v>
      </c>
      <c r="CO1104" s="52">
        <f t="shared" ca="1" si="1342"/>
        <v>0</v>
      </c>
    </row>
    <row r="1105" spans="1:93">
      <c r="A1105" s="10"/>
      <c r="B1105" s="10"/>
      <c r="C1105" s="17"/>
      <c r="D1105" s="10"/>
      <c r="E1105" s="62"/>
      <c r="F1105" s="10"/>
      <c r="G1105" s="11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0"/>
      <c r="AH1105" s="10"/>
      <c r="AI1105" s="10"/>
      <c r="AJ1105" s="10"/>
      <c r="AK1105" s="10"/>
      <c r="AL1105" s="10"/>
      <c r="AM1105" s="10"/>
      <c r="AN1105" s="10"/>
      <c r="AO1105" s="10"/>
      <c r="AP1105" s="10"/>
      <c r="AQ1105" s="10"/>
      <c r="AR1105" s="10"/>
      <c r="AS1105" s="10"/>
      <c r="AT1105" s="10"/>
      <c r="AU1105" s="10"/>
      <c r="AV1105" s="10"/>
      <c r="AW1105" s="10"/>
      <c r="AX1105" s="10"/>
      <c r="AY1105" s="10"/>
      <c r="AZ1105" s="10"/>
      <c r="BA1105" s="10"/>
      <c r="BB1105" s="10"/>
      <c r="BC1105" s="10"/>
      <c r="BD1105" s="10"/>
      <c r="BE1105" s="10"/>
      <c r="BF1105" s="10"/>
      <c r="BG1105" s="10"/>
      <c r="BH1105" s="10"/>
      <c r="BI1105" s="10"/>
      <c r="BJ1105" s="10"/>
      <c r="BK1105" s="10"/>
      <c r="BL1105" s="10"/>
      <c r="BM1105" s="10"/>
      <c r="BN1105" s="10"/>
      <c r="BO1105" s="10"/>
      <c r="BP1105" s="10"/>
      <c r="BQ1105" s="10"/>
      <c r="BR1105" s="10"/>
      <c r="BS1105" s="10"/>
      <c r="BT1105" s="10"/>
      <c r="BU1105" s="10"/>
      <c r="BV1105" s="10"/>
      <c r="BW1105" s="10"/>
      <c r="BX1105" s="10"/>
      <c r="BY1105" s="10"/>
      <c r="BZ1105" s="10"/>
      <c r="CA1105" s="10"/>
      <c r="CB1105" s="10"/>
      <c r="CC1105" s="10"/>
      <c r="CD1105" s="10"/>
      <c r="CE1105" s="10"/>
      <c r="CF1105" s="10"/>
      <c r="CG1105" s="10"/>
      <c r="CH1105" s="10"/>
      <c r="CI1105" s="10"/>
      <c r="CJ1105" s="10"/>
      <c r="CK1105" s="10"/>
      <c r="CL1105" s="10"/>
      <c r="CM1105" s="10"/>
      <c r="CN1105" s="10"/>
      <c r="CO1105" s="10"/>
    </row>
    <row r="1106" spans="1:93">
      <c r="A1106" s="10"/>
      <c r="B1106" s="10"/>
      <c r="C1106" s="17" t="s">
        <v>184</v>
      </c>
      <c r="D1106" s="10"/>
      <c r="E1106" s="62"/>
      <c r="F1106" s="10"/>
      <c r="G1106" s="11" t="str">
        <f>MIN(L1106:CO1106) &amp; ".." &amp; MAX(L1106:CO1106)</f>
        <v>0..1</v>
      </c>
      <c r="H1106" s="10"/>
      <c r="I1106" s="10"/>
      <c r="J1106" s="10"/>
      <c r="K1106" s="10"/>
      <c r="L1106" s="79">
        <f>(Предпосылки!$E$557&lt;=End_of_period)*(Предпосылки!$E$558&gt;=Beginning_of_period)</f>
        <v>1</v>
      </c>
      <c r="M1106" s="79">
        <f>(Предпосылки!$E$557&lt;=End_of_period)*(Предпосылки!$E$558&gt;=Beginning_of_period)</f>
        <v>1</v>
      </c>
      <c r="N1106" s="79">
        <f>(Предпосылки!$E$557&lt;=End_of_period)*(Предпосылки!$E$558&gt;=Beginning_of_period)</f>
        <v>1</v>
      </c>
      <c r="O1106" s="79">
        <f>(Предпосылки!$E$557&lt;=End_of_period)*(Предпосылки!$E$558&gt;=Beginning_of_period)</f>
        <v>1</v>
      </c>
      <c r="P1106" s="79">
        <f>(Предпосылки!$E$557&lt;=End_of_period)*(Предпосылки!$E$558&gt;=Beginning_of_period)</f>
        <v>1</v>
      </c>
      <c r="Q1106" s="79">
        <f>(Предпосылки!$E$557&lt;=End_of_period)*(Предпосылки!$E$558&gt;=Beginning_of_period)</f>
        <v>1</v>
      </c>
      <c r="R1106" s="79">
        <f>(Предпосылки!$E$557&lt;=End_of_period)*(Предпосылки!$E$558&gt;=Beginning_of_period)</f>
        <v>1</v>
      </c>
      <c r="S1106" s="79">
        <f>(Предпосылки!$E$557&lt;=End_of_period)*(Предпосылки!$E$558&gt;=Beginning_of_period)</f>
        <v>1</v>
      </c>
      <c r="T1106" s="79">
        <f>(Предпосылки!$E$557&lt;=End_of_period)*(Предпосылки!$E$558&gt;=Beginning_of_period)</f>
        <v>1</v>
      </c>
      <c r="U1106" s="79">
        <f>(Предпосылки!$E$557&lt;=End_of_period)*(Предпосылки!$E$558&gt;=Beginning_of_period)</f>
        <v>1</v>
      </c>
      <c r="V1106" s="79">
        <f>(Предпосылки!$E$557&lt;=End_of_period)*(Предпосылки!$E$558&gt;=Beginning_of_period)</f>
        <v>1</v>
      </c>
      <c r="W1106" s="79">
        <f>(Предпосылки!$E$557&lt;=End_of_period)*(Предпосылки!$E$558&gt;=Beginning_of_period)</f>
        <v>1</v>
      </c>
      <c r="X1106" s="79">
        <f>(Предпосылки!$E$557&lt;=End_of_period)*(Предпосылки!$E$558&gt;=Beginning_of_period)</f>
        <v>1</v>
      </c>
      <c r="Y1106" s="79">
        <f>(Предпосылки!$E$557&lt;=End_of_period)*(Предпосылки!$E$558&gt;=Beginning_of_period)</f>
        <v>1</v>
      </c>
      <c r="Z1106" s="79">
        <f>(Предпосылки!$E$557&lt;=End_of_period)*(Предпосылки!$E$558&gt;=Beginning_of_period)</f>
        <v>1</v>
      </c>
      <c r="AA1106" s="79">
        <f>(Предпосылки!$E$557&lt;=End_of_period)*(Предпосылки!$E$558&gt;=Beginning_of_period)</f>
        <v>1</v>
      </c>
      <c r="AB1106" s="79">
        <f>(Предпосылки!$E$557&lt;=End_of_period)*(Предпосылки!$E$558&gt;=Beginning_of_period)</f>
        <v>1</v>
      </c>
      <c r="AC1106" s="79">
        <f>(Предпосылки!$E$557&lt;=End_of_period)*(Предпосылки!$E$558&gt;=Beginning_of_period)</f>
        <v>1</v>
      </c>
      <c r="AD1106" s="79">
        <f>(Предпосылки!$E$557&lt;=End_of_period)*(Предпосылки!$E$558&gt;=Beginning_of_period)</f>
        <v>1</v>
      </c>
      <c r="AE1106" s="79">
        <f>(Предпосылки!$E$557&lt;=End_of_period)*(Предпосылки!$E$558&gt;=Beginning_of_period)</f>
        <v>1</v>
      </c>
      <c r="AF1106" s="79">
        <f>(Предпосылки!$E$557&lt;=End_of_period)*(Предпосылки!$E$558&gt;=Beginning_of_period)</f>
        <v>1</v>
      </c>
      <c r="AG1106" s="79">
        <f>(Предпосылки!$E$557&lt;=End_of_period)*(Предпосылки!$E$558&gt;=Beginning_of_period)</f>
        <v>1</v>
      </c>
      <c r="AH1106" s="79">
        <f>(Предпосылки!$E$557&lt;=End_of_period)*(Предпосылки!$E$558&gt;=Beginning_of_period)</f>
        <v>1</v>
      </c>
      <c r="AI1106" s="79">
        <f>(Предпосылки!$E$557&lt;=End_of_period)*(Предпосылки!$E$558&gt;=Beginning_of_period)</f>
        <v>1</v>
      </c>
      <c r="AJ1106" s="79">
        <f>(Предпосылки!$E$557&lt;=End_of_period)*(Предпосылки!$E$558&gt;=Beginning_of_period)</f>
        <v>1</v>
      </c>
      <c r="AK1106" s="79">
        <f>(Предпосылки!$E$557&lt;=End_of_period)*(Предпосылки!$E$558&gt;=Beginning_of_period)</f>
        <v>1</v>
      </c>
      <c r="AL1106" s="79">
        <f>(Предпосылки!$E$557&lt;=End_of_period)*(Предпосылки!$E$558&gt;=Beginning_of_period)</f>
        <v>1</v>
      </c>
      <c r="AM1106" s="79">
        <f>(Предпосылки!$E$557&lt;=End_of_period)*(Предпосылки!$E$558&gt;=Beginning_of_period)</f>
        <v>1</v>
      </c>
      <c r="AN1106" s="79">
        <f>(Предпосылки!$E$557&lt;=End_of_period)*(Предпосылки!$E$558&gt;=Beginning_of_period)</f>
        <v>1</v>
      </c>
      <c r="AO1106" s="79">
        <f>(Предпосылки!$E$557&lt;=End_of_period)*(Предпосылки!$E$558&gt;=Beginning_of_period)</f>
        <v>1</v>
      </c>
      <c r="AP1106" s="79">
        <f>(Предпосылки!$E$557&lt;=End_of_period)*(Предпосылки!$E$558&gt;=Beginning_of_period)</f>
        <v>1</v>
      </c>
      <c r="AQ1106" s="79">
        <f>(Предпосылки!$E$557&lt;=End_of_period)*(Предпосылки!$E$558&gt;=Beginning_of_period)</f>
        <v>1</v>
      </c>
      <c r="AR1106" s="79">
        <f>(Предпосылки!$E$557&lt;=End_of_period)*(Предпосылки!$E$558&gt;=Beginning_of_period)</f>
        <v>1</v>
      </c>
      <c r="AS1106" s="79">
        <f>(Предпосылки!$E$557&lt;=End_of_period)*(Предпосылки!$E$558&gt;=Beginning_of_period)</f>
        <v>1</v>
      </c>
      <c r="AT1106" s="79">
        <f>(Предпосылки!$E$557&lt;=End_of_period)*(Предпосылки!$E$558&gt;=Beginning_of_period)</f>
        <v>1</v>
      </c>
      <c r="AU1106" s="79">
        <f>(Предпосылки!$E$557&lt;=End_of_period)*(Предпосылки!$E$558&gt;=Beginning_of_period)</f>
        <v>1</v>
      </c>
      <c r="AV1106" s="79">
        <f>(Предпосылки!$E$557&lt;=End_of_period)*(Предпосылки!$E$558&gt;=Beginning_of_period)</f>
        <v>1</v>
      </c>
      <c r="AW1106" s="79">
        <f>(Предпосылки!$E$557&lt;=End_of_period)*(Предпосылки!$E$558&gt;=Beginning_of_period)</f>
        <v>1</v>
      </c>
      <c r="AX1106" s="79">
        <f>(Предпосылки!$E$557&lt;=End_of_period)*(Предпосылки!$E$558&gt;=Beginning_of_period)</f>
        <v>1</v>
      </c>
      <c r="AY1106" s="79">
        <f>(Предпосылки!$E$557&lt;=End_of_period)*(Предпосылки!$E$558&gt;=Beginning_of_period)</f>
        <v>1</v>
      </c>
      <c r="AZ1106" s="79">
        <f>(Предпосылки!$E$557&lt;=End_of_period)*(Предпосылки!$E$558&gt;=Beginning_of_period)</f>
        <v>1</v>
      </c>
      <c r="BA1106" s="79">
        <f>(Предпосылки!$E$557&lt;=End_of_period)*(Предпосылки!$E$558&gt;=Beginning_of_period)</f>
        <v>1</v>
      </c>
      <c r="BB1106" s="79">
        <f>(Предпосылки!$E$557&lt;=End_of_period)*(Предпосылки!$E$558&gt;=Beginning_of_period)</f>
        <v>1</v>
      </c>
      <c r="BC1106" s="79">
        <f>(Предпосылки!$E$557&lt;=End_of_period)*(Предпосылки!$E$558&gt;=Beginning_of_period)</f>
        <v>1</v>
      </c>
      <c r="BD1106" s="79">
        <f>(Предпосылки!$E$557&lt;=End_of_period)*(Предпосылки!$E$558&gt;=Beginning_of_period)</f>
        <v>1</v>
      </c>
      <c r="BE1106" s="79">
        <f>(Предпосылки!$E$557&lt;=End_of_period)*(Предпосылки!$E$558&gt;=Beginning_of_period)</f>
        <v>1</v>
      </c>
      <c r="BF1106" s="79">
        <f>(Предпосылки!$E$557&lt;=End_of_period)*(Предпосылки!$E$558&gt;=Beginning_of_period)</f>
        <v>1</v>
      </c>
      <c r="BG1106" s="79">
        <f>(Предпосылки!$E$557&lt;=End_of_period)*(Предпосылки!$E$558&gt;=Beginning_of_period)</f>
        <v>1</v>
      </c>
      <c r="BH1106" s="79">
        <f>(Предпосылки!$E$557&lt;=End_of_period)*(Предпосылки!$E$558&gt;=Beginning_of_period)</f>
        <v>0</v>
      </c>
      <c r="BI1106" s="79">
        <f>(Предпосылки!$E$557&lt;=End_of_period)*(Предпосылки!$E$558&gt;=Beginning_of_period)</f>
        <v>0</v>
      </c>
      <c r="BJ1106" s="79">
        <f>(Предпосылки!$E$557&lt;=End_of_period)*(Предпосылки!$E$558&gt;=Beginning_of_period)</f>
        <v>0</v>
      </c>
      <c r="BK1106" s="79">
        <f>(Предпосылки!$E$557&lt;=End_of_period)*(Предпосылки!$E$558&gt;=Beginning_of_period)</f>
        <v>0</v>
      </c>
      <c r="BL1106" s="79">
        <f>(Предпосылки!$E$557&lt;=End_of_period)*(Предпосылки!$E$558&gt;=Beginning_of_period)</f>
        <v>0</v>
      </c>
      <c r="BM1106" s="79">
        <f>(Предпосылки!$E$557&lt;=End_of_period)*(Предпосылки!$E$558&gt;=Beginning_of_period)</f>
        <v>0</v>
      </c>
      <c r="BN1106" s="79">
        <f>(Предпосылки!$E$557&lt;=End_of_period)*(Предпосылки!$E$558&gt;=Beginning_of_period)</f>
        <v>0</v>
      </c>
      <c r="BO1106" s="79">
        <f>(Предпосылки!$E$557&lt;=End_of_period)*(Предпосылки!$E$558&gt;=Beginning_of_period)</f>
        <v>0</v>
      </c>
      <c r="BP1106" s="79">
        <f>(Предпосылки!$E$557&lt;=End_of_period)*(Предпосылки!$E$558&gt;=Beginning_of_period)</f>
        <v>0</v>
      </c>
      <c r="BQ1106" s="79">
        <f>(Предпосылки!$E$557&lt;=End_of_period)*(Предпосылки!$E$558&gt;=Beginning_of_period)</f>
        <v>0</v>
      </c>
      <c r="BR1106" s="79">
        <f>(Предпосылки!$E$557&lt;=End_of_period)*(Предпосылки!$E$558&gt;=Beginning_of_period)</f>
        <v>0</v>
      </c>
      <c r="BS1106" s="79">
        <f>(Предпосылки!$E$557&lt;=End_of_period)*(Предпосылки!$E$558&gt;=Beginning_of_period)</f>
        <v>0</v>
      </c>
      <c r="BT1106" s="79">
        <f>(Предпосылки!$E$557&lt;=End_of_period)*(Предпосылки!$E$558&gt;=Beginning_of_period)</f>
        <v>0</v>
      </c>
      <c r="BU1106" s="79">
        <f>(Предпосылки!$E$557&lt;=End_of_period)*(Предпосылки!$E$558&gt;=Beginning_of_period)</f>
        <v>0</v>
      </c>
      <c r="BV1106" s="79">
        <f>(Предпосылки!$E$557&lt;=End_of_period)*(Предпосылки!$E$558&gt;=Beginning_of_period)</f>
        <v>0</v>
      </c>
      <c r="BW1106" s="79">
        <f>(Предпосылки!$E$557&lt;=End_of_period)*(Предпосылки!$E$558&gt;=Beginning_of_period)</f>
        <v>0</v>
      </c>
      <c r="BX1106" s="79">
        <f>(Предпосылки!$E$557&lt;=End_of_period)*(Предпосылки!$E$558&gt;=Beginning_of_period)</f>
        <v>0</v>
      </c>
      <c r="BY1106" s="79">
        <f>(Предпосылки!$E$557&lt;=End_of_period)*(Предпосылки!$E$558&gt;=Beginning_of_period)</f>
        <v>0</v>
      </c>
      <c r="BZ1106" s="79">
        <f>(Предпосылки!$E$557&lt;=End_of_period)*(Предпосылки!$E$558&gt;=Beginning_of_period)</f>
        <v>0</v>
      </c>
      <c r="CA1106" s="79">
        <f>(Предпосылки!$E$557&lt;=End_of_period)*(Предпосылки!$E$558&gt;=Beginning_of_period)</f>
        <v>0</v>
      </c>
      <c r="CB1106" s="79">
        <f>(Предпосылки!$E$557&lt;=End_of_period)*(Предпосылки!$E$558&gt;=Beginning_of_period)</f>
        <v>0</v>
      </c>
      <c r="CC1106" s="79">
        <f>(Предпосылки!$E$557&lt;=End_of_period)*(Предпосылки!$E$558&gt;=Beginning_of_period)</f>
        <v>0</v>
      </c>
      <c r="CD1106" s="79">
        <f>(Предпосылки!$E$557&lt;=End_of_period)*(Предпосылки!$E$558&gt;=Beginning_of_period)</f>
        <v>0</v>
      </c>
      <c r="CE1106" s="79">
        <f>(Предпосылки!$E$557&lt;=End_of_period)*(Предпосылки!$E$558&gt;=Beginning_of_period)</f>
        <v>0</v>
      </c>
      <c r="CF1106" s="79">
        <f>(Предпосылки!$E$557&lt;=End_of_period)*(Предпосылки!$E$558&gt;=Beginning_of_period)</f>
        <v>0</v>
      </c>
      <c r="CG1106" s="79">
        <f>(Предпосылки!$E$557&lt;=End_of_period)*(Предпосылки!$E$558&gt;=Beginning_of_period)</f>
        <v>0</v>
      </c>
      <c r="CH1106" s="79">
        <f>(Предпосылки!$E$557&lt;=End_of_period)*(Предпосылки!$E$558&gt;=Beginning_of_period)</f>
        <v>0</v>
      </c>
      <c r="CI1106" s="79">
        <f>(Предпосылки!$E$557&lt;=End_of_period)*(Предпосылки!$E$558&gt;=Beginning_of_period)</f>
        <v>0</v>
      </c>
      <c r="CJ1106" s="79">
        <f>(Предпосылки!$E$557&lt;=End_of_period)*(Предпосылки!$E$558&gt;=Beginning_of_period)</f>
        <v>0</v>
      </c>
      <c r="CK1106" s="79">
        <f>(Предпосылки!$E$557&lt;=End_of_period)*(Предпосылки!$E$558&gt;=Beginning_of_period)</f>
        <v>0</v>
      </c>
      <c r="CL1106" s="79">
        <f>(Предпосылки!$E$557&lt;=End_of_period)*(Предпосылки!$E$558&gt;=Beginning_of_period)</f>
        <v>0</v>
      </c>
      <c r="CM1106" s="79">
        <f>(Предпосылки!$E$557&lt;=End_of_period)*(Предпосылки!$E$558&gt;=Beginning_of_period)</f>
        <v>0</v>
      </c>
      <c r="CN1106" s="79">
        <f>(Предпосылки!$E$557&lt;=End_of_period)*(Предпосылки!$E$558&gt;=Beginning_of_period)</f>
        <v>0</v>
      </c>
      <c r="CO1106" s="79">
        <f>(Предпосылки!$E$557&lt;=End_of_period)*(Предпосылки!$E$558&gt;=Beginning_of_period)</f>
        <v>0</v>
      </c>
    </row>
    <row r="1107" spans="1:93">
      <c r="A1107" s="10"/>
      <c r="B1107" s="10"/>
      <c r="C1107" s="17" t="s">
        <v>202</v>
      </c>
      <c r="D1107" s="10"/>
      <c r="E1107" s="62"/>
      <c r="F1107" s="10"/>
      <c r="G1107" s="11" t="str">
        <f>MIN(L1107:CO1107) &amp; ".." &amp; MAX(L1107:CO1107)</f>
        <v>0..1</v>
      </c>
      <c r="H1107" s="10"/>
      <c r="I1107" s="10"/>
      <c r="J1107" s="10"/>
      <c r="K1107" s="10"/>
      <c r="L1107" s="79">
        <f>(Предпосылки!$E$556&lt;=End_of_period)*(Предпосылки!$E$558&gt;=End_of_period)</f>
        <v>0</v>
      </c>
      <c r="M1107" s="79">
        <f>(Предпосылки!$E$556&lt;=End_of_period)*(Предпосылки!$E$558&gt;=End_of_period)</f>
        <v>0</v>
      </c>
      <c r="N1107" s="79">
        <f>(Предпосылки!$E$556&lt;=End_of_period)*(Предпосылки!$E$558&gt;=End_of_period)</f>
        <v>0</v>
      </c>
      <c r="O1107" s="79">
        <f>(Предпосылки!$E$556&lt;=End_of_period)*(Предпосылки!$E$558&gt;=End_of_period)</f>
        <v>0</v>
      </c>
      <c r="P1107" s="79">
        <f>(Предпосылки!$E$556&lt;=End_of_period)*(Предпосылки!$E$558&gt;=End_of_period)</f>
        <v>0</v>
      </c>
      <c r="Q1107" s="79">
        <f>(Предпосылки!$E$556&lt;=End_of_period)*(Предпосылки!$E$558&gt;=End_of_period)</f>
        <v>0</v>
      </c>
      <c r="R1107" s="79">
        <f>(Предпосылки!$E$556&lt;=End_of_period)*(Предпосылки!$E$558&gt;=End_of_period)</f>
        <v>0</v>
      </c>
      <c r="S1107" s="79">
        <f>(Предпосылки!$E$556&lt;=End_of_period)*(Предпосылки!$E$558&gt;=End_of_period)</f>
        <v>0</v>
      </c>
      <c r="T1107" s="79">
        <f>(Предпосылки!$E$556&lt;=End_of_period)*(Предпосылки!$E$558&gt;=End_of_period)</f>
        <v>0</v>
      </c>
      <c r="U1107" s="79">
        <f>(Предпосылки!$E$556&lt;=End_of_period)*(Предпосылки!$E$558&gt;=End_of_period)</f>
        <v>0</v>
      </c>
      <c r="V1107" s="79">
        <f>(Предпосылки!$E$556&lt;=End_of_period)*(Предпосылки!$E$558&gt;=End_of_period)</f>
        <v>0</v>
      </c>
      <c r="W1107" s="79">
        <f>(Предпосылки!$E$556&lt;=End_of_period)*(Предпосылки!$E$558&gt;=End_of_period)</f>
        <v>0</v>
      </c>
      <c r="X1107" s="79">
        <f>(Предпосылки!$E$556&lt;=End_of_period)*(Предпосылки!$E$558&gt;=End_of_period)</f>
        <v>0</v>
      </c>
      <c r="Y1107" s="79">
        <f>(Предпосылки!$E$556&lt;=End_of_period)*(Предпосылки!$E$558&gt;=End_of_period)</f>
        <v>0</v>
      </c>
      <c r="Z1107" s="79">
        <f>(Предпосылки!$E$556&lt;=End_of_period)*(Предпосылки!$E$558&gt;=End_of_period)</f>
        <v>0</v>
      </c>
      <c r="AA1107" s="79">
        <f>(Предпосылки!$E$556&lt;=End_of_period)*(Предпосылки!$E$558&gt;=End_of_period)</f>
        <v>0</v>
      </c>
      <c r="AB1107" s="79">
        <f>(Предпосылки!$E$556&lt;=End_of_period)*(Предпосылки!$E$558&gt;=End_of_period)</f>
        <v>0</v>
      </c>
      <c r="AC1107" s="79">
        <f>(Предпосылки!$E$556&lt;=End_of_period)*(Предпосылки!$E$558&gt;=End_of_period)</f>
        <v>1</v>
      </c>
      <c r="AD1107" s="79">
        <f>(Предпосылки!$E$556&lt;=End_of_period)*(Предпосылки!$E$558&gt;=End_of_period)</f>
        <v>1</v>
      </c>
      <c r="AE1107" s="79">
        <f>(Предпосылки!$E$556&lt;=End_of_period)*(Предпосылки!$E$558&gt;=End_of_period)</f>
        <v>1</v>
      </c>
      <c r="AF1107" s="79">
        <f>(Предпосылки!$E$556&lt;=End_of_period)*(Предпосылки!$E$558&gt;=End_of_period)</f>
        <v>1</v>
      </c>
      <c r="AG1107" s="79">
        <f>(Предпосылки!$E$556&lt;=End_of_period)*(Предпосылки!$E$558&gt;=End_of_period)</f>
        <v>1</v>
      </c>
      <c r="AH1107" s="79">
        <f>(Предпосылки!$E$556&lt;=End_of_period)*(Предпосылки!$E$558&gt;=End_of_period)</f>
        <v>1</v>
      </c>
      <c r="AI1107" s="79">
        <f>(Предпосылки!$E$556&lt;=End_of_period)*(Предпосылки!$E$558&gt;=End_of_period)</f>
        <v>1</v>
      </c>
      <c r="AJ1107" s="79">
        <f>(Предпосылки!$E$556&lt;=End_of_period)*(Предпосылки!$E$558&gt;=End_of_period)</f>
        <v>1</v>
      </c>
      <c r="AK1107" s="79">
        <f>(Предпосылки!$E$556&lt;=End_of_period)*(Предпосылки!$E$558&gt;=End_of_period)</f>
        <v>1</v>
      </c>
      <c r="AL1107" s="79">
        <f>(Предпосылки!$E$556&lt;=End_of_period)*(Предпосылки!$E$558&gt;=End_of_period)</f>
        <v>1</v>
      </c>
      <c r="AM1107" s="79">
        <f>(Предпосылки!$E$556&lt;=End_of_period)*(Предпосылки!$E$558&gt;=End_of_period)</f>
        <v>1</v>
      </c>
      <c r="AN1107" s="79">
        <f>(Предпосылки!$E$556&lt;=End_of_period)*(Предпосылки!$E$558&gt;=End_of_period)</f>
        <v>1</v>
      </c>
      <c r="AO1107" s="79">
        <f>(Предпосылки!$E$556&lt;=End_of_period)*(Предпосылки!$E$558&gt;=End_of_period)</f>
        <v>1</v>
      </c>
      <c r="AP1107" s="79">
        <f>(Предпосылки!$E$556&lt;=End_of_period)*(Предпосылки!$E$558&gt;=End_of_period)</f>
        <v>1</v>
      </c>
      <c r="AQ1107" s="79">
        <f>(Предпосылки!$E$556&lt;=End_of_period)*(Предпосылки!$E$558&gt;=End_of_period)</f>
        <v>1</v>
      </c>
      <c r="AR1107" s="79">
        <f>(Предпосылки!$E$556&lt;=End_of_period)*(Предпосылки!$E$558&gt;=End_of_period)</f>
        <v>1</v>
      </c>
      <c r="AS1107" s="79">
        <f>(Предпосылки!$E$556&lt;=End_of_period)*(Предпосылки!$E$558&gt;=End_of_period)</f>
        <v>1</v>
      </c>
      <c r="AT1107" s="79">
        <f>(Предпосылки!$E$556&lt;=End_of_period)*(Предпосылки!$E$558&gt;=End_of_period)</f>
        <v>1</v>
      </c>
      <c r="AU1107" s="79">
        <f>(Предпосылки!$E$556&lt;=End_of_period)*(Предпосылки!$E$558&gt;=End_of_period)</f>
        <v>1</v>
      </c>
      <c r="AV1107" s="79">
        <f>(Предпосылки!$E$556&lt;=End_of_period)*(Предпосылки!$E$558&gt;=End_of_period)</f>
        <v>1</v>
      </c>
      <c r="AW1107" s="79">
        <f>(Предпосылки!$E$556&lt;=End_of_period)*(Предпосылки!$E$558&gt;=End_of_period)</f>
        <v>1</v>
      </c>
      <c r="AX1107" s="79">
        <f>(Предпосылки!$E$556&lt;=End_of_period)*(Предпосылки!$E$558&gt;=End_of_period)</f>
        <v>1</v>
      </c>
      <c r="AY1107" s="79">
        <f>(Предпосылки!$E$556&lt;=End_of_period)*(Предпосылки!$E$558&gt;=End_of_period)</f>
        <v>1</v>
      </c>
      <c r="AZ1107" s="79">
        <f>(Предпосылки!$E$556&lt;=End_of_period)*(Предпосылки!$E$558&gt;=End_of_period)</f>
        <v>1</v>
      </c>
      <c r="BA1107" s="79">
        <f>(Предпосылки!$E$556&lt;=End_of_period)*(Предпосылки!$E$558&gt;=End_of_period)</f>
        <v>1</v>
      </c>
      <c r="BB1107" s="79">
        <f>(Предпосылки!$E$556&lt;=End_of_period)*(Предпосылки!$E$558&gt;=End_of_period)</f>
        <v>1</v>
      </c>
      <c r="BC1107" s="79">
        <f>(Предпосылки!$E$556&lt;=End_of_period)*(Предпосылки!$E$558&gt;=End_of_period)</f>
        <v>1</v>
      </c>
      <c r="BD1107" s="79">
        <f>(Предпосылки!$E$556&lt;=End_of_period)*(Предпосылки!$E$558&gt;=End_of_period)</f>
        <v>1</v>
      </c>
      <c r="BE1107" s="79">
        <f>(Предпосылки!$E$556&lt;=End_of_period)*(Предпосылки!$E$558&gt;=End_of_period)</f>
        <v>1</v>
      </c>
      <c r="BF1107" s="79">
        <f>(Предпосылки!$E$556&lt;=End_of_period)*(Предпосылки!$E$558&gt;=End_of_period)</f>
        <v>1</v>
      </c>
      <c r="BG1107" s="79">
        <f>(Предпосылки!$E$556&lt;=End_of_period)*(Предпосылки!$E$558&gt;=End_of_period)</f>
        <v>1</v>
      </c>
      <c r="BH1107" s="79">
        <f>(Предпосылки!$E$556&lt;=End_of_period)*(Предпосылки!$E$558&gt;=End_of_period)</f>
        <v>0</v>
      </c>
      <c r="BI1107" s="79">
        <f>(Предпосылки!$E$556&lt;=End_of_period)*(Предпосылки!$E$558&gt;=End_of_period)</f>
        <v>0</v>
      </c>
      <c r="BJ1107" s="79">
        <f>(Предпосылки!$E$556&lt;=End_of_period)*(Предпосылки!$E$558&gt;=End_of_period)</f>
        <v>0</v>
      </c>
      <c r="BK1107" s="79">
        <f>(Предпосылки!$E$556&lt;=End_of_period)*(Предпосылки!$E$558&gt;=End_of_period)</f>
        <v>0</v>
      </c>
      <c r="BL1107" s="79">
        <f>(Предпосылки!$E$556&lt;=End_of_period)*(Предпосылки!$E$558&gt;=End_of_period)</f>
        <v>0</v>
      </c>
      <c r="BM1107" s="79">
        <f>(Предпосылки!$E$556&lt;=End_of_period)*(Предпосылки!$E$558&gt;=End_of_period)</f>
        <v>0</v>
      </c>
      <c r="BN1107" s="79">
        <f>(Предпосылки!$E$556&lt;=End_of_period)*(Предпосылки!$E$558&gt;=End_of_period)</f>
        <v>0</v>
      </c>
      <c r="BO1107" s="79">
        <f>(Предпосылки!$E$556&lt;=End_of_period)*(Предпосылки!$E$558&gt;=End_of_period)</f>
        <v>0</v>
      </c>
      <c r="BP1107" s="79">
        <f>(Предпосылки!$E$556&lt;=End_of_period)*(Предпосылки!$E$558&gt;=End_of_period)</f>
        <v>0</v>
      </c>
      <c r="BQ1107" s="79">
        <f>(Предпосылки!$E$556&lt;=End_of_period)*(Предпосылки!$E$558&gt;=End_of_period)</f>
        <v>0</v>
      </c>
      <c r="BR1107" s="79">
        <f>(Предпосылки!$E$556&lt;=End_of_period)*(Предпосылки!$E$558&gt;=End_of_period)</f>
        <v>0</v>
      </c>
      <c r="BS1107" s="79">
        <f>(Предпосылки!$E$556&lt;=End_of_period)*(Предпосылки!$E$558&gt;=End_of_period)</f>
        <v>0</v>
      </c>
      <c r="BT1107" s="79">
        <f>(Предпосылки!$E$556&lt;=End_of_period)*(Предпосылки!$E$558&gt;=End_of_period)</f>
        <v>0</v>
      </c>
      <c r="BU1107" s="79">
        <f>(Предпосылки!$E$556&lt;=End_of_period)*(Предпосылки!$E$558&gt;=End_of_period)</f>
        <v>0</v>
      </c>
      <c r="BV1107" s="79">
        <f>(Предпосылки!$E$556&lt;=End_of_period)*(Предпосылки!$E$558&gt;=End_of_period)</f>
        <v>0</v>
      </c>
      <c r="BW1107" s="79">
        <f>(Предпосылки!$E$556&lt;=End_of_period)*(Предпосылки!$E$558&gt;=End_of_period)</f>
        <v>0</v>
      </c>
      <c r="BX1107" s="79">
        <f>(Предпосылки!$E$556&lt;=End_of_period)*(Предпосылки!$E$558&gt;=End_of_period)</f>
        <v>0</v>
      </c>
      <c r="BY1107" s="79">
        <f>(Предпосылки!$E$556&lt;=End_of_period)*(Предпосылки!$E$558&gt;=End_of_period)</f>
        <v>0</v>
      </c>
      <c r="BZ1107" s="79">
        <f>(Предпосылки!$E$556&lt;=End_of_period)*(Предпосылки!$E$558&gt;=End_of_period)</f>
        <v>0</v>
      </c>
      <c r="CA1107" s="79">
        <f>(Предпосылки!$E$556&lt;=End_of_period)*(Предпосылки!$E$558&gt;=End_of_period)</f>
        <v>0</v>
      </c>
      <c r="CB1107" s="79">
        <f>(Предпосылки!$E$556&lt;=End_of_period)*(Предпосылки!$E$558&gt;=End_of_period)</f>
        <v>0</v>
      </c>
      <c r="CC1107" s="79">
        <f>(Предпосылки!$E$556&lt;=End_of_period)*(Предпосылки!$E$558&gt;=End_of_period)</f>
        <v>0</v>
      </c>
      <c r="CD1107" s="79">
        <f>(Предпосылки!$E$556&lt;=End_of_period)*(Предпосылки!$E$558&gt;=End_of_period)</f>
        <v>0</v>
      </c>
      <c r="CE1107" s="79">
        <f>(Предпосылки!$E$556&lt;=End_of_period)*(Предпосылки!$E$558&gt;=End_of_period)</f>
        <v>0</v>
      </c>
      <c r="CF1107" s="79">
        <f>(Предпосылки!$E$556&lt;=End_of_period)*(Предпосылки!$E$558&gt;=End_of_period)</f>
        <v>0</v>
      </c>
      <c r="CG1107" s="79">
        <f>(Предпосылки!$E$556&lt;=End_of_period)*(Предпосылки!$E$558&gt;=End_of_period)</f>
        <v>0</v>
      </c>
      <c r="CH1107" s="79">
        <f>(Предпосылки!$E$556&lt;=End_of_period)*(Предпосылки!$E$558&gt;=End_of_period)</f>
        <v>0</v>
      </c>
      <c r="CI1107" s="79">
        <f>(Предпосылки!$E$556&lt;=End_of_period)*(Предпосылки!$E$558&gt;=End_of_period)</f>
        <v>0</v>
      </c>
      <c r="CJ1107" s="79">
        <f>(Предпосылки!$E$556&lt;=End_of_period)*(Предпосылки!$E$558&gt;=End_of_period)</f>
        <v>0</v>
      </c>
      <c r="CK1107" s="79">
        <f>(Предпосылки!$E$556&lt;=End_of_period)*(Предпосылки!$E$558&gt;=End_of_period)</f>
        <v>0</v>
      </c>
      <c r="CL1107" s="79">
        <f>(Предпосылки!$E$556&lt;=End_of_period)*(Предпосылки!$E$558&gt;=End_of_period)</f>
        <v>0</v>
      </c>
      <c r="CM1107" s="79">
        <f>(Предпосылки!$E$556&lt;=End_of_period)*(Предпосылки!$E$558&gt;=End_of_period)</f>
        <v>0</v>
      </c>
      <c r="CN1107" s="79">
        <f>(Предпосылки!$E$556&lt;=End_of_period)*(Предпосылки!$E$558&gt;=End_of_period)</f>
        <v>0</v>
      </c>
      <c r="CO1107" s="79">
        <f>(Предпосылки!$E$556&lt;=End_of_period)*(Предпосылки!$E$558&gt;=End_of_period)</f>
        <v>0</v>
      </c>
    </row>
    <row r="1108" spans="1:93">
      <c r="A1108" s="10"/>
      <c r="B1108" s="10"/>
      <c r="C1108" s="17" t="s">
        <v>342</v>
      </c>
      <c r="D1108" s="10"/>
      <c r="E1108" s="62"/>
      <c r="F1108" s="10"/>
      <c r="G1108" s="11" t="str">
        <f>MIN(L1108:CO1108) &amp; ".." &amp; MAX(L1108:CO1108)</f>
        <v>0..31</v>
      </c>
      <c r="H1108" s="10"/>
      <c r="I1108" s="10"/>
      <c r="J1108" s="10"/>
      <c r="K1108" s="10"/>
      <c r="L1108" s="10">
        <f>MAX(SUM(L1107:$CO1107),0)*L1107</f>
        <v>0</v>
      </c>
      <c r="M1108" s="10">
        <f>MAX(SUM(M1107:$CO1107),0)*M1107</f>
        <v>0</v>
      </c>
      <c r="N1108" s="10">
        <f>MAX(SUM(N1107:$CO1107),0)*N1107</f>
        <v>0</v>
      </c>
      <c r="O1108" s="10">
        <f>MAX(SUM(O1107:$CO1107),0)*O1107</f>
        <v>0</v>
      </c>
      <c r="P1108" s="10">
        <f>MAX(SUM(P1107:$CO1107),0)*P1107</f>
        <v>0</v>
      </c>
      <c r="Q1108" s="10">
        <f>MAX(SUM(Q1107:$CO1107),0)*Q1107</f>
        <v>0</v>
      </c>
      <c r="R1108" s="10">
        <f>MAX(SUM(R1107:$CO1107),0)*R1107</f>
        <v>0</v>
      </c>
      <c r="S1108" s="10">
        <f>MAX(SUM(S1107:$CO1107),0)*S1107</f>
        <v>0</v>
      </c>
      <c r="T1108" s="10">
        <f>MAX(SUM(T1107:$CO1107),0)*T1107</f>
        <v>0</v>
      </c>
      <c r="U1108" s="10">
        <f>MAX(SUM(U1107:$CO1107),0)*U1107</f>
        <v>0</v>
      </c>
      <c r="V1108" s="10">
        <f>MAX(SUM(V1107:$CO1107),0)*V1107</f>
        <v>0</v>
      </c>
      <c r="W1108" s="10">
        <f>MAX(SUM(W1107:$CO1107),0)*W1107</f>
        <v>0</v>
      </c>
      <c r="X1108" s="10">
        <f>MAX(SUM(X1107:$CO1107),0)*X1107</f>
        <v>0</v>
      </c>
      <c r="Y1108" s="10">
        <f>MAX(SUM(Y1107:$CO1107),0)*Y1107</f>
        <v>0</v>
      </c>
      <c r="Z1108" s="10">
        <f>MAX(SUM(Z1107:$CO1107),0)*Z1107</f>
        <v>0</v>
      </c>
      <c r="AA1108" s="10">
        <f>MAX(SUM(AA1107:$CO1107),0)*AA1107</f>
        <v>0</v>
      </c>
      <c r="AB1108" s="10">
        <f>MAX(SUM(AB1107:$CO1107),0)*AB1107</f>
        <v>0</v>
      </c>
      <c r="AC1108" s="10">
        <f>MAX(SUM(AC1107:$CO1107),0)*AC1107</f>
        <v>31</v>
      </c>
      <c r="AD1108" s="10">
        <f>MAX(SUM(AD1107:$CO1107),0)*AD1107</f>
        <v>30</v>
      </c>
      <c r="AE1108" s="10">
        <f>MAX(SUM(AE1107:$CO1107),0)*AE1107</f>
        <v>29</v>
      </c>
      <c r="AF1108" s="10">
        <f>MAX(SUM(AF1107:$CO1107),0)*AF1107</f>
        <v>28</v>
      </c>
      <c r="AG1108" s="10">
        <f>MAX(SUM(AG1107:$CO1107),0)*AG1107</f>
        <v>27</v>
      </c>
      <c r="AH1108" s="10">
        <f>MAX(SUM(AH1107:$CO1107),0)*AH1107</f>
        <v>26</v>
      </c>
      <c r="AI1108" s="10">
        <f>MAX(SUM(AI1107:$CO1107),0)*AI1107</f>
        <v>25</v>
      </c>
      <c r="AJ1108" s="10">
        <f>MAX(SUM(AJ1107:$CO1107),0)*AJ1107</f>
        <v>24</v>
      </c>
      <c r="AK1108" s="10">
        <f>MAX(SUM(AK1107:$CO1107),0)*AK1107</f>
        <v>23</v>
      </c>
      <c r="AL1108" s="10">
        <f>MAX(SUM(AL1107:$CO1107),0)*AL1107</f>
        <v>22</v>
      </c>
      <c r="AM1108" s="10">
        <f>MAX(SUM(AM1107:$CO1107),0)*AM1107</f>
        <v>21</v>
      </c>
      <c r="AN1108" s="10">
        <f>MAX(SUM(AN1107:$CO1107),0)*AN1107</f>
        <v>20</v>
      </c>
      <c r="AO1108" s="10">
        <f>MAX(SUM(AO1107:$CO1107),0)*AO1107</f>
        <v>19</v>
      </c>
      <c r="AP1108" s="10">
        <f>MAX(SUM(AP1107:$CO1107),0)*AP1107</f>
        <v>18</v>
      </c>
      <c r="AQ1108" s="10">
        <f>MAX(SUM(AQ1107:$CO1107),0)*AQ1107</f>
        <v>17</v>
      </c>
      <c r="AR1108" s="10">
        <f>MAX(SUM(AR1107:$CO1107),0)*AR1107</f>
        <v>16</v>
      </c>
      <c r="AS1108" s="10">
        <f>MAX(SUM(AS1107:$CO1107),0)*AS1107</f>
        <v>15</v>
      </c>
      <c r="AT1108" s="10">
        <f>MAX(SUM(AT1107:$CO1107),0)*AT1107</f>
        <v>14</v>
      </c>
      <c r="AU1108" s="10">
        <f>MAX(SUM(AU1107:$CO1107),0)*AU1107</f>
        <v>13</v>
      </c>
      <c r="AV1108" s="10">
        <f>MAX(SUM(AV1107:$CO1107),0)*AV1107</f>
        <v>12</v>
      </c>
      <c r="AW1108" s="10">
        <f>MAX(SUM(AW1107:$CO1107),0)*AW1107</f>
        <v>11</v>
      </c>
      <c r="AX1108" s="10">
        <f>MAX(SUM(AX1107:$CO1107),0)*AX1107</f>
        <v>10</v>
      </c>
      <c r="AY1108" s="10">
        <f>MAX(SUM(AY1107:$CO1107),0)*AY1107</f>
        <v>9</v>
      </c>
      <c r="AZ1108" s="10">
        <f>MAX(SUM(AZ1107:$CO1107),0)*AZ1107</f>
        <v>8</v>
      </c>
      <c r="BA1108" s="10">
        <f>MAX(SUM(BA1107:$CO1107),0)*BA1107</f>
        <v>7</v>
      </c>
      <c r="BB1108" s="10">
        <f>MAX(SUM(BB1107:$CO1107),0)*BB1107</f>
        <v>6</v>
      </c>
      <c r="BC1108" s="10">
        <f>MAX(SUM(BC1107:$CO1107),0)*BC1107</f>
        <v>5</v>
      </c>
      <c r="BD1108" s="10">
        <f>MAX(SUM(BD1107:$CO1107),0)*BD1107</f>
        <v>4</v>
      </c>
      <c r="BE1108" s="10">
        <f>MAX(SUM(BE1107:$CO1107),0)*BE1107</f>
        <v>3</v>
      </c>
      <c r="BF1108" s="10">
        <f>MAX(SUM(BF1107:$CO1107),0)*BF1107</f>
        <v>2</v>
      </c>
      <c r="BG1108" s="10">
        <f>MAX(SUM(BG1107:$CO1107),0)*BG1107</f>
        <v>1</v>
      </c>
      <c r="BH1108" s="10">
        <f>MAX(SUM(BH1107:$CO1107),0)*BH1107</f>
        <v>0</v>
      </c>
      <c r="BI1108" s="10">
        <f>MAX(SUM(BI1107:$CO1107),0)*BI1107</f>
        <v>0</v>
      </c>
      <c r="BJ1108" s="10">
        <f>MAX(SUM(BJ1107:$CO1107),0)*BJ1107</f>
        <v>0</v>
      </c>
      <c r="BK1108" s="10">
        <f>MAX(SUM(BK1107:$CO1107),0)*BK1107</f>
        <v>0</v>
      </c>
      <c r="BL1108" s="10">
        <f>MAX(SUM(BL1107:$CO1107),0)*BL1107</f>
        <v>0</v>
      </c>
      <c r="BM1108" s="10">
        <f>MAX(SUM(BM1107:$CO1107),0)*BM1107</f>
        <v>0</v>
      </c>
      <c r="BN1108" s="10">
        <f>MAX(SUM(BN1107:$CO1107),0)*BN1107</f>
        <v>0</v>
      </c>
      <c r="BO1108" s="10">
        <f>MAX(SUM(BO1107:$CO1107),0)*BO1107</f>
        <v>0</v>
      </c>
      <c r="BP1108" s="10">
        <f>MAX(SUM(BP1107:$CO1107),0)*BP1107</f>
        <v>0</v>
      </c>
      <c r="BQ1108" s="10">
        <f>MAX(SUM(BQ1107:$CO1107),0)*BQ1107</f>
        <v>0</v>
      </c>
      <c r="BR1108" s="10">
        <f>MAX(SUM(BR1107:$CO1107),0)*BR1107</f>
        <v>0</v>
      </c>
      <c r="BS1108" s="10">
        <f>MAX(SUM(BS1107:$CO1107),0)*BS1107</f>
        <v>0</v>
      </c>
      <c r="BT1108" s="10">
        <f>MAX(SUM(BT1107:$CO1107),0)*BT1107</f>
        <v>0</v>
      </c>
      <c r="BU1108" s="10">
        <f>MAX(SUM(BU1107:$CO1107),0)*BU1107</f>
        <v>0</v>
      </c>
      <c r="BV1108" s="10">
        <f>MAX(SUM(BV1107:$CO1107),0)*BV1107</f>
        <v>0</v>
      </c>
      <c r="BW1108" s="10">
        <f>MAX(SUM(BW1107:$CO1107),0)*BW1107</f>
        <v>0</v>
      </c>
      <c r="BX1108" s="10">
        <f>MAX(SUM(BX1107:$CO1107),0)*BX1107</f>
        <v>0</v>
      </c>
      <c r="BY1108" s="10">
        <f>MAX(SUM(BY1107:$CO1107),0)*BY1107</f>
        <v>0</v>
      </c>
      <c r="BZ1108" s="10">
        <f>MAX(SUM(BZ1107:$CO1107),0)*BZ1107</f>
        <v>0</v>
      </c>
      <c r="CA1108" s="10">
        <f>MAX(SUM(CA1107:$CO1107),0)*CA1107</f>
        <v>0</v>
      </c>
      <c r="CB1108" s="10">
        <f>MAX(SUM(CB1107:$CO1107),0)*CB1107</f>
        <v>0</v>
      </c>
      <c r="CC1108" s="10">
        <f>MAX(SUM(CC1107:$CO1107),0)*CC1107</f>
        <v>0</v>
      </c>
      <c r="CD1108" s="10">
        <f>MAX(SUM(CD1107:$CO1107),0)*CD1107</f>
        <v>0</v>
      </c>
      <c r="CE1108" s="10">
        <f>MAX(SUM(CE1107:$CO1107),0)*CE1107</f>
        <v>0</v>
      </c>
      <c r="CF1108" s="10">
        <f>MAX(SUM(CF1107:$CO1107),0)*CF1107</f>
        <v>0</v>
      </c>
      <c r="CG1108" s="10">
        <f>MAX(SUM(CG1107:$CO1107),0)*CG1107</f>
        <v>0</v>
      </c>
      <c r="CH1108" s="10">
        <f>MAX(SUM(CH1107:$CO1107),0)*CH1107</f>
        <v>0</v>
      </c>
      <c r="CI1108" s="10">
        <f>MAX(SUM(CI1107:$CO1107),0)*CI1107</f>
        <v>0</v>
      </c>
      <c r="CJ1108" s="10">
        <f>MAX(SUM(CJ1107:$CO1107),0)*CJ1107</f>
        <v>0</v>
      </c>
      <c r="CK1108" s="10">
        <f>MAX(SUM(CK1107:$CO1107),0)*CK1107</f>
        <v>0</v>
      </c>
      <c r="CL1108" s="10">
        <f>MAX(SUM(CL1107:$CO1107),0)*CL1107</f>
        <v>0</v>
      </c>
      <c r="CM1108" s="10">
        <f>MAX(SUM(CM1107:$CO1107),0)*CM1107</f>
        <v>0</v>
      </c>
      <c r="CN1108" s="10">
        <f>MAX(SUM(CN1107:$CO1107),0)*CN1107</f>
        <v>0</v>
      </c>
      <c r="CO1108" s="10">
        <f>MAX(SUM(CO1107:$CO1107),0)*CO1107</f>
        <v>0</v>
      </c>
    </row>
    <row r="1109" spans="1:93">
      <c r="A1109" s="10"/>
      <c r="B1109" s="10"/>
      <c r="C1109" s="17"/>
      <c r="D1109" s="10"/>
      <c r="E1109" s="62"/>
      <c r="F1109" s="10"/>
      <c r="G1109" s="11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0"/>
      <c r="AH1109" s="10"/>
      <c r="AI1109" s="10"/>
      <c r="AJ1109" s="10"/>
      <c r="AK1109" s="10"/>
      <c r="AL1109" s="10"/>
      <c r="AM1109" s="10"/>
      <c r="AN1109" s="10"/>
      <c r="AO1109" s="10"/>
      <c r="AP1109" s="10"/>
      <c r="AQ1109" s="10"/>
      <c r="AR1109" s="10"/>
      <c r="AS1109" s="10"/>
      <c r="AT1109" s="10"/>
      <c r="AU1109" s="10"/>
      <c r="AV1109" s="10"/>
      <c r="AW1109" s="10"/>
      <c r="AX1109" s="10"/>
      <c r="AY1109" s="10"/>
      <c r="AZ1109" s="10"/>
      <c r="BA1109" s="10"/>
      <c r="BB1109" s="10"/>
      <c r="BC1109" s="10"/>
      <c r="BD1109" s="10"/>
      <c r="BE1109" s="10"/>
      <c r="BF1109" s="10"/>
      <c r="BG1109" s="10"/>
      <c r="BH1109" s="10"/>
      <c r="BI1109" s="10"/>
      <c r="BJ1109" s="10"/>
      <c r="BK1109" s="10"/>
      <c r="BL1109" s="10"/>
      <c r="BM1109" s="10"/>
      <c r="BN1109" s="10"/>
      <c r="BO1109" s="10"/>
      <c r="BP1109" s="10"/>
      <c r="BQ1109" s="10"/>
      <c r="BR1109" s="10"/>
      <c r="BS1109" s="10"/>
      <c r="BT1109" s="10"/>
      <c r="BU1109" s="10"/>
      <c r="BV1109" s="10"/>
      <c r="BW1109" s="10"/>
      <c r="BX1109" s="10"/>
      <c r="BY1109" s="10"/>
      <c r="BZ1109" s="10"/>
      <c r="CA1109" s="10"/>
      <c r="CB1109" s="10"/>
      <c r="CC1109" s="10"/>
      <c r="CD1109" s="10"/>
      <c r="CE1109" s="10"/>
      <c r="CF1109" s="10"/>
      <c r="CG1109" s="10"/>
      <c r="CH1109" s="10"/>
      <c r="CI1109" s="10"/>
      <c r="CJ1109" s="10"/>
      <c r="CK1109" s="10"/>
      <c r="CL1109" s="10"/>
      <c r="CM1109" s="10"/>
      <c r="CN1109" s="10"/>
      <c r="CO1109" s="10"/>
    </row>
    <row r="1110" spans="1:93">
      <c r="A1110" s="10"/>
      <c r="B1110" s="10"/>
      <c r="C1110" s="67" t="s">
        <v>519</v>
      </c>
      <c r="D1110" s="10"/>
      <c r="E1110" s="10"/>
      <c r="F1110" s="10"/>
      <c r="G1110" s="11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0"/>
      <c r="AH1110" s="10"/>
      <c r="AI1110" s="10"/>
      <c r="AJ1110" s="10"/>
      <c r="AK1110" s="10"/>
      <c r="AL1110" s="10"/>
      <c r="AM1110" s="10"/>
      <c r="AN1110" s="10"/>
      <c r="AO1110" s="10"/>
      <c r="AP1110" s="10"/>
      <c r="AQ1110" s="10"/>
      <c r="AR1110" s="10"/>
      <c r="AS1110" s="10"/>
      <c r="AT1110" s="10"/>
      <c r="AU1110" s="10"/>
      <c r="AV1110" s="10"/>
      <c r="AW1110" s="10"/>
      <c r="AX1110" s="10"/>
      <c r="AY1110" s="10"/>
      <c r="AZ1110" s="10"/>
      <c r="BA1110" s="10"/>
      <c r="BB1110" s="10"/>
      <c r="BC1110" s="10"/>
      <c r="BD1110" s="10"/>
      <c r="BE1110" s="10"/>
      <c r="BF1110" s="10"/>
      <c r="BG1110" s="10"/>
      <c r="BH1110" s="10"/>
      <c r="BI1110" s="10"/>
      <c r="BJ1110" s="10"/>
      <c r="BK1110" s="10"/>
      <c r="BL1110" s="10"/>
      <c r="BM1110" s="10"/>
      <c r="BN1110" s="10"/>
      <c r="BO1110" s="10"/>
      <c r="BP1110" s="10"/>
      <c r="BQ1110" s="10"/>
      <c r="BR1110" s="10"/>
      <c r="BS1110" s="10"/>
      <c r="BT1110" s="10"/>
      <c r="BU1110" s="10"/>
      <c r="BV1110" s="10"/>
      <c r="BW1110" s="10"/>
      <c r="BX1110" s="10"/>
      <c r="BY1110" s="10"/>
      <c r="BZ1110" s="10"/>
      <c r="CA1110" s="10"/>
      <c r="CB1110" s="10"/>
      <c r="CC1110" s="10"/>
      <c r="CD1110" s="10"/>
      <c r="CE1110" s="10"/>
      <c r="CF1110" s="10"/>
      <c r="CG1110" s="10"/>
      <c r="CH1110" s="10"/>
      <c r="CI1110" s="10"/>
      <c r="CJ1110" s="10"/>
      <c r="CK1110" s="10"/>
      <c r="CL1110" s="10"/>
      <c r="CM1110" s="10"/>
      <c r="CN1110" s="10"/>
      <c r="CO1110" s="10"/>
    </row>
    <row r="1111" spans="1:93">
      <c r="A1111" s="10"/>
      <c r="B1111" s="10"/>
      <c r="C1111" s="17" t="s">
        <v>194</v>
      </c>
      <c r="D1111" s="10"/>
      <c r="E1111" s="10"/>
      <c r="F1111" s="10"/>
      <c r="G1111" s="11" t="str">
        <f>Monetary_Unit</f>
        <v>тыс. руб.</v>
      </c>
      <c r="H1111" s="10"/>
      <c r="I1111" s="23">
        <f ca="1">SUM(L1111:CO1111)</f>
        <v>879455.55289659288</v>
      </c>
      <c r="J1111" s="10"/>
      <c r="K1111" s="10"/>
      <c r="L1111" s="52">
        <f>IF(L1108=1,MAX(L1085,L1093),L1093)</f>
        <v>0</v>
      </c>
      <c r="M1111" s="52">
        <f t="shared" ref="M1111:BX1111" ca="1" si="1343">IF(M1108=1,MAX(M1085,M1093),M1093)</f>
        <v>0</v>
      </c>
      <c r="N1111" s="52">
        <f t="shared" ca="1" si="1343"/>
        <v>0</v>
      </c>
      <c r="O1111" s="52">
        <f t="shared" ca="1" si="1343"/>
        <v>0</v>
      </c>
      <c r="P1111" s="52">
        <f t="shared" ca="1" si="1343"/>
        <v>0</v>
      </c>
      <c r="Q1111" s="52">
        <f t="shared" ca="1" si="1343"/>
        <v>0</v>
      </c>
      <c r="R1111" s="52">
        <f t="shared" ca="1" si="1343"/>
        <v>0</v>
      </c>
      <c r="S1111" s="52">
        <f t="shared" ca="1" si="1343"/>
        <v>0</v>
      </c>
      <c r="T1111" s="52">
        <f t="shared" ca="1" si="1343"/>
        <v>0</v>
      </c>
      <c r="U1111" s="52">
        <f t="shared" ca="1" si="1343"/>
        <v>0</v>
      </c>
      <c r="V1111" s="52">
        <f t="shared" ca="1" si="1343"/>
        <v>0</v>
      </c>
      <c r="W1111" s="52">
        <f t="shared" ca="1" si="1343"/>
        <v>0</v>
      </c>
      <c r="X1111" s="52">
        <f t="shared" ca="1" si="1343"/>
        <v>0</v>
      </c>
      <c r="Y1111" s="52">
        <f t="shared" ca="1" si="1343"/>
        <v>0</v>
      </c>
      <c r="Z1111" s="52">
        <f t="shared" ca="1" si="1343"/>
        <v>0</v>
      </c>
      <c r="AA1111" s="52">
        <f t="shared" ca="1" si="1343"/>
        <v>0</v>
      </c>
      <c r="AB1111" s="52">
        <f t="shared" ca="1" si="1343"/>
        <v>0</v>
      </c>
      <c r="AC1111" s="52">
        <f t="shared" ca="1" si="1343"/>
        <v>72213.168590156754</v>
      </c>
      <c r="AD1111" s="52">
        <f t="shared" ca="1" si="1343"/>
        <v>63444.843201358992</v>
      </c>
      <c r="AE1111" s="52">
        <f t="shared" ca="1" si="1343"/>
        <v>60251.029568237747</v>
      </c>
      <c r="AF1111" s="52">
        <f t="shared" ca="1" si="1343"/>
        <v>59628.911466599384</v>
      </c>
      <c r="AG1111" s="52">
        <f t="shared" ca="1" si="1343"/>
        <v>60449.977246852897</v>
      </c>
      <c r="AH1111" s="52">
        <f t="shared" ca="1" si="1343"/>
        <v>61002.642852180812</v>
      </c>
      <c r="AI1111" s="52">
        <f t="shared" ca="1" si="1343"/>
        <v>58749.479608690584</v>
      </c>
      <c r="AJ1111" s="52">
        <f t="shared" ca="1" si="1343"/>
        <v>56602.172325406653</v>
      </c>
      <c r="AK1111" s="52">
        <f t="shared" ca="1" si="1343"/>
        <v>56607.791287791799</v>
      </c>
      <c r="AL1111" s="52">
        <f t="shared" ca="1" si="1343"/>
        <v>56143.523498807379</v>
      </c>
      <c r="AM1111" s="52">
        <f t="shared" ca="1" si="1343"/>
        <v>51525.404183707113</v>
      </c>
      <c r="AN1111" s="52">
        <f t="shared" ca="1" si="1343"/>
        <v>46656.204920042263</v>
      </c>
      <c r="AO1111" s="52">
        <f t="shared" ca="1" si="1343"/>
        <v>44969.846985248776</v>
      </c>
      <c r="AP1111" s="52">
        <f t="shared" ca="1" si="1343"/>
        <v>42367.059282485025</v>
      </c>
      <c r="AQ1111" s="52">
        <f t="shared" ca="1" si="1343"/>
        <v>33560.886930956163</v>
      </c>
      <c r="AR1111" s="52">
        <f t="shared" ca="1" si="1343"/>
        <v>24042.682817825582</v>
      </c>
      <c r="AS1111" s="52">
        <f t="shared" ca="1" si="1343"/>
        <v>18902.242766776846</v>
      </c>
      <c r="AT1111" s="52">
        <f t="shared" ca="1" si="1343"/>
        <v>12337.685363468077</v>
      </c>
      <c r="AU1111" s="52">
        <f t="shared" ca="1" si="1343"/>
        <v>0</v>
      </c>
      <c r="AV1111" s="52">
        <f t="shared" ca="1" si="1343"/>
        <v>0</v>
      </c>
      <c r="AW1111" s="52">
        <f t="shared" ca="1" si="1343"/>
        <v>0</v>
      </c>
      <c r="AX1111" s="52">
        <f t="shared" ca="1" si="1343"/>
        <v>0</v>
      </c>
      <c r="AY1111" s="52">
        <f t="shared" ca="1" si="1343"/>
        <v>0</v>
      </c>
      <c r="AZ1111" s="52">
        <f t="shared" ca="1" si="1343"/>
        <v>0</v>
      </c>
      <c r="BA1111" s="52">
        <f t="shared" ca="1" si="1343"/>
        <v>0</v>
      </c>
      <c r="BB1111" s="52">
        <f t="shared" ca="1" si="1343"/>
        <v>0</v>
      </c>
      <c r="BC1111" s="52">
        <f t="shared" ca="1" si="1343"/>
        <v>0</v>
      </c>
      <c r="BD1111" s="52">
        <f t="shared" ca="1" si="1343"/>
        <v>0</v>
      </c>
      <c r="BE1111" s="52">
        <f t="shared" ca="1" si="1343"/>
        <v>0</v>
      </c>
      <c r="BF1111" s="52">
        <f t="shared" ca="1" si="1343"/>
        <v>0</v>
      </c>
      <c r="BG1111" s="52">
        <f t="shared" ca="1" si="1343"/>
        <v>0</v>
      </c>
      <c r="BH1111" s="52">
        <f t="shared" ca="1" si="1343"/>
        <v>0</v>
      </c>
      <c r="BI1111" s="52">
        <f t="shared" ca="1" si="1343"/>
        <v>0</v>
      </c>
      <c r="BJ1111" s="52">
        <f t="shared" ca="1" si="1343"/>
        <v>0</v>
      </c>
      <c r="BK1111" s="52">
        <f t="shared" ca="1" si="1343"/>
        <v>0</v>
      </c>
      <c r="BL1111" s="52">
        <f t="shared" ca="1" si="1343"/>
        <v>0</v>
      </c>
      <c r="BM1111" s="52">
        <f t="shared" ca="1" si="1343"/>
        <v>0</v>
      </c>
      <c r="BN1111" s="52">
        <f t="shared" ca="1" si="1343"/>
        <v>0</v>
      </c>
      <c r="BO1111" s="52">
        <f t="shared" ca="1" si="1343"/>
        <v>0</v>
      </c>
      <c r="BP1111" s="52">
        <f t="shared" ca="1" si="1343"/>
        <v>0</v>
      </c>
      <c r="BQ1111" s="52">
        <f t="shared" ca="1" si="1343"/>
        <v>0</v>
      </c>
      <c r="BR1111" s="52">
        <f t="shared" ca="1" si="1343"/>
        <v>0</v>
      </c>
      <c r="BS1111" s="52">
        <f t="shared" ca="1" si="1343"/>
        <v>0</v>
      </c>
      <c r="BT1111" s="52">
        <f t="shared" ca="1" si="1343"/>
        <v>0</v>
      </c>
      <c r="BU1111" s="52">
        <f t="shared" ca="1" si="1343"/>
        <v>0</v>
      </c>
      <c r="BV1111" s="52">
        <f t="shared" ca="1" si="1343"/>
        <v>0</v>
      </c>
      <c r="BW1111" s="52">
        <f t="shared" ca="1" si="1343"/>
        <v>0</v>
      </c>
      <c r="BX1111" s="52">
        <f t="shared" ca="1" si="1343"/>
        <v>0</v>
      </c>
      <c r="BY1111" s="52">
        <f t="shared" ref="BY1111:CO1111" ca="1" si="1344">IF(BY1108=1,MAX(BY1085,BY1093),BY1093)</f>
        <v>0</v>
      </c>
      <c r="BZ1111" s="52">
        <f t="shared" ca="1" si="1344"/>
        <v>0</v>
      </c>
      <c r="CA1111" s="52">
        <f t="shared" ca="1" si="1344"/>
        <v>0</v>
      </c>
      <c r="CB1111" s="52">
        <f t="shared" ca="1" si="1344"/>
        <v>0</v>
      </c>
      <c r="CC1111" s="52">
        <f t="shared" ca="1" si="1344"/>
        <v>0</v>
      </c>
      <c r="CD1111" s="52">
        <f t="shared" ca="1" si="1344"/>
        <v>0</v>
      </c>
      <c r="CE1111" s="52">
        <f t="shared" ca="1" si="1344"/>
        <v>0</v>
      </c>
      <c r="CF1111" s="52">
        <f t="shared" ca="1" si="1344"/>
        <v>0</v>
      </c>
      <c r="CG1111" s="52">
        <f t="shared" ca="1" si="1344"/>
        <v>0</v>
      </c>
      <c r="CH1111" s="52">
        <f t="shared" ca="1" si="1344"/>
        <v>0</v>
      </c>
      <c r="CI1111" s="52">
        <f t="shared" ca="1" si="1344"/>
        <v>0</v>
      </c>
      <c r="CJ1111" s="52">
        <f t="shared" ca="1" si="1344"/>
        <v>0</v>
      </c>
      <c r="CK1111" s="52">
        <f t="shared" ca="1" si="1344"/>
        <v>0</v>
      </c>
      <c r="CL1111" s="52">
        <f t="shared" ca="1" si="1344"/>
        <v>0</v>
      </c>
      <c r="CM1111" s="52">
        <f t="shared" ca="1" si="1344"/>
        <v>0</v>
      </c>
      <c r="CN1111" s="52">
        <f t="shared" ca="1" si="1344"/>
        <v>0</v>
      </c>
      <c r="CO1111" s="52">
        <f t="shared" ca="1" si="1344"/>
        <v>0</v>
      </c>
    </row>
    <row r="1112" spans="1:93">
      <c r="A1112" s="10"/>
      <c r="B1112" s="10"/>
      <c r="C1112" s="17" t="s">
        <v>182</v>
      </c>
      <c r="D1112" s="10"/>
      <c r="E1112" s="10"/>
      <c r="F1112" s="10"/>
      <c r="G1112" s="11" t="str">
        <f>Monetary_Unit</f>
        <v>тыс. руб.</v>
      </c>
      <c r="H1112" s="10"/>
      <c r="I1112" s="23">
        <f ca="1">SUM(L1112:CO1112)</f>
        <v>472505.91550729872</v>
      </c>
      <c r="J1112" s="10"/>
      <c r="K1112" s="10"/>
      <c r="L1112" s="52">
        <f>L1101</f>
        <v>0</v>
      </c>
      <c r="M1112" s="52">
        <f t="shared" ref="M1112:BX1112" ca="1" si="1345">M1101</f>
        <v>0</v>
      </c>
      <c r="N1112" s="52">
        <f t="shared" ca="1" si="1345"/>
        <v>0</v>
      </c>
      <c r="O1112" s="52">
        <f t="shared" ca="1" si="1345"/>
        <v>0</v>
      </c>
      <c r="P1112" s="52">
        <f t="shared" ca="1" si="1345"/>
        <v>0</v>
      </c>
      <c r="Q1112" s="52">
        <f t="shared" ca="1" si="1345"/>
        <v>0</v>
      </c>
      <c r="R1112" s="52">
        <f t="shared" ca="1" si="1345"/>
        <v>0</v>
      </c>
      <c r="S1112" s="52">
        <f t="shared" ca="1" si="1345"/>
        <v>0</v>
      </c>
      <c r="T1112" s="52">
        <f t="shared" ca="1" si="1345"/>
        <v>375.82926333388428</v>
      </c>
      <c r="U1112" s="52">
        <f t="shared" ca="1" si="1345"/>
        <v>2049.679343298747</v>
      </c>
      <c r="V1112" s="52">
        <f t="shared" ca="1" si="1345"/>
        <v>4692.73305525248</v>
      </c>
      <c r="W1112" s="52">
        <f t="shared" ca="1" si="1345"/>
        <v>7339.0839635085113</v>
      </c>
      <c r="X1112" s="52">
        <f t="shared" ca="1" si="1345"/>
        <v>11087.213428915877</v>
      </c>
      <c r="Y1112" s="52">
        <f t="shared" ca="1" si="1345"/>
        <v>16184.443320720929</v>
      </c>
      <c r="Z1112" s="52">
        <f t="shared" ca="1" si="1345"/>
        <v>21566.314755658917</v>
      </c>
      <c r="AA1112" s="52">
        <f t="shared" ca="1" si="1345"/>
        <v>26821.612493877776</v>
      </c>
      <c r="AB1112" s="52">
        <f t="shared" ca="1" si="1345"/>
        <v>33416.864118378056</v>
      </c>
      <c r="AC1112" s="52">
        <f t="shared" ca="1" si="1345"/>
        <v>38354.581535515288</v>
      </c>
      <c r="AD1112" s="52">
        <f t="shared" ca="1" si="1345"/>
        <v>32803.703361364605</v>
      </c>
      <c r="AE1112" s="52">
        <f t="shared" ca="1" si="1345"/>
        <v>29891.359146755047</v>
      </c>
      <c r="AF1112" s="52">
        <f t="shared" ca="1" si="1345"/>
        <v>27616.105945096959</v>
      </c>
      <c r="AG1112" s="52">
        <f t="shared" ca="1" si="1345"/>
        <v>27156.393128187661</v>
      </c>
      <c r="AH1112" s="52">
        <f t="shared" ca="1" si="1345"/>
        <v>26538.750611260843</v>
      </c>
      <c r="AI1112" s="52">
        <f t="shared" ca="1" si="1345"/>
        <v>24395.411155234164</v>
      </c>
      <c r="AJ1112" s="52">
        <f t="shared" ca="1" si="1345"/>
        <v>21831.922145464901</v>
      </c>
      <c r="AK1112" s="52">
        <f t="shared" ca="1" si="1345"/>
        <v>21042.52524153925</v>
      </c>
      <c r="AL1112" s="52">
        <f t="shared" ca="1" si="1345"/>
        <v>20069.891622505023</v>
      </c>
      <c r="AM1112" s="52">
        <f t="shared" ca="1" si="1345"/>
        <v>17454.073787044064</v>
      </c>
      <c r="AN1112" s="52">
        <f t="shared" ca="1" si="1345"/>
        <v>14712.666046453658</v>
      </c>
      <c r="AO1112" s="52">
        <f t="shared" ca="1" si="1345"/>
        <v>13375.764703781109</v>
      </c>
      <c r="AP1112" s="52">
        <f t="shared" ca="1" si="1345"/>
        <v>11999.563981574278</v>
      </c>
      <c r="AQ1112" s="52">
        <f t="shared" ca="1" si="1345"/>
        <v>8912.8602572211221</v>
      </c>
      <c r="AR1112" s="52">
        <f t="shared" ca="1" si="1345"/>
        <v>5840.770680695141</v>
      </c>
      <c r="AS1112" s="52">
        <f t="shared" ca="1" si="1345"/>
        <v>4327.01356872835</v>
      </c>
      <c r="AT1112" s="52">
        <f t="shared" ca="1" si="1345"/>
        <v>2648.7848459321053</v>
      </c>
      <c r="AU1112" s="52">
        <f t="shared" ca="1" si="1345"/>
        <v>0</v>
      </c>
      <c r="AV1112" s="52">
        <f t="shared" ca="1" si="1345"/>
        <v>0</v>
      </c>
      <c r="AW1112" s="52">
        <f t="shared" ca="1" si="1345"/>
        <v>0</v>
      </c>
      <c r="AX1112" s="52">
        <f t="shared" ca="1" si="1345"/>
        <v>0</v>
      </c>
      <c r="AY1112" s="52">
        <f t="shared" ca="1" si="1345"/>
        <v>0</v>
      </c>
      <c r="AZ1112" s="52">
        <f t="shared" ca="1" si="1345"/>
        <v>0</v>
      </c>
      <c r="BA1112" s="52">
        <f t="shared" ca="1" si="1345"/>
        <v>0</v>
      </c>
      <c r="BB1112" s="52">
        <f t="shared" ca="1" si="1345"/>
        <v>0</v>
      </c>
      <c r="BC1112" s="52">
        <f t="shared" ca="1" si="1345"/>
        <v>0</v>
      </c>
      <c r="BD1112" s="52">
        <f t="shared" ca="1" si="1345"/>
        <v>0</v>
      </c>
      <c r="BE1112" s="52">
        <f t="shared" ca="1" si="1345"/>
        <v>0</v>
      </c>
      <c r="BF1112" s="52">
        <f t="shared" ca="1" si="1345"/>
        <v>0</v>
      </c>
      <c r="BG1112" s="52">
        <f t="shared" ca="1" si="1345"/>
        <v>0</v>
      </c>
      <c r="BH1112" s="52">
        <f t="shared" ca="1" si="1345"/>
        <v>0</v>
      </c>
      <c r="BI1112" s="52">
        <f t="shared" ca="1" si="1345"/>
        <v>0</v>
      </c>
      <c r="BJ1112" s="52">
        <f t="shared" ca="1" si="1345"/>
        <v>0</v>
      </c>
      <c r="BK1112" s="52">
        <f t="shared" ca="1" si="1345"/>
        <v>0</v>
      </c>
      <c r="BL1112" s="52">
        <f t="shared" ca="1" si="1345"/>
        <v>0</v>
      </c>
      <c r="BM1112" s="52">
        <f t="shared" ca="1" si="1345"/>
        <v>0</v>
      </c>
      <c r="BN1112" s="52">
        <f t="shared" ca="1" si="1345"/>
        <v>0</v>
      </c>
      <c r="BO1112" s="52">
        <f t="shared" ca="1" si="1345"/>
        <v>0</v>
      </c>
      <c r="BP1112" s="52">
        <f t="shared" ca="1" si="1345"/>
        <v>0</v>
      </c>
      <c r="BQ1112" s="52">
        <f t="shared" ca="1" si="1345"/>
        <v>0</v>
      </c>
      <c r="BR1112" s="52">
        <f t="shared" ca="1" si="1345"/>
        <v>0</v>
      </c>
      <c r="BS1112" s="52">
        <f t="shared" ca="1" si="1345"/>
        <v>0</v>
      </c>
      <c r="BT1112" s="52">
        <f t="shared" ca="1" si="1345"/>
        <v>0</v>
      </c>
      <c r="BU1112" s="52">
        <f t="shared" ca="1" si="1345"/>
        <v>0</v>
      </c>
      <c r="BV1112" s="52">
        <f t="shared" ca="1" si="1345"/>
        <v>0</v>
      </c>
      <c r="BW1112" s="52">
        <f t="shared" ca="1" si="1345"/>
        <v>0</v>
      </c>
      <c r="BX1112" s="52">
        <f t="shared" ca="1" si="1345"/>
        <v>0</v>
      </c>
      <c r="BY1112" s="52">
        <f t="shared" ref="BY1112:CO1112" ca="1" si="1346">BY1101</f>
        <v>0</v>
      </c>
      <c r="BZ1112" s="52">
        <f t="shared" ca="1" si="1346"/>
        <v>0</v>
      </c>
      <c r="CA1112" s="52">
        <f t="shared" ca="1" si="1346"/>
        <v>0</v>
      </c>
      <c r="CB1112" s="52">
        <f t="shared" ca="1" si="1346"/>
        <v>0</v>
      </c>
      <c r="CC1112" s="52">
        <f t="shared" ca="1" si="1346"/>
        <v>0</v>
      </c>
      <c r="CD1112" s="52">
        <f t="shared" ca="1" si="1346"/>
        <v>0</v>
      </c>
      <c r="CE1112" s="52">
        <f t="shared" ca="1" si="1346"/>
        <v>0</v>
      </c>
      <c r="CF1112" s="52">
        <f t="shared" ca="1" si="1346"/>
        <v>0</v>
      </c>
      <c r="CG1112" s="52">
        <f t="shared" ca="1" si="1346"/>
        <v>0</v>
      </c>
      <c r="CH1112" s="52">
        <f t="shared" ca="1" si="1346"/>
        <v>0</v>
      </c>
      <c r="CI1112" s="52">
        <f t="shared" ca="1" si="1346"/>
        <v>0</v>
      </c>
      <c r="CJ1112" s="52">
        <f t="shared" ca="1" si="1346"/>
        <v>0</v>
      </c>
      <c r="CK1112" s="52">
        <f t="shared" ca="1" si="1346"/>
        <v>0</v>
      </c>
      <c r="CL1112" s="52">
        <f t="shared" ca="1" si="1346"/>
        <v>0</v>
      </c>
      <c r="CM1112" s="52">
        <f t="shared" ca="1" si="1346"/>
        <v>0</v>
      </c>
      <c r="CN1112" s="52">
        <f t="shared" ca="1" si="1346"/>
        <v>0</v>
      </c>
      <c r="CO1112" s="52">
        <f t="shared" ca="1" si="1346"/>
        <v>0</v>
      </c>
    </row>
    <row r="1113" spans="1:93">
      <c r="A1113" s="10"/>
      <c r="B1113" s="10"/>
      <c r="C1113" s="17" t="s">
        <v>195</v>
      </c>
      <c r="D1113" s="10"/>
      <c r="E1113" s="10"/>
      <c r="F1113" s="10"/>
      <c r="G1113" s="11" t="str">
        <f>Monetary_Unit</f>
        <v>тыс. руб.</v>
      </c>
      <c r="H1113" s="10"/>
      <c r="I1113" s="23">
        <f ca="1">SUM(L1113:CO1113)</f>
        <v>472505.91550729872</v>
      </c>
      <c r="J1113" s="10"/>
      <c r="K1113" s="10"/>
      <c r="L1113" s="10">
        <f>L1104</f>
        <v>0</v>
      </c>
      <c r="M1113" s="10">
        <f t="shared" ref="M1113:BX1113" ca="1" si="1347">M1104</f>
        <v>0</v>
      </c>
      <c r="N1113" s="10">
        <f t="shared" ca="1" si="1347"/>
        <v>0</v>
      </c>
      <c r="O1113" s="10">
        <f t="shared" ca="1" si="1347"/>
        <v>0</v>
      </c>
      <c r="P1113" s="10">
        <f t="shared" ca="1" si="1347"/>
        <v>0</v>
      </c>
      <c r="Q1113" s="10">
        <f t="shared" ca="1" si="1347"/>
        <v>0</v>
      </c>
      <c r="R1113" s="10">
        <f t="shared" ca="1" si="1347"/>
        <v>0</v>
      </c>
      <c r="S1113" s="10">
        <f t="shared" ca="1" si="1347"/>
        <v>0</v>
      </c>
      <c r="T1113" s="10">
        <f t="shared" ca="1" si="1347"/>
        <v>375.82926333388428</v>
      </c>
      <c r="U1113" s="10">
        <f t="shared" ca="1" si="1347"/>
        <v>2049.679343298747</v>
      </c>
      <c r="V1113" s="10">
        <f t="shared" ca="1" si="1347"/>
        <v>4692.73305525248</v>
      </c>
      <c r="W1113" s="10">
        <f t="shared" ca="1" si="1347"/>
        <v>7339.0839635085113</v>
      </c>
      <c r="X1113" s="10">
        <f t="shared" ca="1" si="1347"/>
        <v>11087.213428915877</v>
      </c>
      <c r="Y1113" s="10">
        <f t="shared" ca="1" si="1347"/>
        <v>16184.443320720929</v>
      </c>
      <c r="Z1113" s="10">
        <f t="shared" ca="1" si="1347"/>
        <v>21566.314755658917</v>
      </c>
      <c r="AA1113" s="10">
        <f t="shared" ca="1" si="1347"/>
        <v>26821.612493877776</v>
      </c>
      <c r="AB1113" s="10">
        <f t="shared" ca="1" si="1347"/>
        <v>33416.864118378056</v>
      </c>
      <c r="AC1113" s="10">
        <f t="shared" ca="1" si="1347"/>
        <v>38354.581535515288</v>
      </c>
      <c r="AD1113" s="10">
        <f t="shared" ca="1" si="1347"/>
        <v>32803.703361364605</v>
      </c>
      <c r="AE1113" s="10">
        <f t="shared" ca="1" si="1347"/>
        <v>29891.359146755047</v>
      </c>
      <c r="AF1113" s="10">
        <f t="shared" ca="1" si="1347"/>
        <v>27616.105945096959</v>
      </c>
      <c r="AG1113" s="10">
        <f t="shared" ca="1" si="1347"/>
        <v>27156.393128187661</v>
      </c>
      <c r="AH1113" s="10">
        <f t="shared" ca="1" si="1347"/>
        <v>26538.750611260843</v>
      </c>
      <c r="AI1113" s="10">
        <f t="shared" ca="1" si="1347"/>
        <v>24395.411155234164</v>
      </c>
      <c r="AJ1113" s="10">
        <f t="shared" ca="1" si="1347"/>
        <v>21831.922145464901</v>
      </c>
      <c r="AK1113" s="10">
        <f t="shared" ca="1" si="1347"/>
        <v>21042.52524153925</v>
      </c>
      <c r="AL1113" s="10">
        <f t="shared" ca="1" si="1347"/>
        <v>20069.891622505023</v>
      </c>
      <c r="AM1113" s="10">
        <f t="shared" ca="1" si="1347"/>
        <v>17454.073787044064</v>
      </c>
      <c r="AN1113" s="10">
        <f t="shared" ca="1" si="1347"/>
        <v>14712.666046453658</v>
      </c>
      <c r="AO1113" s="10">
        <f t="shared" ca="1" si="1347"/>
        <v>13375.764703781109</v>
      </c>
      <c r="AP1113" s="10">
        <f t="shared" ca="1" si="1347"/>
        <v>11999.563981574278</v>
      </c>
      <c r="AQ1113" s="10">
        <f t="shared" ca="1" si="1347"/>
        <v>8912.8602572211221</v>
      </c>
      <c r="AR1113" s="10">
        <f t="shared" ca="1" si="1347"/>
        <v>5840.770680695141</v>
      </c>
      <c r="AS1113" s="10">
        <f t="shared" ca="1" si="1347"/>
        <v>4327.01356872835</v>
      </c>
      <c r="AT1113" s="10">
        <f t="shared" ca="1" si="1347"/>
        <v>2648.7848459321053</v>
      </c>
      <c r="AU1113" s="10">
        <f t="shared" ca="1" si="1347"/>
        <v>0</v>
      </c>
      <c r="AV1113" s="10">
        <f t="shared" ca="1" si="1347"/>
        <v>0</v>
      </c>
      <c r="AW1113" s="10">
        <f t="shared" ca="1" si="1347"/>
        <v>0</v>
      </c>
      <c r="AX1113" s="10">
        <f t="shared" ca="1" si="1347"/>
        <v>0</v>
      </c>
      <c r="AY1113" s="10">
        <f t="shared" ca="1" si="1347"/>
        <v>0</v>
      </c>
      <c r="AZ1113" s="10">
        <f t="shared" ca="1" si="1347"/>
        <v>0</v>
      </c>
      <c r="BA1113" s="10">
        <f t="shared" ca="1" si="1347"/>
        <v>0</v>
      </c>
      <c r="BB1113" s="10">
        <f t="shared" ca="1" si="1347"/>
        <v>0</v>
      </c>
      <c r="BC1113" s="10">
        <f t="shared" ca="1" si="1347"/>
        <v>0</v>
      </c>
      <c r="BD1113" s="10">
        <f t="shared" ca="1" si="1347"/>
        <v>0</v>
      </c>
      <c r="BE1113" s="10">
        <f t="shared" ca="1" si="1347"/>
        <v>0</v>
      </c>
      <c r="BF1113" s="10">
        <f t="shared" ca="1" si="1347"/>
        <v>0</v>
      </c>
      <c r="BG1113" s="10">
        <f t="shared" ca="1" si="1347"/>
        <v>0</v>
      </c>
      <c r="BH1113" s="10">
        <f t="shared" ca="1" si="1347"/>
        <v>0</v>
      </c>
      <c r="BI1113" s="10">
        <f t="shared" ca="1" si="1347"/>
        <v>0</v>
      </c>
      <c r="BJ1113" s="10">
        <f t="shared" ca="1" si="1347"/>
        <v>0</v>
      </c>
      <c r="BK1113" s="10">
        <f t="shared" ca="1" si="1347"/>
        <v>0</v>
      </c>
      <c r="BL1113" s="10">
        <f t="shared" ca="1" si="1347"/>
        <v>0</v>
      </c>
      <c r="BM1113" s="10">
        <f t="shared" ca="1" si="1347"/>
        <v>0</v>
      </c>
      <c r="BN1113" s="10">
        <f t="shared" ca="1" si="1347"/>
        <v>0</v>
      </c>
      <c r="BO1113" s="10">
        <f t="shared" ca="1" si="1347"/>
        <v>0</v>
      </c>
      <c r="BP1113" s="10">
        <f t="shared" ca="1" si="1347"/>
        <v>0</v>
      </c>
      <c r="BQ1113" s="10">
        <f t="shared" ca="1" si="1347"/>
        <v>0</v>
      </c>
      <c r="BR1113" s="10">
        <f t="shared" ca="1" si="1347"/>
        <v>0</v>
      </c>
      <c r="BS1113" s="10">
        <f t="shared" ca="1" si="1347"/>
        <v>0</v>
      </c>
      <c r="BT1113" s="10">
        <f t="shared" ca="1" si="1347"/>
        <v>0</v>
      </c>
      <c r="BU1113" s="10">
        <f t="shared" ca="1" si="1347"/>
        <v>0</v>
      </c>
      <c r="BV1113" s="10">
        <f t="shared" ca="1" si="1347"/>
        <v>0</v>
      </c>
      <c r="BW1113" s="10">
        <f t="shared" ca="1" si="1347"/>
        <v>0</v>
      </c>
      <c r="BX1113" s="10">
        <f t="shared" ca="1" si="1347"/>
        <v>0</v>
      </c>
      <c r="BY1113" s="10">
        <f t="shared" ref="BY1113:CO1113" ca="1" si="1348">BY1104</f>
        <v>0</v>
      </c>
      <c r="BZ1113" s="10">
        <f t="shared" ca="1" si="1348"/>
        <v>0</v>
      </c>
      <c r="CA1113" s="10">
        <f t="shared" ca="1" si="1348"/>
        <v>0</v>
      </c>
      <c r="CB1113" s="10">
        <f t="shared" ca="1" si="1348"/>
        <v>0</v>
      </c>
      <c r="CC1113" s="10">
        <f t="shared" ca="1" si="1348"/>
        <v>0</v>
      </c>
      <c r="CD1113" s="10">
        <f t="shared" ca="1" si="1348"/>
        <v>0</v>
      </c>
      <c r="CE1113" s="10">
        <f t="shared" ca="1" si="1348"/>
        <v>0</v>
      </c>
      <c r="CF1113" s="10">
        <f t="shared" ca="1" si="1348"/>
        <v>0</v>
      </c>
      <c r="CG1113" s="10">
        <f t="shared" ca="1" si="1348"/>
        <v>0</v>
      </c>
      <c r="CH1113" s="10">
        <f t="shared" ca="1" si="1348"/>
        <v>0</v>
      </c>
      <c r="CI1113" s="10">
        <f t="shared" ca="1" si="1348"/>
        <v>0</v>
      </c>
      <c r="CJ1113" s="10">
        <f t="shared" ca="1" si="1348"/>
        <v>0</v>
      </c>
      <c r="CK1113" s="10">
        <f t="shared" ca="1" si="1348"/>
        <v>0</v>
      </c>
      <c r="CL1113" s="10">
        <f t="shared" ca="1" si="1348"/>
        <v>0</v>
      </c>
      <c r="CM1113" s="10">
        <f t="shared" ca="1" si="1348"/>
        <v>0</v>
      </c>
      <c r="CN1113" s="10">
        <f t="shared" ca="1" si="1348"/>
        <v>0</v>
      </c>
      <c r="CO1113" s="10">
        <f t="shared" ca="1" si="1348"/>
        <v>0</v>
      </c>
    </row>
    <row r="1114" spans="1:93">
      <c r="A1114" s="10"/>
      <c r="B1114" s="10"/>
      <c r="C1114" s="17"/>
      <c r="D1114" s="10"/>
      <c r="E1114" s="10"/>
      <c r="F1114" s="10"/>
      <c r="G1114" s="11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0"/>
      <c r="AH1114" s="10"/>
      <c r="AI1114" s="10"/>
      <c r="AJ1114" s="10"/>
      <c r="AK1114" s="10"/>
      <c r="AL1114" s="10"/>
      <c r="AM1114" s="10"/>
      <c r="AN1114" s="10"/>
      <c r="AO1114" s="10"/>
      <c r="AP1114" s="10"/>
      <c r="AQ1114" s="10"/>
      <c r="AR1114" s="10"/>
      <c r="AS1114" s="10"/>
      <c r="AT1114" s="10"/>
      <c r="AU1114" s="10"/>
      <c r="AV1114" s="10"/>
      <c r="AW1114" s="10"/>
      <c r="AX1114" s="10"/>
      <c r="AY1114" s="10"/>
      <c r="AZ1114" s="10"/>
      <c r="BA1114" s="10"/>
      <c r="BB1114" s="10"/>
      <c r="BC1114" s="10"/>
      <c r="BD1114" s="10"/>
      <c r="BE1114" s="10"/>
      <c r="BF1114" s="10"/>
      <c r="BG1114" s="10"/>
      <c r="BH1114" s="10"/>
      <c r="BI1114" s="10"/>
      <c r="BJ1114" s="10"/>
      <c r="BK1114" s="10"/>
      <c r="BL1114" s="10"/>
      <c r="BM1114" s="10"/>
      <c r="BN1114" s="10"/>
      <c r="BO1114" s="10"/>
      <c r="BP1114" s="10"/>
      <c r="BQ1114" s="10"/>
      <c r="BR1114" s="10"/>
      <c r="BS1114" s="10"/>
      <c r="BT1114" s="10"/>
      <c r="BU1114" s="10"/>
      <c r="BV1114" s="10"/>
      <c r="BW1114" s="10"/>
      <c r="BX1114" s="10"/>
      <c r="BY1114" s="10"/>
      <c r="BZ1114" s="10"/>
      <c r="CA1114" s="10"/>
      <c r="CB1114" s="10"/>
      <c r="CC1114" s="10"/>
      <c r="CD1114" s="10"/>
      <c r="CE1114" s="10"/>
      <c r="CF1114" s="10"/>
      <c r="CG1114" s="10"/>
      <c r="CH1114" s="10"/>
      <c r="CI1114" s="10"/>
      <c r="CJ1114" s="10"/>
      <c r="CK1114" s="10"/>
      <c r="CL1114" s="10"/>
      <c r="CM1114" s="10"/>
      <c r="CN1114" s="10"/>
      <c r="CO1114" s="10"/>
    </row>
    <row r="1115" spans="1:93">
      <c r="A1115" s="10"/>
      <c r="B1115" s="10"/>
      <c r="C1115" s="67" t="s">
        <v>520</v>
      </c>
      <c r="D1115" s="10"/>
      <c r="E1115" s="10"/>
      <c r="F1115" s="10"/>
      <c r="G1115" s="11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0"/>
      <c r="AH1115" s="10"/>
      <c r="AI1115" s="10"/>
      <c r="AJ1115" s="10"/>
      <c r="AK1115" s="10"/>
      <c r="AL1115" s="10"/>
      <c r="AM1115" s="10"/>
      <c r="AN1115" s="10"/>
      <c r="AO1115" s="10"/>
      <c r="AP1115" s="10"/>
      <c r="AQ1115" s="10"/>
      <c r="AR1115" s="10"/>
      <c r="AS1115" s="10"/>
      <c r="AT1115" s="10"/>
      <c r="AU1115" s="10"/>
      <c r="AV1115" s="10"/>
      <c r="AW1115" s="10"/>
      <c r="AX1115" s="10"/>
      <c r="AY1115" s="10"/>
      <c r="AZ1115" s="10"/>
      <c r="BA1115" s="10"/>
      <c r="BB1115" s="10"/>
      <c r="BC1115" s="10"/>
      <c r="BD1115" s="10"/>
      <c r="BE1115" s="10"/>
      <c r="BF1115" s="10"/>
      <c r="BG1115" s="10"/>
      <c r="BH1115" s="10"/>
      <c r="BI1115" s="10"/>
      <c r="BJ1115" s="10"/>
      <c r="BK1115" s="10"/>
      <c r="BL1115" s="10"/>
      <c r="BM1115" s="10"/>
      <c r="BN1115" s="10"/>
      <c r="BO1115" s="10"/>
      <c r="BP1115" s="10"/>
      <c r="BQ1115" s="10"/>
      <c r="BR1115" s="10"/>
      <c r="BS1115" s="10"/>
      <c r="BT1115" s="10"/>
      <c r="BU1115" s="10"/>
      <c r="BV1115" s="10"/>
      <c r="BW1115" s="10"/>
      <c r="BX1115" s="10"/>
      <c r="BY1115" s="10"/>
      <c r="BZ1115" s="10"/>
      <c r="CA1115" s="10"/>
      <c r="CB1115" s="10"/>
      <c r="CC1115" s="10"/>
      <c r="CD1115" s="10"/>
      <c r="CE1115" s="10"/>
      <c r="CF1115" s="10"/>
      <c r="CG1115" s="10"/>
      <c r="CH1115" s="10"/>
      <c r="CI1115" s="10"/>
      <c r="CJ1115" s="10"/>
      <c r="CK1115" s="10"/>
      <c r="CL1115" s="10"/>
      <c r="CM1115" s="10"/>
      <c r="CN1115" s="10"/>
      <c r="CO1115" s="10"/>
    </row>
    <row r="1116" spans="1:93" ht="14.65" customHeight="1">
      <c r="A1116" s="10"/>
      <c r="B1116" s="10"/>
      <c r="C1116" s="17" t="s">
        <v>185</v>
      </c>
      <c r="D1116" s="10"/>
      <c r="E1116" s="10"/>
      <c r="F1116" s="10"/>
      <c r="G1116" s="11" t="str">
        <f>Monetary_Unit</f>
        <v>тыс. руб.</v>
      </c>
      <c r="H1116" s="10"/>
      <c r="I1116" s="23">
        <f ca="1">SUM(L1116:CO1116)</f>
        <v>8840036.0503512695</v>
      </c>
      <c r="J1116" s="10"/>
      <c r="K1116" s="10"/>
      <c r="L1116" s="10">
        <f t="shared" ref="L1116:BW1116" ca="1" si="1349">CFADS</f>
        <v>-20231.553412960755</v>
      </c>
      <c r="M1116" s="10">
        <f t="shared" ca="1" si="1349"/>
        <v>-20518.738035800307</v>
      </c>
      <c r="N1116" s="10">
        <f t="shared" ca="1" si="1349"/>
        <v>-20809.999212027134</v>
      </c>
      <c r="O1116" s="10">
        <f t="shared" ca="1" si="1349"/>
        <v>-21105.394807857592</v>
      </c>
      <c r="P1116" s="10">
        <f t="shared" ca="1" si="1349"/>
        <v>-177490.49062476435</v>
      </c>
      <c r="Q1116" s="10">
        <f t="shared" ca="1" si="1349"/>
        <v>-179239.37658746613</v>
      </c>
      <c r="R1116" s="10">
        <f t="shared" ca="1" si="1349"/>
        <v>-181005.49503456618</v>
      </c>
      <c r="S1116" s="10">
        <f t="shared" ca="1" si="1349"/>
        <v>-182789.01576473904</v>
      </c>
      <c r="T1116" s="10">
        <f t="shared" ca="1" si="1349"/>
        <v>-184590.11024975491</v>
      </c>
      <c r="U1116" s="10">
        <f t="shared" ca="1" si="1349"/>
        <v>-188441.09063731288</v>
      </c>
      <c r="V1116" s="10">
        <f t="shared" ca="1" si="1349"/>
        <v>-190159.22920993349</v>
      </c>
      <c r="W1116" s="10">
        <f t="shared" ca="1" si="1349"/>
        <v>-191871.74606439631</v>
      </c>
      <c r="X1116" s="10">
        <f t="shared" ca="1" si="1349"/>
        <v>-369180.82464899635</v>
      </c>
      <c r="Y1116" s="10">
        <f t="shared" ca="1" si="1349"/>
        <v>-372528.52022715751</v>
      </c>
      <c r="Z1116" s="10">
        <f t="shared" ca="1" si="1349"/>
        <v>-375920.78753780114</v>
      </c>
      <c r="AA1116" s="10">
        <f t="shared" ca="1" si="1349"/>
        <v>-379331.70797221939</v>
      </c>
      <c r="AB1116" s="10">
        <f t="shared" ca="1" si="1349"/>
        <v>-660519.09372966131</v>
      </c>
      <c r="AC1116" s="10">
        <f t="shared" ca="1" si="1349"/>
        <v>558342.85122100485</v>
      </c>
      <c r="AD1116" s="10">
        <f t="shared" ca="1" si="1349"/>
        <v>289189.50592141412</v>
      </c>
      <c r="AE1116" s="10">
        <f t="shared" ca="1" si="1349"/>
        <v>178400.7977982692</v>
      </c>
      <c r="AF1116" s="10">
        <f t="shared" ca="1" si="1349"/>
        <v>99618.407635534517</v>
      </c>
      <c r="AG1116" s="10">
        <f t="shared" ca="1" si="1349"/>
        <v>111168.99092974691</v>
      </c>
      <c r="AH1116" s="10">
        <f t="shared" ca="1" si="1349"/>
        <v>215705.23197904491</v>
      </c>
      <c r="AI1116" s="10">
        <f t="shared" ca="1" si="1349"/>
        <v>207557.0650137279</v>
      </c>
      <c r="AJ1116" s="10">
        <f t="shared" ca="1" si="1349"/>
        <v>115695.29334696298</v>
      </c>
      <c r="AK1116" s="10">
        <f t="shared" ca="1" si="1349"/>
        <v>128520.73850483312</v>
      </c>
      <c r="AL1116" s="10">
        <f t="shared" ca="1" si="1349"/>
        <v>248472.47392896833</v>
      </c>
      <c r="AM1116" s="10">
        <f t="shared" ca="1" si="1349"/>
        <v>238742.10118499468</v>
      </c>
      <c r="AN1116" s="10">
        <f t="shared" ca="1" si="1349"/>
        <v>133914.39531589366</v>
      </c>
      <c r="AO1116" s="10">
        <f t="shared" ca="1" si="1349"/>
        <v>147070.07063947435</v>
      </c>
      <c r="AP1116" s="10">
        <f t="shared" ca="1" si="1349"/>
        <v>279906.77715703257</v>
      </c>
      <c r="AQ1116" s="10">
        <f t="shared" ca="1" si="1349"/>
        <v>265184.36667378066</v>
      </c>
      <c r="AR1116" s="10">
        <f t="shared" ca="1" si="1349"/>
        <v>143916.30013033532</v>
      </c>
      <c r="AS1116" s="10">
        <f t="shared" ca="1" si="1349"/>
        <v>153232.15487123994</v>
      </c>
      <c r="AT1116" s="10">
        <f t="shared" ca="1" si="1349"/>
        <v>287531.21100539406</v>
      </c>
      <c r="AU1116" s="10">
        <f t="shared" ca="1" si="1349"/>
        <v>270711.13427012885</v>
      </c>
      <c r="AV1116" s="10">
        <f t="shared" ca="1" si="1349"/>
        <v>145517.46262419978</v>
      </c>
      <c r="AW1116" s="10">
        <f t="shared" ca="1" si="1349"/>
        <v>182387.59892833943</v>
      </c>
      <c r="AX1116" s="10">
        <f t="shared" ca="1" si="1349"/>
        <v>273026.89898316731</v>
      </c>
      <c r="AY1116" s="10">
        <f t="shared" ca="1" si="1349"/>
        <v>160610.09420331367</v>
      </c>
      <c r="AZ1116" s="10">
        <f t="shared" ca="1" si="1349"/>
        <v>90746.681474151221</v>
      </c>
      <c r="BA1116" s="10">
        <f t="shared" ca="1" si="1349"/>
        <v>140327.30961439823</v>
      </c>
      <c r="BB1116" s="10">
        <f t="shared" ca="1" si="1349"/>
        <v>273441.40717452572</v>
      </c>
      <c r="BC1116" s="10">
        <f t="shared" ca="1" si="1349"/>
        <v>167027.39986984793</v>
      </c>
      <c r="BD1116" s="10">
        <f t="shared" ca="1" si="1349"/>
        <v>95677.102949824461</v>
      </c>
      <c r="BE1116" s="10">
        <f t="shared" ca="1" si="1349"/>
        <v>144587.40117527739</v>
      </c>
      <c r="BF1116" s="10">
        <f t="shared" ca="1" si="1349"/>
        <v>283339.07755339477</v>
      </c>
      <c r="BG1116" s="10">
        <f t="shared" ca="1" si="1349"/>
        <v>172668.51570028992</v>
      </c>
      <c r="BH1116" s="10">
        <f t="shared" ca="1" si="1349"/>
        <v>97093.665388560941</v>
      </c>
      <c r="BI1116" s="10">
        <f t="shared" ca="1" si="1349"/>
        <v>150722.02899878885</v>
      </c>
      <c r="BJ1116" s="10">
        <f t="shared" ca="1" si="1349"/>
        <v>294700.16257395281</v>
      </c>
      <c r="BK1116" s="10">
        <f t="shared" ca="1" si="1349"/>
        <v>179602.77227321349</v>
      </c>
      <c r="BL1116" s="10">
        <f t="shared" ca="1" si="1349"/>
        <v>101010.04112024038</v>
      </c>
      <c r="BM1116" s="10">
        <f t="shared" ca="1" si="1349"/>
        <v>156784.45144098948</v>
      </c>
      <c r="BN1116" s="10">
        <f t="shared" ca="1" si="1349"/>
        <v>306522.65430726274</v>
      </c>
      <c r="BO1116" s="10">
        <f t="shared" ca="1" si="1349"/>
        <v>177777.08616391147</v>
      </c>
      <c r="BP1116" s="10">
        <f t="shared" ca="1" si="1349"/>
        <v>97479.370084233102</v>
      </c>
      <c r="BQ1116" s="10">
        <f t="shared" ca="1" si="1349"/>
        <v>147496.84938078091</v>
      </c>
      <c r="BR1116" s="10">
        <f t="shared" ca="1" si="1349"/>
        <v>278245.88708535011</v>
      </c>
      <c r="BS1116" s="10">
        <f t="shared" ca="1" si="1349"/>
        <v>176430.29235447777</v>
      </c>
      <c r="BT1116" s="10">
        <f t="shared" ca="1" si="1349"/>
        <v>94568.477972540364</v>
      </c>
      <c r="BU1116" s="10">
        <f t="shared" ca="1" si="1349"/>
        <v>144907.78111575436</v>
      </c>
      <c r="BV1116" s="10">
        <f t="shared" ca="1" si="1349"/>
        <v>290142.81625441811</v>
      </c>
      <c r="BW1116" s="10">
        <f t="shared" ca="1" si="1349"/>
        <v>184249.96053286913</v>
      </c>
      <c r="BX1116" s="10">
        <f t="shared" ref="BX1116:CO1116" ca="1" si="1350">CFADS</f>
        <v>97648.295518110244</v>
      </c>
      <c r="BY1116" s="10">
        <f t="shared" ca="1" si="1350"/>
        <v>151770.83585332031</v>
      </c>
      <c r="BZ1116" s="10">
        <f t="shared" ca="1" si="1350"/>
        <v>302440.46734145656</v>
      </c>
      <c r="CA1116" s="10">
        <f t="shared" ca="1" si="1350"/>
        <v>192307.85374290359</v>
      </c>
      <c r="CB1116" s="10">
        <f t="shared" ca="1" si="1350"/>
        <v>102248.94821865222</v>
      </c>
      <c r="CC1116" s="10">
        <f t="shared" ca="1" si="1350"/>
        <v>158541.06086534384</v>
      </c>
      <c r="CD1116" s="10">
        <f t="shared" ca="1" si="1350"/>
        <v>315242.0910079485</v>
      </c>
      <c r="CE1116" s="10">
        <f t="shared" ca="1" si="1350"/>
        <v>200699.82662151247</v>
      </c>
      <c r="CF1116" s="10">
        <f t="shared" ca="1" si="1350"/>
        <v>107016.58280527144</v>
      </c>
      <c r="CG1116" s="10">
        <f t="shared" ca="1" si="1350"/>
        <v>165564.89886920995</v>
      </c>
      <c r="CH1116" s="10">
        <f t="shared" ca="1" si="1350"/>
        <v>328538.39464533399</v>
      </c>
      <c r="CI1116" s="10">
        <f t="shared" ca="1" si="1350"/>
        <v>209410.09343949921</v>
      </c>
      <c r="CJ1116" s="10">
        <f t="shared" ca="1" si="1350"/>
        <v>113577.58786442541</v>
      </c>
      <c r="CK1116" s="10">
        <f t="shared" ca="1" si="1350"/>
        <v>172449.24687161582</v>
      </c>
      <c r="CL1116" s="10">
        <f t="shared" ca="1" si="1350"/>
        <v>342372.8721207974</v>
      </c>
      <c r="CM1116" s="10">
        <f t="shared" ca="1" si="1350"/>
        <v>218474.8026703553</v>
      </c>
      <c r="CN1116" s="10">
        <f t="shared" ca="1" si="1350"/>
        <v>117079.85311511872</v>
      </c>
      <c r="CO1116" s="10">
        <f t="shared" ca="1" si="1350"/>
        <v>180414.39771195172</v>
      </c>
    </row>
    <row r="1117" spans="1:93" ht="14.65" customHeight="1">
      <c r="A1117" s="10"/>
      <c r="B1117" s="10"/>
      <c r="C1117" s="17" t="s">
        <v>526</v>
      </c>
      <c r="D1117" s="450"/>
      <c r="E1117" s="408" t="str">
        <f>Предпосылки!E566</f>
        <v>да</v>
      </c>
      <c r="F1117" s="450"/>
      <c r="G1117" s="11" t="str">
        <f>Monetary_Unit</f>
        <v>тыс. руб.</v>
      </c>
      <c r="H1117" s="10"/>
      <c r="I1117" s="23">
        <f ca="1">SUM(L1117:CO1117)</f>
        <v>12555769.224108679</v>
      </c>
      <c r="J1117" s="10"/>
      <c r="K1117" s="10"/>
      <c r="L1117" s="450">
        <f t="shared" ref="L1117:AQ1117" ca="1" si="1351">MAX(L1116+IF($E$1117="да",Cash_BoP,0),0)</f>
        <v>0</v>
      </c>
      <c r="M1117" s="450">
        <f t="shared" ca="1" si="1351"/>
        <v>0</v>
      </c>
      <c r="N1117" s="450">
        <f t="shared" ca="1" si="1351"/>
        <v>0</v>
      </c>
      <c r="O1117" s="450">
        <f t="shared" ca="1" si="1351"/>
        <v>0</v>
      </c>
      <c r="P1117" s="450">
        <f t="shared" ca="1" si="1351"/>
        <v>0</v>
      </c>
      <c r="Q1117" s="450">
        <f t="shared" ca="1" si="1351"/>
        <v>0</v>
      </c>
      <c r="R1117" s="450">
        <f t="shared" ca="1" si="1351"/>
        <v>0</v>
      </c>
      <c r="S1117" s="450">
        <f t="shared" ca="1" si="1351"/>
        <v>0</v>
      </c>
      <c r="T1117" s="450">
        <f t="shared" ca="1" si="1351"/>
        <v>0</v>
      </c>
      <c r="U1117" s="450">
        <f t="shared" ca="1" si="1351"/>
        <v>0</v>
      </c>
      <c r="V1117" s="450">
        <f t="shared" ca="1" si="1351"/>
        <v>0</v>
      </c>
      <c r="W1117" s="450">
        <f t="shared" ca="1" si="1351"/>
        <v>0</v>
      </c>
      <c r="X1117" s="450">
        <f t="shared" ca="1" si="1351"/>
        <v>0</v>
      </c>
      <c r="Y1117" s="450">
        <f t="shared" ca="1" si="1351"/>
        <v>0</v>
      </c>
      <c r="Z1117" s="450">
        <f t="shared" ca="1" si="1351"/>
        <v>0</v>
      </c>
      <c r="AA1117" s="450">
        <f t="shared" ca="1" si="1351"/>
        <v>0</v>
      </c>
      <c r="AB1117" s="450">
        <f t="shared" ca="1" si="1351"/>
        <v>0</v>
      </c>
      <c r="AC1117" s="450">
        <f t="shared" ca="1" si="1351"/>
        <v>558342.85122100485</v>
      </c>
      <c r="AD1117" s="450">
        <f t="shared" ca="1" si="1351"/>
        <v>289189.50592141412</v>
      </c>
      <c r="AE1117" s="450">
        <f t="shared" ca="1" si="1351"/>
        <v>178400.7977982692</v>
      </c>
      <c r="AF1117" s="450">
        <f t="shared" ca="1" si="1351"/>
        <v>99618.407635534517</v>
      </c>
      <c r="AG1117" s="450">
        <f t="shared" ca="1" si="1351"/>
        <v>111168.99092974691</v>
      </c>
      <c r="AH1117" s="450">
        <f t="shared" ca="1" si="1351"/>
        <v>215705.23197904491</v>
      </c>
      <c r="AI1117" s="450">
        <f t="shared" ca="1" si="1351"/>
        <v>207557.0650137279</v>
      </c>
      <c r="AJ1117" s="450">
        <f t="shared" ca="1" si="1351"/>
        <v>115695.29334696298</v>
      </c>
      <c r="AK1117" s="450">
        <f t="shared" ca="1" si="1351"/>
        <v>128520.73850483312</v>
      </c>
      <c r="AL1117" s="450">
        <f t="shared" ca="1" si="1351"/>
        <v>248472.47392896833</v>
      </c>
      <c r="AM1117" s="450">
        <f t="shared" ca="1" si="1351"/>
        <v>238742.10118499468</v>
      </c>
      <c r="AN1117" s="450">
        <f t="shared" ca="1" si="1351"/>
        <v>133914.39531589366</v>
      </c>
      <c r="AO1117" s="450">
        <f t="shared" ca="1" si="1351"/>
        <v>147070.07063947435</v>
      </c>
      <c r="AP1117" s="450">
        <f t="shared" ca="1" si="1351"/>
        <v>279906.77715703257</v>
      </c>
      <c r="AQ1117" s="450">
        <f t="shared" ca="1" si="1351"/>
        <v>265184.36667378066</v>
      </c>
      <c r="AR1117" s="450">
        <f t="shared" ref="AR1117:BW1117" ca="1" si="1352">MAX(AR1116+IF($E$1117="да",Cash_BoP,0),0)</f>
        <v>143916.30013033532</v>
      </c>
      <c r="AS1117" s="450">
        <f t="shared" ca="1" si="1352"/>
        <v>153232.15487123994</v>
      </c>
      <c r="AT1117" s="450">
        <f t="shared" ca="1" si="1352"/>
        <v>287531.21100539406</v>
      </c>
      <c r="AU1117" s="450">
        <f t="shared" ca="1" si="1352"/>
        <v>270711.13427012885</v>
      </c>
      <c r="AV1117" s="450">
        <f t="shared" ca="1" si="1352"/>
        <v>145517.46262419978</v>
      </c>
      <c r="AW1117" s="450">
        <f t="shared" ca="1" si="1352"/>
        <v>182387.59892833943</v>
      </c>
      <c r="AX1117" s="450">
        <f t="shared" ca="1" si="1352"/>
        <v>273026.89898316731</v>
      </c>
      <c r="AY1117" s="450">
        <f t="shared" ca="1" si="1352"/>
        <v>160610.09420331367</v>
      </c>
      <c r="AZ1117" s="450">
        <f t="shared" ca="1" si="1352"/>
        <v>90746.681474151221</v>
      </c>
      <c r="BA1117" s="450">
        <f t="shared" ca="1" si="1352"/>
        <v>140327.30961439823</v>
      </c>
      <c r="BB1117" s="450">
        <f t="shared" ca="1" si="1352"/>
        <v>273441.40717452572</v>
      </c>
      <c r="BC1117" s="450">
        <f t="shared" ca="1" si="1352"/>
        <v>167027.39986984793</v>
      </c>
      <c r="BD1117" s="450">
        <f t="shared" ca="1" si="1352"/>
        <v>95677.102949824461</v>
      </c>
      <c r="BE1117" s="450">
        <f t="shared" ca="1" si="1352"/>
        <v>144587.40117527739</v>
      </c>
      <c r="BF1117" s="450">
        <f t="shared" ca="1" si="1352"/>
        <v>283339.07755339477</v>
      </c>
      <c r="BG1117" s="450">
        <f t="shared" ca="1" si="1352"/>
        <v>172668.51570028992</v>
      </c>
      <c r="BH1117" s="450">
        <f t="shared" ca="1" si="1352"/>
        <v>97093.665388560941</v>
      </c>
      <c r="BI1117" s="450">
        <f t="shared" ca="1" si="1352"/>
        <v>150722.02899878885</v>
      </c>
      <c r="BJ1117" s="450">
        <f t="shared" ca="1" si="1352"/>
        <v>294700.16257395281</v>
      </c>
      <c r="BK1117" s="450">
        <f t="shared" ca="1" si="1352"/>
        <v>179602.77227321349</v>
      </c>
      <c r="BL1117" s="450">
        <f t="shared" ca="1" si="1352"/>
        <v>101010.04112024038</v>
      </c>
      <c r="BM1117" s="450">
        <f t="shared" ca="1" si="1352"/>
        <v>156784.45144098948</v>
      </c>
      <c r="BN1117" s="450">
        <f t="shared" ca="1" si="1352"/>
        <v>306522.65430726274</v>
      </c>
      <c r="BO1117" s="450">
        <f t="shared" ca="1" si="1352"/>
        <v>177777.08616391147</v>
      </c>
      <c r="BP1117" s="450">
        <f t="shared" ca="1" si="1352"/>
        <v>97479.370084233102</v>
      </c>
      <c r="BQ1117" s="450">
        <f t="shared" ca="1" si="1352"/>
        <v>147496.84938078091</v>
      </c>
      <c r="BR1117" s="450">
        <f t="shared" ca="1" si="1352"/>
        <v>278245.88708535011</v>
      </c>
      <c r="BS1117" s="450">
        <f t="shared" ca="1" si="1352"/>
        <v>176430.29235447777</v>
      </c>
      <c r="BT1117" s="450">
        <f t="shared" ca="1" si="1352"/>
        <v>94568.477972540364</v>
      </c>
      <c r="BU1117" s="450">
        <f t="shared" ca="1" si="1352"/>
        <v>144907.78111575436</v>
      </c>
      <c r="BV1117" s="450">
        <f t="shared" ca="1" si="1352"/>
        <v>290142.81625441811</v>
      </c>
      <c r="BW1117" s="450">
        <f t="shared" ca="1" si="1352"/>
        <v>184249.96053286913</v>
      </c>
      <c r="BX1117" s="450">
        <f t="shared" ref="BX1117:CO1117" ca="1" si="1353">MAX(BX1116+IF($E$1117="да",Cash_BoP,0),0)</f>
        <v>97648.295518110244</v>
      </c>
      <c r="BY1117" s="450">
        <f t="shared" ca="1" si="1353"/>
        <v>151770.83585332031</v>
      </c>
      <c r="BZ1117" s="450">
        <f t="shared" ca="1" si="1353"/>
        <v>302440.46734145656</v>
      </c>
      <c r="CA1117" s="450">
        <f t="shared" ca="1" si="1353"/>
        <v>192307.85374290359</v>
      </c>
      <c r="CB1117" s="450">
        <f t="shared" ca="1" si="1353"/>
        <v>102248.94821865222</v>
      </c>
      <c r="CC1117" s="450">
        <f t="shared" ca="1" si="1353"/>
        <v>158541.06086534384</v>
      </c>
      <c r="CD1117" s="450">
        <f t="shared" ca="1" si="1353"/>
        <v>315242.0910079485</v>
      </c>
      <c r="CE1117" s="450">
        <f t="shared" ca="1" si="1353"/>
        <v>200699.82662151247</v>
      </c>
      <c r="CF1117" s="450">
        <f t="shared" ca="1" si="1353"/>
        <v>107016.58280527144</v>
      </c>
      <c r="CG1117" s="450">
        <f t="shared" ca="1" si="1353"/>
        <v>165564.89886920995</v>
      </c>
      <c r="CH1117" s="450">
        <f t="shared" ca="1" si="1353"/>
        <v>328538.39464533399</v>
      </c>
      <c r="CI1117" s="450">
        <f t="shared" ca="1" si="1353"/>
        <v>209410.09343949921</v>
      </c>
      <c r="CJ1117" s="450">
        <f t="shared" ca="1" si="1353"/>
        <v>113577.58786442541</v>
      </c>
      <c r="CK1117" s="450">
        <f t="shared" ca="1" si="1353"/>
        <v>172449.24687161582</v>
      </c>
      <c r="CL1117" s="450">
        <f t="shared" ca="1" si="1353"/>
        <v>342372.8721207974</v>
      </c>
      <c r="CM1117" s="450">
        <f t="shared" ca="1" si="1353"/>
        <v>218474.8026703553</v>
      </c>
      <c r="CN1117" s="450">
        <f t="shared" ca="1" si="1353"/>
        <v>117079.85311511872</v>
      </c>
      <c r="CO1117" s="450">
        <f t="shared" ca="1" si="1353"/>
        <v>180414.39771195172</v>
      </c>
    </row>
    <row r="1118" spans="1:93" ht="14.65" customHeight="1">
      <c r="A1118" s="10"/>
      <c r="B1118" s="10"/>
      <c r="C1118" s="17" t="s">
        <v>527</v>
      </c>
      <c r="D1118" s="10"/>
      <c r="E1118" s="185">
        <f>Предпосылки!E564</f>
        <v>1.2</v>
      </c>
      <c r="F1118" s="10"/>
      <c r="G1118" s="11" t="s">
        <v>93</v>
      </c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0"/>
      <c r="AH1118" s="10"/>
      <c r="AI1118" s="10"/>
      <c r="AJ1118" s="10"/>
      <c r="AK1118" s="10"/>
      <c r="AL1118" s="10"/>
      <c r="AM1118" s="10"/>
      <c r="AN1118" s="10"/>
      <c r="AO1118" s="10"/>
      <c r="AP1118" s="10"/>
      <c r="AQ1118" s="10"/>
      <c r="AR1118" s="10"/>
      <c r="AS1118" s="10"/>
      <c r="AT1118" s="10"/>
      <c r="AU1118" s="10"/>
      <c r="AV1118" s="10"/>
      <c r="AW1118" s="10"/>
      <c r="AX1118" s="10"/>
      <c r="AY1118" s="10"/>
      <c r="AZ1118" s="10"/>
      <c r="BA1118" s="10"/>
      <c r="BB1118" s="10"/>
      <c r="BC1118" s="10"/>
      <c r="BD1118" s="10"/>
      <c r="BE1118" s="10"/>
      <c r="BF1118" s="10"/>
      <c r="BG1118" s="10"/>
      <c r="BH1118" s="10"/>
      <c r="BI1118" s="10"/>
      <c r="BJ1118" s="10"/>
      <c r="BK1118" s="10"/>
      <c r="BL1118" s="10"/>
      <c r="BM1118" s="10"/>
      <c r="BN1118" s="10"/>
      <c r="BO1118" s="10"/>
      <c r="BP1118" s="10"/>
      <c r="BQ1118" s="10"/>
      <c r="BR1118" s="10"/>
      <c r="BS1118" s="10"/>
      <c r="BT1118" s="10"/>
      <c r="BU1118" s="10"/>
      <c r="BV1118" s="10"/>
      <c r="BW1118" s="10"/>
      <c r="BX1118" s="10"/>
      <c r="BY1118" s="10"/>
      <c r="BZ1118" s="10"/>
      <c r="CA1118" s="10"/>
      <c r="CB1118" s="10"/>
      <c r="CC1118" s="10"/>
      <c r="CD1118" s="10"/>
      <c r="CE1118" s="10"/>
      <c r="CF1118" s="10"/>
      <c r="CG1118" s="10"/>
      <c r="CH1118" s="10"/>
      <c r="CI1118" s="10"/>
      <c r="CJ1118" s="10"/>
      <c r="CK1118" s="10"/>
      <c r="CL1118" s="10"/>
      <c r="CM1118" s="10"/>
      <c r="CN1118" s="10"/>
      <c r="CO1118" s="10"/>
    </row>
    <row r="1119" spans="1:93" ht="14.65" customHeight="1">
      <c r="A1119" s="10"/>
      <c r="B1119" s="10"/>
      <c r="C1119" s="17" t="s">
        <v>528</v>
      </c>
      <c r="D1119" s="10"/>
      <c r="E1119" s="10"/>
      <c r="F1119" s="10"/>
      <c r="G1119" s="11" t="str">
        <f>Monetary_Unit</f>
        <v>тыс. руб.</v>
      </c>
      <c r="H1119" s="10"/>
      <c r="I1119" s="23">
        <f ca="1">SUM(L1119:CO1119)</f>
        <v>10463141.020090567</v>
      </c>
      <c r="J1119" s="10"/>
      <c r="K1119" s="10"/>
      <c r="L1119" s="10">
        <f ca="1">L1117/MAX($E1118,Very_Small_Number)</f>
        <v>0</v>
      </c>
      <c r="M1119" s="10">
        <f t="shared" ref="M1119:BX1119" ca="1" si="1354">M1117/MAX($E1118,Very_Small_Number)</f>
        <v>0</v>
      </c>
      <c r="N1119" s="10">
        <f t="shared" ca="1" si="1354"/>
        <v>0</v>
      </c>
      <c r="O1119" s="10">
        <f t="shared" ca="1" si="1354"/>
        <v>0</v>
      </c>
      <c r="P1119" s="10">
        <f t="shared" ca="1" si="1354"/>
        <v>0</v>
      </c>
      <c r="Q1119" s="10">
        <f t="shared" ca="1" si="1354"/>
        <v>0</v>
      </c>
      <c r="R1119" s="10">
        <f t="shared" ca="1" si="1354"/>
        <v>0</v>
      </c>
      <c r="S1119" s="10">
        <f t="shared" ca="1" si="1354"/>
        <v>0</v>
      </c>
      <c r="T1119" s="10">
        <f t="shared" ca="1" si="1354"/>
        <v>0</v>
      </c>
      <c r="U1119" s="10">
        <f t="shared" ca="1" si="1354"/>
        <v>0</v>
      </c>
      <c r="V1119" s="10">
        <f t="shared" ca="1" si="1354"/>
        <v>0</v>
      </c>
      <c r="W1119" s="10">
        <f t="shared" ca="1" si="1354"/>
        <v>0</v>
      </c>
      <c r="X1119" s="10">
        <f t="shared" ca="1" si="1354"/>
        <v>0</v>
      </c>
      <c r="Y1119" s="10">
        <f t="shared" ca="1" si="1354"/>
        <v>0</v>
      </c>
      <c r="Z1119" s="10">
        <f t="shared" ca="1" si="1354"/>
        <v>0</v>
      </c>
      <c r="AA1119" s="10">
        <f t="shared" ca="1" si="1354"/>
        <v>0</v>
      </c>
      <c r="AB1119" s="10">
        <f t="shared" ca="1" si="1354"/>
        <v>0</v>
      </c>
      <c r="AC1119" s="10">
        <f t="shared" ca="1" si="1354"/>
        <v>465285.70935083739</v>
      </c>
      <c r="AD1119" s="10">
        <f t="shared" ca="1" si="1354"/>
        <v>240991.25493451179</v>
      </c>
      <c r="AE1119" s="10">
        <f t="shared" ca="1" si="1354"/>
        <v>148667.33149855767</v>
      </c>
      <c r="AF1119" s="10">
        <f t="shared" ca="1" si="1354"/>
        <v>83015.339696278766</v>
      </c>
      <c r="AG1119" s="10">
        <f t="shared" ca="1" si="1354"/>
        <v>92640.825774789104</v>
      </c>
      <c r="AH1119" s="10">
        <f t="shared" ca="1" si="1354"/>
        <v>179754.35998253743</v>
      </c>
      <c r="AI1119" s="10">
        <f t="shared" ca="1" si="1354"/>
        <v>172964.22084477326</v>
      </c>
      <c r="AJ1119" s="10">
        <f t="shared" ca="1" si="1354"/>
        <v>96412.744455802487</v>
      </c>
      <c r="AK1119" s="10">
        <f t="shared" ca="1" si="1354"/>
        <v>107100.61542069427</v>
      </c>
      <c r="AL1119" s="10">
        <f t="shared" ca="1" si="1354"/>
        <v>207060.39494080696</v>
      </c>
      <c r="AM1119" s="10">
        <f t="shared" ca="1" si="1354"/>
        <v>198951.75098749559</v>
      </c>
      <c r="AN1119" s="10">
        <f t="shared" ca="1" si="1354"/>
        <v>111595.32942991139</v>
      </c>
      <c r="AO1119" s="10">
        <f t="shared" ca="1" si="1354"/>
        <v>122558.39219956196</v>
      </c>
      <c r="AP1119" s="10">
        <f t="shared" ca="1" si="1354"/>
        <v>233255.64763086048</v>
      </c>
      <c r="AQ1119" s="10">
        <f t="shared" ca="1" si="1354"/>
        <v>220986.97222815055</v>
      </c>
      <c r="AR1119" s="10">
        <f t="shared" ca="1" si="1354"/>
        <v>119930.25010861277</v>
      </c>
      <c r="AS1119" s="10">
        <f t="shared" ca="1" si="1354"/>
        <v>127693.46239269995</v>
      </c>
      <c r="AT1119" s="10">
        <f t="shared" ca="1" si="1354"/>
        <v>239609.34250449506</v>
      </c>
      <c r="AU1119" s="10">
        <f t="shared" ca="1" si="1354"/>
        <v>225592.61189177405</v>
      </c>
      <c r="AV1119" s="10">
        <f t="shared" ca="1" si="1354"/>
        <v>121264.55218683316</v>
      </c>
      <c r="AW1119" s="10">
        <f t="shared" ca="1" si="1354"/>
        <v>151989.6657736162</v>
      </c>
      <c r="AX1119" s="10">
        <f t="shared" ca="1" si="1354"/>
        <v>227522.4158193061</v>
      </c>
      <c r="AY1119" s="10">
        <f t="shared" ca="1" si="1354"/>
        <v>133841.74516942806</v>
      </c>
      <c r="AZ1119" s="10">
        <f t="shared" ca="1" si="1354"/>
        <v>75622.234561792691</v>
      </c>
      <c r="BA1119" s="10">
        <f t="shared" ca="1" si="1354"/>
        <v>116939.42467866519</v>
      </c>
      <c r="BB1119" s="10">
        <f t="shared" ca="1" si="1354"/>
        <v>227867.83931210477</v>
      </c>
      <c r="BC1119" s="10">
        <f t="shared" ca="1" si="1354"/>
        <v>139189.49989153995</v>
      </c>
      <c r="BD1119" s="10">
        <f t="shared" ca="1" si="1354"/>
        <v>79730.919124853724</v>
      </c>
      <c r="BE1119" s="10">
        <f t="shared" ca="1" si="1354"/>
        <v>120489.50097939784</v>
      </c>
      <c r="BF1119" s="10">
        <f t="shared" ca="1" si="1354"/>
        <v>236115.89796116232</v>
      </c>
      <c r="BG1119" s="10">
        <f t="shared" ca="1" si="1354"/>
        <v>143890.4297502416</v>
      </c>
      <c r="BH1119" s="10">
        <f t="shared" ca="1" si="1354"/>
        <v>80911.387823800789</v>
      </c>
      <c r="BI1119" s="10">
        <f t="shared" ca="1" si="1354"/>
        <v>125601.69083232405</v>
      </c>
      <c r="BJ1119" s="10">
        <f t="shared" ca="1" si="1354"/>
        <v>245583.46881162736</v>
      </c>
      <c r="BK1119" s="10">
        <f t="shared" ca="1" si="1354"/>
        <v>149668.97689434458</v>
      </c>
      <c r="BL1119" s="10">
        <f t="shared" ca="1" si="1354"/>
        <v>84175.034266866991</v>
      </c>
      <c r="BM1119" s="10">
        <f t="shared" ca="1" si="1354"/>
        <v>130653.7095341579</v>
      </c>
      <c r="BN1119" s="10">
        <f t="shared" ca="1" si="1354"/>
        <v>255435.54525605228</v>
      </c>
      <c r="BO1119" s="10">
        <f t="shared" ca="1" si="1354"/>
        <v>148147.57180325958</v>
      </c>
      <c r="BP1119" s="10">
        <f t="shared" ca="1" si="1354"/>
        <v>81232.808403527582</v>
      </c>
      <c r="BQ1119" s="10">
        <f t="shared" ca="1" si="1354"/>
        <v>122914.04115065077</v>
      </c>
      <c r="BR1119" s="10">
        <f t="shared" ca="1" si="1354"/>
        <v>231871.57257112511</v>
      </c>
      <c r="BS1119" s="10">
        <f t="shared" ca="1" si="1354"/>
        <v>147025.24362873149</v>
      </c>
      <c r="BT1119" s="10">
        <f t="shared" ca="1" si="1354"/>
        <v>78807.06497711697</v>
      </c>
      <c r="BU1119" s="10">
        <f t="shared" ca="1" si="1354"/>
        <v>120756.48426312864</v>
      </c>
      <c r="BV1119" s="10">
        <f t="shared" ca="1" si="1354"/>
        <v>241785.68021201511</v>
      </c>
      <c r="BW1119" s="10">
        <f t="shared" ca="1" si="1354"/>
        <v>153541.63377739093</v>
      </c>
      <c r="BX1119" s="10">
        <f t="shared" ca="1" si="1354"/>
        <v>81373.579598425204</v>
      </c>
      <c r="BY1119" s="10">
        <f t="shared" ref="BY1119:CO1119" ca="1" si="1355">BY1117/MAX($E1118,Very_Small_Number)</f>
        <v>126475.69654443359</v>
      </c>
      <c r="BZ1119" s="10">
        <f t="shared" ca="1" si="1355"/>
        <v>252033.72278454714</v>
      </c>
      <c r="CA1119" s="10">
        <f t="shared" ca="1" si="1355"/>
        <v>160256.54478575301</v>
      </c>
      <c r="CB1119" s="10">
        <f t="shared" ca="1" si="1355"/>
        <v>85207.456848876856</v>
      </c>
      <c r="CC1119" s="10">
        <f t="shared" ca="1" si="1355"/>
        <v>132117.55072111989</v>
      </c>
      <c r="CD1119" s="10">
        <f t="shared" ca="1" si="1355"/>
        <v>262701.74250662379</v>
      </c>
      <c r="CE1119" s="10">
        <f t="shared" ca="1" si="1355"/>
        <v>167249.85551792706</v>
      </c>
      <c r="CF1119" s="10">
        <f t="shared" ca="1" si="1355"/>
        <v>89180.485671059534</v>
      </c>
      <c r="CG1119" s="10">
        <f t="shared" ca="1" si="1355"/>
        <v>137970.74905767496</v>
      </c>
      <c r="CH1119" s="10">
        <f t="shared" ca="1" si="1355"/>
        <v>273781.99553777836</v>
      </c>
      <c r="CI1119" s="10">
        <f t="shared" ca="1" si="1355"/>
        <v>174508.41119958268</v>
      </c>
      <c r="CJ1119" s="10">
        <f t="shared" ca="1" si="1355"/>
        <v>94647.989887021176</v>
      </c>
      <c r="CK1119" s="10">
        <f t="shared" ca="1" si="1355"/>
        <v>143707.70572634652</v>
      </c>
      <c r="CL1119" s="10">
        <f t="shared" ca="1" si="1355"/>
        <v>285310.72676733119</v>
      </c>
      <c r="CM1119" s="10">
        <f t="shared" ca="1" si="1355"/>
        <v>182062.33555862942</v>
      </c>
      <c r="CN1119" s="10">
        <f t="shared" ca="1" si="1355"/>
        <v>97566.544262598938</v>
      </c>
      <c r="CO1119" s="10">
        <f t="shared" ca="1" si="1355"/>
        <v>150345.33142662645</v>
      </c>
    </row>
    <row r="1120" spans="1:93" ht="14.65" customHeight="1">
      <c r="A1120" s="10"/>
      <c r="B1120" s="10"/>
      <c r="C1120" s="17" t="s">
        <v>529</v>
      </c>
      <c r="D1120" s="10"/>
      <c r="E1120" s="10"/>
      <c r="F1120" s="10"/>
      <c r="G1120" s="11" t="str">
        <f>Monetary_Unit</f>
        <v>тыс. руб.</v>
      </c>
      <c r="H1120" s="10"/>
      <c r="I1120" s="23">
        <f ca="1">SUM(L1120:CO1120)</f>
        <v>-472505.91550729872</v>
      </c>
      <c r="J1120" s="10"/>
      <c r="K1120" s="10"/>
      <c r="L1120" s="10">
        <f>-L1104</f>
        <v>0</v>
      </c>
      <c r="M1120" s="10">
        <f t="shared" ref="M1120:BX1120" ca="1" si="1356">-M1104</f>
        <v>0</v>
      </c>
      <c r="N1120" s="10">
        <f t="shared" ca="1" si="1356"/>
        <v>0</v>
      </c>
      <c r="O1120" s="10">
        <f t="shared" ca="1" si="1356"/>
        <v>0</v>
      </c>
      <c r="P1120" s="10">
        <f t="shared" ca="1" si="1356"/>
        <v>0</v>
      </c>
      <c r="Q1120" s="10">
        <f t="shared" ca="1" si="1356"/>
        <v>0</v>
      </c>
      <c r="R1120" s="10">
        <f t="shared" ca="1" si="1356"/>
        <v>0</v>
      </c>
      <c r="S1120" s="10">
        <f t="shared" ca="1" si="1356"/>
        <v>0</v>
      </c>
      <c r="T1120" s="10">
        <f t="shared" ca="1" si="1356"/>
        <v>-375.82926333388428</v>
      </c>
      <c r="U1120" s="10">
        <f t="shared" ca="1" si="1356"/>
        <v>-2049.679343298747</v>
      </c>
      <c r="V1120" s="10">
        <f t="shared" ca="1" si="1356"/>
        <v>-4692.73305525248</v>
      </c>
      <c r="W1120" s="10">
        <f t="shared" ca="1" si="1356"/>
        <v>-7339.0839635085113</v>
      </c>
      <c r="X1120" s="10">
        <f t="shared" ca="1" si="1356"/>
        <v>-11087.213428915877</v>
      </c>
      <c r="Y1120" s="10">
        <f t="shared" ca="1" si="1356"/>
        <v>-16184.443320720929</v>
      </c>
      <c r="Z1120" s="10">
        <f t="shared" ca="1" si="1356"/>
        <v>-21566.314755658917</v>
      </c>
      <c r="AA1120" s="10">
        <f t="shared" ca="1" si="1356"/>
        <v>-26821.612493877776</v>
      </c>
      <c r="AB1120" s="10">
        <f t="shared" ca="1" si="1356"/>
        <v>-33416.864118378056</v>
      </c>
      <c r="AC1120" s="10">
        <f t="shared" ca="1" si="1356"/>
        <v>-38354.581535515288</v>
      </c>
      <c r="AD1120" s="10">
        <f t="shared" ca="1" si="1356"/>
        <v>-32803.703361364605</v>
      </c>
      <c r="AE1120" s="10">
        <f t="shared" ca="1" si="1356"/>
        <v>-29891.359146755047</v>
      </c>
      <c r="AF1120" s="10">
        <f t="shared" ca="1" si="1356"/>
        <v>-27616.105945096959</v>
      </c>
      <c r="AG1120" s="10">
        <f t="shared" ca="1" si="1356"/>
        <v>-27156.393128187661</v>
      </c>
      <c r="AH1120" s="10">
        <f t="shared" ca="1" si="1356"/>
        <v>-26538.750611260843</v>
      </c>
      <c r="AI1120" s="10">
        <f t="shared" ca="1" si="1356"/>
        <v>-24395.411155234164</v>
      </c>
      <c r="AJ1120" s="10">
        <f t="shared" ca="1" si="1356"/>
        <v>-21831.922145464901</v>
      </c>
      <c r="AK1120" s="10">
        <f t="shared" ca="1" si="1356"/>
        <v>-21042.52524153925</v>
      </c>
      <c r="AL1120" s="10">
        <f t="shared" ca="1" si="1356"/>
        <v>-20069.891622505023</v>
      </c>
      <c r="AM1120" s="10">
        <f t="shared" ca="1" si="1356"/>
        <v>-17454.073787044064</v>
      </c>
      <c r="AN1120" s="10">
        <f t="shared" ca="1" si="1356"/>
        <v>-14712.666046453658</v>
      </c>
      <c r="AO1120" s="10">
        <f t="shared" ca="1" si="1356"/>
        <v>-13375.764703781109</v>
      </c>
      <c r="AP1120" s="10">
        <f t="shared" ca="1" si="1356"/>
        <v>-11999.563981574278</v>
      </c>
      <c r="AQ1120" s="10">
        <f t="shared" ca="1" si="1356"/>
        <v>-8912.8602572211221</v>
      </c>
      <c r="AR1120" s="10">
        <f t="shared" ca="1" si="1356"/>
        <v>-5840.770680695141</v>
      </c>
      <c r="AS1120" s="10">
        <f t="shared" ca="1" si="1356"/>
        <v>-4327.01356872835</v>
      </c>
      <c r="AT1120" s="10">
        <f t="shared" ca="1" si="1356"/>
        <v>-2648.7848459321053</v>
      </c>
      <c r="AU1120" s="10">
        <f t="shared" ca="1" si="1356"/>
        <v>0</v>
      </c>
      <c r="AV1120" s="10">
        <f t="shared" ca="1" si="1356"/>
        <v>0</v>
      </c>
      <c r="AW1120" s="10">
        <f t="shared" ca="1" si="1356"/>
        <v>0</v>
      </c>
      <c r="AX1120" s="10">
        <f t="shared" ca="1" si="1356"/>
        <v>0</v>
      </c>
      <c r="AY1120" s="10">
        <f t="shared" ca="1" si="1356"/>
        <v>0</v>
      </c>
      <c r="AZ1120" s="10">
        <f t="shared" ca="1" si="1356"/>
        <v>0</v>
      </c>
      <c r="BA1120" s="10">
        <f t="shared" ca="1" si="1356"/>
        <v>0</v>
      </c>
      <c r="BB1120" s="10">
        <f t="shared" ca="1" si="1356"/>
        <v>0</v>
      </c>
      <c r="BC1120" s="10">
        <f t="shared" ca="1" si="1356"/>
        <v>0</v>
      </c>
      <c r="BD1120" s="10">
        <f t="shared" ca="1" si="1356"/>
        <v>0</v>
      </c>
      <c r="BE1120" s="10">
        <f t="shared" ca="1" si="1356"/>
        <v>0</v>
      </c>
      <c r="BF1120" s="10">
        <f t="shared" ca="1" si="1356"/>
        <v>0</v>
      </c>
      <c r="BG1120" s="10">
        <f t="shared" ca="1" si="1356"/>
        <v>0</v>
      </c>
      <c r="BH1120" s="10">
        <f t="shared" ca="1" si="1356"/>
        <v>0</v>
      </c>
      <c r="BI1120" s="10">
        <f t="shared" ca="1" si="1356"/>
        <v>0</v>
      </c>
      <c r="BJ1120" s="10">
        <f t="shared" ca="1" si="1356"/>
        <v>0</v>
      </c>
      <c r="BK1120" s="10">
        <f t="shared" ca="1" si="1356"/>
        <v>0</v>
      </c>
      <c r="BL1120" s="10">
        <f t="shared" ca="1" si="1356"/>
        <v>0</v>
      </c>
      <c r="BM1120" s="10">
        <f t="shared" ca="1" si="1356"/>
        <v>0</v>
      </c>
      <c r="BN1120" s="10">
        <f t="shared" ca="1" si="1356"/>
        <v>0</v>
      </c>
      <c r="BO1120" s="10">
        <f t="shared" ca="1" si="1356"/>
        <v>0</v>
      </c>
      <c r="BP1120" s="10">
        <f t="shared" ca="1" si="1356"/>
        <v>0</v>
      </c>
      <c r="BQ1120" s="10">
        <f t="shared" ca="1" si="1356"/>
        <v>0</v>
      </c>
      <c r="BR1120" s="10">
        <f t="shared" ca="1" si="1356"/>
        <v>0</v>
      </c>
      <c r="BS1120" s="10">
        <f t="shared" ca="1" si="1356"/>
        <v>0</v>
      </c>
      <c r="BT1120" s="10">
        <f t="shared" ca="1" si="1356"/>
        <v>0</v>
      </c>
      <c r="BU1120" s="10">
        <f t="shared" ca="1" si="1356"/>
        <v>0</v>
      </c>
      <c r="BV1120" s="10">
        <f t="shared" ca="1" si="1356"/>
        <v>0</v>
      </c>
      <c r="BW1120" s="10">
        <f t="shared" ca="1" si="1356"/>
        <v>0</v>
      </c>
      <c r="BX1120" s="10">
        <f t="shared" ca="1" si="1356"/>
        <v>0</v>
      </c>
      <c r="BY1120" s="10">
        <f t="shared" ref="BY1120:CO1120" ca="1" si="1357">-BY1104</f>
        <v>0</v>
      </c>
      <c r="BZ1120" s="10">
        <f t="shared" ca="1" si="1357"/>
        <v>0</v>
      </c>
      <c r="CA1120" s="10">
        <f t="shared" ca="1" si="1357"/>
        <v>0</v>
      </c>
      <c r="CB1120" s="10">
        <f t="shared" ca="1" si="1357"/>
        <v>0</v>
      </c>
      <c r="CC1120" s="10">
        <f t="shared" ca="1" si="1357"/>
        <v>0</v>
      </c>
      <c r="CD1120" s="10">
        <f t="shared" ca="1" si="1357"/>
        <v>0</v>
      </c>
      <c r="CE1120" s="10">
        <f t="shared" ca="1" si="1357"/>
        <v>0</v>
      </c>
      <c r="CF1120" s="10">
        <f t="shared" ca="1" si="1357"/>
        <v>0</v>
      </c>
      <c r="CG1120" s="10">
        <f t="shared" ca="1" si="1357"/>
        <v>0</v>
      </c>
      <c r="CH1120" s="10">
        <f t="shared" ca="1" si="1357"/>
        <v>0</v>
      </c>
      <c r="CI1120" s="10">
        <f t="shared" ca="1" si="1357"/>
        <v>0</v>
      </c>
      <c r="CJ1120" s="10">
        <f t="shared" ca="1" si="1357"/>
        <v>0</v>
      </c>
      <c r="CK1120" s="10">
        <f t="shared" ca="1" si="1357"/>
        <v>0</v>
      </c>
      <c r="CL1120" s="10">
        <f t="shared" ca="1" si="1357"/>
        <v>0</v>
      </c>
      <c r="CM1120" s="10">
        <f t="shared" ca="1" si="1357"/>
        <v>0</v>
      </c>
      <c r="CN1120" s="10">
        <f t="shared" ca="1" si="1357"/>
        <v>0</v>
      </c>
      <c r="CO1120" s="10">
        <f t="shared" ca="1" si="1357"/>
        <v>0</v>
      </c>
    </row>
    <row r="1121" spans="1:93" ht="14.65" customHeight="1">
      <c r="A1121" s="10"/>
      <c r="B1121" s="10"/>
      <c r="C1121" s="17" t="s">
        <v>530</v>
      </c>
      <c r="D1121" s="10"/>
      <c r="E1121" s="10"/>
      <c r="F1121" s="10"/>
      <c r="G1121" s="11" t="str">
        <f>Monetary_Unit</f>
        <v>тыс. руб.</v>
      </c>
      <c r="H1121" s="10"/>
      <c r="I1121" s="23">
        <f ca="1">SUM(L1121:CO1121)</f>
        <v>2771888.3794600698</v>
      </c>
      <c r="J1121" s="10"/>
      <c r="K1121" s="10"/>
      <c r="L1121" s="10">
        <f ca="1">MAX(0,MIN(SUM(L1119:L1120),L1085))</f>
        <v>0</v>
      </c>
      <c r="M1121" s="10">
        <f t="shared" ref="M1121:BX1121" ca="1" si="1358">MAX(0,MIN(SUM(M1119:M1120),M1085))</f>
        <v>0</v>
      </c>
      <c r="N1121" s="10">
        <f t="shared" ca="1" si="1358"/>
        <v>0</v>
      </c>
      <c r="O1121" s="10">
        <f t="shared" ca="1" si="1358"/>
        <v>0</v>
      </c>
      <c r="P1121" s="10">
        <f t="shared" ca="1" si="1358"/>
        <v>0</v>
      </c>
      <c r="Q1121" s="10">
        <f t="shared" ca="1" si="1358"/>
        <v>0</v>
      </c>
      <c r="R1121" s="10">
        <f t="shared" ca="1" si="1358"/>
        <v>0</v>
      </c>
      <c r="S1121" s="10">
        <f t="shared" ca="1" si="1358"/>
        <v>0</v>
      </c>
      <c r="T1121" s="10">
        <f t="shared" ca="1" si="1358"/>
        <v>0</v>
      </c>
      <c r="U1121" s="10">
        <f t="shared" ca="1" si="1358"/>
        <v>0</v>
      </c>
      <c r="V1121" s="10">
        <f t="shared" ca="1" si="1358"/>
        <v>0</v>
      </c>
      <c r="W1121" s="10">
        <f t="shared" ca="1" si="1358"/>
        <v>0</v>
      </c>
      <c r="X1121" s="10">
        <f t="shared" ca="1" si="1358"/>
        <v>0</v>
      </c>
      <c r="Y1121" s="10">
        <f t="shared" ca="1" si="1358"/>
        <v>0</v>
      </c>
      <c r="Z1121" s="10">
        <f t="shared" ca="1" si="1358"/>
        <v>0</v>
      </c>
      <c r="AA1121" s="10">
        <f t="shared" ca="1" si="1358"/>
        <v>0</v>
      </c>
      <c r="AB1121" s="10">
        <f t="shared" ca="1" si="1358"/>
        <v>0</v>
      </c>
      <c r="AC1121" s="10">
        <f t="shared" ca="1" si="1358"/>
        <v>426931.12781532214</v>
      </c>
      <c r="AD1121" s="10">
        <f t="shared" ca="1" si="1358"/>
        <v>208187.55157314718</v>
      </c>
      <c r="AE1121" s="10">
        <f t="shared" ca="1" si="1358"/>
        <v>118775.97235180263</v>
      </c>
      <c r="AF1121" s="10">
        <f t="shared" ca="1" si="1358"/>
        <v>55399.233751181804</v>
      </c>
      <c r="AG1121" s="10">
        <f t="shared" ca="1" si="1358"/>
        <v>65484.432646601446</v>
      </c>
      <c r="AH1121" s="10">
        <f t="shared" ca="1" si="1358"/>
        <v>153215.60937127657</v>
      </c>
      <c r="AI1121" s="10">
        <f t="shared" ca="1" si="1358"/>
        <v>148568.80968953908</v>
      </c>
      <c r="AJ1121" s="10">
        <f t="shared" ca="1" si="1358"/>
        <v>74580.822310337593</v>
      </c>
      <c r="AK1121" s="10">
        <f t="shared" ca="1" si="1358"/>
        <v>86058.090179155028</v>
      </c>
      <c r="AL1121" s="10">
        <f t="shared" ca="1" si="1358"/>
        <v>186990.50331830193</v>
      </c>
      <c r="AM1121" s="10">
        <f t="shared" ca="1" si="1358"/>
        <v>181497.67720045152</v>
      </c>
      <c r="AN1121" s="10">
        <f t="shared" ca="1" si="1358"/>
        <v>96882.663383457737</v>
      </c>
      <c r="AO1121" s="10">
        <f t="shared" ca="1" si="1358"/>
        <v>109182.62749578085</v>
      </c>
      <c r="AP1121" s="10">
        <f t="shared" ca="1" si="1358"/>
        <v>221256.08364928619</v>
      </c>
      <c r="AQ1121" s="10">
        <f t="shared" ca="1" si="1358"/>
        <v>212074.11197092943</v>
      </c>
      <c r="AR1121" s="10">
        <f t="shared" ca="1" si="1358"/>
        <v>114089.47942791763</v>
      </c>
      <c r="AS1121" s="10">
        <f t="shared" ca="1" si="1358"/>
        <v>123366.4488239716</v>
      </c>
      <c r="AT1121" s="10">
        <f t="shared" ca="1" si="1358"/>
        <v>189347.13450160954</v>
      </c>
      <c r="AU1121" s="10">
        <f t="shared" ca="1" si="1358"/>
        <v>0</v>
      </c>
      <c r="AV1121" s="10">
        <f t="shared" ca="1" si="1358"/>
        <v>0</v>
      </c>
      <c r="AW1121" s="10">
        <f t="shared" ca="1" si="1358"/>
        <v>0</v>
      </c>
      <c r="AX1121" s="10">
        <f t="shared" ca="1" si="1358"/>
        <v>0</v>
      </c>
      <c r="AY1121" s="10">
        <f t="shared" ca="1" si="1358"/>
        <v>0</v>
      </c>
      <c r="AZ1121" s="10">
        <f t="shared" ca="1" si="1358"/>
        <v>0</v>
      </c>
      <c r="BA1121" s="10">
        <f t="shared" ca="1" si="1358"/>
        <v>0</v>
      </c>
      <c r="BB1121" s="10">
        <f t="shared" ca="1" si="1358"/>
        <v>0</v>
      </c>
      <c r="BC1121" s="10">
        <f t="shared" ca="1" si="1358"/>
        <v>0</v>
      </c>
      <c r="BD1121" s="10">
        <f t="shared" ca="1" si="1358"/>
        <v>0</v>
      </c>
      <c r="BE1121" s="10">
        <f t="shared" ca="1" si="1358"/>
        <v>0</v>
      </c>
      <c r="BF1121" s="10">
        <f t="shared" ca="1" si="1358"/>
        <v>0</v>
      </c>
      <c r="BG1121" s="10">
        <f t="shared" ca="1" si="1358"/>
        <v>0</v>
      </c>
      <c r="BH1121" s="10">
        <f t="shared" ca="1" si="1358"/>
        <v>0</v>
      </c>
      <c r="BI1121" s="10">
        <f t="shared" ca="1" si="1358"/>
        <v>0</v>
      </c>
      <c r="BJ1121" s="10">
        <f t="shared" ca="1" si="1358"/>
        <v>0</v>
      </c>
      <c r="BK1121" s="10">
        <f t="shared" ca="1" si="1358"/>
        <v>0</v>
      </c>
      <c r="BL1121" s="10">
        <f t="shared" ca="1" si="1358"/>
        <v>0</v>
      </c>
      <c r="BM1121" s="10">
        <f t="shared" ca="1" si="1358"/>
        <v>0</v>
      </c>
      <c r="BN1121" s="10">
        <f t="shared" ca="1" si="1358"/>
        <v>0</v>
      </c>
      <c r="BO1121" s="10">
        <f t="shared" ca="1" si="1358"/>
        <v>0</v>
      </c>
      <c r="BP1121" s="10">
        <f t="shared" ca="1" si="1358"/>
        <v>0</v>
      </c>
      <c r="BQ1121" s="10">
        <f t="shared" ca="1" si="1358"/>
        <v>0</v>
      </c>
      <c r="BR1121" s="10">
        <f t="shared" ca="1" si="1358"/>
        <v>0</v>
      </c>
      <c r="BS1121" s="10">
        <f t="shared" ca="1" si="1358"/>
        <v>0</v>
      </c>
      <c r="BT1121" s="10">
        <f t="shared" ca="1" si="1358"/>
        <v>0</v>
      </c>
      <c r="BU1121" s="10">
        <f t="shared" ca="1" si="1358"/>
        <v>0</v>
      </c>
      <c r="BV1121" s="10">
        <f t="shared" ca="1" si="1358"/>
        <v>0</v>
      </c>
      <c r="BW1121" s="10">
        <f t="shared" ca="1" si="1358"/>
        <v>0</v>
      </c>
      <c r="BX1121" s="10">
        <f t="shared" ca="1" si="1358"/>
        <v>0</v>
      </c>
      <c r="BY1121" s="10">
        <f t="shared" ref="BY1121:CO1121" ca="1" si="1359">MAX(0,MIN(SUM(BY1119:BY1120),BY1085))</f>
        <v>0</v>
      </c>
      <c r="BZ1121" s="10">
        <f t="shared" ca="1" si="1359"/>
        <v>0</v>
      </c>
      <c r="CA1121" s="10">
        <f t="shared" ca="1" si="1359"/>
        <v>0</v>
      </c>
      <c r="CB1121" s="10">
        <f t="shared" ca="1" si="1359"/>
        <v>0</v>
      </c>
      <c r="CC1121" s="10">
        <f t="shared" ca="1" si="1359"/>
        <v>0</v>
      </c>
      <c r="CD1121" s="10">
        <f t="shared" ca="1" si="1359"/>
        <v>0</v>
      </c>
      <c r="CE1121" s="10">
        <f t="shared" ca="1" si="1359"/>
        <v>0</v>
      </c>
      <c r="CF1121" s="10">
        <f t="shared" ca="1" si="1359"/>
        <v>0</v>
      </c>
      <c r="CG1121" s="10">
        <f t="shared" ca="1" si="1359"/>
        <v>0</v>
      </c>
      <c r="CH1121" s="10">
        <f t="shared" ca="1" si="1359"/>
        <v>0</v>
      </c>
      <c r="CI1121" s="10">
        <f t="shared" ca="1" si="1359"/>
        <v>0</v>
      </c>
      <c r="CJ1121" s="10">
        <f t="shared" ca="1" si="1359"/>
        <v>0</v>
      </c>
      <c r="CK1121" s="10">
        <f t="shared" ca="1" si="1359"/>
        <v>0</v>
      </c>
      <c r="CL1121" s="10">
        <f t="shared" ca="1" si="1359"/>
        <v>0</v>
      </c>
      <c r="CM1121" s="10">
        <f t="shared" ca="1" si="1359"/>
        <v>0</v>
      </c>
      <c r="CN1121" s="10">
        <f t="shared" ca="1" si="1359"/>
        <v>0</v>
      </c>
      <c r="CO1121" s="10">
        <f t="shared" ca="1" si="1359"/>
        <v>0</v>
      </c>
    </row>
    <row r="1122" spans="1:93" ht="14.65" customHeight="1">
      <c r="A1122" s="10"/>
      <c r="B1122" s="10"/>
      <c r="C1122" s="17"/>
      <c r="D1122" s="10"/>
      <c r="E1122" s="10"/>
      <c r="F1122" s="10"/>
      <c r="G1122" s="11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0"/>
      <c r="AH1122" s="10"/>
      <c r="AI1122" s="10"/>
      <c r="AJ1122" s="10"/>
      <c r="AK1122" s="10"/>
      <c r="AL1122" s="10"/>
      <c r="AM1122" s="10"/>
      <c r="AN1122" s="10"/>
      <c r="AO1122" s="10"/>
      <c r="AP1122" s="10"/>
      <c r="AQ1122" s="10"/>
      <c r="AR1122" s="10"/>
      <c r="AS1122" s="10"/>
      <c r="AT1122" s="10"/>
      <c r="AU1122" s="10"/>
      <c r="AV1122" s="10"/>
      <c r="AW1122" s="10"/>
      <c r="AX1122" s="10"/>
      <c r="AY1122" s="10"/>
      <c r="AZ1122" s="10"/>
      <c r="BA1122" s="10"/>
      <c r="BB1122" s="10"/>
      <c r="BC1122" s="10"/>
      <c r="BD1122" s="10"/>
      <c r="BE1122" s="10"/>
      <c r="BF1122" s="10"/>
      <c r="BG1122" s="10"/>
      <c r="BH1122" s="10"/>
      <c r="BI1122" s="10"/>
      <c r="BJ1122" s="10"/>
      <c r="BK1122" s="10"/>
      <c r="BL1122" s="10"/>
      <c r="BM1122" s="10"/>
      <c r="BN1122" s="10"/>
      <c r="BO1122" s="10"/>
      <c r="BP1122" s="10"/>
      <c r="BQ1122" s="10"/>
      <c r="BR1122" s="10"/>
      <c r="BS1122" s="10"/>
      <c r="BT1122" s="10"/>
      <c r="BU1122" s="10"/>
      <c r="BV1122" s="10"/>
      <c r="BW1122" s="10"/>
      <c r="BX1122" s="10"/>
      <c r="BY1122" s="10"/>
      <c r="BZ1122" s="10"/>
      <c r="CA1122" s="10"/>
      <c r="CB1122" s="10"/>
      <c r="CC1122" s="10"/>
      <c r="CD1122" s="10"/>
      <c r="CE1122" s="10"/>
      <c r="CF1122" s="10"/>
      <c r="CG1122" s="10"/>
      <c r="CH1122" s="10"/>
      <c r="CI1122" s="10"/>
      <c r="CJ1122" s="10"/>
      <c r="CK1122" s="10"/>
      <c r="CL1122" s="10"/>
      <c r="CM1122" s="10"/>
      <c r="CN1122" s="10"/>
      <c r="CO1122" s="10"/>
    </row>
    <row r="1123" spans="1:93">
      <c r="A1123" s="10"/>
      <c r="B1123" s="10"/>
      <c r="C1123" s="67" t="s">
        <v>320</v>
      </c>
      <c r="D1123" s="10"/>
      <c r="E1123" s="10"/>
      <c r="F1123" s="10"/>
      <c r="G1123" s="11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0"/>
      <c r="AH1123" s="10"/>
      <c r="AI1123" s="10"/>
      <c r="AJ1123" s="10"/>
      <c r="AK1123" s="10"/>
      <c r="AL1123" s="10"/>
      <c r="AM1123" s="10"/>
      <c r="AN1123" s="10"/>
      <c r="AO1123" s="10"/>
      <c r="AP1123" s="10"/>
      <c r="AQ1123" s="10"/>
      <c r="AR1123" s="10"/>
      <c r="AS1123" s="10"/>
      <c r="AT1123" s="10"/>
      <c r="AU1123" s="10"/>
      <c r="AV1123" s="10"/>
      <c r="AW1123" s="10"/>
      <c r="AX1123" s="10"/>
      <c r="AY1123" s="10"/>
      <c r="AZ1123" s="10"/>
      <c r="BA1123" s="10"/>
      <c r="BB1123" s="10"/>
      <c r="BC1123" s="10"/>
      <c r="BD1123" s="10"/>
      <c r="BE1123" s="10"/>
      <c r="BF1123" s="10"/>
      <c r="BG1123" s="10"/>
      <c r="BH1123" s="10"/>
      <c r="BI1123" s="10"/>
      <c r="BJ1123" s="10"/>
      <c r="BK1123" s="10"/>
      <c r="BL1123" s="10"/>
      <c r="BM1123" s="10"/>
      <c r="BN1123" s="10"/>
      <c r="BO1123" s="10"/>
      <c r="BP1123" s="10"/>
      <c r="BQ1123" s="10"/>
      <c r="BR1123" s="10"/>
      <c r="BS1123" s="10"/>
      <c r="BT1123" s="10"/>
      <c r="BU1123" s="10"/>
      <c r="BV1123" s="10"/>
      <c r="BW1123" s="10"/>
      <c r="BX1123" s="10"/>
      <c r="BY1123" s="10"/>
      <c r="BZ1123" s="10"/>
      <c r="CA1123" s="10"/>
      <c r="CB1123" s="10"/>
      <c r="CC1123" s="10"/>
      <c r="CD1123" s="10"/>
      <c r="CE1123" s="10"/>
      <c r="CF1123" s="10"/>
      <c r="CG1123" s="10"/>
      <c r="CH1123" s="10"/>
      <c r="CI1123" s="10"/>
      <c r="CJ1123" s="10"/>
      <c r="CK1123" s="10"/>
      <c r="CL1123" s="10"/>
      <c r="CM1123" s="10"/>
      <c r="CN1123" s="10"/>
      <c r="CO1123" s="10"/>
    </row>
    <row r="1124" spans="1:93">
      <c r="A1124" s="10"/>
      <c r="B1124" s="10"/>
      <c r="C1124" s="17" t="s">
        <v>411</v>
      </c>
      <c r="D1124" s="450"/>
      <c r="E1124" s="65">
        <f>I1066</f>
        <v>2771888.3794600694</v>
      </c>
      <c r="F1124" s="450"/>
      <c r="G1124" s="11" t="str">
        <f>Monetary_Unit</f>
        <v>тыс. руб.</v>
      </c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0"/>
      <c r="AH1124" s="10"/>
      <c r="AI1124" s="10"/>
      <c r="AJ1124" s="10"/>
      <c r="AK1124" s="10"/>
      <c r="AL1124" s="10"/>
      <c r="AM1124" s="10"/>
      <c r="AN1124" s="10"/>
      <c r="AO1124" s="10"/>
      <c r="AP1124" s="10"/>
      <c r="AQ1124" s="10"/>
      <c r="AR1124" s="10"/>
      <c r="AS1124" s="10"/>
      <c r="AT1124" s="10"/>
      <c r="AU1124" s="10"/>
      <c r="AV1124" s="10"/>
      <c r="AW1124" s="10"/>
      <c r="AX1124" s="10"/>
      <c r="AY1124" s="10"/>
      <c r="AZ1124" s="10"/>
      <c r="BA1124" s="10"/>
      <c r="BB1124" s="10"/>
      <c r="BC1124" s="10"/>
      <c r="BD1124" s="10"/>
      <c r="BE1124" s="10"/>
      <c r="BF1124" s="10"/>
      <c r="BG1124" s="10"/>
      <c r="BH1124" s="10"/>
      <c r="BI1124" s="10"/>
      <c r="BJ1124" s="10"/>
      <c r="BK1124" s="10"/>
      <c r="BL1124" s="10"/>
      <c r="BM1124" s="10"/>
      <c r="BN1124" s="10"/>
      <c r="BO1124" s="10"/>
      <c r="BP1124" s="10"/>
      <c r="BQ1124" s="10"/>
      <c r="BR1124" s="10"/>
      <c r="BS1124" s="10"/>
      <c r="BT1124" s="10"/>
      <c r="BU1124" s="10"/>
      <c r="BV1124" s="10"/>
      <c r="BW1124" s="10"/>
      <c r="BX1124" s="10"/>
      <c r="BY1124" s="10"/>
      <c r="BZ1124" s="10"/>
      <c r="CA1124" s="10"/>
      <c r="CB1124" s="10"/>
      <c r="CC1124" s="10"/>
      <c r="CD1124" s="10"/>
      <c r="CE1124" s="10"/>
      <c r="CF1124" s="10"/>
      <c r="CG1124" s="10"/>
      <c r="CH1124" s="10"/>
      <c r="CI1124" s="10"/>
      <c r="CJ1124" s="10"/>
      <c r="CK1124" s="10"/>
      <c r="CL1124" s="10"/>
      <c r="CM1124" s="10"/>
      <c r="CN1124" s="10"/>
      <c r="CO1124" s="10"/>
    </row>
    <row r="1125" spans="1:93">
      <c r="A1125" s="10"/>
      <c r="B1125" s="10"/>
      <c r="C1125" s="17" t="s">
        <v>412</v>
      </c>
      <c r="D1125" s="10"/>
      <c r="E1125" s="10"/>
      <c r="F1125" s="10"/>
      <c r="G1125" s="11" t="str">
        <f>Monetary_Unit</f>
        <v>тыс. руб.</v>
      </c>
      <c r="H1125" s="10"/>
      <c r="I1125" s="10"/>
      <c r="J1125" s="10"/>
      <c r="K1125" s="10"/>
      <c r="L1125" s="52">
        <f>MAX(($E$1124-SUM($K1086:L1086)),0)*L1079</f>
        <v>2771888.3794600694</v>
      </c>
      <c r="M1125" s="52">
        <f ca="1">MAX(($E$1124-SUM($K1086:M1086)),0)*M1079</f>
        <v>2771888.3794600694</v>
      </c>
      <c r="N1125" s="52">
        <f ca="1">MAX(($E$1124-SUM($K1086:N1086)),0)*N1079</f>
        <v>2771888.3794600694</v>
      </c>
      <c r="O1125" s="52">
        <f ca="1">MAX(($E$1124-SUM($K1086:O1086)),0)*O1079</f>
        <v>2771888.3794600694</v>
      </c>
      <c r="P1125" s="52">
        <f ca="1">MAX(($E$1124-SUM($K1086:P1086)),0)*P1079</f>
        <v>2771888.3794600694</v>
      </c>
      <c r="Q1125" s="52">
        <f ca="1">MAX(($E$1124-SUM($K1086:Q1086)),0)*Q1079</f>
        <v>2771888.3794600694</v>
      </c>
      <c r="R1125" s="52">
        <f ca="1">MAX(($E$1124-SUM($K1086:R1086)),0)*R1079</f>
        <v>2771888.3794600694</v>
      </c>
      <c r="S1125" s="52">
        <f ca="1">MAX(($E$1124-SUM($K1086:S1086)),0)*S1079</f>
        <v>2771888.3794600694</v>
      </c>
      <c r="T1125" s="52">
        <f ca="1">MAX(($E$1124-SUM($K1086:T1086)),0)*T1079</f>
        <v>2716962.381014877</v>
      </c>
      <c r="U1125" s="52">
        <f ca="1">MAX(($E$1124-SUM($K1086:U1086)),0)*U1079</f>
        <v>2530553.4293639124</v>
      </c>
      <c r="V1125" s="52">
        <f ca="1">MAX(($E$1124-SUM($K1086:V1086)),0)*V1079</f>
        <v>2342307.7145279637</v>
      </c>
      <c r="W1125" s="52">
        <f ca="1">MAX(($E$1124-SUM($K1086:W1086)),0)*W1079</f>
        <v>2152207.138132635</v>
      </c>
      <c r="X1125" s="52">
        <f ca="1">MAX(($E$1124-SUM($K1086:X1086)),0)*X1079</f>
        <v>1784631.6483161801</v>
      </c>
      <c r="Y1125" s="52">
        <f ca="1">MAX(($E$1124-SUM($K1086:Y1086)),0)*Y1079</f>
        <v>1413434.2877611273</v>
      </c>
      <c r="Z1125" s="52">
        <f ca="1">MAX(($E$1124-SUM($K1086:Z1086)),0)*Z1079</f>
        <v>1038579.3687026214</v>
      </c>
      <c r="AA1125" s="52">
        <f ca="1">MAX(($E$1124-SUM($K1086:AA1086)),0)*AA1079</f>
        <v>660030.85172975156</v>
      </c>
      <c r="AB1125" s="52">
        <f ca="1">MAX(($E$1124-SUM($K1086:AB1086)),0)*AB1079</f>
        <v>0</v>
      </c>
      <c r="AC1125" s="52">
        <f ca="1">MAX(($E$1124-SUM($K1086:AC1086)),0)*AC1079</f>
        <v>0</v>
      </c>
      <c r="AD1125" s="52">
        <f ca="1">MAX(($E$1124-SUM($K1086:AD1086)),0)*AD1079</f>
        <v>0</v>
      </c>
      <c r="AE1125" s="52">
        <f ca="1">MAX(($E$1124-SUM($K1086:AE1086)),0)*AE1079</f>
        <v>0</v>
      </c>
      <c r="AF1125" s="52">
        <f ca="1">MAX(($E$1124-SUM($K1086:AF1086)),0)*AF1079</f>
        <v>0</v>
      </c>
      <c r="AG1125" s="52">
        <f ca="1">MAX(($E$1124-SUM($K1086:AG1086)),0)*AG1079</f>
        <v>0</v>
      </c>
      <c r="AH1125" s="52">
        <f ca="1">MAX(($E$1124-SUM($K1086:AH1086)),0)*AH1079</f>
        <v>0</v>
      </c>
      <c r="AI1125" s="52">
        <f ca="1">MAX(($E$1124-SUM($K1086:AI1086)),0)*AI1079</f>
        <v>0</v>
      </c>
      <c r="AJ1125" s="52">
        <f ca="1">MAX(($E$1124-SUM($K1086:AJ1086)),0)*AJ1079</f>
        <v>0</v>
      </c>
      <c r="AK1125" s="52">
        <f ca="1">MAX(($E$1124-SUM($K1086:AK1086)),0)*AK1079</f>
        <v>0</v>
      </c>
      <c r="AL1125" s="52">
        <f ca="1">MAX(($E$1124-SUM($K1086:AL1086)),0)*AL1079</f>
        <v>0</v>
      </c>
      <c r="AM1125" s="52">
        <f ca="1">MAX(($E$1124-SUM($K1086:AM1086)),0)*AM1079</f>
        <v>0</v>
      </c>
      <c r="AN1125" s="52">
        <f ca="1">MAX(($E$1124-SUM($K1086:AN1086)),0)*AN1079</f>
        <v>0</v>
      </c>
      <c r="AO1125" s="52">
        <f ca="1">MAX(($E$1124-SUM($K1086:AO1086)),0)*AO1079</f>
        <v>0</v>
      </c>
      <c r="AP1125" s="52">
        <f ca="1">MAX(($E$1124-SUM($K1086:AP1086)),0)*AP1079</f>
        <v>0</v>
      </c>
      <c r="AQ1125" s="52">
        <f ca="1">MAX(($E$1124-SUM($K1086:AQ1086)),0)*AQ1079</f>
        <v>0</v>
      </c>
      <c r="AR1125" s="52">
        <f ca="1">MAX(($E$1124-SUM($K1086:AR1086)),0)*AR1079</f>
        <v>0</v>
      </c>
      <c r="AS1125" s="52">
        <f ca="1">MAX(($E$1124-SUM($K1086:AS1086)),0)*AS1079</f>
        <v>0</v>
      </c>
      <c r="AT1125" s="52">
        <f ca="1">MAX(($E$1124-SUM($K1086:AT1086)),0)*AT1079</f>
        <v>0</v>
      </c>
      <c r="AU1125" s="52">
        <f ca="1">MAX(($E$1124-SUM($K1086:AU1086)),0)*AU1079</f>
        <v>0</v>
      </c>
      <c r="AV1125" s="52">
        <f ca="1">MAX(($E$1124-SUM($K1086:AV1086)),0)*AV1079</f>
        <v>0</v>
      </c>
      <c r="AW1125" s="52">
        <f ca="1">MAX(($E$1124-SUM($K1086:AW1086)),0)*AW1079</f>
        <v>0</v>
      </c>
      <c r="AX1125" s="52">
        <f ca="1">MAX(($E$1124-SUM($K1086:AX1086)),0)*AX1079</f>
        <v>0</v>
      </c>
      <c r="AY1125" s="52">
        <f ca="1">MAX(($E$1124-SUM($K1086:AY1086)),0)*AY1079</f>
        <v>0</v>
      </c>
      <c r="AZ1125" s="52">
        <f ca="1">MAX(($E$1124-SUM($K1086:AZ1086)),0)*AZ1079</f>
        <v>0</v>
      </c>
      <c r="BA1125" s="52">
        <f ca="1">MAX(($E$1124-SUM($K1086:BA1086)),0)*BA1079</f>
        <v>0</v>
      </c>
      <c r="BB1125" s="52">
        <f ca="1">MAX(($E$1124-SUM($K1086:BB1086)),0)*BB1079</f>
        <v>0</v>
      </c>
      <c r="BC1125" s="52">
        <f ca="1">MAX(($E$1124-SUM($K1086:BC1086)),0)*BC1079</f>
        <v>0</v>
      </c>
      <c r="BD1125" s="52">
        <f ca="1">MAX(($E$1124-SUM($K1086:BD1086)),0)*BD1079</f>
        <v>0</v>
      </c>
      <c r="BE1125" s="52">
        <f ca="1">MAX(($E$1124-SUM($K1086:BE1086)),0)*BE1079</f>
        <v>0</v>
      </c>
      <c r="BF1125" s="52">
        <f ca="1">MAX(($E$1124-SUM($K1086:BF1086)),0)*BF1079</f>
        <v>0</v>
      </c>
      <c r="BG1125" s="52">
        <f ca="1">MAX(($E$1124-SUM($K1086:BG1086)),0)*BG1079</f>
        <v>0</v>
      </c>
      <c r="BH1125" s="52">
        <f ca="1">MAX(($E$1124-SUM($K1086:BH1086)),0)*BH1079</f>
        <v>0</v>
      </c>
      <c r="BI1125" s="52">
        <f ca="1">MAX(($E$1124-SUM($K1086:BI1086)),0)*BI1079</f>
        <v>0</v>
      </c>
      <c r="BJ1125" s="52">
        <f ca="1">MAX(($E$1124-SUM($K1086:BJ1086)),0)*BJ1079</f>
        <v>0</v>
      </c>
      <c r="BK1125" s="52">
        <f ca="1">MAX(($E$1124-SUM($K1086:BK1086)),0)*BK1079</f>
        <v>0</v>
      </c>
      <c r="BL1125" s="52">
        <f ca="1">MAX(($E$1124-SUM($K1086:BL1086)),0)*BL1079</f>
        <v>0</v>
      </c>
      <c r="BM1125" s="52">
        <f ca="1">MAX(($E$1124-SUM($K1086:BM1086)),0)*BM1079</f>
        <v>0</v>
      </c>
      <c r="BN1125" s="52">
        <f ca="1">MAX(($E$1124-SUM($K1086:BN1086)),0)*BN1079</f>
        <v>0</v>
      </c>
      <c r="BO1125" s="52">
        <f ca="1">MAX(($E$1124-SUM($K1086:BO1086)),0)*BO1079</f>
        <v>0</v>
      </c>
      <c r="BP1125" s="52">
        <f ca="1">MAX(($E$1124-SUM($K1086:BP1086)),0)*BP1079</f>
        <v>0</v>
      </c>
      <c r="BQ1125" s="52">
        <f ca="1">MAX(($E$1124-SUM($K1086:BQ1086)),0)*BQ1079</f>
        <v>0</v>
      </c>
      <c r="BR1125" s="52">
        <f ca="1">MAX(($E$1124-SUM($K1086:BR1086)),0)*BR1079</f>
        <v>0</v>
      </c>
      <c r="BS1125" s="52">
        <f ca="1">MAX(($E$1124-SUM($K1086:BS1086)),0)*BS1079</f>
        <v>0</v>
      </c>
      <c r="BT1125" s="52">
        <f ca="1">MAX(($E$1124-SUM($K1086:BT1086)),0)*BT1079</f>
        <v>0</v>
      </c>
      <c r="BU1125" s="52">
        <f ca="1">MAX(($E$1124-SUM($K1086:BU1086)),0)*BU1079</f>
        <v>0</v>
      </c>
      <c r="BV1125" s="52">
        <f ca="1">MAX(($E$1124-SUM($K1086:BV1086)),0)*BV1079</f>
        <v>0</v>
      </c>
      <c r="BW1125" s="52">
        <f ca="1">MAX(($E$1124-SUM($K1086:BW1086)),0)*BW1079</f>
        <v>0</v>
      </c>
      <c r="BX1125" s="52">
        <f ca="1">MAX(($E$1124-SUM($K1086:BX1086)),0)*BX1079</f>
        <v>0</v>
      </c>
      <c r="BY1125" s="52">
        <f ca="1">MAX(($E$1124-SUM($K1086:BY1086)),0)*BY1079</f>
        <v>0</v>
      </c>
      <c r="BZ1125" s="52">
        <f ca="1">MAX(($E$1124-SUM($K1086:BZ1086)),0)*BZ1079</f>
        <v>0</v>
      </c>
      <c r="CA1125" s="52">
        <f ca="1">MAX(($E$1124-SUM($K1086:CA1086)),0)*CA1079</f>
        <v>0</v>
      </c>
      <c r="CB1125" s="52">
        <f ca="1">MAX(($E$1124-SUM($K1086:CB1086)),0)*CB1079</f>
        <v>0</v>
      </c>
      <c r="CC1125" s="52">
        <f ca="1">MAX(($E$1124-SUM($K1086:CC1086)),0)*CC1079</f>
        <v>0</v>
      </c>
      <c r="CD1125" s="52">
        <f ca="1">MAX(($E$1124-SUM($K1086:CD1086)),0)*CD1079</f>
        <v>0</v>
      </c>
      <c r="CE1125" s="52">
        <f ca="1">MAX(($E$1124-SUM($K1086:CE1086)),0)*CE1079</f>
        <v>0</v>
      </c>
      <c r="CF1125" s="52">
        <f ca="1">MAX(($E$1124-SUM($K1086:CF1086)),0)*CF1079</f>
        <v>0</v>
      </c>
      <c r="CG1125" s="52">
        <f ca="1">MAX(($E$1124-SUM($K1086:CG1086)),0)*CG1079</f>
        <v>0</v>
      </c>
      <c r="CH1125" s="52">
        <f ca="1">MAX(($E$1124-SUM($K1086:CH1086)),0)*CH1079</f>
        <v>0</v>
      </c>
      <c r="CI1125" s="52">
        <f ca="1">MAX(($E$1124-SUM($K1086:CI1086)),0)*CI1079</f>
        <v>0</v>
      </c>
      <c r="CJ1125" s="52">
        <f ca="1">MAX(($E$1124-SUM($K1086:CJ1086)),0)*CJ1079</f>
        <v>0</v>
      </c>
      <c r="CK1125" s="52">
        <f ca="1">MAX(($E$1124-SUM($K1086:CK1086)),0)*CK1079</f>
        <v>0</v>
      </c>
      <c r="CL1125" s="52">
        <f ca="1">MAX(($E$1124-SUM($K1086:CL1086)),0)*CL1079</f>
        <v>0</v>
      </c>
      <c r="CM1125" s="52">
        <f ca="1">MAX(($E$1124-SUM($K1086:CM1086)),0)*CM1079</f>
        <v>0</v>
      </c>
      <c r="CN1125" s="52">
        <f ca="1">MAX(($E$1124-SUM($K1086:CN1086)),0)*CN1079</f>
        <v>0</v>
      </c>
      <c r="CO1125" s="52">
        <f ca="1">MAX(($E$1124-SUM($K1086:CO1086)),0)*CO1079</f>
        <v>0</v>
      </c>
    </row>
    <row r="1126" spans="1:93">
      <c r="A1126" s="10"/>
      <c r="B1126" s="10"/>
      <c r="C1126" s="17" t="s">
        <v>482</v>
      </c>
      <c r="D1126" s="10"/>
      <c r="E1126" s="178">
        <f>Предпосылки!E562</f>
        <v>2E-3</v>
      </c>
      <c r="F1126" s="10"/>
      <c r="G1126" s="11" t="s">
        <v>28</v>
      </c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0"/>
      <c r="AH1126" s="10"/>
      <c r="AI1126" s="10"/>
      <c r="AJ1126" s="10"/>
      <c r="AK1126" s="10"/>
      <c r="AL1126" s="10"/>
      <c r="AM1126" s="10"/>
      <c r="AN1126" s="10"/>
      <c r="AO1126" s="10"/>
      <c r="AP1126" s="10"/>
      <c r="AQ1126" s="10"/>
      <c r="AR1126" s="10"/>
      <c r="AS1126" s="10"/>
      <c r="AT1126" s="10"/>
      <c r="AU1126" s="10"/>
      <c r="AV1126" s="10"/>
      <c r="AW1126" s="10"/>
      <c r="AX1126" s="10"/>
      <c r="AY1126" s="10"/>
      <c r="AZ1126" s="10"/>
      <c r="BA1126" s="10"/>
      <c r="BB1126" s="10"/>
      <c r="BC1126" s="10"/>
      <c r="BD1126" s="10"/>
      <c r="BE1126" s="10"/>
      <c r="BF1126" s="10"/>
      <c r="BG1126" s="10"/>
      <c r="BH1126" s="10"/>
      <c r="BI1126" s="10"/>
      <c r="BJ1126" s="10"/>
      <c r="BK1126" s="10"/>
      <c r="BL1126" s="10"/>
      <c r="BM1126" s="10"/>
      <c r="BN1126" s="10"/>
      <c r="BO1126" s="10"/>
      <c r="BP1126" s="10"/>
      <c r="BQ1126" s="10"/>
      <c r="BR1126" s="10"/>
      <c r="BS1126" s="10"/>
      <c r="BT1126" s="10"/>
      <c r="BU1126" s="10"/>
      <c r="BV1126" s="10"/>
      <c r="BW1126" s="10"/>
      <c r="BX1126" s="10"/>
      <c r="BY1126" s="10"/>
      <c r="BZ1126" s="10"/>
      <c r="CA1126" s="10"/>
      <c r="CB1126" s="10"/>
      <c r="CC1126" s="10"/>
      <c r="CD1126" s="10"/>
      <c r="CE1126" s="10"/>
      <c r="CF1126" s="10"/>
      <c r="CG1126" s="10"/>
      <c r="CH1126" s="10"/>
      <c r="CI1126" s="10"/>
      <c r="CJ1126" s="10"/>
      <c r="CK1126" s="10"/>
      <c r="CL1126" s="10"/>
      <c r="CM1126" s="10"/>
      <c r="CN1126" s="10"/>
      <c r="CO1126" s="10"/>
    </row>
    <row r="1127" spans="1:93">
      <c r="A1127" s="10"/>
      <c r="B1127" s="10"/>
      <c r="C1127" s="17" t="s">
        <v>341</v>
      </c>
      <c r="D1127" s="10"/>
      <c r="E1127" s="178">
        <f>Предпосылки!E563</f>
        <v>3.0000000000000001E-3</v>
      </c>
      <c r="F1127" s="10"/>
      <c r="G1127" s="11" t="s">
        <v>28</v>
      </c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0"/>
      <c r="AH1127" s="10"/>
      <c r="AI1127" s="10"/>
      <c r="AJ1127" s="10"/>
      <c r="AK1127" s="10"/>
      <c r="AL1127" s="10"/>
      <c r="AM1127" s="10"/>
      <c r="AN1127" s="10"/>
      <c r="AO1127" s="10"/>
      <c r="AP1127" s="10"/>
      <c r="AQ1127" s="10"/>
      <c r="AR1127" s="10"/>
      <c r="AS1127" s="10"/>
      <c r="AT1127" s="10"/>
      <c r="AU1127" s="10"/>
      <c r="AV1127" s="10"/>
      <c r="AW1127" s="10"/>
      <c r="AX1127" s="10"/>
      <c r="AY1127" s="10"/>
      <c r="AZ1127" s="10"/>
      <c r="BA1127" s="10"/>
      <c r="BB1127" s="10"/>
      <c r="BC1127" s="10"/>
      <c r="BD1127" s="10"/>
      <c r="BE1127" s="10"/>
      <c r="BF1127" s="10"/>
      <c r="BG1127" s="10"/>
      <c r="BH1127" s="10"/>
      <c r="BI1127" s="10"/>
      <c r="BJ1127" s="10"/>
      <c r="BK1127" s="10"/>
      <c r="BL1127" s="10"/>
      <c r="BM1127" s="10"/>
      <c r="BN1127" s="10"/>
      <c r="BO1127" s="10"/>
      <c r="BP1127" s="10"/>
      <c r="BQ1127" s="10"/>
      <c r="BR1127" s="10"/>
      <c r="BS1127" s="10"/>
      <c r="BT1127" s="10"/>
      <c r="BU1127" s="10"/>
      <c r="BV1127" s="10"/>
      <c r="BW1127" s="10"/>
      <c r="BX1127" s="10"/>
      <c r="BY1127" s="10"/>
      <c r="BZ1127" s="10"/>
      <c r="CA1127" s="10"/>
      <c r="CB1127" s="10"/>
      <c r="CC1127" s="10"/>
      <c r="CD1127" s="10"/>
      <c r="CE1127" s="10"/>
      <c r="CF1127" s="10"/>
      <c r="CG1127" s="10"/>
      <c r="CH1127" s="10"/>
      <c r="CI1127" s="10"/>
      <c r="CJ1127" s="10"/>
      <c r="CK1127" s="10"/>
      <c r="CL1127" s="10"/>
      <c r="CM1127" s="10"/>
      <c r="CN1127" s="10"/>
      <c r="CO1127" s="10"/>
    </row>
    <row r="1128" spans="1:93">
      <c r="A1128" s="10"/>
      <c r="B1128" s="10"/>
      <c r="C1128" s="17"/>
      <c r="D1128" s="10"/>
      <c r="E1128" s="10"/>
      <c r="F1128" s="10"/>
      <c r="G1128" s="11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0"/>
      <c r="AH1128" s="10"/>
      <c r="AI1128" s="10"/>
      <c r="AJ1128" s="10"/>
      <c r="AK1128" s="10"/>
      <c r="AL1128" s="10"/>
      <c r="AM1128" s="10"/>
      <c r="AN1128" s="10"/>
      <c r="AO1128" s="10"/>
      <c r="AP1128" s="10"/>
      <c r="AQ1128" s="10"/>
      <c r="AR1128" s="10"/>
      <c r="AS1128" s="10"/>
      <c r="AT1128" s="10"/>
      <c r="AU1128" s="10"/>
      <c r="AV1128" s="10"/>
      <c r="AW1128" s="10"/>
      <c r="AX1128" s="10"/>
      <c r="AY1128" s="10"/>
      <c r="AZ1128" s="10"/>
      <c r="BA1128" s="10"/>
      <c r="BB1128" s="10"/>
      <c r="BC1128" s="10"/>
      <c r="BD1128" s="10"/>
      <c r="BE1128" s="10"/>
      <c r="BF1128" s="10"/>
      <c r="BG1128" s="10"/>
      <c r="BH1128" s="10"/>
      <c r="BI1128" s="10"/>
      <c r="BJ1128" s="10"/>
      <c r="BK1128" s="10"/>
      <c r="BL1128" s="10"/>
      <c r="BM1128" s="10"/>
      <c r="BN1128" s="10"/>
      <c r="BO1128" s="10"/>
      <c r="BP1128" s="10"/>
      <c r="BQ1128" s="10"/>
      <c r="BR1128" s="10"/>
      <c r="BS1128" s="10"/>
      <c r="BT1128" s="10"/>
      <c r="BU1128" s="10"/>
      <c r="BV1128" s="10"/>
      <c r="BW1128" s="10"/>
      <c r="BX1128" s="10"/>
      <c r="BY1128" s="10"/>
      <c r="BZ1128" s="10"/>
      <c r="CA1128" s="10"/>
      <c r="CB1128" s="10"/>
      <c r="CC1128" s="10"/>
      <c r="CD1128" s="10"/>
      <c r="CE1128" s="10"/>
      <c r="CF1128" s="10"/>
      <c r="CG1128" s="10"/>
      <c r="CH1128" s="10"/>
      <c r="CI1128" s="10"/>
      <c r="CJ1128" s="10"/>
      <c r="CK1128" s="10"/>
      <c r="CL1128" s="10"/>
      <c r="CM1128" s="10"/>
      <c r="CN1128" s="10"/>
      <c r="CO1128" s="10"/>
    </row>
    <row r="1129" spans="1:93">
      <c r="A1129" s="10"/>
      <c r="B1129" s="10"/>
      <c r="C1129" s="17" t="s">
        <v>483</v>
      </c>
      <c r="D1129" s="10"/>
      <c r="E1129" s="10"/>
      <c r="F1129" s="10"/>
      <c r="G1129" s="11" t="str">
        <f>Monetary_Unit</f>
        <v>тыс. руб.</v>
      </c>
      <c r="H1129" s="10"/>
      <c r="I1129" s="23">
        <f ca="1">SUM(L1129:CO1129)</f>
        <v>0</v>
      </c>
      <c r="J1129" s="10"/>
      <c r="K1129" s="10"/>
      <c r="L1129" s="52">
        <f t="shared" ref="L1129:AQ1129" si="1360">$E1126*$E1124*(K1079=0)*(L1079&gt;0)*L1079*(L1086&gt;0)</f>
        <v>0</v>
      </c>
      <c r="M1129" s="52">
        <f t="shared" ca="1" si="1360"/>
        <v>0</v>
      </c>
      <c r="N1129" s="52">
        <f t="shared" ca="1" si="1360"/>
        <v>0</v>
      </c>
      <c r="O1129" s="52">
        <f t="shared" ca="1" si="1360"/>
        <v>0</v>
      </c>
      <c r="P1129" s="52">
        <f t="shared" ca="1" si="1360"/>
        <v>0</v>
      </c>
      <c r="Q1129" s="52">
        <f t="shared" ca="1" si="1360"/>
        <v>0</v>
      </c>
      <c r="R1129" s="52">
        <f t="shared" ca="1" si="1360"/>
        <v>0</v>
      </c>
      <c r="S1129" s="52">
        <f t="shared" ca="1" si="1360"/>
        <v>0</v>
      </c>
      <c r="T1129" s="52">
        <f t="shared" ca="1" si="1360"/>
        <v>0</v>
      </c>
      <c r="U1129" s="52">
        <f t="shared" ca="1" si="1360"/>
        <v>0</v>
      </c>
      <c r="V1129" s="52">
        <f t="shared" ca="1" si="1360"/>
        <v>0</v>
      </c>
      <c r="W1129" s="52">
        <f t="shared" ca="1" si="1360"/>
        <v>0</v>
      </c>
      <c r="X1129" s="52">
        <f t="shared" ca="1" si="1360"/>
        <v>0</v>
      </c>
      <c r="Y1129" s="52">
        <f t="shared" ca="1" si="1360"/>
        <v>0</v>
      </c>
      <c r="Z1129" s="52">
        <f t="shared" ca="1" si="1360"/>
        <v>0</v>
      </c>
      <c r="AA1129" s="52">
        <f t="shared" ca="1" si="1360"/>
        <v>0</v>
      </c>
      <c r="AB1129" s="52">
        <f t="shared" ca="1" si="1360"/>
        <v>0</v>
      </c>
      <c r="AC1129" s="52">
        <f t="shared" ca="1" si="1360"/>
        <v>0</v>
      </c>
      <c r="AD1129" s="52">
        <f t="shared" ca="1" si="1360"/>
        <v>0</v>
      </c>
      <c r="AE1129" s="52">
        <f t="shared" ca="1" si="1360"/>
        <v>0</v>
      </c>
      <c r="AF1129" s="52">
        <f t="shared" ca="1" si="1360"/>
        <v>0</v>
      </c>
      <c r="AG1129" s="52">
        <f t="shared" ca="1" si="1360"/>
        <v>0</v>
      </c>
      <c r="AH1129" s="52">
        <f t="shared" ca="1" si="1360"/>
        <v>0</v>
      </c>
      <c r="AI1129" s="52">
        <f t="shared" ca="1" si="1360"/>
        <v>0</v>
      </c>
      <c r="AJ1129" s="52">
        <f t="shared" ca="1" si="1360"/>
        <v>0</v>
      </c>
      <c r="AK1129" s="52">
        <f t="shared" ca="1" si="1360"/>
        <v>0</v>
      </c>
      <c r="AL1129" s="52">
        <f t="shared" ca="1" si="1360"/>
        <v>0</v>
      </c>
      <c r="AM1129" s="52">
        <f t="shared" ca="1" si="1360"/>
        <v>0</v>
      </c>
      <c r="AN1129" s="52">
        <f t="shared" ca="1" si="1360"/>
        <v>0</v>
      </c>
      <c r="AO1129" s="52">
        <f t="shared" ca="1" si="1360"/>
        <v>0</v>
      </c>
      <c r="AP1129" s="52">
        <f t="shared" ca="1" si="1360"/>
        <v>0</v>
      </c>
      <c r="AQ1129" s="52">
        <f t="shared" ca="1" si="1360"/>
        <v>0</v>
      </c>
      <c r="AR1129" s="52">
        <f t="shared" ref="AR1129:BW1129" ca="1" si="1361">$E1126*$E1124*(AQ1079=0)*(AR1079&gt;0)*AR1079*(AR1086&gt;0)</f>
        <v>0</v>
      </c>
      <c r="AS1129" s="52">
        <f t="shared" ca="1" si="1361"/>
        <v>0</v>
      </c>
      <c r="AT1129" s="52">
        <f t="shared" ca="1" si="1361"/>
        <v>0</v>
      </c>
      <c r="AU1129" s="52">
        <f t="shared" ca="1" si="1361"/>
        <v>0</v>
      </c>
      <c r="AV1129" s="52">
        <f t="shared" ca="1" si="1361"/>
        <v>0</v>
      </c>
      <c r="AW1129" s="52">
        <f t="shared" ca="1" si="1361"/>
        <v>0</v>
      </c>
      <c r="AX1129" s="52">
        <f t="shared" ca="1" si="1361"/>
        <v>0</v>
      </c>
      <c r="AY1129" s="52">
        <f t="shared" ca="1" si="1361"/>
        <v>0</v>
      </c>
      <c r="AZ1129" s="52">
        <f t="shared" ca="1" si="1361"/>
        <v>0</v>
      </c>
      <c r="BA1129" s="52">
        <f t="shared" ca="1" si="1361"/>
        <v>0</v>
      </c>
      <c r="BB1129" s="52">
        <f t="shared" ca="1" si="1361"/>
        <v>0</v>
      </c>
      <c r="BC1129" s="52">
        <f t="shared" ca="1" si="1361"/>
        <v>0</v>
      </c>
      <c r="BD1129" s="52">
        <f t="shared" ca="1" si="1361"/>
        <v>0</v>
      </c>
      <c r="BE1129" s="52">
        <f t="shared" ca="1" si="1361"/>
        <v>0</v>
      </c>
      <c r="BF1129" s="52">
        <f t="shared" ca="1" si="1361"/>
        <v>0</v>
      </c>
      <c r="BG1129" s="52">
        <f t="shared" ca="1" si="1361"/>
        <v>0</v>
      </c>
      <c r="BH1129" s="52">
        <f t="shared" ca="1" si="1361"/>
        <v>0</v>
      </c>
      <c r="BI1129" s="52">
        <f t="shared" ca="1" si="1361"/>
        <v>0</v>
      </c>
      <c r="BJ1129" s="52">
        <f t="shared" ca="1" si="1361"/>
        <v>0</v>
      </c>
      <c r="BK1129" s="52">
        <f t="shared" ca="1" si="1361"/>
        <v>0</v>
      </c>
      <c r="BL1129" s="52">
        <f t="shared" ca="1" si="1361"/>
        <v>0</v>
      </c>
      <c r="BM1129" s="52">
        <f t="shared" ca="1" si="1361"/>
        <v>0</v>
      </c>
      <c r="BN1129" s="52">
        <f t="shared" ca="1" si="1361"/>
        <v>0</v>
      </c>
      <c r="BO1129" s="52">
        <f t="shared" ca="1" si="1361"/>
        <v>0</v>
      </c>
      <c r="BP1129" s="52">
        <f t="shared" ca="1" si="1361"/>
        <v>0</v>
      </c>
      <c r="BQ1129" s="52">
        <f t="shared" ca="1" si="1361"/>
        <v>0</v>
      </c>
      <c r="BR1129" s="52">
        <f t="shared" ca="1" si="1361"/>
        <v>0</v>
      </c>
      <c r="BS1129" s="52">
        <f t="shared" ca="1" si="1361"/>
        <v>0</v>
      </c>
      <c r="BT1129" s="52">
        <f t="shared" ca="1" si="1361"/>
        <v>0</v>
      </c>
      <c r="BU1129" s="52">
        <f t="shared" ca="1" si="1361"/>
        <v>0</v>
      </c>
      <c r="BV1129" s="52">
        <f t="shared" ca="1" si="1361"/>
        <v>0</v>
      </c>
      <c r="BW1129" s="52">
        <f t="shared" ca="1" si="1361"/>
        <v>0</v>
      </c>
      <c r="BX1129" s="52">
        <f t="shared" ref="BX1129:CO1129" ca="1" si="1362">$E1126*$E1124*(BW1079=0)*(BX1079&gt;0)*BX1079*(BX1086&gt;0)</f>
        <v>0</v>
      </c>
      <c r="BY1129" s="52">
        <f t="shared" ca="1" si="1362"/>
        <v>0</v>
      </c>
      <c r="BZ1129" s="52">
        <f t="shared" ca="1" si="1362"/>
        <v>0</v>
      </c>
      <c r="CA1129" s="52">
        <f t="shared" ca="1" si="1362"/>
        <v>0</v>
      </c>
      <c r="CB1129" s="52">
        <f t="shared" ca="1" si="1362"/>
        <v>0</v>
      </c>
      <c r="CC1129" s="52">
        <f t="shared" ca="1" si="1362"/>
        <v>0</v>
      </c>
      <c r="CD1129" s="52">
        <f t="shared" ca="1" si="1362"/>
        <v>0</v>
      </c>
      <c r="CE1129" s="52">
        <f t="shared" ca="1" si="1362"/>
        <v>0</v>
      </c>
      <c r="CF1129" s="52">
        <f t="shared" ca="1" si="1362"/>
        <v>0</v>
      </c>
      <c r="CG1129" s="52">
        <f t="shared" ca="1" si="1362"/>
        <v>0</v>
      </c>
      <c r="CH1129" s="52">
        <f t="shared" ca="1" si="1362"/>
        <v>0</v>
      </c>
      <c r="CI1129" s="52">
        <f t="shared" ca="1" si="1362"/>
        <v>0</v>
      </c>
      <c r="CJ1129" s="52">
        <f t="shared" ca="1" si="1362"/>
        <v>0</v>
      </c>
      <c r="CK1129" s="52">
        <f t="shared" ca="1" si="1362"/>
        <v>0</v>
      </c>
      <c r="CL1129" s="52">
        <f t="shared" ca="1" si="1362"/>
        <v>0</v>
      </c>
      <c r="CM1129" s="52">
        <f t="shared" ca="1" si="1362"/>
        <v>0</v>
      </c>
      <c r="CN1129" s="52">
        <f t="shared" ca="1" si="1362"/>
        <v>0</v>
      </c>
      <c r="CO1129" s="52">
        <f t="shared" ca="1" si="1362"/>
        <v>0</v>
      </c>
    </row>
    <row r="1130" spans="1:93">
      <c r="A1130" s="10"/>
      <c r="B1130" s="10"/>
      <c r="C1130" s="17" t="s">
        <v>415</v>
      </c>
      <c r="D1130" s="10"/>
      <c r="E1130" s="10"/>
      <c r="F1130" s="10"/>
      <c r="G1130" s="11" t="str">
        <f>Monetary_Unit</f>
        <v>тыс. руб.</v>
      </c>
      <c r="H1130" s="10"/>
      <c r="I1130" s="23">
        <f ca="1">SUM(L1130:CO1130)</f>
        <v>10990.619012601321</v>
      </c>
      <c r="J1130" s="10"/>
      <c r="K1130" s="10"/>
      <c r="L1130" s="52">
        <f t="shared" ref="L1130:AQ1130" si="1363">$E1127*K1125*(K1088&gt;0)*L1079*Period_length</f>
        <v>0</v>
      </c>
      <c r="M1130" s="52">
        <f t="shared" ca="1" si="1363"/>
        <v>0</v>
      </c>
      <c r="N1130" s="52">
        <f t="shared" ca="1" si="1363"/>
        <v>0</v>
      </c>
      <c r="O1130" s="52">
        <f t="shared" ca="1" si="1363"/>
        <v>0</v>
      </c>
      <c r="P1130" s="52">
        <f t="shared" ca="1" si="1363"/>
        <v>0</v>
      </c>
      <c r="Q1130" s="52">
        <f t="shared" ca="1" si="1363"/>
        <v>0</v>
      </c>
      <c r="R1130" s="52">
        <f t="shared" ca="1" si="1363"/>
        <v>0</v>
      </c>
      <c r="S1130" s="52">
        <f t="shared" ca="1" si="1363"/>
        <v>0</v>
      </c>
      <c r="T1130" s="52">
        <f t="shared" ca="1" si="1363"/>
        <v>0</v>
      </c>
      <c r="U1130" s="52">
        <f t="shared" ca="1" si="1363"/>
        <v>2032.1389863481136</v>
      </c>
      <c r="V1130" s="52">
        <f t="shared" ca="1" si="1363"/>
        <v>1913.5143739847667</v>
      </c>
      <c r="W1130" s="52">
        <f t="shared" ca="1" si="1363"/>
        <v>1771.1696690677206</v>
      </c>
      <c r="X1130" s="52">
        <f t="shared" ca="1" si="1363"/>
        <v>1605.3348325415557</v>
      </c>
      <c r="Y1130" s="52">
        <f t="shared" ca="1" si="1363"/>
        <v>1331.1596721046919</v>
      </c>
      <c r="Z1130" s="52">
        <f t="shared" ca="1" si="1363"/>
        <v>1065.8684792952763</v>
      </c>
      <c r="AA1130" s="52">
        <f t="shared" ca="1" si="1363"/>
        <v>783.19099934951782</v>
      </c>
      <c r="AB1130" s="52">
        <f t="shared" ca="1" si="1363"/>
        <v>488.24199990967918</v>
      </c>
      <c r="AC1130" s="52">
        <f t="shared" ca="1" si="1363"/>
        <v>0</v>
      </c>
      <c r="AD1130" s="52">
        <f t="shared" ca="1" si="1363"/>
        <v>0</v>
      </c>
      <c r="AE1130" s="52">
        <f t="shared" ca="1" si="1363"/>
        <v>0</v>
      </c>
      <c r="AF1130" s="52">
        <f t="shared" ca="1" si="1363"/>
        <v>0</v>
      </c>
      <c r="AG1130" s="52">
        <f t="shared" ca="1" si="1363"/>
        <v>0</v>
      </c>
      <c r="AH1130" s="52">
        <f t="shared" ca="1" si="1363"/>
        <v>0</v>
      </c>
      <c r="AI1130" s="52">
        <f t="shared" ca="1" si="1363"/>
        <v>0</v>
      </c>
      <c r="AJ1130" s="52">
        <f t="shared" ca="1" si="1363"/>
        <v>0</v>
      </c>
      <c r="AK1130" s="52">
        <f t="shared" ca="1" si="1363"/>
        <v>0</v>
      </c>
      <c r="AL1130" s="52">
        <f t="shared" ca="1" si="1363"/>
        <v>0</v>
      </c>
      <c r="AM1130" s="52">
        <f t="shared" ca="1" si="1363"/>
        <v>0</v>
      </c>
      <c r="AN1130" s="52">
        <f t="shared" ca="1" si="1363"/>
        <v>0</v>
      </c>
      <c r="AO1130" s="52">
        <f t="shared" ca="1" si="1363"/>
        <v>0</v>
      </c>
      <c r="AP1130" s="52">
        <f t="shared" ca="1" si="1363"/>
        <v>0</v>
      </c>
      <c r="AQ1130" s="52">
        <f t="shared" ca="1" si="1363"/>
        <v>0</v>
      </c>
      <c r="AR1130" s="52">
        <f t="shared" ref="AR1130:BW1130" ca="1" si="1364">$E1127*AQ1125*(AQ1088&gt;0)*AR1079*Period_length</f>
        <v>0</v>
      </c>
      <c r="AS1130" s="52">
        <f t="shared" ca="1" si="1364"/>
        <v>0</v>
      </c>
      <c r="AT1130" s="52">
        <f t="shared" ca="1" si="1364"/>
        <v>0</v>
      </c>
      <c r="AU1130" s="52">
        <f t="shared" ca="1" si="1364"/>
        <v>0</v>
      </c>
      <c r="AV1130" s="52">
        <f t="shared" ca="1" si="1364"/>
        <v>0</v>
      </c>
      <c r="AW1130" s="52">
        <f t="shared" ca="1" si="1364"/>
        <v>0</v>
      </c>
      <c r="AX1130" s="52">
        <f t="shared" ca="1" si="1364"/>
        <v>0</v>
      </c>
      <c r="AY1130" s="52">
        <f t="shared" ca="1" si="1364"/>
        <v>0</v>
      </c>
      <c r="AZ1130" s="52">
        <f t="shared" ca="1" si="1364"/>
        <v>0</v>
      </c>
      <c r="BA1130" s="52">
        <f t="shared" ca="1" si="1364"/>
        <v>0</v>
      </c>
      <c r="BB1130" s="52">
        <f t="shared" ca="1" si="1364"/>
        <v>0</v>
      </c>
      <c r="BC1130" s="52">
        <f t="shared" ca="1" si="1364"/>
        <v>0</v>
      </c>
      <c r="BD1130" s="52">
        <f t="shared" ca="1" si="1364"/>
        <v>0</v>
      </c>
      <c r="BE1130" s="52">
        <f t="shared" ca="1" si="1364"/>
        <v>0</v>
      </c>
      <c r="BF1130" s="52">
        <f t="shared" ca="1" si="1364"/>
        <v>0</v>
      </c>
      <c r="BG1130" s="52">
        <f t="shared" ca="1" si="1364"/>
        <v>0</v>
      </c>
      <c r="BH1130" s="52">
        <f t="shared" ca="1" si="1364"/>
        <v>0</v>
      </c>
      <c r="BI1130" s="52">
        <f t="shared" ca="1" si="1364"/>
        <v>0</v>
      </c>
      <c r="BJ1130" s="52">
        <f t="shared" ca="1" si="1364"/>
        <v>0</v>
      </c>
      <c r="BK1130" s="52">
        <f t="shared" ca="1" si="1364"/>
        <v>0</v>
      </c>
      <c r="BL1130" s="52">
        <f t="shared" ca="1" si="1364"/>
        <v>0</v>
      </c>
      <c r="BM1130" s="52">
        <f t="shared" ca="1" si="1364"/>
        <v>0</v>
      </c>
      <c r="BN1130" s="52">
        <f t="shared" ca="1" si="1364"/>
        <v>0</v>
      </c>
      <c r="BO1130" s="52">
        <f t="shared" ca="1" si="1364"/>
        <v>0</v>
      </c>
      <c r="BP1130" s="52">
        <f t="shared" ca="1" si="1364"/>
        <v>0</v>
      </c>
      <c r="BQ1130" s="52">
        <f t="shared" ca="1" si="1364"/>
        <v>0</v>
      </c>
      <c r="BR1130" s="52">
        <f t="shared" ca="1" si="1364"/>
        <v>0</v>
      </c>
      <c r="BS1130" s="52">
        <f t="shared" ca="1" si="1364"/>
        <v>0</v>
      </c>
      <c r="BT1130" s="52">
        <f t="shared" ca="1" si="1364"/>
        <v>0</v>
      </c>
      <c r="BU1130" s="52">
        <f t="shared" ca="1" si="1364"/>
        <v>0</v>
      </c>
      <c r="BV1130" s="52">
        <f t="shared" ca="1" si="1364"/>
        <v>0</v>
      </c>
      <c r="BW1130" s="52">
        <f t="shared" ca="1" si="1364"/>
        <v>0</v>
      </c>
      <c r="BX1130" s="52">
        <f t="shared" ref="BX1130:CO1130" ca="1" si="1365">$E1127*BW1125*(BW1088&gt;0)*BX1079*Period_length</f>
        <v>0</v>
      </c>
      <c r="BY1130" s="52">
        <f t="shared" ca="1" si="1365"/>
        <v>0</v>
      </c>
      <c r="BZ1130" s="52">
        <f t="shared" ca="1" si="1365"/>
        <v>0</v>
      </c>
      <c r="CA1130" s="52">
        <f t="shared" ca="1" si="1365"/>
        <v>0</v>
      </c>
      <c r="CB1130" s="52">
        <f t="shared" ca="1" si="1365"/>
        <v>0</v>
      </c>
      <c r="CC1130" s="52">
        <f t="shared" ca="1" si="1365"/>
        <v>0</v>
      </c>
      <c r="CD1130" s="52">
        <f t="shared" ca="1" si="1365"/>
        <v>0</v>
      </c>
      <c r="CE1130" s="52">
        <f t="shared" ca="1" si="1365"/>
        <v>0</v>
      </c>
      <c r="CF1130" s="52">
        <f t="shared" ca="1" si="1365"/>
        <v>0</v>
      </c>
      <c r="CG1130" s="52">
        <f t="shared" ca="1" si="1365"/>
        <v>0</v>
      </c>
      <c r="CH1130" s="52">
        <f t="shared" ca="1" si="1365"/>
        <v>0</v>
      </c>
      <c r="CI1130" s="52">
        <f t="shared" ca="1" si="1365"/>
        <v>0</v>
      </c>
      <c r="CJ1130" s="52">
        <f t="shared" ca="1" si="1365"/>
        <v>0</v>
      </c>
      <c r="CK1130" s="52">
        <f t="shared" ca="1" si="1365"/>
        <v>0</v>
      </c>
      <c r="CL1130" s="52">
        <f t="shared" ca="1" si="1365"/>
        <v>0</v>
      </c>
      <c r="CM1130" s="52">
        <f t="shared" ca="1" si="1365"/>
        <v>0</v>
      </c>
      <c r="CN1130" s="52">
        <f t="shared" ca="1" si="1365"/>
        <v>0</v>
      </c>
      <c r="CO1130" s="52">
        <f t="shared" ca="1" si="1365"/>
        <v>0</v>
      </c>
    </row>
    <row r="1131" spans="1:93">
      <c r="A1131" s="10"/>
      <c r="B1131" s="10"/>
      <c r="C1131" s="17"/>
      <c r="D1131" s="10"/>
      <c r="E1131" s="10"/>
      <c r="F1131" s="10"/>
      <c r="G1131" s="11"/>
      <c r="H1131" s="72"/>
      <c r="I1131" s="72"/>
      <c r="J1131" s="72"/>
      <c r="K1131" s="7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52"/>
      <c r="AE1131" s="52"/>
      <c r="AF1131" s="52"/>
      <c r="AG1131" s="52"/>
      <c r="AH1131" s="52"/>
      <c r="AI1131" s="52"/>
      <c r="AJ1131" s="52"/>
      <c r="AK1131" s="52"/>
      <c r="AL1131" s="52"/>
      <c r="AM1131" s="52"/>
      <c r="AN1131" s="52"/>
      <c r="AO1131" s="52"/>
      <c r="AP1131" s="52"/>
      <c r="AQ1131" s="52"/>
      <c r="AR1131" s="52"/>
      <c r="AS1131" s="52"/>
      <c r="AT1131" s="52"/>
      <c r="AU1131" s="52"/>
      <c r="AV1131" s="52"/>
      <c r="AW1131" s="52"/>
      <c r="AX1131" s="52"/>
      <c r="AY1131" s="52"/>
      <c r="AZ1131" s="52"/>
      <c r="BA1131" s="52"/>
      <c r="BB1131" s="52"/>
      <c r="BC1131" s="52"/>
      <c r="BD1131" s="52"/>
      <c r="BE1131" s="52"/>
      <c r="BF1131" s="52"/>
      <c r="BG1131" s="52"/>
      <c r="BH1131" s="52"/>
      <c r="BI1131" s="52"/>
      <c r="BJ1131" s="52"/>
      <c r="BK1131" s="52"/>
      <c r="BL1131" s="52"/>
      <c r="BM1131" s="52"/>
      <c r="BN1131" s="52"/>
      <c r="BO1131" s="52"/>
      <c r="BP1131" s="52"/>
      <c r="BQ1131" s="52"/>
      <c r="BR1131" s="52"/>
      <c r="BS1131" s="52"/>
      <c r="BT1131" s="52"/>
      <c r="BU1131" s="52"/>
      <c r="BV1131" s="52"/>
      <c r="BW1131" s="52"/>
      <c r="BX1131" s="52"/>
      <c r="BY1131" s="52"/>
      <c r="BZ1131" s="52"/>
      <c r="CA1131" s="52"/>
      <c r="CB1131" s="52"/>
      <c r="CC1131" s="52"/>
      <c r="CD1131" s="52"/>
      <c r="CE1131" s="52"/>
      <c r="CF1131" s="52"/>
      <c r="CG1131" s="52"/>
      <c r="CH1131" s="52"/>
      <c r="CI1131" s="52"/>
      <c r="CJ1131" s="52"/>
      <c r="CK1131" s="52"/>
      <c r="CL1131" s="52"/>
      <c r="CM1131" s="52"/>
      <c r="CN1131" s="52"/>
      <c r="CO1131" s="52"/>
    </row>
    <row r="1132" spans="1:93" ht="16.5" thickBot="1">
      <c r="A1132" s="10"/>
      <c r="B1132" s="10"/>
      <c r="C1132" s="30" t="s">
        <v>325</v>
      </c>
      <c r="D1132" s="10"/>
      <c r="E1132" s="10"/>
      <c r="F1132" s="10"/>
      <c r="G1132" s="11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0"/>
      <c r="AH1132" s="10"/>
      <c r="AI1132" s="10"/>
      <c r="AJ1132" s="10"/>
      <c r="AK1132" s="10"/>
      <c r="AL1132" s="10"/>
      <c r="AM1132" s="10"/>
      <c r="AN1132" s="10"/>
      <c r="AO1132" s="10"/>
      <c r="AP1132" s="10"/>
      <c r="AQ1132" s="10"/>
      <c r="AR1132" s="10"/>
      <c r="AS1132" s="10"/>
      <c r="AT1132" s="10"/>
      <c r="AU1132" s="10"/>
      <c r="AV1132" s="10"/>
      <c r="AW1132" s="10"/>
      <c r="AX1132" s="10"/>
      <c r="AY1132" s="10"/>
      <c r="AZ1132" s="10"/>
      <c r="BA1132" s="10"/>
      <c r="BB1132" s="10"/>
      <c r="BC1132" s="10"/>
      <c r="BD1132" s="10"/>
      <c r="BE1132" s="10"/>
      <c r="BF1132" s="10"/>
      <c r="BG1132" s="10"/>
      <c r="BH1132" s="10"/>
      <c r="BI1132" s="10"/>
      <c r="BJ1132" s="10"/>
      <c r="BK1132" s="10"/>
      <c r="BL1132" s="10"/>
      <c r="BM1132" s="10"/>
      <c r="BN1132" s="10"/>
      <c r="BO1132" s="10"/>
      <c r="BP1132" s="10"/>
      <c r="BQ1132" s="10"/>
      <c r="BR1132" s="10"/>
      <c r="BS1132" s="10"/>
      <c r="BT1132" s="10"/>
      <c r="BU1132" s="10"/>
      <c r="BV1132" s="10"/>
      <c r="BW1132" s="10"/>
      <c r="BX1132" s="10"/>
      <c r="BY1132" s="10"/>
      <c r="BZ1132" s="10"/>
      <c r="CA1132" s="10"/>
      <c r="CB1132" s="10"/>
      <c r="CC1132" s="10"/>
      <c r="CD1132" s="10"/>
      <c r="CE1132" s="10"/>
      <c r="CF1132" s="10"/>
      <c r="CG1132" s="10"/>
      <c r="CH1132" s="10"/>
      <c r="CI1132" s="10"/>
      <c r="CJ1132" s="10"/>
      <c r="CK1132" s="10"/>
      <c r="CL1132" s="10"/>
      <c r="CM1132" s="10"/>
      <c r="CN1132" s="10"/>
      <c r="CO1132" s="10"/>
    </row>
    <row r="1133" spans="1:93">
      <c r="A1133" s="10"/>
      <c r="B1133" s="10"/>
      <c r="C1133" s="21"/>
      <c r="D1133" s="10"/>
      <c r="E1133" s="10"/>
      <c r="F1133" s="10"/>
      <c r="G1133" s="11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0"/>
      <c r="AH1133" s="10"/>
      <c r="AI1133" s="10"/>
      <c r="AJ1133" s="10"/>
      <c r="AK1133" s="10"/>
      <c r="AL1133" s="10"/>
      <c r="AM1133" s="10"/>
      <c r="AN1133" s="10"/>
      <c r="AO1133" s="10"/>
      <c r="AP1133" s="10"/>
      <c r="AQ1133" s="10"/>
      <c r="AR1133" s="10"/>
      <c r="AS1133" s="10"/>
      <c r="AT1133" s="10"/>
      <c r="AU1133" s="10"/>
      <c r="AV1133" s="10"/>
      <c r="AW1133" s="10"/>
      <c r="AX1133" s="10"/>
      <c r="AY1133" s="10"/>
      <c r="AZ1133" s="10"/>
      <c r="BA1133" s="10"/>
      <c r="BB1133" s="10"/>
      <c r="BC1133" s="10"/>
      <c r="BD1133" s="10"/>
      <c r="BE1133" s="10"/>
      <c r="BF1133" s="10"/>
      <c r="BG1133" s="10"/>
      <c r="BH1133" s="10"/>
      <c r="BI1133" s="10"/>
      <c r="BJ1133" s="10"/>
      <c r="BK1133" s="10"/>
      <c r="BL1133" s="10"/>
      <c r="BM1133" s="10"/>
      <c r="BN1133" s="10"/>
      <c r="BO1133" s="10"/>
      <c r="BP1133" s="10"/>
      <c r="BQ1133" s="10"/>
      <c r="BR1133" s="10"/>
      <c r="BS1133" s="10"/>
      <c r="BT1133" s="10"/>
      <c r="BU1133" s="10"/>
      <c r="BV1133" s="10"/>
      <c r="BW1133" s="10"/>
      <c r="BX1133" s="10"/>
      <c r="BY1133" s="10"/>
      <c r="BZ1133" s="10"/>
      <c r="CA1133" s="10"/>
      <c r="CB1133" s="10"/>
      <c r="CC1133" s="10"/>
      <c r="CD1133" s="10"/>
      <c r="CE1133" s="10"/>
      <c r="CF1133" s="10"/>
      <c r="CG1133" s="10"/>
      <c r="CH1133" s="10"/>
      <c r="CI1133" s="10"/>
      <c r="CJ1133" s="10"/>
      <c r="CK1133" s="10"/>
      <c r="CL1133" s="10"/>
      <c r="CM1133" s="10"/>
      <c r="CN1133" s="10"/>
      <c r="CO1133" s="10"/>
    </row>
    <row r="1134" spans="1:93">
      <c r="A1134" s="10"/>
      <c r="B1134" s="10"/>
      <c r="C1134" s="32" t="s">
        <v>324</v>
      </c>
      <c r="D1134" s="10"/>
      <c r="E1134" s="10"/>
      <c r="F1134" s="10"/>
      <c r="G1134" s="11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0"/>
      <c r="AH1134" s="10"/>
      <c r="AI1134" s="10"/>
      <c r="AJ1134" s="10"/>
      <c r="AK1134" s="10"/>
      <c r="AL1134" s="10"/>
      <c r="AM1134" s="10"/>
      <c r="AN1134" s="10"/>
      <c r="AO1134" s="10"/>
      <c r="AP1134" s="10"/>
      <c r="AQ1134" s="10"/>
      <c r="AR1134" s="10"/>
      <c r="AS1134" s="10"/>
      <c r="AT1134" s="10"/>
      <c r="AU1134" s="10"/>
      <c r="AV1134" s="10"/>
      <c r="AW1134" s="10"/>
      <c r="AX1134" s="10"/>
      <c r="AY1134" s="10"/>
      <c r="AZ1134" s="10"/>
      <c r="BA1134" s="10"/>
      <c r="BB1134" s="10"/>
      <c r="BC1134" s="10"/>
      <c r="BD1134" s="10"/>
      <c r="BE1134" s="10"/>
      <c r="BF1134" s="10"/>
      <c r="BG1134" s="10"/>
      <c r="BH1134" s="10"/>
      <c r="BI1134" s="10"/>
      <c r="BJ1134" s="10"/>
      <c r="BK1134" s="10"/>
      <c r="BL1134" s="10"/>
      <c r="BM1134" s="10"/>
      <c r="BN1134" s="10"/>
      <c r="BO1134" s="10"/>
      <c r="BP1134" s="10"/>
      <c r="BQ1134" s="10"/>
      <c r="BR1134" s="10"/>
      <c r="BS1134" s="10"/>
      <c r="BT1134" s="10"/>
      <c r="BU1134" s="10"/>
      <c r="BV1134" s="10"/>
      <c r="BW1134" s="10"/>
      <c r="BX1134" s="10"/>
      <c r="BY1134" s="10"/>
      <c r="BZ1134" s="10"/>
      <c r="CA1134" s="10"/>
      <c r="CB1134" s="10"/>
      <c r="CC1134" s="10"/>
      <c r="CD1134" s="10"/>
      <c r="CE1134" s="10"/>
      <c r="CF1134" s="10"/>
      <c r="CG1134" s="10"/>
      <c r="CH1134" s="10"/>
      <c r="CI1134" s="10"/>
      <c r="CJ1134" s="10"/>
      <c r="CK1134" s="10"/>
      <c r="CL1134" s="10"/>
      <c r="CM1134" s="10"/>
      <c r="CN1134" s="10"/>
      <c r="CO1134" s="10"/>
    </row>
    <row r="1135" spans="1:93">
      <c r="A1135" s="10"/>
      <c r="B1135" s="10"/>
      <c r="C1135" s="21" t="s">
        <v>180</v>
      </c>
      <c r="D1135" s="10"/>
      <c r="E1135" s="10"/>
      <c r="F1135" s="10"/>
      <c r="G1135" s="11" t="str">
        <f>Monetary_Unit</f>
        <v>тыс. руб.</v>
      </c>
      <c r="H1135" s="10"/>
      <c r="I1135" s="11"/>
      <c r="J1135" s="10"/>
      <c r="K1135" s="10"/>
      <c r="L1135" s="52">
        <f t="shared" ref="L1135:AQ1135" si="1366">K1138</f>
        <v>0</v>
      </c>
      <c r="M1135" s="52">
        <f t="shared" ca="1" si="1366"/>
        <v>0</v>
      </c>
      <c r="N1135" s="52">
        <f t="shared" ca="1" si="1366"/>
        <v>0</v>
      </c>
      <c r="O1135" s="52">
        <f t="shared" ca="1" si="1366"/>
        <v>0</v>
      </c>
      <c r="P1135" s="52">
        <f t="shared" ca="1" si="1366"/>
        <v>0</v>
      </c>
      <c r="Q1135" s="52">
        <f t="shared" ca="1" si="1366"/>
        <v>0</v>
      </c>
      <c r="R1135" s="52">
        <f t="shared" ca="1" si="1366"/>
        <v>0</v>
      </c>
      <c r="S1135" s="52">
        <f t="shared" ca="1" si="1366"/>
        <v>0</v>
      </c>
      <c r="T1135" s="52">
        <f t="shared" ca="1" si="1366"/>
        <v>0</v>
      </c>
      <c r="U1135" s="52">
        <f t="shared" ca="1" si="1366"/>
        <v>54925.998445192294</v>
      </c>
      <c r="V1135" s="52">
        <f t="shared" ca="1" si="1366"/>
        <v>241334.95009615706</v>
      </c>
      <c r="W1135" s="52">
        <f t="shared" ca="1" si="1366"/>
        <v>429580.66493210581</v>
      </c>
      <c r="X1135" s="52">
        <f t="shared" ca="1" si="1366"/>
        <v>619681.24132743443</v>
      </c>
      <c r="Y1135" s="52">
        <f t="shared" ca="1" si="1366"/>
        <v>987256.73114388925</v>
      </c>
      <c r="Z1135" s="52">
        <f t="shared" ca="1" si="1366"/>
        <v>1358454.091698942</v>
      </c>
      <c r="AA1135" s="52">
        <f t="shared" ca="1" si="1366"/>
        <v>1733309.0107574479</v>
      </c>
      <c r="AB1135" s="52">
        <f t="shared" ca="1" si="1366"/>
        <v>2111857.5277303178</v>
      </c>
      <c r="AC1135" s="52">
        <f t="shared" ca="1" si="1366"/>
        <v>2771888.3794600694</v>
      </c>
      <c r="AD1135" s="52">
        <f t="shared" ca="1" si="1366"/>
        <v>2344957.2516447473</v>
      </c>
      <c r="AE1135" s="52">
        <f t="shared" ca="1" si="1366"/>
        <v>2136769.7000716003</v>
      </c>
      <c r="AF1135" s="52">
        <f t="shared" ca="1" si="1366"/>
        <v>2017993.7277197978</v>
      </c>
      <c r="AG1135" s="52">
        <f t="shared" ca="1" si="1366"/>
        <v>1962594.493968616</v>
      </c>
      <c r="AH1135" s="52">
        <f t="shared" ca="1" si="1366"/>
        <v>1897110.0613220145</v>
      </c>
      <c r="AI1135" s="52">
        <f t="shared" ca="1" si="1366"/>
        <v>1743894.451950738</v>
      </c>
      <c r="AJ1135" s="52">
        <f t="shared" ca="1" si="1366"/>
        <v>1595325.642261199</v>
      </c>
      <c r="AK1135" s="52">
        <f t="shared" ca="1" si="1366"/>
        <v>1520744.8199508614</v>
      </c>
      <c r="AL1135" s="52">
        <f t="shared" ca="1" si="1366"/>
        <v>1434686.7297717063</v>
      </c>
      <c r="AM1135" s="52">
        <f t="shared" ca="1" si="1366"/>
        <v>1247696.2264534044</v>
      </c>
      <c r="AN1135" s="52">
        <f t="shared" ca="1" si="1366"/>
        <v>1066198.5492529529</v>
      </c>
      <c r="AO1135" s="52">
        <f t="shared" ca="1" si="1366"/>
        <v>969315.88586949522</v>
      </c>
      <c r="AP1135" s="52">
        <f t="shared" ca="1" si="1366"/>
        <v>860133.2583737144</v>
      </c>
      <c r="AQ1135" s="52">
        <f t="shared" ca="1" si="1366"/>
        <v>638877.17472442822</v>
      </c>
      <c r="AR1135" s="52">
        <f t="shared" ref="AR1135:BW1135" ca="1" si="1367">AQ1138</f>
        <v>426803.06275349879</v>
      </c>
      <c r="AS1135" s="52">
        <f t="shared" ca="1" si="1367"/>
        <v>312713.58332558116</v>
      </c>
      <c r="AT1135" s="52">
        <f t="shared" ca="1" si="1367"/>
        <v>189347.13450160954</v>
      </c>
      <c r="AU1135" s="52">
        <f t="shared" ca="1" si="1367"/>
        <v>0</v>
      </c>
      <c r="AV1135" s="52">
        <f t="shared" ca="1" si="1367"/>
        <v>0</v>
      </c>
      <c r="AW1135" s="52">
        <f t="shared" ca="1" si="1367"/>
        <v>0</v>
      </c>
      <c r="AX1135" s="52">
        <f t="shared" ca="1" si="1367"/>
        <v>0</v>
      </c>
      <c r="AY1135" s="52">
        <f t="shared" ca="1" si="1367"/>
        <v>0</v>
      </c>
      <c r="AZ1135" s="52">
        <f t="shared" ca="1" si="1367"/>
        <v>0</v>
      </c>
      <c r="BA1135" s="52">
        <f t="shared" ca="1" si="1367"/>
        <v>0</v>
      </c>
      <c r="BB1135" s="52">
        <f t="shared" ca="1" si="1367"/>
        <v>0</v>
      </c>
      <c r="BC1135" s="52">
        <f t="shared" ca="1" si="1367"/>
        <v>0</v>
      </c>
      <c r="BD1135" s="52">
        <f t="shared" ca="1" si="1367"/>
        <v>0</v>
      </c>
      <c r="BE1135" s="52">
        <f t="shared" ca="1" si="1367"/>
        <v>0</v>
      </c>
      <c r="BF1135" s="52">
        <f t="shared" ca="1" si="1367"/>
        <v>0</v>
      </c>
      <c r="BG1135" s="52">
        <f t="shared" ca="1" si="1367"/>
        <v>0</v>
      </c>
      <c r="BH1135" s="52">
        <f t="shared" ca="1" si="1367"/>
        <v>0</v>
      </c>
      <c r="BI1135" s="52">
        <f t="shared" ca="1" si="1367"/>
        <v>0</v>
      </c>
      <c r="BJ1135" s="52">
        <f t="shared" ca="1" si="1367"/>
        <v>0</v>
      </c>
      <c r="BK1135" s="52">
        <f t="shared" ca="1" si="1367"/>
        <v>0</v>
      </c>
      <c r="BL1135" s="52">
        <f t="shared" ca="1" si="1367"/>
        <v>0</v>
      </c>
      <c r="BM1135" s="52">
        <f t="shared" ca="1" si="1367"/>
        <v>0</v>
      </c>
      <c r="BN1135" s="52">
        <f t="shared" ca="1" si="1367"/>
        <v>0</v>
      </c>
      <c r="BO1135" s="52">
        <f t="shared" ca="1" si="1367"/>
        <v>0</v>
      </c>
      <c r="BP1135" s="52">
        <f t="shared" ca="1" si="1367"/>
        <v>0</v>
      </c>
      <c r="BQ1135" s="52">
        <f t="shared" ca="1" si="1367"/>
        <v>0</v>
      </c>
      <c r="BR1135" s="52">
        <f t="shared" ca="1" si="1367"/>
        <v>0</v>
      </c>
      <c r="BS1135" s="52">
        <f t="shared" ca="1" si="1367"/>
        <v>0</v>
      </c>
      <c r="BT1135" s="52">
        <f t="shared" ca="1" si="1367"/>
        <v>0</v>
      </c>
      <c r="BU1135" s="52">
        <f t="shared" ca="1" si="1367"/>
        <v>0</v>
      </c>
      <c r="BV1135" s="52">
        <f t="shared" ca="1" si="1367"/>
        <v>0</v>
      </c>
      <c r="BW1135" s="52">
        <f t="shared" ca="1" si="1367"/>
        <v>0</v>
      </c>
      <c r="BX1135" s="52">
        <f t="shared" ref="BX1135:CO1135" ca="1" si="1368">BW1138</f>
        <v>0</v>
      </c>
      <c r="BY1135" s="52">
        <f t="shared" ca="1" si="1368"/>
        <v>0</v>
      </c>
      <c r="BZ1135" s="52">
        <f t="shared" ca="1" si="1368"/>
        <v>0</v>
      </c>
      <c r="CA1135" s="52">
        <f t="shared" ca="1" si="1368"/>
        <v>0</v>
      </c>
      <c r="CB1135" s="52">
        <f t="shared" ca="1" si="1368"/>
        <v>0</v>
      </c>
      <c r="CC1135" s="52">
        <f t="shared" ca="1" si="1368"/>
        <v>0</v>
      </c>
      <c r="CD1135" s="52">
        <f t="shared" ca="1" si="1368"/>
        <v>0</v>
      </c>
      <c r="CE1135" s="52">
        <f t="shared" ca="1" si="1368"/>
        <v>0</v>
      </c>
      <c r="CF1135" s="52">
        <f t="shared" ca="1" si="1368"/>
        <v>0</v>
      </c>
      <c r="CG1135" s="52">
        <f t="shared" ca="1" si="1368"/>
        <v>0</v>
      </c>
      <c r="CH1135" s="52">
        <f t="shared" ca="1" si="1368"/>
        <v>0</v>
      </c>
      <c r="CI1135" s="52">
        <f t="shared" ca="1" si="1368"/>
        <v>0</v>
      </c>
      <c r="CJ1135" s="52">
        <f t="shared" ca="1" si="1368"/>
        <v>0</v>
      </c>
      <c r="CK1135" s="52">
        <f t="shared" ca="1" si="1368"/>
        <v>0</v>
      </c>
      <c r="CL1135" s="52">
        <f t="shared" ca="1" si="1368"/>
        <v>0</v>
      </c>
      <c r="CM1135" s="52">
        <f t="shared" ca="1" si="1368"/>
        <v>0</v>
      </c>
      <c r="CN1135" s="52">
        <f t="shared" ca="1" si="1368"/>
        <v>0</v>
      </c>
      <c r="CO1135" s="52">
        <f t="shared" ca="1" si="1368"/>
        <v>0</v>
      </c>
    </row>
    <row r="1136" spans="1:93">
      <c r="A1136" s="10"/>
      <c r="B1136" s="10"/>
      <c r="C1136" s="21" t="s">
        <v>170</v>
      </c>
      <c r="D1136" s="10"/>
      <c r="E1136" s="10"/>
      <c r="F1136" s="10"/>
      <c r="G1136" s="11" t="str">
        <f>Monetary_Unit</f>
        <v>тыс. руб.</v>
      </c>
      <c r="H1136" s="10"/>
      <c r="I1136" s="23">
        <f ca="1">SUM(L1136:CO1136)</f>
        <v>2771888.3794600694</v>
      </c>
      <c r="J1136" s="10"/>
      <c r="K1136" s="10"/>
      <c r="L1136" s="52">
        <f>L1086</f>
        <v>0</v>
      </c>
      <c r="M1136" s="52">
        <f t="shared" ref="M1136:BX1136" ca="1" si="1369">M1086</f>
        <v>0</v>
      </c>
      <c r="N1136" s="52">
        <f t="shared" ca="1" si="1369"/>
        <v>0</v>
      </c>
      <c r="O1136" s="52">
        <f t="shared" ca="1" si="1369"/>
        <v>0</v>
      </c>
      <c r="P1136" s="52">
        <f t="shared" ca="1" si="1369"/>
        <v>0</v>
      </c>
      <c r="Q1136" s="52">
        <f t="shared" ca="1" si="1369"/>
        <v>0</v>
      </c>
      <c r="R1136" s="52">
        <f t="shared" ca="1" si="1369"/>
        <v>0</v>
      </c>
      <c r="S1136" s="52">
        <f t="shared" ca="1" si="1369"/>
        <v>0</v>
      </c>
      <c r="T1136" s="52">
        <f t="shared" ca="1" si="1369"/>
        <v>54925.998445192294</v>
      </c>
      <c r="U1136" s="52">
        <f t="shared" ca="1" si="1369"/>
        <v>186408.95165096477</v>
      </c>
      <c r="V1136" s="52">
        <f t="shared" ca="1" si="1369"/>
        <v>188245.71483594872</v>
      </c>
      <c r="W1136" s="52">
        <f t="shared" ca="1" si="1369"/>
        <v>190100.57639532859</v>
      </c>
      <c r="X1136" s="52">
        <f t="shared" ca="1" si="1369"/>
        <v>367575.48981645482</v>
      </c>
      <c r="Y1136" s="52">
        <f t="shared" ca="1" si="1369"/>
        <v>371197.36055505282</v>
      </c>
      <c r="Z1136" s="52">
        <f t="shared" ca="1" si="1369"/>
        <v>374854.91905850585</v>
      </c>
      <c r="AA1136" s="52">
        <f t="shared" ca="1" si="1369"/>
        <v>378548.51697286987</v>
      </c>
      <c r="AB1136" s="52">
        <f t="shared" ca="1" si="1369"/>
        <v>660030.85172975156</v>
      </c>
      <c r="AC1136" s="52">
        <f t="shared" ca="1" si="1369"/>
        <v>0</v>
      </c>
      <c r="AD1136" s="52">
        <f t="shared" ca="1" si="1369"/>
        <v>0</v>
      </c>
      <c r="AE1136" s="52">
        <f t="shared" ca="1" si="1369"/>
        <v>0</v>
      </c>
      <c r="AF1136" s="52">
        <f t="shared" ca="1" si="1369"/>
        <v>0</v>
      </c>
      <c r="AG1136" s="52">
        <f t="shared" ca="1" si="1369"/>
        <v>0</v>
      </c>
      <c r="AH1136" s="52">
        <f t="shared" ca="1" si="1369"/>
        <v>0</v>
      </c>
      <c r="AI1136" s="52">
        <f t="shared" ca="1" si="1369"/>
        <v>0</v>
      </c>
      <c r="AJ1136" s="52">
        <f t="shared" ca="1" si="1369"/>
        <v>0</v>
      </c>
      <c r="AK1136" s="52">
        <f t="shared" ca="1" si="1369"/>
        <v>0</v>
      </c>
      <c r="AL1136" s="52">
        <f t="shared" ca="1" si="1369"/>
        <v>0</v>
      </c>
      <c r="AM1136" s="52">
        <f t="shared" ca="1" si="1369"/>
        <v>0</v>
      </c>
      <c r="AN1136" s="52">
        <f t="shared" ca="1" si="1369"/>
        <v>0</v>
      </c>
      <c r="AO1136" s="52">
        <f t="shared" ca="1" si="1369"/>
        <v>0</v>
      </c>
      <c r="AP1136" s="52">
        <f t="shared" ca="1" si="1369"/>
        <v>0</v>
      </c>
      <c r="AQ1136" s="52">
        <f t="shared" ca="1" si="1369"/>
        <v>0</v>
      </c>
      <c r="AR1136" s="52">
        <f t="shared" ca="1" si="1369"/>
        <v>0</v>
      </c>
      <c r="AS1136" s="52">
        <f t="shared" ca="1" si="1369"/>
        <v>0</v>
      </c>
      <c r="AT1136" s="52">
        <f t="shared" ca="1" si="1369"/>
        <v>0</v>
      </c>
      <c r="AU1136" s="52">
        <f t="shared" ca="1" si="1369"/>
        <v>0</v>
      </c>
      <c r="AV1136" s="52">
        <f t="shared" ca="1" si="1369"/>
        <v>0</v>
      </c>
      <c r="AW1136" s="52">
        <f t="shared" ca="1" si="1369"/>
        <v>0</v>
      </c>
      <c r="AX1136" s="52">
        <f t="shared" ca="1" si="1369"/>
        <v>0</v>
      </c>
      <c r="AY1136" s="52">
        <f t="shared" ca="1" si="1369"/>
        <v>0</v>
      </c>
      <c r="AZ1136" s="52">
        <f t="shared" ca="1" si="1369"/>
        <v>0</v>
      </c>
      <c r="BA1136" s="52">
        <f t="shared" ca="1" si="1369"/>
        <v>0</v>
      </c>
      <c r="BB1136" s="52">
        <f t="shared" ca="1" si="1369"/>
        <v>0</v>
      </c>
      <c r="BC1136" s="52">
        <f t="shared" ca="1" si="1369"/>
        <v>0</v>
      </c>
      <c r="BD1136" s="52">
        <f t="shared" ca="1" si="1369"/>
        <v>0</v>
      </c>
      <c r="BE1136" s="52">
        <f t="shared" ca="1" si="1369"/>
        <v>0</v>
      </c>
      <c r="BF1136" s="52">
        <f t="shared" ca="1" si="1369"/>
        <v>0</v>
      </c>
      <c r="BG1136" s="52">
        <f t="shared" ca="1" si="1369"/>
        <v>0</v>
      </c>
      <c r="BH1136" s="52">
        <f t="shared" ca="1" si="1369"/>
        <v>0</v>
      </c>
      <c r="BI1136" s="52">
        <f t="shared" ca="1" si="1369"/>
        <v>0</v>
      </c>
      <c r="BJ1136" s="52">
        <f t="shared" ca="1" si="1369"/>
        <v>0</v>
      </c>
      <c r="BK1136" s="52">
        <f t="shared" ca="1" si="1369"/>
        <v>0</v>
      </c>
      <c r="BL1136" s="52">
        <f t="shared" ca="1" si="1369"/>
        <v>0</v>
      </c>
      <c r="BM1136" s="52">
        <f t="shared" ca="1" si="1369"/>
        <v>0</v>
      </c>
      <c r="BN1136" s="52">
        <f t="shared" ca="1" si="1369"/>
        <v>0</v>
      </c>
      <c r="BO1136" s="52">
        <f t="shared" ca="1" si="1369"/>
        <v>0</v>
      </c>
      <c r="BP1136" s="52">
        <f t="shared" ca="1" si="1369"/>
        <v>0</v>
      </c>
      <c r="BQ1136" s="52">
        <f t="shared" ca="1" si="1369"/>
        <v>0</v>
      </c>
      <c r="BR1136" s="52">
        <f t="shared" ca="1" si="1369"/>
        <v>0</v>
      </c>
      <c r="BS1136" s="52">
        <f t="shared" ca="1" si="1369"/>
        <v>0</v>
      </c>
      <c r="BT1136" s="52">
        <f t="shared" ca="1" si="1369"/>
        <v>0</v>
      </c>
      <c r="BU1136" s="52">
        <f t="shared" ca="1" si="1369"/>
        <v>0</v>
      </c>
      <c r="BV1136" s="52">
        <f t="shared" ca="1" si="1369"/>
        <v>0</v>
      </c>
      <c r="BW1136" s="52">
        <f t="shared" ca="1" si="1369"/>
        <v>0</v>
      </c>
      <c r="BX1136" s="52">
        <f t="shared" ca="1" si="1369"/>
        <v>0</v>
      </c>
      <c r="BY1136" s="52">
        <f t="shared" ref="BY1136:CO1136" ca="1" si="1370">BY1086</f>
        <v>0</v>
      </c>
      <c r="BZ1136" s="52">
        <f t="shared" ca="1" si="1370"/>
        <v>0</v>
      </c>
      <c r="CA1136" s="52">
        <f t="shared" ca="1" si="1370"/>
        <v>0</v>
      </c>
      <c r="CB1136" s="52">
        <f t="shared" ca="1" si="1370"/>
        <v>0</v>
      </c>
      <c r="CC1136" s="52">
        <f t="shared" ca="1" si="1370"/>
        <v>0</v>
      </c>
      <c r="CD1136" s="52">
        <f t="shared" ca="1" si="1370"/>
        <v>0</v>
      </c>
      <c r="CE1136" s="52">
        <f t="shared" ca="1" si="1370"/>
        <v>0</v>
      </c>
      <c r="CF1136" s="52">
        <f t="shared" ca="1" si="1370"/>
        <v>0</v>
      </c>
      <c r="CG1136" s="52">
        <f t="shared" ca="1" si="1370"/>
        <v>0</v>
      </c>
      <c r="CH1136" s="52">
        <f t="shared" ca="1" si="1370"/>
        <v>0</v>
      </c>
      <c r="CI1136" s="52">
        <f t="shared" ca="1" si="1370"/>
        <v>0</v>
      </c>
      <c r="CJ1136" s="52">
        <f t="shared" ca="1" si="1370"/>
        <v>0</v>
      </c>
      <c r="CK1136" s="52">
        <f t="shared" ca="1" si="1370"/>
        <v>0</v>
      </c>
      <c r="CL1136" s="52">
        <f t="shared" ca="1" si="1370"/>
        <v>0</v>
      </c>
      <c r="CM1136" s="52">
        <f t="shared" ca="1" si="1370"/>
        <v>0</v>
      </c>
      <c r="CN1136" s="52">
        <f t="shared" ca="1" si="1370"/>
        <v>0</v>
      </c>
      <c r="CO1136" s="52">
        <f t="shared" ca="1" si="1370"/>
        <v>0</v>
      </c>
    </row>
    <row r="1137" spans="1:93">
      <c r="A1137" s="10"/>
      <c r="B1137" s="10"/>
      <c r="C1137" s="21" t="s">
        <v>395</v>
      </c>
      <c r="D1137" s="10"/>
      <c r="E1137" s="10"/>
      <c r="F1137" s="10"/>
      <c r="G1137" s="11" t="str">
        <f>Monetary_Unit</f>
        <v>тыс. руб.</v>
      </c>
      <c r="H1137" s="10"/>
      <c r="I1137" s="23">
        <f ca="1">SUM(L1137:CO1137)</f>
        <v>-2771888.3794600698</v>
      </c>
      <c r="J1137" s="10"/>
      <c r="K1137" s="10"/>
      <c r="L1137" s="52">
        <f ca="1">L1087</f>
        <v>0</v>
      </c>
      <c r="M1137" s="52">
        <f t="shared" ref="M1137:BX1137" ca="1" si="1371">M1087</f>
        <v>0</v>
      </c>
      <c r="N1137" s="52">
        <f t="shared" ca="1" si="1371"/>
        <v>0</v>
      </c>
      <c r="O1137" s="52">
        <f t="shared" ca="1" si="1371"/>
        <v>0</v>
      </c>
      <c r="P1137" s="52">
        <f t="shared" ca="1" si="1371"/>
        <v>0</v>
      </c>
      <c r="Q1137" s="52">
        <f t="shared" ca="1" si="1371"/>
        <v>0</v>
      </c>
      <c r="R1137" s="52">
        <f t="shared" ca="1" si="1371"/>
        <v>0</v>
      </c>
      <c r="S1137" s="52">
        <f t="shared" ca="1" si="1371"/>
        <v>0</v>
      </c>
      <c r="T1137" s="52">
        <f t="shared" ca="1" si="1371"/>
        <v>0</v>
      </c>
      <c r="U1137" s="52">
        <f t="shared" ca="1" si="1371"/>
        <v>0</v>
      </c>
      <c r="V1137" s="52">
        <f t="shared" ca="1" si="1371"/>
        <v>0</v>
      </c>
      <c r="W1137" s="52">
        <f t="shared" ca="1" si="1371"/>
        <v>0</v>
      </c>
      <c r="X1137" s="52">
        <f t="shared" ca="1" si="1371"/>
        <v>0</v>
      </c>
      <c r="Y1137" s="52">
        <f t="shared" ca="1" si="1371"/>
        <v>0</v>
      </c>
      <c r="Z1137" s="52">
        <f t="shared" ca="1" si="1371"/>
        <v>0</v>
      </c>
      <c r="AA1137" s="52">
        <f t="shared" ca="1" si="1371"/>
        <v>0</v>
      </c>
      <c r="AB1137" s="52">
        <f t="shared" ca="1" si="1371"/>
        <v>0</v>
      </c>
      <c r="AC1137" s="52">
        <f t="shared" ca="1" si="1371"/>
        <v>-426931.12781532214</v>
      </c>
      <c r="AD1137" s="52">
        <f t="shared" ca="1" si="1371"/>
        <v>-208187.55157314718</v>
      </c>
      <c r="AE1137" s="52">
        <f t="shared" ca="1" si="1371"/>
        <v>-118775.97235180263</v>
      </c>
      <c r="AF1137" s="52">
        <f t="shared" ca="1" si="1371"/>
        <v>-55399.233751181804</v>
      </c>
      <c r="AG1137" s="52">
        <f t="shared" ca="1" si="1371"/>
        <v>-65484.432646601446</v>
      </c>
      <c r="AH1137" s="52">
        <f t="shared" ca="1" si="1371"/>
        <v>-153215.60937127657</v>
      </c>
      <c r="AI1137" s="52">
        <f t="shared" ca="1" si="1371"/>
        <v>-148568.80968953908</v>
      </c>
      <c r="AJ1137" s="52">
        <f t="shared" ca="1" si="1371"/>
        <v>-74580.822310337593</v>
      </c>
      <c r="AK1137" s="52">
        <f t="shared" ca="1" si="1371"/>
        <v>-86058.090179155028</v>
      </c>
      <c r="AL1137" s="52">
        <f t="shared" ca="1" si="1371"/>
        <v>-186990.50331830193</v>
      </c>
      <c r="AM1137" s="52">
        <f t="shared" ca="1" si="1371"/>
        <v>-181497.67720045152</v>
      </c>
      <c r="AN1137" s="52">
        <f t="shared" ca="1" si="1371"/>
        <v>-96882.663383457737</v>
      </c>
      <c r="AO1137" s="52">
        <f t="shared" ca="1" si="1371"/>
        <v>-109182.62749578085</v>
      </c>
      <c r="AP1137" s="52">
        <f t="shared" ca="1" si="1371"/>
        <v>-221256.08364928619</v>
      </c>
      <c r="AQ1137" s="52">
        <f t="shared" ca="1" si="1371"/>
        <v>-212074.11197092943</v>
      </c>
      <c r="AR1137" s="52">
        <f t="shared" ca="1" si="1371"/>
        <v>-114089.47942791763</v>
      </c>
      <c r="AS1137" s="52">
        <f t="shared" ca="1" si="1371"/>
        <v>-123366.4488239716</v>
      </c>
      <c r="AT1137" s="52">
        <f t="shared" ca="1" si="1371"/>
        <v>-189347.13450160954</v>
      </c>
      <c r="AU1137" s="52">
        <f t="shared" ca="1" si="1371"/>
        <v>0</v>
      </c>
      <c r="AV1137" s="52">
        <f t="shared" ca="1" si="1371"/>
        <v>0</v>
      </c>
      <c r="AW1137" s="52">
        <f t="shared" ca="1" si="1371"/>
        <v>0</v>
      </c>
      <c r="AX1137" s="52">
        <f t="shared" ca="1" si="1371"/>
        <v>0</v>
      </c>
      <c r="AY1137" s="52">
        <f t="shared" ca="1" si="1371"/>
        <v>0</v>
      </c>
      <c r="AZ1137" s="52">
        <f t="shared" ca="1" si="1371"/>
        <v>0</v>
      </c>
      <c r="BA1137" s="52">
        <f t="shared" ca="1" si="1371"/>
        <v>0</v>
      </c>
      <c r="BB1137" s="52">
        <f t="shared" ca="1" si="1371"/>
        <v>0</v>
      </c>
      <c r="BC1137" s="52">
        <f t="shared" ca="1" si="1371"/>
        <v>0</v>
      </c>
      <c r="BD1137" s="52">
        <f t="shared" ca="1" si="1371"/>
        <v>0</v>
      </c>
      <c r="BE1137" s="52">
        <f t="shared" ca="1" si="1371"/>
        <v>0</v>
      </c>
      <c r="BF1137" s="52">
        <f t="shared" ca="1" si="1371"/>
        <v>0</v>
      </c>
      <c r="BG1137" s="52">
        <f t="shared" ca="1" si="1371"/>
        <v>0</v>
      </c>
      <c r="BH1137" s="52">
        <f t="shared" ca="1" si="1371"/>
        <v>0</v>
      </c>
      <c r="BI1137" s="52">
        <f t="shared" ca="1" si="1371"/>
        <v>0</v>
      </c>
      <c r="BJ1137" s="52">
        <f t="shared" ca="1" si="1371"/>
        <v>0</v>
      </c>
      <c r="BK1137" s="52">
        <f t="shared" ca="1" si="1371"/>
        <v>0</v>
      </c>
      <c r="BL1137" s="52">
        <f t="shared" ca="1" si="1371"/>
        <v>0</v>
      </c>
      <c r="BM1137" s="52">
        <f t="shared" ca="1" si="1371"/>
        <v>0</v>
      </c>
      <c r="BN1137" s="52">
        <f t="shared" ca="1" si="1371"/>
        <v>0</v>
      </c>
      <c r="BO1137" s="52">
        <f t="shared" ca="1" si="1371"/>
        <v>0</v>
      </c>
      <c r="BP1137" s="52">
        <f t="shared" ca="1" si="1371"/>
        <v>0</v>
      </c>
      <c r="BQ1137" s="52">
        <f t="shared" ca="1" si="1371"/>
        <v>0</v>
      </c>
      <c r="BR1137" s="52">
        <f t="shared" ca="1" si="1371"/>
        <v>0</v>
      </c>
      <c r="BS1137" s="52">
        <f t="shared" ca="1" si="1371"/>
        <v>0</v>
      </c>
      <c r="BT1137" s="52">
        <f t="shared" ca="1" si="1371"/>
        <v>0</v>
      </c>
      <c r="BU1137" s="52">
        <f t="shared" ca="1" si="1371"/>
        <v>0</v>
      </c>
      <c r="BV1137" s="52">
        <f t="shared" ca="1" si="1371"/>
        <v>0</v>
      </c>
      <c r="BW1137" s="52">
        <f t="shared" ca="1" si="1371"/>
        <v>0</v>
      </c>
      <c r="BX1137" s="52">
        <f t="shared" ca="1" si="1371"/>
        <v>0</v>
      </c>
      <c r="BY1137" s="52">
        <f t="shared" ref="BY1137:CO1137" ca="1" si="1372">BY1087</f>
        <v>0</v>
      </c>
      <c r="BZ1137" s="52">
        <f t="shared" ca="1" si="1372"/>
        <v>0</v>
      </c>
      <c r="CA1137" s="52">
        <f t="shared" ca="1" si="1372"/>
        <v>0</v>
      </c>
      <c r="CB1137" s="52">
        <f t="shared" ca="1" si="1372"/>
        <v>0</v>
      </c>
      <c r="CC1137" s="52">
        <f t="shared" ca="1" si="1372"/>
        <v>0</v>
      </c>
      <c r="CD1137" s="52">
        <f t="shared" ca="1" si="1372"/>
        <v>0</v>
      </c>
      <c r="CE1137" s="52">
        <f t="shared" ca="1" si="1372"/>
        <v>0</v>
      </c>
      <c r="CF1137" s="52">
        <f t="shared" ca="1" si="1372"/>
        <v>0</v>
      </c>
      <c r="CG1137" s="52">
        <f t="shared" ca="1" si="1372"/>
        <v>0</v>
      </c>
      <c r="CH1137" s="52">
        <f t="shared" ca="1" si="1372"/>
        <v>0</v>
      </c>
      <c r="CI1137" s="52">
        <f t="shared" ca="1" si="1372"/>
        <v>0</v>
      </c>
      <c r="CJ1137" s="52">
        <f t="shared" ca="1" si="1372"/>
        <v>0</v>
      </c>
      <c r="CK1137" s="52">
        <f t="shared" ca="1" si="1372"/>
        <v>0</v>
      </c>
      <c r="CL1137" s="52">
        <f t="shared" ca="1" si="1372"/>
        <v>0</v>
      </c>
      <c r="CM1137" s="52">
        <f t="shared" ca="1" si="1372"/>
        <v>0</v>
      </c>
      <c r="CN1137" s="52">
        <f t="shared" ca="1" si="1372"/>
        <v>0</v>
      </c>
      <c r="CO1137" s="52">
        <f t="shared" ca="1" si="1372"/>
        <v>0</v>
      </c>
    </row>
    <row r="1138" spans="1:93">
      <c r="A1138" s="10"/>
      <c r="B1138" s="10"/>
      <c r="C1138" s="21" t="s">
        <v>179</v>
      </c>
      <c r="D1138" s="10"/>
      <c r="E1138" s="10"/>
      <c r="F1138" s="10"/>
      <c r="G1138" s="11" t="str">
        <f>Monetary_Unit</f>
        <v>тыс. руб.</v>
      </c>
      <c r="H1138" s="10"/>
      <c r="I1138" s="11"/>
      <c r="J1138" s="10"/>
      <c r="L1138" s="52">
        <f ca="1">SUM(L1135:L1137)*(ABS(SUM(L1135:L1137))&gt;Accuracy)</f>
        <v>0</v>
      </c>
      <c r="M1138" s="52">
        <f t="shared" ref="M1138:BX1138" ca="1" si="1373">SUM(M1135:M1137)*(ABS(SUM(M1135:M1137))&gt;Accuracy)</f>
        <v>0</v>
      </c>
      <c r="N1138" s="52">
        <f t="shared" ca="1" si="1373"/>
        <v>0</v>
      </c>
      <c r="O1138" s="52">
        <f t="shared" ca="1" si="1373"/>
        <v>0</v>
      </c>
      <c r="P1138" s="52">
        <f t="shared" ca="1" si="1373"/>
        <v>0</v>
      </c>
      <c r="Q1138" s="52">
        <f t="shared" ca="1" si="1373"/>
        <v>0</v>
      </c>
      <c r="R1138" s="52">
        <f t="shared" ca="1" si="1373"/>
        <v>0</v>
      </c>
      <c r="S1138" s="52">
        <f t="shared" ca="1" si="1373"/>
        <v>0</v>
      </c>
      <c r="T1138" s="52">
        <f t="shared" ca="1" si="1373"/>
        <v>54925.998445192294</v>
      </c>
      <c r="U1138" s="52">
        <f t="shared" ca="1" si="1373"/>
        <v>241334.95009615706</v>
      </c>
      <c r="V1138" s="52">
        <f t="shared" ca="1" si="1373"/>
        <v>429580.66493210581</v>
      </c>
      <c r="W1138" s="52">
        <f t="shared" ca="1" si="1373"/>
        <v>619681.24132743443</v>
      </c>
      <c r="X1138" s="52">
        <f t="shared" ca="1" si="1373"/>
        <v>987256.73114388925</v>
      </c>
      <c r="Y1138" s="52">
        <f t="shared" ca="1" si="1373"/>
        <v>1358454.091698942</v>
      </c>
      <c r="Z1138" s="52">
        <f t="shared" ca="1" si="1373"/>
        <v>1733309.0107574479</v>
      </c>
      <c r="AA1138" s="52">
        <f t="shared" ca="1" si="1373"/>
        <v>2111857.5277303178</v>
      </c>
      <c r="AB1138" s="52">
        <f t="shared" ca="1" si="1373"/>
        <v>2771888.3794600694</v>
      </c>
      <c r="AC1138" s="52">
        <f t="shared" ca="1" si="1373"/>
        <v>2344957.2516447473</v>
      </c>
      <c r="AD1138" s="52">
        <f t="shared" ca="1" si="1373"/>
        <v>2136769.7000716003</v>
      </c>
      <c r="AE1138" s="52">
        <f t="shared" ca="1" si="1373"/>
        <v>2017993.7277197978</v>
      </c>
      <c r="AF1138" s="52">
        <f t="shared" ca="1" si="1373"/>
        <v>1962594.493968616</v>
      </c>
      <c r="AG1138" s="52">
        <f t="shared" ca="1" si="1373"/>
        <v>1897110.0613220145</v>
      </c>
      <c r="AH1138" s="52">
        <f t="shared" ca="1" si="1373"/>
        <v>1743894.451950738</v>
      </c>
      <c r="AI1138" s="52">
        <f t="shared" ca="1" si="1373"/>
        <v>1595325.642261199</v>
      </c>
      <c r="AJ1138" s="52">
        <f t="shared" ca="1" si="1373"/>
        <v>1520744.8199508614</v>
      </c>
      <c r="AK1138" s="52">
        <f t="shared" ca="1" si="1373"/>
        <v>1434686.7297717063</v>
      </c>
      <c r="AL1138" s="52">
        <f t="shared" ca="1" si="1373"/>
        <v>1247696.2264534044</v>
      </c>
      <c r="AM1138" s="52">
        <f t="shared" ca="1" si="1373"/>
        <v>1066198.5492529529</v>
      </c>
      <c r="AN1138" s="52">
        <f t="shared" ca="1" si="1373"/>
        <v>969315.88586949522</v>
      </c>
      <c r="AO1138" s="52">
        <f t="shared" ca="1" si="1373"/>
        <v>860133.2583737144</v>
      </c>
      <c r="AP1138" s="52">
        <f t="shared" ca="1" si="1373"/>
        <v>638877.17472442822</v>
      </c>
      <c r="AQ1138" s="52">
        <f t="shared" ca="1" si="1373"/>
        <v>426803.06275349879</v>
      </c>
      <c r="AR1138" s="52">
        <f t="shared" ca="1" si="1373"/>
        <v>312713.58332558116</v>
      </c>
      <c r="AS1138" s="52">
        <f t="shared" ca="1" si="1373"/>
        <v>189347.13450160954</v>
      </c>
      <c r="AT1138" s="52">
        <f t="shared" ca="1" si="1373"/>
        <v>0</v>
      </c>
      <c r="AU1138" s="52">
        <f t="shared" ca="1" si="1373"/>
        <v>0</v>
      </c>
      <c r="AV1138" s="52">
        <f t="shared" ca="1" si="1373"/>
        <v>0</v>
      </c>
      <c r="AW1138" s="52">
        <f t="shared" ca="1" si="1373"/>
        <v>0</v>
      </c>
      <c r="AX1138" s="52">
        <f t="shared" ca="1" si="1373"/>
        <v>0</v>
      </c>
      <c r="AY1138" s="52">
        <f t="shared" ca="1" si="1373"/>
        <v>0</v>
      </c>
      <c r="AZ1138" s="52">
        <f t="shared" ca="1" si="1373"/>
        <v>0</v>
      </c>
      <c r="BA1138" s="52">
        <f t="shared" ca="1" si="1373"/>
        <v>0</v>
      </c>
      <c r="BB1138" s="52">
        <f t="shared" ca="1" si="1373"/>
        <v>0</v>
      </c>
      <c r="BC1138" s="52">
        <f t="shared" ca="1" si="1373"/>
        <v>0</v>
      </c>
      <c r="BD1138" s="52">
        <f t="shared" ca="1" si="1373"/>
        <v>0</v>
      </c>
      <c r="BE1138" s="52">
        <f t="shared" ca="1" si="1373"/>
        <v>0</v>
      </c>
      <c r="BF1138" s="52">
        <f t="shared" ca="1" si="1373"/>
        <v>0</v>
      </c>
      <c r="BG1138" s="52">
        <f t="shared" ca="1" si="1373"/>
        <v>0</v>
      </c>
      <c r="BH1138" s="52">
        <f t="shared" ca="1" si="1373"/>
        <v>0</v>
      </c>
      <c r="BI1138" s="52">
        <f t="shared" ca="1" si="1373"/>
        <v>0</v>
      </c>
      <c r="BJ1138" s="52">
        <f t="shared" ca="1" si="1373"/>
        <v>0</v>
      </c>
      <c r="BK1138" s="52">
        <f t="shared" ca="1" si="1373"/>
        <v>0</v>
      </c>
      <c r="BL1138" s="52">
        <f t="shared" ca="1" si="1373"/>
        <v>0</v>
      </c>
      <c r="BM1138" s="52">
        <f t="shared" ca="1" si="1373"/>
        <v>0</v>
      </c>
      <c r="BN1138" s="52">
        <f t="shared" ca="1" si="1373"/>
        <v>0</v>
      </c>
      <c r="BO1138" s="52">
        <f t="shared" ca="1" si="1373"/>
        <v>0</v>
      </c>
      <c r="BP1138" s="52">
        <f t="shared" ca="1" si="1373"/>
        <v>0</v>
      </c>
      <c r="BQ1138" s="52">
        <f t="shared" ca="1" si="1373"/>
        <v>0</v>
      </c>
      <c r="BR1138" s="52">
        <f t="shared" ca="1" si="1373"/>
        <v>0</v>
      </c>
      <c r="BS1138" s="52">
        <f t="shared" ca="1" si="1373"/>
        <v>0</v>
      </c>
      <c r="BT1138" s="52">
        <f t="shared" ca="1" si="1373"/>
        <v>0</v>
      </c>
      <c r="BU1138" s="52">
        <f t="shared" ca="1" si="1373"/>
        <v>0</v>
      </c>
      <c r="BV1138" s="52">
        <f t="shared" ca="1" si="1373"/>
        <v>0</v>
      </c>
      <c r="BW1138" s="52">
        <f t="shared" ca="1" si="1373"/>
        <v>0</v>
      </c>
      <c r="BX1138" s="52">
        <f t="shared" ca="1" si="1373"/>
        <v>0</v>
      </c>
      <c r="BY1138" s="52">
        <f t="shared" ref="BY1138:CO1138" ca="1" si="1374">SUM(BY1135:BY1137)*(ABS(SUM(BY1135:BY1137))&gt;Accuracy)</f>
        <v>0</v>
      </c>
      <c r="BZ1138" s="52">
        <f t="shared" ca="1" si="1374"/>
        <v>0</v>
      </c>
      <c r="CA1138" s="52">
        <f t="shared" ca="1" si="1374"/>
        <v>0</v>
      </c>
      <c r="CB1138" s="52">
        <f t="shared" ca="1" si="1374"/>
        <v>0</v>
      </c>
      <c r="CC1138" s="52">
        <f t="shared" ca="1" si="1374"/>
        <v>0</v>
      </c>
      <c r="CD1138" s="52">
        <f t="shared" ca="1" si="1374"/>
        <v>0</v>
      </c>
      <c r="CE1138" s="52">
        <f t="shared" ca="1" si="1374"/>
        <v>0</v>
      </c>
      <c r="CF1138" s="52">
        <f t="shared" ca="1" si="1374"/>
        <v>0</v>
      </c>
      <c r="CG1138" s="52">
        <f t="shared" ca="1" si="1374"/>
        <v>0</v>
      </c>
      <c r="CH1138" s="52">
        <f t="shared" ca="1" si="1374"/>
        <v>0</v>
      </c>
      <c r="CI1138" s="52">
        <f t="shared" ca="1" si="1374"/>
        <v>0</v>
      </c>
      <c r="CJ1138" s="52">
        <f t="shared" ca="1" si="1374"/>
        <v>0</v>
      </c>
      <c r="CK1138" s="52">
        <f t="shared" ca="1" si="1374"/>
        <v>0</v>
      </c>
      <c r="CL1138" s="52">
        <f t="shared" ca="1" si="1374"/>
        <v>0</v>
      </c>
      <c r="CM1138" s="52">
        <f t="shared" ca="1" si="1374"/>
        <v>0</v>
      </c>
      <c r="CN1138" s="52">
        <f t="shared" ca="1" si="1374"/>
        <v>0</v>
      </c>
      <c r="CO1138" s="52">
        <f t="shared" ca="1" si="1374"/>
        <v>0</v>
      </c>
    </row>
    <row r="1139" spans="1:93">
      <c r="A1139" s="10"/>
      <c r="B1139" s="10"/>
      <c r="C1139" s="21"/>
      <c r="D1139" s="10"/>
      <c r="E1139" s="10"/>
      <c r="F1139" s="10"/>
      <c r="G1139" s="11"/>
      <c r="H1139" s="10"/>
      <c r="I1139" s="11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0"/>
      <c r="AH1139" s="10"/>
      <c r="AI1139" s="10"/>
      <c r="AJ1139" s="10"/>
      <c r="AK1139" s="10"/>
      <c r="AL1139" s="10"/>
      <c r="AM1139" s="10"/>
      <c r="AN1139" s="10"/>
      <c r="AO1139" s="10"/>
      <c r="AP1139" s="10"/>
      <c r="AQ1139" s="10"/>
      <c r="AR1139" s="10"/>
      <c r="AS1139" s="10"/>
      <c r="AT1139" s="10"/>
      <c r="AU1139" s="10"/>
      <c r="AV1139" s="10"/>
      <c r="AW1139" s="10"/>
      <c r="AX1139" s="10"/>
      <c r="AY1139" s="10"/>
      <c r="AZ1139" s="10"/>
      <c r="BA1139" s="10"/>
      <c r="BB1139" s="10"/>
      <c r="BC1139" s="10"/>
      <c r="BD1139" s="10"/>
      <c r="BE1139" s="10"/>
      <c r="BF1139" s="10"/>
      <c r="BG1139" s="10"/>
      <c r="BH1139" s="10"/>
      <c r="BI1139" s="10"/>
      <c r="BJ1139" s="10"/>
      <c r="BK1139" s="10"/>
      <c r="BL1139" s="10"/>
      <c r="BM1139" s="10"/>
      <c r="BN1139" s="10"/>
      <c r="BO1139" s="10"/>
      <c r="BP1139" s="10"/>
      <c r="BQ1139" s="10"/>
      <c r="BR1139" s="10"/>
      <c r="BS1139" s="10"/>
      <c r="BT1139" s="10"/>
      <c r="BU1139" s="10"/>
      <c r="BV1139" s="10"/>
      <c r="BW1139" s="10"/>
      <c r="BX1139" s="10"/>
      <c r="BY1139" s="10"/>
      <c r="BZ1139" s="10"/>
      <c r="CA1139" s="10"/>
      <c r="CB1139" s="10"/>
      <c r="CC1139" s="10"/>
      <c r="CD1139" s="10"/>
      <c r="CE1139" s="10"/>
      <c r="CF1139" s="10"/>
      <c r="CG1139" s="10"/>
      <c r="CH1139" s="10"/>
      <c r="CI1139" s="10"/>
      <c r="CJ1139" s="10"/>
      <c r="CK1139" s="10"/>
      <c r="CL1139" s="10"/>
      <c r="CM1139" s="10"/>
      <c r="CN1139" s="10"/>
      <c r="CO1139" s="10"/>
    </row>
    <row r="1140" spans="1:93">
      <c r="A1140" s="10"/>
      <c r="B1140" s="10"/>
      <c r="C1140" s="32" t="s">
        <v>323</v>
      </c>
      <c r="D1140" s="10"/>
      <c r="E1140" s="10"/>
      <c r="F1140" s="10"/>
      <c r="G1140" s="11"/>
      <c r="H1140" s="10"/>
      <c r="I1140" s="11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0"/>
      <c r="AH1140" s="10"/>
      <c r="AI1140" s="10"/>
      <c r="AJ1140" s="10"/>
      <c r="AK1140" s="10"/>
      <c r="AL1140" s="10"/>
      <c r="AM1140" s="10"/>
      <c r="AN1140" s="10"/>
      <c r="AO1140" s="10"/>
      <c r="AP1140" s="10"/>
      <c r="AQ1140" s="10"/>
      <c r="AR1140" s="10"/>
      <c r="AS1140" s="10"/>
      <c r="AT1140" s="10"/>
      <c r="AU1140" s="10"/>
      <c r="AV1140" s="10"/>
      <c r="AW1140" s="10"/>
      <c r="AX1140" s="10"/>
      <c r="AY1140" s="10"/>
      <c r="AZ1140" s="10"/>
      <c r="BA1140" s="10"/>
      <c r="BB1140" s="10"/>
      <c r="BC1140" s="10"/>
      <c r="BD1140" s="10"/>
      <c r="BE1140" s="10"/>
      <c r="BF1140" s="10"/>
      <c r="BG1140" s="10"/>
      <c r="BH1140" s="10"/>
      <c r="BI1140" s="10"/>
      <c r="BJ1140" s="10"/>
      <c r="BK1140" s="10"/>
      <c r="BL1140" s="10"/>
      <c r="BM1140" s="10"/>
      <c r="BN1140" s="10"/>
      <c r="BO1140" s="10"/>
      <c r="BP1140" s="10"/>
      <c r="BQ1140" s="10"/>
      <c r="BR1140" s="10"/>
      <c r="BS1140" s="10"/>
      <c r="BT1140" s="10"/>
      <c r="BU1140" s="10"/>
      <c r="BV1140" s="10"/>
      <c r="BW1140" s="10"/>
      <c r="BX1140" s="10"/>
      <c r="BY1140" s="10"/>
      <c r="BZ1140" s="10"/>
      <c r="CA1140" s="10"/>
      <c r="CB1140" s="10"/>
      <c r="CC1140" s="10"/>
      <c r="CD1140" s="10"/>
      <c r="CE1140" s="10"/>
      <c r="CF1140" s="10"/>
      <c r="CG1140" s="10"/>
      <c r="CH1140" s="10"/>
      <c r="CI1140" s="10"/>
      <c r="CJ1140" s="10"/>
      <c r="CK1140" s="10"/>
      <c r="CL1140" s="10"/>
      <c r="CM1140" s="10"/>
      <c r="CN1140" s="10"/>
      <c r="CO1140" s="10"/>
    </row>
    <row r="1141" spans="1:93">
      <c r="A1141" s="10"/>
      <c r="B1141" s="10"/>
      <c r="C1141" s="21" t="s">
        <v>182</v>
      </c>
      <c r="D1141" s="10"/>
      <c r="E1141" s="10"/>
      <c r="F1141" s="10"/>
      <c r="G1141" s="11" t="str">
        <f>Monetary_Unit</f>
        <v>тыс. руб.</v>
      </c>
      <c r="H1141" s="10"/>
      <c r="I1141" s="23">
        <f ca="1">SUM(L1141:CO1141)</f>
        <v>-472505.91550729872</v>
      </c>
      <c r="J1141" s="10"/>
      <c r="K1141" s="10"/>
      <c r="L1141" s="52">
        <f>-L1112</f>
        <v>0</v>
      </c>
      <c r="M1141" s="52">
        <f t="shared" ref="M1141:BX1141" ca="1" si="1375">-M1112</f>
        <v>0</v>
      </c>
      <c r="N1141" s="52">
        <f t="shared" ca="1" si="1375"/>
        <v>0</v>
      </c>
      <c r="O1141" s="52">
        <f t="shared" ca="1" si="1375"/>
        <v>0</v>
      </c>
      <c r="P1141" s="52">
        <f t="shared" ca="1" si="1375"/>
        <v>0</v>
      </c>
      <c r="Q1141" s="52">
        <f t="shared" ca="1" si="1375"/>
        <v>0</v>
      </c>
      <c r="R1141" s="52">
        <f t="shared" ca="1" si="1375"/>
        <v>0</v>
      </c>
      <c r="S1141" s="52">
        <f t="shared" ca="1" si="1375"/>
        <v>0</v>
      </c>
      <c r="T1141" s="52">
        <f t="shared" ca="1" si="1375"/>
        <v>-375.82926333388428</v>
      </c>
      <c r="U1141" s="52">
        <f t="shared" ca="1" si="1375"/>
        <v>-2049.679343298747</v>
      </c>
      <c r="V1141" s="52">
        <f t="shared" ca="1" si="1375"/>
        <v>-4692.73305525248</v>
      </c>
      <c r="W1141" s="52">
        <f t="shared" ca="1" si="1375"/>
        <v>-7339.0839635085113</v>
      </c>
      <c r="X1141" s="52">
        <f t="shared" ca="1" si="1375"/>
        <v>-11087.213428915877</v>
      </c>
      <c r="Y1141" s="52">
        <f t="shared" ca="1" si="1375"/>
        <v>-16184.443320720929</v>
      </c>
      <c r="Z1141" s="52">
        <f t="shared" ca="1" si="1375"/>
        <v>-21566.314755658917</v>
      </c>
      <c r="AA1141" s="52">
        <f t="shared" ca="1" si="1375"/>
        <v>-26821.612493877776</v>
      </c>
      <c r="AB1141" s="52">
        <f t="shared" ca="1" si="1375"/>
        <v>-33416.864118378056</v>
      </c>
      <c r="AC1141" s="52">
        <f t="shared" ca="1" si="1375"/>
        <v>-38354.581535515288</v>
      </c>
      <c r="AD1141" s="52">
        <f t="shared" ca="1" si="1375"/>
        <v>-32803.703361364605</v>
      </c>
      <c r="AE1141" s="52">
        <f t="shared" ca="1" si="1375"/>
        <v>-29891.359146755047</v>
      </c>
      <c r="AF1141" s="52">
        <f t="shared" ca="1" si="1375"/>
        <v>-27616.105945096959</v>
      </c>
      <c r="AG1141" s="52">
        <f t="shared" ca="1" si="1375"/>
        <v>-27156.393128187661</v>
      </c>
      <c r="AH1141" s="52">
        <f t="shared" ca="1" si="1375"/>
        <v>-26538.750611260843</v>
      </c>
      <c r="AI1141" s="52">
        <f t="shared" ca="1" si="1375"/>
        <v>-24395.411155234164</v>
      </c>
      <c r="AJ1141" s="52">
        <f t="shared" ca="1" si="1375"/>
        <v>-21831.922145464901</v>
      </c>
      <c r="AK1141" s="52">
        <f t="shared" ca="1" si="1375"/>
        <v>-21042.52524153925</v>
      </c>
      <c r="AL1141" s="52">
        <f t="shared" ca="1" si="1375"/>
        <v>-20069.891622505023</v>
      </c>
      <c r="AM1141" s="52">
        <f t="shared" ca="1" si="1375"/>
        <v>-17454.073787044064</v>
      </c>
      <c r="AN1141" s="52">
        <f t="shared" ca="1" si="1375"/>
        <v>-14712.666046453658</v>
      </c>
      <c r="AO1141" s="52">
        <f t="shared" ca="1" si="1375"/>
        <v>-13375.764703781109</v>
      </c>
      <c r="AP1141" s="52">
        <f t="shared" ca="1" si="1375"/>
        <v>-11999.563981574278</v>
      </c>
      <c r="AQ1141" s="52">
        <f t="shared" ca="1" si="1375"/>
        <v>-8912.8602572211221</v>
      </c>
      <c r="AR1141" s="52">
        <f t="shared" ca="1" si="1375"/>
        <v>-5840.770680695141</v>
      </c>
      <c r="AS1141" s="52">
        <f t="shared" ca="1" si="1375"/>
        <v>-4327.01356872835</v>
      </c>
      <c r="AT1141" s="52">
        <f t="shared" ca="1" si="1375"/>
        <v>-2648.7848459321053</v>
      </c>
      <c r="AU1141" s="52">
        <f t="shared" ca="1" si="1375"/>
        <v>0</v>
      </c>
      <c r="AV1141" s="52">
        <f t="shared" ca="1" si="1375"/>
        <v>0</v>
      </c>
      <c r="AW1141" s="52">
        <f t="shared" ca="1" si="1375"/>
        <v>0</v>
      </c>
      <c r="AX1141" s="52">
        <f t="shared" ca="1" si="1375"/>
        <v>0</v>
      </c>
      <c r="AY1141" s="52">
        <f t="shared" ca="1" si="1375"/>
        <v>0</v>
      </c>
      <c r="AZ1141" s="52">
        <f t="shared" ca="1" si="1375"/>
        <v>0</v>
      </c>
      <c r="BA1141" s="52">
        <f t="shared" ca="1" si="1375"/>
        <v>0</v>
      </c>
      <c r="BB1141" s="52">
        <f t="shared" ca="1" si="1375"/>
        <v>0</v>
      </c>
      <c r="BC1141" s="52">
        <f t="shared" ca="1" si="1375"/>
        <v>0</v>
      </c>
      <c r="BD1141" s="52">
        <f t="shared" ca="1" si="1375"/>
        <v>0</v>
      </c>
      <c r="BE1141" s="52">
        <f t="shared" ca="1" si="1375"/>
        <v>0</v>
      </c>
      <c r="BF1141" s="52">
        <f t="shared" ca="1" si="1375"/>
        <v>0</v>
      </c>
      <c r="BG1141" s="52">
        <f t="shared" ca="1" si="1375"/>
        <v>0</v>
      </c>
      <c r="BH1141" s="52">
        <f t="shared" ca="1" si="1375"/>
        <v>0</v>
      </c>
      <c r="BI1141" s="52">
        <f t="shared" ca="1" si="1375"/>
        <v>0</v>
      </c>
      <c r="BJ1141" s="52">
        <f t="shared" ca="1" si="1375"/>
        <v>0</v>
      </c>
      <c r="BK1141" s="52">
        <f t="shared" ca="1" si="1375"/>
        <v>0</v>
      </c>
      <c r="BL1141" s="52">
        <f t="shared" ca="1" si="1375"/>
        <v>0</v>
      </c>
      <c r="BM1141" s="52">
        <f t="shared" ca="1" si="1375"/>
        <v>0</v>
      </c>
      <c r="BN1141" s="52">
        <f t="shared" ca="1" si="1375"/>
        <v>0</v>
      </c>
      <c r="BO1141" s="52">
        <f t="shared" ca="1" si="1375"/>
        <v>0</v>
      </c>
      <c r="BP1141" s="52">
        <f t="shared" ca="1" si="1375"/>
        <v>0</v>
      </c>
      <c r="BQ1141" s="52">
        <f t="shared" ca="1" si="1375"/>
        <v>0</v>
      </c>
      <c r="BR1141" s="52">
        <f t="shared" ca="1" si="1375"/>
        <v>0</v>
      </c>
      <c r="BS1141" s="52">
        <f t="shared" ca="1" si="1375"/>
        <v>0</v>
      </c>
      <c r="BT1141" s="52">
        <f t="shared" ca="1" si="1375"/>
        <v>0</v>
      </c>
      <c r="BU1141" s="52">
        <f t="shared" ca="1" si="1375"/>
        <v>0</v>
      </c>
      <c r="BV1141" s="52">
        <f t="shared" ca="1" si="1375"/>
        <v>0</v>
      </c>
      <c r="BW1141" s="52">
        <f t="shared" ca="1" si="1375"/>
        <v>0</v>
      </c>
      <c r="BX1141" s="52">
        <f t="shared" ca="1" si="1375"/>
        <v>0</v>
      </c>
      <c r="BY1141" s="52">
        <f t="shared" ref="BY1141:CO1141" ca="1" si="1376">-BY1112</f>
        <v>0</v>
      </c>
      <c r="BZ1141" s="52">
        <f t="shared" ca="1" si="1376"/>
        <v>0</v>
      </c>
      <c r="CA1141" s="52">
        <f t="shared" ca="1" si="1376"/>
        <v>0</v>
      </c>
      <c r="CB1141" s="52">
        <f t="shared" ca="1" si="1376"/>
        <v>0</v>
      </c>
      <c r="CC1141" s="52">
        <f t="shared" ca="1" si="1376"/>
        <v>0</v>
      </c>
      <c r="CD1141" s="52">
        <f t="shared" ca="1" si="1376"/>
        <v>0</v>
      </c>
      <c r="CE1141" s="52">
        <f t="shared" ca="1" si="1376"/>
        <v>0</v>
      </c>
      <c r="CF1141" s="52">
        <f t="shared" ca="1" si="1376"/>
        <v>0</v>
      </c>
      <c r="CG1141" s="52">
        <f t="shared" ca="1" si="1376"/>
        <v>0</v>
      </c>
      <c r="CH1141" s="52">
        <f t="shared" ca="1" si="1376"/>
        <v>0</v>
      </c>
      <c r="CI1141" s="52">
        <f t="shared" ca="1" si="1376"/>
        <v>0</v>
      </c>
      <c r="CJ1141" s="52">
        <f t="shared" ca="1" si="1376"/>
        <v>0</v>
      </c>
      <c r="CK1141" s="52">
        <f t="shared" ca="1" si="1376"/>
        <v>0</v>
      </c>
      <c r="CL1141" s="52">
        <f t="shared" ca="1" si="1376"/>
        <v>0</v>
      </c>
      <c r="CM1141" s="52">
        <f t="shared" ca="1" si="1376"/>
        <v>0</v>
      </c>
      <c r="CN1141" s="52">
        <f t="shared" ca="1" si="1376"/>
        <v>0</v>
      </c>
      <c r="CO1141" s="52">
        <f t="shared" ca="1" si="1376"/>
        <v>0</v>
      </c>
    </row>
    <row r="1142" spans="1:93">
      <c r="A1142" s="10"/>
      <c r="B1142" s="10"/>
      <c r="C1142" s="21" t="s">
        <v>413</v>
      </c>
      <c r="D1142" s="10"/>
      <c r="E1142" s="10"/>
      <c r="F1142" s="10"/>
      <c r="G1142" s="11" t="str">
        <f>Monetary_Unit</f>
        <v>тыс. руб.</v>
      </c>
      <c r="H1142" s="10"/>
      <c r="I1142" s="23">
        <f ca="1">SUM(L1142:CO1142)</f>
        <v>-123533.77374294518</v>
      </c>
      <c r="J1142" s="10"/>
      <c r="K1142" s="10"/>
      <c r="L1142" s="52">
        <f>L1141*NOT(Flag_Operations)</f>
        <v>0</v>
      </c>
      <c r="M1142" s="52">
        <f t="shared" ref="M1142:BX1142" ca="1" si="1377">M1141*NOT(Flag_Operations)</f>
        <v>0</v>
      </c>
      <c r="N1142" s="52">
        <f t="shared" ca="1" si="1377"/>
        <v>0</v>
      </c>
      <c r="O1142" s="52">
        <f t="shared" ca="1" si="1377"/>
        <v>0</v>
      </c>
      <c r="P1142" s="52">
        <f t="shared" ca="1" si="1377"/>
        <v>0</v>
      </c>
      <c r="Q1142" s="52">
        <f t="shared" ca="1" si="1377"/>
        <v>0</v>
      </c>
      <c r="R1142" s="52">
        <f t="shared" ca="1" si="1377"/>
        <v>0</v>
      </c>
      <c r="S1142" s="52">
        <f t="shared" ca="1" si="1377"/>
        <v>0</v>
      </c>
      <c r="T1142" s="52">
        <f t="shared" ca="1" si="1377"/>
        <v>-375.82926333388428</v>
      </c>
      <c r="U1142" s="52">
        <f t="shared" ca="1" si="1377"/>
        <v>-2049.679343298747</v>
      </c>
      <c r="V1142" s="52">
        <f t="shared" ca="1" si="1377"/>
        <v>-4692.73305525248</v>
      </c>
      <c r="W1142" s="52">
        <f t="shared" ca="1" si="1377"/>
        <v>-7339.0839635085113</v>
      </c>
      <c r="X1142" s="52">
        <f t="shared" ca="1" si="1377"/>
        <v>-11087.213428915877</v>
      </c>
      <c r="Y1142" s="52">
        <f t="shared" ca="1" si="1377"/>
        <v>-16184.443320720929</v>
      </c>
      <c r="Z1142" s="52">
        <f t="shared" ca="1" si="1377"/>
        <v>-21566.314755658917</v>
      </c>
      <c r="AA1142" s="52">
        <f t="shared" ca="1" si="1377"/>
        <v>-26821.612493877776</v>
      </c>
      <c r="AB1142" s="52">
        <f t="shared" ca="1" si="1377"/>
        <v>-33416.864118378056</v>
      </c>
      <c r="AC1142" s="52">
        <f t="shared" ca="1" si="1377"/>
        <v>0</v>
      </c>
      <c r="AD1142" s="52">
        <f t="shared" ca="1" si="1377"/>
        <v>0</v>
      </c>
      <c r="AE1142" s="52">
        <f t="shared" ca="1" si="1377"/>
        <v>0</v>
      </c>
      <c r="AF1142" s="52">
        <f t="shared" ca="1" si="1377"/>
        <v>0</v>
      </c>
      <c r="AG1142" s="52">
        <f t="shared" ca="1" si="1377"/>
        <v>0</v>
      </c>
      <c r="AH1142" s="52">
        <f t="shared" ca="1" si="1377"/>
        <v>0</v>
      </c>
      <c r="AI1142" s="52">
        <f t="shared" ca="1" si="1377"/>
        <v>0</v>
      </c>
      <c r="AJ1142" s="52">
        <f t="shared" ca="1" si="1377"/>
        <v>0</v>
      </c>
      <c r="AK1142" s="52">
        <f t="shared" ca="1" si="1377"/>
        <v>0</v>
      </c>
      <c r="AL1142" s="52">
        <f t="shared" ca="1" si="1377"/>
        <v>0</v>
      </c>
      <c r="AM1142" s="52">
        <f t="shared" ca="1" si="1377"/>
        <v>0</v>
      </c>
      <c r="AN1142" s="52">
        <f t="shared" ca="1" si="1377"/>
        <v>0</v>
      </c>
      <c r="AO1142" s="52">
        <f t="shared" ca="1" si="1377"/>
        <v>0</v>
      </c>
      <c r="AP1142" s="52">
        <f t="shared" ca="1" si="1377"/>
        <v>0</v>
      </c>
      <c r="AQ1142" s="52">
        <f t="shared" ca="1" si="1377"/>
        <v>0</v>
      </c>
      <c r="AR1142" s="52">
        <f t="shared" ca="1" si="1377"/>
        <v>0</v>
      </c>
      <c r="AS1142" s="52">
        <f t="shared" ca="1" si="1377"/>
        <v>0</v>
      </c>
      <c r="AT1142" s="52">
        <f t="shared" ca="1" si="1377"/>
        <v>0</v>
      </c>
      <c r="AU1142" s="52">
        <f t="shared" ca="1" si="1377"/>
        <v>0</v>
      </c>
      <c r="AV1142" s="52">
        <f t="shared" ca="1" si="1377"/>
        <v>0</v>
      </c>
      <c r="AW1142" s="52">
        <f t="shared" ca="1" si="1377"/>
        <v>0</v>
      </c>
      <c r="AX1142" s="52">
        <f t="shared" ca="1" si="1377"/>
        <v>0</v>
      </c>
      <c r="AY1142" s="52">
        <f t="shared" ca="1" si="1377"/>
        <v>0</v>
      </c>
      <c r="AZ1142" s="52">
        <f t="shared" ca="1" si="1377"/>
        <v>0</v>
      </c>
      <c r="BA1142" s="52">
        <f t="shared" ca="1" si="1377"/>
        <v>0</v>
      </c>
      <c r="BB1142" s="52">
        <f t="shared" ca="1" si="1377"/>
        <v>0</v>
      </c>
      <c r="BC1142" s="52">
        <f t="shared" ca="1" si="1377"/>
        <v>0</v>
      </c>
      <c r="BD1142" s="52">
        <f t="shared" ca="1" si="1377"/>
        <v>0</v>
      </c>
      <c r="BE1142" s="52">
        <f t="shared" ca="1" si="1377"/>
        <v>0</v>
      </c>
      <c r="BF1142" s="52">
        <f t="shared" ca="1" si="1377"/>
        <v>0</v>
      </c>
      <c r="BG1142" s="52">
        <f t="shared" ca="1" si="1377"/>
        <v>0</v>
      </c>
      <c r="BH1142" s="52">
        <f t="shared" ca="1" si="1377"/>
        <v>0</v>
      </c>
      <c r="BI1142" s="52">
        <f t="shared" ca="1" si="1377"/>
        <v>0</v>
      </c>
      <c r="BJ1142" s="52">
        <f t="shared" ca="1" si="1377"/>
        <v>0</v>
      </c>
      <c r="BK1142" s="52">
        <f t="shared" ca="1" si="1377"/>
        <v>0</v>
      </c>
      <c r="BL1142" s="52">
        <f t="shared" ca="1" si="1377"/>
        <v>0</v>
      </c>
      <c r="BM1142" s="52">
        <f t="shared" ca="1" si="1377"/>
        <v>0</v>
      </c>
      <c r="BN1142" s="52">
        <f t="shared" ca="1" si="1377"/>
        <v>0</v>
      </c>
      <c r="BO1142" s="52">
        <f t="shared" ca="1" si="1377"/>
        <v>0</v>
      </c>
      <c r="BP1142" s="52">
        <f t="shared" ca="1" si="1377"/>
        <v>0</v>
      </c>
      <c r="BQ1142" s="52">
        <f t="shared" ca="1" si="1377"/>
        <v>0</v>
      </c>
      <c r="BR1142" s="52">
        <f t="shared" ca="1" si="1377"/>
        <v>0</v>
      </c>
      <c r="BS1142" s="52">
        <f t="shared" ca="1" si="1377"/>
        <v>0</v>
      </c>
      <c r="BT1142" s="52">
        <f t="shared" ca="1" si="1377"/>
        <v>0</v>
      </c>
      <c r="BU1142" s="52">
        <f t="shared" ca="1" si="1377"/>
        <v>0</v>
      </c>
      <c r="BV1142" s="52">
        <f t="shared" ca="1" si="1377"/>
        <v>0</v>
      </c>
      <c r="BW1142" s="52">
        <f t="shared" ca="1" si="1377"/>
        <v>0</v>
      </c>
      <c r="BX1142" s="52">
        <f t="shared" ca="1" si="1377"/>
        <v>0</v>
      </c>
      <c r="BY1142" s="52">
        <f t="shared" ref="BY1142:CO1142" ca="1" si="1378">BY1141*NOT(Flag_Operations)</f>
        <v>0</v>
      </c>
      <c r="BZ1142" s="52">
        <f t="shared" ca="1" si="1378"/>
        <v>0</v>
      </c>
      <c r="CA1142" s="52">
        <f t="shared" ca="1" si="1378"/>
        <v>0</v>
      </c>
      <c r="CB1142" s="52">
        <f t="shared" ca="1" si="1378"/>
        <v>0</v>
      </c>
      <c r="CC1142" s="52">
        <f t="shared" ca="1" si="1378"/>
        <v>0</v>
      </c>
      <c r="CD1142" s="52">
        <f t="shared" ca="1" si="1378"/>
        <v>0</v>
      </c>
      <c r="CE1142" s="52">
        <f t="shared" ca="1" si="1378"/>
        <v>0</v>
      </c>
      <c r="CF1142" s="52">
        <f t="shared" ca="1" si="1378"/>
        <v>0</v>
      </c>
      <c r="CG1142" s="52">
        <f t="shared" ca="1" si="1378"/>
        <v>0</v>
      </c>
      <c r="CH1142" s="52">
        <f t="shared" ca="1" si="1378"/>
        <v>0</v>
      </c>
      <c r="CI1142" s="52">
        <f t="shared" ca="1" si="1378"/>
        <v>0</v>
      </c>
      <c r="CJ1142" s="52">
        <f t="shared" ca="1" si="1378"/>
        <v>0</v>
      </c>
      <c r="CK1142" s="52">
        <f t="shared" ca="1" si="1378"/>
        <v>0</v>
      </c>
      <c r="CL1142" s="52">
        <f t="shared" ca="1" si="1378"/>
        <v>0</v>
      </c>
      <c r="CM1142" s="52">
        <f t="shared" ca="1" si="1378"/>
        <v>0</v>
      </c>
      <c r="CN1142" s="52">
        <f t="shared" ca="1" si="1378"/>
        <v>0</v>
      </c>
      <c r="CO1142" s="52">
        <f t="shared" ca="1" si="1378"/>
        <v>0</v>
      </c>
    </row>
    <row r="1143" spans="1:93">
      <c r="A1143" s="10"/>
      <c r="B1143" s="10"/>
      <c r="C1143" s="21" t="s">
        <v>414</v>
      </c>
      <c r="D1143" s="10"/>
      <c r="E1143" s="10"/>
      <c r="F1143" s="10"/>
      <c r="G1143" s="11" t="str">
        <f>Monetary_Unit</f>
        <v>тыс. руб.</v>
      </c>
      <c r="H1143" s="10"/>
      <c r="I1143" s="23">
        <f ca="1">SUM(L1143:CO1143)</f>
        <v>-348972.14176435355</v>
      </c>
      <c r="J1143" s="10"/>
      <c r="K1143" s="10"/>
      <c r="L1143" s="52">
        <f>L1141*Flag_Operations</f>
        <v>0</v>
      </c>
      <c r="M1143" s="52">
        <f t="shared" ref="M1143:BX1143" ca="1" si="1379">M1141*Flag_Operations</f>
        <v>0</v>
      </c>
      <c r="N1143" s="52">
        <f t="shared" ca="1" si="1379"/>
        <v>0</v>
      </c>
      <c r="O1143" s="52">
        <f t="shared" ca="1" si="1379"/>
        <v>0</v>
      </c>
      <c r="P1143" s="52">
        <f t="shared" ca="1" si="1379"/>
        <v>0</v>
      </c>
      <c r="Q1143" s="52">
        <f t="shared" ca="1" si="1379"/>
        <v>0</v>
      </c>
      <c r="R1143" s="52">
        <f t="shared" ca="1" si="1379"/>
        <v>0</v>
      </c>
      <c r="S1143" s="52">
        <f t="shared" ca="1" si="1379"/>
        <v>0</v>
      </c>
      <c r="T1143" s="52">
        <f t="shared" ca="1" si="1379"/>
        <v>0</v>
      </c>
      <c r="U1143" s="52">
        <f t="shared" ca="1" si="1379"/>
        <v>0</v>
      </c>
      <c r="V1143" s="52">
        <f t="shared" ca="1" si="1379"/>
        <v>0</v>
      </c>
      <c r="W1143" s="52">
        <f t="shared" ca="1" si="1379"/>
        <v>0</v>
      </c>
      <c r="X1143" s="52">
        <f t="shared" ca="1" si="1379"/>
        <v>0</v>
      </c>
      <c r="Y1143" s="52">
        <f t="shared" ca="1" si="1379"/>
        <v>0</v>
      </c>
      <c r="Z1143" s="52">
        <f t="shared" ca="1" si="1379"/>
        <v>0</v>
      </c>
      <c r="AA1143" s="52">
        <f t="shared" ca="1" si="1379"/>
        <v>0</v>
      </c>
      <c r="AB1143" s="52">
        <f t="shared" ca="1" si="1379"/>
        <v>0</v>
      </c>
      <c r="AC1143" s="52">
        <f t="shared" ca="1" si="1379"/>
        <v>-38354.581535515288</v>
      </c>
      <c r="AD1143" s="52">
        <f t="shared" ca="1" si="1379"/>
        <v>-32803.703361364605</v>
      </c>
      <c r="AE1143" s="52">
        <f t="shared" ca="1" si="1379"/>
        <v>-29891.359146755047</v>
      </c>
      <c r="AF1143" s="52">
        <f t="shared" ca="1" si="1379"/>
        <v>-27616.105945096959</v>
      </c>
      <c r="AG1143" s="52">
        <f t="shared" ca="1" si="1379"/>
        <v>-27156.393128187661</v>
      </c>
      <c r="AH1143" s="52">
        <f t="shared" ca="1" si="1379"/>
        <v>-26538.750611260843</v>
      </c>
      <c r="AI1143" s="52">
        <f t="shared" ca="1" si="1379"/>
        <v>-24395.411155234164</v>
      </c>
      <c r="AJ1143" s="52">
        <f t="shared" ca="1" si="1379"/>
        <v>-21831.922145464901</v>
      </c>
      <c r="AK1143" s="52">
        <f t="shared" ca="1" si="1379"/>
        <v>-21042.52524153925</v>
      </c>
      <c r="AL1143" s="52">
        <f t="shared" ca="1" si="1379"/>
        <v>-20069.891622505023</v>
      </c>
      <c r="AM1143" s="52">
        <f t="shared" ca="1" si="1379"/>
        <v>-17454.073787044064</v>
      </c>
      <c r="AN1143" s="52">
        <f t="shared" ca="1" si="1379"/>
        <v>-14712.666046453658</v>
      </c>
      <c r="AO1143" s="52">
        <f t="shared" ca="1" si="1379"/>
        <v>-13375.764703781109</v>
      </c>
      <c r="AP1143" s="52">
        <f t="shared" ca="1" si="1379"/>
        <v>-11999.563981574278</v>
      </c>
      <c r="AQ1143" s="52">
        <f t="shared" ca="1" si="1379"/>
        <v>-8912.8602572211221</v>
      </c>
      <c r="AR1143" s="52">
        <f t="shared" ca="1" si="1379"/>
        <v>-5840.770680695141</v>
      </c>
      <c r="AS1143" s="52">
        <f t="shared" ca="1" si="1379"/>
        <v>-4327.01356872835</v>
      </c>
      <c r="AT1143" s="52">
        <f t="shared" ca="1" si="1379"/>
        <v>-2648.7848459321053</v>
      </c>
      <c r="AU1143" s="52">
        <f t="shared" ca="1" si="1379"/>
        <v>0</v>
      </c>
      <c r="AV1143" s="52">
        <f t="shared" ca="1" si="1379"/>
        <v>0</v>
      </c>
      <c r="AW1143" s="52">
        <f t="shared" ca="1" si="1379"/>
        <v>0</v>
      </c>
      <c r="AX1143" s="52">
        <f t="shared" ca="1" si="1379"/>
        <v>0</v>
      </c>
      <c r="AY1143" s="52">
        <f t="shared" ca="1" si="1379"/>
        <v>0</v>
      </c>
      <c r="AZ1143" s="52">
        <f t="shared" ca="1" si="1379"/>
        <v>0</v>
      </c>
      <c r="BA1143" s="52">
        <f t="shared" ca="1" si="1379"/>
        <v>0</v>
      </c>
      <c r="BB1143" s="52">
        <f t="shared" ca="1" si="1379"/>
        <v>0</v>
      </c>
      <c r="BC1143" s="52">
        <f t="shared" ca="1" si="1379"/>
        <v>0</v>
      </c>
      <c r="BD1143" s="52">
        <f t="shared" ca="1" si="1379"/>
        <v>0</v>
      </c>
      <c r="BE1143" s="52">
        <f t="shared" ca="1" si="1379"/>
        <v>0</v>
      </c>
      <c r="BF1143" s="52">
        <f t="shared" ca="1" si="1379"/>
        <v>0</v>
      </c>
      <c r="BG1143" s="52">
        <f t="shared" ca="1" si="1379"/>
        <v>0</v>
      </c>
      <c r="BH1143" s="52">
        <f t="shared" ca="1" si="1379"/>
        <v>0</v>
      </c>
      <c r="BI1143" s="52">
        <f t="shared" ca="1" si="1379"/>
        <v>0</v>
      </c>
      <c r="BJ1143" s="52">
        <f t="shared" ca="1" si="1379"/>
        <v>0</v>
      </c>
      <c r="BK1143" s="52">
        <f t="shared" ca="1" si="1379"/>
        <v>0</v>
      </c>
      <c r="BL1143" s="52">
        <f t="shared" ca="1" si="1379"/>
        <v>0</v>
      </c>
      <c r="BM1143" s="52">
        <f t="shared" ca="1" si="1379"/>
        <v>0</v>
      </c>
      <c r="BN1143" s="52">
        <f t="shared" ca="1" si="1379"/>
        <v>0</v>
      </c>
      <c r="BO1143" s="52">
        <f t="shared" ca="1" si="1379"/>
        <v>0</v>
      </c>
      <c r="BP1143" s="52">
        <f t="shared" ca="1" si="1379"/>
        <v>0</v>
      </c>
      <c r="BQ1143" s="52">
        <f t="shared" ca="1" si="1379"/>
        <v>0</v>
      </c>
      <c r="BR1143" s="52">
        <f t="shared" ca="1" si="1379"/>
        <v>0</v>
      </c>
      <c r="BS1143" s="52">
        <f t="shared" ca="1" si="1379"/>
        <v>0</v>
      </c>
      <c r="BT1143" s="52">
        <f t="shared" ca="1" si="1379"/>
        <v>0</v>
      </c>
      <c r="BU1143" s="52">
        <f t="shared" ca="1" si="1379"/>
        <v>0</v>
      </c>
      <c r="BV1143" s="52">
        <f t="shared" ca="1" si="1379"/>
        <v>0</v>
      </c>
      <c r="BW1143" s="52">
        <f t="shared" ca="1" si="1379"/>
        <v>0</v>
      </c>
      <c r="BX1143" s="52">
        <f t="shared" ca="1" si="1379"/>
        <v>0</v>
      </c>
      <c r="BY1143" s="52">
        <f t="shared" ref="BY1143:CO1143" ca="1" si="1380">BY1141*Flag_Operations</f>
        <v>0</v>
      </c>
      <c r="BZ1143" s="52">
        <f t="shared" ca="1" si="1380"/>
        <v>0</v>
      </c>
      <c r="CA1143" s="52">
        <f t="shared" ca="1" si="1380"/>
        <v>0</v>
      </c>
      <c r="CB1143" s="52">
        <f t="shared" ca="1" si="1380"/>
        <v>0</v>
      </c>
      <c r="CC1143" s="52">
        <f t="shared" ca="1" si="1380"/>
        <v>0</v>
      </c>
      <c r="CD1143" s="52">
        <f t="shared" ca="1" si="1380"/>
        <v>0</v>
      </c>
      <c r="CE1143" s="52">
        <f t="shared" ca="1" si="1380"/>
        <v>0</v>
      </c>
      <c r="CF1143" s="52">
        <f t="shared" ca="1" si="1380"/>
        <v>0</v>
      </c>
      <c r="CG1143" s="52">
        <f t="shared" ca="1" si="1380"/>
        <v>0</v>
      </c>
      <c r="CH1143" s="52">
        <f t="shared" ca="1" si="1380"/>
        <v>0</v>
      </c>
      <c r="CI1143" s="52">
        <f t="shared" ca="1" si="1380"/>
        <v>0</v>
      </c>
      <c r="CJ1143" s="52">
        <f t="shared" ca="1" si="1380"/>
        <v>0</v>
      </c>
      <c r="CK1143" s="52">
        <f t="shared" ca="1" si="1380"/>
        <v>0</v>
      </c>
      <c r="CL1143" s="52">
        <f t="shared" ca="1" si="1380"/>
        <v>0</v>
      </c>
      <c r="CM1143" s="52">
        <f t="shared" ca="1" si="1380"/>
        <v>0</v>
      </c>
      <c r="CN1143" s="52">
        <f t="shared" ca="1" si="1380"/>
        <v>0</v>
      </c>
      <c r="CO1143" s="52">
        <f t="shared" ca="1" si="1380"/>
        <v>0</v>
      </c>
    </row>
    <row r="1144" spans="1:93">
      <c r="A1144" s="10"/>
      <c r="B1144" s="10"/>
      <c r="C1144" s="21" t="s">
        <v>195</v>
      </c>
      <c r="D1144" s="10"/>
      <c r="E1144" s="10"/>
      <c r="F1144" s="10"/>
      <c r="G1144" s="11" t="str">
        <f>Monetary_Unit</f>
        <v>тыс. руб.</v>
      </c>
      <c r="H1144" s="10"/>
      <c r="I1144" s="23">
        <f ca="1">SUM(L1144:CO1144)</f>
        <v>-472505.91550729872</v>
      </c>
      <c r="J1144" s="10"/>
      <c r="K1144" s="10"/>
      <c r="L1144" s="52">
        <f>-L1113</f>
        <v>0</v>
      </c>
      <c r="M1144" s="52">
        <f t="shared" ref="M1144:BX1144" ca="1" si="1381">-M1113</f>
        <v>0</v>
      </c>
      <c r="N1144" s="52">
        <f t="shared" ca="1" si="1381"/>
        <v>0</v>
      </c>
      <c r="O1144" s="52">
        <f t="shared" ca="1" si="1381"/>
        <v>0</v>
      </c>
      <c r="P1144" s="52">
        <f t="shared" ca="1" si="1381"/>
        <v>0</v>
      </c>
      <c r="Q1144" s="52">
        <f t="shared" ca="1" si="1381"/>
        <v>0</v>
      </c>
      <c r="R1144" s="52">
        <f t="shared" ca="1" si="1381"/>
        <v>0</v>
      </c>
      <c r="S1144" s="52">
        <f t="shared" ca="1" si="1381"/>
        <v>0</v>
      </c>
      <c r="T1144" s="52">
        <f t="shared" ca="1" si="1381"/>
        <v>-375.82926333388428</v>
      </c>
      <c r="U1144" s="52">
        <f t="shared" ca="1" si="1381"/>
        <v>-2049.679343298747</v>
      </c>
      <c r="V1144" s="52">
        <f t="shared" ca="1" si="1381"/>
        <v>-4692.73305525248</v>
      </c>
      <c r="W1144" s="52">
        <f t="shared" ca="1" si="1381"/>
        <v>-7339.0839635085113</v>
      </c>
      <c r="X1144" s="52">
        <f t="shared" ca="1" si="1381"/>
        <v>-11087.213428915877</v>
      </c>
      <c r="Y1144" s="52">
        <f t="shared" ca="1" si="1381"/>
        <v>-16184.443320720929</v>
      </c>
      <c r="Z1144" s="52">
        <f t="shared" ca="1" si="1381"/>
        <v>-21566.314755658917</v>
      </c>
      <c r="AA1144" s="52">
        <f t="shared" ca="1" si="1381"/>
        <v>-26821.612493877776</v>
      </c>
      <c r="AB1144" s="52">
        <f t="shared" ca="1" si="1381"/>
        <v>-33416.864118378056</v>
      </c>
      <c r="AC1144" s="52">
        <f t="shared" ca="1" si="1381"/>
        <v>-38354.581535515288</v>
      </c>
      <c r="AD1144" s="52">
        <f t="shared" ca="1" si="1381"/>
        <v>-32803.703361364605</v>
      </c>
      <c r="AE1144" s="52">
        <f t="shared" ca="1" si="1381"/>
        <v>-29891.359146755047</v>
      </c>
      <c r="AF1144" s="52">
        <f t="shared" ca="1" si="1381"/>
        <v>-27616.105945096959</v>
      </c>
      <c r="AG1144" s="52">
        <f t="shared" ca="1" si="1381"/>
        <v>-27156.393128187661</v>
      </c>
      <c r="AH1144" s="52">
        <f t="shared" ca="1" si="1381"/>
        <v>-26538.750611260843</v>
      </c>
      <c r="AI1144" s="52">
        <f t="shared" ca="1" si="1381"/>
        <v>-24395.411155234164</v>
      </c>
      <c r="AJ1144" s="52">
        <f t="shared" ca="1" si="1381"/>
        <v>-21831.922145464901</v>
      </c>
      <c r="AK1144" s="52">
        <f t="shared" ca="1" si="1381"/>
        <v>-21042.52524153925</v>
      </c>
      <c r="AL1144" s="52">
        <f t="shared" ca="1" si="1381"/>
        <v>-20069.891622505023</v>
      </c>
      <c r="AM1144" s="52">
        <f t="shared" ca="1" si="1381"/>
        <v>-17454.073787044064</v>
      </c>
      <c r="AN1144" s="52">
        <f t="shared" ca="1" si="1381"/>
        <v>-14712.666046453658</v>
      </c>
      <c r="AO1144" s="52">
        <f t="shared" ca="1" si="1381"/>
        <v>-13375.764703781109</v>
      </c>
      <c r="AP1144" s="52">
        <f t="shared" ca="1" si="1381"/>
        <v>-11999.563981574278</v>
      </c>
      <c r="AQ1144" s="52">
        <f t="shared" ca="1" si="1381"/>
        <v>-8912.8602572211221</v>
      </c>
      <c r="AR1144" s="52">
        <f t="shared" ca="1" si="1381"/>
        <v>-5840.770680695141</v>
      </c>
      <c r="AS1144" s="52">
        <f t="shared" ca="1" si="1381"/>
        <v>-4327.01356872835</v>
      </c>
      <c r="AT1144" s="52">
        <f t="shared" ca="1" si="1381"/>
        <v>-2648.7848459321053</v>
      </c>
      <c r="AU1144" s="52">
        <f t="shared" ca="1" si="1381"/>
        <v>0</v>
      </c>
      <c r="AV1144" s="52">
        <f t="shared" ca="1" si="1381"/>
        <v>0</v>
      </c>
      <c r="AW1144" s="52">
        <f t="shared" ca="1" si="1381"/>
        <v>0</v>
      </c>
      <c r="AX1144" s="52">
        <f t="shared" ca="1" si="1381"/>
        <v>0</v>
      </c>
      <c r="AY1144" s="52">
        <f t="shared" ca="1" si="1381"/>
        <v>0</v>
      </c>
      <c r="AZ1144" s="52">
        <f t="shared" ca="1" si="1381"/>
        <v>0</v>
      </c>
      <c r="BA1144" s="52">
        <f t="shared" ca="1" si="1381"/>
        <v>0</v>
      </c>
      <c r="BB1144" s="52">
        <f t="shared" ca="1" si="1381"/>
        <v>0</v>
      </c>
      <c r="BC1144" s="52">
        <f t="shared" ca="1" si="1381"/>
        <v>0</v>
      </c>
      <c r="BD1144" s="52">
        <f t="shared" ca="1" si="1381"/>
        <v>0</v>
      </c>
      <c r="BE1144" s="52">
        <f t="shared" ca="1" si="1381"/>
        <v>0</v>
      </c>
      <c r="BF1144" s="52">
        <f t="shared" ca="1" si="1381"/>
        <v>0</v>
      </c>
      <c r="BG1144" s="52">
        <f t="shared" ca="1" si="1381"/>
        <v>0</v>
      </c>
      <c r="BH1144" s="52">
        <f t="shared" ca="1" si="1381"/>
        <v>0</v>
      </c>
      <c r="BI1144" s="52">
        <f t="shared" ca="1" si="1381"/>
        <v>0</v>
      </c>
      <c r="BJ1144" s="52">
        <f t="shared" ca="1" si="1381"/>
        <v>0</v>
      </c>
      <c r="BK1144" s="52">
        <f t="shared" ca="1" si="1381"/>
        <v>0</v>
      </c>
      <c r="BL1144" s="52">
        <f t="shared" ca="1" si="1381"/>
        <v>0</v>
      </c>
      <c r="BM1144" s="52">
        <f t="shared" ca="1" si="1381"/>
        <v>0</v>
      </c>
      <c r="BN1144" s="52">
        <f t="shared" ca="1" si="1381"/>
        <v>0</v>
      </c>
      <c r="BO1144" s="52">
        <f t="shared" ca="1" si="1381"/>
        <v>0</v>
      </c>
      <c r="BP1144" s="52">
        <f t="shared" ca="1" si="1381"/>
        <v>0</v>
      </c>
      <c r="BQ1144" s="52">
        <f t="shared" ca="1" si="1381"/>
        <v>0</v>
      </c>
      <c r="BR1144" s="52">
        <f t="shared" ca="1" si="1381"/>
        <v>0</v>
      </c>
      <c r="BS1144" s="52">
        <f t="shared" ca="1" si="1381"/>
        <v>0</v>
      </c>
      <c r="BT1144" s="52">
        <f t="shared" ca="1" si="1381"/>
        <v>0</v>
      </c>
      <c r="BU1144" s="52">
        <f t="shared" ca="1" si="1381"/>
        <v>0</v>
      </c>
      <c r="BV1144" s="52">
        <f t="shared" ca="1" si="1381"/>
        <v>0</v>
      </c>
      <c r="BW1144" s="52">
        <f t="shared" ca="1" si="1381"/>
        <v>0</v>
      </c>
      <c r="BX1144" s="52">
        <f t="shared" ca="1" si="1381"/>
        <v>0</v>
      </c>
      <c r="BY1144" s="52">
        <f t="shared" ref="BY1144:CO1144" ca="1" si="1382">-BY1113</f>
        <v>0</v>
      </c>
      <c r="BZ1144" s="52">
        <f t="shared" ca="1" si="1382"/>
        <v>0</v>
      </c>
      <c r="CA1144" s="52">
        <f t="shared" ca="1" si="1382"/>
        <v>0</v>
      </c>
      <c r="CB1144" s="52">
        <f t="shared" ca="1" si="1382"/>
        <v>0</v>
      </c>
      <c r="CC1144" s="52">
        <f t="shared" ca="1" si="1382"/>
        <v>0</v>
      </c>
      <c r="CD1144" s="52">
        <f t="shared" ca="1" si="1382"/>
        <v>0</v>
      </c>
      <c r="CE1144" s="52">
        <f t="shared" ca="1" si="1382"/>
        <v>0</v>
      </c>
      <c r="CF1144" s="52">
        <f t="shared" ca="1" si="1382"/>
        <v>0</v>
      </c>
      <c r="CG1144" s="52">
        <f t="shared" ca="1" si="1382"/>
        <v>0</v>
      </c>
      <c r="CH1144" s="52">
        <f t="shared" ca="1" si="1382"/>
        <v>0</v>
      </c>
      <c r="CI1144" s="52">
        <f t="shared" ca="1" si="1382"/>
        <v>0</v>
      </c>
      <c r="CJ1144" s="52">
        <f t="shared" ca="1" si="1382"/>
        <v>0</v>
      </c>
      <c r="CK1144" s="52">
        <f t="shared" ca="1" si="1382"/>
        <v>0</v>
      </c>
      <c r="CL1144" s="52">
        <f t="shared" ca="1" si="1382"/>
        <v>0</v>
      </c>
      <c r="CM1144" s="52">
        <f t="shared" ca="1" si="1382"/>
        <v>0</v>
      </c>
      <c r="CN1144" s="52">
        <f t="shared" ca="1" si="1382"/>
        <v>0</v>
      </c>
      <c r="CO1144" s="52">
        <f t="shared" ca="1" si="1382"/>
        <v>0</v>
      </c>
    </row>
    <row r="1145" spans="1:93">
      <c r="A1145" s="10"/>
      <c r="B1145" s="10"/>
      <c r="C1145" s="21"/>
      <c r="D1145" s="10"/>
      <c r="E1145" s="10"/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1"/>
      <c r="AI1145" s="11"/>
      <c r="AJ1145" s="11"/>
      <c r="AK1145" s="11"/>
      <c r="AL1145" s="11"/>
      <c r="AM1145" s="11"/>
      <c r="AN1145" s="11"/>
      <c r="AO1145" s="11"/>
      <c r="AP1145" s="11"/>
      <c r="AQ1145" s="11"/>
      <c r="AR1145" s="11"/>
      <c r="AS1145" s="11"/>
      <c r="AT1145" s="11"/>
      <c r="AU1145" s="11"/>
      <c r="AV1145" s="11"/>
      <c r="AW1145" s="11"/>
      <c r="AX1145" s="11"/>
      <c r="AY1145" s="11"/>
      <c r="AZ1145" s="11"/>
      <c r="BA1145" s="11"/>
      <c r="BB1145" s="11"/>
      <c r="BC1145" s="11"/>
      <c r="BD1145" s="11"/>
      <c r="BE1145" s="11"/>
      <c r="BF1145" s="11"/>
      <c r="BG1145" s="11"/>
      <c r="BH1145" s="11"/>
      <c r="BI1145" s="11"/>
      <c r="BJ1145" s="11"/>
      <c r="BK1145" s="11"/>
      <c r="BL1145" s="11"/>
      <c r="BM1145" s="11"/>
      <c r="BN1145" s="11"/>
      <c r="BO1145" s="11"/>
      <c r="BP1145" s="11"/>
      <c r="BQ1145" s="11"/>
      <c r="BR1145" s="11"/>
      <c r="BS1145" s="11"/>
      <c r="BT1145" s="11"/>
      <c r="BU1145" s="11"/>
      <c r="BV1145" s="11"/>
      <c r="BW1145" s="11"/>
      <c r="BX1145" s="11"/>
      <c r="BY1145" s="11"/>
      <c r="BZ1145" s="11"/>
      <c r="CA1145" s="11"/>
      <c r="CB1145" s="11"/>
      <c r="CC1145" s="11"/>
      <c r="CD1145" s="11"/>
      <c r="CE1145" s="11"/>
      <c r="CF1145" s="11"/>
      <c r="CG1145" s="11"/>
      <c r="CH1145" s="11"/>
      <c r="CI1145" s="11"/>
      <c r="CJ1145" s="11"/>
      <c r="CK1145" s="11"/>
      <c r="CL1145" s="11"/>
      <c r="CM1145" s="11"/>
      <c r="CN1145" s="11"/>
      <c r="CO1145" s="11"/>
    </row>
    <row r="1146" spans="1:93">
      <c r="A1146" s="10"/>
      <c r="B1146" s="10"/>
      <c r="C1146" s="32" t="s">
        <v>265</v>
      </c>
      <c r="D1146" s="10"/>
      <c r="E1146" s="10"/>
      <c r="F1146" s="10"/>
      <c r="G1146" s="11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0"/>
      <c r="AH1146" s="10"/>
      <c r="AI1146" s="10"/>
      <c r="AJ1146" s="10"/>
      <c r="AK1146" s="10"/>
      <c r="AL1146" s="10"/>
      <c r="AM1146" s="10"/>
      <c r="AN1146" s="10"/>
      <c r="AO1146" s="10"/>
      <c r="AP1146" s="10"/>
      <c r="AQ1146" s="10"/>
      <c r="AR1146" s="10"/>
      <c r="AS1146" s="10"/>
      <c r="AT1146" s="10"/>
      <c r="AU1146" s="10"/>
      <c r="AV1146" s="10"/>
      <c r="AW1146" s="10"/>
      <c r="AX1146" s="10"/>
      <c r="AY1146" s="10"/>
      <c r="AZ1146" s="10"/>
      <c r="BA1146" s="10"/>
      <c r="BB1146" s="10"/>
      <c r="BC1146" s="10"/>
      <c r="BD1146" s="10"/>
      <c r="BE1146" s="10"/>
      <c r="BF1146" s="10"/>
      <c r="BG1146" s="10"/>
      <c r="BH1146" s="10"/>
      <c r="BI1146" s="10"/>
      <c r="BJ1146" s="10"/>
      <c r="BK1146" s="10"/>
      <c r="BL1146" s="10"/>
      <c r="BM1146" s="10"/>
      <c r="BN1146" s="10"/>
      <c r="BO1146" s="10"/>
      <c r="BP1146" s="10"/>
      <c r="BQ1146" s="10"/>
      <c r="BR1146" s="10"/>
      <c r="BS1146" s="10"/>
      <c r="BT1146" s="10"/>
      <c r="BU1146" s="10"/>
      <c r="BV1146" s="10"/>
      <c r="BW1146" s="10"/>
      <c r="BX1146" s="10"/>
      <c r="BY1146" s="10"/>
      <c r="BZ1146" s="10"/>
      <c r="CA1146" s="10"/>
      <c r="CB1146" s="10"/>
      <c r="CC1146" s="10"/>
      <c r="CD1146" s="10"/>
      <c r="CE1146" s="10"/>
      <c r="CF1146" s="10"/>
      <c r="CG1146" s="10"/>
      <c r="CH1146" s="10"/>
      <c r="CI1146" s="10"/>
      <c r="CJ1146" s="10"/>
      <c r="CK1146" s="10"/>
      <c r="CL1146" s="10"/>
      <c r="CM1146" s="10"/>
      <c r="CN1146" s="10"/>
      <c r="CO1146" s="10"/>
    </row>
    <row r="1147" spans="1:93">
      <c r="A1147" s="10"/>
      <c r="B1147" s="10"/>
      <c r="C1147" s="21" t="s">
        <v>193</v>
      </c>
      <c r="D1147" s="10"/>
      <c r="E1147" s="10"/>
      <c r="F1147" s="10"/>
      <c r="G1147" s="11" t="str">
        <f>Monetary_Unit</f>
        <v>тыс. руб.</v>
      </c>
      <c r="H1147" s="10"/>
      <c r="I1147" s="23">
        <f ca="1">SUM(L1147:CO1147)</f>
        <v>0</v>
      </c>
      <c r="J1147" s="10"/>
      <c r="K1147" s="10"/>
      <c r="L1147" s="52">
        <f>-L1129</f>
        <v>0</v>
      </c>
      <c r="M1147" s="52">
        <f t="shared" ref="M1147:BX1147" ca="1" si="1383">-M1129</f>
        <v>0</v>
      </c>
      <c r="N1147" s="52">
        <f t="shared" ca="1" si="1383"/>
        <v>0</v>
      </c>
      <c r="O1147" s="52">
        <f t="shared" ca="1" si="1383"/>
        <v>0</v>
      </c>
      <c r="P1147" s="52">
        <f t="shared" ca="1" si="1383"/>
        <v>0</v>
      </c>
      <c r="Q1147" s="52">
        <f t="shared" ca="1" si="1383"/>
        <v>0</v>
      </c>
      <c r="R1147" s="52">
        <f t="shared" ca="1" si="1383"/>
        <v>0</v>
      </c>
      <c r="S1147" s="52">
        <f t="shared" ca="1" si="1383"/>
        <v>0</v>
      </c>
      <c r="T1147" s="52">
        <f t="shared" ca="1" si="1383"/>
        <v>0</v>
      </c>
      <c r="U1147" s="52">
        <f t="shared" ca="1" si="1383"/>
        <v>0</v>
      </c>
      <c r="V1147" s="52">
        <f t="shared" ca="1" si="1383"/>
        <v>0</v>
      </c>
      <c r="W1147" s="52">
        <f t="shared" ca="1" si="1383"/>
        <v>0</v>
      </c>
      <c r="X1147" s="52">
        <f t="shared" ca="1" si="1383"/>
        <v>0</v>
      </c>
      <c r="Y1147" s="52">
        <f t="shared" ca="1" si="1383"/>
        <v>0</v>
      </c>
      <c r="Z1147" s="52">
        <f t="shared" ca="1" si="1383"/>
        <v>0</v>
      </c>
      <c r="AA1147" s="52">
        <f t="shared" ca="1" si="1383"/>
        <v>0</v>
      </c>
      <c r="AB1147" s="52">
        <f t="shared" ca="1" si="1383"/>
        <v>0</v>
      </c>
      <c r="AC1147" s="52">
        <f t="shared" ca="1" si="1383"/>
        <v>0</v>
      </c>
      <c r="AD1147" s="52">
        <f t="shared" ca="1" si="1383"/>
        <v>0</v>
      </c>
      <c r="AE1147" s="52">
        <f t="shared" ca="1" si="1383"/>
        <v>0</v>
      </c>
      <c r="AF1147" s="52">
        <f t="shared" ca="1" si="1383"/>
        <v>0</v>
      </c>
      <c r="AG1147" s="52">
        <f t="shared" ca="1" si="1383"/>
        <v>0</v>
      </c>
      <c r="AH1147" s="52">
        <f t="shared" ca="1" si="1383"/>
        <v>0</v>
      </c>
      <c r="AI1147" s="52">
        <f t="shared" ca="1" si="1383"/>
        <v>0</v>
      </c>
      <c r="AJ1147" s="52">
        <f t="shared" ca="1" si="1383"/>
        <v>0</v>
      </c>
      <c r="AK1147" s="52">
        <f t="shared" ca="1" si="1383"/>
        <v>0</v>
      </c>
      <c r="AL1147" s="52">
        <f t="shared" ca="1" si="1383"/>
        <v>0</v>
      </c>
      <c r="AM1147" s="52">
        <f t="shared" ca="1" si="1383"/>
        <v>0</v>
      </c>
      <c r="AN1147" s="52">
        <f t="shared" ca="1" si="1383"/>
        <v>0</v>
      </c>
      <c r="AO1147" s="52">
        <f t="shared" ca="1" si="1383"/>
        <v>0</v>
      </c>
      <c r="AP1147" s="52">
        <f t="shared" ca="1" si="1383"/>
        <v>0</v>
      </c>
      <c r="AQ1147" s="52">
        <f t="shared" ca="1" si="1383"/>
        <v>0</v>
      </c>
      <c r="AR1147" s="52">
        <f t="shared" ca="1" si="1383"/>
        <v>0</v>
      </c>
      <c r="AS1147" s="52">
        <f t="shared" ca="1" si="1383"/>
        <v>0</v>
      </c>
      <c r="AT1147" s="52">
        <f t="shared" ca="1" si="1383"/>
        <v>0</v>
      </c>
      <c r="AU1147" s="52">
        <f t="shared" ca="1" si="1383"/>
        <v>0</v>
      </c>
      <c r="AV1147" s="52">
        <f t="shared" ca="1" si="1383"/>
        <v>0</v>
      </c>
      <c r="AW1147" s="52">
        <f t="shared" ca="1" si="1383"/>
        <v>0</v>
      </c>
      <c r="AX1147" s="52">
        <f t="shared" ca="1" si="1383"/>
        <v>0</v>
      </c>
      <c r="AY1147" s="52">
        <f t="shared" ca="1" si="1383"/>
        <v>0</v>
      </c>
      <c r="AZ1147" s="52">
        <f t="shared" ca="1" si="1383"/>
        <v>0</v>
      </c>
      <c r="BA1147" s="52">
        <f t="shared" ca="1" si="1383"/>
        <v>0</v>
      </c>
      <c r="BB1147" s="52">
        <f t="shared" ca="1" si="1383"/>
        <v>0</v>
      </c>
      <c r="BC1147" s="52">
        <f t="shared" ca="1" si="1383"/>
        <v>0</v>
      </c>
      <c r="BD1147" s="52">
        <f t="shared" ca="1" si="1383"/>
        <v>0</v>
      </c>
      <c r="BE1147" s="52">
        <f t="shared" ca="1" si="1383"/>
        <v>0</v>
      </c>
      <c r="BF1147" s="52">
        <f t="shared" ca="1" si="1383"/>
        <v>0</v>
      </c>
      <c r="BG1147" s="52">
        <f t="shared" ca="1" si="1383"/>
        <v>0</v>
      </c>
      <c r="BH1147" s="52">
        <f t="shared" ca="1" si="1383"/>
        <v>0</v>
      </c>
      <c r="BI1147" s="52">
        <f t="shared" ca="1" si="1383"/>
        <v>0</v>
      </c>
      <c r="BJ1147" s="52">
        <f t="shared" ca="1" si="1383"/>
        <v>0</v>
      </c>
      <c r="BK1147" s="52">
        <f t="shared" ca="1" si="1383"/>
        <v>0</v>
      </c>
      <c r="BL1147" s="52">
        <f t="shared" ca="1" si="1383"/>
        <v>0</v>
      </c>
      <c r="BM1147" s="52">
        <f t="shared" ca="1" si="1383"/>
        <v>0</v>
      </c>
      <c r="BN1147" s="52">
        <f t="shared" ca="1" si="1383"/>
        <v>0</v>
      </c>
      <c r="BO1147" s="52">
        <f t="shared" ca="1" si="1383"/>
        <v>0</v>
      </c>
      <c r="BP1147" s="52">
        <f t="shared" ca="1" si="1383"/>
        <v>0</v>
      </c>
      <c r="BQ1147" s="52">
        <f t="shared" ca="1" si="1383"/>
        <v>0</v>
      </c>
      <c r="BR1147" s="52">
        <f t="shared" ca="1" si="1383"/>
        <v>0</v>
      </c>
      <c r="BS1147" s="52">
        <f t="shared" ca="1" si="1383"/>
        <v>0</v>
      </c>
      <c r="BT1147" s="52">
        <f t="shared" ca="1" si="1383"/>
        <v>0</v>
      </c>
      <c r="BU1147" s="52">
        <f t="shared" ca="1" si="1383"/>
        <v>0</v>
      </c>
      <c r="BV1147" s="52">
        <f t="shared" ca="1" si="1383"/>
        <v>0</v>
      </c>
      <c r="BW1147" s="52">
        <f t="shared" ca="1" si="1383"/>
        <v>0</v>
      </c>
      <c r="BX1147" s="52">
        <f t="shared" ca="1" si="1383"/>
        <v>0</v>
      </c>
      <c r="BY1147" s="52">
        <f t="shared" ref="BY1147:CO1147" ca="1" si="1384">-BY1129</f>
        <v>0</v>
      </c>
      <c r="BZ1147" s="52">
        <f t="shared" ca="1" si="1384"/>
        <v>0</v>
      </c>
      <c r="CA1147" s="52">
        <f t="shared" ca="1" si="1384"/>
        <v>0</v>
      </c>
      <c r="CB1147" s="52">
        <f t="shared" ca="1" si="1384"/>
        <v>0</v>
      </c>
      <c r="CC1147" s="52">
        <f t="shared" ca="1" si="1384"/>
        <v>0</v>
      </c>
      <c r="CD1147" s="52">
        <f t="shared" ca="1" si="1384"/>
        <v>0</v>
      </c>
      <c r="CE1147" s="52">
        <f t="shared" ca="1" si="1384"/>
        <v>0</v>
      </c>
      <c r="CF1147" s="52">
        <f t="shared" ca="1" si="1384"/>
        <v>0</v>
      </c>
      <c r="CG1147" s="52">
        <f t="shared" ca="1" si="1384"/>
        <v>0</v>
      </c>
      <c r="CH1147" s="52">
        <f t="shared" ca="1" si="1384"/>
        <v>0</v>
      </c>
      <c r="CI1147" s="52">
        <f t="shared" ca="1" si="1384"/>
        <v>0</v>
      </c>
      <c r="CJ1147" s="52">
        <f t="shared" ca="1" si="1384"/>
        <v>0</v>
      </c>
      <c r="CK1147" s="52">
        <f t="shared" ca="1" si="1384"/>
        <v>0</v>
      </c>
      <c r="CL1147" s="52">
        <f t="shared" ca="1" si="1384"/>
        <v>0</v>
      </c>
      <c r="CM1147" s="52">
        <f t="shared" ca="1" si="1384"/>
        <v>0</v>
      </c>
      <c r="CN1147" s="52">
        <f t="shared" ca="1" si="1384"/>
        <v>0</v>
      </c>
      <c r="CO1147" s="52">
        <f t="shared" ca="1" si="1384"/>
        <v>0</v>
      </c>
    </row>
    <row r="1148" spans="1:93" ht="15.75" thickBot="1">
      <c r="A1148" s="10"/>
      <c r="B1148" s="10"/>
      <c r="C1148" s="21" t="s">
        <v>341</v>
      </c>
      <c r="D1148" s="10"/>
      <c r="E1148" s="10"/>
      <c r="F1148" s="10"/>
      <c r="G1148" s="11" t="str">
        <f>Monetary_Unit</f>
        <v>тыс. руб.</v>
      </c>
      <c r="H1148" s="10"/>
      <c r="I1148" s="23">
        <f ca="1">SUM(L1148:CO1148)</f>
        <v>-10990.619012601321</v>
      </c>
      <c r="J1148" s="10"/>
      <c r="K1148" s="10"/>
      <c r="L1148" s="52">
        <f>-L1130</f>
        <v>0</v>
      </c>
      <c r="M1148" s="52">
        <f t="shared" ref="M1148:BX1148" ca="1" si="1385">-M1130</f>
        <v>0</v>
      </c>
      <c r="N1148" s="52">
        <f t="shared" ca="1" si="1385"/>
        <v>0</v>
      </c>
      <c r="O1148" s="52">
        <f t="shared" ca="1" si="1385"/>
        <v>0</v>
      </c>
      <c r="P1148" s="52">
        <f t="shared" ca="1" si="1385"/>
        <v>0</v>
      </c>
      <c r="Q1148" s="52">
        <f t="shared" ca="1" si="1385"/>
        <v>0</v>
      </c>
      <c r="R1148" s="52">
        <f t="shared" ca="1" si="1385"/>
        <v>0</v>
      </c>
      <c r="S1148" s="52">
        <f t="shared" ca="1" si="1385"/>
        <v>0</v>
      </c>
      <c r="T1148" s="52">
        <f t="shared" ca="1" si="1385"/>
        <v>0</v>
      </c>
      <c r="U1148" s="52">
        <f t="shared" ca="1" si="1385"/>
        <v>-2032.1389863481136</v>
      </c>
      <c r="V1148" s="52">
        <f t="shared" ca="1" si="1385"/>
        <v>-1913.5143739847667</v>
      </c>
      <c r="W1148" s="52">
        <f t="shared" ca="1" si="1385"/>
        <v>-1771.1696690677206</v>
      </c>
      <c r="X1148" s="52">
        <f t="shared" ca="1" si="1385"/>
        <v>-1605.3348325415557</v>
      </c>
      <c r="Y1148" s="52">
        <f t="shared" ca="1" si="1385"/>
        <v>-1331.1596721046919</v>
      </c>
      <c r="Z1148" s="52">
        <f t="shared" ca="1" si="1385"/>
        <v>-1065.8684792952763</v>
      </c>
      <c r="AA1148" s="52">
        <f t="shared" ca="1" si="1385"/>
        <v>-783.19099934951782</v>
      </c>
      <c r="AB1148" s="52">
        <f t="shared" ca="1" si="1385"/>
        <v>-488.24199990967918</v>
      </c>
      <c r="AC1148" s="52">
        <f t="shared" ca="1" si="1385"/>
        <v>0</v>
      </c>
      <c r="AD1148" s="52">
        <f t="shared" ca="1" si="1385"/>
        <v>0</v>
      </c>
      <c r="AE1148" s="52">
        <f t="shared" ca="1" si="1385"/>
        <v>0</v>
      </c>
      <c r="AF1148" s="52">
        <f t="shared" ca="1" si="1385"/>
        <v>0</v>
      </c>
      <c r="AG1148" s="52">
        <f t="shared" ca="1" si="1385"/>
        <v>0</v>
      </c>
      <c r="AH1148" s="52">
        <f t="shared" ca="1" si="1385"/>
        <v>0</v>
      </c>
      <c r="AI1148" s="52">
        <f t="shared" ca="1" si="1385"/>
        <v>0</v>
      </c>
      <c r="AJ1148" s="52">
        <f t="shared" ca="1" si="1385"/>
        <v>0</v>
      </c>
      <c r="AK1148" s="52">
        <f t="shared" ca="1" si="1385"/>
        <v>0</v>
      </c>
      <c r="AL1148" s="52">
        <f t="shared" ca="1" si="1385"/>
        <v>0</v>
      </c>
      <c r="AM1148" s="52">
        <f t="shared" ca="1" si="1385"/>
        <v>0</v>
      </c>
      <c r="AN1148" s="52">
        <f t="shared" ca="1" si="1385"/>
        <v>0</v>
      </c>
      <c r="AO1148" s="52">
        <f t="shared" ca="1" si="1385"/>
        <v>0</v>
      </c>
      <c r="AP1148" s="52">
        <f t="shared" ca="1" si="1385"/>
        <v>0</v>
      </c>
      <c r="AQ1148" s="52">
        <f t="shared" ca="1" si="1385"/>
        <v>0</v>
      </c>
      <c r="AR1148" s="52">
        <f t="shared" ca="1" si="1385"/>
        <v>0</v>
      </c>
      <c r="AS1148" s="52">
        <f t="shared" ca="1" si="1385"/>
        <v>0</v>
      </c>
      <c r="AT1148" s="52">
        <f t="shared" ca="1" si="1385"/>
        <v>0</v>
      </c>
      <c r="AU1148" s="52">
        <f t="shared" ca="1" si="1385"/>
        <v>0</v>
      </c>
      <c r="AV1148" s="52">
        <f t="shared" ca="1" si="1385"/>
        <v>0</v>
      </c>
      <c r="AW1148" s="52">
        <f t="shared" ca="1" si="1385"/>
        <v>0</v>
      </c>
      <c r="AX1148" s="52">
        <f t="shared" ca="1" si="1385"/>
        <v>0</v>
      </c>
      <c r="AY1148" s="52">
        <f t="shared" ca="1" si="1385"/>
        <v>0</v>
      </c>
      <c r="AZ1148" s="52">
        <f t="shared" ca="1" si="1385"/>
        <v>0</v>
      </c>
      <c r="BA1148" s="52">
        <f t="shared" ca="1" si="1385"/>
        <v>0</v>
      </c>
      <c r="BB1148" s="52">
        <f t="shared" ca="1" si="1385"/>
        <v>0</v>
      </c>
      <c r="BC1148" s="52">
        <f t="shared" ca="1" si="1385"/>
        <v>0</v>
      </c>
      <c r="BD1148" s="52">
        <f t="shared" ca="1" si="1385"/>
        <v>0</v>
      </c>
      <c r="BE1148" s="52">
        <f t="shared" ca="1" si="1385"/>
        <v>0</v>
      </c>
      <c r="BF1148" s="52">
        <f t="shared" ca="1" si="1385"/>
        <v>0</v>
      </c>
      <c r="BG1148" s="52">
        <f t="shared" ca="1" si="1385"/>
        <v>0</v>
      </c>
      <c r="BH1148" s="52">
        <f t="shared" ca="1" si="1385"/>
        <v>0</v>
      </c>
      <c r="BI1148" s="52">
        <f t="shared" ca="1" si="1385"/>
        <v>0</v>
      </c>
      <c r="BJ1148" s="52">
        <f t="shared" ca="1" si="1385"/>
        <v>0</v>
      </c>
      <c r="BK1148" s="52">
        <f t="shared" ca="1" si="1385"/>
        <v>0</v>
      </c>
      <c r="BL1148" s="52">
        <f t="shared" ca="1" si="1385"/>
        <v>0</v>
      </c>
      <c r="BM1148" s="52">
        <f t="shared" ca="1" si="1385"/>
        <v>0</v>
      </c>
      <c r="BN1148" s="52">
        <f t="shared" ca="1" si="1385"/>
        <v>0</v>
      </c>
      <c r="BO1148" s="52">
        <f t="shared" ca="1" si="1385"/>
        <v>0</v>
      </c>
      <c r="BP1148" s="52">
        <f t="shared" ca="1" si="1385"/>
        <v>0</v>
      </c>
      <c r="BQ1148" s="52">
        <f t="shared" ca="1" si="1385"/>
        <v>0</v>
      </c>
      <c r="BR1148" s="52">
        <f t="shared" ca="1" si="1385"/>
        <v>0</v>
      </c>
      <c r="BS1148" s="52">
        <f t="shared" ca="1" si="1385"/>
        <v>0</v>
      </c>
      <c r="BT1148" s="52">
        <f t="shared" ca="1" si="1385"/>
        <v>0</v>
      </c>
      <c r="BU1148" s="52">
        <f t="shared" ca="1" si="1385"/>
        <v>0</v>
      </c>
      <c r="BV1148" s="52">
        <f t="shared" ca="1" si="1385"/>
        <v>0</v>
      </c>
      <c r="BW1148" s="52">
        <f t="shared" ca="1" si="1385"/>
        <v>0</v>
      </c>
      <c r="BX1148" s="52">
        <f t="shared" ca="1" si="1385"/>
        <v>0</v>
      </c>
      <c r="BY1148" s="52">
        <f t="shared" ref="BY1148:CO1148" ca="1" si="1386">-BY1130</f>
        <v>0</v>
      </c>
      <c r="BZ1148" s="52">
        <f t="shared" ca="1" si="1386"/>
        <v>0</v>
      </c>
      <c r="CA1148" s="52">
        <f t="shared" ca="1" si="1386"/>
        <v>0</v>
      </c>
      <c r="CB1148" s="52">
        <f t="shared" ca="1" si="1386"/>
        <v>0</v>
      </c>
      <c r="CC1148" s="52">
        <f t="shared" ca="1" si="1386"/>
        <v>0</v>
      </c>
      <c r="CD1148" s="52">
        <f t="shared" ca="1" si="1386"/>
        <v>0</v>
      </c>
      <c r="CE1148" s="52">
        <f t="shared" ca="1" si="1386"/>
        <v>0</v>
      </c>
      <c r="CF1148" s="52">
        <f t="shared" ca="1" si="1386"/>
        <v>0</v>
      </c>
      <c r="CG1148" s="52">
        <f t="shared" ca="1" si="1386"/>
        <v>0</v>
      </c>
      <c r="CH1148" s="52">
        <f t="shared" ca="1" si="1386"/>
        <v>0</v>
      </c>
      <c r="CI1148" s="52">
        <f t="shared" ca="1" si="1386"/>
        <v>0</v>
      </c>
      <c r="CJ1148" s="52">
        <f t="shared" ca="1" si="1386"/>
        <v>0</v>
      </c>
      <c r="CK1148" s="52">
        <f t="shared" ca="1" si="1386"/>
        <v>0</v>
      </c>
      <c r="CL1148" s="52">
        <f t="shared" ca="1" si="1386"/>
        <v>0</v>
      </c>
      <c r="CM1148" s="52">
        <f t="shared" ca="1" si="1386"/>
        <v>0</v>
      </c>
      <c r="CN1148" s="52">
        <f t="shared" ca="1" si="1386"/>
        <v>0</v>
      </c>
      <c r="CO1148" s="52">
        <f t="shared" ca="1" si="1386"/>
        <v>0</v>
      </c>
    </row>
    <row r="1149" spans="1:93" ht="15.75" thickTop="1">
      <c r="A1149" s="172"/>
      <c r="B1149" s="35"/>
      <c r="C1149" s="173" t="s">
        <v>196</v>
      </c>
      <c r="D1149" s="49"/>
      <c r="E1149" s="49"/>
      <c r="F1149" s="49"/>
      <c r="G1149" s="159" t="str">
        <f>Monetary_Unit</f>
        <v>тыс. руб.</v>
      </c>
      <c r="H1149" s="49"/>
      <c r="I1149" s="176">
        <f ca="1">SUM(L1149:CO1149)</f>
        <v>-10990.619012601321</v>
      </c>
      <c r="J1149" s="49"/>
      <c r="K1149" s="49"/>
      <c r="L1149" s="49">
        <f>SUM(L1147:L1148)</f>
        <v>0</v>
      </c>
      <c r="M1149" s="49">
        <f t="shared" ref="M1149:BX1149" ca="1" si="1387">SUM(M1147:M1148)</f>
        <v>0</v>
      </c>
      <c r="N1149" s="49">
        <f t="shared" ca="1" si="1387"/>
        <v>0</v>
      </c>
      <c r="O1149" s="49">
        <f t="shared" ca="1" si="1387"/>
        <v>0</v>
      </c>
      <c r="P1149" s="49">
        <f t="shared" ca="1" si="1387"/>
        <v>0</v>
      </c>
      <c r="Q1149" s="49">
        <f t="shared" ca="1" si="1387"/>
        <v>0</v>
      </c>
      <c r="R1149" s="49">
        <f t="shared" ca="1" si="1387"/>
        <v>0</v>
      </c>
      <c r="S1149" s="49">
        <f t="shared" ca="1" si="1387"/>
        <v>0</v>
      </c>
      <c r="T1149" s="49">
        <f t="shared" ca="1" si="1387"/>
        <v>0</v>
      </c>
      <c r="U1149" s="49">
        <f t="shared" ca="1" si="1387"/>
        <v>-2032.1389863481136</v>
      </c>
      <c r="V1149" s="49">
        <f t="shared" ca="1" si="1387"/>
        <v>-1913.5143739847667</v>
      </c>
      <c r="W1149" s="49">
        <f t="shared" ca="1" si="1387"/>
        <v>-1771.1696690677206</v>
      </c>
      <c r="X1149" s="49">
        <f t="shared" ca="1" si="1387"/>
        <v>-1605.3348325415557</v>
      </c>
      <c r="Y1149" s="49">
        <f t="shared" ca="1" si="1387"/>
        <v>-1331.1596721046919</v>
      </c>
      <c r="Z1149" s="49">
        <f t="shared" ca="1" si="1387"/>
        <v>-1065.8684792952763</v>
      </c>
      <c r="AA1149" s="49">
        <f t="shared" ca="1" si="1387"/>
        <v>-783.19099934951782</v>
      </c>
      <c r="AB1149" s="49">
        <f t="shared" ca="1" si="1387"/>
        <v>-488.24199990967918</v>
      </c>
      <c r="AC1149" s="49">
        <f t="shared" ca="1" si="1387"/>
        <v>0</v>
      </c>
      <c r="AD1149" s="49">
        <f t="shared" ca="1" si="1387"/>
        <v>0</v>
      </c>
      <c r="AE1149" s="49">
        <f t="shared" ca="1" si="1387"/>
        <v>0</v>
      </c>
      <c r="AF1149" s="49">
        <f t="shared" ca="1" si="1387"/>
        <v>0</v>
      </c>
      <c r="AG1149" s="49">
        <f t="shared" ca="1" si="1387"/>
        <v>0</v>
      </c>
      <c r="AH1149" s="49">
        <f t="shared" ca="1" si="1387"/>
        <v>0</v>
      </c>
      <c r="AI1149" s="49">
        <f t="shared" ca="1" si="1387"/>
        <v>0</v>
      </c>
      <c r="AJ1149" s="49">
        <f t="shared" ca="1" si="1387"/>
        <v>0</v>
      </c>
      <c r="AK1149" s="49">
        <f t="shared" ca="1" si="1387"/>
        <v>0</v>
      </c>
      <c r="AL1149" s="49">
        <f t="shared" ca="1" si="1387"/>
        <v>0</v>
      </c>
      <c r="AM1149" s="49">
        <f t="shared" ca="1" si="1387"/>
        <v>0</v>
      </c>
      <c r="AN1149" s="49">
        <f t="shared" ca="1" si="1387"/>
        <v>0</v>
      </c>
      <c r="AO1149" s="49">
        <f t="shared" ca="1" si="1387"/>
        <v>0</v>
      </c>
      <c r="AP1149" s="49">
        <f t="shared" ca="1" si="1387"/>
        <v>0</v>
      </c>
      <c r="AQ1149" s="49">
        <f t="shared" ca="1" si="1387"/>
        <v>0</v>
      </c>
      <c r="AR1149" s="49">
        <f t="shared" ca="1" si="1387"/>
        <v>0</v>
      </c>
      <c r="AS1149" s="49">
        <f t="shared" ca="1" si="1387"/>
        <v>0</v>
      </c>
      <c r="AT1149" s="49">
        <f t="shared" ca="1" si="1387"/>
        <v>0</v>
      </c>
      <c r="AU1149" s="49">
        <f t="shared" ca="1" si="1387"/>
        <v>0</v>
      </c>
      <c r="AV1149" s="49">
        <f t="shared" ca="1" si="1387"/>
        <v>0</v>
      </c>
      <c r="AW1149" s="49">
        <f t="shared" ca="1" si="1387"/>
        <v>0</v>
      </c>
      <c r="AX1149" s="49">
        <f t="shared" ca="1" si="1387"/>
        <v>0</v>
      </c>
      <c r="AY1149" s="49">
        <f t="shared" ca="1" si="1387"/>
        <v>0</v>
      </c>
      <c r="AZ1149" s="49">
        <f t="shared" ca="1" si="1387"/>
        <v>0</v>
      </c>
      <c r="BA1149" s="49">
        <f t="shared" ca="1" si="1387"/>
        <v>0</v>
      </c>
      <c r="BB1149" s="49">
        <f t="shared" ca="1" si="1387"/>
        <v>0</v>
      </c>
      <c r="BC1149" s="49">
        <f t="shared" ca="1" si="1387"/>
        <v>0</v>
      </c>
      <c r="BD1149" s="49">
        <f t="shared" ca="1" si="1387"/>
        <v>0</v>
      </c>
      <c r="BE1149" s="49">
        <f t="shared" ca="1" si="1387"/>
        <v>0</v>
      </c>
      <c r="BF1149" s="49">
        <f t="shared" ca="1" si="1387"/>
        <v>0</v>
      </c>
      <c r="BG1149" s="49">
        <f t="shared" ca="1" si="1387"/>
        <v>0</v>
      </c>
      <c r="BH1149" s="49">
        <f t="shared" ca="1" si="1387"/>
        <v>0</v>
      </c>
      <c r="BI1149" s="49">
        <f t="shared" ca="1" si="1387"/>
        <v>0</v>
      </c>
      <c r="BJ1149" s="49">
        <f t="shared" ca="1" si="1387"/>
        <v>0</v>
      </c>
      <c r="BK1149" s="49">
        <f t="shared" ca="1" si="1387"/>
        <v>0</v>
      </c>
      <c r="BL1149" s="49">
        <f t="shared" ca="1" si="1387"/>
        <v>0</v>
      </c>
      <c r="BM1149" s="49">
        <f t="shared" ca="1" si="1387"/>
        <v>0</v>
      </c>
      <c r="BN1149" s="49">
        <f t="shared" ca="1" si="1387"/>
        <v>0</v>
      </c>
      <c r="BO1149" s="49">
        <f t="shared" ca="1" si="1387"/>
        <v>0</v>
      </c>
      <c r="BP1149" s="49">
        <f t="shared" ca="1" si="1387"/>
        <v>0</v>
      </c>
      <c r="BQ1149" s="49">
        <f t="shared" ca="1" si="1387"/>
        <v>0</v>
      </c>
      <c r="BR1149" s="49">
        <f t="shared" ca="1" si="1387"/>
        <v>0</v>
      </c>
      <c r="BS1149" s="49">
        <f t="shared" ca="1" si="1387"/>
        <v>0</v>
      </c>
      <c r="BT1149" s="49">
        <f t="shared" ca="1" si="1387"/>
        <v>0</v>
      </c>
      <c r="BU1149" s="49">
        <f t="shared" ca="1" si="1387"/>
        <v>0</v>
      </c>
      <c r="BV1149" s="49">
        <f t="shared" ca="1" si="1387"/>
        <v>0</v>
      </c>
      <c r="BW1149" s="49">
        <f t="shared" ca="1" si="1387"/>
        <v>0</v>
      </c>
      <c r="BX1149" s="49">
        <f t="shared" ca="1" si="1387"/>
        <v>0</v>
      </c>
      <c r="BY1149" s="49">
        <f t="shared" ref="BY1149:CO1149" ca="1" si="1388">SUM(BY1147:BY1148)</f>
        <v>0</v>
      </c>
      <c r="BZ1149" s="49">
        <f t="shared" ca="1" si="1388"/>
        <v>0</v>
      </c>
      <c r="CA1149" s="49">
        <f t="shared" ca="1" si="1388"/>
        <v>0</v>
      </c>
      <c r="CB1149" s="49">
        <f t="shared" ca="1" si="1388"/>
        <v>0</v>
      </c>
      <c r="CC1149" s="49">
        <f t="shared" ca="1" si="1388"/>
        <v>0</v>
      </c>
      <c r="CD1149" s="49">
        <f t="shared" ca="1" si="1388"/>
        <v>0</v>
      </c>
      <c r="CE1149" s="49">
        <f t="shared" ca="1" si="1388"/>
        <v>0</v>
      </c>
      <c r="CF1149" s="49">
        <f t="shared" ca="1" si="1388"/>
        <v>0</v>
      </c>
      <c r="CG1149" s="49">
        <f t="shared" ca="1" si="1388"/>
        <v>0</v>
      </c>
      <c r="CH1149" s="49">
        <f t="shared" ca="1" si="1388"/>
        <v>0</v>
      </c>
      <c r="CI1149" s="49">
        <f t="shared" ca="1" si="1388"/>
        <v>0</v>
      </c>
      <c r="CJ1149" s="49">
        <f t="shared" ca="1" si="1388"/>
        <v>0</v>
      </c>
      <c r="CK1149" s="49">
        <f t="shared" ca="1" si="1388"/>
        <v>0</v>
      </c>
      <c r="CL1149" s="49">
        <f t="shared" ca="1" si="1388"/>
        <v>0</v>
      </c>
      <c r="CM1149" s="49">
        <f t="shared" ca="1" si="1388"/>
        <v>0</v>
      </c>
      <c r="CN1149" s="49">
        <f t="shared" ca="1" si="1388"/>
        <v>0</v>
      </c>
      <c r="CO1149" s="49">
        <f t="shared" ca="1" si="1388"/>
        <v>0</v>
      </c>
    </row>
    <row r="1150" spans="1:93">
      <c r="A1150" s="11"/>
      <c r="B1150" s="11"/>
      <c r="C1150" s="11"/>
      <c r="D1150" s="11"/>
      <c r="E1150" s="11"/>
      <c r="F1150" s="11"/>
      <c r="G1150" s="11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0"/>
      <c r="AH1150" s="10"/>
      <c r="AI1150" s="10"/>
      <c r="AJ1150" s="10"/>
      <c r="AK1150" s="10"/>
      <c r="AL1150" s="10"/>
      <c r="AM1150" s="10"/>
      <c r="AN1150" s="10"/>
      <c r="AO1150" s="10"/>
      <c r="AP1150" s="10"/>
      <c r="AQ1150" s="10"/>
      <c r="AR1150" s="10"/>
      <c r="AS1150" s="10"/>
      <c r="AT1150" s="10"/>
      <c r="AU1150" s="10"/>
      <c r="AV1150" s="10"/>
      <c r="AW1150" s="10"/>
      <c r="AX1150" s="10"/>
      <c r="AY1150" s="10"/>
      <c r="AZ1150" s="10"/>
      <c r="BA1150" s="10"/>
      <c r="BB1150" s="10"/>
      <c r="BC1150" s="10"/>
      <c r="BD1150" s="10"/>
      <c r="BE1150" s="10"/>
      <c r="BF1150" s="10"/>
      <c r="BG1150" s="10"/>
      <c r="BH1150" s="10"/>
      <c r="BI1150" s="10"/>
      <c r="BJ1150" s="10"/>
      <c r="BK1150" s="10"/>
      <c r="BL1150" s="10"/>
      <c r="BM1150" s="10"/>
      <c r="BN1150" s="10"/>
      <c r="BO1150" s="10"/>
      <c r="BP1150" s="10"/>
      <c r="BQ1150" s="10"/>
      <c r="BR1150" s="10"/>
      <c r="BS1150" s="10"/>
      <c r="BT1150" s="10"/>
      <c r="BU1150" s="10"/>
      <c r="BV1150" s="10"/>
      <c r="BW1150" s="10"/>
      <c r="BX1150" s="10"/>
      <c r="BY1150" s="10"/>
      <c r="BZ1150" s="10"/>
      <c r="CA1150" s="10"/>
      <c r="CB1150" s="10"/>
      <c r="CC1150" s="10"/>
      <c r="CD1150" s="10"/>
      <c r="CE1150" s="10"/>
      <c r="CF1150" s="10"/>
      <c r="CG1150" s="10"/>
      <c r="CH1150" s="10"/>
      <c r="CI1150" s="10"/>
      <c r="CJ1150" s="10"/>
      <c r="CK1150" s="10"/>
      <c r="CL1150" s="10"/>
      <c r="CM1150" s="10"/>
      <c r="CN1150" s="10"/>
      <c r="CO1150" s="10"/>
    </row>
    <row r="1151" spans="1:93" ht="22.5" customHeight="1">
      <c r="A1151" s="10"/>
      <c r="B1151" s="5" t="s">
        <v>490</v>
      </c>
      <c r="C1151" s="5"/>
      <c r="D1151" s="15"/>
      <c r="E1151" s="5"/>
      <c r="F1151" s="5"/>
      <c r="G1151" s="6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</row>
    <row r="1152" spans="1:93">
      <c r="A1152" s="10"/>
      <c r="B1152" s="10"/>
      <c r="C1152" s="10"/>
      <c r="D1152" s="10"/>
      <c r="E1152" s="10"/>
      <c r="F1152" s="10"/>
      <c r="G1152" s="11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0"/>
      <c r="AH1152" s="10"/>
      <c r="AI1152" s="10"/>
      <c r="AJ1152" s="10"/>
      <c r="AK1152" s="10"/>
      <c r="AL1152" s="10"/>
      <c r="AM1152" s="10"/>
      <c r="AN1152" s="10"/>
      <c r="AO1152" s="10"/>
      <c r="AP1152" s="10"/>
      <c r="AQ1152" s="10"/>
      <c r="AR1152" s="10"/>
      <c r="AS1152" s="10"/>
      <c r="AT1152" s="10"/>
      <c r="AU1152" s="10"/>
      <c r="AV1152" s="10"/>
      <c r="AW1152" s="10"/>
      <c r="AX1152" s="10"/>
      <c r="AY1152" s="10"/>
      <c r="AZ1152" s="10"/>
      <c r="BA1152" s="10"/>
      <c r="BB1152" s="10"/>
      <c r="BC1152" s="10"/>
      <c r="BD1152" s="10"/>
      <c r="BE1152" s="10"/>
      <c r="BF1152" s="10"/>
      <c r="BG1152" s="10"/>
      <c r="BH1152" s="10"/>
      <c r="BI1152" s="10"/>
      <c r="BJ1152" s="10"/>
      <c r="BK1152" s="10"/>
      <c r="BL1152" s="10"/>
      <c r="BM1152" s="10"/>
      <c r="BN1152" s="10"/>
      <c r="BO1152" s="10"/>
      <c r="BP1152" s="10"/>
      <c r="BQ1152" s="10"/>
      <c r="BR1152" s="10"/>
      <c r="BS1152" s="10"/>
      <c r="BT1152" s="10"/>
      <c r="BU1152" s="10"/>
      <c r="BV1152" s="10"/>
      <c r="BW1152" s="10"/>
      <c r="BX1152" s="10"/>
      <c r="BY1152" s="10"/>
      <c r="BZ1152" s="10"/>
      <c r="CA1152" s="10"/>
      <c r="CB1152" s="10"/>
      <c r="CC1152" s="10"/>
      <c r="CD1152" s="10"/>
      <c r="CE1152" s="10"/>
      <c r="CF1152" s="10"/>
      <c r="CG1152" s="10"/>
      <c r="CH1152" s="10"/>
      <c r="CI1152" s="10"/>
      <c r="CJ1152" s="10"/>
      <c r="CK1152" s="10"/>
      <c r="CL1152" s="10"/>
      <c r="CM1152" s="10"/>
      <c r="CN1152" s="10"/>
      <c r="CO1152" s="10"/>
    </row>
    <row r="1153" spans="1:93">
      <c r="A1153" s="10"/>
      <c r="B1153" s="10"/>
      <c r="C1153" s="67" t="s">
        <v>177</v>
      </c>
      <c r="D1153" s="10"/>
      <c r="E1153" s="10"/>
      <c r="F1153" s="10"/>
      <c r="G1153" s="11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0"/>
      <c r="AH1153" s="10"/>
      <c r="AI1153" s="10"/>
      <c r="AJ1153" s="10"/>
      <c r="AK1153" s="10"/>
      <c r="AL1153" s="10"/>
      <c r="AM1153" s="10"/>
      <c r="AN1153" s="10"/>
      <c r="AO1153" s="10"/>
      <c r="AP1153" s="10"/>
      <c r="AQ1153" s="10"/>
      <c r="AR1153" s="10"/>
      <c r="AS1153" s="10"/>
      <c r="AT1153" s="10"/>
      <c r="AU1153" s="10"/>
      <c r="AV1153" s="10"/>
      <c r="AW1153" s="10"/>
      <c r="AX1153" s="10"/>
      <c r="AY1153" s="10"/>
      <c r="AZ1153" s="10"/>
      <c r="BA1153" s="10"/>
      <c r="BB1153" s="10"/>
      <c r="BC1153" s="10"/>
      <c r="BD1153" s="10"/>
      <c r="BE1153" s="10"/>
      <c r="BF1153" s="10"/>
      <c r="BG1153" s="10"/>
      <c r="BH1153" s="10"/>
      <c r="BI1153" s="10"/>
      <c r="BJ1153" s="10"/>
      <c r="BK1153" s="10"/>
      <c r="BL1153" s="10"/>
      <c r="BM1153" s="10"/>
      <c r="BN1153" s="10"/>
      <c r="BO1153" s="10"/>
      <c r="BP1153" s="10"/>
      <c r="BQ1153" s="10"/>
      <c r="BR1153" s="10"/>
      <c r="BS1153" s="10"/>
      <c r="BT1153" s="10"/>
      <c r="BU1153" s="10"/>
      <c r="BV1153" s="10"/>
      <c r="BW1153" s="10"/>
      <c r="BX1153" s="10"/>
      <c r="BY1153" s="10"/>
      <c r="BZ1153" s="10"/>
      <c r="CA1153" s="10"/>
      <c r="CB1153" s="10"/>
      <c r="CC1153" s="10"/>
      <c r="CD1153" s="10"/>
      <c r="CE1153" s="10"/>
      <c r="CF1153" s="10"/>
      <c r="CG1153" s="10"/>
      <c r="CH1153" s="10"/>
      <c r="CI1153" s="10"/>
      <c r="CJ1153" s="10"/>
      <c r="CK1153" s="10"/>
      <c r="CL1153" s="10"/>
      <c r="CM1153" s="10"/>
      <c r="CN1153" s="10"/>
      <c r="CO1153" s="10"/>
    </row>
    <row r="1154" spans="1:93">
      <c r="A1154" s="10"/>
      <c r="B1154" s="10"/>
      <c r="C1154" s="17" t="s">
        <v>106</v>
      </c>
      <c r="D1154" s="10"/>
      <c r="E1154" s="178">
        <f>1-E1155</f>
        <v>0.5</v>
      </c>
      <c r="F1154" s="10"/>
      <c r="G1154" s="11" t="s">
        <v>28</v>
      </c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0"/>
      <c r="AH1154" s="10"/>
      <c r="AI1154" s="10"/>
      <c r="AJ1154" s="10"/>
      <c r="AK1154" s="10"/>
      <c r="AL1154" s="10"/>
      <c r="AM1154" s="10"/>
      <c r="AN1154" s="10"/>
      <c r="AO1154" s="10"/>
      <c r="AP1154" s="10"/>
      <c r="AQ1154" s="10"/>
      <c r="AR1154" s="10"/>
      <c r="AS1154" s="10"/>
      <c r="AT1154" s="10"/>
      <c r="AU1154" s="10"/>
      <c r="AV1154" s="10"/>
      <c r="AW1154" s="10"/>
      <c r="AX1154" s="10"/>
      <c r="AY1154" s="10"/>
      <c r="AZ1154" s="10"/>
      <c r="BA1154" s="10"/>
      <c r="BB1154" s="10"/>
      <c r="BC1154" s="10"/>
      <c r="BD1154" s="10"/>
      <c r="BE1154" s="10"/>
      <c r="BF1154" s="10"/>
      <c r="BG1154" s="10"/>
      <c r="BH1154" s="10"/>
      <c r="BI1154" s="10"/>
      <c r="BJ1154" s="10"/>
      <c r="BK1154" s="10"/>
      <c r="BL1154" s="10"/>
      <c r="BM1154" s="10"/>
      <c r="BN1154" s="10"/>
      <c r="BO1154" s="10"/>
      <c r="BP1154" s="10"/>
      <c r="BQ1154" s="10"/>
      <c r="BR1154" s="10"/>
      <c r="BS1154" s="10"/>
      <c r="BT1154" s="10"/>
      <c r="BU1154" s="10"/>
      <c r="BV1154" s="10"/>
      <c r="BW1154" s="10"/>
      <c r="BX1154" s="10"/>
      <c r="BY1154" s="10"/>
      <c r="BZ1154" s="10"/>
      <c r="CA1154" s="10"/>
      <c r="CB1154" s="10"/>
      <c r="CC1154" s="10"/>
      <c r="CD1154" s="10"/>
      <c r="CE1154" s="10"/>
      <c r="CF1154" s="10"/>
      <c r="CG1154" s="10"/>
      <c r="CH1154" s="10"/>
      <c r="CI1154" s="10"/>
      <c r="CJ1154" s="10"/>
      <c r="CK1154" s="10"/>
      <c r="CL1154" s="10"/>
      <c r="CM1154" s="10"/>
      <c r="CN1154" s="10"/>
      <c r="CO1154" s="10"/>
    </row>
    <row r="1155" spans="1:93">
      <c r="A1155" s="10"/>
      <c r="B1155" s="10"/>
      <c r="C1155" s="17" t="s">
        <v>356</v>
      </c>
      <c r="D1155" s="10"/>
      <c r="E1155" s="178">
        <f>Предпосылки!E573</f>
        <v>0.5</v>
      </c>
      <c r="F1155" s="10"/>
      <c r="G1155" s="11" t="s">
        <v>28</v>
      </c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0"/>
      <c r="AH1155" s="10"/>
      <c r="AI1155" s="10"/>
      <c r="AJ1155" s="10"/>
      <c r="AK1155" s="10"/>
      <c r="AL1155" s="10"/>
      <c r="AM1155" s="10"/>
      <c r="AN1155" s="10"/>
      <c r="AO1155" s="10"/>
      <c r="AP1155" s="10"/>
      <c r="AQ1155" s="10"/>
      <c r="AR1155" s="10"/>
      <c r="AS1155" s="10"/>
      <c r="AT1155" s="10"/>
      <c r="AU1155" s="10"/>
      <c r="AV1155" s="10"/>
      <c r="AW1155" s="10"/>
      <c r="AX1155" s="10"/>
      <c r="AY1155" s="10"/>
      <c r="AZ1155" s="10"/>
      <c r="BA1155" s="10"/>
      <c r="BB1155" s="10"/>
      <c r="BC1155" s="10"/>
      <c r="BD1155" s="10"/>
      <c r="BE1155" s="10"/>
      <c r="BF1155" s="10"/>
      <c r="BG1155" s="10"/>
      <c r="BH1155" s="10"/>
      <c r="BI1155" s="10"/>
      <c r="BJ1155" s="10"/>
      <c r="BK1155" s="10"/>
      <c r="BL1155" s="10"/>
      <c r="BM1155" s="10"/>
      <c r="BN1155" s="10"/>
      <c r="BO1155" s="10"/>
      <c r="BP1155" s="10"/>
      <c r="BQ1155" s="10"/>
      <c r="BR1155" s="10"/>
      <c r="BS1155" s="10"/>
      <c r="BT1155" s="10"/>
      <c r="BU1155" s="10"/>
      <c r="BV1155" s="10"/>
      <c r="BW1155" s="10"/>
      <c r="BX1155" s="10"/>
      <c r="BY1155" s="10"/>
      <c r="BZ1155" s="10"/>
      <c r="CA1155" s="10"/>
      <c r="CB1155" s="10"/>
      <c r="CC1155" s="10"/>
      <c r="CD1155" s="10"/>
      <c r="CE1155" s="10"/>
      <c r="CF1155" s="10"/>
      <c r="CG1155" s="10"/>
      <c r="CH1155" s="10"/>
      <c r="CI1155" s="10"/>
      <c r="CJ1155" s="10"/>
      <c r="CK1155" s="10"/>
      <c r="CL1155" s="10"/>
      <c r="CM1155" s="10"/>
      <c r="CN1155" s="10"/>
      <c r="CO1155" s="10"/>
    </row>
    <row r="1156" spans="1:93">
      <c r="A1156" s="10"/>
      <c r="B1156" s="10"/>
      <c r="C1156" s="17"/>
      <c r="D1156" s="10"/>
      <c r="E1156" s="10"/>
      <c r="F1156" s="10"/>
      <c r="G1156" s="11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0"/>
      <c r="AH1156" s="10"/>
      <c r="AI1156" s="10"/>
      <c r="AJ1156" s="10"/>
      <c r="AK1156" s="10"/>
      <c r="AL1156" s="10"/>
      <c r="AM1156" s="10"/>
      <c r="AN1156" s="10"/>
      <c r="AO1156" s="10"/>
      <c r="AP1156" s="10"/>
      <c r="AQ1156" s="10"/>
      <c r="AR1156" s="10"/>
      <c r="AS1156" s="10"/>
      <c r="AT1156" s="10"/>
      <c r="AU1156" s="10"/>
      <c r="AV1156" s="10"/>
      <c r="AW1156" s="10"/>
      <c r="AX1156" s="10"/>
      <c r="AY1156" s="10"/>
      <c r="AZ1156" s="10"/>
      <c r="BA1156" s="10"/>
      <c r="BB1156" s="10"/>
      <c r="BC1156" s="10"/>
      <c r="BD1156" s="10"/>
      <c r="BE1156" s="10"/>
      <c r="BF1156" s="10"/>
      <c r="BG1156" s="10"/>
      <c r="BH1156" s="10"/>
      <c r="BI1156" s="10"/>
      <c r="BJ1156" s="10"/>
      <c r="BK1156" s="10"/>
      <c r="BL1156" s="10"/>
      <c r="BM1156" s="10"/>
      <c r="BN1156" s="10"/>
      <c r="BO1156" s="10"/>
      <c r="BP1156" s="10"/>
      <c r="BQ1156" s="10"/>
      <c r="BR1156" s="10"/>
      <c r="BS1156" s="10"/>
      <c r="BT1156" s="10"/>
      <c r="BU1156" s="10"/>
      <c r="BV1156" s="10"/>
      <c r="BW1156" s="10"/>
      <c r="BX1156" s="10"/>
      <c r="BY1156" s="10"/>
      <c r="BZ1156" s="10"/>
      <c r="CA1156" s="10"/>
      <c r="CB1156" s="10"/>
      <c r="CC1156" s="10"/>
      <c r="CD1156" s="10"/>
      <c r="CE1156" s="10"/>
      <c r="CF1156" s="10"/>
      <c r="CG1156" s="10"/>
      <c r="CH1156" s="10"/>
      <c r="CI1156" s="10"/>
      <c r="CJ1156" s="10"/>
      <c r="CK1156" s="10"/>
      <c r="CL1156" s="10"/>
      <c r="CM1156" s="10"/>
      <c r="CN1156" s="10"/>
      <c r="CO1156" s="10"/>
    </row>
    <row r="1157" spans="1:93">
      <c r="A1157" s="10"/>
      <c r="B1157" s="10"/>
      <c r="C1157" s="17" t="s">
        <v>267</v>
      </c>
      <c r="D1157" s="10"/>
      <c r="E1157" s="10"/>
      <c r="F1157" s="10"/>
      <c r="G1157" s="134" t="str">
        <f>Monetary_Unit</f>
        <v>тыс. руб.</v>
      </c>
      <c r="H1157" s="10"/>
      <c r="I1157" s="23">
        <f ca="1">SUM(L1157:CO1157)</f>
        <v>533689.28402014531</v>
      </c>
      <c r="J1157" s="10"/>
      <c r="K1157" s="10"/>
      <c r="L1157" s="52">
        <f>L$1067*$E1154*NOT(Flag_Historical)</f>
        <v>10115.776706480377</v>
      </c>
      <c r="M1157" s="52">
        <f t="shared" ref="M1157:BX1157" ca="1" si="1389">M$1067*$E1154*NOT(Flag_Historical)</f>
        <v>10259.369017900153</v>
      </c>
      <c r="N1157" s="52">
        <f t="shared" ca="1" si="1389"/>
        <v>10404.999606013567</v>
      </c>
      <c r="O1157" s="52">
        <f t="shared" ca="1" si="1389"/>
        <v>10552.697403928796</v>
      </c>
      <c r="P1157" s="52">
        <f t="shared" ca="1" si="1389"/>
        <v>88745.245312382176</v>
      </c>
      <c r="Q1157" s="52">
        <f t="shared" ca="1" si="1389"/>
        <v>89619.688293733067</v>
      </c>
      <c r="R1157" s="52">
        <f t="shared" ca="1" si="1389"/>
        <v>90502.747517283089</v>
      </c>
      <c r="S1157" s="52">
        <f t="shared" ca="1" si="1389"/>
        <v>91394.507882369522</v>
      </c>
      <c r="T1157" s="52">
        <f t="shared" ca="1" si="1389"/>
        <v>65019.970533948253</v>
      </c>
      <c r="U1157" s="52">
        <f t="shared" ca="1" si="1389"/>
        <v>2040.9091648234303</v>
      </c>
      <c r="V1157" s="52">
        <f t="shared" ca="1" si="1389"/>
        <v>3303.1237146186231</v>
      </c>
      <c r="W1157" s="52">
        <f t="shared" ca="1" si="1389"/>
        <v>4555.1268162881161</v>
      </c>
      <c r="X1157" s="52">
        <f t="shared" ca="1" si="1389"/>
        <v>6346.274130728716</v>
      </c>
      <c r="Y1157" s="52">
        <f t="shared" ca="1" si="1389"/>
        <v>8757.8014964128106</v>
      </c>
      <c r="Z1157" s="52">
        <f t="shared" ca="1" si="1389"/>
        <v>11316.091617477097</v>
      </c>
      <c r="AA1157" s="52">
        <f t="shared" ca="1" si="1389"/>
        <v>13802.401746613647</v>
      </c>
      <c r="AB1157" s="52">
        <f t="shared" ca="1" si="1389"/>
        <v>16952.553059143869</v>
      </c>
      <c r="AC1157" s="52">
        <f t="shared" ca="1" si="1389"/>
        <v>0</v>
      </c>
      <c r="AD1157" s="52">
        <f t="shared" ca="1" si="1389"/>
        <v>0</v>
      </c>
      <c r="AE1157" s="52">
        <f t="shared" ca="1" si="1389"/>
        <v>0</v>
      </c>
      <c r="AF1157" s="52">
        <f t="shared" ca="1" si="1389"/>
        <v>0</v>
      </c>
      <c r="AG1157" s="52">
        <f t="shared" ca="1" si="1389"/>
        <v>0</v>
      </c>
      <c r="AH1157" s="52">
        <f t="shared" ca="1" si="1389"/>
        <v>0</v>
      </c>
      <c r="AI1157" s="52">
        <f t="shared" ca="1" si="1389"/>
        <v>0</v>
      </c>
      <c r="AJ1157" s="52">
        <f t="shared" ca="1" si="1389"/>
        <v>0</v>
      </c>
      <c r="AK1157" s="52">
        <f t="shared" ca="1" si="1389"/>
        <v>0</v>
      </c>
      <c r="AL1157" s="52">
        <f t="shared" ca="1" si="1389"/>
        <v>0</v>
      </c>
      <c r="AM1157" s="52">
        <f t="shared" ca="1" si="1389"/>
        <v>0</v>
      </c>
      <c r="AN1157" s="52">
        <f t="shared" ca="1" si="1389"/>
        <v>0</v>
      </c>
      <c r="AO1157" s="52">
        <f t="shared" ca="1" si="1389"/>
        <v>0</v>
      </c>
      <c r="AP1157" s="52">
        <f t="shared" ca="1" si="1389"/>
        <v>0</v>
      </c>
      <c r="AQ1157" s="52">
        <f t="shared" ca="1" si="1389"/>
        <v>0</v>
      </c>
      <c r="AR1157" s="52">
        <f t="shared" ca="1" si="1389"/>
        <v>0</v>
      </c>
      <c r="AS1157" s="52">
        <f t="shared" ca="1" si="1389"/>
        <v>0</v>
      </c>
      <c r="AT1157" s="52">
        <f t="shared" ca="1" si="1389"/>
        <v>0</v>
      </c>
      <c r="AU1157" s="52">
        <f t="shared" ca="1" si="1389"/>
        <v>0</v>
      </c>
      <c r="AV1157" s="52">
        <f t="shared" ca="1" si="1389"/>
        <v>0</v>
      </c>
      <c r="AW1157" s="52">
        <f t="shared" ca="1" si="1389"/>
        <v>0</v>
      </c>
      <c r="AX1157" s="52">
        <f t="shared" ca="1" si="1389"/>
        <v>0</v>
      </c>
      <c r="AY1157" s="52">
        <f t="shared" ca="1" si="1389"/>
        <v>0</v>
      </c>
      <c r="AZ1157" s="52">
        <f t="shared" ca="1" si="1389"/>
        <v>0</v>
      </c>
      <c r="BA1157" s="52">
        <f t="shared" ca="1" si="1389"/>
        <v>0</v>
      </c>
      <c r="BB1157" s="52">
        <f t="shared" ca="1" si="1389"/>
        <v>0</v>
      </c>
      <c r="BC1157" s="52">
        <f t="shared" ca="1" si="1389"/>
        <v>0</v>
      </c>
      <c r="BD1157" s="52">
        <f t="shared" ca="1" si="1389"/>
        <v>0</v>
      </c>
      <c r="BE1157" s="52">
        <f t="shared" ca="1" si="1389"/>
        <v>0</v>
      </c>
      <c r="BF1157" s="52">
        <f t="shared" ca="1" si="1389"/>
        <v>0</v>
      </c>
      <c r="BG1157" s="52">
        <f t="shared" ca="1" si="1389"/>
        <v>0</v>
      </c>
      <c r="BH1157" s="52">
        <f t="shared" ca="1" si="1389"/>
        <v>0</v>
      </c>
      <c r="BI1157" s="52">
        <f t="shared" ca="1" si="1389"/>
        <v>0</v>
      </c>
      <c r="BJ1157" s="52">
        <f t="shared" ca="1" si="1389"/>
        <v>0</v>
      </c>
      <c r="BK1157" s="52">
        <f t="shared" ca="1" si="1389"/>
        <v>0</v>
      </c>
      <c r="BL1157" s="52">
        <f t="shared" ca="1" si="1389"/>
        <v>0</v>
      </c>
      <c r="BM1157" s="52">
        <f t="shared" ca="1" si="1389"/>
        <v>0</v>
      </c>
      <c r="BN1157" s="52">
        <f t="shared" ca="1" si="1389"/>
        <v>0</v>
      </c>
      <c r="BO1157" s="52">
        <f t="shared" ca="1" si="1389"/>
        <v>0</v>
      </c>
      <c r="BP1157" s="52">
        <f t="shared" ca="1" si="1389"/>
        <v>0</v>
      </c>
      <c r="BQ1157" s="52">
        <f t="shared" ca="1" si="1389"/>
        <v>0</v>
      </c>
      <c r="BR1157" s="52">
        <f t="shared" ca="1" si="1389"/>
        <v>0</v>
      </c>
      <c r="BS1157" s="52">
        <f t="shared" ca="1" si="1389"/>
        <v>0</v>
      </c>
      <c r="BT1157" s="52">
        <f t="shared" ca="1" si="1389"/>
        <v>0</v>
      </c>
      <c r="BU1157" s="52">
        <f t="shared" ca="1" si="1389"/>
        <v>0</v>
      </c>
      <c r="BV1157" s="52">
        <f t="shared" ca="1" si="1389"/>
        <v>0</v>
      </c>
      <c r="BW1157" s="52">
        <f t="shared" ca="1" si="1389"/>
        <v>0</v>
      </c>
      <c r="BX1157" s="52">
        <f t="shared" ca="1" si="1389"/>
        <v>0</v>
      </c>
      <c r="BY1157" s="52">
        <f t="shared" ref="BY1157:CO1157" ca="1" si="1390">BY$1067*$E1154*NOT(Flag_Historical)</f>
        <v>0</v>
      </c>
      <c r="BZ1157" s="52">
        <f t="shared" ca="1" si="1390"/>
        <v>0</v>
      </c>
      <c r="CA1157" s="52">
        <f t="shared" ca="1" si="1390"/>
        <v>0</v>
      </c>
      <c r="CB1157" s="52">
        <f t="shared" ca="1" si="1390"/>
        <v>0</v>
      </c>
      <c r="CC1157" s="52">
        <f t="shared" ca="1" si="1390"/>
        <v>0</v>
      </c>
      <c r="CD1157" s="52">
        <f t="shared" ca="1" si="1390"/>
        <v>0</v>
      </c>
      <c r="CE1157" s="52">
        <f t="shared" ca="1" si="1390"/>
        <v>0</v>
      </c>
      <c r="CF1157" s="52">
        <f t="shared" ca="1" si="1390"/>
        <v>0</v>
      </c>
      <c r="CG1157" s="52">
        <f t="shared" ca="1" si="1390"/>
        <v>0</v>
      </c>
      <c r="CH1157" s="52">
        <f t="shared" ca="1" si="1390"/>
        <v>0</v>
      </c>
      <c r="CI1157" s="52">
        <f t="shared" ca="1" si="1390"/>
        <v>0</v>
      </c>
      <c r="CJ1157" s="52">
        <f t="shared" ca="1" si="1390"/>
        <v>0</v>
      </c>
      <c r="CK1157" s="52">
        <f t="shared" ca="1" si="1390"/>
        <v>0</v>
      </c>
      <c r="CL1157" s="52">
        <f t="shared" ca="1" si="1390"/>
        <v>0</v>
      </c>
      <c r="CM1157" s="52">
        <f t="shared" ca="1" si="1390"/>
        <v>0</v>
      </c>
      <c r="CN1157" s="52">
        <f t="shared" ca="1" si="1390"/>
        <v>0</v>
      </c>
      <c r="CO1157" s="52">
        <f t="shared" ca="1" si="1390"/>
        <v>0</v>
      </c>
    </row>
    <row r="1158" spans="1:93" ht="15.75" thickBot="1">
      <c r="A1158" s="10"/>
      <c r="B1158" s="10"/>
      <c r="C1158" s="17" t="s">
        <v>359</v>
      </c>
      <c r="D1158" s="10"/>
      <c r="E1158" s="10"/>
      <c r="F1158" s="10"/>
      <c r="G1158" s="134" t="str">
        <f>Monetary_Unit</f>
        <v>тыс. руб.</v>
      </c>
      <c r="H1158" s="10"/>
      <c r="I1158" s="23">
        <f ca="1">SUM(L1158:CO1158)</f>
        <v>533689.28402014542</v>
      </c>
      <c r="J1158" s="10"/>
      <c r="K1158" s="10"/>
      <c r="L1158" s="52">
        <f>L$1067*$E1155+MAX(L1066-Debt_Drawdown,0)</f>
        <v>10115.776706480377</v>
      </c>
      <c r="M1158" s="52">
        <f t="shared" ref="M1158:BX1158" ca="1" si="1391">M$1067*$E1155+MAX(M1066-Debt_Drawdown,0)</f>
        <v>10259.369017900153</v>
      </c>
      <c r="N1158" s="52">
        <f t="shared" ca="1" si="1391"/>
        <v>10404.999606013567</v>
      </c>
      <c r="O1158" s="52">
        <f t="shared" ca="1" si="1391"/>
        <v>10552.697403928796</v>
      </c>
      <c r="P1158" s="52">
        <f t="shared" ca="1" si="1391"/>
        <v>88745.245312382176</v>
      </c>
      <c r="Q1158" s="52">
        <f t="shared" ca="1" si="1391"/>
        <v>89619.688293733067</v>
      </c>
      <c r="R1158" s="52">
        <f t="shared" ca="1" si="1391"/>
        <v>90502.747517283089</v>
      </c>
      <c r="S1158" s="52">
        <f t="shared" ca="1" si="1391"/>
        <v>91394.507882369522</v>
      </c>
      <c r="T1158" s="52">
        <f t="shared" ca="1" si="1391"/>
        <v>65019.970533948253</v>
      </c>
      <c r="U1158" s="52">
        <f t="shared" ca="1" si="1391"/>
        <v>2040.9091648234303</v>
      </c>
      <c r="V1158" s="52">
        <f t="shared" ca="1" si="1391"/>
        <v>3303.1237146186231</v>
      </c>
      <c r="W1158" s="52">
        <f t="shared" ca="1" si="1391"/>
        <v>4555.1268162881161</v>
      </c>
      <c r="X1158" s="52">
        <f t="shared" ca="1" si="1391"/>
        <v>6346.274130728716</v>
      </c>
      <c r="Y1158" s="52">
        <f t="shared" ca="1" si="1391"/>
        <v>8757.8014964128106</v>
      </c>
      <c r="Z1158" s="52">
        <f t="shared" ca="1" si="1391"/>
        <v>11316.091617477097</v>
      </c>
      <c r="AA1158" s="52">
        <f t="shared" ca="1" si="1391"/>
        <v>13802.401746613647</v>
      </c>
      <c r="AB1158" s="52">
        <f t="shared" ca="1" si="1391"/>
        <v>16952.553059143986</v>
      </c>
      <c r="AC1158" s="52">
        <f t="shared" ca="1" si="1391"/>
        <v>0</v>
      </c>
      <c r="AD1158" s="52">
        <f t="shared" ca="1" si="1391"/>
        <v>0</v>
      </c>
      <c r="AE1158" s="52">
        <f t="shared" ca="1" si="1391"/>
        <v>0</v>
      </c>
      <c r="AF1158" s="52">
        <f t="shared" ca="1" si="1391"/>
        <v>0</v>
      </c>
      <c r="AG1158" s="52">
        <f t="shared" ca="1" si="1391"/>
        <v>0</v>
      </c>
      <c r="AH1158" s="52">
        <f t="shared" ca="1" si="1391"/>
        <v>0</v>
      </c>
      <c r="AI1158" s="52">
        <f t="shared" ca="1" si="1391"/>
        <v>0</v>
      </c>
      <c r="AJ1158" s="52">
        <f t="shared" ca="1" si="1391"/>
        <v>0</v>
      </c>
      <c r="AK1158" s="52">
        <f t="shared" ca="1" si="1391"/>
        <v>0</v>
      </c>
      <c r="AL1158" s="52">
        <f t="shared" ca="1" si="1391"/>
        <v>0</v>
      </c>
      <c r="AM1158" s="52">
        <f t="shared" ca="1" si="1391"/>
        <v>0</v>
      </c>
      <c r="AN1158" s="52">
        <f t="shared" ca="1" si="1391"/>
        <v>0</v>
      </c>
      <c r="AO1158" s="52">
        <f t="shared" ca="1" si="1391"/>
        <v>0</v>
      </c>
      <c r="AP1158" s="52">
        <f t="shared" ca="1" si="1391"/>
        <v>0</v>
      </c>
      <c r="AQ1158" s="52">
        <f t="shared" ca="1" si="1391"/>
        <v>0</v>
      </c>
      <c r="AR1158" s="52">
        <f t="shared" ca="1" si="1391"/>
        <v>0</v>
      </c>
      <c r="AS1158" s="52">
        <f t="shared" ca="1" si="1391"/>
        <v>0</v>
      </c>
      <c r="AT1158" s="52">
        <f t="shared" ca="1" si="1391"/>
        <v>0</v>
      </c>
      <c r="AU1158" s="52">
        <f t="shared" ca="1" si="1391"/>
        <v>0</v>
      </c>
      <c r="AV1158" s="52">
        <f t="shared" ca="1" si="1391"/>
        <v>0</v>
      </c>
      <c r="AW1158" s="52">
        <f t="shared" ca="1" si="1391"/>
        <v>0</v>
      </c>
      <c r="AX1158" s="52">
        <f t="shared" ca="1" si="1391"/>
        <v>0</v>
      </c>
      <c r="AY1158" s="52">
        <f t="shared" ca="1" si="1391"/>
        <v>0</v>
      </c>
      <c r="AZ1158" s="52">
        <f t="shared" ca="1" si="1391"/>
        <v>0</v>
      </c>
      <c r="BA1158" s="52">
        <f t="shared" ca="1" si="1391"/>
        <v>0</v>
      </c>
      <c r="BB1158" s="52">
        <f t="shared" ca="1" si="1391"/>
        <v>0</v>
      </c>
      <c r="BC1158" s="52">
        <f t="shared" ca="1" si="1391"/>
        <v>0</v>
      </c>
      <c r="BD1158" s="52">
        <f t="shared" ca="1" si="1391"/>
        <v>0</v>
      </c>
      <c r="BE1158" s="52">
        <f t="shared" ca="1" si="1391"/>
        <v>0</v>
      </c>
      <c r="BF1158" s="52">
        <f t="shared" ca="1" si="1391"/>
        <v>0</v>
      </c>
      <c r="BG1158" s="52">
        <f t="shared" ca="1" si="1391"/>
        <v>0</v>
      </c>
      <c r="BH1158" s="52">
        <f t="shared" ca="1" si="1391"/>
        <v>0</v>
      </c>
      <c r="BI1158" s="52">
        <f t="shared" ca="1" si="1391"/>
        <v>0</v>
      </c>
      <c r="BJ1158" s="52">
        <f t="shared" ca="1" si="1391"/>
        <v>0</v>
      </c>
      <c r="BK1158" s="52">
        <f t="shared" ca="1" si="1391"/>
        <v>0</v>
      </c>
      <c r="BL1158" s="52">
        <f t="shared" ca="1" si="1391"/>
        <v>0</v>
      </c>
      <c r="BM1158" s="52">
        <f t="shared" ca="1" si="1391"/>
        <v>0</v>
      </c>
      <c r="BN1158" s="52">
        <f t="shared" ca="1" si="1391"/>
        <v>0</v>
      </c>
      <c r="BO1158" s="52">
        <f t="shared" ca="1" si="1391"/>
        <v>0</v>
      </c>
      <c r="BP1158" s="52">
        <f t="shared" ca="1" si="1391"/>
        <v>0</v>
      </c>
      <c r="BQ1158" s="52">
        <f t="shared" ca="1" si="1391"/>
        <v>0</v>
      </c>
      <c r="BR1158" s="52">
        <f t="shared" ca="1" si="1391"/>
        <v>0</v>
      </c>
      <c r="BS1158" s="52">
        <f t="shared" ca="1" si="1391"/>
        <v>0</v>
      </c>
      <c r="BT1158" s="52">
        <f t="shared" ca="1" si="1391"/>
        <v>0</v>
      </c>
      <c r="BU1158" s="52">
        <f t="shared" ca="1" si="1391"/>
        <v>0</v>
      </c>
      <c r="BV1158" s="52">
        <f t="shared" ca="1" si="1391"/>
        <v>0</v>
      </c>
      <c r="BW1158" s="52">
        <f t="shared" ca="1" si="1391"/>
        <v>0</v>
      </c>
      <c r="BX1158" s="52">
        <f t="shared" ca="1" si="1391"/>
        <v>0</v>
      </c>
      <c r="BY1158" s="52">
        <f t="shared" ref="BY1158:CO1158" ca="1" si="1392">BY$1067*$E1155+MAX(BY1066-Debt_Drawdown,0)</f>
        <v>0</v>
      </c>
      <c r="BZ1158" s="52">
        <f t="shared" ca="1" si="1392"/>
        <v>0</v>
      </c>
      <c r="CA1158" s="52">
        <f t="shared" ca="1" si="1392"/>
        <v>0</v>
      </c>
      <c r="CB1158" s="52">
        <f t="shared" ca="1" si="1392"/>
        <v>0</v>
      </c>
      <c r="CC1158" s="52">
        <f t="shared" ca="1" si="1392"/>
        <v>0</v>
      </c>
      <c r="CD1158" s="52">
        <f t="shared" ca="1" si="1392"/>
        <v>0</v>
      </c>
      <c r="CE1158" s="52">
        <f t="shared" ca="1" si="1392"/>
        <v>0</v>
      </c>
      <c r="CF1158" s="52">
        <f t="shared" ca="1" si="1392"/>
        <v>0</v>
      </c>
      <c r="CG1158" s="52">
        <f t="shared" ca="1" si="1392"/>
        <v>0</v>
      </c>
      <c r="CH1158" s="52">
        <f t="shared" ca="1" si="1392"/>
        <v>0</v>
      </c>
      <c r="CI1158" s="52">
        <f t="shared" ca="1" si="1392"/>
        <v>0</v>
      </c>
      <c r="CJ1158" s="52">
        <f t="shared" ca="1" si="1392"/>
        <v>0</v>
      </c>
      <c r="CK1158" s="52">
        <f t="shared" ca="1" si="1392"/>
        <v>0</v>
      </c>
      <c r="CL1158" s="52">
        <f t="shared" ca="1" si="1392"/>
        <v>0</v>
      </c>
      <c r="CM1158" s="52">
        <f t="shared" ca="1" si="1392"/>
        <v>0</v>
      </c>
      <c r="CN1158" s="52">
        <f t="shared" ca="1" si="1392"/>
        <v>0</v>
      </c>
      <c r="CO1158" s="52">
        <f t="shared" ca="1" si="1392"/>
        <v>0</v>
      </c>
    </row>
    <row r="1159" spans="1:93" ht="15.75" thickTop="1">
      <c r="A1159" s="172"/>
      <c r="B1159" s="35"/>
      <c r="C1159" s="173" t="s">
        <v>176</v>
      </c>
      <c r="D1159" s="49"/>
      <c r="E1159" s="49"/>
      <c r="F1159" s="49"/>
      <c r="G1159" s="159" t="str">
        <f>Monetary_Unit</f>
        <v>тыс. руб.</v>
      </c>
      <c r="H1159" s="49"/>
      <c r="I1159" s="176">
        <f ca="1">SUM(L1159:CO1159)</f>
        <v>1067378.5680402908</v>
      </c>
      <c r="J1159" s="49"/>
      <c r="K1159" s="49"/>
      <c r="L1159" s="49">
        <f>SUM(L1157:L1158)</f>
        <v>20231.553412960755</v>
      </c>
      <c r="M1159" s="49">
        <f t="shared" ref="M1159:BX1159" ca="1" si="1393">SUM(M1157:M1158)</f>
        <v>20518.738035800307</v>
      </c>
      <c r="N1159" s="49">
        <f t="shared" ca="1" si="1393"/>
        <v>20809.999212027134</v>
      </c>
      <c r="O1159" s="49">
        <f t="shared" ca="1" si="1393"/>
        <v>21105.394807857592</v>
      </c>
      <c r="P1159" s="49">
        <f t="shared" ca="1" si="1393"/>
        <v>177490.49062476435</v>
      </c>
      <c r="Q1159" s="49">
        <f t="shared" ca="1" si="1393"/>
        <v>179239.37658746613</v>
      </c>
      <c r="R1159" s="49">
        <f t="shared" ca="1" si="1393"/>
        <v>181005.49503456618</v>
      </c>
      <c r="S1159" s="49">
        <f t="shared" ca="1" si="1393"/>
        <v>182789.01576473904</v>
      </c>
      <c r="T1159" s="49">
        <f t="shared" ca="1" si="1393"/>
        <v>130039.94106789651</v>
      </c>
      <c r="U1159" s="49">
        <f t="shared" ca="1" si="1393"/>
        <v>4081.8183296468605</v>
      </c>
      <c r="V1159" s="49">
        <f t="shared" ca="1" si="1393"/>
        <v>6606.2474292372463</v>
      </c>
      <c r="W1159" s="49">
        <f t="shared" ca="1" si="1393"/>
        <v>9110.2536325762321</v>
      </c>
      <c r="X1159" s="49">
        <f t="shared" ca="1" si="1393"/>
        <v>12692.548261457432</v>
      </c>
      <c r="Y1159" s="49">
        <f t="shared" ca="1" si="1393"/>
        <v>17515.602992825621</v>
      </c>
      <c r="Z1159" s="49">
        <f t="shared" ca="1" si="1393"/>
        <v>22632.183234954195</v>
      </c>
      <c r="AA1159" s="49">
        <f t="shared" ca="1" si="1393"/>
        <v>27604.803493227293</v>
      </c>
      <c r="AB1159" s="49">
        <f t="shared" ca="1" si="1393"/>
        <v>33905.106118287855</v>
      </c>
      <c r="AC1159" s="49">
        <f t="shared" ca="1" si="1393"/>
        <v>0</v>
      </c>
      <c r="AD1159" s="49">
        <f t="shared" ca="1" si="1393"/>
        <v>0</v>
      </c>
      <c r="AE1159" s="49">
        <f t="shared" ca="1" si="1393"/>
        <v>0</v>
      </c>
      <c r="AF1159" s="49">
        <f t="shared" ca="1" si="1393"/>
        <v>0</v>
      </c>
      <c r="AG1159" s="49">
        <f t="shared" ca="1" si="1393"/>
        <v>0</v>
      </c>
      <c r="AH1159" s="49">
        <f t="shared" ca="1" si="1393"/>
        <v>0</v>
      </c>
      <c r="AI1159" s="49">
        <f t="shared" ca="1" si="1393"/>
        <v>0</v>
      </c>
      <c r="AJ1159" s="49">
        <f t="shared" ca="1" si="1393"/>
        <v>0</v>
      </c>
      <c r="AK1159" s="49">
        <f t="shared" ca="1" si="1393"/>
        <v>0</v>
      </c>
      <c r="AL1159" s="49">
        <f t="shared" ca="1" si="1393"/>
        <v>0</v>
      </c>
      <c r="AM1159" s="49">
        <f t="shared" ca="1" si="1393"/>
        <v>0</v>
      </c>
      <c r="AN1159" s="49">
        <f t="shared" ca="1" si="1393"/>
        <v>0</v>
      </c>
      <c r="AO1159" s="49">
        <f t="shared" ca="1" si="1393"/>
        <v>0</v>
      </c>
      <c r="AP1159" s="49">
        <f t="shared" ca="1" si="1393"/>
        <v>0</v>
      </c>
      <c r="AQ1159" s="49">
        <f t="shared" ca="1" si="1393"/>
        <v>0</v>
      </c>
      <c r="AR1159" s="49">
        <f t="shared" ca="1" si="1393"/>
        <v>0</v>
      </c>
      <c r="AS1159" s="49">
        <f t="shared" ca="1" si="1393"/>
        <v>0</v>
      </c>
      <c r="AT1159" s="49">
        <f t="shared" ca="1" si="1393"/>
        <v>0</v>
      </c>
      <c r="AU1159" s="49">
        <f t="shared" ca="1" si="1393"/>
        <v>0</v>
      </c>
      <c r="AV1159" s="49">
        <f t="shared" ca="1" si="1393"/>
        <v>0</v>
      </c>
      <c r="AW1159" s="49">
        <f t="shared" ca="1" si="1393"/>
        <v>0</v>
      </c>
      <c r="AX1159" s="49">
        <f t="shared" ca="1" si="1393"/>
        <v>0</v>
      </c>
      <c r="AY1159" s="49">
        <f t="shared" ca="1" si="1393"/>
        <v>0</v>
      </c>
      <c r="AZ1159" s="49">
        <f t="shared" ca="1" si="1393"/>
        <v>0</v>
      </c>
      <c r="BA1159" s="49">
        <f t="shared" ca="1" si="1393"/>
        <v>0</v>
      </c>
      <c r="BB1159" s="49">
        <f t="shared" ca="1" si="1393"/>
        <v>0</v>
      </c>
      <c r="BC1159" s="49">
        <f t="shared" ca="1" si="1393"/>
        <v>0</v>
      </c>
      <c r="BD1159" s="49">
        <f t="shared" ca="1" si="1393"/>
        <v>0</v>
      </c>
      <c r="BE1159" s="49">
        <f t="shared" ca="1" si="1393"/>
        <v>0</v>
      </c>
      <c r="BF1159" s="49">
        <f t="shared" ca="1" si="1393"/>
        <v>0</v>
      </c>
      <c r="BG1159" s="49">
        <f t="shared" ca="1" si="1393"/>
        <v>0</v>
      </c>
      <c r="BH1159" s="49">
        <f t="shared" ca="1" si="1393"/>
        <v>0</v>
      </c>
      <c r="BI1159" s="49">
        <f t="shared" ca="1" si="1393"/>
        <v>0</v>
      </c>
      <c r="BJ1159" s="49">
        <f t="shared" ca="1" si="1393"/>
        <v>0</v>
      </c>
      <c r="BK1159" s="49">
        <f t="shared" ca="1" si="1393"/>
        <v>0</v>
      </c>
      <c r="BL1159" s="49">
        <f t="shared" ca="1" si="1393"/>
        <v>0</v>
      </c>
      <c r="BM1159" s="49">
        <f t="shared" ca="1" si="1393"/>
        <v>0</v>
      </c>
      <c r="BN1159" s="49">
        <f t="shared" ca="1" si="1393"/>
        <v>0</v>
      </c>
      <c r="BO1159" s="49">
        <f t="shared" ca="1" si="1393"/>
        <v>0</v>
      </c>
      <c r="BP1159" s="49">
        <f t="shared" ca="1" si="1393"/>
        <v>0</v>
      </c>
      <c r="BQ1159" s="49">
        <f t="shared" ca="1" si="1393"/>
        <v>0</v>
      </c>
      <c r="BR1159" s="49">
        <f t="shared" ca="1" si="1393"/>
        <v>0</v>
      </c>
      <c r="BS1159" s="49">
        <f t="shared" ca="1" si="1393"/>
        <v>0</v>
      </c>
      <c r="BT1159" s="49">
        <f t="shared" ca="1" si="1393"/>
        <v>0</v>
      </c>
      <c r="BU1159" s="49">
        <f t="shared" ca="1" si="1393"/>
        <v>0</v>
      </c>
      <c r="BV1159" s="49">
        <f t="shared" ca="1" si="1393"/>
        <v>0</v>
      </c>
      <c r="BW1159" s="49">
        <f t="shared" ca="1" si="1393"/>
        <v>0</v>
      </c>
      <c r="BX1159" s="49">
        <f t="shared" ca="1" si="1393"/>
        <v>0</v>
      </c>
      <c r="BY1159" s="49">
        <f t="shared" ref="BY1159:CO1159" ca="1" si="1394">SUM(BY1157:BY1158)</f>
        <v>0</v>
      </c>
      <c r="BZ1159" s="49">
        <f t="shared" ca="1" si="1394"/>
        <v>0</v>
      </c>
      <c r="CA1159" s="49">
        <f t="shared" ca="1" si="1394"/>
        <v>0</v>
      </c>
      <c r="CB1159" s="49">
        <f t="shared" ca="1" si="1394"/>
        <v>0</v>
      </c>
      <c r="CC1159" s="49">
        <f t="shared" ca="1" si="1394"/>
        <v>0</v>
      </c>
      <c r="CD1159" s="49">
        <f t="shared" ca="1" si="1394"/>
        <v>0</v>
      </c>
      <c r="CE1159" s="49">
        <f t="shared" ca="1" si="1394"/>
        <v>0</v>
      </c>
      <c r="CF1159" s="49">
        <f t="shared" ca="1" si="1394"/>
        <v>0</v>
      </c>
      <c r="CG1159" s="49">
        <f t="shared" ca="1" si="1394"/>
        <v>0</v>
      </c>
      <c r="CH1159" s="49">
        <f t="shared" ca="1" si="1394"/>
        <v>0</v>
      </c>
      <c r="CI1159" s="49">
        <f t="shared" ca="1" si="1394"/>
        <v>0</v>
      </c>
      <c r="CJ1159" s="49">
        <f t="shared" ca="1" si="1394"/>
        <v>0</v>
      </c>
      <c r="CK1159" s="49">
        <f t="shared" ca="1" si="1394"/>
        <v>0</v>
      </c>
      <c r="CL1159" s="49">
        <f t="shared" ca="1" si="1394"/>
        <v>0</v>
      </c>
      <c r="CM1159" s="49">
        <f t="shared" ca="1" si="1394"/>
        <v>0</v>
      </c>
      <c r="CN1159" s="49">
        <f t="shared" ca="1" si="1394"/>
        <v>0</v>
      </c>
      <c r="CO1159" s="49">
        <f t="shared" ca="1" si="1394"/>
        <v>0</v>
      </c>
    </row>
    <row r="1160" spans="1:93">
      <c r="A1160" s="10"/>
      <c r="B1160" s="10"/>
      <c r="C1160" s="10"/>
      <c r="D1160" s="10"/>
      <c r="E1160" s="10"/>
      <c r="F1160" s="10"/>
      <c r="G1160" s="11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0"/>
      <c r="AH1160" s="10"/>
      <c r="AI1160" s="10"/>
      <c r="AJ1160" s="10"/>
      <c r="AK1160" s="10"/>
      <c r="AL1160" s="10"/>
      <c r="AM1160" s="10"/>
      <c r="AN1160" s="10"/>
      <c r="AO1160" s="10"/>
      <c r="AP1160" s="10"/>
      <c r="AQ1160" s="10"/>
      <c r="AR1160" s="10"/>
      <c r="AS1160" s="10"/>
      <c r="AT1160" s="10"/>
      <c r="AU1160" s="10"/>
      <c r="AV1160" s="10"/>
      <c r="AW1160" s="10"/>
      <c r="AX1160" s="10"/>
      <c r="AY1160" s="10"/>
      <c r="AZ1160" s="10"/>
      <c r="BA1160" s="10"/>
      <c r="BB1160" s="10"/>
      <c r="BC1160" s="10"/>
      <c r="BD1160" s="10"/>
      <c r="BE1160" s="10"/>
      <c r="BF1160" s="10"/>
      <c r="BG1160" s="10"/>
      <c r="BH1160" s="10"/>
      <c r="BI1160" s="10"/>
      <c r="BJ1160" s="10"/>
      <c r="BK1160" s="10"/>
      <c r="BL1160" s="10"/>
      <c r="BM1160" s="10"/>
      <c r="BN1160" s="10"/>
      <c r="BO1160" s="10"/>
      <c r="BP1160" s="10"/>
      <c r="BQ1160" s="10"/>
      <c r="BR1160" s="10"/>
      <c r="BS1160" s="10"/>
      <c r="BT1160" s="10"/>
      <c r="BU1160" s="10"/>
      <c r="BV1160" s="10"/>
      <c r="BW1160" s="10"/>
      <c r="BX1160" s="10"/>
      <c r="BY1160" s="10"/>
      <c r="BZ1160" s="10"/>
      <c r="CA1160" s="10"/>
      <c r="CB1160" s="10"/>
      <c r="CC1160" s="10"/>
      <c r="CD1160" s="10"/>
      <c r="CE1160" s="10"/>
      <c r="CF1160" s="10"/>
      <c r="CG1160" s="10"/>
      <c r="CH1160" s="10"/>
      <c r="CI1160" s="10"/>
      <c r="CJ1160" s="10"/>
      <c r="CK1160" s="10"/>
      <c r="CL1160" s="10"/>
      <c r="CM1160" s="10"/>
      <c r="CN1160" s="10"/>
      <c r="CO1160" s="10"/>
    </row>
    <row r="1161" spans="1:93" ht="16.5" thickBot="1">
      <c r="A1161" s="10"/>
      <c r="B1161" s="10"/>
      <c r="C1161" s="114" t="s">
        <v>106</v>
      </c>
      <c r="D1161" s="10"/>
      <c r="E1161" s="10"/>
      <c r="F1161" s="10"/>
      <c r="G1161" s="11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0"/>
      <c r="AH1161" s="10"/>
      <c r="AI1161" s="10"/>
      <c r="AJ1161" s="10"/>
      <c r="AK1161" s="10"/>
      <c r="AL1161" s="10"/>
      <c r="AM1161" s="10"/>
      <c r="AN1161" s="10"/>
      <c r="AO1161" s="10"/>
      <c r="AP1161" s="10"/>
      <c r="AQ1161" s="10"/>
      <c r="AR1161" s="10"/>
      <c r="AS1161" s="10"/>
      <c r="AT1161" s="10"/>
      <c r="AU1161" s="10"/>
      <c r="AV1161" s="10"/>
      <c r="AW1161" s="10"/>
      <c r="AX1161" s="10"/>
      <c r="AY1161" s="10"/>
      <c r="AZ1161" s="10"/>
      <c r="BA1161" s="10"/>
      <c r="BB1161" s="10"/>
      <c r="BC1161" s="10"/>
      <c r="BD1161" s="10"/>
      <c r="BE1161" s="10"/>
      <c r="BF1161" s="10"/>
      <c r="BG1161" s="10"/>
      <c r="BH1161" s="10"/>
      <c r="BI1161" s="10"/>
      <c r="BJ1161" s="10"/>
      <c r="BK1161" s="10"/>
      <c r="BL1161" s="10"/>
      <c r="BM1161" s="10"/>
      <c r="BN1161" s="10"/>
      <c r="BO1161" s="10"/>
      <c r="BP1161" s="10"/>
      <c r="BQ1161" s="10"/>
      <c r="BR1161" s="10"/>
      <c r="BS1161" s="10"/>
      <c r="BT1161" s="10"/>
      <c r="BU1161" s="10"/>
      <c r="BV1161" s="10"/>
      <c r="BW1161" s="10"/>
      <c r="BX1161" s="10"/>
      <c r="BY1161" s="10"/>
      <c r="BZ1161" s="10"/>
      <c r="CA1161" s="10"/>
      <c r="CB1161" s="10"/>
      <c r="CC1161" s="10"/>
      <c r="CD1161" s="10"/>
      <c r="CE1161" s="10"/>
      <c r="CF1161" s="10"/>
      <c r="CG1161" s="10"/>
      <c r="CH1161" s="10"/>
      <c r="CI1161" s="10"/>
      <c r="CJ1161" s="10"/>
      <c r="CK1161" s="10"/>
      <c r="CL1161" s="10"/>
      <c r="CM1161" s="10"/>
      <c r="CN1161" s="10"/>
      <c r="CO1161" s="10"/>
    </row>
    <row r="1162" spans="1:93">
      <c r="A1162" s="10"/>
      <c r="B1162" s="10"/>
      <c r="C1162" s="67"/>
      <c r="D1162" s="10"/>
      <c r="E1162" s="10"/>
      <c r="F1162" s="10"/>
      <c r="G1162" s="11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0"/>
      <c r="AH1162" s="10"/>
      <c r="AI1162" s="10"/>
      <c r="AJ1162" s="10"/>
      <c r="AK1162" s="10"/>
      <c r="AL1162" s="10"/>
      <c r="AM1162" s="10"/>
      <c r="AN1162" s="10"/>
      <c r="AO1162" s="10"/>
      <c r="AP1162" s="10"/>
      <c r="AQ1162" s="10"/>
      <c r="AR1162" s="10"/>
      <c r="AS1162" s="10"/>
      <c r="AT1162" s="10"/>
      <c r="AU1162" s="10"/>
      <c r="AV1162" s="10"/>
      <c r="AW1162" s="10"/>
      <c r="AX1162" s="10"/>
      <c r="AY1162" s="10"/>
      <c r="AZ1162" s="10"/>
      <c r="BA1162" s="10"/>
      <c r="BB1162" s="10"/>
      <c r="BC1162" s="10"/>
      <c r="BD1162" s="10"/>
      <c r="BE1162" s="10"/>
      <c r="BF1162" s="10"/>
      <c r="BG1162" s="10"/>
      <c r="BH1162" s="10"/>
      <c r="BI1162" s="10"/>
      <c r="BJ1162" s="10"/>
      <c r="BK1162" s="10"/>
      <c r="BL1162" s="10"/>
      <c r="BM1162" s="10"/>
      <c r="BN1162" s="10"/>
      <c r="BO1162" s="10"/>
      <c r="BP1162" s="10"/>
      <c r="BQ1162" s="10"/>
      <c r="BR1162" s="10"/>
      <c r="BS1162" s="10"/>
      <c r="BT1162" s="10"/>
      <c r="BU1162" s="10"/>
      <c r="BV1162" s="10"/>
      <c r="BW1162" s="10"/>
      <c r="BX1162" s="10"/>
      <c r="BY1162" s="10"/>
      <c r="BZ1162" s="10"/>
      <c r="CA1162" s="10"/>
      <c r="CB1162" s="10"/>
      <c r="CC1162" s="10"/>
      <c r="CD1162" s="10"/>
      <c r="CE1162" s="10"/>
      <c r="CF1162" s="10"/>
      <c r="CG1162" s="10"/>
      <c r="CH1162" s="10"/>
      <c r="CI1162" s="10"/>
      <c r="CJ1162" s="10"/>
      <c r="CK1162" s="10"/>
      <c r="CL1162" s="10"/>
      <c r="CM1162" s="10"/>
      <c r="CN1162" s="10"/>
      <c r="CO1162" s="10"/>
    </row>
    <row r="1163" spans="1:93">
      <c r="A1163" s="10"/>
      <c r="B1163" s="10"/>
      <c r="C1163" s="17" t="s">
        <v>174</v>
      </c>
      <c r="D1163" s="10"/>
      <c r="E1163" s="10"/>
      <c r="F1163" s="10"/>
      <c r="G1163" s="134" t="str">
        <f>Monetary_Unit</f>
        <v>тыс. руб.</v>
      </c>
      <c r="H1163" s="10"/>
      <c r="I1163" s="10"/>
      <c r="J1163" s="10"/>
      <c r="K1163" s="10"/>
      <c r="L1163" s="52">
        <f t="shared" ref="L1163:AQ1163" si="1395">K1168</f>
        <v>0</v>
      </c>
      <c r="M1163" s="52">
        <f t="shared" si="1395"/>
        <v>10115.776706480377</v>
      </c>
      <c r="N1163" s="52">
        <f t="shared" ca="1" si="1395"/>
        <v>20375.145724380531</v>
      </c>
      <c r="O1163" s="52">
        <f t="shared" ca="1" si="1395"/>
        <v>30780.145330394098</v>
      </c>
      <c r="P1163" s="52">
        <f t="shared" ca="1" si="1395"/>
        <v>41332.842734322898</v>
      </c>
      <c r="Q1163" s="52">
        <f t="shared" ca="1" si="1395"/>
        <v>130078.08804670507</v>
      </c>
      <c r="R1163" s="52">
        <f t="shared" ca="1" si="1395"/>
        <v>219697.77634043814</v>
      </c>
      <c r="S1163" s="52">
        <f t="shared" ca="1" si="1395"/>
        <v>310200.52385772124</v>
      </c>
      <c r="T1163" s="52">
        <f t="shared" ca="1" si="1395"/>
        <v>401595.03174009075</v>
      </c>
      <c r="U1163" s="52">
        <f t="shared" ca="1" si="1395"/>
        <v>466615.00227403903</v>
      </c>
      <c r="V1163" s="52">
        <f t="shared" ca="1" si="1395"/>
        <v>468655.91143886244</v>
      </c>
      <c r="W1163" s="52">
        <f t="shared" ca="1" si="1395"/>
        <v>471959.03515348106</v>
      </c>
      <c r="X1163" s="52">
        <f t="shared" ca="1" si="1395"/>
        <v>476514.16196976916</v>
      </c>
      <c r="Y1163" s="52">
        <f t="shared" ca="1" si="1395"/>
        <v>482860.4361004979</v>
      </c>
      <c r="Z1163" s="52">
        <f t="shared" ca="1" si="1395"/>
        <v>491618.23759691074</v>
      </c>
      <c r="AA1163" s="52">
        <f t="shared" ca="1" si="1395"/>
        <v>502934.32921438781</v>
      </c>
      <c r="AB1163" s="52">
        <f t="shared" ca="1" si="1395"/>
        <v>516736.73096100148</v>
      </c>
      <c r="AC1163" s="52">
        <f t="shared" ca="1" si="1395"/>
        <v>533689.28402014531</v>
      </c>
      <c r="AD1163" s="52">
        <f t="shared" ca="1" si="1395"/>
        <v>533689.28402014531</v>
      </c>
      <c r="AE1163" s="52">
        <f t="shared" ca="1" si="1395"/>
        <v>533689.28402014531</v>
      </c>
      <c r="AF1163" s="52">
        <f t="shared" ca="1" si="1395"/>
        <v>533689.28402014531</v>
      </c>
      <c r="AG1163" s="52">
        <f t="shared" ca="1" si="1395"/>
        <v>533689.28402014531</v>
      </c>
      <c r="AH1163" s="52">
        <f t="shared" ca="1" si="1395"/>
        <v>533689.28402014531</v>
      </c>
      <c r="AI1163" s="52">
        <f t="shared" ca="1" si="1395"/>
        <v>533689.28402014531</v>
      </c>
      <c r="AJ1163" s="52">
        <f t="shared" ca="1" si="1395"/>
        <v>533689.28402014531</v>
      </c>
      <c r="AK1163" s="52">
        <f t="shared" ca="1" si="1395"/>
        <v>533689.28402014531</v>
      </c>
      <c r="AL1163" s="52">
        <f t="shared" ca="1" si="1395"/>
        <v>533689.28402014531</v>
      </c>
      <c r="AM1163" s="52">
        <f t="shared" ca="1" si="1395"/>
        <v>533689.28402014531</v>
      </c>
      <c r="AN1163" s="52">
        <f t="shared" ca="1" si="1395"/>
        <v>533689.28402014531</v>
      </c>
      <c r="AO1163" s="52">
        <f t="shared" ca="1" si="1395"/>
        <v>533689.28402014531</v>
      </c>
      <c r="AP1163" s="52">
        <f t="shared" ca="1" si="1395"/>
        <v>533689.28402014531</v>
      </c>
      <c r="AQ1163" s="52">
        <f t="shared" ca="1" si="1395"/>
        <v>533689.28402014531</v>
      </c>
      <c r="AR1163" s="52">
        <f t="shared" ref="AR1163:BW1163" ca="1" si="1396">AQ1168</f>
        <v>533689.28402014531</v>
      </c>
      <c r="AS1163" s="52">
        <f t="shared" ca="1" si="1396"/>
        <v>533689.28402014531</v>
      </c>
      <c r="AT1163" s="52">
        <f t="shared" ca="1" si="1396"/>
        <v>533689.28402014531</v>
      </c>
      <c r="AU1163" s="52">
        <f t="shared" ca="1" si="1396"/>
        <v>533689.28402014531</v>
      </c>
      <c r="AV1163" s="52">
        <f t="shared" ca="1" si="1396"/>
        <v>533689.28402014531</v>
      </c>
      <c r="AW1163" s="52">
        <f t="shared" ca="1" si="1396"/>
        <v>533689.28402014531</v>
      </c>
      <c r="AX1163" s="52">
        <f t="shared" ca="1" si="1396"/>
        <v>533689.28402014531</v>
      </c>
      <c r="AY1163" s="52">
        <f t="shared" ca="1" si="1396"/>
        <v>533689.28402014531</v>
      </c>
      <c r="AZ1163" s="52">
        <f t="shared" ca="1" si="1396"/>
        <v>533689.28402014531</v>
      </c>
      <c r="BA1163" s="52">
        <f t="shared" ca="1" si="1396"/>
        <v>533689.28402014531</v>
      </c>
      <c r="BB1163" s="52">
        <f t="shared" ca="1" si="1396"/>
        <v>533689.28402014531</v>
      </c>
      <c r="BC1163" s="52">
        <f t="shared" ca="1" si="1396"/>
        <v>533689.28402014531</v>
      </c>
      <c r="BD1163" s="52">
        <f t="shared" ca="1" si="1396"/>
        <v>533689.28402014531</v>
      </c>
      <c r="BE1163" s="52">
        <f t="shared" ca="1" si="1396"/>
        <v>533689.28402014531</v>
      </c>
      <c r="BF1163" s="52">
        <f t="shared" ca="1" si="1396"/>
        <v>533689.28402014531</v>
      </c>
      <c r="BG1163" s="52">
        <f t="shared" ca="1" si="1396"/>
        <v>533689.28402014531</v>
      </c>
      <c r="BH1163" s="52">
        <f t="shared" ca="1" si="1396"/>
        <v>533689.28402014531</v>
      </c>
      <c r="BI1163" s="52">
        <f t="shared" ca="1" si="1396"/>
        <v>533689.28402014531</v>
      </c>
      <c r="BJ1163" s="52">
        <f t="shared" ca="1" si="1396"/>
        <v>533689.28402014531</v>
      </c>
      <c r="BK1163" s="52">
        <f t="shared" ca="1" si="1396"/>
        <v>533689.28402014531</v>
      </c>
      <c r="BL1163" s="52">
        <f t="shared" ca="1" si="1396"/>
        <v>533689.28402014531</v>
      </c>
      <c r="BM1163" s="52">
        <f t="shared" ca="1" si="1396"/>
        <v>533689.28402014531</v>
      </c>
      <c r="BN1163" s="52">
        <f t="shared" ca="1" si="1396"/>
        <v>533689.28402014531</v>
      </c>
      <c r="BO1163" s="52">
        <f t="shared" ca="1" si="1396"/>
        <v>533689.28402014531</v>
      </c>
      <c r="BP1163" s="52">
        <f t="shared" ca="1" si="1396"/>
        <v>533689.28402014531</v>
      </c>
      <c r="BQ1163" s="52">
        <f t="shared" ca="1" si="1396"/>
        <v>533689.28402014531</v>
      </c>
      <c r="BR1163" s="52">
        <f t="shared" ca="1" si="1396"/>
        <v>533689.28402014531</v>
      </c>
      <c r="BS1163" s="52">
        <f t="shared" ca="1" si="1396"/>
        <v>533689.28402014531</v>
      </c>
      <c r="BT1163" s="52">
        <f t="shared" ca="1" si="1396"/>
        <v>533689.28402014531</v>
      </c>
      <c r="BU1163" s="52">
        <f t="shared" ca="1" si="1396"/>
        <v>533689.28402014531</v>
      </c>
      <c r="BV1163" s="52">
        <f t="shared" ca="1" si="1396"/>
        <v>533689.28402014531</v>
      </c>
      <c r="BW1163" s="52">
        <f t="shared" ca="1" si="1396"/>
        <v>533689.28402014531</v>
      </c>
      <c r="BX1163" s="52">
        <f t="shared" ref="BX1163:CO1163" ca="1" si="1397">BW1168</f>
        <v>533689.28402014531</v>
      </c>
      <c r="BY1163" s="52">
        <f t="shared" ca="1" si="1397"/>
        <v>533689.28402014531</v>
      </c>
      <c r="BZ1163" s="52">
        <f t="shared" ca="1" si="1397"/>
        <v>533689.28402014531</v>
      </c>
      <c r="CA1163" s="52">
        <f t="shared" ca="1" si="1397"/>
        <v>533689.28402014531</v>
      </c>
      <c r="CB1163" s="52">
        <f t="shared" ca="1" si="1397"/>
        <v>533689.28402014531</v>
      </c>
      <c r="CC1163" s="52">
        <f t="shared" ca="1" si="1397"/>
        <v>533689.28402014531</v>
      </c>
      <c r="CD1163" s="52">
        <f t="shared" ca="1" si="1397"/>
        <v>533689.28402014531</v>
      </c>
      <c r="CE1163" s="52">
        <f t="shared" ca="1" si="1397"/>
        <v>533689.28402014531</v>
      </c>
      <c r="CF1163" s="52">
        <f t="shared" ca="1" si="1397"/>
        <v>533689.28402014531</v>
      </c>
      <c r="CG1163" s="52">
        <f t="shared" ca="1" si="1397"/>
        <v>533689.28402014531</v>
      </c>
      <c r="CH1163" s="52">
        <f t="shared" ca="1" si="1397"/>
        <v>533689.28402014531</v>
      </c>
      <c r="CI1163" s="52">
        <f t="shared" ca="1" si="1397"/>
        <v>533689.28402014531</v>
      </c>
      <c r="CJ1163" s="52">
        <f t="shared" ca="1" si="1397"/>
        <v>533689.28402014531</v>
      </c>
      <c r="CK1163" s="52">
        <f t="shared" ca="1" si="1397"/>
        <v>533689.28402014531</v>
      </c>
      <c r="CL1163" s="52">
        <f t="shared" ca="1" si="1397"/>
        <v>533689.28402014531</v>
      </c>
      <c r="CM1163" s="52">
        <f t="shared" ca="1" si="1397"/>
        <v>533689.28402014531</v>
      </c>
      <c r="CN1163" s="52">
        <f t="shared" ca="1" si="1397"/>
        <v>533689.28402014531</v>
      </c>
      <c r="CO1163" s="52">
        <f t="shared" ca="1" si="1397"/>
        <v>533689.28402014531</v>
      </c>
    </row>
    <row r="1164" spans="1:93">
      <c r="A1164" s="10"/>
      <c r="B1164" s="10"/>
      <c r="C1164" s="17" t="s">
        <v>1087</v>
      </c>
      <c r="D1164" s="10"/>
      <c r="E1164" s="10"/>
      <c r="F1164" s="10"/>
      <c r="G1164" s="134" t="str">
        <f>Monetary_Unit</f>
        <v>тыс. руб.</v>
      </c>
      <c r="H1164" s="10"/>
      <c r="I1164" s="23">
        <f ca="1">SUM(L1164:CO1164)</f>
        <v>533689.28402014531</v>
      </c>
      <c r="J1164" s="10"/>
      <c r="K1164" s="10"/>
      <c r="L1164" s="52">
        <f>L1157</f>
        <v>10115.776706480377</v>
      </c>
      <c r="M1164" s="52">
        <f t="shared" ref="M1164:BX1164" ca="1" si="1398">M1157</f>
        <v>10259.369017900153</v>
      </c>
      <c r="N1164" s="52">
        <f t="shared" ca="1" si="1398"/>
        <v>10404.999606013567</v>
      </c>
      <c r="O1164" s="52">
        <f t="shared" ca="1" si="1398"/>
        <v>10552.697403928796</v>
      </c>
      <c r="P1164" s="52">
        <f t="shared" ca="1" si="1398"/>
        <v>88745.245312382176</v>
      </c>
      <c r="Q1164" s="52">
        <f t="shared" ca="1" si="1398"/>
        <v>89619.688293733067</v>
      </c>
      <c r="R1164" s="52">
        <f t="shared" ca="1" si="1398"/>
        <v>90502.747517283089</v>
      </c>
      <c r="S1164" s="52">
        <f t="shared" ca="1" si="1398"/>
        <v>91394.507882369522</v>
      </c>
      <c r="T1164" s="52">
        <f t="shared" ca="1" si="1398"/>
        <v>65019.970533948253</v>
      </c>
      <c r="U1164" s="52">
        <f t="shared" ca="1" si="1398"/>
        <v>2040.9091648234303</v>
      </c>
      <c r="V1164" s="52">
        <f t="shared" ca="1" si="1398"/>
        <v>3303.1237146186231</v>
      </c>
      <c r="W1164" s="52">
        <f t="shared" ca="1" si="1398"/>
        <v>4555.1268162881161</v>
      </c>
      <c r="X1164" s="52">
        <f t="shared" ca="1" si="1398"/>
        <v>6346.274130728716</v>
      </c>
      <c r="Y1164" s="52">
        <f t="shared" ca="1" si="1398"/>
        <v>8757.8014964128106</v>
      </c>
      <c r="Z1164" s="52">
        <f t="shared" ca="1" si="1398"/>
        <v>11316.091617477097</v>
      </c>
      <c r="AA1164" s="52">
        <f t="shared" ca="1" si="1398"/>
        <v>13802.401746613647</v>
      </c>
      <c r="AB1164" s="52">
        <f t="shared" ca="1" si="1398"/>
        <v>16952.553059143869</v>
      </c>
      <c r="AC1164" s="52">
        <f t="shared" ca="1" si="1398"/>
        <v>0</v>
      </c>
      <c r="AD1164" s="52">
        <f t="shared" ca="1" si="1398"/>
        <v>0</v>
      </c>
      <c r="AE1164" s="52">
        <f t="shared" ca="1" si="1398"/>
        <v>0</v>
      </c>
      <c r="AF1164" s="52">
        <f t="shared" ca="1" si="1398"/>
        <v>0</v>
      </c>
      <c r="AG1164" s="52">
        <f t="shared" ca="1" si="1398"/>
        <v>0</v>
      </c>
      <c r="AH1164" s="52">
        <f t="shared" ca="1" si="1398"/>
        <v>0</v>
      </c>
      <c r="AI1164" s="52">
        <f t="shared" ca="1" si="1398"/>
        <v>0</v>
      </c>
      <c r="AJ1164" s="52">
        <f t="shared" ca="1" si="1398"/>
        <v>0</v>
      </c>
      <c r="AK1164" s="52">
        <f t="shared" ca="1" si="1398"/>
        <v>0</v>
      </c>
      <c r="AL1164" s="52">
        <f t="shared" ca="1" si="1398"/>
        <v>0</v>
      </c>
      <c r="AM1164" s="52">
        <f t="shared" ca="1" si="1398"/>
        <v>0</v>
      </c>
      <c r="AN1164" s="52">
        <f t="shared" ca="1" si="1398"/>
        <v>0</v>
      </c>
      <c r="AO1164" s="52">
        <f t="shared" ca="1" si="1398"/>
        <v>0</v>
      </c>
      <c r="AP1164" s="52">
        <f t="shared" ca="1" si="1398"/>
        <v>0</v>
      </c>
      <c r="AQ1164" s="52">
        <f t="shared" ca="1" si="1398"/>
        <v>0</v>
      </c>
      <c r="AR1164" s="52">
        <f t="shared" ca="1" si="1398"/>
        <v>0</v>
      </c>
      <c r="AS1164" s="52">
        <f t="shared" ca="1" si="1398"/>
        <v>0</v>
      </c>
      <c r="AT1164" s="52">
        <f t="shared" ca="1" si="1398"/>
        <v>0</v>
      </c>
      <c r="AU1164" s="52">
        <f t="shared" ca="1" si="1398"/>
        <v>0</v>
      </c>
      <c r="AV1164" s="52">
        <f t="shared" ca="1" si="1398"/>
        <v>0</v>
      </c>
      <c r="AW1164" s="52">
        <f t="shared" ca="1" si="1398"/>
        <v>0</v>
      </c>
      <c r="AX1164" s="52">
        <f t="shared" ca="1" si="1398"/>
        <v>0</v>
      </c>
      <c r="AY1164" s="52">
        <f t="shared" ca="1" si="1398"/>
        <v>0</v>
      </c>
      <c r="AZ1164" s="52">
        <f t="shared" ca="1" si="1398"/>
        <v>0</v>
      </c>
      <c r="BA1164" s="52">
        <f t="shared" ca="1" si="1398"/>
        <v>0</v>
      </c>
      <c r="BB1164" s="52">
        <f t="shared" ca="1" si="1398"/>
        <v>0</v>
      </c>
      <c r="BC1164" s="52">
        <f t="shared" ca="1" si="1398"/>
        <v>0</v>
      </c>
      <c r="BD1164" s="52">
        <f t="shared" ca="1" si="1398"/>
        <v>0</v>
      </c>
      <c r="BE1164" s="52">
        <f t="shared" ca="1" si="1398"/>
        <v>0</v>
      </c>
      <c r="BF1164" s="52">
        <f t="shared" ca="1" si="1398"/>
        <v>0</v>
      </c>
      <c r="BG1164" s="52">
        <f t="shared" ca="1" si="1398"/>
        <v>0</v>
      </c>
      <c r="BH1164" s="52">
        <f t="shared" ca="1" si="1398"/>
        <v>0</v>
      </c>
      <c r="BI1164" s="52">
        <f t="shared" ca="1" si="1398"/>
        <v>0</v>
      </c>
      <c r="BJ1164" s="52">
        <f t="shared" ca="1" si="1398"/>
        <v>0</v>
      </c>
      <c r="BK1164" s="52">
        <f t="shared" ca="1" si="1398"/>
        <v>0</v>
      </c>
      <c r="BL1164" s="52">
        <f t="shared" ca="1" si="1398"/>
        <v>0</v>
      </c>
      <c r="BM1164" s="52">
        <f t="shared" ca="1" si="1398"/>
        <v>0</v>
      </c>
      <c r="BN1164" s="52">
        <f t="shared" ca="1" si="1398"/>
        <v>0</v>
      </c>
      <c r="BO1164" s="52">
        <f t="shared" ca="1" si="1398"/>
        <v>0</v>
      </c>
      <c r="BP1164" s="52">
        <f t="shared" ca="1" si="1398"/>
        <v>0</v>
      </c>
      <c r="BQ1164" s="52">
        <f t="shared" ca="1" si="1398"/>
        <v>0</v>
      </c>
      <c r="BR1164" s="52">
        <f t="shared" ca="1" si="1398"/>
        <v>0</v>
      </c>
      <c r="BS1164" s="52">
        <f t="shared" ca="1" si="1398"/>
        <v>0</v>
      </c>
      <c r="BT1164" s="52">
        <f t="shared" ca="1" si="1398"/>
        <v>0</v>
      </c>
      <c r="BU1164" s="52">
        <f t="shared" ca="1" si="1398"/>
        <v>0</v>
      </c>
      <c r="BV1164" s="52">
        <f t="shared" ca="1" si="1398"/>
        <v>0</v>
      </c>
      <c r="BW1164" s="52">
        <f t="shared" ca="1" si="1398"/>
        <v>0</v>
      </c>
      <c r="BX1164" s="52">
        <f t="shared" ca="1" si="1398"/>
        <v>0</v>
      </c>
      <c r="BY1164" s="52">
        <f t="shared" ref="BY1164:CO1164" ca="1" si="1399">BY1157</f>
        <v>0</v>
      </c>
      <c r="BZ1164" s="52">
        <f t="shared" ca="1" si="1399"/>
        <v>0</v>
      </c>
      <c r="CA1164" s="52">
        <f t="shared" ca="1" si="1399"/>
        <v>0</v>
      </c>
      <c r="CB1164" s="52">
        <f t="shared" ca="1" si="1399"/>
        <v>0</v>
      </c>
      <c r="CC1164" s="52">
        <f t="shared" ca="1" si="1399"/>
        <v>0</v>
      </c>
      <c r="CD1164" s="52">
        <f t="shared" ca="1" si="1399"/>
        <v>0</v>
      </c>
      <c r="CE1164" s="52">
        <f t="shared" ca="1" si="1399"/>
        <v>0</v>
      </c>
      <c r="CF1164" s="52">
        <f t="shared" ca="1" si="1399"/>
        <v>0</v>
      </c>
      <c r="CG1164" s="52">
        <f t="shared" ca="1" si="1399"/>
        <v>0</v>
      </c>
      <c r="CH1164" s="52">
        <f t="shared" ca="1" si="1399"/>
        <v>0</v>
      </c>
      <c r="CI1164" s="52">
        <f t="shared" ca="1" si="1399"/>
        <v>0</v>
      </c>
      <c r="CJ1164" s="52">
        <f t="shared" ca="1" si="1399"/>
        <v>0</v>
      </c>
      <c r="CK1164" s="52">
        <f t="shared" ca="1" si="1399"/>
        <v>0</v>
      </c>
      <c r="CL1164" s="52">
        <f t="shared" ca="1" si="1399"/>
        <v>0</v>
      </c>
      <c r="CM1164" s="52">
        <f t="shared" ca="1" si="1399"/>
        <v>0</v>
      </c>
      <c r="CN1164" s="52">
        <f t="shared" ca="1" si="1399"/>
        <v>0</v>
      </c>
      <c r="CO1164" s="52">
        <f t="shared" ca="1" si="1399"/>
        <v>0</v>
      </c>
    </row>
    <row r="1165" spans="1:93">
      <c r="A1165" s="10"/>
      <c r="B1165" s="10"/>
      <c r="C1165" s="17" t="s">
        <v>1088</v>
      </c>
      <c r="D1165" s="10"/>
      <c r="E1165" s="184">
        <f xml:space="preserve"> Предпосылки!E152+Предпосылки!E153*(1+VAT_Rate)</f>
        <v>0</v>
      </c>
      <c r="F1165" s="10"/>
      <c r="G1165" s="134" t="str">
        <f>Monetary_Unit</f>
        <v>тыс. руб.</v>
      </c>
      <c r="H1165" s="10"/>
      <c r="I1165" s="23">
        <f>SUM(L1165:CO1165)</f>
        <v>0</v>
      </c>
      <c r="J1165" s="10"/>
      <c r="K1165" s="10"/>
      <c r="L1165" s="450">
        <f xml:space="preserve"> $E1165 * L$314</f>
        <v>0</v>
      </c>
      <c r="M1165" s="450">
        <f t="shared" ref="M1165:BX1166" si="1400" xml:space="preserve"> $E1165 * M$314</f>
        <v>0</v>
      </c>
      <c r="N1165" s="450">
        <f t="shared" si="1400"/>
        <v>0</v>
      </c>
      <c r="O1165" s="450">
        <f t="shared" si="1400"/>
        <v>0</v>
      </c>
      <c r="P1165" s="450">
        <f t="shared" si="1400"/>
        <v>0</v>
      </c>
      <c r="Q1165" s="450">
        <f t="shared" si="1400"/>
        <v>0</v>
      </c>
      <c r="R1165" s="450">
        <f t="shared" si="1400"/>
        <v>0</v>
      </c>
      <c r="S1165" s="450">
        <f t="shared" si="1400"/>
        <v>0</v>
      </c>
      <c r="T1165" s="450">
        <f t="shared" si="1400"/>
        <v>0</v>
      </c>
      <c r="U1165" s="450">
        <f t="shared" si="1400"/>
        <v>0</v>
      </c>
      <c r="V1165" s="450">
        <f t="shared" si="1400"/>
        <v>0</v>
      </c>
      <c r="W1165" s="450">
        <f t="shared" si="1400"/>
        <v>0</v>
      </c>
      <c r="X1165" s="450">
        <f t="shared" si="1400"/>
        <v>0</v>
      </c>
      <c r="Y1165" s="450">
        <f t="shared" si="1400"/>
        <v>0</v>
      </c>
      <c r="Z1165" s="450">
        <f t="shared" si="1400"/>
        <v>0</v>
      </c>
      <c r="AA1165" s="450">
        <f t="shared" si="1400"/>
        <v>0</v>
      </c>
      <c r="AB1165" s="450">
        <f t="shared" si="1400"/>
        <v>0</v>
      </c>
      <c r="AC1165" s="450">
        <f t="shared" si="1400"/>
        <v>0</v>
      </c>
      <c r="AD1165" s="450">
        <f t="shared" si="1400"/>
        <v>0</v>
      </c>
      <c r="AE1165" s="450">
        <f t="shared" si="1400"/>
        <v>0</v>
      </c>
      <c r="AF1165" s="450">
        <f t="shared" si="1400"/>
        <v>0</v>
      </c>
      <c r="AG1165" s="450">
        <f t="shared" si="1400"/>
        <v>0</v>
      </c>
      <c r="AH1165" s="450">
        <f t="shared" si="1400"/>
        <v>0</v>
      </c>
      <c r="AI1165" s="450">
        <f t="shared" si="1400"/>
        <v>0</v>
      </c>
      <c r="AJ1165" s="450">
        <f t="shared" si="1400"/>
        <v>0</v>
      </c>
      <c r="AK1165" s="450">
        <f t="shared" si="1400"/>
        <v>0</v>
      </c>
      <c r="AL1165" s="450">
        <f t="shared" si="1400"/>
        <v>0</v>
      </c>
      <c r="AM1165" s="450">
        <f t="shared" si="1400"/>
        <v>0</v>
      </c>
      <c r="AN1165" s="450">
        <f t="shared" si="1400"/>
        <v>0</v>
      </c>
      <c r="AO1165" s="450">
        <f t="shared" si="1400"/>
        <v>0</v>
      </c>
      <c r="AP1165" s="450">
        <f t="shared" si="1400"/>
        <v>0</v>
      </c>
      <c r="AQ1165" s="450">
        <f t="shared" si="1400"/>
        <v>0</v>
      </c>
      <c r="AR1165" s="450">
        <f t="shared" si="1400"/>
        <v>0</v>
      </c>
      <c r="AS1165" s="450">
        <f t="shared" si="1400"/>
        <v>0</v>
      </c>
      <c r="AT1165" s="450">
        <f t="shared" si="1400"/>
        <v>0</v>
      </c>
      <c r="AU1165" s="450">
        <f t="shared" si="1400"/>
        <v>0</v>
      </c>
      <c r="AV1165" s="450">
        <f t="shared" si="1400"/>
        <v>0</v>
      </c>
      <c r="AW1165" s="450">
        <f t="shared" si="1400"/>
        <v>0</v>
      </c>
      <c r="AX1165" s="450">
        <f t="shared" si="1400"/>
        <v>0</v>
      </c>
      <c r="AY1165" s="450">
        <f t="shared" si="1400"/>
        <v>0</v>
      </c>
      <c r="AZ1165" s="450">
        <f t="shared" si="1400"/>
        <v>0</v>
      </c>
      <c r="BA1165" s="450">
        <f t="shared" si="1400"/>
        <v>0</v>
      </c>
      <c r="BB1165" s="450">
        <f t="shared" si="1400"/>
        <v>0</v>
      </c>
      <c r="BC1165" s="450">
        <f t="shared" si="1400"/>
        <v>0</v>
      </c>
      <c r="BD1165" s="450">
        <f t="shared" si="1400"/>
        <v>0</v>
      </c>
      <c r="BE1165" s="450">
        <f t="shared" si="1400"/>
        <v>0</v>
      </c>
      <c r="BF1165" s="450">
        <f t="shared" si="1400"/>
        <v>0</v>
      </c>
      <c r="BG1165" s="450">
        <f t="shared" si="1400"/>
        <v>0</v>
      </c>
      <c r="BH1165" s="450">
        <f t="shared" si="1400"/>
        <v>0</v>
      </c>
      <c r="BI1165" s="450">
        <f t="shared" si="1400"/>
        <v>0</v>
      </c>
      <c r="BJ1165" s="450">
        <f t="shared" si="1400"/>
        <v>0</v>
      </c>
      <c r="BK1165" s="450">
        <f t="shared" si="1400"/>
        <v>0</v>
      </c>
      <c r="BL1165" s="450">
        <f t="shared" si="1400"/>
        <v>0</v>
      </c>
      <c r="BM1165" s="450">
        <f t="shared" si="1400"/>
        <v>0</v>
      </c>
      <c r="BN1165" s="450">
        <f t="shared" si="1400"/>
        <v>0</v>
      </c>
      <c r="BO1165" s="450">
        <f t="shared" si="1400"/>
        <v>0</v>
      </c>
      <c r="BP1165" s="450">
        <f t="shared" si="1400"/>
        <v>0</v>
      </c>
      <c r="BQ1165" s="450">
        <f t="shared" si="1400"/>
        <v>0</v>
      </c>
      <c r="BR1165" s="450">
        <f t="shared" si="1400"/>
        <v>0</v>
      </c>
      <c r="BS1165" s="450">
        <f t="shared" si="1400"/>
        <v>0</v>
      </c>
      <c r="BT1165" s="450">
        <f t="shared" si="1400"/>
        <v>0</v>
      </c>
      <c r="BU1165" s="450">
        <f t="shared" si="1400"/>
        <v>0</v>
      </c>
      <c r="BV1165" s="450">
        <f t="shared" si="1400"/>
        <v>0</v>
      </c>
      <c r="BW1165" s="450">
        <f t="shared" si="1400"/>
        <v>0</v>
      </c>
      <c r="BX1165" s="450">
        <f t="shared" si="1400"/>
        <v>0</v>
      </c>
      <c r="BY1165" s="450">
        <f t="shared" ref="BY1165:CO1166" si="1401" xml:space="preserve"> $E1165 * BY$314</f>
        <v>0</v>
      </c>
      <c r="BZ1165" s="450">
        <f t="shared" si="1401"/>
        <v>0</v>
      </c>
      <c r="CA1165" s="450">
        <f t="shared" si="1401"/>
        <v>0</v>
      </c>
      <c r="CB1165" s="450">
        <f t="shared" si="1401"/>
        <v>0</v>
      </c>
      <c r="CC1165" s="450">
        <f t="shared" si="1401"/>
        <v>0</v>
      </c>
      <c r="CD1165" s="450">
        <f t="shared" si="1401"/>
        <v>0</v>
      </c>
      <c r="CE1165" s="450">
        <f t="shared" si="1401"/>
        <v>0</v>
      </c>
      <c r="CF1165" s="450">
        <f t="shared" si="1401"/>
        <v>0</v>
      </c>
      <c r="CG1165" s="450">
        <f t="shared" si="1401"/>
        <v>0</v>
      </c>
      <c r="CH1165" s="450">
        <f t="shared" si="1401"/>
        <v>0</v>
      </c>
      <c r="CI1165" s="450">
        <f t="shared" si="1401"/>
        <v>0</v>
      </c>
      <c r="CJ1165" s="450">
        <f t="shared" si="1401"/>
        <v>0</v>
      </c>
      <c r="CK1165" s="450">
        <f t="shared" si="1401"/>
        <v>0</v>
      </c>
      <c r="CL1165" s="450">
        <f t="shared" si="1401"/>
        <v>0</v>
      </c>
      <c r="CM1165" s="450">
        <f t="shared" si="1401"/>
        <v>0</v>
      </c>
      <c r="CN1165" s="450">
        <f t="shared" si="1401"/>
        <v>0</v>
      </c>
      <c r="CO1165" s="450">
        <f t="shared" si="1401"/>
        <v>0</v>
      </c>
    </row>
    <row r="1166" spans="1:93">
      <c r="A1166" s="10"/>
      <c r="B1166" s="10"/>
      <c r="C1166" s="17" t="s">
        <v>1089</v>
      </c>
      <c r="D1166" s="10"/>
      <c r="E1166" s="184">
        <f xml:space="preserve"> Предпосылки!E154</f>
        <v>0</v>
      </c>
      <c r="F1166" s="10"/>
      <c r="G1166" s="134" t="str">
        <f>Monetary_Unit</f>
        <v>тыс. руб.</v>
      </c>
      <c r="H1166" s="10"/>
      <c r="I1166" s="23">
        <f>SUM(L1166:CO1166)</f>
        <v>0</v>
      </c>
      <c r="J1166" s="10"/>
      <c r="K1166" s="10"/>
      <c r="L1166" s="450">
        <f xml:space="preserve"> $E1166 * L$314</f>
        <v>0</v>
      </c>
      <c r="M1166" s="450">
        <f t="shared" si="1400"/>
        <v>0</v>
      </c>
      <c r="N1166" s="450">
        <f t="shared" si="1400"/>
        <v>0</v>
      </c>
      <c r="O1166" s="450">
        <f t="shared" si="1400"/>
        <v>0</v>
      </c>
      <c r="P1166" s="450">
        <f t="shared" si="1400"/>
        <v>0</v>
      </c>
      <c r="Q1166" s="450">
        <f t="shared" si="1400"/>
        <v>0</v>
      </c>
      <c r="R1166" s="450">
        <f t="shared" si="1400"/>
        <v>0</v>
      </c>
      <c r="S1166" s="450">
        <f t="shared" si="1400"/>
        <v>0</v>
      </c>
      <c r="T1166" s="450">
        <f t="shared" si="1400"/>
        <v>0</v>
      </c>
      <c r="U1166" s="450">
        <f t="shared" si="1400"/>
        <v>0</v>
      </c>
      <c r="V1166" s="450">
        <f t="shared" si="1400"/>
        <v>0</v>
      </c>
      <c r="W1166" s="450">
        <f t="shared" si="1400"/>
        <v>0</v>
      </c>
      <c r="X1166" s="450">
        <f t="shared" si="1400"/>
        <v>0</v>
      </c>
      <c r="Y1166" s="450">
        <f t="shared" si="1400"/>
        <v>0</v>
      </c>
      <c r="Z1166" s="450">
        <f t="shared" si="1400"/>
        <v>0</v>
      </c>
      <c r="AA1166" s="450">
        <f t="shared" si="1400"/>
        <v>0</v>
      </c>
      <c r="AB1166" s="450">
        <f t="shared" si="1400"/>
        <v>0</v>
      </c>
      <c r="AC1166" s="450">
        <f t="shared" si="1400"/>
        <v>0</v>
      </c>
      <c r="AD1166" s="450">
        <f t="shared" si="1400"/>
        <v>0</v>
      </c>
      <c r="AE1166" s="450">
        <f t="shared" si="1400"/>
        <v>0</v>
      </c>
      <c r="AF1166" s="450">
        <f t="shared" si="1400"/>
        <v>0</v>
      </c>
      <c r="AG1166" s="450">
        <f t="shared" si="1400"/>
        <v>0</v>
      </c>
      <c r="AH1166" s="450">
        <f t="shared" si="1400"/>
        <v>0</v>
      </c>
      <c r="AI1166" s="450">
        <f t="shared" si="1400"/>
        <v>0</v>
      </c>
      <c r="AJ1166" s="450">
        <f t="shared" si="1400"/>
        <v>0</v>
      </c>
      <c r="AK1166" s="450">
        <f t="shared" si="1400"/>
        <v>0</v>
      </c>
      <c r="AL1166" s="450">
        <f t="shared" si="1400"/>
        <v>0</v>
      </c>
      <c r="AM1166" s="450">
        <f t="shared" si="1400"/>
        <v>0</v>
      </c>
      <c r="AN1166" s="450">
        <f t="shared" si="1400"/>
        <v>0</v>
      </c>
      <c r="AO1166" s="450">
        <f t="shared" si="1400"/>
        <v>0</v>
      </c>
      <c r="AP1166" s="450">
        <f t="shared" si="1400"/>
        <v>0</v>
      </c>
      <c r="AQ1166" s="450">
        <f t="shared" si="1400"/>
        <v>0</v>
      </c>
      <c r="AR1166" s="450">
        <f t="shared" si="1400"/>
        <v>0</v>
      </c>
      <c r="AS1166" s="450">
        <f t="shared" si="1400"/>
        <v>0</v>
      </c>
      <c r="AT1166" s="450">
        <f t="shared" si="1400"/>
        <v>0</v>
      </c>
      <c r="AU1166" s="450">
        <f t="shared" si="1400"/>
        <v>0</v>
      </c>
      <c r="AV1166" s="450">
        <f t="shared" si="1400"/>
        <v>0</v>
      </c>
      <c r="AW1166" s="450">
        <f t="shared" si="1400"/>
        <v>0</v>
      </c>
      <c r="AX1166" s="450">
        <f t="shared" si="1400"/>
        <v>0</v>
      </c>
      <c r="AY1166" s="450">
        <f t="shared" si="1400"/>
        <v>0</v>
      </c>
      <c r="AZ1166" s="450">
        <f t="shared" si="1400"/>
        <v>0</v>
      </c>
      <c r="BA1166" s="450">
        <f t="shared" si="1400"/>
        <v>0</v>
      </c>
      <c r="BB1166" s="450">
        <f t="shared" si="1400"/>
        <v>0</v>
      </c>
      <c r="BC1166" s="450">
        <f t="shared" si="1400"/>
        <v>0</v>
      </c>
      <c r="BD1166" s="450">
        <f t="shared" si="1400"/>
        <v>0</v>
      </c>
      <c r="BE1166" s="450">
        <f t="shared" si="1400"/>
        <v>0</v>
      </c>
      <c r="BF1166" s="450">
        <f t="shared" si="1400"/>
        <v>0</v>
      </c>
      <c r="BG1166" s="450">
        <f t="shared" si="1400"/>
        <v>0</v>
      </c>
      <c r="BH1166" s="450">
        <f t="shared" si="1400"/>
        <v>0</v>
      </c>
      <c r="BI1166" s="450">
        <f t="shared" si="1400"/>
        <v>0</v>
      </c>
      <c r="BJ1166" s="450">
        <f t="shared" si="1400"/>
        <v>0</v>
      </c>
      <c r="BK1166" s="450">
        <f t="shared" si="1400"/>
        <v>0</v>
      </c>
      <c r="BL1166" s="450">
        <f t="shared" si="1400"/>
        <v>0</v>
      </c>
      <c r="BM1166" s="450">
        <f t="shared" si="1400"/>
        <v>0</v>
      </c>
      <c r="BN1166" s="450">
        <f t="shared" si="1400"/>
        <v>0</v>
      </c>
      <c r="BO1166" s="450">
        <f t="shared" si="1400"/>
        <v>0</v>
      </c>
      <c r="BP1166" s="450">
        <f t="shared" si="1400"/>
        <v>0</v>
      </c>
      <c r="BQ1166" s="450">
        <f t="shared" si="1400"/>
        <v>0</v>
      </c>
      <c r="BR1166" s="450">
        <f t="shared" si="1400"/>
        <v>0</v>
      </c>
      <c r="BS1166" s="450">
        <f t="shared" si="1400"/>
        <v>0</v>
      </c>
      <c r="BT1166" s="450">
        <f t="shared" si="1400"/>
        <v>0</v>
      </c>
      <c r="BU1166" s="450">
        <f t="shared" si="1400"/>
        <v>0</v>
      </c>
      <c r="BV1166" s="450">
        <f t="shared" si="1400"/>
        <v>0</v>
      </c>
      <c r="BW1166" s="450">
        <f t="shared" si="1400"/>
        <v>0</v>
      </c>
      <c r="BX1166" s="450">
        <f t="shared" si="1400"/>
        <v>0</v>
      </c>
      <c r="BY1166" s="450">
        <f t="shared" si="1401"/>
        <v>0</v>
      </c>
      <c r="BZ1166" s="450">
        <f t="shared" si="1401"/>
        <v>0</v>
      </c>
      <c r="CA1166" s="450">
        <f t="shared" si="1401"/>
        <v>0</v>
      </c>
      <c r="CB1166" s="450">
        <f t="shared" si="1401"/>
        <v>0</v>
      </c>
      <c r="CC1166" s="450">
        <f t="shared" si="1401"/>
        <v>0</v>
      </c>
      <c r="CD1166" s="450">
        <f t="shared" si="1401"/>
        <v>0</v>
      </c>
      <c r="CE1166" s="450">
        <f t="shared" si="1401"/>
        <v>0</v>
      </c>
      <c r="CF1166" s="450">
        <f t="shared" si="1401"/>
        <v>0</v>
      </c>
      <c r="CG1166" s="450">
        <f t="shared" si="1401"/>
        <v>0</v>
      </c>
      <c r="CH1166" s="450">
        <f t="shared" si="1401"/>
        <v>0</v>
      </c>
      <c r="CI1166" s="450">
        <f t="shared" si="1401"/>
        <v>0</v>
      </c>
      <c r="CJ1166" s="450">
        <f t="shared" si="1401"/>
        <v>0</v>
      </c>
      <c r="CK1166" s="450">
        <f t="shared" si="1401"/>
        <v>0</v>
      </c>
      <c r="CL1166" s="450">
        <f t="shared" si="1401"/>
        <v>0</v>
      </c>
      <c r="CM1166" s="450">
        <f t="shared" si="1401"/>
        <v>0</v>
      </c>
      <c r="CN1166" s="450">
        <f t="shared" si="1401"/>
        <v>0</v>
      </c>
      <c r="CO1166" s="450">
        <f t="shared" si="1401"/>
        <v>0</v>
      </c>
    </row>
    <row r="1167" spans="1:93">
      <c r="A1167" s="10"/>
      <c r="B1167" s="10"/>
      <c r="C1167" s="17" t="s">
        <v>1179</v>
      </c>
      <c r="D1167" s="10"/>
      <c r="E1167" s="10"/>
      <c r="F1167" s="10"/>
      <c r="G1167" s="134"/>
      <c r="H1167" s="10"/>
      <c r="I1167" s="23">
        <f ca="1">SUM(L1167:CO1167)</f>
        <v>533689.28402014531</v>
      </c>
      <c r="J1167" s="10"/>
      <c r="K1167" s="10"/>
      <c r="L1167" s="450">
        <f>SUM(L1164:L1166)</f>
        <v>10115.776706480377</v>
      </c>
      <c r="M1167" s="450">
        <f t="shared" ref="M1167:BX1167" ca="1" si="1402">SUM(M1164:M1166)</f>
        <v>10259.369017900153</v>
      </c>
      <c r="N1167" s="450">
        <f t="shared" ca="1" si="1402"/>
        <v>10404.999606013567</v>
      </c>
      <c r="O1167" s="450">
        <f t="shared" ca="1" si="1402"/>
        <v>10552.697403928796</v>
      </c>
      <c r="P1167" s="450">
        <f t="shared" ca="1" si="1402"/>
        <v>88745.245312382176</v>
      </c>
      <c r="Q1167" s="450">
        <f t="shared" ca="1" si="1402"/>
        <v>89619.688293733067</v>
      </c>
      <c r="R1167" s="450">
        <f t="shared" ca="1" si="1402"/>
        <v>90502.747517283089</v>
      </c>
      <c r="S1167" s="450">
        <f t="shared" ca="1" si="1402"/>
        <v>91394.507882369522</v>
      </c>
      <c r="T1167" s="450">
        <f t="shared" ca="1" si="1402"/>
        <v>65019.970533948253</v>
      </c>
      <c r="U1167" s="450">
        <f t="shared" ca="1" si="1402"/>
        <v>2040.9091648234303</v>
      </c>
      <c r="V1167" s="450">
        <f t="shared" ca="1" si="1402"/>
        <v>3303.1237146186231</v>
      </c>
      <c r="W1167" s="450">
        <f t="shared" ca="1" si="1402"/>
        <v>4555.1268162881161</v>
      </c>
      <c r="X1167" s="450">
        <f t="shared" ca="1" si="1402"/>
        <v>6346.274130728716</v>
      </c>
      <c r="Y1167" s="450">
        <f t="shared" ca="1" si="1402"/>
        <v>8757.8014964128106</v>
      </c>
      <c r="Z1167" s="450">
        <f t="shared" ca="1" si="1402"/>
        <v>11316.091617477097</v>
      </c>
      <c r="AA1167" s="450">
        <f t="shared" ca="1" si="1402"/>
        <v>13802.401746613647</v>
      </c>
      <c r="AB1167" s="450">
        <f t="shared" ca="1" si="1402"/>
        <v>16952.553059143869</v>
      </c>
      <c r="AC1167" s="450">
        <f t="shared" ca="1" si="1402"/>
        <v>0</v>
      </c>
      <c r="AD1167" s="450">
        <f t="shared" ca="1" si="1402"/>
        <v>0</v>
      </c>
      <c r="AE1167" s="450">
        <f t="shared" ca="1" si="1402"/>
        <v>0</v>
      </c>
      <c r="AF1167" s="450">
        <f t="shared" ca="1" si="1402"/>
        <v>0</v>
      </c>
      <c r="AG1167" s="450">
        <f t="shared" ca="1" si="1402"/>
        <v>0</v>
      </c>
      <c r="AH1167" s="450">
        <f t="shared" ca="1" si="1402"/>
        <v>0</v>
      </c>
      <c r="AI1167" s="450">
        <f t="shared" ca="1" si="1402"/>
        <v>0</v>
      </c>
      <c r="AJ1167" s="450">
        <f t="shared" ca="1" si="1402"/>
        <v>0</v>
      </c>
      <c r="AK1167" s="450">
        <f t="shared" ca="1" si="1402"/>
        <v>0</v>
      </c>
      <c r="AL1167" s="450">
        <f t="shared" ca="1" si="1402"/>
        <v>0</v>
      </c>
      <c r="AM1167" s="450">
        <f t="shared" ca="1" si="1402"/>
        <v>0</v>
      </c>
      <c r="AN1167" s="450">
        <f t="shared" ca="1" si="1402"/>
        <v>0</v>
      </c>
      <c r="AO1167" s="450">
        <f t="shared" ca="1" si="1402"/>
        <v>0</v>
      </c>
      <c r="AP1167" s="450">
        <f t="shared" ca="1" si="1402"/>
        <v>0</v>
      </c>
      <c r="AQ1167" s="450">
        <f t="shared" ca="1" si="1402"/>
        <v>0</v>
      </c>
      <c r="AR1167" s="450">
        <f t="shared" ca="1" si="1402"/>
        <v>0</v>
      </c>
      <c r="AS1167" s="450">
        <f t="shared" ca="1" si="1402"/>
        <v>0</v>
      </c>
      <c r="AT1167" s="450">
        <f t="shared" ca="1" si="1402"/>
        <v>0</v>
      </c>
      <c r="AU1167" s="450">
        <f t="shared" ca="1" si="1402"/>
        <v>0</v>
      </c>
      <c r="AV1167" s="450">
        <f t="shared" ca="1" si="1402"/>
        <v>0</v>
      </c>
      <c r="AW1167" s="450">
        <f t="shared" ca="1" si="1402"/>
        <v>0</v>
      </c>
      <c r="AX1167" s="450">
        <f t="shared" ca="1" si="1402"/>
        <v>0</v>
      </c>
      <c r="AY1167" s="450">
        <f t="shared" ca="1" si="1402"/>
        <v>0</v>
      </c>
      <c r="AZ1167" s="450">
        <f t="shared" ca="1" si="1402"/>
        <v>0</v>
      </c>
      <c r="BA1167" s="450">
        <f t="shared" ca="1" si="1402"/>
        <v>0</v>
      </c>
      <c r="BB1167" s="450">
        <f t="shared" ca="1" si="1402"/>
        <v>0</v>
      </c>
      <c r="BC1167" s="450">
        <f t="shared" ca="1" si="1402"/>
        <v>0</v>
      </c>
      <c r="BD1167" s="450">
        <f t="shared" ca="1" si="1402"/>
        <v>0</v>
      </c>
      <c r="BE1167" s="450">
        <f t="shared" ca="1" si="1402"/>
        <v>0</v>
      </c>
      <c r="BF1167" s="450">
        <f t="shared" ca="1" si="1402"/>
        <v>0</v>
      </c>
      <c r="BG1167" s="450">
        <f t="shared" ca="1" si="1402"/>
        <v>0</v>
      </c>
      <c r="BH1167" s="450">
        <f t="shared" ca="1" si="1402"/>
        <v>0</v>
      </c>
      <c r="BI1167" s="450">
        <f t="shared" ca="1" si="1402"/>
        <v>0</v>
      </c>
      <c r="BJ1167" s="450">
        <f t="shared" ca="1" si="1402"/>
        <v>0</v>
      </c>
      <c r="BK1167" s="450">
        <f t="shared" ca="1" si="1402"/>
        <v>0</v>
      </c>
      <c r="BL1167" s="450">
        <f t="shared" ca="1" si="1402"/>
        <v>0</v>
      </c>
      <c r="BM1167" s="450">
        <f t="shared" ca="1" si="1402"/>
        <v>0</v>
      </c>
      <c r="BN1167" s="450">
        <f t="shared" ca="1" si="1402"/>
        <v>0</v>
      </c>
      <c r="BO1167" s="450">
        <f t="shared" ca="1" si="1402"/>
        <v>0</v>
      </c>
      <c r="BP1167" s="450">
        <f t="shared" ca="1" si="1402"/>
        <v>0</v>
      </c>
      <c r="BQ1167" s="450">
        <f t="shared" ca="1" si="1402"/>
        <v>0</v>
      </c>
      <c r="BR1167" s="450">
        <f t="shared" ca="1" si="1402"/>
        <v>0</v>
      </c>
      <c r="BS1167" s="450">
        <f t="shared" ca="1" si="1402"/>
        <v>0</v>
      </c>
      <c r="BT1167" s="450">
        <f t="shared" ca="1" si="1402"/>
        <v>0</v>
      </c>
      <c r="BU1167" s="450">
        <f t="shared" ca="1" si="1402"/>
        <v>0</v>
      </c>
      <c r="BV1167" s="450">
        <f t="shared" ca="1" si="1402"/>
        <v>0</v>
      </c>
      <c r="BW1167" s="450">
        <f t="shared" ca="1" si="1402"/>
        <v>0</v>
      </c>
      <c r="BX1167" s="450">
        <f t="shared" ca="1" si="1402"/>
        <v>0</v>
      </c>
      <c r="BY1167" s="450">
        <f t="shared" ref="BY1167:CO1167" ca="1" si="1403">SUM(BY1164:BY1166)</f>
        <v>0</v>
      </c>
      <c r="BZ1167" s="450">
        <f t="shared" ca="1" si="1403"/>
        <v>0</v>
      </c>
      <c r="CA1167" s="450">
        <f t="shared" ca="1" si="1403"/>
        <v>0</v>
      </c>
      <c r="CB1167" s="450">
        <f t="shared" ca="1" si="1403"/>
        <v>0</v>
      </c>
      <c r="CC1167" s="450">
        <f t="shared" ca="1" si="1403"/>
        <v>0</v>
      </c>
      <c r="CD1167" s="450">
        <f t="shared" ca="1" si="1403"/>
        <v>0</v>
      </c>
      <c r="CE1167" s="450">
        <f t="shared" ca="1" si="1403"/>
        <v>0</v>
      </c>
      <c r="CF1167" s="450">
        <f t="shared" ca="1" si="1403"/>
        <v>0</v>
      </c>
      <c r="CG1167" s="450">
        <f t="shared" ca="1" si="1403"/>
        <v>0</v>
      </c>
      <c r="CH1167" s="450">
        <f t="shared" ca="1" si="1403"/>
        <v>0</v>
      </c>
      <c r="CI1167" s="450">
        <f t="shared" ca="1" si="1403"/>
        <v>0</v>
      </c>
      <c r="CJ1167" s="450">
        <f t="shared" ca="1" si="1403"/>
        <v>0</v>
      </c>
      <c r="CK1167" s="450">
        <f t="shared" ca="1" si="1403"/>
        <v>0</v>
      </c>
      <c r="CL1167" s="450">
        <f t="shared" ca="1" si="1403"/>
        <v>0</v>
      </c>
      <c r="CM1167" s="450">
        <f t="shared" ca="1" si="1403"/>
        <v>0</v>
      </c>
      <c r="CN1167" s="450">
        <f t="shared" ca="1" si="1403"/>
        <v>0</v>
      </c>
      <c r="CO1167" s="450">
        <f t="shared" ca="1" si="1403"/>
        <v>0</v>
      </c>
    </row>
    <row r="1168" spans="1:93">
      <c r="A1168" s="10"/>
      <c r="B1168" s="10"/>
      <c r="C1168" s="17" t="s">
        <v>175</v>
      </c>
      <c r="D1168" s="10"/>
      <c r="E1168" s="10"/>
      <c r="F1168" s="10"/>
      <c r="G1168" s="134" t="str">
        <f>Monetary_Unit</f>
        <v>тыс. руб.</v>
      </c>
      <c r="H1168" s="10"/>
      <c r="I1168" s="10"/>
      <c r="J1168" s="10"/>
      <c r="K1168" s="10"/>
      <c r="L1168" s="52">
        <f>SUM(L1163,L1167)</f>
        <v>10115.776706480377</v>
      </c>
      <c r="M1168" s="52">
        <f t="shared" ref="M1168:BX1168" ca="1" si="1404">SUM(M1163,M1167)</f>
        <v>20375.145724380531</v>
      </c>
      <c r="N1168" s="52">
        <f t="shared" ca="1" si="1404"/>
        <v>30780.145330394098</v>
      </c>
      <c r="O1168" s="52">
        <f t="shared" ca="1" si="1404"/>
        <v>41332.842734322898</v>
      </c>
      <c r="P1168" s="52">
        <f t="shared" ca="1" si="1404"/>
        <v>130078.08804670507</v>
      </c>
      <c r="Q1168" s="52">
        <f t="shared" ca="1" si="1404"/>
        <v>219697.77634043814</v>
      </c>
      <c r="R1168" s="52">
        <f t="shared" ca="1" si="1404"/>
        <v>310200.52385772124</v>
      </c>
      <c r="S1168" s="52">
        <f t="shared" ca="1" si="1404"/>
        <v>401595.03174009075</v>
      </c>
      <c r="T1168" s="52">
        <f t="shared" ca="1" si="1404"/>
        <v>466615.00227403903</v>
      </c>
      <c r="U1168" s="52">
        <f t="shared" ca="1" si="1404"/>
        <v>468655.91143886244</v>
      </c>
      <c r="V1168" s="52">
        <f t="shared" ca="1" si="1404"/>
        <v>471959.03515348106</v>
      </c>
      <c r="W1168" s="52">
        <f t="shared" ca="1" si="1404"/>
        <v>476514.16196976916</v>
      </c>
      <c r="X1168" s="52">
        <f t="shared" ca="1" si="1404"/>
        <v>482860.4361004979</v>
      </c>
      <c r="Y1168" s="52">
        <f t="shared" ca="1" si="1404"/>
        <v>491618.23759691074</v>
      </c>
      <c r="Z1168" s="52">
        <f t="shared" ca="1" si="1404"/>
        <v>502934.32921438781</v>
      </c>
      <c r="AA1168" s="52">
        <f t="shared" ca="1" si="1404"/>
        <v>516736.73096100148</v>
      </c>
      <c r="AB1168" s="52">
        <f t="shared" ca="1" si="1404"/>
        <v>533689.28402014531</v>
      </c>
      <c r="AC1168" s="52">
        <f t="shared" ca="1" si="1404"/>
        <v>533689.28402014531</v>
      </c>
      <c r="AD1168" s="52">
        <f t="shared" ca="1" si="1404"/>
        <v>533689.28402014531</v>
      </c>
      <c r="AE1168" s="52">
        <f t="shared" ca="1" si="1404"/>
        <v>533689.28402014531</v>
      </c>
      <c r="AF1168" s="52">
        <f t="shared" ca="1" si="1404"/>
        <v>533689.28402014531</v>
      </c>
      <c r="AG1168" s="52">
        <f t="shared" ca="1" si="1404"/>
        <v>533689.28402014531</v>
      </c>
      <c r="AH1168" s="52">
        <f t="shared" ca="1" si="1404"/>
        <v>533689.28402014531</v>
      </c>
      <c r="AI1168" s="52">
        <f t="shared" ca="1" si="1404"/>
        <v>533689.28402014531</v>
      </c>
      <c r="AJ1168" s="52">
        <f t="shared" ca="1" si="1404"/>
        <v>533689.28402014531</v>
      </c>
      <c r="AK1168" s="52">
        <f t="shared" ca="1" si="1404"/>
        <v>533689.28402014531</v>
      </c>
      <c r="AL1168" s="52">
        <f t="shared" ca="1" si="1404"/>
        <v>533689.28402014531</v>
      </c>
      <c r="AM1168" s="52">
        <f t="shared" ca="1" si="1404"/>
        <v>533689.28402014531</v>
      </c>
      <c r="AN1168" s="52">
        <f t="shared" ca="1" si="1404"/>
        <v>533689.28402014531</v>
      </c>
      <c r="AO1168" s="52">
        <f t="shared" ca="1" si="1404"/>
        <v>533689.28402014531</v>
      </c>
      <c r="AP1168" s="52">
        <f t="shared" ca="1" si="1404"/>
        <v>533689.28402014531</v>
      </c>
      <c r="AQ1168" s="52">
        <f t="shared" ca="1" si="1404"/>
        <v>533689.28402014531</v>
      </c>
      <c r="AR1168" s="52">
        <f t="shared" ca="1" si="1404"/>
        <v>533689.28402014531</v>
      </c>
      <c r="AS1168" s="52">
        <f t="shared" ca="1" si="1404"/>
        <v>533689.28402014531</v>
      </c>
      <c r="AT1168" s="52">
        <f t="shared" ca="1" si="1404"/>
        <v>533689.28402014531</v>
      </c>
      <c r="AU1168" s="52">
        <f t="shared" ca="1" si="1404"/>
        <v>533689.28402014531</v>
      </c>
      <c r="AV1168" s="52">
        <f t="shared" ca="1" si="1404"/>
        <v>533689.28402014531</v>
      </c>
      <c r="AW1168" s="52">
        <f t="shared" ca="1" si="1404"/>
        <v>533689.28402014531</v>
      </c>
      <c r="AX1168" s="52">
        <f t="shared" ca="1" si="1404"/>
        <v>533689.28402014531</v>
      </c>
      <c r="AY1168" s="52">
        <f t="shared" ca="1" si="1404"/>
        <v>533689.28402014531</v>
      </c>
      <c r="AZ1168" s="52">
        <f t="shared" ca="1" si="1404"/>
        <v>533689.28402014531</v>
      </c>
      <c r="BA1168" s="52">
        <f t="shared" ca="1" si="1404"/>
        <v>533689.28402014531</v>
      </c>
      <c r="BB1168" s="52">
        <f t="shared" ca="1" si="1404"/>
        <v>533689.28402014531</v>
      </c>
      <c r="BC1168" s="52">
        <f t="shared" ca="1" si="1404"/>
        <v>533689.28402014531</v>
      </c>
      <c r="BD1168" s="52">
        <f t="shared" ca="1" si="1404"/>
        <v>533689.28402014531</v>
      </c>
      <c r="BE1168" s="52">
        <f t="shared" ca="1" si="1404"/>
        <v>533689.28402014531</v>
      </c>
      <c r="BF1168" s="52">
        <f t="shared" ca="1" si="1404"/>
        <v>533689.28402014531</v>
      </c>
      <c r="BG1168" s="52">
        <f t="shared" ca="1" si="1404"/>
        <v>533689.28402014531</v>
      </c>
      <c r="BH1168" s="52">
        <f t="shared" ca="1" si="1404"/>
        <v>533689.28402014531</v>
      </c>
      <c r="BI1168" s="52">
        <f t="shared" ca="1" si="1404"/>
        <v>533689.28402014531</v>
      </c>
      <c r="BJ1168" s="52">
        <f t="shared" ca="1" si="1404"/>
        <v>533689.28402014531</v>
      </c>
      <c r="BK1168" s="52">
        <f t="shared" ca="1" si="1404"/>
        <v>533689.28402014531</v>
      </c>
      <c r="BL1168" s="52">
        <f t="shared" ca="1" si="1404"/>
        <v>533689.28402014531</v>
      </c>
      <c r="BM1168" s="52">
        <f t="shared" ca="1" si="1404"/>
        <v>533689.28402014531</v>
      </c>
      <c r="BN1168" s="52">
        <f t="shared" ca="1" si="1404"/>
        <v>533689.28402014531</v>
      </c>
      <c r="BO1168" s="52">
        <f t="shared" ca="1" si="1404"/>
        <v>533689.28402014531</v>
      </c>
      <c r="BP1168" s="52">
        <f t="shared" ca="1" si="1404"/>
        <v>533689.28402014531</v>
      </c>
      <c r="BQ1168" s="52">
        <f t="shared" ca="1" si="1404"/>
        <v>533689.28402014531</v>
      </c>
      <c r="BR1168" s="52">
        <f t="shared" ca="1" si="1404"/>
        <v>533689.28402014531</v>
      </c>
      <c r="BS1168" s="52">
        <f t="shared" ca="1" si="1404"/>
        <v>533689.28402014531</v>
      </c>
      <c r="BT1168" s="52">
        <f t="shared" ca="1" si="1404"/>
        <v>533689.28402014531</v>
      </c>
      <c r="BU1168" s="52">
        <f t="shared" ca="1" si="1404"/>
        <v>533689.28402014531</v>
      </c>
      <c r="BV1168" s="52">
        <f t="shared" ca="1" si="1404"/>
        <v>533689.28402014531</v>
      </c>
      <c r="BW1168" s="52">
        <f t="shared" ca="1" si="1404"/>
        <v>533689.28402014531</v>
      </c>
      <c r="BX1168" s="52">
        <f t="shared" ca="1" si="1404"/>
        <v>533689.28402014531</v>
      </c>
      <c r="BY1168" s="52">
        <f t="shared" ref="BY1168:CO1168" ca="1" si="1405">SUM(BY1163,BY1167)</f>
        <v>533689.28402014531</v>
      </c>
      <c r="BZ1168" s="52">
        <f t="shared" ca="1" si="1405"/>
        <v>533689.28402014531</v>
      </c>
      <c r="CA1168" s="52">
        <f t="shared" ca="1" si="1405"/>
        <v>533689.28402014531</v>
      </c>
      <c r="CB1168" s="52">
        <f t="shared" ca="1" si="1405"/>
        <v>533689.28402014531</v>
      </c>
      <c r="CC1168" s="52">
        <f t="shared" ca="1" si="1405"/>
        <v>533689.28402014531</v>
      </c>
      <c r="CD1168" s="52">
        <f t="shared" ca="1" si="1405"/>
        <v>533689.28402014531</v>
      </c>
      <c r="CE1168" s="52">
        <f t="shared" ca="1" si="1405"/>
        <v>533689.28402014531</v>
      </c>
      <c r="CF1168" s="52">
        <f t="shared" ca="1" si="1405"/>
        <v>533689.28402014531</v>
      </c>
      <c r="CG1168" s="52">
        <f t="shared" ca="1" si="1405"/>
        <v>533689.28402014531</v>
      </c>
      <c r="CH1168" s="52">
        <f t="shared" ca="1" si="1405"/>
        <v>533689.28402014531</v>
      </c>
      <c r="CI1168" s="52">
        <f t="shared" ca="1" si="1405"/>
        <v>533689.28402014531</v>
      </c>
      <c r="CJ1168" s="52">
        <f t="shared" ca="1" si="1405"/>
        <v>533689.28402014531</v>
      </c>
      <c r="CK1168" s="52">
        <f t="shared" ca="1" si="1405"/>
        <v>533689.28402014531</v>
      </c>
      <c r="CL1168" s="52">
        <f t="shared" ca="1" si="1405"/>
        <v>533689.28402014531</v>
      </c>
      <c r="CM1168" s="52">
        <f t="shared" ca="1" si="1405"/>
        <v>533689.28402014531</v>
      </c>
      <c r="CN1168" s="52">
        <f t="shared" ca="1" si="1405"/>
        <v>533689.28402014531</v>
      </c>
      <c r="CO1168" s="52">
        <f t="shared" ca="1" si="1405"/>
        <v>533689.28402014531</v>
      </c>
    </row>
    <row r="1169" spans="1:93">
      <c r="A1169" s="10"/>
      <c r="B1169" s="10"/>
      <c r="C1169" s="17"/>
      <c r="D1169" s="10"/>
      <c r="E1169" s="10"/>
      <c r="F1169" s="10"/>
      <c r="G1169" s="134"/>
      <c r="H1169" s="10"/>
      <c r="I1169" s="10"/>
      <c r="J1169" s="10"/>
      <c r="K1169" s="10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52"/>
      <c r="AE1169" s="52"/>
      <c r="AF1169" s="52"/>
      <c r="AG1169" s="52"/>
      <c r="AH1169" s="52"/>
      <c r="AI1169" s="52"/>
      <c r="AJ1169" s="52"/>
      <c r="AK1169" s="52"/>
      <c r="AL1169" s="52"/>
      <c r="AM1169" s="52"/>
      <c r="AN1169" s="52"/>
      <c r="AO1169" s="52"/>
      <c r="AP1169" s="52"/>
      <c r="AQ1169" s="52"/>
      <c r="AR1169" s="52"/>
      <c r="AS1169" s="52"/>
      <c r="AT1169" s="52"/>
      <c r="AU1169" s="52"/>
      <c r="AV1169" s="52"/>
      <c r="AW1169" s="52"/>
      <c r="AX1169" s="52"/>
      <c r="AY1169" s="52"/>
      <c r="AZ1169" s="52"/>
      <c r="BA1169" s="52"/>
      <c r="BB1169" s="52"/>
      <c r="BC1169" s="52"/>
      <c r="BD1169" s="52"/>
      <c r="BE1169" s="52"/>
      <c r="BF1169" s="52"/>
      <c r="BG1169" s="52"/>
      <c r="BH1169" s="52"/>
      <c r="BI1169" s="52"/>
      <c r="BJ1169" s="52"/>
      <c r="BK1169" s="52"/>
      <c r="BL1169" s="52"/>
      <c r="BM1169" s="52"/>
      <c r="BN1169" s="52"/>
      <c r="BO1169" s="52"/>
      <c r="BP1169" s="52"/>
      <c r="BQ1169" s="52"/>
      <c r="BR1169" s="52"/>
      <c r="BS1169" s="52"/>
      <c r="BT1169" s="52"/>
      <c r="BU1169" s="52"/>
      <c r="BV1169" s="52"/>
      <c r="BW1169" s="52"/>
      <c r="BX1169" s="52"/>
      <c r="BY1169" s="52"/>
      <c r="BZ1169" s="52"/>
      <c r="CA1169" s="52"/>
      <c r="CB1169" s="52"/>
      <c r="CC1169" s="52"/>
      <c r="CD1169" s="52"/>
      <c r="CE1169" s="52"/>
      <c r="CF1169" s="52"/>
      <c r="CG1169" s="52"/>
      <c r="CH1169" s="52"/>
      <c r="CI1169" s="52"/>
      <c r="CJ1169" s="52"/>
      <c r="CK1169" s="52"/>
      <c r="CL1169" s="52"/>
      <c r="CM1169" s="52"/>
      <c r="CN1169" s="52"/>
      <c r="CO1169" s="52"/>
    </row>
    <row r="1170" spans="1:93" ht="16.5" thickBot="1">
      <c r="A1170" s="10"/>
      <c r="B1170" s="10"/>
      <c r="C1170" s="30" t="s">
        <v>356</v>
      </c>
      <c r="D1170" s="10"/>
      <c r="E1170" s="10"/>
      <c r="F1170" s="10"/>
      <c r="G1170" s="11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0"/>
      <c r="AH1170" s="10"/>
      <c r="AI1170" s="10"/>
      <c r="AJ1170" s="10"/>
      <c r="AK1170" s="10"/>
      <c r="AL1170" s="10"/>
      <c r="AM1170" s="10"/>
      <c r="AN1170" s="10"/>
      <c r="AO1170" s="10"/>
      <c r="AP1170" s="10"/>
      <c r="AQ1170" s="10"/>
      <c r="AR1170" s="10"/>
      <c r="AS1170" s="10"/>
      <c r="AT1170" s="10"/>
      <c r="AU1170" s="10"/>
      <c r="AV1170" s="10"/>
      <c r="AW1170" s="10"/>
      <c r="AX1170" s="10"/>
      <c r="AY1170" s="10"/>
      <c r="AZ1170" s="10"/>
      <c r="BA1170" s="10"/>
      <c r="BB1170" s="10"/>
      <c r="BC1170" s="10"/>
      <c r="BD1170" s="10"/>
      <c r="BE1170" s="10"/>
      <c r="BF1170" s="10"/>
      <c r="BG1170" s="10"/>
      <c r="BH1170" s="10"/>
      <c r="BI1170" s="10"/>
      <c r="BJ1170" s="10"/>
      <c r="BK1170" s="10"/>
      <c r="BL1170" s="10"/>
      <c r="BM1170" s="10"/>
      <c r="BN1170" s="10"/>
      <c r="BO1170" s="10"/>
      <c r="BP1170" s="10"/>
      <c r="BQ1170" s="10"/>
      <c r="BR1170" s="10"/>
      <c r="BS1170" s="10"/>
      <c r="BT1170" s="10"/>
      <c r="BU1170" s="10"/>
      <c r="BV1170" s="10"/>
      <c r="BW1170" s="10"/>
      <c r="BX1170" s="10"/>
      <c r="BY1170" s="10"/>
      <c r="BZ1170" s="10"/>
      <c r="CA1170" s="10"/>
      <c r="CB1170" s="10"/>
      <c r="CC1170" s="10"/>
      <c r="CD1170" s="10"/>
      <c r="CE1170" s="10"/>
      <c r="CF1170" s="10"/>
      <c r="CG1170" s="10"/>
      <c r="CH1170" s="10"/>
      <c r="CI1170" s="10"/>
      <c r="CJ1170" s="10"/>
      <c r="CK1170" s="10"/>
      <c r="CL1170" s="10"/>
      <c r="CM1170" s="10"/>
      <c r="CN1170" s="10"/>
      <c r="CO1170" s="10"/>
    </row>
    <row r="1171" spans="1:93">
      <c r="A1171" s="10"/>
      <c r="B1171" s="10"/>
      <c r="C1171" s="17"/>
      <c r="D1171" s="10"/>
      <c r="E1171" s="10"/>
      <c r="F1171" s="10"/>
      <c r="G1171" s="11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0"/>
      <c r="AH1171" s="10"/>
      <c r="AI1171" s="10"/>
      <c r="AJ1171" s="10"/>
      <c r="AK1171" s="10"/>
      <c r="AL1171" s="10"/>
      <c r="AM1171" s="10"/>
      <c r="AN1171" s="10"/>
      <c r="AO1171" s="10"/>
      <c r="AP1171" s="10"/>
      <c r="AQ1171" s="10"/>
      <c r="AR1171" s="10"/>
      <c r="AS1171" s="10"/>
      <c r="AT1171" s="10"/>
      <c r="AU1171" s="10"/>
      <c r="AV1171" s="10"/>
      <c r="AW1171" s="10"/>
      <c r="AX1171" s="10"/>
      <c r="AY1171" s="10"/>
      <c r="AZ1171" s="10"/>
      <c r="BA1171" s="10"/>
      <c r="BB1171" s="10"/>
      <c r="BC1171" s="10"/>
      <c r="BD1171" s="10"/>
      <c r="BE1171" s="10"/>
      <c r="BF1171" s="10"/>
      <c r="BG1171" s="10"/>
      <c r="BH1171" s="10"/>
      <c r="BI1171" s="10"/>
      <c r="BJ1171" s="10"/>
      <c r="BK1171" s="10"/>
      <c r="BL1171" s="10"/>
      <c r="BM1171" s="10"/>
      <c r="BN1171" s="10"/>
      <c r="BO1171" s="10"/>
      <c r="BP1171" s="10"/>
      <c r="BQ1171" s="10"/>
      <c r="BR1171" s="10"/>
      <c r="BS1171" s="10"/>
      <c r="BT1171" s="10"/>
      <c r="BU1171" s="10"/>
      <c r="BV1171" s="10"/>
      <c r="BW1171" s="10"/>
      <c r="BX1171" s="10"/>
      <c r="BY1171" s="10"/>
      <c r="BZ1171" s="10"/>
      <c r="CA1171" s="10"/>
      <c r="CB1171" s="10"/>
      <c r="CC1171" s="10"/>
      <c r="CD1171" s="10"/>
      <c r="CE1171" s="10"/>
      <c r="CF1171" s="10"/>
      <c r="CG1171" s="10"/>
      <c r="CH1171" s="10"/>
      <c r="CI1171" s="10"/>
      <c r="CJ1171" s="10"/>
      <c r="CK1171" s="10"/>
      <c r="CL1171" s="10"/>
      <c r="CM1171" s="10"/>
      <c r="CN1171" s="10"/>
      <c r="CO1171" s="10"/>
    </row>
    <row r="1172" spans="1:93">
      <c r="A1172" s="10"/>
      <c r="B1172" s="10"/>
      <c r="C1172" s="67" t="s">
        <v>361</v>
      </c>
      <c r="D1172" s="10"/>
      <c r="E1172" s="10"/>
      <c r="F1172" s="10"/>
      <c r="G1172" s="11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0"/>
      <c r="AH1172" s="10"/>
      <c r="AI1172" s="10"/>
      <c r="AJ1172" s="10"/>
      <c r="AK1172" s="10"/>
      <c r="AL1172" s="10"/>
      <c r="AM1172" s="10"/>
      <c r="AN1172" s="10"/>
      <c r="AO1172" s="10"/>
      <c r="AP1172" s="10"/>
      <c r="AQ1172" s="10"/>
      <c r="AR1172" s="10"/>
      <c r="AS1172" s="10"/>
      <c r="AT1172" s="10"/>
      <c r="AU1172" s="10"/>
      <c r="AV1172" s="10"/>
      <c r="AW1172" s="10"/>
      <c r="AX1172" s="10"/>
      <c r="AY1172" s="10"/>
      <c r="AZ1172" s="10"/>
      <c r="BA1172" s="10"/>
      <c r="BB1172" s="10"/>
      <c r="BC1172" s="10"/>
      <c r="BD1172" s="10"/>
      <c r="BE1172" s="10"/>
      <c r="BF1172" s="10"/>
      <c r="BG1172" s="10"/>
      <c r="BH1172" s="10"/>
      <c r="BI1172" s="10"/>
      <c r="BJ1172" s="10"/>
      <c r="BK1172" s="10"/>
      <c r="BL1172" s="10"/>
      <c r="BM1172" s="10"/>
      <c r="BN1172" s="10"/>
      <c r="BO1172" s="10"/>
      <c r="BP1172" s="10"/>
      <c r="BQ1172" s="10"/>
      <c r="BR1172" s="10"/>
      <c r="BS1172" s="10"/>
      <c r="BT1172" s="10"/>
      <c r="BU1172" s="10"/>
      <c r="BV1172" s="10"/>
      <c r="BW1172" s="10"/>
      <c r="BX1172" s="10"/>
      <c r="BY1172" s="10"/>
      <c r="BZ1172" s="10"/>
      <c r="CA1172" s="10"/>
      <c r="CB1172" s="10"/>
      <c r="CC1172" s="10"/>
      <c r="CD1172" s="10"/>
      <c r="CE1172" s="10"/>
      <c r="CF1172" s="10"/>
      <c r="CG1172" s="10"/>
      <c r="CH1172" s="10"/>
      <c r="CI1172" s="10"/>
      <c r="CJ1172" s="10"/>
      <c r="CK1172" s="10"/>
      <c r="CL1172" s="10"/>
      <c r="CM1172" s="10"/>
      <c r="CN1172" s="10"/>
      <c r="CO1172" s="10"/>
    </row>
    <row r="1173" spans="1:93">
      <c r="A1173" s="10"/>
      <c r="B1173" s="10"/>
      <c r="C1173" s="17" t="s">
        <v>548</v>
      </c>
      <c r="D1173" s="10"/>
      <c r="E1173" s="10"/>
      <c r="F1173" s="10"/>
      <c r="G1173" s="134" t="str">
        <f t="shared" ref="G1173:G1178" si="1406">Monetary_Unit</f>
        <v>тыс. руб.</v>
      </c>
      <c r="H1173" s="10"/>
      <c r="I1173" s="10"/>
      <c r="J1173" s="10"/>
      <c r="K1173" s="10"/>
      <c r="L1173" s="10">
        <f t="shared" ref="L1173:AQ1173" si="1407">K1178</f>
        <v>0</v>
      </c>
      <c r="M1173" s="10">
        <f t="shared" ca="1" si="1407"/>
        <v>10377.678322579664</v>
      </c>
      <c r="N1173" s="10">
        <f t="shared" ca="1" si="1407"/>
        <v>21448.953378042923</v>
      </c>
      <c r="O1173" s="10">
        <f t="shared" ca="1" si="1407"/>
        <v>33264.65456065342</v>
      </c>
      <c r="P1173" s="10">
        <f t="shared" ca="1" si="1407"/>
        <v>45857.385342756948</v>
      </c>
      <c r="Q1173" s="10">
        <f t="shared" ca="1" si="1407"/>
        <v>138162.38987482365</v>
      </c>
      <c r="R1173" s="10">
        <f t="shared" ca="1" si="1407"/>
        <v>235080.91577775072</v>
      </c>
      <c r="S1173" s="10">
        <f t="shared" ca="1" si="1407"/>
        <v>336889.118916885</v>
      </c>
      <c r="T1173" s="10">
        <f t="shared" ca="1" si="1407"/>
        <v>443712.86353479093</v>
      </c>
      <c r="U1173" s="10">
        <f t="shared" ca="1" si="1407"/>
        <v>524585.18369323632</v>
      </c>
      <c r="V1173" s="10">
        <f t="shared" ca="1" si="1407"/>
        <v>544316.68262851553</v>
      </c>
      <c r="W1173" s="10">
        <f t="shared" ca="1" si="1407"/>
        <v>566197.68468974764</v>
      </c>
      <c r="X1173" s="10">
        <f t="shared" ca="1" si="1407"/>
        <v>590096.54460569553</v>
      </c>
      <c r="Y1173" s="10">
        <f t="shared" ca="1" si="1407"/>
        <v>616356.25600235036</v>
      </c>
      <c r="Z1173" s="10">
        <f t="shared" ca="1" si="1407"/>
        <v>645949.38919461181</v>
      </c>
      <c r="AA1173" s="10">
        <f t="shared" ca="1" si="1407"/>
        <v>679377.40524580923</v>
      </c>
      <c r="AB1173" s="10">
        <f t="shared" ca="1" si="1407"/>
        <v>716468.27772466175</v>
      </c>
      <c r="AC1173" s="10">
        <f t="shared" ca="1" si="1407"/>
        <v>757552.54676788498</v>
      </c>
      <c r="AD1173" s="10">
        <f t="shared" ca="1" si="1407"/>
        <v>689992.75568413804</v>
      </c>
      <c r="AE1173" s="10">
        <f t="shared" ca="1" si="1407"/>
        <v>665273.16230161104</v>
      </c>
      <c r="AF1173" s="10">
        <f t="shared" ca="1" si="1407"/>
        <v>658177.21018213511</v>
      </c>
      <c r="AG1173" s="10">
        <f t="shared" ca="1" si="1407"/>
        <v>663483.3288283943</v>
      </c>
      <c r="AH1173" s="10">
        <f t="shared" ca="1" si="1407"/>
        <v>667286.37653550995</v>
      </c>
      <c r="AI1173" s="10">
        <f t="shared" ca="1" si="1407"/>
        <v>654041.52315974503</v>
      </c>
      <c r="AJ1173" s="10">
        <f t="shared" ca="1" si="1407"/>
        <v>641704.0097240617</v>
      </c>
      <c r="AK1173" s="10">
        <f t="shared" ca="1" si="1407"/>
        <v>643782.29293741449</v>
      </c>
      <c r="AL1173" s="10">
        <f t="shared" ca="1" si="1407"/>
        <v>644030.2944251555</v>
      </c>
      <c r="AM1173" s="10">
        <f t="shared" ca="1" si="1407"/>
        <v>624532.89011305012</v>
      </c>
      <c r="AN1173" s="10">
        <f t="shared" ca="1" si="1407"/>
        <v>605993.76866953482</v>
      </c>
      <c r="AO1173" s="10">
        <f t="shared" ca="1" si="1407"/>
        <v>604015.23133028811</v>
      </c>
      <c r="AP1173" s="10">
        <f t="shared" ca="1" si="1407"/>
        <v>599777.67069609324</v>
      </c>
      <c r="AQ1173" s="10">
        <f t="shared" ca="1" si="1407"/>
        <v>573479.65229026391</v>
      </c>
      <c r="AR1173" s="10">
        <f t="shared" ref="AR1173:BW1173" ca="1" si="1408">AQ1178</f>
        <v>548742.96079940174</v>
      </c>
      <c r="AS1173" s="10">
        <f t="shared" ca="1" si="1408"/>
        <v>543023.28604812501</v>
      </c>
      <c r="AT1173" s="10">
        <f t="shared" ca="1" si="1408"/>
        <v>535761.41841643769</v>
      </c>
      <c r="AU1173" s="10">
        <f t="shared" ca="1" si="1408"/>
        <v>458456.69337976928</v>
      </c>
      <c r="AV1173" s="10">
        <f t="shared" ca="1" si="1408"/>
        <v>203345.64714190544</v>
      </c>
      <c r="AW1173" s="10">
        <f t="shared" ca="1" si="1408"/>
        <v>64597.087566401984</v>
      </c>
      <c r="AX1173" s="10">
        <f t="shared" ca="1" si="1408"/>
        <v>0</v>
      </c>
      <c r="AY1173" s="10">
        <f t="shared" ca="1" si="1408"/>
        <v>0</v>
      </c>
      <c r="AZ1173" s="10">
        <f t="shared" ca="1" si="1408"/>
        <v>0</v>
      </c>
      <c r="BA1173" s="10">
        <f t="shared" ca="1" si="1408"/>
        <v>0</v>
      </c>
      <c r="BB1173" s="10">
        <f t="shared" ca="1" si="1408"/>
        <v>0</v>
      </c>
      <c r="BC1173" s="10">
        <f t="shared" ca="1" si="1408"/>
        <v>0</v>
      </c>
      <c r="BD1173" s="10">
        <f t="shared" ca="1" si="1408"/>
        <v>0</v>
      </c>
      <c r="BE1173" s="10">
        <f t="shared" ca="1" si="1408"/>
        <v>0</v>
      </c>
      <c r="BF1173" s="10">
        <f t="shared" ca="1" si="1408"/>
        <v>0</v>
      </c>
      <c r="BG1173" s="10">
        <f t="shared" ca="1" si="1408"/>
        <v>0</v>
      </c>
      <c r="BH1173" s="10">
        <f t="shared" ca="1" si="1408"/>
        <v>0</v>
      </c>
      <c r="BI1173" s="10">
        <f t="shared" ca="1" si="1408"/>
        <v>0</v>
      </c>
      <c r="BJ1173" s="10">
        <f t="shared" ca="1" si="1408"/>
        <v>0</v>
      </c>
      <c r="BK1173" s="10">
        <f t="shared" ca="1" si="1408"/>
        <v>0</v>
      </c>
      <c r="BL1173" s="10">
        <f t="shared" ca="1" si="1408"/>
        <v>0</v>
      </c>
      <c r="BM1173" s="10">
        <f t="shared" ca="1" si="1408"/>
        <v>0</v>
      </c>
      <c r="BN1173" s="10">
        <f t="shared" ca="1" si="1408"/>
        <v>0</v>
      </c>
      <c r="BO1173" s="10">
        <f t="shared" ca="1" si="1408"/>
        <v>0</v>
      </c>
      <c r="BP1173" s="10">
        <f t="shared" ca="1" si="1408"/>
        <v>0</v>
      </c>
      <c r="BQ1173" s="10">
        <f t="shared" ca="1" si="1408"/>
        <v>0</v>
      </c>
      <c r="BR1173" s="10">
        <f t="shared" ca="1" si="1408"/>
        <v>0</v>
      </c>
      <c r="BS1173" s="10">
        <f t="shared" ca="1" si="1408"/>
        <v>0</v>
      </c>
      <c r="BT1173" s="10">
        <f t="shared" ca="1" si="1408"/>
        <v>0</v>
      </c>
      <c r="BU1173" s="10">
        <f t="shared" ca="1" si="1408"/>
        <v>0</v>
      </c>
      <c r="BV1173" s="10">
        <f t="shared" ca="1" si="1408"/>
        <v>0</v>
      </c>
      <c r="BW1173" s="10">
        <f t="shared" ca="1" si="1408"/>
        <v>0</v>
      </c>
      <c r="BX1173" s="10">
        <f t="shared" ref="BX1173:CO1173" ca="1" si="1409">BW1178</f>
        <v>0</v>
      </c>
      <c r="BY1173" s="10">
        <f t="shared" ca="1" si="1409"/>
        <v>0</v>
      </c>
      <c r="BZ1173" s="10">
        <f t="shared" ca="1" si="1409"/>
        <v>0</v>
      </c>
      <c r="CA1173" s="10">
        <f t="shared" ca="1" si="1409"/>
        <v>0</v>
      </c>
      <c r="CB1173" s="10">
        <f t="shared" ca="1" si="1409"/>
        <v>0</v>
      </c>
      <c r="CC1173" s="10">
        <f t="shared" ca="1" si="1409"/>
        <v>0</v>
      </c>
      <c r="CD1173" s="10">
        <f t="shared" ca="1" si="1409"/>
        <v>0</v>
      </c>
      <c r="CE1173" s="10">
        <f t="shared" ca="1" si="1409"/>
        <v>0</v>
      </c>
      <c r="CF1173" s="10">
        <f t="shared" ca="1" si="1409"/>
        <v>0</v>
      </c>
      <c r="CG1173" s="10">
        <f t="shared" ca="1" si="1409"/>
        <v>0</v>
      </c>
      <c r="CH1173" s="10">
        <f t="shared" ca="1" si="1409"/>
        <v>0</v>
      </c>
      <c r="CI1173" s="10">
        <f t="shared" ca="1" si="1409"/>
        <v>0</v>
      </c>
      <c r="CJ1173" s="10">
        <f t="shared" ca="1" si="1409"/>
        <v>0</v>
      </c>
      <c r="CK1173" s="10">
        <f t="shared" ca="1" si="1409"/>
        <v>0</v>
      </c>
      <c r="CL1173" s="10">
        <f t="shared" ca="1" si="1409"/>
        <v>0</v>
      </c>
      <c r="CM1173" s="10">
        <f t="shared" ca="1" si="1409"/>
        <v>0</v>
      </c>
      <c r="CN1173" s="10">
        <f t="shared" ca="1" si="1409"/>
        <v>0</v>
      </c>
      <c r="CO1173" s="10">
        <f t="shared" ca="1" si="1409"/>
        <v>0</v>
      </c>
    </row>
    <row r="1174" spans="1:93">
      <c r="A1174" s="10"/>
      <c r="B1174" s="10"/>
      <c r="C1174" s="17" t="s">
        <v>362</v>
      </c>
      <c r="D1174" s="10"/>
      <c r="E1174" s="10"/>
      <c r="F1174" s="10"/>
      <c r="G1174" s="134" t="str">
        <f t="shared" si="1406"/>
        <v>тыс. руб.</v>
      </c>
      <c r="H1174" s="10"/>
      <c r="I1174" s="23">
        <f ca="1">SUM(L1174:CO1174)</f>
        <v>533689.28402014542</v>
      </c>
      <c r="J1174" s="10"/>
      <c r="K1174" s="10"/>
      <c r="L1174" s="10">
        <f>L1158</f>
        <v>10115.776706480377</v>
      </c>
      <c r="M1174" s="10">
        <f t="shared" ref="M1174:BX1174" ca="1" si="1410">M1158</f>
        <v>10259.369017900153</v>
      </c>
      <c r="N1174" s="10">
        <f t="shared" ca="1" si="1410"/>
        <v>10404.999606013567</v>
      </c>
      <c r="O1174" s="10">
        <f t="shared" ca="1" si="1410"/>
        <v>10552.697403928796</v>
      </c>
      <c r="P1174" s="10">
        <f t="shared" ca="1" si="1410"/>
        <v>88745.245312382176</v>
      </c>
      <c r="Q1174" s="10">
        <f t="shared" ca="1" si="1410"/>
        <v>89619.688293733067</v>
      </c>
      <c r="R1174" s="10">
        <f t="shared" ca="1" si="1410"/>
        <v>90502.747517283089</v>
      </c>
      <c r="S1174" s="10">
        <f t="shared" ca="1" si="1410"/>
        <v>91394.507882369522</v>
      </c>
      <c r="T1174" s="10">
        <f t="shared" ca="1" si="1410"/>
        <v>65019.970533948253</v>
      </c>
      <c r="U1174" s="10">
        <f t="shared" ca="1" si="1410"/>
        <v>2040.9091648234303</v>
      </c>
      <c r="V1174" s="10">
        <f t="shared" ca="1" si="1410"/>
        <v>3303.1237146186231</v>
      </c>
      <c r="W1174" s="10">
        <f t="shared" ca="1" si="1410"/>
        <v>4555.1268162881161</v>
      </c>
      <c r="X1174" s="10">
        <f t="shared" ca="1" si="1410"/>
        <v>6346.274130728716</v>
      </c>
      <c r="Y1174" s="10">
        <f t="shared" ca="1" si="1410"/>
        <v>8757.8014964128106</v>
      </c>
      <c r="Z1174" s="10">
        <f t="shared" ca="1" si="1410"/>
        <v>11316.091617477097</v>
      </c>
      <c r="AA1174" s="10">
        <f t="shared" ca="1" si="1410"/>
        <v>13802.401746613647</v>
      </c>
      <c r="AB1174" s="10">
        <f t="shared" ca="1" si="1410"/>
        <v>16952.553059143986</v>
      </c>
      <c r="AC1174" s="10">
        <f t="shared" ca="1" si="1410"/>
        <v>0</v>
      </c>
      <c r="AD1174" s="10">
        <f t="shared" ca="1" si="1410"/>
        <v>0</v>
      </c>
      <c r="AE1174" s="10">
        <f t="shared" ca="1" si="1410"/>
        <v>0</v>
      </c>
      <c r="AF1174" s="10">
        <f t="shared" ca="1" si="1410"/>
        <v>0</v>
      </c>
      <c r="AG1174" s="10">
        <f t="shared" ca="1" si="1410"/>
        <v>0</v>
      </c>
      <c r="AH1174" s="10">
        <f t="shared" ca="1" si="1410"/>
        <v>0</v>
      </c>
      <c r="AI1174" s="10">
        <f t="shared" ca="1" si="1410"/>
        <v>0</v>
      </c>
      <c r="AJ1174" s="10">
        <f t="shared" ca="1" si="1410"/>
        <v>0</v>
      </c>
      <c r="AK1174" s="10">
        <f t="shared" ca="1" si="1410"/>
        <v>0</v>
      </c>
      <c r="AL1174" s="10">
        <f t="shared" ca="1" si="1410"/>
        <v>0</v>
      </c>
      <c r="AM1174" s="10">
        <f t="shared" ca="1" si="1410"/>
        <v>0</v>
      </c>
      <c r="AN1174" s="10">
        <f t="shared" ca="1" si="1410"/>
        <v>0</v>
      </c>
      <c r="AO1174" s="10">
        <f t="shared" ca="1" si="1410"/>
        <v>0</v>
      </c>
      <c r="AP1174" s="10">
        <f t="shared" ca="1" si="1410"/>
        <v>0</v>
      </c>
      <c r="AQ1174" s="10">
        <f t="shared" ca="1" si="1410"/>
        <v>0</v>
      </c>
      <c r="AR1174" s="10">
        <f t="shared" ca="1" si="1410"/>
        <v>0</v>
      </c>
      <c r="AS1174" s="10">
        <f t="shared" ca="1" si="1410"/>
        <v>0</v>
      </c>
      <c r="AT1174" s="10">
        <f t="shared" ca="1" si="1410"/>
        <v>0</v>
      </c>
      <c r="AU1174" s="10">
        <f t="shared" ca="1" si="1410"/>
        <v>0</v>
      </c>
      <c r="AV1174" s="10">
        <f t="shared" ca="1" si="1410"/>
        <v>0</v>
      </c>
      <c r="AW1174" s="10">
        <f t="shared" ca="1" si="1410"/>
        <v>0</v>
      </c>
      <c r="AX1174" s="10">
        <f t="shared" ca="1" si="1410"/>
        <v>0</v>
      </c>
      <c r="AY1174" s="10">
        <f t="shared" ca="1" si="1410"/>
        <v>0</v>
      </c>
      <c r="AZ1174" s="10">
        <f t="shared" ca="1" si="1410"/>
        <v>0</v>
      </c>
      <c r="BA1174" s="10">
        <f t="shared" ca="1" si="1410"/>
        <v>0</v>
      </c>
      <c r="BB1174" s="10">
        <f t="shared" ca="1" si="1410"/>
        <v>0</v>
      </c>
      <c r="BC1174" s="10">
        <f t="shared" ca="1" si="1410"/>
        <v>0</v>
      </c>
      <c r="BD1174" s="10">
        <f t="shared" ca="1" si="1410"/>
        <v>0</v>
      </c>
      <c r="BE1174" s="10">
        <f t="shared" ca="1" si="1410"/>
        <v>0</v>
      </c>
      <c r="BF1174" s="10">
        <f t="shared" ca="1" si="1410"/>
        <v>0</v>
      </c>
      <c r="BG1174" s="10">
        <f t="shared" ca="1" si="1410"/>
        <v>0</v>
      </c>
      <c r="BH1174" s="10">
        <f t="shared" ca="1" si="1410"/>
        <v>0</v>
      </c>
      <c r="BI1174" s="10">
        <f t="shared" ca="1" si="1410"/>
        <v>0</v>
      </c>
      <c r="BJ1174" s="10">
        <f t="shared" ca="1" si="1410"/>
        <v>0</v>
      </c>
      <c r="BK1174" s="10">
        <f t="shared" ca="1" si="1410"/>
        <v>0</v>
      </c>
      <c r="BL1174" s="10">
        <f t="shared" ca="1" si="1410"/>
        <v>0</v>
      </c>
      <c r="BM1174" s="10">
        <f t="shared" ca="1" si="1410"/>
        <v>0</v>
      </c>
      <c r="BN1174" s="10">
        <f t="shared" ca="1" si="1410"/>
        <v>0</v>
      </c>
      <c r="BO1174" s="10">
        <f t="shared" ca="1" si="1410"/>
        <v>0</v>
      </c>
      <c r="BP1174" s="10">
        <f t="shared" ca="1" si="1410"/>
        <v>0</v>
      </c>
      <c r="BQ1174" s="10">
        <f t="shared" ca="1" si="1410"/>
        <v>0</v>
      </c>
      <c r="BR1174" s="10">
        <f t="shared" ca="1" si="1410"/>
        <v>0</v>
      </c>
      <c r="BS1174" s="10">
        <f t="shared" ca="1" si="1410"/>
        <v>0</v>
      </c>
      <c r="BT1174" s="10">
        <f t="shared" ca="1" si="1410"/>
        <v>0</v>
      </c>
      <c r="BU1174" s="10">
        <f t="shared" ca="1" si="1410"/>
        <v>0</v>
      </c>
      <c r="BV1174" s="10">
        <f t="shared" ca="1" si="1410"/>
        <v>0</v>
      </c>
      <c r="BW1174" s="10">
        <f t="shared" ca="1" si="1410"/>
        <v>0</v>
      </c>
      <c r="BX1174" s="10">
        <f t="shared" ca="1" si="1410"/>
        <v>0</v>
      </c>
      <c r="BY1174" s="10">
        <f t="shared" ref="BY1174:CO1174" ca="1" si="1411">BY1158</f>
        <v>0</v>
      </c>
      <c r="BZ1174" s="10">
        <f t="shared" ca="1" si="1411"/>
        <v>0</v>
      </c>
      <c r="CA1174" s="10">
        <f t="shared" ca="1" si="1411"/>
        <v>0</v>
      </c>
      <c r="CB1174" s="10">
        <f t="shared" ca="1" si="1411"/>
        <v>0</v>
      </c>
      <c r="CC1174" s="10">
        <f t="shared" ca="1" si="1411"/>
        <v>0</v>
      </c>
      <c r="CD1174" s="10">
        <f t="shared" ca="1" si="1411"/>
        <v>0</v>
      </c>
      <c r="CE1174" s="10">
        <f t="shared" ca="1" si="1411"/>
        <v>0</v>
      </c>
      <c r="CF1174" s="10">
        <f t="shared" ca="1" si="1411"/>
        <v>0</v>
      </c>
      <c r="CG1174" s="10">
        <f t="shared" ca="1" si="1411"/>
        <v>0</v>
      </c>
      <c r="CH1174" s="10">
        <f t="shared" ca="1" si="1411"/>
        <v>0</v>
      </c>
      <c r="CI1174" s="10">
        <f t="shared" ca="1" si="1411"/>
        <v>0</v>
      </c>
      <c r="CJ1174" s="10">
        <f t="shared" ca="1" si="1411"/>
        <v>0</v>
      </c>
      <c r="CK1174" s="10">
        <f t="shared" ca="1" si="1411"/>
        <v>0</v>
      </c>
      <c r="CL1174" s="10">
        <f t="shared" ca="1" si="1411"/>
        <v>0</v>
      </c>
      <c r="CM1174" s="10">
        <f t="shared" ca="1" si="1411"/>
        <v>0</v>
      </c>
      <c r="CN1174" s="10">
        <f t="shared" ca="1" si="1411"/>
        <v>0</v>
      </c>
      <c r="CO1174" s="10">
        <f t="shared" ca="1" si="1411"/>
        <v>0</v>
      </c>
    </row>
    <row r="1175" spans="1:93">
      <c r="A1175" s="10"/>
      <c r="B1175" s="10"/>
      <c r="C1175" s="17" t="s">
        <v>363</v>
      </c>
      <c r="D1175" s="10"/>
      <c r="E1175" s="10"/>
      <c r="F1175" s="10"/>
      <c r="G1175" s="134" t="str">
        <f t="shared" si="1406"/>
        <v>тыс. руб.</v>
      </c>
      <c r="H1175" s="10"/>
      <c r="I1175" s="23">
        <f ca="1">SUM(L1175:CO1175)</f>
        <v>0</v>
      </c>
      <c r="J1175" s="10"/>
      <c r="K1175" s="10"/>
      <c r="L1175" s="52">
        <f ca="1">-MIN(L1194+L1174+Equity_Drawdown,0)*NOT(Flag_Construction)</f>
        <v>0</v>
      </c>
      <c r="M1175" s="52">
        <f t="shared" ref="M1175:BX1175" ca="1" si="1412">-MIN(M1194+M1174+Equity_Drawdown,0)*NOT(Flag_Construction)</f>
        <v>0</v>
      </c>
      <c r="N1175" s="52">
        <f t="shared" ca="1" si="1412"/>
        <v>0</v>
      </c>
      <c r="O1175" s="52">
        <f t="shared" ca="1" si="1412"/>
        <v>0</v>
      </c>
      <c r="P1175" s="52">
        <f t="shared" ca="1" si="1412"/>
        <v>0</v>
      </c>
      <c r="Q1175" s="52">
        <f t="shared" ca="1" si="1412"/>
        <v>0</v>
      </c>
      <c r="R1175" s="52">
        <f t="shared" ca="1" si="1412"/>
        <v>0</v>
      </c>
      <c r="S1175" s="52">
        <f t="shared" ca="1" si="1412"/>
        <v>0</v>
      </c>
      <c r="T1175" s="52">
        <f t="shared" ca="1" si="1412"/>
        <v>0</v>
      </c>
      <c r="U1175" s="52">
        <f t="shared" ca="1" si="1412"/>
        <v>0</v>
      </c>
      <c r="V1175" s="52">
        <f t="shared" ca="1" si="1412"/>
        <v>0</v>
      </c>
      <c r="W1175" s="52">
        <f t="shared" ca="1" si="1412"/>
        <v>0</v>
      </c>
      <c r="X1175" s="52">
        <f t="shared" ca="1" si="1412"/>
        <v>0</v>
      </c>
      <c r="Y1175" s="52">
        <f t="shared" ca="1" si="1412"/>
        <v>0</v>
      </c>
      <c r="Z1175" s="52">
        <f t="shared" ca="1" si="1412"/>
        <v>0</v>
      </c>
      <c r="AA1175" s="52">
        <f t="shared" ca="1" si="1412"/>
        <v>0</v>
      </c>
      <c r="AB1175" s="52">
        <f t="shared" ca="1" si="1412"/>
        <v>0</v>
      </c>
      <c r="AC1175" s="52">
        <f t="shared" ca="1" si="1412"/>
        <v>0</v>
      </c>
      <c r="AD1175" s="52">
        <f t="shared" ca="1" si="1412"/>
        <v>0</v>
      </c>
      <c r="AE1175" s="52">
        <f t="shared" ca="1" si="1412"/>
        <v>0</v>
      </c>
      <c r="AF1175" s="52">
        <f t="shared" ca="1" si="1412"/>
        <v>0</v>
      </c>
      <c r="AG1175" s="52">
        <f t="shared" ca="1" si="1412"/>
        <v>0</v>
      </c>
      <c r="AH1175" s="52">
        <f t="shared" ca="1" si="1412"/>
        <v>0</v>
      </c>
      <c r="AI1175" s="52">
        <f t="shared" ca="1" si="1412"/>
        <v>0</v>
      </c>
      <c r="AJ1175" s="52">
        <f t="shared" ca="1" si="1412"/>
        <v>0</v>
      </c>
      <c r="AK1175" s="52">
        <f t="shared" ca="1" si="1412"/>
        <v>0</v>
      </c>
      <c r="AL1175" s="52">
        <f t="shared" ca="1" si="1412"/>
        <v>0</v>
      </c>
      <c r="AM1175" s="52">
        <f t="shared" ca="1" si="1412"/>
        <v>0</v>
      </c>
      <c r="AN1175" s="52">
        <f t="shared" ca="1" si="1412"/>
        <v>0</v>
      </c>
      <c r="AO1175" s="52">
        <f t="shared" ca="1" si="1412"/>
        <v>0</v>
      </c>
      <c r="AP1175" s="52">
        <f t="shared" ca="1" si="1412"/>
        <v>0</v>
      </c>
      <c r="AQ1175" s="52">
        <f t="shared" ca="1" si="1412"/>
        <v>0</v>
      </c>
      <c r="AR1175" s="52">
        <f t="shared" ca="1" si="1412"/>
        <v>0</v>
      </c>
      <c r="AS1175" s="52">
        <f t="shared" ca="1" si="1412"/>
        <v>0</v>
      </c>
      <c r="AT1175" s="52">
        <f t="shared" ca="1" si="1412"/>
        <v>0</v>
      </c>
      <c r="AU1175" s="52">
        <f t="shared" ca="1" si="1412"/>
        <v>0</v>
      </c>
      <c r="AV1175" s="52">
        <f t="shared" ca="1" si="1412"/>
        <v>0</v>
      </c>
      <c r="AW1175" s="52">
        <f t="shared" ca="1" si="1412"/>
        <v>0</v>
      </c>
      <c r="AX1175" s="52">
        <f t="shared" ca="1" si="1412"/>
        <v>0</v>
      </c>
      <c r="AY1175" s="52">
        <f t="shared" ca="1" si="1412"/>
        <v>0</v>
      </c>
      <c r="AZ1175" s="52">
        <f t="shared" ca="1" si="1412"/>
        <v>0</v>
      </c>
      <c r="BA1175" s="52">
        <f t="shared" ca="1" si="1412"/>
        <v>0</v>
      </c>
      <c r="BB1175" s="52">
        <f t="shared" ca="1" si="1412"/>
        <v>0</v>
      </c>
      <c r="BC1175" s="52">
        <f t="shared" ca="1" si="1412"/>
        <v>0</v>
      </c>
      <c r="BD1175" s="52">
        <f t="shared" ca="1" si="1412"/>
        <v>0</v>
      </c>
      <c r="BE1175" s="52">
        <f t="shared" ca="1" si="1412"/>
        <v>0</v>
      </c>
      <c r="BF1175" s="52">
        <f t="shared" ca="1" si="1412"/>
        <v>0</v>
      </c>
      <c r="BG1175" s="52">
        <f t="shared" ca="1" si="1412"/>
        <v>0</v>
      </c>
      <c r="BH1175" s="52">
        <f t="shared" ca="1" si="1412"/>
        <v>0</v>
      </c>
      <c r="BI1175" s="52">
        <f t="shared" ca="1" si="1412"/>
        <v>0</v>
      </c>
      <c r="BJ1175" s="52">
        <f t="shared" ca="1" si="1412"/>
        <v>0</v>
      </c>
      <c r="BK1175" s="52">
        <f t="shared" ca="1" si="1412"/>
        <v>0</v>
      </c>
      <c r="BL1175" s="52">
        <f t="shared" ca="1" si="1412"/>
        <v>0</v>
      </c>
      <c r="BM1175" s="52">
        <f t="shared" ca="1" si="1412"/>
        <v>0</v>
      </c>
      <c r="BN1175" s="52">
        <f t="shared" ca="1" si="1412"/>
        <v>0</v>
      </c>
      <c r="BO1175" s="52">
        <f t="shared" ca="1" si="1412"/>
        <v>0</v>
      </c>
      <c r="BP1175" s="52">
        <f t="shared" ca="1" si="1412"/>
        <v>0</v>
      </c>
      <c r="BQ1175" s="52">
        <f t="shared" ca="1" si="1412"/>
        <v>0</v>
      </c>
      <c r="BR1175" s="52">
        <f t="shared" ca="1" si="1412"/>
        <v>0</v>
      </c>
      <c r="BS1175" s="52">
        <f t="shared" ca="1" si="1412"/>
        <v>0</v>
      </c>
      <c r="BT1175" s="52">
        <f t="shared" ca="1" si="1412"/>
        <v>0</v>
      </c>
      <c r="BU1175" s="52">
        <f t="shared" ca="1" si="1412"/>
        <v>0</v>
      </c>
      <c r="BV1175" s="52">
        <f t="shared" ca="1" si="1412"/>
        <v>0</v>
      </c>
      <c r="BW1175" s="52">
        <f t="shared" ca="1" si="1412"/>
        <v>0</v>
      </c>
      <c r="BX1175" s="52">
        <f t="shared" ca="1" si="1412"/>
        <v>0</v>
      </c>
      <c r="BY1175" s="52">
        <f t="shared" ref="BY1175:CO1175" ca="1" si="1413">-MIN(BY1194+BY1174+Equity_Drawdown,0)*NOT(Flag_Construction)</f>
        <v>0</v>
      </c>
      <c r="BZ1175" s="52">
        <f t="shared" ca="1" si="1413"/>
        <v>0</v>
      </c>
      <c r="CA1175" s="52">
        <f t="shared" ca="1" si="1413"/>
        <v>0</v>
      </c>
      <c r="CB1175" s="52">
        <f t="shared" ca="1" si="1413"/>
        <v>0</v>
      </c>
      <c r="CC1175" s="52">
        <f t="shared" ca="1" si="1413"/>
        <v>0</v>
      </c>
      <c r="CD1175" s="52">
        <f t="shared" ca="1" si="1413"/>
        <v>0</v>
      </c>
      <c r="CE1175" s="52">
        <f t="shared" ca="1" si="1413"/>
        <v>0</v>
      </c>
      <c r="CF1175" s="52">
        <f t="shared" ca="1" si="1413"/>
        <v>0</v>
      </c>
      <c r="CG1175" s="52">
        <f t="shared" ca="1" si="1413"/>
        <v>0</v>
      </c>
      <c r="CH1175" s="52">
        <f t="shared" ca="1" si="1413"/>
        <v>0</v>
      </c>
      <c r="CI1175" s="52">
        <f t="shared" ca="1" si="1413"/>
        <v>0</v>
      </c>
      <c r="CJ1175" s="52">
        <f t="shared" ca="1" si="1413"/>
        <v>0</v>
      </c>
      <c r="CK1175" s="52">
        <f t="shared" ca="1" si="1413"/>
        <v>0</v>
      </c>
      <c r="CL1175" s="52">
        <f t="shared" ca="1" si="1413"/>
        <v>0</v>
      </c>
      <c r="CM1175" s="52">
        <f t="shared" ca="1" si="1413"/>
        <v>0</v>
      </c>
      <c r="CN1175" s="52">
        <f t="shared" ca="1" si="1413"/>
        <v>0</v>
      </c>
      <c r="CO1175" s="52">
        <f t="shared" ca="1" si="1413"/>
        <v>0</v>
      </c>
    </row>
    <row r="1176" spans="1:93">
      <c r="A1176" s="10"/>
      <c r="B1176" s="10"/>
      <c r="C1176" s="17" t="s">
        <v>416</v>
      </c>
      <c r="D1176" s="10"/>
      <c r="E1176" s="10"/>
      <c r="F1176" s="10"/>
      <c r="G1176" s="134" t="str">
        <f t="shared" si="1406"/>
        <v>тыс. руб.</v>
      </c>
      <c r="H1176" s="10"/>
      <c r="I1176" s="23">
        <f ca="1">SUM(L1176:CO1176)</f>
        <v>235298.71380220816</v>
      </c>
      <c r="J1176" s="10"/>
      <c r="K1176" s="10"/>
      <c r="L1176" s="52">
        <f ca="1">L1186+L1187</f>
        <v>261.90161609928646</v>
      </c>
      <c r="M1176" s="52">
        <f t="shared" ref="M1176:BX1176" ca="1" si="1414">M1186+M1187</f>
        <v>811.90603756310509</v>
      </c>
      <c r="N1176" s="52">
        <f t="shared" ca="1" si="1414"/>
        <v>1410.7015765969325</v>
      </c>
      <c r="O1176" s="52">
        <f t="shared" ca="1" si="1414"/>
        <v>2040.0333781747295</v>
      </c>
      <c r="P1176" s="52">
        <f t="shared" ca="1" si="1414"/>
        <v>3559.7592196845253</v>
      </c>
      <c r="Q1176" s="52">
        <f t="shared" ca="1" si="1414"/>
        <v>7298.8376091939972</v>
      </c>
      <c r="R1176" s="52">
        <f t="shared" ca="1" si="1414"/>
        <v>11305.455621851217</v>
      </c>
      <c r="S1176" s="52">
        <f t="shared" ca="1" si="1414"/>
        <v>15429.236735536404</v>
      </c>
      <c r="T1176" s="52">
        <f t="shared" ca="1" si="1414"/>
        <v>15852.349624497112</v>
      </c>
      <c r="U1176" s="52">
        <f t="shared" ca="1" si="1414"/>
        <v>17690.589770455717</v>
      </c>
      <c r="V1176" s="52">
        <f t="shared" ca="1" si="1414"/>
        <v>18577.87834661355</v>
      </c>
      <c r="W1176" s="52">
        <f t="shared" ca="1" si="1414"/>
        <v>19343.73309965977</v>
      </c>
      <c r="X1176" s="52">
        <f t="shared" ca="1" si="1414"/>
        <v>19913.43726592615</v>
      </c>
      <c r="Y1176" s="52">
        <f t="shared" ca="1" si="1414"/>
        <v>20835.331695848607</v>
      </c>
      <c r="Z1176" s="52">
        <f t="shared" ca="1" si="1414"/>
        <v>22111.924433720254</v>
      </c>
      <c r="AA1176" s="52">
        <f t="shared" ca="1" si="1414"/>
        <v>23288.47073223886</v>
      </c>
      <c r="AB1176" s="52">
        <f t="shared" ca="1" si="1414"/>
        <v>24131.715984079288</v>
      </c>
      <c r="AC1176" s="52">
        <f t="shared" ca="1" si="1414"/>
        <v>0</v>
      </c>
      <c r="AD1176" s="52">
        <f t="shared" ca="1" si="1414"/>
        <v>0</v>
      </c>
      <c r="AE1176" s="52">
        <f t="shared" ca="1" si="1414"/>
        <v>0</v>
      </c>
      <c r="AF1176" s="52">
        <f t="shared" ca="1" si="1414"/>
        <v>5306.1186462591613</v>
      </c>
      <c r="AG1176" s="52">
        <f t="shared" ca="1" si="1414"/>
        <v>3803.047707115682</v>
      </c>
      <c r="AH1176" s="52">
        <f t="shared" ca="1" si="1414"/>
        <v>0</v>
      </c>
      <c r="AI1176" s="52">
        <f t="shared" ca="1" si="1414"/>
        <v>0</v>
      </c>
      <c r="AJ1176" s="52">
        <f t="shared" ca="1" si="1414"/>
        <v>2078.2832133527991</v>
      </c>
      <c r="AK1176" s="52">
        <f t="shared" ca="1" si="1414"/>
        <v>248.00148774098489</v>
      </c>
      <c r="AL1176" s="52">
        <f t="shared" ca="1" si="1414"/>
        <v>0</v>
      </c>
      <c r="AM1176" s="52">
        <f t="shared" ca="1" si="1414"/>
        <v>0</v>
      </c>
      <c r="AN1176" s="52">
        <f t="shared" ca="1" si="1414"/>
        <v>0</v>
      </c>
      <c r="AO1176" s="52">
        <f t="shared" ca="1" si="1414"/>
        <v>0</v>
      </c>
      <c r="AP1176" s="52">
        <f t="shared" ca="1" si="1414"/>
        <v>0</v>
      </c>
      <c r="AQ1176" s="52">
        <f t="shared" ca="1" si="1414"/>
        <v>0</v>
      </c>
      <c r="AR1176" s="52">
        <f t="shared" ca="1" si="1414"/>
        <v>0</v>
      </c>
      <c r="AS1176" s="52">
        <f t="shared" ca="1" si="1414"/>
        <v>0</v>
      </c>
      <c r="AT1176" s="52">
        <f t="shared" ca="1" si="1414"/>
        <v>0</v>
      </c>
      <c r="AU1176" s="52">
        <f t="shared" ca="1" si="1414"/>
        <v>0</v>
      </c>
      <c r="AV1176" s="52">
        <f t="shared" ca="1" si="1414"/>
        <v>0</v>
      </c>
      <c r="AW1176" s="52">
        <f t="shared" ca="1" si="1414"/>
        <v>0</v>
      </c>
      <c r="AX1176" s="52">
        <f t="shared" ca="1" si="1414"/>
        <v>0</v>
      </c>
      <c r="AY1176" s="52">
        <f t="shared" ca="1" si="1414"/>
        <v>0</v>
      </c>
      <c r="AZ1176" s="52">
        <f t="shared" ca="1" si="1414"/>
        <v>0</v>
      </c>
      <c r="BA1176" s="52">
        <f t="shared" ca="1" si="1414"/>
        <v>0</v>
      </c>
      <c r="BB1176" s="52">
        <f t="shared" ca="1" si="1414"/>
        <v>0</v>
      </c>
      <c r="BC1176" s="52">
        <f t="shared" ca="1" si="1414"/>
        <v>0</v>
      </c>
      <c r="BD1176" s="52">
        <f t="shared" ca="1" si="1414"/>
        <v>0</v>
      </c>
      <c r="BE1176" s="52">
        <f t="shared" ca="1" si="1414"/>
        <v>0</v>
      </c>
      <c r="BF1176" s="52">
        <f t="shared" ca="1" si="1414"/>
        <v>0</v>
      </c>
      <c r="BG1176" s="52">
        <f t="shared" ca="1" si="1414"/>
        <v>0</v>
      </c>
      <c r="BH1176" s="52">
        <f t="shared" ca="1" si="1414"/>
        <v>0</v>
      </c>
      <c r="BI1176" s="52">
        <f t="shared" ca="1" si="1414"/>
        <v>0</v>
      </c>
      <c r="BJ1176" s="52">
        <f t="shared" ca="1" si="1414"/>
        <v>0</v>
      </c>
      <c r="BK1176" s="52">
        <f t="shared" ca="1" si="1414"/>
        <v>0</v>
      </c>
      <c r="BL1176" s="52">
        <f t="shared" ca="1" si="1414"/>
        <v>0</v>
      </c>
      <c r="BM1176" s="52">
        <f t="shared" ca="1" si="1414"/>
        <v>0</v>
      </c>
      <c r="BN1176" s="52">
        <f t="shared" ca="1" si="1414"/>
        <v>0</v>
      </c>
      <c r="BO1176" s="52">
        <f t="shared" ca="1" si="1414"/>
        <v>0</v>
      </c>
      <c r="BP1176" s="52">
        <f t="shared" ca="1" si="1414"/>
        <v>0</v>
      </c>
      <c r="BQ1176" s="52">
        <f t="shared" ca="1" si="1414"/>
        <v>0</v>
      </c>
      <c r="BR1176" s="52">
        <f t="shared" ca="1" si="1414"/>
        <v>0</v>
      </c>
      <c r="BS1176" s="52">
        <f t="shared" ca="1" si="1414"/>
        <v>0</v>
      </c>
      <c r="BT1176" s="52">
        <f t="shared" ca="1" si="1414"/>
        <v>0</v>
      </c>
      <c r="BU1176" s="52">
        <f t="shared" ca="1" si="1414"/>
        <v>0</v>
      </c>
      <c r="BV1176" s="52">
        <f t="shared" ca="1" si="1414"/>
        <v>0</v>
      </c>
      <c r="BW1176" s="52">
        <f t="shared" ca="1" si="1414"/>
        <v>0</v>
      </c>
      <c r="BX1176" s="52">
        <f t="shared" ca="1" si="1414"/>
        <v>0</v>
      </c>
      <c r="BY1176" s="52">
        <f t="shared" ref="BY1176:CO1176" ca="1" si="1415">BY1186+BY1187</f>
        <v>0</v>
      </c>
      <c r="BZ1176" s="52">
        <f t="shared" ca="1" si="1415"/>
        <v>0</v>
      </c>
      <c r="CA1176" s="52">
        <f t="shared" ca="1" si="1415"/>
        <v>0</v>
      </c>
      <c r="CB1176" s="52">
        <f t="shared" ca="1" si="1415"/>
        <v>0</v>
      </c>
      <c r="CC1176" s="52">
        <f t="shared" ca="1" si="1415"/>
        <v>0</v>
      </c>
      <c r="CD1176" s="52">
        <f t="shared" ca="1" si="1415"/>
        <v>0</v>
      </c>
      <c r="CE1176" s="52">
        <f t="shared" ca="1" si="1415"/>
        <v>0</v>
      </c>
      <c r="CF1176" s="52">
        <f t="shared" ca="1" si="1415"/>
        <v>0</v>
      </c>
      <c r="CG1176" s="52">
        <f t="shared" ca="1" si="1415"/>
        <v>0</v>
      </c>
      <c r="CH1176" s="52">
        <f t="shared" ca="1" si="1415"/>
        <v>0</v>
      </c>
      <c r="CI1176" s="52">
        <f t="shared" ca="1" si="1415"/>
        <v>0</v>
      </c>
      <c r="CJ1176" s="52">
        <f t="shared" ca="1" si="1415"/>
        <v>0</v>
      </c>
      <c r="CK1176" s="52">
        <f t="shared" ca="1" si="1415"/>
        <v>0</v>
      </c>
      <c r="CL1176" s="52">
        <f t="shared" ca="1" si="1415"/>
        <v>0</v>
      </c>
      <c r="CM1176" s="52">
        <f t="shared" ca="1" si="1415"/>
        <v>0</v>
      </c>
      <c r="CN1176" s="52">
        <f t="shared" ca="1" si="1415"/>
        <v>0</v>
      </c>
      <c r="CO1176" s="52">
        <f t="shared" ca="1" si="1415"/>
        <v>0</v>
      </c>
    </row>
    <row r="1177" spans="1:93">
      <c r="A1177" s="10"/>
      <c r="B1177" s="10"/>
      <c r="C1177" s="17" t="s">
        <v>364</v>
      </c>
      <c r="D1177" s="10"/>
      <c r="E1177" s="10"/>
      <c r="F1177" s="10"/>
      <c r="G1177" s="134" t="str">
        <f t="shared" si="1406"/>
        <v>тыс. руб.</v>
      </c>
      <c r="H1177" s="10"/>
      <c r="I1177" s="23">
        <f ca="1">SUM(L1177:CO1177)</f>
        <v>-768987.99782235362</v>
      </c>
      <c r="J1177" s="10"/>
      <c r="K1177" s="10"/>
      <c r="L1177" s="52">
        <f ca="1">-MIN(L1199,L1173)*Flag_Operations</f>
        <v>0</v>
      </c>
      <c r="M1177" s="52">
        <f t="shared" ref="M1177:BX1177" ca="1" si="1416">-MIN(M1199,M1173)*Flag_Operations</f>
        <v>0</v>
      </c>
      <c r="N1177" s="52">
        <f t="shared" ca="1" si="1416"/>
        <v>0</v>
      </c>
      <c r="O1177" s="52">
        <f t="shared" ca="1" si="1416"/>
        <v>0</v>
      </c>
      <c r="P1177" s="52">
        <f t="shared" ca="1" si="1416"/>
        <v>0</v>
      </c>
      <c r="Q1177" s="52">
        <f t="shared" ca="1" si="1416"/>
        <v>0</v>
      </c>
      <c r="R1177" s="52">
        <f t="shared" ca="1" si="1416"/>
        <v>0</v>
      </c>
      <c r="S1177" s="52">
        <f t="shared" ca="1" si="1416"/>
        <v>0</v>
      </c>
      <c r="T1177" s="52">
        <f t="shared" ca="1" si="1416"/>
        <v>0</v>
      </c>
      <c r="U1177" s="52">
        <f t="shared" ca="1" si="1416"/>
        <v>0</v>
      </c>
      <c r="V1177" s="52">
        <f t="shared" ca="1" si="1416"/>
        <v>0</v>
      </c>
      <c r="W1177" s="52">
        <f t="shared" ca="1" si="1416"/>
        <v>0</v>
      </c>
      <c r="X1177" s="52">
        <f t="shared" ca="1" si="1416"/>
        <v>0</v>
      </c>
      <c r="Y1177" s="52">
        <f t="shared" ca="1" si="1416"/>
        <v>0</v>
      </c>
      <c r="Z1177" s="52">
        <f t="shared" ca="1" si="1416"/>
        <v>0</v>
      </c>
      <c r="AA1177" s="52">
        <f t="shared" ca="1" si="1416"/>
        <v>0</v>
      </c>
      <c r="AB1177" s="52">
        <f t="shared" ca="1" si="1416"/>
        <v>0</v>
      </c>
      <c r="AC1177" s="52">
        <f t="shared" ca="1" si="1416"/>
        <v>-67559.791083746997</v>
      </c>
      <c r="AD1177" s="52">
        <f t="shared" ca="1" si="1416"/>
        <v>-24719.593382527004</v>
      </c>
      <c r="AE1177" s="52">
        <f t="shared" ca="1" si="1416"/>
        <v>-7095.9521194758781</v>
      </c>
      <c r="AF1177" s="52">
        <f t="shared" ca="1" si="1416"/>
        <v>0</v>
      </c>
      <c r="AG1177" s="52">
        <f t="shared" ca="1" si="1416"/>
        <v>0</v>
      </c>
      <c r="AH1177" s="52">
        <f t="shared" ca="1" si="1416"/>
        <v>-13244.853375764924</v>
      </c>
      <c r="AI1177" s="52">
        <f t="shared" ca="1" si="1416"/>
        <v>-12337.513435683319</v>
      </c>
      <c r="AJ1177" s="52">
        <f t="shared" ca="1" si="1416"/>
        <v>0</v>
      </c>
      <c r="AK1177" s="52">
        <f t="shared" ca="1" si="1416"/>
        <v>0</v>
      </c>
      <c r="AL1177" s="52">
        <f t="shared" ca="1" si="1416"/>
        <v>-19497.404312105395</v>
      </c>
      <c r="AM1177" s="52">
        <f t="shared" ca="1" si="1416"/>
        <v>-18539.121443515305</v>
      </c>
      <c r="AN1177" s="52">
        <f t="shared" ca="1" si="1416"/>
        <v>-1978.5373392466572</v>
      </c>
      <c r="AO1177" s="52">
        <f t="shared" ca="1" si="1416"/>
        <v>-4237.5606341949278</v>
      </c>
      <c r="AP1177" s="52">
        <f t="shared" ca="1" si="1416"/>
        <v>-26298.018405829287</v>
      </c>
      <c r="AQ1177" s="52">
        <f t="shared" ca="1" si="1416"/>
        <v>-24736.691490862137</v>
      </c>
      <c r="AR1177" s="52">
        <f t="shared" ca="1" si="1416"/>
        <v>-5719.6747512767215</v>
      </c>
      <c r="AS1177" s="52">
        <f t="shared" ca="1" si="1416"/>
        <v>-7261.8676316873425</v>
      </c>
      <c r="AT1177" s="52">
        <f t="shared" ca="1" si="1416"/>
        <v>-77304.725036668417</v>
      </c>
      <c r="AU1177" s="52">
        <f t="shared" ca="1" si="1416"/>
        <v>-255111.04623786383</v>
      </c>
      <c r="AV1177" s="52">
        <f t="shared" ca="1" si="1416"/>
        <v>-138748.55957550346</v>
      </c>
      <c r="AW1177" s="52">
        <f t="shared" ca="1" si="1416"/>
        <v>-64597.087566401984</v>
      </c>
      <c r="AX1177" s="52">
        <f t="shared" ca="1" si="1416"/>
        <v>0</v>
      </c>
      <c r="AY1177" s="52">
        <f t="shared" ca="1" si="1416"/>
        <v>0</v>
      </c>
      <c r="AZ1177" s="52">
        <f t="shared" ca="1" si="1416"/>
        <v>0</v>
      </c>
      <c r="BA1177" s="52">
        <f t="shared" ca="1" si="1416"/>
        <v>0</v>
      </c>
      <c r="BB1177" s="52">
        <f t="shared" ca="1" si="1416"/>
        <v>0</v>
      </c>
      <c r="BC1177" s="52">
        <f t="shared" ca="1" si="1416"/>
        <v>0</v>
      </c>
      <c r="BD1177" s="52">
        <f t="shared" ca="1" si="1416"/>
        <v>0</v>
      </c>
      <c r="BE1177" s="52">
        <f t="shared" ca="1" si="1416"/>
        <v>0</v>
      </c>
      <c r="BF1177" s="52">
        <f t="shared" ca="1" si="1416"/>
        <v>0</v>
      </c>
      <c r="BG1177" s="52">
        <f t="shared" ca="1" si="1416"/>
        <v>0</v>
      </c>
      <c r="BH1177" s="52">
        <f t="shared" ca="1" si="1416"/>
        <v>0</v>
      </c>
      <c r="BI1177" s="52">
        <f t="shared" ca="1" si="1416"/>
        <v>0</v>
      </c>
      <c r="BJ1177" s="52">
        <f t="shared" ca="1" si="1416"/>
        <v>0</v>
      </c>
      <c r="BK1177" s="52">
        <f t="shared" ca="1" si="1416"/>
        <v>0</v>
      </c>
      <c r="BL1177" s="52">
        <f t="shared" ca="1" si="1416"/>
        <v>0</v>
      </c>
      <c r="BM1177" s="52">
        <f t="shared" ca="1" si="1416"/>
        <v>0</v>
      </c>
      <c r="BN1177" s="52">
        <f t="shared" ca="1" si="1416"/>
        <v>0</v>
      </c>
      <c r="BO1177" s="52">
        <f t="shared" ca="1" si="1416"/>
        <v>0</v>
      </c>
      <c r="BP1177" s="52">
        <f t="shared" ca="1" si="1416"/>
        <v>0</v>
      </c>
      <c r="BQ1177" s="52">
        <f t="shared" ca="1" si="1416"/>
        <v>0</v>
      </c>
      <c r="BR1177" s="52">
        <f t="shared" ca="1" si="1416"/>
        <v>0</v>
      </c>
      <c r="BS1177" s="52">
        <f t="shared" ca="1" si="1416"/>
        <v>0</v>
      </c>
      <c r="BT1177" s="52">
        <f t="shared" ca="1" si="1416"/>
        <v>0</v>
      </c>
      <c r="BU1177" s="52">
        <f t="shared" ca="1" si="1416"/>
        <v>0</v>
      </c>
      <c r="BV1177" s="52">
        <f t="shared" ca="1" si="1416"/>
        <v>0</v>
      </c>
      <c r="BW1177" s="52">
        <f t="shared" ca="1" si="1416"/>
        <v>0</v>
      </c>
      <c r="BX1177" s="52">
        <f t="shared" ca="1" si="1416"/>
        <v>0</v>
      </c>
      <c r="BY1177" s="52">
        <f t="shared" ref="BY1177:CO1177" ca="1" si="1417">-MIN(BY1199,BY1173)*Flag_Operations</f>
        <v>0</v>
      </c>
      <c r="BZ1177" s="52">
        <f t="shared" ca="1" si="1417"/>
        <v>0</v>
      </c>
      <c r="CA1177" s="52">
        <f t="shared" ca="1" si="1417"/>
        <v>0</v>
      </c>
      <c r="CB1177" s="52">
        <f t="shared" ca="1" si="1417"/>
        <v>0</v>
      </c>
      <c r="CC1177" s="52">
        <f t="shared" ca="1" si="1417"/>
        <v>0</v>
      </c>
      <c r="CD1177" s="52">
        <f t="shared" ca="1" si="1417"/>
        <v>0</v>
      </c>
      <c r="CE1177" s="52">
        <f t="shared" ca="1" si="1417"/>
        <v>0</v>
      </c>
      <c r="CF1177" s="52">
        <f t="shared" ca="1" si="1417"/>
        <v>0</v>
      </c>
      <c r="CG1177" s="52">
        <f t="shared" ca="1" si="1417"/>
        <v>0</v>
      </c>
      <c r="CH1177" s="52">
        <f t="shared" ca="1" si="1417"/>
        <v>0</v>
      </c>
      <c r="CI1177" s="52">
        <f t="shared" ca="1" si="1417"/>
        <v>0</v>
      </c>
      <c r="CJ1177" s="52">
        <f t="shared" ca="1" si="1417"/>
        <v>0</v>
      </c>
      <c r="CK1177" s="52">
        <f t="shared" ca="1" si="1417"/>
        <v>0</v>
      </c>
      <c r="CL1177" s="52">
        <f t="shared" ca="1" si="1417"/>
        <v>0</v>
      </c>
      <c r="CM1177" s="52">
        <f t="shared" ca="1" si="1417"/>
        <v>0</v>
      </c>
      <c r="CN1177" s="52">
        <f t="shared" ca="1" si="1417"/>
        <v>0</v>
      </c>
      <c r="CO1177" s="52">
        <f t="shared" ca="1" si="1417"/>
        <v>0</v>
      </c>
    </row>
    <row r="1178" spans="1:93">
      <c r="A1178" s="10"/>
      <c r="B1178" s="10"/>
      <c r="C1178" s="17" t="s">
        <v>203</v>
      </c>
      <c r="D1178" s="10"/>
      <c r="E1178" s="10"/>
      <c r="F1178" s="10"/>
      <c r="G1178" s="134" t="str">
        <f t="shared" si="1406"/>
        <v>тыс. руб.</v>
      </c>
      <c r="H1178" s="10"/>
      <c r="I1178" s="10"/>
      <c r="J1178" s="10"/>
      <c r="K1178" s="10"/>
      <c r="L1178" s="52">
        <f ca="1">SUM(L1173:L1177)</f>
        <v>10377.678322579664</v>
      </c>
      <c r="M1178" s="52">
        <f t="shared" ref="M1178:BX1178" ca="1" si="1418">SUM(M1173:M1177)</f>
        <v>21448.953378042923</v>
      </c>
      <c r="N1178" s="52">
        <f t="shared" ca="1" si="1418"/>
        <v>33264.65456065342</v>
      </c>
      <c r="O1178" s="52">
        <f t="shared" ca="1" si="1418"/>
        <v>45857.385342756948</v>
      </c>
      <c r="P1178" s="52">
        <f t="shared" ca="1" si="1418"/>
        <v>138162.38987482365</v>
      </c>
      <c r="Q1178" s="52">
        <f t="shared" ca="1" si="1418"/>
        <v>235080.91577775072</v>
      </c>
      <c r="R1178" s="52">
        <f t="shared" ca="1" si="1418"/>
        <v>336889.118916885</v>
      </c>
      <c r="S1178" s="52">
        <f t="shared" ca="1" si="1418"/>
        <v>443712.86353479093</v>
      </c>
      <c r="T1178" s="52">
        <f t="shared" ca="1" si="1418"/>
        <v>524585.18369323632</v>
      </c>
      <c r="U1178" s="52">
        <f t="shared" ca="1" si="1418"/>
        <v>544316.68262851553</v>
      </c>
      <c r="V1178" s="52">
        <f t="shared" ca="1" si="1418"/>
        <v>566197.68468974764</v>
      </c>
      <c r="W1178" s="52">
        <f t="shared" ca="1" si="1418"/>
        <v>590096.54460569553</v>
      </c>
      <c r="X1178" s="52">
        <f t="shared" ca="1" si="1418"/>
        <v>616356.25600235036</v>
      </c>
      <c r="Y1178" s="52">
        <f t="shared" ca="1" si="1418"/>
        <v>645949.38919461181</v>
      </c>
      <c r="Z1178" s="52">
        <f t="shared" ca="1" si="1418"/>
        <v>679377.40524580923</v>
      </c>
      <c r="AA1178" s="52">
        <f t="shared" ca="1" si="1418"/>
        <v>716468.27772466175</v>
      </c>
      <c r="AB1178" s="52">
        <f t="shared" ca="1" si="1418"/>
        <v>757552.54676788498</v>
      </c>
      <c r="AC1178" s="52">
        <f t="shared" ca="1" si="1418"/>
        <v>689992.75568413804</v>
      </c>
      <c r="AD1178" s="52">
        <f t="shared" ca="1" si="1418"/>
        <v>665273.16230161104</v>
      </c>
      <c r="AE1178" s="52">
        <f t="shared" ca="1" si="1418"/>
        <v>658177.21018213511</v>
      </c>
      <c r="AF1178" s="52">
        <f t="shared" ca="1" si="1418"/>
        <v>663483.3288283943</v>
      </c>
      <c r="AG1178" s="52">
        <f t="shared" ca="1" si="1418"/>
        <v>667286.37653550995</v>
      </c>
      <c r="AH1178" s="52">
        <f t="shared" ca="1" si="1418"/>
        <v>654041.52315974503</v>
      </c>
      <c r="AI1178" s="52">
        <f t="shared" ca="1" si="1418"/>
        <v>641704.0097240617</v>
      </c>
      <c r="AJ1178" s="52">
        <f t="shared" ca="1" si="1418"/>
        <v>643782.29293741449</v>
      </c>
      <c r="AK1178" s="52">
        <f t="shared" ca="1" si="1418"/>
        <v>644030.2944251555</v>
      </c>
      <c r="AL1178" s="52">
        <f t="shared" ca="1" si="1418"/>
        <v>624532.89011305012</v>
      </c>
      <c r="AM1178" s="52">
        <f t="shared" ca="1" si="1418"/>
        <v>605993.76866953482</v>
      </c>
      <c r="AN1178" s="52">
        <f t="shared" ca="1" si="1418"/>
        <v>604015.23133028811</v>
      </c>
      <c r="AO1178" s="52">
        <f t="shared" ca="1" si="1418"/>
        <v>599777.67069609324</v>
      </c>
      <c r="AP1178" s="52">
        <f t="shared" ca="1" si="1418"/>
        <v>573479.65229026391</v>
      </c>
      <c r="AQ1178" s="52">
        <f t="shared" ca="1" si="1418"/>
        <v>548742.96079940174</v>
      </c>
      <c r="AR1178" s="52">
        <f t="shared" ca="1" si="1418"/>
        <v>543023.28604812501</v>
      </c>
      <c r="AS1178" s="52">
        <f t="shared" ca="1" si="1418"/>
        <v>535761.41841643769</v>
      </c>
      <c r="AT1178" s="52">
        <f t="shared" ca="1" si="1418"/>
        <v>458456.69337976928</v>
      </c>
      <c r="AU1178" s="52">
        <f t="shared" ca="1" si="1418"/>
        <v>203345.64714190544</v>
      </c>
      <c r="AV1178" s="52">
        <f t="shared" ca="1" si="1418"/>
        <v>64597.087566401984</v>
      </c>
      <c r="AW1178" s="52">
        <f t="shared" ca="1" si="1418"/>
        <v>0</v>
      </c>
      <c r="AX1178" s="52">
        <f t="shared" ca="1" si="1418"/>
        <v>0</v>
      </c>
      <c r="AY1178" s="52">
        <f t="shared" ca="1" si="1418"/>
        <v>0</v>
      </c>
      <c r="AZ1178" s="52">
        <f t="shared" ca="1" si="1418"/>
        <v>0</v>
      </c>
      <c r="BA1178" s="52">
        <f t="shared" ca="1" si="1418"/>
        <v>0</v>
      </c>
      <c r="BB1178" s="52">
        <f t="shared" ca="1" si="1418"/>
        <v>0</v>
      </c>
      <c r="BC1178" s="52">
        <f t="shared" ca="1" si="1418"/>
        <v>0</v>
      </c>
      <c r="BD1178" s="52">
        <f t="shared" ca="1" si="1418"/>
        <v>0</v>
      </c>
      <c r="BE1178" s="52">
        <f t="shared" ca="1" si="1418"/>
        <v>0</v>
      </c>
      <c r="BF1178" s="52">
        <f t="shared" ca="1" si="1418"/>
        <v>0</v>
      </c>
      <c r="BG1178" s="52">
        <f t="shared" ca="1" si="1418"/>
        <v>0</v>
      </c>
      <c r="BH1178" s="52">
        <f t="shared" ca="1" si="1418"/>
        <v>0</v>
      </c>
      <c r="BI1178" s="52">
        <f t="shared" ca="1" si="1418"/>
        <v>0</v>
      </c>
      <c r="BJ1178" s="52">
        <f t="shared" ca="1" si="1418"/>
        <v>0</v>
      </c>
      <c r="BK1178" s="52">
        <f t="shared" ca="1" si="1418"/>
        <v>0</v>
      </c>
      <c r="BL1178" s="52">
        <f t="shared" ca="1" si="1418"/>
        <v>0</v>
      </c>
      <c r="BM1178" s="52">
        <f t="shared" ca="1" si="1418"/>
        <v>0</v>
      </c>
      <c r="BN1178" s="52">
        <f t="shared" ca="1" si="1418"/>
        <v>0</v>
      </c>
      <c r="BO1178" s="52">
        <f t="shared" ca="1" si="1418"/>
        <v>0</v>
      </c>
      <c r="BP1178" s="52">
        <f t="shared" ca="1" si="1418"/>
        <v>0</v>
      </c>
      <c r="BQ1178" s="52">
        <f t="shared" ca="1" si="1418"/>
        <v>0</v>
      </c>
      <c r="BR1178" s="52">
        <f t="shared" ca="1" si="1418"/>
        <v>0</v>
      </c>
      <c r="BS1178" s="52">
        <f t="shared" ca="1" si="1418"/>
        <v>0</v>
      </c>
      <c r="BT1178" s="52">
        <f t="shared" ca="1" si="1418"/>
        <v>0</v>
      </c>
      <c r="BU1178" s="52">
        <f t="shared" ca="1" si="1418"/>
        <v>0</v>
      </c>
      <c r="BV1178" s="52">
        <f t="shared" ca="1" si="1418"/>
        <v>0</v>
      </c>
      <c r="BW1178" s="52">
        <f t="shared" ca="1" si="1418"/>
        <v>0</v>
      </c>
      <c r="BX1178" s="52">
        <f t="shared" ca="1" si="1418"/>
        <v>0</v>
      </c>
      <c r="BY1178" s="52">
        <f t="shared" ref="BY1178:CO1178" ca="1" si="1419">SUM(BY1173:BY1177)</f>
        <v>0</v>
      </c>
      <c r="BZ1178" s="52">
        <f t="shared" ca="1" si="1419"/>
        <v>0</v>
      </c>
      <c r="CA1178" s="52">
        <f t="shared" ca="1" si="1419"/>
        <v>0</v>
      </c>
      <c r="CB1178" s="52">
        <f t="shared" ca="1" si="1419"/>
        <v>0</v>
      </c>
      <c r="CC1178" s="52">
        <f t="shared" ca="1" si="1419"/>
        <v>0</v>
      </c>
      <c r="CD1178" s="52">
        <f t="shared" ca="1" si="1419"/>
        <v>0</v>
      </c>
      <c r="CE1178" s="52">
        <f t="shared" ca="1" si="1419"/>
        <v>0</v>
      </c>
      <c r="CF1178" s="52">
        <f t="shared" ca="1" si="1419"/>
        <v>0</v>
      </c>
      <c r="CG1178" s="52">
        <f t="shared" ca="1" si="1419"/>
        <v>0</v>
      </c>
      <c r="CH1178" s="52">
        <f t="shared" ca="1" si="1419"/>
        <v>0</v>
      </c>
      <c r="CI1178" s="52">
        <f t="shared" ca="1" si="1419"/>
        <v>0</v>
      </c>
      <c r="CJ1178" s="52">
        <f t="shared" ca="1" si="1419"/>
        <v>0</v>
      </c>
      <c r="CK1178" s="52">
        <f t="shared" ca="1" si="1419"/>
        <v>0</v>
      </c>
      <c r="CL1178" s="52">
        <f t="shared" ca="1" si="1419"/>
        <v>0</v>
      </c>
      <c r="CM1178" s="52">
        <f t="shared" ca="1" si="1419"/>
        <v>0</v>
      </c>
      <c r="CN1178" s="52">
        <f t="shared" ca="1" si="1419"/>
        <v>0</v>
      </c>
      <c r="CO1178" s="52">
        <f t="shared" ca="1" si="1419"/>
        <v>0</v>
      </c>
    </row>
    <row r="1179" spans="1:93">
      <c r="A1179" s="10"/>
      <c r="B1179" s="10"/>
      <c r="C1179" s="17"/>
      <c r="D1179" s="10"/>
      <c r="E1179" s="10"/>
      <c r="F1179" s="10"/>
      <c r="G1179" s="11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0"/>
      <c r="AH1179" s="10"/>
      <c r="AI1179" s="10"/>
      <c r="AJ1179" s="10"/>
      <c r="AK1179" s="10"/>
      <c r="AL1179" s="10"/>
      <c r="AM1179" s="10"/>
      <c r="AN1179" s="10"/>
      <c r="AO1179" s="10"/>
      <c r="AP1179" s="10"/>
      <c r="AQ1179" s="10"/>
      <c r="AR1179" s="10"/>
      <c r="AS1179" s="10"/>
      <c r="AT1179" s="10"/>
      <c r="AU1179" s="10"/>
      <c r="AV1179" s="10"/>
      <c r="AW1179" s="10"/>
      <c r="AX1179" s="10"/>
      <c r="AY1179" s="10"/>
      <c r="AZ1179" s="10"/>
      <c r="BA1179" s="10"/>
      <c r="BB1179" s="10"/>
      <c r="BC1179" s="10"/>
      <c r="BD1179" s="10"/>
      <c r="BE1179" s="10"/>
      <c r="BF1179" s="10"/>
      <c r="BG1179" s="10"/>
      <c r="BH1179" s="10"/>
      <c r="BI1179" s="10"/>
      <c r="BJ1179" s="10"/>
      <c r="BK1179" s="10"/>
      <c r="BL1179" s="10"/>
      <c r="BM1179" s="10"/>
      <c r="BN1179" s="10"/>
      <c r="BO1179" s="10"/>
      <c r="BP1179" s="10"/>
      <c r="BQ1179" s="10"/>
      <c r="BR1179" s="10"/>
      <c r="BS1179" s="10"/>
      <c r="BT1179" s="10"/>
      <c r="BU1179" s="10"/>
      <c r="BV1179" s="10"/>
      <c r="BW1179" s="10"/>
      <c r="BX1179" s="10"/>
      <c r="BY1179" s="10"/>
      <c r="BZ1179" s="10"/>
      <c r="CA1179" s="10"/>
      <c r="CB1179" s="10"/>
      <c r="CC1179" s="10"/>
      <c r="CD1179" s="10"/>
      <c r="CE1179" s="10"/>
      <c r="CF1179" s="10"/>
      <c r="CG1179" s="10"/>
      <c r="CH1179" s="10"/>
      <c r="CI1179" s="10"/>
      <c r="CJ1179" s="10"/>
      <c r="CK1179" s="10"/>
      <c r="CL1179" s="10"/>
      <c r="CM1179" s="10"/>
      <c r="CN1179" s="10"/>
      <c r="CO1179" s="10"/>
    </row>
    <row r="1180" spans="1:93">
      <c r="A1180" s="10"/>
      <c r="B1180" s="10"/>
      <c r="C1180" s="17" t="s">
        <v>365</v>
      </c>
      <c r="D1180" s="10"/>
      <c r="E1180" s="10"/>
      <c r="F1180" s="10"/>
      <c r="G1180" s="134" t="str">
        <f>Monetary_Unit</f>
        <v>тыс. руб.</v>
      </c>
      <c r="H1180" s="10"/>
      <c r="I1180" s="23">
        <f ca="1">SUM(L1180:CO1180)</f>
        <v>533689.28402014542</v>
      </c>
      <c r="J1180" s="10"/>
      <c r="K1180" s="10"/>
      <c r="L1180" s="52">
        <f ca="1">SUM(L1174:L1175)</f>
        <v>10115.776706480377</v>
      </c>
      <c r="M1180" s="52">
        <f t="shared" ref="M1180:BX1180" ca="1" si="1420">SUM(M1174:M1175)</f>
        <v>10259.369017900153</v>
      </c>
      <c r="N1180" s="52">
        <f t="shared" ca="1" si="1420"/>
        <v>10404.999606013567</v>
      </c>
      <c r="O1180" s="52">
        <f t="shared" ca="1" si="1420"/>
        <v>10552.697403928796</v>
      </c>
      <c r="P1180" s="52">
        <f t="shared" ca="1" si="1420"/>
        <v>88745.245312382176</v>
      </c>
      <c r="Q1180" s="52">
        <f t="shared" ca="1" si="1420"/>
        <v>89619.688293733067</v>
      </c>
      <c r="R1180" s="52">
        <f t="shared" ca="1" si="1420"/>
        <v>90502.747517283089</v>
      </c>
      <c r="S1180" s="52">
        <f t="shared" ca="1" si="1420"/>
        <v>91394.507882369522</v>
      </c>
      <c r="T1180" s="52">
        <f t="shared" ca="1" si="1420"/>
        <v>65019.970533948253</v>
      </c>
      <c r="U1180" s="52">
        <f t="shared" ca="1" si="1420"/>
        <v>2040.9091648234303</v>
      </c>
      <c r="V1180" s="52">
        <f t="shared" ca="1" si="1420"/>
        <v>3303.1237146186231</v>
      </c>
      <c r="W1180" s="52">
        <f t="shared" ca="1" si="1420"/>
        <v>4555.1268162881161</v>
      </c>
      <c r="X1180" s="52">
        <f t="shared" ca="1" si="1420"/>
        <v>6346.274130728716</v>
      </c>
      <c r="Y1180" s="52">
        <f t="shared" ca="1" si="1420"/>
        <v>8757.8014964128106</v>
      </c>
      <c r="Z1180" s="52">
        <f t="shared" ca="1" si="1420"/>
        <v>11316.091617477097</v>
      </c>
      <c r="AA1180" s="52">
        <f t="shared" ca="1" si="1420"/>
        <v>13802.401746613647</v>
      </c>
      <c r="AB1180" s="52">
        <f t="shared" ca="1" si="1420"/>
        <v>16952.553059143986</v>
      </c>
      <c r="AC1180" s="52">
        <f t="shared" ca="1" si="1420"/>
        <v>0</v>
      </c>
      <c r="AD1180" s="52">
        <f t="shared" ca="1" si="1420"/>
        <v>0</v>
      </c>
      <c r="AE1180" s="52">
        <f t="shared" ca="1" si="1420"/>
        <v>0</v>
      </c>
      <c r="AF1180" s="52">
        <f t="shared" ca="1" si="1420"/>
        <v>0</v>
      </c>
      <c r="AG1180" s="52">
        <f t="shared" ca="1" si="1420"/>
        <v>0</v>
      </c>
      <c r="AH1180" s="52">
        <f t="shared" ca="1" si="1420"/>
        <v>0</v>
      </c>
      <c r="AI1180" s="52">
        <f t="shared" ca="1" si="1420"/>
        <v>0</v>
      </c>
      <c r="AJ1180" s="52">
        <f t="shared" ca="1" si="1420"/>
        <v>0</v>
      </c>
      <c r="AK1180" s="52">
        <f t="shared" ca="1" si="1420"/>
        <v>0</v>
      </c>
      <c r="AL1180" s="52">
        <f t="shared" ca="1" si="1420"/>
        <v>0</v>
      </c>
      <c r="AM1180" s="52">
        <f t="shared" ca="1" si="1420"/>
        <v>0</v>
      </c>
      <c r="AN1180" s="52">
        <f t="shared" ca="1" si="1420"/>
        <v>0</v>
      </c>
      <c r="AO1180" s="52">
        <f t="shared" ca="1" si="1420"/>
        <v>0</v>
      </c>
      <c r="AP1180" s="52">
        <f t="shared" ca="1" si="1420"/>
        <v>0</v>
      </c>
      <c r="AQ1180" s="52">
        <f t="shared" ca="1" si="1420"/>
        <v>0</v>
      </c>
      <c r="AR1180" s="52">
        <f t="shared" ca="1" si="1420"/>
        <v>0</v>
      </c>
      <c r="AS1180" s="52">
        <f t="shared" ca="1" si="1420"/>
        <v>0</v>
      </c>
      <c r="AT1180" s="52">
        <f t="shared" ca="1" si="1420"/>
        <v>0</v>
      </c>
      <c r="AU1180" s="52">
        <f t="shared" ca="1" si="1420"/>
        <v>0</v>
      </c>
      <c r="AV1180" s="52">
        <f t="shared" ca="1" si="1420"/>
        <v>0</v>
      </c>
      <c r="AW1180" s="52">
        <f t="shared" ca="1" si="1420"/>
        <v>0</v>
      </c>
      <c r="AX1180" s="52">
        <f t="shared" ca="1" si="1420"/>
        <v>0</v>
      </c>
      <c r="AY1180" s="52">
        <f t="shared" ca="1" si="1420"/>
        <v>0</v>
      </c>
      <c r="AZ1180" s="52">
        <f t="shared" ca="1" si="1420"/>
        <v>0</v>
      </c>
      <c r="BA1180" s="52">
        <f t="shared" ca="1" si="1420"/>
        <v>0</v>
      </c>
      <c r="BB1180" s="52">
        <f t="shared" ca="1" si="1420"/>
        <v>0</v>
      </c>
      <c r="BC1180" s="52">
        <f t="shared" ca="1" si="1420"/>
        <v>0</v>
      </c>
      <c r="BD1180" s="52">
        <f t="shared" ca="1" si="1420"/>
        <v>0</v>
      </c>
      <c r="BE1180" s="52">
        <f t="shared" ca="1" si="1420"/>
        <v>0</v>
      </c>
      <c r="BF1180" s="52">
        <f t="shared" ca="1" si="1420"/>
        <v>0</v>
      </c>
      <c r="BG1180" s="52">
        <f t="shared" ca="1" si="1420"/>
        <v>0</v>
      </c>
      <c r="BH1180" s="52">
        <f t="shared" ca="1" si="1420"/>
        <v>0</v>
      </c>
      <c r="BI1180" s="52">
        <f t="shared" ca="1" si="1420"/>
        <v>0</v>
      </c>
      <c r="BJ1180" s="52">
        <f t="shared" ca="1" si="1420"/>
        <v>0</v>
      </c>
      <c r="BK1180" s="52">
        <f t="shared" ca="1" si="1420"/>
        <v>0</v>
      </c>
      <c r="BL1180" s="52">
        <f t="shared" ca="1" si="1420"/>
        <v>0</v>
      </c>
      <c r="BM1180" s="52">
        <f t="shared" ca="1" si="1420"/>
        <v>0</v>
      </c>
      <c r="BN1180" s="52">
        <f t="shared" ca="1" si="1420"/>
        <v>0</v>
      </c>
      <c r="BO1180" s="52">
        <f t="shared" ca="1" si="1420"/>
        <v>0</v>
      </c>
      <c r="BP1180" s="52">
        <f t="shared" ca="1" si="1420"/>
        <v>0</v>
      </c>
      <c r="BQ1180" s="52">
        <f t="shared" ca="1" si="1420"/>
        <v>0</v>
      </c>
      <c r="BR1180" s="52">
        <f t="shared" ca="1" si="1420"/>
        <v>0</v>
      </c>
      <c r="BS1180" s="52">
        <f t="shared" ca="1" si="1420"/>
        <v>0</v>
      </c>
      <c r="BT1180" s="52">
        <f t="shared" ca="1" si="1420"/>
        <v>0</v>
      </c>
      <c r="BU1180" s="52">
        <f t="shared" ca="1" si="1420"/>
        <v>0</v>
      </c>
      <c r="BV1180" s="52">
        <f t="shared" ca="1" si="1420"/>
        <v>0</v>
      </c>
      <c r="BW1180" s="52">
        <f t="shared" ca="1" si="1420"/>
        <v>0</v>
      </c>
      <c r="BX1180" s="52">
        <f t="shared" ca="1" si="1420"/>
        <v>0</v>
      </c>
      <c r="BY1180" s="52">
        <f t="shared" ref="BY1180:CO1180" ca="1" si="1421">SUM(BY1174:BY1175)</f>
        <v>0</v>
      </c>
      <c r="BZ1180" s="52">
        <f t="shared" ca="1" si="1421"/>
        <v>0</v>
      </c>
      <c r="CA1180" s="52">
        <f t="shared" ca="1" si="1421"/>
        <v>0</v>
      </c>
      <c r="CB1180" s="52">
        <f t="shared" ca="1" si="1421"/>
        <v>0</v>
      </c>
      <c r="CC1180" s="52">
        <f t="shared" ca="1" si="1421"/>
        <v>0</v>
      </c>
      <c r="CD1180" s="52">
        <f t="shared" ca="1" si="1421"/>
        <v>0</v>
      </c>
      <c r="CE1180" s="52">
        <f t="shared" ca="1" si="1421"/>
        <v>0</v>
      </c>
      <c r="CF1180" s="52">
        <f t="shared" ca="1" si="1421"/>
        <v>0</v>
      </c>
      <c r="CG1180" s="52">
        <f t="shared" ca="1" si="1421"/>
        <v>0</v>
      </c>
      <c r="CH1180" s="52">
        <f t="shared" ca="1" si="1421"/>
        <v>0</v>
      </c>
      <c r="CI1180" s="52">
        <f t="shared" ca="1" si="1421"/>
        <v>0</v>
      </c>
      <c r="CJ1180" s="52">
        <f t="shared" ca="1" si="1421"/>
        <v>0</v>
      </c>
      <c r="CK1180" s="52">
        <f t="shared" ca="1" si="1421"/>
        <v>0</v>
      </c>
      <c r="CL1180" s="52">
        <f t="shared" ca="1" si="1421"/>
        <v>0</v>
      </c>
      <c r="CM1180" s="52">
        <f t="shared" ca="1" si="1421"/>
        <v>0</v>
      </c>
      <c r="CN1180" s="52">
        <f t="shared" ca="1" si="1421"/>
        <v>0</v>
      </c>
      <c r="CO1180" s="52">
        <f t="shared" ca="1" si="1421"/>
        <v>0</v>
      </c>
    </row>
    <row r="1181" spans="1:93">
      <c r="A1181" s="10"/>
      <c r="B1181" s="10"/>
      <c r="C1181" s="17"/>
      <c r="D1181" s="10"/>
      <c r="E1181" s="10"/>
      <c r="F1181" s="10"/>
      <c r="G1181" s="11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0"/>
      <c r="AH1181" s="10"/>
      <c r="AI1181" s="10"/>
      <c r="AJ1181" s="10"/>
      <c r="AK1181" s="10"/>
      <c r="AL1181" s="10"/>
      <c r="AM1181" s="10"/>
      <c r="AN1181" s="10"/>
      <c r="AO1181" s="10"/>
      <c r="AP1181" s="10"/>
      <c r="AQ1181" s="10"/>
      <c r="AR1181" s="10"/>
      <c r="AS1181" s="10"/>
      <c r="AT1181" s="10"/>
      <c r="AU1181" s="10"/>
      <c r="AV1181" s="10"/>
      <c r="AW1181" s="10"/>
      <c r="AX1181" s="10"/>
      <c r="AY1181" s="10"/>
      <c r="AZ1181" s="10"/>
      <c r="BA1181" s="10"/>
      <c r="BB1181" s="10"/>
      <c r="BC1181" s="10"/>
      <c r="BD1181" s="10"/>
      <c r="BE1181" s="10"/>
      <c r="BF1181" s="10"/>
      <c r="BG1181" s="10"/>
      <c r="BH1181" s="10"/>
      <c r="BI1181" s="10"/>
      <c r="BJ1181" s="10"/>
      <c r="BK1181" s="10"/>
      <c r="BL1181" s="10"/>
      <c r="BM1181" s="10"/>
      <c r="BN1181" s="10"/>
      <c r="BO1181" s="10"/>
      <c r="BP1181" s="10"/>
      <c r="BQ1181" s="10"/>
      <c r="BR1181" s="10"/>
      <c r="BS1181" s="10"/>
      <c r="BT1181" s="10"/>
      <c r="BU1181" s="10"/>
      <c r="BV1181" s="10"/>
      <c r="BW1181" s="10"/>
      <c r="BX1181" s="10"/>
      <c r="BY1181" s="10"/>
      <c r="BZ1181" s="10"/>
      <c r="CA1181" s="10"/>
      <c r="CB1181" s="10"/>
      <c r="CC1181" s="10"/>
      <c r="CD1181" s="10"/>
      <c r="CE1181" s="10"/>
      <c r="CF1181" s="10"/>
      <c r="CG1181" s="10"/>
      <c r="CH1181" s="10"/>
      <c r="CI1181" s="10"/>
      <c r="CJ1181" s="10"/>
      <c r="CK1181" s="10"/>
      <c r="CL1181" s="10"/>
      <c r="CM1181" s="10"/>
      <c r="CN1181" s="10"/>
      <c r="CO1181" s="10"/>
    </row>
    <row r="1182" spans="1:93">
      <c r="A1182" s="10"/>
      <c r="B1182" s="10"/>
      <c r="C1182" s="17" t="s">
        <v>1434</v>
      </c>
      <c r="D1182" s="10"/>
      <c r="E1182" s="178">
        <f xml:space="preserve"> Предпосылки!E577 + Debt_rate_sens</f>
        <v>0.05</v>
      </c>
      <c r="F1182" s="10"/>
      <c r="G1182" s="11" t="s">
        <v>28</v>
      </c>
      <c r="H1182" s="10"/>
      <c r="I1182" s="10"/>
      <c r="J1182" s="10"/>
      <c r="K1182" s="10"/>
      <c r="L1182" s="58"/>
      <c r="M1182" s="58"/>
      <c r="N1182" s="58"/>
      <c r="O1182" s="58"/>
      <c r="P1182" s="58"/>
      <c r="Q1182" s="58"/>
      <c r="R1182" s="58"/>
      <c r="S1182" s="58"/>
      <c r="T1182" s="58"/>
      <c r="U1182" s="58"/>
      <c r="V1182" s="58"/>
      <c r="W1182" s="58"/>
      <c r="X1182" s="58"/>
      <c r="Y1182" s="58"/>
      <c r="Z1182" s="58"/>
      <c r="AA1182" s="58"/>
      <c r="AB1182" s="58"/>
      <c r="AC1182" s="58"/>
      <c r="AD1182" s="58"/>
      <c r="AE1182" s="58"/>
      <c r="AF1182" s="58"/>
      <c r="AG1182" s="58"/>
      <c r="AH1182" s="58"/>
      <c r="AI1182" s="58"/>
      <c r="AJ1182" s="58"/>
      <c r="AK1182" s="58"/>
      <c r="AL1182" s="58"/>
      <c r="AM1182" s="58"/>
      <c r="AN1182" s="58"/>
      <c r="AO1182" s="58"/>
      <c r="AP1182" s="58"/>
      <c r="AQ1182" s="58"/>
      <c r="AR1182" s="58"/>
      <c r="AS1182" s="58"/>
      <c r="AT1182" s="58"/>
      <c r="AU1182" s="58"/>
      <c r="AV1182" s="58"/>
      <c r="AW1182" s="58"/>
      <c r="AX1182" s="58"/>
      <c r="AY1182" s="58"/>
      <c r="AZ1182" s="58"/>
      <c r="BA1182" s="58"/>
      <c r="BB1182" s="58"/>
      <c r="BC1182" s="58"/>
      <c r="BD1182" s="58"/>
      <c r="BE1182" s="58"/>
      <c r="BF1182" s="58"/>
      <c r="BG1182" s="58"/>
      <c r="BH1182" s="58"/>
      <c r="BI1182" s="58"/>
      <c r="BJ1182" s="58"/>
      <c r="BK1182" s="58"/>
      <c r="BL1182" s="58"/>
      <c r="BM1182" s="58"/>
      <c r="BN1182" s="58"/>
      <c r="BO1182" s="58"/>
      <c r="BP1182" s="58"/>
      <c r="BQ1182" s="58"/>
      <c r="BR1182" s="58"/>
      <c r="BS1182" s="58"/>
      <c r="BT1182" s="58"/>
      <c r="BU1182" s="58"/>
      <c r="BV1182" s="58"/>
      <c r="BW1182" s="58"/>
      <c r="BX1182" s="58"/>
      <c r="BY1182" s="58"/>
      <c r="BZ1182" s="58"/>
      <c r="CA1182" s="58"/>
      <c r="CB1182" s="58"/>
      <c r="CC1182" s="58"/>
      <c r="CD1182" s="58"/>
      <c r="CE1182" s="58"/>
      <c r="CF1182" s="58"/>
      <c r="CG1182" s="58"/>
      <c r="CH1182" s="58"/>
      <c r="CI1182" s="58"/>
      <c r="CJ1182" s="58"/>
      <c r="CK1182" s="58"/>
      <c r="CL1182" s="58"/>
      <c r="CM1182" s="58"/>
      <c r="CN1182" s="58"/>
      <c r="CO1182" s="58"/>
    </row>
    <row r="1183" spans="1:93">
      <c r="A1183" s="10"/>
      <c r="B1183" s="10"/>
      <c r="C1183" s="17" t="s">
        <v>181</v>
      </c>
      <c r="D1183" s="10"/>
      <c r="E1183" s="10"/>
      <c r="F1183" s="10"/>
      <c r="G1183" s="11" t="s">
        <v>28</v>
      </c>
      <c r="H1183" s="10"/>
      <c r="I1183" s="10"/>
      <c r="J1183" s="10"/>
      <c r="K1183" s="10"/>
      <c r="L1183" s="58">
        <f t="shared" ref="L1183:AQ1183" si="1422" xml:space="preserve"> $E1182 * Period_length+Key_rate</f>
        <v>5.1780821917808216E-2</v>
      </c>
      <c r="M1183" s="58">
        <f t="shared" si="1422"/>
        <v>5.2356164383561644E-2</v>
      </c>
      <c r="N1183" s="58">
        <f t="shared" si="1422"/>
        <v>5.2931506849315073E-2</v>
      </c>
      <c r="O1183" s="58">
        <f t="shared" si="1422"/>
        <v>5.2931506849315073E-2</v>
      </c>
      <c r="P1183" s="58">
        <f t="shared" si="1422"/>
        <v>3.9452054794520547E-2</v>
      </c>
      <c r="Q1183" s="58">
        <f t="shared" si="1422"/>
        <v>3.989041095890411E-2</v>
      </c>
      <c r="R1183" s="58">
        <f t="shared" si="1422"/>
        <v>4.0328767123287673E-2</v>
      </c>
      <c r="S1183" s="58">
        <f t="shared" si="1422"/>
        <v>4.0328767123287673E-2</v>
      </c>
      <c r="T1183" s="58">
        <f t="shared" si="1422"/>
        <v>3.3287671232876716E-2</v>
      </c>
      <c r="U1183" s="58">
        <f t="shared" si="1422"/>
        <v>3.3657534246575346E-2</v>
      </c>
      <c r="V1183" s="58">
        <f t="shared" si="1422"/>
        <v>3.4027397260273977E-2</v>
      </c>
      <c r="W1183" s="58">
        <f t="shared" si="1422"/>
        <v>3.4027397260273977E-2</v>
      </c>
      <c r="X1183" s="58">
        <f t="shared" si="1422"/>
        <v>3.3565573770491804E-2</v>
      </c>
      <c r="Y1183" s="58">
        <f t="shared" si="1422"/>
        <v>3.3565573770491804E-2</v>
      </c>
      <c r="Z1183" s="58">
        <f t="shared" si="1422"/>
        <v>3.3934426229508201E-2</v>
      </c>
      <c r="AA1183" s="58">
        <f t="shared" si="1422"/>
        <v>3.3934426229508201E-2</v>
      </c>
      <c r="AB1183" s="58">
        <f t="shared" si="1422"/>
        <v>3.3287671232876716E-2</v>
      </c>
      <c r="AC1183" s="58">
        <f t="shared" si="1422"/>
        <v>3.3657534246575346E-2</v>
      </c>
      <c r="AD1183" s="58">
        <f t="shared" si="1422"/>
        <v>3.4027397260273977E-2</v>
      </c>
      <c r="AE1183" s="58">
        <f t="shared" si="1422"/>
        <v>3.4027397260273977E-2</v>
      </c>
      <c r="AF1183" s="58">
        <f t="shared" si="1422"/>
        <v>3.3287671232876716E-2</v>
      </c>
      <c r="AG1183" s="58">
        <f t="shared" si="1422"/>
        <v>3.3657534246575346E-2</v>
      </c>
      <c r="AH1183" s="58">
        <f t="shared" si="1422"/>
        <v>3.4027397260273977E-2</v>
      </c>
      <c r="AI1183" s="58">
        <f t="shared" si="1422"/>
        <v>3.4027397260273977E-2</v>
      </c>
      <c r="AJ1183" s="58">
        <f t="shared" si="1422"/>
        <v>3.3287671232876716E-2</v>
      </c>
      <c r="AK1183" s="58">
        <f t="shared" si="1422"/>
        <v>3.3657534246575346E-2</v>
      </c>
      <c r="AL1183" s="58">
        <f t="shared" si="1422"/>
        <v>3.4027397260273977E-2</v>
      </c>
      <c r="AM1183" s="58">
        <f t="shared" si="1422"/>
        <v>3.4027397260273977E-2</v>
      </c>
      <c r="AN1183" s="58">
        <f t="shared" si="1422"/>
        <v>3.3565573770491804E-2</v>
      </c>
      <c r="AO1183" s="58">
        <f t="shared" si="1422"/>
        <v>3.3565573770491804E-2</v>
      </c>
      <c r="AP1183" s="58">
        <f t="shared" si="1422"/>
        <v>3.3934426229508201E-2</v>
      </c>
      <c r="AQ1183" s="58">
        <f t="shared" si="1422"/>
        <v>3.3934426229508201E-2</v>
      </c>
      <c r="AR1183" s="58">
        <f t="shared" ref="AR1183:BW1183" si="1423" xml:space="preserve"> $E1182 * Period_length+Key_rate</f>
        <v>3.3287671232876716E-2</v>
      </c>
      <c r="AS1183" s="58">
        <f t="shared" si="1423"/>
        <v>3.3657534246575346E-2</v>
      </c>
      <c r="AT1183" s="58">
        <f t="shared" si="1423"/>
        <v>3.4027397260273977E-2</v>
      </c>
      <c r="AU1183" s="58">
        <f t="shared" si="1423"/>
        <v>3.4027397260273977E-2</v>
      </c>
      <c r="AV1183" s="58">
        <f t="shared" si="1423"/>
        <v>3.3287671232876716E-2</v>
      </c>
      <c r="AW1183" s="58">
        <f t="shared" si="1423"/>
        <v>3.3657534246575346E-2</v>
      </c>
      <c r="AX1183" s="58">
        <f t="shared" si="1423"/>
        <v>3.4027397260273977E-2</v>
      </c>
      <c r="AY1183" s="58">
        <f t="shared" si="1423"/>
        <v>3.4027397260273977E-2</v>
      </c>
      <c r="AZ1183" s="58">
        <f t="shared" si="1423"/>
        <v>3.3287671232876716E-2</v>
      </c>
      <c r="BA1183" s="58">
        <f t="shared" si="1423"/>
        <v>3.3657534246575346E-2</v>
      </c>
      <c r="BB1183" s="58">
        <f t="shared" si="1423"/>
        <v>3.4027397260273977E-2</v>
      </c>
      <c r="BC1183" s="58">
        <f t="shared" si="1423"/>
        <v>3.4027397260273977E-2</v>
      </c>
      <c r="BD1183" s="58">
        <f t="shared" si="1423"/>
        <v>3.3565573770491804E-2</v>
      </c>
      <c r="BE1183" s="58">
        <f t="shared" si="1423"/>
        <v>3.3565573770491804E-2</v>
      </c>
      <c r="BF1183" s="58">
        <f t="shared" si="1423"/>
        <v>3.3934426229508201E-2</v>
      </c>
      <c r="BG1183" s="58">
        <f t="shared" si="1423"/>
        <v>3.3934426229508201E-2</v>
      </c>
      <c r="BH1183" s="58">
        <f t="shared" si="1423"/>
        <v>3.3287671232876716E-2</v>
      </c>
      <c r="BI1183" s="58">
        <f t="shared" si="1423"/>
        <v>3.3657534246575346E-2</v>
      </c>
      <c r="BJ1183" s="58">
        <f t="shared" si="1423"/>
        <v>3.4027397260273977E-2</v>
      </c>
      <c r="BK1183" s="58">
        <f t="shared" si="1423"/>
        <v>3.4027397260273977E-2</v>
      </c>
      <c r="BL1183" s="58">
        <f t="shared" si="1423"/>
        <v>3.3287671232876716E-2</v>
      </c>
      <c r="BM1183" s="58">
        <f t="shared" si="1423"/>
        <v>3.3657534246575346E-2</v>
      </c>
      <c r="BN1183" s="58">
        <f t="shared" si="1423"/>
        <v>3.4027397260273977E-2</v>
      </c>
      <c r="BO1183" s="58">
        <f t="shared" si="1423"/>
        <v>3.4027397260273977E-2</v>
      </c>
      <c r="BP1183" s="58">
        <f t="shared" si="1423"/>
        <v>3.3287671232876716E-2</v>
      </c>
      <c r="BQ1183" s="58">
        <f t="shared" si="1423"/>
        <v>3.3657534246575346E-2</v>
      </c>
      <c r="BR1183" s="58">
        <f t="shared" si="1423"/>
        <v>3.4027397260273977E-2</v>
      </c>
      <c r="BS1183" s="58">
        <f t="shared" si="1423"/>
        <v>3.4027397260273977E-2</v>
      </c>
      <c r="BT1183" s="58">
        <f t="shared" si="1423"/>
        <v>3.3565573770491804E-2</v>
      </c>
      <c r="BU1183" s="58">
        <f t="shared" si="1423"/>
        <v>3.3565573770491804E-2</v>
      </c>
      <c r="BV1183" s="58">
        <f t="shared" si="1423"/>
        <v>3.3934426229508201E-2</v>
      </c>
      <c r="BW1183" s="58">
        <f t="shared" si="1423"/>
        <v>3.3934426229508201E-2</v>
      </c>
      <c r="BX1183" s="58">
        <f t="shared" ref="BX1183:CO1183" si="1424" xml:space="preserve"> $E1182 * Period_length+Key_rate</f>
        <v>3.3287671232876716E-2</v>
      </c>
      <c r="BY1183" s="58">
        <f t="shared" si="1424"/>
        <v>3.3657534246575346E-2</v>
      </c>
      <c r="BZ1183" s="58">
        <f t="shared" si="1424"/>
        <v>3.4027397260273977E-2</v>
      </c>
      <c r="CA1183" s="58">
        <f t="shared" si="1424"/>
        <v>3.4027397260273977E-2</v>
      </c>
      <c r="CB1183" s="58">
        <f t="shared" si="1424"/>
        <v>3.3287671232876716E-2</v>
      </c>
      <c r="CC1183" s="58">
        <f t="shared" si="1424"/>
        <v>3.3657534246575346E-2</v>
      </c>
      <c r="CD1183" s="58">
        <f t="shared" si="1424"/>
        <v>3.4027397260273977E-2</v>
      </c>
      <c r="CE1183" s="58">
        <f t="shared" si="1424"/>
        <v>3.4027397260273977E-2</v>
      </c>
      <c r="CF1183" s="58">
        <f t="shared" si="1424"/>
        <v>3.3287671232876716E-2</v>
      </c>
      <c r="CG1183" s="58">
        <f t="shared" si="1424"/>
        <v>3.3657534246575346E-2</v>
      </c>
      <c r="CH1183" s="58">
        <f t="shared" si="1424"/>
        <v>3.4027397260273977E-2</v>
      </c>
      <c r="CI1183" s="58">
        <f t="shared" si="1424"/>
        <v>3.4027397260273977E-2</v>
      </c>
      <c r="CJ1183" s="58">
        <f t="shared" si="1424"/>
        <v>3.3565573770491804E-2</v>
      </c>
      <c r="CK1183" s="58">
        <f t="shared" si="1424"/>
        <v>3.3565573770491804E-2</v>
      </c>
      <c r="CL1183" s="58">
        <f t="shared" si="1424"/>
        <v>3.3934426229508201E-2</v>
      </c>
      <c r="CM1183" s="58">
        <f t="shared" si="1424"/>
        <v>3.3934426229508201E-2</v>
      </c>
      <c r="CN1183" s="58">
        <f t="shared" si="1424"/>
        <v>3.3287671232876716E-2</v>
      </c>
      <c r="CO1183" s="58">
        <f t="shared" si="1424"/>
        <v>3.3657534246575346E-2</v>
      </c>
    </row>
    <row r="1184" spans="1:93">
      <c r="A1184" s="10"/>
      <c r="B1184" s="10"/>
      <c r="C1184" s="17" t="s">
        <v>546</v>
      </c>
      <c r="D1184" s="10"/>
      <c r="E1184" s="10"/>
      <c r="F1184" s="10"/>
      <c r="G1184" s="134" t="str">
        <f t="shared" ref="G1184:G1189" si="1425">Monetary_Unit</f>
        <v>тыс. руб.</v>
      </c>
      <c r="H1184" s="10"/>
      <c r="I1184" s="23">
        <f ca="1">SUM(L1184:CO1184)</f>
        <v>630618.79116080911</v>
      </c>
      <c r="J1184" s="10"/>
      <c r="K1184" s="10"/>
      <c r="L1184" s="52">
        <f t="shared" ref="L1184:AQ1184" ca="1" si="1426">(K1178+L1174/2+L1175/2)*L1183</f>
        <v>261.90161609928646</v>
      </c>
      <c r="M1184" s="52">
        <f t="shared" ca="1" si="1426"/>
        <v>811.90603756310509</v>
      </c>
      <c r="N1184" s="52">
        <f t="shared" ca="1" si="1426"/>
        <v>1410.7015765969325</v>
      </c>
      <c r="O1184" s="52">
        <f t="shared" ca="1" si="1426"/>
        <v>2040.0333781747295</v>
      </c>
      <c r="P1184" s="52">
        <f t="shared" ca="1" si="1426"/>
        <v>3559.7592196845253</v>
      </c>
      <c r="Q1184" s="52">
        <f t="shared" ca="1" si="1426"/>
        <v>7298.8376091939972</v>
      </c>
      <c r="R1184" s="52">
        <f t="shared" ca="1" si="1426"/>
        <v>11305.455621851217</v>
      </c>
      <c r="S1184" s="52">
        <f t="shared" ca="1" si="1426"/>
        <v>15429.236735536404</v>
      </c>
      <c r="T1184" s="52">
        <f t="shared" ca="1" si="1426"/>
        <v>15852.349624497112</v>
      </c>
      <c r="U1184" s="52">
        <f t="shared" ca="1" si="1426"/>
        <v>17690.589770455717</v>
      </c>
      <c r="V1184" s="52">
        <f t="shared" ca="1" si="1426"/>
        <v>18577.87834661355</v>
      </c>
      <c r="W1184" s="52">
        <f t="shared" ca="1" si="1426"/>
        <v>19343.73309965977</v>
      </c>
      <c r="X1184" s="52">
        <f t="shared" ca="1" si="1426"/>
        <v>19913.43726592615</v>
      </c>
      <c r="Y1184" s="52">
        <f t="shared" ca="1" si="1426"/>
        <v>20835.331695848607</v>
      </c>
      <c r="Z1184" s="52">
        <f t="shared" ca="1" si="1426"/>
        <v>22111.924433720254</v>
      </c>
      <c r="AA1184" s="52">
        <f t="shared" ca="1" si="1426"/>
        <v>23288.47073223886</v>
      </c>
      <c r="AB1184" s="52">
        <f t="shared" ca="1" si="1426"/>
        <v>24131.715984079288</v>
      </c>
      <c r="AC1184" s="52">
        <f t="shared" ca="1" si="1426"/>
        <v>25497.350786420462</v>
      </c>
      <c r="AD1184" s="52">
        <f t="shared" ca="1" si="1426"/>
        <v>23478.65760437533</v>
      </c>
      <c r="AE1184" s="52">
        <f t="shared" ca="1" si="1426"/>
        <v>22637.514180235645</v>
      </c>
      <c r="AF1184" s="52">
        <f t="shared" ca="1" si="1426"/>
        <v>21909.186585514912</v>
      </c>
      <c r="AG1184" s="52">
        <f t="shared" ca="1" si="1426"/>
        <v>22331.212862073491</v>
      </c>
      <c r="AH1184" s="52">
        <f t="shared" ca="1" si="1426"/>
        <v>22706.018620742561</v>
      </c>
      <c r="AI1184" s="52">
        <f t="shared" ca="1" si="1426"/>
        <v>22255.330733271327</v>
      </c>
      <c r="AJ1184" s="52">
        <f t="shared" ca="1" si="1426"/>
        <v>21360.832104513291</v>
      </c>
      <c r="AK1184" s="52">
        <f t="shared" ca="1" si="1426"/>
        <v>21668.124571879831</v>
      </c>
      <c r="AL1184" s="52">
        <f t="shared" ca="1" si="1426"/>
        <v>21914.67467605598</v>
      </c>
      <c r="AM1184" s="52">
        <f t="shared" ca="1" si="1426"/>
        <v>21251.228753983789</v>
      </c>
      <c r="AN1184" s="52">
        <f t="shared" ca="1" si="1426"/>
        <v>20340.528546735615</v>
      </c>
      <c r="AO1184" s="52">
        <f t="shared" ca="1" si="1426"/>
        <v>20274.117805717458</v>
      </c>
      <c r="AP1184" s="52">
        <f t="shared" ca="1" si="1426"/>
        <v>20353.111120342837</v>
      </c>
      <c r="AQ1184" s="52">
        <f t="shared" ca="1" si="1426"/>
        <v>19460.702954767974</v>
      </c>
      <c r="AR1184" s="52">
        <f t="shared" ref="AR1184:BW1184" ca="1" si="1427">(AQ1178+AR1174/2+AR1175/2)*AR1183</f>
        <v>18266.375270445842</v>
      </c>
      <c r="AS1184" s="52">
        <f t="shared" ca="1" si="1427"/>
        <v>18276.824846852647</v>
      </c>
      <c r="AT1184" s="52">
        <f t="shared" ca="1" si="1427"/>
        <v>18230.566621183993</v>
      </c>
      <c r="AU1184" s="52">
        <f t="shared" ca="1" si="1427"/>
        <v>15600.088032265028</v>
      </c>
      <c r="AV1184" s="52">
        <f t="shared" ca="1" si="1427"/>
        <v>6768.9030486963056</v>
      </c>
      <c r="AW1184" s="52">
        <f t="shared" ca="1" si="1427"/>
        <v>2174.1786869952011</v>
      </c>
      <c r="AX1184" s="52">
        <f t="shared" ca="1" si="1427"/>
        <v>0</v>
      </c>
      <c r="AY1184" s="52">
        <f t="shared" ca="1" si="1427"/>
        <v>0</v>
      </c>
      <c r="AZ1184" s="52">
        <f t="shared" ca="1" si="1427"/>
        <v>0</v>
      </c>
      <c r="BA1184" s="52">
        <f t="shared" ca="1" si="1427"/>
        <v>0</v>
      </c>
      <c r="BB1184" s="52">
        <f t="shared" ca="1" si="1427"/>
        <v>0</v>
      </c>
      <c r="BC1184" s="52">
        <f t="shared" ca="1" si="1427"/>
        <v>0</v>
      </c>
      <c r="BD1184" s="52">
        <f t="shared" ca="1" si="1427"/>
        <v>0</v>
      </c>
      <c r="BE1184" s="52">
        <f t="shared" ca="1" si="1427"/>
        <v>0</v>
      </c>
      <c r="BF1184" s="52">
        <f t="shared" ca="1" si="1427"/>
        <v>0</v>
      </c>
      <c r="BG1184" s="52">
        <f t="shared" ca="1" si="1427"/>
        <v>0</v>
      </c>
      <c r="BH1184" s="52">
        <f t="shared" ca="1" si="1427"/>
        <v>0</v>
      </c>
      <c r="BI1184" s="52">
        <f t="shared" ca="1" si="1427"/>
        <v>0</v>
      </c>
      <c r="BJ1184" s="52">
        <f t="shared" ca="1" si="1427"/>
        <v>0</v>
      </c>
      <c r="BK1184" s="52">
        <f t="shared" ca="1" si="1427"/>
        <v>0</v>
      </c>
      <c r="BL1184" s="52">
        <f t="shared" ca="1" si="1427"/>
        <v>0</v>
      </c>
      <c r="BM1184" s="52">
        <f t="shared" ca="1" si="1427"/>
        <v>0</v>
      </c>
      <c r="BN1184" s="52">
        <f t="shared" ca="1" si="1427"/>
        <v>0</v>
      </c>
      <c r="BO1184" s="52">
        <f t="shared" ca="1" si="1427"/>
        <v>0</v>
      </c>
      <c r="BP1184" s="52">
        <f t="shared" ca="1" si="1427"/>
        <v>0</v>
      </c>
      <c r="BQ1184" s="52">
        <f t="shared" ca="1" si="1427"/>
        <v>0</v>
      </c>
      <c r="BR1184" s="52">
        <f t="shared" ca="1" si="1427"/>
        <v>0</v>
      </c>
      <c r="BS1184" s="52">
        <f t="shared" ca="1" si="1427"/>
        <v>0</v>
      </c>
      <c r="BT1184" s="52">
        <f t="shared" ca="1" si="1427"/>
        <v>0</v>
      </c>
      <c r="BU1184" s="52">
        <f t="shared" ca="1" si="1427"/>
        <v>0</v>
      </c>
      <c r="BV1184" s="52">
        <f t="shared" ca="1" si="1427"/>
        <v>0</v>
      </c>
      <c r="BW1184" s="52">
        <f t="shared" ca="1" si="1427"/>
        <v>0</v>
      </c>
      <c r="BX1184" s="52">
        <f t="shared" ref="BX1184:CO1184" ca="1" si="1428">(BW1178+BX1174/2+BX1175/2)*BX1183</f>
        <v>0</v>
      </c>
      <c r="BY1184" s="52">
        <f t="shared" ca="1" si="1428"/>
        <v>0</v>
      </c>
      <c r="BZ1184" s="52">
        <f t="shared" ca="1" si="1428"/>
        <v>0</v>
      </c>
      <c r="CA1184" s="52">
        <f t="shared" ca="1" si="1428"/>
        <v>0</v>
      </c>
      <c r="CB1184" s="52">
        <f t="shared" ca="1" si="1428"/>
        <v>0</v>
      </c>
      <c r="CC1184" s="52">
        <f t="shared" ca="1" si="1428"/>
        <v>0</v>
      </c>
      <c r="CD1184" s="52">
        <f t="shared" ca="1" si="1428"/>
        <v>0</v>
      </c>
      <c r="CE1184" s="52">
        <f t="shared" ca="1" si="1428"/>
        <v>0</v>
      </c>
      <c r="CF1184" s="52">
        <f t="shared" ca="1" si="1428"/>
        <v>0</v>
      </c>
      <c r="CG1184" s="52">
        <f t="shared" ca="1" si="1428"/>
        <v>0</v>
      </c>
      <c r="CH1184" s="52">
        <f t="shared" ca="1" si="1428"/>
        <v>0</v>
      </c>
      <c r="CI1184" s="52">
        <f t="shared" ca="1" si="1428"/>
        <v>0</v>
      </c>
      <c r="CJ1184" s="52">
        <f t="shared" ca="1" si="1428"/>
        <v>0</v>
      </c>
      <c r="CK1184" s="52">
        <f t="shared" ca="1" si="1428"/>
        <v>0</v>
      </c>
      <c r="CL1184" s="52">
        <f t="shared" ca="1" si="1428"/>
        <v>0</v>
      </c>
      <c r="CM1184" s="52">
        <f t="shared" ca="1" si="1428"/>
        <v>0</v>
      </c>
      <c r="CN1184" s="52">
        <f t="shared" ca="1" si="1428"/>
        <v>0</v>
      </c>
      <c r="CO1184" s="52">
        <f t="shared" ca="1" si="1428"/>
        <v>0</v>
      </c>
    </row>
    <row r="1185" spans="1:93">
      <c r="A1185" s="10"/>
      <c r="B1185" s="10"/>
      <c r="C1185" s="17" t="s">
        <v>547</v>
      </c>
      <c r="D1185" s="10"/>
      <c r="E1185" s="10"/>
      <c r="F1185" s="10"/>
      <c r="G1185" s="134" t="str">
        <f t="shared" si="1425"/>
        <v>тыс. руб.</v>
      </c>
      <c r="H1185" s="10"/>
      <c r="I1185" s="23"/>
      <c r="J1185" s="10"/>
      <c r="K1185" s="10"/>
      <c r="L1185" s="64">
        <v>261.90161609928646</v>
      </c>
      <c r="M1185" s="64">
        <v>811.90603756310509</v>
      </c>
      <c r="N1185" s="64">
        <v>1410.7015765969325</v>
      </c>
      <c r="O1185" s="64">
        <v>2040.0333781747295</v>
      </c>
      <c r="P1185" s="64">
        <v>3559.7592196845253</v>
      </c>
      <c r="Q1185" s="64">
        <v>7298.8376091939972</v>
      </c>
      <c r="R1185" s="64">
        <v>11305.455621851217</v>
      </c>
      <c r="S1185" s="64">
        <v>15429.236735536404</v>
      </c>
      <c r="T1185" s="64">
        <v>15852.349624497112</v>
      </c>
      <c r="U1185" s="64">
        <v>17690.589770455717</v>
      </c>
      <c r="V1185" s="64">
        <v>18577.87834661355</v>
      </c>
      <c r="W1185" s="64">
        <v>19343.73309965977</v>
      </c>
      <c r="X1185" s="64">
        <v>19913.43726592615</v>
      </c>
      <c r="Y1185" s="64">
        <v>20835.331695848607</v>
      </c>
      <c r="Z1185" s="64">
        <v>22111.924433720254</v>
      </c>
      <c r="AA1185" s="64">
        <v>23288.47073223886</v>
      </c>
      <c r="AB1185" s="64">
        <v>24131.715984079288</v>
      </c>
      <c r="AC1185" s="64">
        <v>25497.350786420462</v>
      </c>
      <c r="AD1185" s="64">
        <v>23478.65760437533</v>
      </c>
      <c r="AE1185" s="64">
        <v>22637.514180235645</v>
      </c>
      <c r="AF1185" s="64">
        <v>21909.186585514912</v>
      </c>
      <c r="AG1185" s="64">
        <v>22331.212862073491</v>
      </c>
      <c r="AH1185" s="64">
        <v>22706.018620742561</v>
      </c>
      <c r="AI1185" s="64">
        <v>22255.330733271327</v>
      </c>
      <c r="AJ1185" s="64">
        <v>21360.832104513291</v>
      </c>
      <c r="AK1185" s="64">
        <v>21668.124571879831</v>
      </c>
      <c r="AL1185" s="64">
        <v>21914.67467605598</v>
      </c>
      <c r="AM1185" s="64">
        <v>21251.228753983789</v>
      </c>
      <c r="AN1185" s="64">
        <v>20340.528546735615</v>
      </c>
      <c r="AO1185" s="64">
        <v>20274.117805717458</v>
      </c>
      <c r="AP1185" s="64">
        <v>20353.111120342837</v>
      </c>
      <c r="AQ1185" s="64">
        <v>19460.702954767974</v>
      </c>
      <c r="AR1185" s="64">
        <v>18266.375270445842</v>
      </c>
      <c r="AS1185" s="64">
        <v>18276.824846852647</v>
      </c>
      <c r="AT1185" s="64">
        <v>18230.566621183993</v>
      </c>
      <c r="AU1185" s="64">
        <v>15600.088032265026</v>
      </c>
      <c r="AV1185" s="64">
        <v>6768.903048696302</v>
      </c>
      <c r="AW1185" s="64">
        <v>2174.1786869951966</v>
      </c>
      <c r="AX1185" s="64">
        <v>0</v>
      </c>
      <c r="AY1185" s="64">
        <v>0</v>
      </c>
      <c r="AZ1185" s="64">
        <v>0</v>
      </c>
      <c r="BA1185" s="64">
        <v>0</v>
      </c>
      <c r="BB1185" s="64">
        <v>0</v>
      </c>
      <c r="BC1185" s="64">
        <v>0</v>
      </c>
      <c r="BD1185" s="64">
        <v>0</v>
      </c>
      <c r="BE1185" s="64">
        <v>0</v>
      </c>
      <c r="BF1185" s="64">
        <v>0</v>
      </c>
      <c r="BG1185" s="64">
        <v>0</v>
      </c>
      <c r="BH1185" s="64">
        <v>0</v>
      </c>
      <c r="BI1185" s="64">
        <v>0</v>
      </c>
      <c r="BJ1185" s="64">
        <v>0</v>
      </c>
      <c r="BK1185" s="64">
        <v>0</v>
      </c>
      <c r="BL1185" s="64">
        <v>0</v>
      </c>
      <c r="BM1185" s="64">
        <v>0</v>
      </c>
      <c r="BN1185" s="64">
        <v>0</v>
      </c>
      <c r="BO1185" s="64">
        <v>0</v>
      </c>
      <c r="BP1185" s="64">
        <v>0</v>
      </c>
      <c r="BQ1185" s="64">
        <v>0</v>
      </c>
      <c r="BR1185" s="64">
        <v>0</v>
      </c>
      <c r="BS1185" s="64">
        <v>0</v>
      </c>
      <c r="BT1185" s="64">
        <v>0</v>
      </c>
      <c r="BU1185" s="64">
        <v>0</v>
      </c>
      <c r="BV1185" s="64">
        <v>0</v>
      </c>
      <c r="BW1185" s="64">
        <v>0</v>
      </c>
      <c r="BX1185" s="64">
        <v>0</v>
      </c>
      <c r="BY1185" s="64">
        <v>0</v>
      </c>
      <c r="BZ1185" s="64">
        <v>0</v>
      </c>
      <c r="CA1185" s="64">
        <v>0</v>
      </c>
      <c r="CB1185" s="64">
        <v>0</v>
      </c>
      <c r="CC1185" s="64">
        <v>0</v>
      </c>
      <c r="CD1185" s="64">
        <v>0</v>
      </c>
      <c r="CE1185" s="64">
        <v>0</v>
      </c>
      <c r="CF1185" s="64">
        <v>0</v>
      </c>
      <c r="CG1185" s="64">
        <v>0</v>
      </c>
      <c r="CH1185" s="64">
        <v>0</v>
      </c>
      <c r="CI1185" s="64">
        <v>0</v>
      </c>
      <c r="CJ1185" s="64">
        <v>0</v>
      </c>
      <c r="CK1185" s="64">
        <v>0</v>
      </c>
      <c r="CL1185" s="64">
        <v>0</v>
      </c>
      <c r="CM1185" s="64">
        <v>0</v>
      </c>
      <c r="CN1185" s="64">
        <v>0</v>
      </c>
      <c r="CO1185" s="64">
        <v>0</v>
      </c>
    </row>
    <row r="1186" spans="1:93">
      <c r="A1186" s="10"/>
      <c r="B1186" s="10"/>
      <c r="C1186" s="17" t="s">
        <v>417</v>
      </c>
      <c r="D1186" s="10"/>
      <c r="E1186" s="10"/>
      <c r="F1186" s="10"/>
      <c r="G1186" s="134" t="str">
        <f t="shared" si="1425"/>
        <v>тыс. руб.</v>
      </c>
      <c r="H1186" s="10"/>
      <c r="I1186" s="23">
        <f>SUM(L1186:CO1186)</f>
        <v>223863.26274773953</v>
      </c>
      <c r="J1186" s="10"/>
      <c r="K1186" s="10"/>
      <c r="L1186" s="52">
        <f>L1185*Flag_Construction</f>
        <v>261.90161609928646</v>
      </c>
      <c r="M1186" s="52">
        <f t="shared" ref="M1186:BX1186" si="1429">M1185*Flag_Construction</f>
        <v>811.90603756310509</v>
      </c>
      <c r="N1186" s="52">
        <f t="shared" si="1429"/>
        <v>1410.7015765969325</v>
      </c>
      <c r="O1186" s="52">
        <f t="shared" si="1429"/>
        <v>2040.0333781747295</v>
      </c>
      <c r="P1186" s="52">
        <f t="shared" si="1429"/>
        <v>3559.7592196845253</v>
      </c>
      <c r="Q1186" s="52">
        <f t="shared" si="1429"/>
        <v>7298.8376091939972</v>
      </c>
      <c r="R1186" s="52">
        <f t="shared" si="1429"/>
        <v>11305.455621851217</v>
      </c>
      <c r="S1186" s="52">
        <f t="shared" si="1429"/>
        <v>15429.236735536404</v>
      </c>
      <c r="T1186" s="52">
        <f t="shared" si="1429"/>
        <v>15852.349624497112</v>
      </c>
      <c r="U1186" s="52">
        <f t="shared" si="1429"/>
        <v>17690.589770455717</v>
      </c>
      <c r="V1186" s="52">
        <f t="shared" si="1429"/>
        <v>18577.87834661355</v>
      </c>
      <c r="W1186" s="52">
        <f t="shared" si="1429"/>
        <v>19343.73309965977</v>
      </c>
      <c r="X1186" s="52">
        <f t="shared" si="1429"/>
        <v>19913.43726592615</v>
      </c>
      <c r="Y1186" s="52">
        <f t="shared" si="1429"/>
        <v>20835.331695848607</v>
      </c>
      <c r="Z1186" s="52">
        <f t="shared" si="1429"/>
        <v>22111.924433720254</v>
      </c>
      <c r="AA1186" s="52">
        <f t="shared" si="1429"/>
        <v>23288.47073223886</v>
      </c>
      <c r="AB1186" s="52">
        <f t="shared" si="1429"/>
        <v>24131.715984079288</v>
      </c>
      <c r="AC1186" s="52">
        <f t="shared" si="1429"/>
        <v>0</v>
      </c>
      <c r="AD1186" s="52">
        <f t="shared" si="1429"/>
        <v>0</v>
      </c>
      <c r="AE1186" s="52">
        <f t="shared" si="1429"/>
        <v>0</v>
      </c>
      <c r="AF1186" s="52">
        <f t="shared" si="1429"/>
        <v>0</v>
      </c>
      <c r="AG1186" s="52">
        <f t="shared" si="1429"/>
        <v>0</v>
      </c>
      <c r="AH1186" s="52">
        <f t="shared" si="1429"/>
        <v>0</v>
      </c>
      <c r="AI1186" s="52">
        <f t="shared" si="1429"/>
        <v>0</v>
      </c>
      <c r="AJ1186" s="52">
        <f t="shared" si="1429"/>
        <v>0</v>
      </c>
      <c r="AK1186" s="52">
        <f t="shared" si="1429"/>
        <v>0</v>
      </c>
      <c r="AL1186" s="52">
        <f t="shared" si="1429"/>
        <v>0</v>
      </c>
      <c r="AM1186" s="52">
        <f t="shared" si="1429"/>
        <v>0</v>
      </c>
      <c r="AN1186" s="52">
        <f t="shared" si="1429"/>
        <v>0</v>
      </c>
      <c r="AO1186" s="52">
        <f t="shared" si="1429"/>
        <v>0</v>
      </c>
      <c r="AP1186" s="52">
        <f t="shared" si="1429"/>
        <v>0</v>
      </c>
      <c r="AQ1186" s="52">
        <f t="shared" si="1429"/>
        <v>0</v>
      </c>
      <c r="AR1186" s="52">
        <f t="shared" si="1429"/>
        <v>0</v>
      </c>
      <c r="AS1186" s="52">
        <f t="shared" si="1429"/>
        <v>0</v>
      </c>
      <c r="AT1186" s="52">
        <f t="shared" si="1429"/>
        <v>0</v>
      </c>
      <c r="AU1186" s="52">
        <f t="shared" si="1429"/>
        <v>0</v>
      </c>
      <c r="AV1186" s="52">
        <f t="shared" si="1429"/>
        <v>0</v>
      </c>
      <c r="AW1186" s="52">
        <f t="shared" si="1429"/>
        <v>0</v>
      </c>
      <c r="AX1186" s="52">
        <f t="shared" si="1429"/>
        <v>0</v>
      </c>
      <c r="AY1186" s="52">
        <f t="shared" si="1429"/>
        <v>0</v>
      </c>
      <c r="AZ1186" s="52">
        <f t="shared" si="1429"/>
        <v>0</v>
      </c>
      <c r="BA1186" s="52">
        <f t="shared" si="1429"/>
        <v>0</v>
      </c>
      <c r="BB1186" s="52">
        <f t="shared" si="1429"/>
        <v>0</v>
      </c>
      <c r="BC1186" s="52">
        <f t="shared" si="1429"/>
        <v>0</v>
      </c>
      <c r="BD1186" s="52">
        <f t="shared" si="1429"/>
        <v>0</v>
      </c>
      <c r="BE1186" s="52">
        <f t="shared" si="1429"/>
        <v>0</v>
      </c>
      <c r="BF1186" s="52">
        <f t="shared" si="1429"/>
        <v>0</v>
      </c>
      <c r="BG1186" s="52">
        <f t="shared" si="1429"/>
        <v>0</v>
      </c>
      <c r="BH1186" s="52">
        <f t="shared" si="1429"/>
        <v>0</v>
      </c>
      <c r="BI1186" s="52">
        <f t="shared" si="1429"/>
        <v>0</v>
      </c>
      <c r="BJ1186" s="52">
        <f t="shared" si="1429"/>
        <v>0</v>
      </c>
      <c r="BK1186" s="52">
        <f t="shared" si="1429"/>
        <v>0</v>
      </c>
      <c r="BL1186" s="52">
        <f t="shared" si="1429"/>
        <v>0</v>
      </c>
      <c r="BM1186" s="52">
        <f t="shared" si="1429"/>
        <v>0</v>
      </c>
      <c r="BN1186" s="52">
        <f t="shared" si="1429"/>
        <v>0</v>
      </c>
      <c r="BO1186" s="52">
        <f t="shared" si="1429"/>
        <v>0</v>
      </c>
      <c r="BP1186" s="52">
        <f t="shared" si="1429"/>
        <v>0</v>
      </c>
      <c r="BQ1186" s="52">
        <f t="shared" si="1429"/>
        <v>0</v>
      </c>
      <c r="BR1186" s="52">
        <f t="shared" si="1429"/>
        <v>0</v>
      </c>
      <c r="BS1186" s="52">
        <f t="shared" si="1429"/>
        <v>0</v>
      </c>
      <c r="BT1186" s="52">
        <f t="shared" si="1429"/>
        <v>0</v>
      </c>
      <c r="BU1186" s="52">
        <f t="shared" si="1429"/>
        <v>0</v>
      </c>
      <c r="BV1186" s="52">
        <f t="shared" si="1429"/>
        <v>0</v>
      </c>
      <c r="BW1186" s="52">
        <f t="shared" si="1429"/>
        <v>0</v>
      </c>
      <c r="BX1186" s="52">
        <f t="shared" si="1429"/>
        <v>0</v>
      </c>
      <c r="BY1186" s="52">
        <f t="shared" ref="BY1186:CO1186" si="1430">BY1185*Flag_Construction</f>
        <v>0</v>
      </c>
      <c r="BZ1186" s="52">
        <f t="shared" si="1430"/>
        <v>0</v>
      </c>
      <c r="CA1186" s="52">
        <f t="shared" si="1430"/>
        <v>0</v>
      </c>
      <c r="CB1186" s="52">
        <f t="shared" si="1430"/>
        <v>0</v>
      </c>
      <c r="CC1186" s="52">
        <f t="shared" si="1430"/>
        <v>0</v>
      </c>
      <c r="CD1186" s="52">
        <f t="shared" si="1430"/>
        <v>0</v>
      </c>
      <c r="CE1186" s="52">
        <f t="shared" si="1430"/>
        <v>0</v>
      </c>
      <c r="CF1186" s="52">
        <f t="shared" si="1430"/>
        <v>0</v>
      </c>
      <c r="CG1186" s="52">
        <f t="shared" si="1430"/>
        <v>0</v>
      </c>
      <c r="CH1186" s="52">
        <f t="shared" si="1430"/>
        <v>0</v>
      </c>
      <c r="CI1186" s="52">
        <f t="shared" si="1430"/>
        <v>0</v>
      </c>
      <c r="CJ1186" s="52">
        <f t="shared" si="1430"/>
        <v>0</v>
      </c>
      <c r="CK1186" s="52">
        <f t="shared" si="1430"/>
        <v>0</v>
      </c>
      <c r="CL1186" s="52">
        <f t="shared" si="1430"/>
        <v>0</v>
      </c>
      <c r="CM1186" s="52">
        <f t="shared" si="1430"/>
        <v>0</v>
      </c>
      <c r="CN1186" s="52">
        <f t="shared" si="1430"/>
        <v>0</v>
      </c>
      <c r="CO1186" s="52">
        <f t="shared" si="1430"/>
        <v>0</v>
      </c>
    </row>
    <row r="1187" spans="1:93">
      <c r="A1187" s="10"/>
      <c r="B1187" s="10"/>
      <c r="C1187" s="17" t="s">
        <v>418</v>
      </c>
      <c r="D1187" s="10"/>
      <c r="E1187" s="10"/>
      <c r="F1187" s="10"/>
      <c r="G1187" s="134" t="str">
        <f t="shared" si="1425"/>
        <v>тыс. руб.</v>
      </c>
      <c r="H1187" s="10"/>
      <c r="I1187" s="23">
        <f ca="1">SUM(L1187:CO1187)</f>
        <v>11435.451054468627</v>
      </c>
      <c r="J1187" s="10"/>
      <c r="K1187" s="10"/>
      <c r="L1187" s="52">
        <f ca="1">(L1185-L1188)*Flag_Operations</f>
        <v>0</v>
      </c>
      <c r="M1187" s="52">
        <f t="shared" ref="M1187:BX1187" ca="1" si="1431">(M1185-M1188)*Flag_Operations</f>
        <v>0</v>
      </c>
      <c r="N1187" s="52">
        <f t="shared" ca="1" si="1431"/>
        <v>0</v>
      </c>
      <c r="O1187" s="52">
        <f t="shared" ca="1" si="1431"/>
        <v>0</v>
      </c>
      <c r="P1187" s="52">
        <f t="shared" ca="1" si="1431"/>
        <v>0</v>
      </c>
      <c r="Q1187" s="52">
        <f t="shared" ca="1" si="1431"/>
        <v>0</v>
      </c>
      <c r="R1187" s="52">
        <f t="shared" ca="1" si="1431"/>
        <v>0</v>
      </c>
      <c r="S1187" s="52">
        <f t="shared" ca="1" si="1431"/>
        <v>0</v>
      </c>
      <c r="T1187" s="52">
        <f t="shared" ca="1" si="1431"/>
        <v>0</v>
      </c>
      <c r="U1187" s="52">
        <f t="shared" ca="1" si="1431"/>
        <v>0</v>
      </c>
      <c r="V1187" s="52">
        <f t="shared" ca="1" si="1431"/>
        <v>0</v>
      </c>
      <c r="W1187" s="52">
        <f t="shared" ca="1" si="1431"/>
        <v>0</v>
      </c>
      <c r="X1187" s="52">
        <f t="shared" ca="1" si="1431"/>
        <v>0</v>
      </c>
      <c r="Y1187" s="52">
        <f t="shared" ca="1" si="1431"/>
        <v>0</v>
      </c>
      <c r="Z1187" s="52">
        <f t="shared" ca="1" si="1431"/>
        <v>0</v>
      </c>
      <c r="AA1187" s="52">
        <f t="shared" ca="1" si="1431"/>
        <v>0</v>
      </c>
      <c r="AB1187" s="52">
        <f t="shared" ca="1" si="1431"/>
        <v>0</v>
      </c>
      <c r="AC1187" s="52">
        <f t="shared" ca="1" si="1431"/>
        <v>0</v>
      </c>
      <c r="AD1187" s="52">
        <f t="shared" ca="1" si="1431"/>
        <v>0</v>
      </c>
      <c r="AE1187" s="52">
        <f t="shared" ca="1" si="1431"/>
        <v>0</v>
      </c>
      <c r="AF1187" s="52">
        <f t="shared" ca="1" si="1431"/>
        <v>5306.1186462591613</v>
      </c>
      <c r="AG1187" s="52">
        <f t="shared" ca="1" si="1431"/>
        <v>3803.047707115682</v>
      </c>
      <c r="AH1187" s="52">
        <f t="shared" ca="1" si="1431"/>
        <v>0</v>
      </c>
      <c r="AI1187" s="52">
        <f t="shared" ca="1" si="1431"/>
        <v>0</v>
      </c>
      <c r="AJ1187" s="52">
        <f t="shared" ca="1" si="1431"/>
        <v>2078.2832133527991</v>
      </c>
      <c r="AK1187" s="52">
        <f t="shared" ca="1" si="1431"/>
        <v>248.00148774098489</v>
      </c>
      <c r="AL1187" s="52">
        <f t="shared" ca="1" si="1431"/>
        <v>0</v>
      </c>
      <c r="AM1187" s="52">
        <f t="shared" ca="1" si="1431"/>
        <v>0</v>
      </c>
      <c r="AN1187" s="52">
        <f t="shared" ca="1" si="1431"/>
        <v>0</v>
      </c>
      <c r="AO1187" s="52">
        <f t="shared" ca="1" si="1431"/>
        <v>0</v>
      </c>
      <c r="AP1187" s="52">
        <f t="shared" ca="1" si="1431"/>
        <v>0</v>
      </c>
      <c r="AQ1187" s="52">
        <f t="shared" ca="1" si="1431"/>
        <v>0</v>
      </c>
      <c r="AR1187" s="52">
        <f t="shared" ca="1" si="1431"/>
        <v>0</v>
      </c>
      <c r="AS1187" s="52">
        <f t="shared" ca="1" si="1431"/>
        <v>0</v>
      </c>
      <c r="AT1187" s="52">
        <f t="shared" ca="1" si="1431"/>
        <v>0</v>
      </c>
      <c r="AU1187" s="52">
        <f t="shared" ca="1" si="1431"/>
        <v>0</v>
      </c>
      <c r="AV1187" s="52">
        <f t="shared" ca="1" si="1431"/>
        <v>0</v>
      </c>
      <c r="AW1187" s="52">
        <f t="shared" ca="1" si="1431"/>
        <v>0</v>
      </c>
      <c r="AX1187" s="52">
        <f t="shared" ca="1" si="1431"/>
        <v>0</v>
      </c>
      <c r="AY1187" s="52">
        <f t="shared" ca="1" si="1431"/>
        <v>0</v>
      </c>
      <c r="AZ1187" s="52">
        <f t="shared" ca="1" si="1431"/>
        <v>0</v>
      </c>
      <c r="BA1187" s="52">
        <f t="shared" ca="1" si="1431"/>
        <v>0</v>
      </c>
      <c r="BB1187" s="52">
        <f t="shared" ca="1" si="1431"/>
        <v>0</v>
      </c>
      <c r="BC1187" s="52">
        <f t="shared" ca="1" si="1431"/>
        <v>0</v>
      </c>
      <c r="BD1187" s="52">
        <f t="shared" ca="1" si="1431"/>
        <v>0</v>
      </c>
      <c r="BE1187" s="52">
        <f t="shared" ca="1" si="1431"/>
        <v>0</v>
      </c>
      <c r="BF1187" s="52">
        <f t="shared" ca="1" si="1431"/>
        <v>0</v>
      </c>
      <c r="BG1187" s="52">
        <f t="shared" ca="1" si="1431"/>
        <v>0</v>
      </c>
      <c r="BH1187" s="52">
        <f t="shared" ca="1" si="1431"/>
        <v>0</v>
      </c>
      <c r="BI1187" s="52">
        <f t="shared" ca="1" si="1431"/>
        <v>0</v>
      </c>
      <c r="BJ1187" s="52">
        <f t="shared" ca="1" si="1431"/>
        <v>0</v>
      </c>
      <c r="BK1187" s="52">
        <f t="shared" ca="1" si="1431"/>
        <v>0</v>
      </c>
      <c r="BL1187" s="52">
        <f t="shared" ca="1" si="1431"/>
        <v>0</v>
      </c>
      <c r="BM1187" s="52">
        <f t="shared" ca="1" si="1431"/>
        <v>0</v>
      </c>
      <c r="BN1187" s="52">
        <f t="shared" ca="1" si="1431"/>
        <v>0</v>
      </c>
      <c r="BO1187" s="52">
        <f t="shared" ca="1" si="1431"/>
        <v>0</v>
      </c>
      <c r="BP1187" s="52">
        <f t="shared" ca="1" si="1431"/>
        <v>0</v>
      </c>
      <c r="BQ1187" s="52">
        <f t="shared" ca="1" si="1431"/>
        <v>0</v>
      </c>
      <c r="BR1187" s="52">
        <f t="shared" ca="1" si="1431"/>
        <v>0</v>
      </c>
      <c r="BS1187" s="52">
        <f t="shared" ca="1" si="1431"/>
        <v>0</v>
      </c>
      <c r="BT1187" s="52">
        <f t="shared" ca="1" si="1431"/>
        <v>0</v>
      </c>
      <c r="BU1187" s="52">
        <f t="shared" ca="1" si="1431"/>
        <v>0</v>
      </c>
      <c r="BV1187" s="52">
        <f t="shared" ca="1" si="1431"/>
        <v>0</v>
      </c>
      <c r="BW1187" s="52">
        <f t="shared" ca="1" si="1431"/>
        <v>0</v>
      </c>
      <c r="BX1187" s="52">
        <f t="shared" ca="1" si="1431"/>
        <v>0</v>
      </c>
      <c r="BY1187" s="52">
        <f t="shared" ref="BY1187:CO1187" ca="1" si="1432">(BY1185-BY1188)*Flag_Operations</f>
        <v>0</v>
      </c>
      <c r="BZ1187" s="52">
        <f t="shared" ca="1" si="1432"/>
        <v>0</v>
      </c>
      <c r="CA1187" s="52">
        <f t="shared" ca="1" si="1432"/>
        <v>0</v>
      </c>
      <c r="CB1187" s="52">
        <f t="shared" ca="1" si="1432"/>
        <v>0</v>
      </c>
      <c r="CC1187" s="52">
        <f t="shared" ca="1" si="1432"/>
        <v>0</v>
      </c>
      <c r="CD1187" s="52">
        <f t="shared" ca="1" si="1432"/>
        <v>0</v>
      </c>
      <c r="CE1187" s="52">
        <f t="shared" ca="1" si="1432"/>
        <v>0</v>
      </c>
      <c r="CF1187" s="52">
        <f t="shared" ca="1" si="1432"/>
        <v>0</v>
      </c>
      <c r="CG1187" s="52">
        <f t="shared" ca="1" si="1432"/>
        <v>0</v>
      </c>
      <c r="CH1187" s="52">
        <f t="shared" ca="1" si="1432"/>
        <v>0</v>
      </c>
      <c r="CI1187" s="52">
        <f t="shared" ca="1" si="1432"/>
        <v>0</v>
      </c>
      <c r="CJ1187" s="52">
        <f t="shared" ca="1" si="1432"/>
        <v>0</v>
      </c>
      <c r="CK1187" s="52">
        <f t="shared" ca="1" si="1432"/>
        <v>0</v>
      </c>
      <c r="CL1187" s="52">
        <f t="shared" ca="1" si="1432"/>
        <v>0</v>
      </c>
      <c r="CM1187" s="52">
        <f t="shared" ca="1" si="1432"/>
        <v>0</v>
      </c>
      <c r="CN1187" s="52">
        <f t="shared" ca="1" si="1432"/>
        <v>0</v>
      </c>
      <c r="CO1187" s="52">
        <f t="shared" ca="1" si="1432"/>
        <v>0</v>
      </c>
    </row>
    <row r="1188" spans="1:93">
      <c r="A1188" s="10"/>
      <c r="B1188" s="10"/>
      <c r="C1188" s="17" t="s">
        <v>410</v>
      </c>
      <c r="D1188" s="10"/>
      <c r="E1188" s="10"/>
      <c r="F1188" s="10"/>
      <c r="G1188" s="134" t="str">
        <f t="shared" si="1425"/>
        <v>тыс. руб.</v>
      </c>
      <c r="H1188" s="10"/>
      <c r="I1188" s="23">
        <f ca="1">SUM(L1188:CO1188)</f>
        <v>395320.07735860086</v>
      </c>
      <c r="J1188" s="10"/>
      <c r="K1188" s="10"/>
      <c r="L1188" s="52">
        <f ca="1">L1198*Flag_Operations</f>
        <v>0</v>
      </c>
      <c r="M1188" s="52">
        <f t="shared" ref="M1188:BX1188" ca="1" si="1433">M1198*Flag_Operations</f>
        <v>0</v>
      </c>
      <c r="N1188" s="52">
        <f t="shared" ca="1" si="1433"/>
        <v>0</v>
      </c>
      <c r="O1188" s="52">
        <f t="shared" ca="1" si="1433"/>
        <v>0</v>
      </c>
      <c r="P1188" s="52">
        <f t="shared" ca="1" si="1433"/>
        <v>0</v>
      </c>
      <c r="Q1188" s="52">
        <f t="shared" ca="1" si="1433"/>
        <v>0</v>
      </c>
      <c r="R1188" s="52">
        <f t="shared" ca="1" si="1433"/>
        <v>0</v>
      </c>
      <c r="S1188" s="52">
        <f t="shared" ca="1" si="1433"/>
        <v>0</v>
      </c>
      <c r="T1188" s="52">
        <f t="shared" ca="1" si="1433"/>
        <v>0</v>
      </c>
      <c r="U1188" s="52">
        <f t="shared" ca="1" si="1433"/>
        <v>0</v>
      </c>
      <c r="V1188" s="52">
        <f t="shared" ca="1" si="1433"/>
        <v>0</v>
      </c>
      <c r="W1188" s="52">
        <f t="shared" ca="1" si="1433"/>
        <v>0</v>
      </c>
      <c r="X1188" s="52">
        <f t="shared" ca="1" si="1433"/>
        <v>0</v>
      </c>
      <c r="Y1188" s="52">
        <f t="shared" ca="1" si="1433"/>
        <v>0</v>
      </c>
      <c r="Z1188" s="52">
        <f t="shared" ca="1" si="1433"/>
        <v>0</v>
      </c>
      <c r="AA1188" s="52">
        <f t="shared" ca="1" si="1433"/>
        <v>0</v>
      </c>
      <c r="AB1188" s="52">
        <f t="shared" ca="1" si="1433"/>
        <v>0</v>
      </c>
      <c r="AC1188" s="52">
        <f t="shared" ca="1" si="1433"/>
        <v>25497.350786420462</v>
      </c>
      <c r="AD1188" s="52">
        <f t="shared" ca="1" si="1433"/>
        <v>23478.65760437533</v>
      </c>
      <c r="AE1188" s="52">
        <f t="shared" ca="1" si="1433"/>
        <v>22637.514180235645</v>
      </c>
      <c r="AF1188" s="52">
        <f t="shared" ca="1" si="1433"/>
        <v>16603.06793925575</v>
      </c>
      <c r="AG1188" s="52">
        <f t="shared" ca="1" si="1433"/>
        <v>18528.165154957809</v>
      </c>
      <c r="AH1188" s="52">
        <f t="shared" ca="1" si="1433"/>
        <v>22706.018620742561</v>
      </c>
      <c r="AI1188" s="52">
        <f t="shared" ca="1" si="1433"/>
        <v>22255.330733271327</v>
      </c>
      <c r="AJ1188" s="52">
        <f t="shared" ca="1" si="1433"/>
        <v>19282.548891160492</v>
      </c>
      <c r="AK1188" s="52">
        <f t="shared" ca="1" si="1433"/>
        <v>21420.123084138846</v>
      </c>
      <c r="AL1188" s="52">
        <f t="shared" ca="1" si="1433"/>
        <v>21914.67467605598</v>
      </c>
      <c r="AM1188" s="52">
        <f t="shared" ca="1" si="1433"/>
        <v>21251.228753983789</v>
      </c>
      <c r="AN1188" s="52">
        <f t="shared" ca="1" si="1433"/>
        <v>20340.528546735615</v>
      </c>
      <c r="AO1188" s="52">
        <f t="shared" ca="1" si="1433"/>
        <v>20274.117805717458</v>
      </c>
      <c r="AP1188" s="52">
        <f t="shared" ca="1" si="1433"/>
        <v>20353.111120342837</v>
      </c>
      <c r="AQ1188" s="52">
        <f t="shared" ca="1" si="1433"/>
        <v>19460.702954767974</v>
      </c>
      <c r="AR1188" s="52">
        <f t="shared" ca="1" si="1433"/>
        <v>18266.375270445842</v>
      </c>
      <c r="AS1188" s="52">
        <f t="shared" ca="1" si="1433"/>
        <v>18276.824846852647</v>
      </c>
      <c r="AT1188" s="52">
        <f t="shared" ca="1" si="1433"/>
        <v>18230.566621183993</v>
      </c>
      <c r="AU1188" s="52">
        <f t="shared" ca="1" si="1433"/>
        <v>15600.088032265026</v>
      </c>
      <c r="AV1188" s="52">
        <f t="shared" ca="1" si="1433"/>
        <v>6768.903048696302</v>
      </c>
      <c r="AW1188" s="52">
        <f t="shared" ca="1" si="1433"/>
        <v>2174.1786869951966</v>
      </c>
      <c r="AX1188" s="52">
        <f t="shared" ca="1" si="1433"/>
        <v>0</v>
      </c>
      <c r="AY1188" s="52">
        <f t="shared" ca="1" si="1433"/>
        <v>0</v>
      </c>
      <c r="AZ1188" s="52">
        <f t="shared" ca="1" si="1433"/>
        <v>0</v>
      </c>
      <c r="BA1188" s="52">
        <f t="shared" ca="1" si="1433"/>
        <v>0</v>
      </c>
      <c r="BB1188" s="52">
        <f t="shared" ca="1" si="1433"/>
        <v>0</v>
      </c>
      <c r="BC1188" s="52">
        <f t="shared" ca="1" si="1433"/>
        <v>0</v>
      </c>
      <c r="BD1188" s="52">
        <f t="shared" ca="1" si="1433"/>
        <v>0</v>
      </c>
      <c r="BE1188" s="52">
        <f t="shared" ca="1" si="1433"/>
        <v>0</v>
      </c>
      <c r="BF1188" s="52">
        <f t="shared" ca="1" si="1433"/>
        <v>0</v>
      </c>
      <c r="BG1188" s="52">
        <f t="shared" ca="1" si="1433"/>
        <v>0</v>
      </c>
      <c r="BH1188" s="52">
        <f t="shared" ca="1" si="1433"/>
        <v>0</v>
      </c>
      <c r="BI1188" s="52">
        <f t="shared" ca="1" si="1433"/>
        <v>0</v>
      </c>
      <c r="BJ1188" s="52">
        <f t="shared" ca="1" si="1433"/>
        <v>0</v>
      </c>
      <c r="BK1188" s="52">
        <f t="shared" ca="1" si="1433"/>
        <v>0</v>
      </c>
      <c r="BL1188" s="52">
        <f t="shared" ca="1" si="1433"/>
        <v>0</v>
      </c>
      <c r="BM1188" s="52">
        <f t="shared" ca="1" si="1433"/>
        <v>0</v>
      </c>
      <c r="BN1188" s="52">
        <f t="shared" ca="1" si="1433"/>
        <v>0</v>
      </c>
      <c r="BO1188" s="52">
        <f t="shared" ca="1" si="1433"/>
        <v>0</v>
      </c>
      <c r="BP1188" s="52">
        <f t="shared" ca="1" si="1433"/>
        <v>0</v>
      </c>
      <c r="BQ1188" s="52">
        <f t="shared" ca="1" si="1433"/>
        <v>0</v>
      </c>
      <c r="BR1188" s="52">
        <f t="shared" ca="1" si="1433"/>
        <v>0</v>
      </c>
      <c r="BS1188" s="52">
        <f t="shared" ca="1" si="1433"/>
        <v>0</v>
      </c>
      <c r="BT1188" s="52">
        <f t="shared" ca="1" si="1433"/>
        <v>0</v>
      </c>
      <c r="BU1188" s="52">
        <f t="shared" ca="1" si="1433"/>
        <v>0</v>
      </c>
      <c r="BV1188" s="52">
        <f t="shared" ca="1" si="1433"/>
        <v>0</v>
      </c>
      <c r="BW1188" s="52">
        <f t="shared" ca="1" si="1433"/>
        <v>0</v>
      </c>
      <c r="BX1188" s="52">
        <f t="shared" ca="1" si="1433"/>
        <v>0</v>
      </c>
      <c r="BY1188" s="52">
        <f t="shared" ref="BY1188:CO1188" ca="1" si="1434">BY1198*Flag_Operations</f>
        <v>0</v>
      </c>
      <c r="BZ1188" s="52">
        <f t="shared" ca="1" si="1434"/>
        <v>0</v>
      </c>
      <c r="CA1188" s="52">
        <f t="shared" ca="1" si="1434"/>
        <v>0</v>
      </c>
      <c r="CB1188" s="52">
        <f t="shared" ca="1" si="1434"/>
        <v>0</v>
      </c>
      <c r="CC1188" s="52">
        <f t="shared" ca="1" si="1434"/>
        <v>0</v>
      </c>
      <c r="CD1188" s="52">
        <f t="shared" ca="1" si="1434"/>
        <v>0</v>
      </c>
      <c r="CE1188" s="52">
        <f t="shared" ca="1" si="1434"/>
        <v>0</v>
      </c>
      <c r="CF1188" s="52">
        <f t="shared" ca="1" si="1434"/>
        <v>0</v>
      </c>
      <c r="CG1188" s="52">
        <f t="shared" ca="1" si="1434"/>
        <v>0</v>
      </c>
      <c r="CH1188" s="52">
        <f t="shared" ca="1" si="1434"/>
        <v>0</v>
      </c>
      <c r="CI1188" s="52">
        <f t="shared" ca="1" si="1434"/>
        <v>0</v>
      </c>
      <c r="CJ1188" s="52">
        <f t="shared" ca="1" si="1434"/>
        <v>0</v>
      </c>
      <c r="CK1188" s="52">
        <f t="shared" ca="1" si="1434"/>
        <v>0</v>
      </c>
      <c r="CL1188" s="52">
        <f t="shared" ca="1" si="1434"/>
        <v>0</v>
      </c>
      <c r="CM1188" s="52">
        <f t="shared" ca="1" si="1434"/>
        <v>0</v>
      </c>
      <c r="CN1188" s="52">
        <f t="shared" ca="1" si="1434"/>
        <v>0</v>
      </c>
      <c r="CO1188" s="52">
        <f t="shared" ca="1" si="1434"/>
        <v>0</v>
      </c>
    </row>
    <row r="1189" spans="1:93">
      <c r="A1189" s="10"/>
      <c r="B1189" s="10"/>
      <c r="C1189" s="17" t="s">
        <v>183</v>
      </c>
      <c r="D1189" s="10"/>
      <c r="E1189" s="10"/>
      <c r="F1189" s="10"/>
      <c r="G1189" s="134" t="str">
        <f t="shared" si="1425"/>
        <v>тыс. руб.</v>
      </c>
      <c r="H1189" s="10"/>
      <c r="I1189" s="23">
        <f ca="1">SUM(L1189:CO1189)</f>
        <v>-395320.07735860086</v>
      </c>
      <c r="J1189" s="10"/>
      <c r="K1189" s="10"/>
      <c r="L1189" s="52">
        <f ca="1">-L1188</f>
        <v>0</v>
      </c>
      <c r="M1189" s="52">
        <f t="shared" ref="M1189:BX1189" ca="1" si="1435">-M1188</f>
        <v>0</v>
      </c>
      <c r="N1189" s="52">
        <f t="shared" ca="1" si="1435"/>
        <v>0</v>
      </c>
      <c r="O1189" s="52">
        <f t="shared" ca="1" si="1435"/>
        <v>0</v>
      </c>
      <c r="P1189" s="52">
        <f t="shared" ca="1" si="1435"/>
        <v>0</v>
      </c>
      <c r="Q1189" s="52">
        <f t="shared" ca="1" si="1435"/>
        <v>0</v>
      </c>
      <c r="R1189" s="52">
        <f t="shared" ca="1" si="1435"/>
        <v>0</v>
      </c>
      <c r="S1189" s="52">
        <f t="shared" ca="1" si="1435"/>
        <v>0</v>
      </c>
      <c r="T1189" s="52">
        <f t="shared" ca="1" si="1435"/>
        <v>0</v>
      </c>
      <c r="U1189" s="52">
        <f t="shared" ca="1" si="1435"/>
        <v>0</v>
      </c>
      <c r="V1189" s="52">
        <f t="shared" ca="1" si="1435"/>
        <v>0</v>
      </c>
      <c r="W1189" s="52">
        <f t="shared" ca="1" si="1435"/>
        <v>0</v>
      </c>
      <c r="X1189" s="52">
        <f t="shared" ca="1" si="1435"/>
        <v>0</v>
      </c>
      <c r="Y1189" s="52">
        <f t="shared" ca="1" si="1435"/>
        <v>0</v>
      </c>
      <c r="Z1189" s="52">
        <f t="shared" ca="1" si="1435"/>
        <v>0</v>
      </c>
      <c r="AA1189" s="52">
        <f t="shared" ca="1" si="1435"/>
        <v>0</v>
      </c>
      <c r="AB1189" s="52">
        <f t="shared" ca="1" si="1435"/>
        <v>0</v>
      </c>
      <c r="AC1189" s="52">
        <f t="shared" ca="1" si="1435"/>
        <v>-25497.350786420462</v>
      </c>
      <c r="AD1189" s="52">
        <f t="shared" ca="1" si="1435"/>
        <v>-23478.65760437533</v>
      </c>
      <c r="AE1189" s="52">
        <f t="shared" ca="1" si="1435"/>
        <v>-22637.514180235645</v>
      </c>
      <c r="AF1189" s="52">
        <f t="shared" ca="1" si="1435"/>
        <v>-16603.06793925575</v>
      </c>
      <c r="AG1189" s="52">
        <f t="shared" ca="1" si="1435"/>
        <v>-18528.165154957809</v>
      </c>
      <c r="AH1189" s="52">
        <f t="shared" ca="1" si="1435"/>
        <v>-22706.018620742561</v>
      </c>
      <c r="AI1189" s="52">
        <f t="shared" ca="1" si="1435"/>
        <v>-22255.330733271327</v>
      </c>
      <c r="AJ1189" s="52">
        <f t="shared" ca="1" si="1435"/>
        <v>-19282.548891160492</v>
      </c>
      <c r="AK1189" s="52">
        <f t="shared" ca="1" si="1435"/>
        <v>-21420.123084138846</v>
      </c>
      <c r="AL1189" s="52">
        <f t="shared" ca="1" si="1435"/>
        <v>-21914.67467605598</v>
      </c>
      <c r="AM1189" s="52">
        <f t="shared" ca="1" si="1435"/>
        <v>-21251.228753983789</v>
      </c>
      <c r="AN1189" s="52">
        <f t="shared" ca="1" si="1435"/>
        <v>-20340.528546735615</v>
      </c>
      <c r="AO1189" s="52">
        <f t="shared" ca="1" si="1435"/>
        <v>-20274.117805717458</v>
      </c>
      <c r="AP1189" s="52">
        <f t="shared" ca="1" si="1435"/>
        <v>-20353.111120342837</v>
      </c>
      <c r="AQ1189" s="52">
        <f t="shared" ca="1" si="1435"/>
        <v>-19460.702954767974</v>
      </c>
      <c r="AR1189" s="52">
        <f t="shared" ca="1" si="1435"/>
        <v>-18266.375270445842</v>
      </c>
      <c r="AS1189" s="52">
        <f t="shared" ca="1" si="1435"/>
        <v>-18276.824846852647</v>
      </c>
      <c r="AT1189" s="52">
        <f t="shared" ca="1" si="1435"/>
        <v>-18230.566621183993</v>
      </c>
      <c r="AU1189" s="52">
        <f t="shared" ca="1" si="1435"/>
        <v>-15600.088032265026</v>
      </c>
      <c r="AV1189" s="52">
        <f t="shared" ca="1" si="1435"/>
        <v>-6768.903048696302</v>
      </c>
      <c r="AW1189" s="52">
        <f t="shared" ca="1" si="1435"/>
        <v>-2174.1786869951966</v>
      </c>
      <c r="AX1189" s="52">
        <f t="shared" ca="1" si="1435"/>
        <v>0</v>
      </c>
      <c r="AY1189" s="52">
        <f t="shared" ca="1" si="1435"/>
        <v>0</v>
      </c>
      <c r="AZ1189" s="52">
        <f t="shared" ca="1" si="1435"/>
        <v>0</v>
      </c>
      <c r="BA1189" s="52">
        <f t="shared" ca="1" si="1435"/>
        <v>0</v>
      </c>
      <c r="BB1189" s="52">
        <f t="shared" ca="1" si="1435"/>
        <v>0</v>
      </c>
      <c r="BC1189" s="52">
        <f t="shared" ca="1" si="1435"/>
        <v>0</v>
      </c>
      <c r="BD1189" s="52">
        <f t="shared" ca="1" si="1435"/>
        <v>0</v>
      </c>
      <c r="BE1189" s="52">
        <f t="shared" ca="1" si="1435"/>
        <v>0</v>
      </c>
      <c r="BF1189" s="52">
        <f t="shared" ca="1" si="1435"/>
        <v>0</v>
      </c>
      <c r="BG1189" s="52">
        <f t="shared" ca="1" si="1435"/>
        <v>0</v>
      </c>
      <c r="BH1189" s="52">
        <f t="shared" ca="1" si="1435"/>
        <v>0</v>
      </c>
      <c r="BI1189" s="52">
        <f t="shared" ca="1" si="1435"/>
        <v>0</v>
      </c>
      <c r="BJ1189" s="52">
        <f t="shared" ca="1" si="1435"/>
        <v>0</v>
      </c>
      <c r="BK1189" s="52">
        <f t="shared" ca="1" si="1435"/>
        <v>0</v>
      </c>
      <c r="BL1189" s="52">
        <f t="shared" ca="1" si="1435"/>
        <v>0</v>
      </c>
      <c r="BM1189" s="52">
        <f t="shared" ca="1" si="1435"/>
        <v>0</v>
      </c>
      <c r="BN1189" s="52">
        <f t="shared" ca="1" si="1435"/>
        <v>0</v>
      </c>
      <c r="BO1189" s="52">
        <f t="shared" ca="1" si="1435"/>
        <v>0</v>
      </c>
      <c r="BP1189" s="52">
        <f t="shared" ca="1" si="1435"/>
        <v>0</v>
      </c>
      <c r="BQ1189" s="52">
        <f t="shared" ca="1" si="1435"/>
        <v>0</v>
      </c>
      <c r="BR1189" s="52">
        <f t="shared" ca="1" si="1435"/>
        <v>0</v>
      </c>
      <c r="BS1189" s="52">
        <f t="shared" ca="1" si="1435"/>
        <v>0</v>
      </c>
      <c r="BT1189" s="52">
        <f t="shared" ca="1" si="1435"/>
        <v>0</v>
      </c>
      <c r="BU1189" s="52">
        <f t="shared" ca="1" si="1435"/>
        <v>0</v>
      </c>
      <c r="BV1189" s="52">
        <f t="shared" ca="1" si="1435"/>
        <v>0</v>
      </c>
      <c r="BW1189" s="52">
        <f t="shared" ca="1" si="1435"/>
        <v>0</v>
      </c>
      <c r="BX1189" s="52">
        <f t="shared" ca="1" si="1435"/>
        <v>0</v>
      </c>
      <c r="BY1189" s="52">
        <f t="shared" ref="BY1189:CO1189" ca="1" si="1436">-BY1188</f>
        <v>0</v>
      </c>
      <c r="BZ1189" s="52">
        <f t="shared" ca="1" si="1436"/>
        <v>0</v>
      </c>
      <c r="CA1189" s="52">
        <f t="shared" ca="1" si="1436"/>
        <v>0</v>
      </c>
      <c r="CB1189" s="52">
        <f t="shared" ca="1" si="1436"/>
        <v>0</v>
      </c>
      <c r="CC1189" s="52">
        <f t="shared" ca="1" si="1436"/>
        <v>0</v>
      </c>
      <c r="CD1189" s="52">
        <f t="shared" ca="1" si="1436"/>
        <v>0</v>
      </c>
      <c r="CE1189" s="52">
        <f t="shared" ca="1" si="1436"/>
        <v>0</v>
      </c>
      <c r="CF1189" s="52">
        <f t="shared" ca="1" si="1436"/>
        <v>0</v>
      </c>
      <c r="CG1189" s="52">
        <f t="shared" ca="1" si="1436"/>
        <v>0</v>
      </c>
      <c r="CH1189" s="52">
        <f t="shared" ca="1" si="1436"/>
        <v>0</v>
      </c>
      <c r="CI1189" s="52">
        <f t="shared" ca="1" si="1436"/>
        <v>0</v>
      </c>
      <c r="CJ1189" s="52">
        <f t="shared" ca="1" si="1436"/>
        <v>0</v>
      </c>
      <c r="CK1189" s="52">
        <f t="shared" ca="1" si="1436"/>
        <v>0</v>
      </c>
      <c r="CL1189" s="52">
        <f t="shared" ca="1" si="1436"/>
        <v>0</v>
      </c>
      <c r="CM1189" s="52">
        <f t="shared" ca="1" si="1436"/>
        <v>0</v>
      </c>
      <c r="CN1189" s="52">
        <f t="shared" ca="1" si="1436"/>
        <v>0</v>
      </c>
      <c r="CO1189" s="52">
        <f t="shared" ca="1" si="1436"/>
        <v>0</v>
      </c>
    </row>
    <row r="1190" spans="1:93">
      <c r="A1190" s="10"/>
      <c r="B1190" s="10"/>
      <c r="C1190" s="17"/>
      <c r="D1190" s="10"/>
      <c r="E1190" s="10"/>
      <c r="F1190" s="10"/>
      <c r="G1190" s="134"/>
      <c r="H1190" s="10"/>
      <c r="I1190" s="23"/>
      <c r="J1190" s="10"/>
      <c r="K1190" s="10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52"/>
      <c r="AE1190" s="52"/>
      <c r="AF1190" s="52"/>
      <c r="AG1190" s="52"/>
      <c r="AH1190" s="52"/>
      <c r="AI1190" s="52"/>
      <c r="AJ1190" s="52"/>
      <c r="AK1190" s="52"/>
      <c r="AL1190" s="52"/>
      <c r="AM1190" s="52"/>
      <c r="AN1190" s="52"/>
      <c r="AO1190" s="52"/>
      <c r="AP1190" s="52"/>
      <c r="AQ1190" s="52"/>
      <c r="AR1190" s="52"/>
      <c r="AS1190" s="52"/>
      <c r="AT1190" s="52"/>
      <c r="AU1190" s="52"/>
      <c r="AV1190" s="52"/>
      <c r="AW1190" s="52"/>
      <c r="AX1190" s="52"/>
      <c r="AY1190" s="52"/>
      <c r="AZ1190" s="52"/>
      <c r="BA1190" s="52"/>
      <c r="BB1190" s="52"/>
      <c r="BC1190" s="52"/>
      <c r="BD1190" s="52"/>
      <c r="BE1190" s="52"/>
      <c r="BF1190" s="52"/>
      <c r="BG1190" s="52"/>
      <c r="BH1190" s="52"/>
      <c r="BI1190" s="52"/>
      <c r="BJ1190" s="52"/>
      <c r="BK1190" s="52"/>
      <c r="BL1190" s="52"/>
      <c r="BM1190" s="52"/>
      <c r="BN1190" s="52"/>
      <c r="BO1190" s="52"/>
      <c r="BP1190" s="52"/>
      <c r="BQ1190" s="52"/>
      <c r="BR1190" s="52"/>
      <c r="BS1190" s="52"/>
      <c r="BT1190" s="52"/>
      <c r="BU1190" s="52"/>
      <c r="BV1190" s="52"/>
      <c r="BW1190" s="52"/>
      <c r="BX1190" s="52"/>
      <c r="BY1190" s="52"/>
      <c r="BZ1190" s="52"/>
      <c r="CA1190" s="52"/>
      <c r="CB1190" s="52"/>
      <c r="CC1190" s="52"/>
      <c r="CD1190" s="52"/>
      <c r="CE1190" s="52"/>
      <c r="CF1190" s="52"/>
      <c r="CG1190" s="52"/>
      <c r="CH1190" s="52"/>
      <c r="CI1190" s="52"/>
      <c r="CJ1190" s="52"/>
      <c r="CK1190" s="52"/>
      <c r="CL1190" s="52"/>
      <c r="CM1190" s="52"/>
      <c r="CN1190" s="52"/>
      <c r="CO1190" s="52"/>
    </row>
    <row r="1191" spans="1:93">
      <c r="A1191" s="10"/>
      <c r="B1191" s="10"/>
      <c r="C1191" s="54" t="s">
        <v>560</v>
      </c>
      <c r="D1191" s="46"/>
      <c r="E1191" s="61">
        <f ca="1">IF(SUM(Subord_Interest_Check_Arr)&gt;Very_Small_Number,SUM(Subord_Interest_Check_Arr),0)</f>
        <v>0</v>
      </c>
      <c r="G1191" s="89"/>
      <c r="H1191" s="46"/>
      <c r="I1191" s="46"/>
      <c r="J1191" s="46"/>
      <c r="K1191" s="46"/>
      <c r="L1191" s="61">
        <f ca="1">ABS(L1184-L1185)</f>
        <v>0</v>
      </c>
      <c r="M1191" s="61">
        <f t="shared" ref="M1191:BX1191" ca="1" si="1437">ABS(M1184-M1185)</f>
        <v>0</v>
      </c>
      <c r="N1191" s="61">
        <f t="shared" ca="1" si="1437"/>
        <v>0</v>
      </c>
      <c r="O1191" s="61">
        <f t="shared" ca="1" si="1437"/>
        <v>0</v>
      </c>
      <c r="P1191" s="61">
        <f t="shared" ca="1" si="1437"/>
        <v>0</v>
      </c>
      <c r="Q1191" s="61">
        <f t="shared" ca="1" si="1437"/>
        <v>0</v>
      </c>
      <c r="R1191" s="61">
        <f t="shared" ca="1" si="1437"/>
        <v>0</v>
      </c>
      <c r="S1191" s="61">
        <f t="shared" ca="1" si="1437"/>
        <v>0</v>
      </c>
      <c r="T1191" s="61">
        <f t="shared" ca="1" si="1437"/>
        <v>0</v>
      </c>
      <c r="U1191" s="61">
        <f t="shared" ca="1" si="1437"/>
        <v>0</v>
      </c>
      <c r="V1191" s="61">
        <f t="shared" ca="1" si="1437"/>
        <v>0</v>
      </c>
      <c r="W1191" s="61">
        <f t="shared" ca="1" si="1437"/>
        <v>0</v>
      </c>
      <c r="X1191" s="61">
        <f t="shared" ca="1" si="1437"/>
        <v>0</v>
      </c>
      <c r="Y1191" s="61">
        <f t="shared" ca="1" si="1437"/>
        <v>0</v>
      </c>
      <c r="Z1191" s="61">
        <f t="shared" ca="1" si="1437"/>
        <v>0</v>
      </c>
      <c r="AA1191" s="61">
        <f t="shared" ca="1" si="1437"/>
        <v>0</v>
      </c>
      <c r="AB1191" s="61">
        <f t="shared" ca="1" si="1437"/>
        <v>0</v>
      </c>
      <c r="AC1191" s="61">
        <f t="shared" ca="1" si="1437"/>
        <v>0</v>
      </c>
      <c r="AD1191" s="61">
        <f t="shared" ca="1" si="1437"/>
        <v>0</v>
      </c>
      <c r="AE1191" s="61">
        <f t="shared" ca="1" si="1437"/>
        <v>0</v>
      </c>
      <c r="AF1191" s="61">
        <f t="shared" ca="1" si="1437"/>
        <v>0</v>
      </c>
      <c r="AG1191" s="61">
        <f t="shared" ca="1" si="1437"/>
        <v>0</v>
      </c>
      <c r="AH1191" s="61">
        <f t="shared" ca="1" si="1437"/>
        <v>0</v>
      </c>
      <c r="AI1191" s="61">
        <f t="shared" ca="1" si="1437"/>
        <v>0</v>
      </c>
      <c r="AJ1191" s="61">
        <f t="shared" ca="1" si="1437"/>
        <v>0</v>
      </c>
      <c r="AK1191" s="61">
        <f t="shared" ca="1" si="1437"/>
        <v>0</v>
      </c>
      <c r="AL1191" s="61">
        <f t="shared" ca="1" si="1437"/>
        <v>0</v>
      </c>
      <c r="AM1191" s="61">
        <f t="shared" ca="1" si="1437"/>
        <v>0</v>
      </c>
      <c r="AN1191" s="61">
        <f t="shared" ca="1" si="1437"/>
        <v>0</v>
      </c>
      <c r="AO1191" s="61">
        <f t="shared" ca="1" si="1437"/>
        <v>0</v>
      </c>
      <c r="AP1191" s="61">
        <f t="shared" ca="1" si="1437"/>
        <v>0</v>
      </c>
      <c r="AQ1191" s="61">
        <f t="shared" ca="1" si="1437"/>
        <v>0</v>
      </c>
      <c r="AR1191" s="61">
        <f t="shared" ca="1" si="1437"/>
        <v>0</v>
      </c>
      <c r="AS1191" s="61">
        <f t="shared" ca="1" si="1437"/>
        <v>0</v>
      </c>
      <c r="AT1191" s="61">
        <f t="shared" ca="1" si="1437"/>
        <v>0</v>
      </c>
      <c r="AU1191" s="61">
        <f t="shared" ca="1" si="1437"/>
        <v>1.8189894035458565E-12</v>
      </c>
      <c r="AV1191" s="61">
        <f t="shared" ca="1" si="1437"/>
        <v>3.637978807091713E-12</v>
      </c>
      <c r="AW1191" s="61">
        <f t="shared" ca="1" si="1437"/>
        <v>4.5474735088646412E-12</v>
      </c>
      <c r="AX1191" s="61">
        <f t="shared" ca="1" si="1437"/>
        <v>0</v>
      </c>
      <c r="AY1191" s="61">
        <f t="shared" ca="1" si="1437"/>
        <v>0</v>
      </c>
      <c r="AZ1191" s="61">
        <f t="shared" ca="1" si="1437"/>
        <v>0</v>
      </c>
      <c r="BA1191" s="61">
        <f t="shared" ca="1" si="1437"/>
        <v>0</v>
      </c>
      <c r="BB1191" s="61">
        <f t="shared" ca="1" si="1437"/>
        <v>0</v>
      </c>
      <c r="BC1191" s="61">
        <f t="shared" ca="1" si="1437"/>
        <v>0</v>
      </c>
      <c r="BD1191" s="61">
        <f t="shared" ca="1" si="1437"/>
        <v>0</v>
      </c>
      <c r="BE1191" s="61">
        <f t="shared" ca="1" si="1437"/>
        <v>0</v>
      </c>
      <c r="BF1191" s="61">
        <f t="shared" ca="1" si="1437"/>
        <v>0</v>
      </c>
      <c r="BG1191" s="61">
        <f t="shared" ca="1" si="1437"/>
        <v>0</v>
      </c>
      <c r="BH1191" s="61">
        <f t="shared" ca="1" si="1437"/>
        <v>0</v>
      </c>
      <c r="BI1191" s="61">
        <f t="shared" ca="1" si="1437"/>
        <v>0</v>
      </c>
      <c r="BJ1191" s="61">
        <f t="shared" ca="1" si="1437"/>
        <v>0</v>
      </c>
      <c r="BK1191" s="61">
        <f t="shared" ca="1" si="1437"/>
        <v>0</v>
      </c>
      <c r="BL1191" s="61">
        <f t="shared" ca="1" si="1437"/>
        <v>0</v>
      </c>
      <c r="BM1191" s="61">
        <f t="shared" ca="1" si="1437"/>
        <v>0</v>
      </c>
      <c r="BN1191" s="61">
        <f t="shared" ca="1" si="1437"/>
        <v>0</v>
      </c>
      <c r="BO1191" s="61">
        <f t="shared" ca="1" si="1437"/>
        <v>0</v>
      </c>
      <c r="BP1191" s="61">
        <f t="shared" ca="1" si="1437"/>
        <v>0</v>
      </c>
      <c r="BQ1191" s="61">
        <f t="shared" ca="1" si="1437"/>
        <v>0</v>
      </c>
      <c r="BR1191" s="61">
        <f t="shared" ca="1" si="1437"/>
        <v>0</v>
      </c>
      <c r="BS1191" s="61">
        <f t="shared" ca="1" si="1437"/>
        <v>0</v>
      </c>
      <c r="BT1191" s="61">
        <f t="shared" ca="1" si="1437"/>
        <v>0</v>
      </c>
      <c r="BU1191" s="61">
        <f t="shared" ca="1" si="1437"/>
        <v>0</v>
      </c>
      <c r="BV1191" s="61">
        <f t="shared" ca="1" si="1437"/>
        <v>0</v>
      </c>
      <c r="BW1191" s="61">
        <f t="shared" ca="1" si="1437"/>
        <v>0</v>
      </c>
      <c r="BX1191" s="61">
        <f t="shared" ca="1" si="1437"/>
        <v>0</v>
      </c>
      <c r="BY1191" s="61">
        <f t="shared" ref="BY1191:CO1191" ca="1" si="1438">ABS(BY1184-BY1185)</f>
        <v>0</v>
      </c>
      <c r="BZ1191" s="61">
        <f t="shared" ca="1" si="1438"/>
        <v>0</v>
      </c>
      <c r="CA1191" s="61">
        <f t="shared" ca="1" si="1438"/>
        <v>0</v>
      </c>
      <c r="CB1191" s="61">
        <f t="shared" ca="1" si="1438"/>
        <v>0</v>
      </c>
      <c r="CC1191" s="61">
        <f t="shared" ca="1" si="1438"/>
        <v>0</v>
      </c>
      <c r="CD1191" s="61">
        <f t="shared" ca="1" si="1438"/>
        <v>0</v>
      </c>
      <c r="CE1191" s="61">
        <f t="shared" ca="1" si="1438"/>
        <v>0</v>
      </c>
      <c r="CF1191" s="61">
        <f t="shared" ca="1" si="1438"/>
        <v>0</v>
      </c>
      <c r="CG1191" s="61">
        <f t="shared" ca="1" si="1438"/>
        <v>0</v>
      </c>
      <c r="CH1191" s="61">
        <f t="shared" ca="1" si="1438"/>
        <v>0</v>
      </c>
      <c r="CI1191" s="61">
        <f t="shared" ca="1" si="1438"/>
        <v>0</v>
      </c>
      <c r="CJ1191" s="61">
        <f t="shared" ca="1" si="1438"/>
        <v>0</v>
      </c>
      <c r="CK1191" s="61">
        <f t="shared" ca="1" si="1438"/>
        <v>0</v>
      </c>
      <c r="CL1191" s="61">
        <f t="shared" ca="1" si="1438"/>
        <v>0</v>
      </c>
      <c r="CM1191" s="61">
        <f t="shared" ca="1" si="1438"/>
        <v>0</v>
      </c>
      <c r="CN1191" s="61">
        <f t="shared" ca="1" si="1438"/>
        <v>0</v>
      </c>
      <c r="CO1191" s="61">
        <f t="shared" ca="1" si="1438"/>
        <v>0</v>
      </c>
    </row>
    <row r="1192" spans="1:93">
      <c r="A1192" s="10"/>
      <c r="B1192" s="10"/>
      <c r="C1192" s="17"/>
      <c r="D1192" s="10"/>
      <c r="E1192" s="10"/>
      <c r="F1192" s="10"/>
      <c r="G1192" s="11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0"/>
      <c r="AH1192" s="10"/>
      <c r="AI1192" s="10"/>
      <c r="AJ1192" s="10"/>
      <c r="AK1192" s="10"/>
      <c r="AL1192" s="10"/>
      <c r="AM1192" s="10"/>
      <c r="AN1192" s="10"/>
      <c r="AO1192" s="10"/>
      <c r="AP1192" s="10"/>
      <c r="AQ1192" s="10"/>
      <c r="AR1192" s="10"/>
      <c r="AS1192" s="10"/>
      <c r="AT1192" s="10"/>
      <c r="AU1192" s="10"/>
      <c r="AV1192" s="10"/>
      <c r="AW1192" s="10"/>
      <c r="AX1192" s="10"/>
      <c r="AY1192" s="10"/>
      <c r="AZ1192" s="10"/>
      <c r="BA1192" s="10"/>
      <c r="BB1192" s="10"/>
      <c r="BC1192" s="10"/>
      <c r="BD1192" s="10"/>
      <c r="BE1192" s="10"/>
      <c r="BF1192" s="10"/>
      <c r="BG1192" s="10"/>
      <c r="BH1192" s="10"/>
      <c r="BI1192" s="10"/>
      <c r="BJ1192" s="10"/>
      <c r="BK1192" s="10"/>
      <c r="BL1192" s="10"/>
      <c r="BM1192" s="10"/>
      <c r="BN1192" s="10"/>
      <c r="BO1192" s="10"/>
      <c r="BP1192" s="10"/>
      <c r="BQ1192" s="10"/>
      <c r="BR1192" s="10"/>
      <c r="BS1192" s="10"/>
      <c r="BT1192" s="10"/>
      <c r="BU1192" s="10"/>
      <c r="BV1192" s="10"/>
      <c r="BW1192" s="10"/>
      <c r="BX1192" s="10"/>
      <c r="BY1192" s="10"/>
      <c r="BZ1192" s="10"/>
      <c r="CA1192" s="10"/>
      <c r="CB1192" s="10"/>
      <c r="CC1192" s="10"/>
      <c r="CD1192" s="10"/>
      <c r="CE1192" s="10"/>
      <c r="CF1192" s="10"/>
      <c r="CG1192" s="10"/>
      <c r="CH1192" s="10"/>
      <c r="CI1192" s="10"/>
      <c r="CJ1192" s="10"/>
      <c r="CK1192" s="10"/>
      <c r="CL1192" s="10"/>
      <c r="CM1192" s="10"/>
      <c r="CN1192" s="10"/>
      <c r="CO1192" s="10"/>
    </row>
    <row r="1193" spans="1:93">
      <c r="A1193" s="10"/>
      <c r="B1193" s="10"/>
      <c r="C1193" s="67" t="s">
        <v>366</v>
      </c>
      <c r="D1193" s="10"/>
      <c r="E1193" s="10"/>
      <c r="F1193" s="10"/>
      <c r="G1193" s="11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0"/>
      <c r="AH1193" s="10"/>
      <c r="AI1193" s="10"/>
      <c r="AJ1193" s="10"/>
      <c r="AK1193" s="10"/>
      <c r="AL1193" s="10"/>
      <c r="AM1193" s="10"/>
      <c r="AN1193" s="10"/>
      <c r="AO1193" s="10"/>
      <c r="AP1193" s="10"/>
      <c r="AQ1193" s="10"/>
      <c r="AR1193" s="10"/>
      <c r="AS1193" s="10"/>
      <c r="AT1193" s="10"/>
      <c r="AU1193" s="10"/>
      <c r="AV1193" s="10"/>
      <c r="AW1193" s="10"/>
      <c r="AX1193" s="10"/>
      <c r="AY1193" s="10"/>
      <c r="AZ1193" s="10"/>
      <c r="BA1193" s="10"/>
      <c r="BB1193" s="10"/>
      <c r="BC1193" s="10"/>
      <c r="BD1193" s="10"/>
      <c r="BE1193" s="10"/>
      <c r="BF1193" s="10"/>
      <c r="BG1193" s="10"/>
      <c r="BH1193" s="10"/>
      <c r="BI1193" s="10"/>
      <c r="BJ1193" s="10"/>
      <c r="BK1193" s="10"/>
      <c r="BL1193" s="10"/>
      <c r="BM1193" s="10"/>
      <c r="BN1193" s="10"/>
      <c r="BO1193" s="10"/>
      <c r="BP1193" s="10"/>
      <c r="BQ1193" s="10"/>
      <c r="BR1193" s="10"/>
      <c r="BS1193" s="10"/>
      <c r="BT1193" s="10"/>
      <c r="BU1193" s="10"/>
      <c r="BV1193" s="10"/>
      <c r="BW1193" s="10"/>
      <c r="BX1193" s="10"/>
      <c r="BY1193" s="10"/>
      <c r="BZ1193" s="10"/>
      <c r="CA1193" s="10"/>
      <c r="CB1193" s="10"/>
      <c r="CC1193" s="10"/>
      <c r="CD1193" s="10"/>
      <c r="CE1193" s="10"/>
      <c r="CF1193" s="10"/>
      <c r="CG1193" s="10"/>
      <c r="CH1193" s="10"/>
      <c r="CI1193" s="10"/>
      <c r="CJ1193" s="10"/>
      <c r="CK1193" s="10"/>
      <c r="CL1193" s="10"/>
      <c r="CM1193" s="10"/>
      <c r="CN1193" s="10"/>
      <c r="CO1193" s="10"/>
    </row>
    <row r="1194" spans="1:93">
      <c r="A1194" s="10"/>
      <c r="B1194" s="10"/>
      <c r="C1194" s="17" t="s">
        <v>419</v>
      </c>
      <c r="D1194" s="10"/>
      <c r="E1194" s="10"/>
      <c r="F1194" s="10"/>
      <c r="G1194" s="134" t="str">
        <f>Monetary_Unit</f>
        <v>тыс. руб.</v>
      </c>
      <c r="H1194" s="10"/>
      <c r="I1194" s="10"/>
      <c r="J1194" s="10"/>
      <c r="K1194" s="10"/>
      <c r="L1194" s="52">
        <f t="shared" ref="L1194:AQ1194" ca="1" si="1439">IF(L1226&gt;0,MAX(L1226,0),L1226)</f>
        <v>-20231.553412960755</v>
      </c>
      <c r="M1194" s="52">
        <f t="shared" ca="1" si="1439"/>
        <v>-20518.738035800307</v>
      </c>
      <c r="N1194" s="52">
        <f t="shared" ca="1" si="1439"/>
        <v>-20809.999212027134</v>
      </c>
      <c r="O1194" s="52">
        <f t="shared" ca="1" si="1439"/>
        <v>-21105.394807857592</v>
      </c>
      <c r="P1194" s="52">
        <f t="shared" ca="1" si="1439"/>
        <v>-177490.49062476435</v>
      </c>
      <c r="Q1194" s="52">
        <f t="shared" ca="1" si="1439"/>
        <v>-179239.37658746613</v>
      </c>
      <c r="R1194" s="52">
        <f t="shared" ca="1" si="1439"/>
        <v>-181005.49503456618</v>
      </c>
      <c r="S1194" s="52">
        <f t="shared" ca="1" si="1439"/>
        <v>-182789.01576473904</v>
      </c>
      <c r="T1194" s="52">
        <f t="shared" ca="1" si="1439"/>
        <v>-184965.93951308879</v>
      </c>
      <c r="U1194" s="52">
        <f t="shared" ca="1" si="1439"/>
        <v>-190490.76998061163</v>
      </c>
      <c r="V1194" s="52">
        <f t="shared" ca="1" si="1439"/>
        <v>-194851.96226518595</v>
      </c>
      <c r="W1194" s="52">
        <f t="shared" ca="1" si="1439"/>
        <v>-199210.83002790483</v>
      </c>
      <c r="X1194" s="52">
        <f t="shared" ca="1" si="1439"/>
        <v>-380268.03807791224</v>
      </c>
      <c r="Y1194" s="52">
        <f t="shared" ca="1" si="1439"/>
        <v>-388712.96354787843</v>
      </c>
      <c r="Z1194" s="52">
        <f t="shared" ca="1" si="1439"/>
        <v>-397487.10229346005</v>
      </c>
      <c r="AA1194" s="52">
        <f t="shared" ca="1" si="1439"/>
        <v>-406153.32046609715</v>
      </c>
      <c r="AB1194" s="52">
        <f t="shared" ca="1" si="1439"/>
        <v>-693935.95784803934</v>
      </c>
      <c r="AC1194" s="52">
        <f t="shared" ca="1" si="1439"/>
        <v>93057.141870167456</v>
      </c>
      <c r="AD1194" s="52">
        <f t="shared" ca="1" si="1439"/>
        <v>48198.250986902334</v>
      </c>
      <c r="AE1194" s="52">
        <f t="shared" ca="1" si="1439"/>
        <v>29733.466299711523</v>
      </c>
      <c r="AF1194" s="52">
        <f t="shared" ca="1" si="1439"/>
        <v>16603.06793925575</v>
      </c>
      <c r="AG1194" s="52">
        <f t="shared" ca="1" si="1439"/>
        <v>18528.165154957809</v>
      </c>
      <c r="AH1194" s="52">
        <f t="shared" ca="1" si="1439"/>
        <v>35950.871996507485</v>
      </c>
      <c r="AI1194" s="52">
        <f t="shared" ca="1" si="1439"/>
        <v>34592.844168954645</v>
      </c>
      <c r="AJ1194" s="52">
        <f t="shared" ca="1" si="1439"/>
        <v>19282.548891160492</v>
      </c>
      <c r="AK1194" s="52">
        <f t="shared" ca="1" si="1439"/>
        <v>21420.123084138846</v>
      </c>
      <c r="AL1194" s="52">
        <f t="shared" ca="1" si="1439"/>
        <v>41412.078988161375</v>
      </c>
      <c r="AM1194" s="52">
        <f t="shared" ca="1" si="1439"/>
        <v>39790.350197499094</v>
      </c>
      <c r="AN1194" s="52">
        <f t="shared" ca="1" si="1439"/>
        <v>22319.065885982272</v>
      </c>
      <c r="AO1194" s="52">
        <f t="shared" ca="1" si="1439"/>
        <v>24511.678439912386</v>
      </c>
      <c r="AP1194" s="52">
        <f t="shared" ca="1" si="1439"/>
        <v>46651.129526172124</v>
      </c>
      <c r="AQ1194" s="52">
        <f t="shared" ca="1" si="1439"/>
        <v>44197.394445630111</v>
      </c>
      <c r="AR1194" s="52">
        <f t="shared" ref="AR1194:BW1194" ca="1" si="1440">IF(AR1226&gt;0,MAX(AR1226,0),AR1226)</f>
        <v>23986.050021722564</v>
      </c>
      <c r="AS1194" s="52">
        <f t="shared" ca="1" si="1440"/>
        <v>25538.69247853999</v>
      </c>
      <c r="AT1194" s="52">
        <f t="shared" ca="1" si="1440"/>
        <v>95535.291657852416</v>
      </c>
      <c r="AU1194" s="52">
        <f t="shared" ca="1" si="1440"/>
        <v>270711.13427012885</v>
      </c>
      <c r="AV1194" s="52">
        <f t="shared" ca="1" si="1440"/>
        <v>145517.46262419978</v>
      </c>
      <c r="AW1194" s="52">
        <f t="shared" ca="1" si="1440"/>
        <v>182387.59892833943</v>
      </c>
      <c r="AX1194" s="52">
        <f t="shared" ca="1" si="1440"/>
        <v>273026.89898316731</v>
      </c>
      <c r="AY1194" s="52">
        <f t="shared" ca="1" si="1440"/>
        <v>160610.09420331367</v>
      </c>
      <c r="AZ1194" s="52">
        <f t="shared" ca="1" si="1440"/>
        <v>90746.681474151221</v>
      </c>
      <c r="BA1194" s="52">
        <f t="shared" ca="1" si="1440"/>
        <v>140327.30961439823</v>
      </c>
      <c r="BB1194" s="52">
        <f t="shared" ca="1" si="1440"/>
        <v>273441.40717452572</v>
      </c>
      <c r="BC1194" s="52">
        <f t="shared" ca="1" si="1440"/>
        <v>167027.39986984793</v>
      </c>
      <c r="BD1194" s="52">
        <f t="shared" ca="1" si="1440"/>
        <v>95677.102949824461</v>
      </c>
      <c r="BE1194" s="52">
        <f t="shared" ca="1" si="1440"/>
        <v>144587.40117527739</v>
      </c>
      <c r="BF1194" s="52">
        <f t="shared" ca="1" si="1440"/>
        <v>283339.07755339477</v>
      </c>
      <c r="BG1194" s="52">
        <f t="shared" ca="1" si="1440"/>
        <v>172668.51570028992</v>
      </c>
      <c r="BH1194" s="52">
        <f t="shared" ca="1" si="1440"/>
        <v>97093.665388560941</v>
      </c>
      <c r="BI1194" s="52">
        <f t="shared" ca="1" si="1440"/>
        <v>150722.02899878885</v>
      </c>
      <c r="BJ1194" s="52">
        <f t="shared" ca="1" si="1440"/>
        <v>294700.16257395281</v>
      </c>
      <c r="BK1194" s="52">
        <f t="shared" ca="1" si="1440"/>
        <v>179602.77227321349</v>
      </c>
      <c r="BL1194" s="52">
        <f t="shared" ca="1" si="1440"/>
        <v>101010.04112024038</v>
      </c>
      <c r="BM1194" s="52">
        <f t="shared" ca="1" si="1440"/>
        <v>156784.45144098948</v>
      </c>
      <c r="BN1194" s="52">
        <f t="shared" ca="1" si="1440"/>
        <v>306522.65430726274</v>
      </c>
      <c r="BO1194" s="52">
        <f t="shared" ca="1" si="1440"/>
        <v>177777.08616391147</v>
      </c>
      <c r="BP1194" s="52">
        <f t="shared" ca="1" si="1440"/>
        <v>97479.370084233102</v>
      </c>
      <c r="BQ1194" s="52">
        <f t="shared" ca="1" si="1440"/>
        <v>147496.84938078091</v>
      </c>
      <c r="BR1194" s="52">
        <f t="shared" ca="1" si="1440"/>
        <v>278245.88708535011</v>
      </c>
      <c r="BS1194" s="52">
        <f t="shared" ca="1" si="1440"/>
        <v>176430.29235447777</v>
      </c>
      <c r="BT1194" s="52">
        <f t="shared" ca="1" si="1440"/>
        <v>94568.477972540364</v>
      </c>
      <c r="BU1194" s="52">
        <f t="shared" ca="1" si="1440"/>
        <v>144907.78111575436</v>
      </c>
      <c r="BV1194" s="52">
        <f t="shared" ca="1" si="1440"/>
        <v>290142.81625441811</v>
      </c>
      <c r="BW1194" s="52">
        <f t="shared" ca="1" si="1440"/>
        <v>184249.96053286913</v>
      </c>
      <c r="BX1194" s="52">
        <f t="shared" ref="BX1194:CO1194" ca="1" si="1441">IF(BX1226&gt;0,MAX(BX1226,0),BX1226)</f>
        <v>97648.295518110244</v>
      </c>
      <c r="BY1194" s="52">
        <f t="shared" ca="1" si="1441"/>
        <v>151770.83585332031</v>
      </c>
      <c r="BZ1194" s="52">
        <f t="shared" ca="1" si="1441"/>
        <v>302440.46734145656</v>
      </c>
      <c r="CA1194" s="52">
        <f t="shared" ca="1" si="1441"/>
        <v>192307.85374290359</v>
      </c>
      <c r="CB1194" s="52">
        <f t="shared" ca="1" si="1441"/>
        <v>102248.94821865222</v>
      </c>
      <c r="CC1194" s="52">
        <f t="shared" ca="1" si="1441"/>
        <v>158541.06086534384</v>
      </c>
      <c r="CD1194" s="52">
        <f t="shared" ca="1" si="1441"/>
        <v>315242.0910079485</v>
      </c>
      <c r="CE1194" s="52">
        <f t="shared" ca="1" si="1441"/>
        <v>200699.82662151247</v>
      </c>
      <c r="CF1194" s="52">
        <f t="shared" ca="1" si="1441"/>
        <v>107016.58280527144</v>
      </c>
      <c r="CG1194" s="52">
        <f t="shared" ca="1" si="1441"/>
        <v>165564.89886920995</v>
      </c>
      <c r="CH1194" s="52">
        <f t="shared" ca="1" si="1441"/>
        <v>328538.39464533399</v>
      </c>
      <c r="CI1194" s="52">
        <f t="shared" ca="1" si="1441"/>
        <v>209410.09343949921</v>
      </c>
      <c r="CJ1194" s="52">
        <f t="shared" ca="1" si="1441"/>
        <v>113577.58786442541</v>
      </c>
      <c r="CK1194" s="52">
        <f t="shared" ca="1" si="1441"/>
        <v>172449.24687161582</v>
      </c>
      <c r="CL1194" s="52">
        <f t="shared" ca="1" si="1441"/>
        <v>342372.8721207974</v>
      </c>
      <c r="CM1194" s="52">
        <f t="shared" ca="1" si="1441"/>
        <v>218474.8026703553</v>
      </c>
      <c r="CN1194" s="52">
        <f t="shared" ca="1" si="1441"/>
        <v>117079.85311511872</v>
      </c>
      <c r="CO1194" s="52">
        <f t="shared" ca="1" si="1441"/>
        <v>180414.39771195172</v>
      </c>
    </row>
    <row r="1195" spans="1:93">
      <c r="A1195" s="10"/>
      <c r="B1195" s="10"/>
      <c r="C1195" s="17" t="s">
        <v>367</v>
      </c>
      <c r="D1195" s="10"/>
      <c r="E1195" s="10"/>
      <c r="F1195" s="10"/>
      <c r="G1195" s="134" t="str">
        <f>Monetary_Unit</f>
        <v>тыс. руб.</v>
      </c>
      <c r="H1195" s="10"/>
      <c r="I1195" s="23">
        <f ca="1">SUM(L1195:CO1195)</f>
        <v>-395320.07735860086</v>
      </c>
      <c r="J1195" s="10"/>
      <c r="K1195" s="10"/>
      <c r="L1195" s="52">
        <f ca="1">L1189</f>
        <v>0</v>
      </c>
      <c r="M1195" s="52">
        <f t="shared" ref="M1195:BX1195" ca="1" si="1442">M1189</f>
        <v>0</v>
      </c>
      <c r="N1195" s="52">
        <f t="shared" ca="1" si="1442"/>
        <v>0</v>
      </c>
      <c r="O1195" s="52">
        <f t="shared" ca="1" si="1442"/>
        <v>0</v>
      </c>
      <c r="P1195" s="52">
        <f t="shared" ca="1" si="1442"/>
        <v>0</v>
      </c>
      <c r="Q1195" s="52">
        <f t="shared" ca="1" si="1442"/>
        <v>0</v>
      </c>
      <c r="R1195" s="52">
        <f t="shared" ca="1" si="1442"/>
        <v>0</v>
      </c>
      <c r="S1195" s="52">
        <f t="shared" ca="1" si="1442"/>
        <v>0</v>
      </c>
      <c r="T1195" s="52">
        <f t="shared" ca="1" si="1442"/>
        <v>0</v>
      </c>
      <c r="U1195" s="52">
        <f t="shared" ca="1" si="1442"/>
        <v>0</v>
      </c>
      <c r="V1195" s="52">
        <f t="shared" ca="1" si="1442"/>
        <v>0</v>
      </c>
      <c r="W1195" s="52">
        <f t="shared" ca="1" si="1442"/>
        <v>0</v>
      </c>
      <c r="X1195" s="52">
        <f t="shared" ca="1" si="1442"/>
        <v>0</v>
      </c>
      <c r="Y1195" s="52">
        <f t="shared" ca="1" si="1442"/>
        <v>0</v>
      </c>
      <c r="Z1195" s="52">
        <f t="shared" ca="1" si="1442"/>
        <v>0</v>
      </c>
      <c r="AA1195" s="52">
        <f t="shared" ca="1" si="1442"/>
        <v>0</v>
      </c>
      <c r="AB1195" s="52">
        <f t="shared" ca="1" si="1442"/>
        <v>0</v>
      </c>
      <c r="AC1195" s="52">
        <f t="shared" ca="1" si="1442"/>
        <v>-25497.350786420462</v>
      </c>
      <c r="AD1195" s="52">
        <f t="shared" ca="1" si="1442"/>
        <v>-23478.65760437533</v>
      </c>
      <c r="AE1195" s="52">
        <f t="shared" ca="1" si="1442"/>
        <v>-22637.514180235645</v>
      </c>
      <c r="AF1195" s="52">
        <f t="shared" ca="1" si="1442"/>
        <v>-16603.06793925575</v>
      </c>
      <c r="AG1195" s="52">
        <f t="shared" ca="1" si="1442"/>
        <v>-18528.165154957809</v>
      </c>
      <c r="AH1195" s="52">
        <f t="shared" ca="1" si="1442"/>
        <v>-22706.018620742561</v>
      </c>
      <c r="AI1195" s="52">
        <f t="shared" ca="1" si="1442"/>
        <v>-22255.330733271327</v>
      </c>
      <c r="AJ1195" s="52">
        <f t="shared" ca="1" si="1442"/>
        <v>-19282.548891160492</v>
      </c>
      <c r="AK1195" s="52">
        <f t="shared" ca="1" si="1442"/>
        <v>-21420.123084138846</v>
      </c>
      <c r="AL1195" s="52">
        <f t="shared" ca="1" si="1442"/>
        <v>-21914.67467605598</v>
      </c>
      <c r="AM1195" s="52">
        <f t="shared" ca="1" si="1442"/>
        <v>-21251.228753983789</v>
      </c>
      <c r="AN1195" s="52">
        <f t="shared" ca="1" si="1442"/>
        <v>-20340.528546735615</v>
      </c>
      <c r="AO1195" s="52">
        <f t="shared" ca="1" si="1442"/>
        <v>-20274.117805717458</v>
      </c>
      <c r="AP1195" s="52">
        <f t="shared" ca="1" si="1442"/>
        <v>-20353.111120342837</v>
      </c>
      <c r="AQ1195" s="52">
        <f t="shared" ca="1" si="1442"/>
        <v>-19460.702954767974</v>
      </c>
      <c r="AR1195" s="52">
        <f t="shared" ca="1" si="1442"/>
        <v>-18266.375270445842</v>
      </c>
      <c r="AS1195" s="52">
        <f t="shared" ca="1" si="1442"/>
        <v>-18276.824846852647</v>
      </c>
      <c r="AT1195" s="52">
        <f t="shared" ca="1" si="1442"/>
        <v>-18230.566621183993</v>
      </c>
      <c r="AU1195" s="52">
        <f t="shared" ca="1" si="1442"/>
        <v>-15600.088032265026</v>
      </c>
      <c r="AV1195" s="52">
        <f t="shared" ca="1" si="1442"/>
        <v>-6768.903048696302</v>
      </c>
      <c r="AW1195" s="52">
        <f t="shared" ca="1" si="1442"/>
        <v>-2174.1786869951966</v>
      </c>
      <c r="AX1195" s="52">
        <f t="shared" ca="1" si="1442"/>
        <v>0</v>
      </c>
      <c r="AY1195" s="52">
        <f t="shared" ca="1" si="1442"/>
        <v>0</v>
      </c>
      <c r="AZ1195" s="52">
        <f t="shared" ca="1" si="1442"/>
        <v>0</v>
      </c>
      <c r="BA1195" s="52">
        <f t="shared" ca="1" si="1442"/>
        <v>0</v>
      </c>
      <c r="BB1195" s="52">
        <f t="shared" ca="1" si="1442"/>
        <v>0</v>
      </c>
      <c r="BC1195" s="52">
        <f t="shared" ca="1" si="1442"/>
        <v>0</v>
      </c>
      <c r="BD1195" s="52">
        <f t="shared" ca="1" si="1442"/>
        <v>0</v>
      </c>
      <c r="BE1195" s="52">
        <f t="shared" ca="1" si="1442"/>
        <v>0</v>
      </c>
      <c r="BF1195" s="52">
        <f t="shared" ca="1" si="1442"/>
        <v>0</v>
      </c>
      <c r="BG1195" s="52">
        <f t="shared" ca="1" si="1442"/>
        <v>0</v>
      </c>
      <c r="BH1195" s="52">
        <f t="shared" ca="1" si="1442"/>
        <v>0</v>
      </c>
      <c r="BI1195" s="52">
        <f t="shared" ca="1" si="1442"/>
        <v>0</v>
      </c>
      <c r="BJ1195" s="52">
        <f t="shared" ca="1" si="1442"/>
        <v>0</v>
      </c>
      <c r="BK1195" s="52">
        <f t="shared" ca="1" si="1442"/>
        <v>0</v>
      </c>
      <c r="BL1195" s="52">
        <f t="shared" ca="1" si="1442"/>
        <v>0</v>
      </c>
      <c r="BM1195" s="52">
        <f t="shared" ca="1" si="1442"/>
        <v>0</v>
      </c>
      <c r="BN1195" s="52">
        <f t="shared" ca="1" si="1442"/>
        <v>0</v>
      </c>
      <c r="BO1195" s="52">
        <f t="shared" ca="1" si="1442"/>
        <v>0</v>
      </c>
      <c r="BP1195" s="52">
        <f t="shared" ca="1" si="1442"/>
        <v>0</v>
      </c>
      <c r="BQ1195" s="52">
        <f t="shared" ca="1" si="1442"/>
        <v>0</v>
      </c>
      <c r="BR1195" s="52">
        <f t="shared" ca="1" si="1442"/>
        <v>0</v>
      </c>
      <c r="BS1195" s="52">
        <f t="shared" ca="1" si="1442"/>
        <v>0</v>
      </c>
      <c r="BT1195" s="52">
        <f t="shared" ca="1" si="1442"/>
        <v>0</v>
      </c>
      <c r="BU1195" s="52">
        <f t="shared" ca="1" si="1442"/>
        <v>0</v>
      </c>
      <c r="BV1195" s="52">
        <f t="shared" ca="1" si="1442"/>
        <v>0</v>
      </c>
      <c r="BW1195" s="52">
        <f t="shared" ca="1" si="1442"/>
        <v>0</v>
      </c>
      <c r="BX1195" s="52">
        <f t="shared" ca="1" si="1442"/>
        <v>0</v>
      </c>
      <c r="BY1195" s="52">
        <f t="shared" ref="BY1195:CO1195" ca="1" si="1443">BY1189</f>
        <v>0</v>
      </c>
      <c r="BZ1195" s="52">
        <f t="shared" ca="1" si="1443"/>
        <v>0</v>
      </c>
      <c r="CA1195" s="52">
        <f t="shared" ca="1" si="1443"/>
        <v>0</v>
      </c>
      <c r="CB1195" s="52">
        <f t="shared" ca="1" si="1443"/>
        <v>0</v>
      </c>
      <c r="CC1195" s="52">
        <f t="shared" ca="1" si="1443"/>
        <v>0</v>
      </c>
      <c r="CD1195" s="52">
        <f t="shared" ca="1" si="1443"/>
        <v>0</v>
      </c>
      <c r="CE1195" s="52">
        <f t="shared" ca="1" si="1443"/>
        <v>0</v>
      </c>
      <c r="CF1195" s="52">
        <f t="shared" ca="1" si="1443"/>
        <v>0</v>
      </c>
      <c r="CG1195" s="52">
        <f t="shared" ca="1" si="1443"/>
        <v>0</v>
      </c>
      <c r="CH1195" s="52">
        <f t="shared" ca="1" si="1443"/>
        <v>0</v>
      </c>
      <c r="CI1195" s="52">
        <f t="shared" ca="1" si="1443"/>
        <v>0</v>
      </c>
      <c r="CJ1195" s="52">
        <f t="shared" ca="1" si="1443"/>
        <v>0</v>
      </c>
      <c r="CK1195" s="52">
        <f t="shared" ca="1" si="1443"/>
        <v>0</v>
      </c>
      <c r="CL1195" s="52">
        <f t="shared" ca="1" si="1443"/>
        <v>0</v>
      </c>
      <c r="CM1195" s="52">
        <f t="shared" ca="1" si="1443"/>
        <v>0</v>
      </c>
      <c r="CN1195" s="52">
        <f t="shared" ca="1" si="1443"/>
        <v>0</v>
      </c>
      <c r="CO1195" s="52">
        <f t="shared" ca="1" si="1443"/>
        <v>0</v>
      </c>
    </row>
    <row r="1196" spans="1:93">
      <c r="A1196" s="10"/>
      <c r="B1196" s="10"/>
      <c r="C1196" s="17"/>
      <c r="D1196" s="10"/>
      <c r="E1196" s="10"/>
      <c r="F1196" s="10"/>
      <c r="G1196" s="11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0"/>
      <c r="AH1196" s="10"/>
      <c r="AI1196" s="10"/>
      <c r="AJ1196" s="10"/>
      <c r="AK1196" s="10"/>
      <c r="AL1196" s="10"/>
      <c r="AM1196" s="10"/>
      <c r="AN1196" s="10"/>
      <c r="AO1196" s="10"/>
      <c r="AP1196" s="10"/>
      <c r="AQ1196" s="10"/>
      <c r="AR1196" s="10"/>
      <c r="AS1196" s="10"/>
      <c r="AT1196" s="10"/>
      <c r="AU1196" s="10"/>
      <c r="AV1196" s="10"/>
      <c r="AW1196" s="10"/>
      <c r="AX1196" s="10"/>
      <c r="AY1196" s="10"/>
      <c r="AZ1196" s="10"/>
      <c r="BA1196" s="10"/>
      <c r="BB1196" s="10"/>
      <c r="BC1196" s="10"/>
      <c r="BD1196" s="10"/>
      <c r="BE1196" s="10"/>
      <c r="BF1196" s="10"/>
      <c r="BG1196" s="10"/>
      <c r="BH1196" s="10"/>
      <c r="BI1196" s="10"/>
      <c r="BJ1196" s="10"/>
      <c r="BK1196" s="10"/>
      <c r="BL1196" s="10"/>
      <c r="BM1196" s="10"/>
      <c r="BN1196" s="10"/>
      <c r="BO1196" s="10"/>
      <c r="BP1196" s="10"/>
      <c r="BQ1196" s="10"/>
      <c r="BR1196" s="10"/>
      <c r="BS1196" s="10"/>
      <c r="BT1196" s="10"/>
      <c r="BU1196" s="10"/>
      <c r="BV1196" s="10"/>
      <c r="BW1196" s="10"/>
      <c r="BX1196" s="10"/>
      <c r="BY1196" s="10"/>
      <c r="BZ1196" s="10"/>
      <c r="CA1196" s="10"/>
      <c r="CB1196" s="10"/>
      <c r="CC1196" s="10"/>
      <c r="CD1196" s="10"/>
      <c r="CE1196" s="10"/>
      <c r="CF1196" s="10"/>
      <c r="CG1196" s="10"/>
      <c r="CH1196" s="10"/>
      <c r="CI1196" s="10"/>
      <c r="CJ1196" s="10"/>
      <c r="CK1196" s="10"/>
      <c r="CL1196" s="10"/>
      <c r="CM1196" s="10"/>
      <c r="CN1196" s="10"/>
      <c r="CO1196" s="10"/>
    </row>
    <row r="1197" spans="1:93">
      <c r="A1197" s="10"/>
      <c r="B1197" s="10"/>
      <c r="C1197" s="17" t="s">
        <v>368</v>
      </c>
      <c r="D1197" s="10"/>
      <c r="E1197" s="10"/>
      <c r="F1197" s="10"/>
      <c r="G1197" s="134" t="str">
        <f>Monetary_Unit</f>
        <v>тыс. руб.</v>
      </c>
      <c r="H1197" s="10"/>
      <c r="I1197" s="10"/>
      <c r="J1197" s="10"/>
      <c r="K1197" s="10"/>
      <c r="L1197" s="52">
        <f ca="1">MAX(L1194,0)*Flag_Operations</f>
        <v>0</v>
      </c>
      <c r="M1197" s="52">
        <f t="shared" ref="M1197:BX1197" ca="1" si="1444">MAX(M1194,0)*Flag_Operations</f>
        <v>0</v>
      </c>
      <c r="N1197" s="52">
        <f t="shared" ca="1" si="1444"/>
        <v>0</v>
      </c>
      <c r="O1197" s="52">
        <f t="shared" ca="1" si="1444"/>
        <v>0</v>
      </c>
      <c r="P1197" s="52">
        <f t="shared" ca="1" si="1444"/>
        <v>0</v>
      </c>
      <c r="Q1197" s="52">
        <f t="shared" ca="1" si="1444"/>
        <v>0</v>
      </c>
      <c r="R1197" s="52">
        <f t="shared" ca="1" si="1444"/>
        <v>0</v>
      </c>
      <c r="S1197" s="52">
        <f t="shared" ca="1" si="1444"/>
        <v>0</v>
      </c>
      <c r="T1197" s="52">
        <f t="shared" ca="1" si="1444"/>
        <v>0</v>
      </c>
      <c r="U1197" s="52">
        <f t="shared" ca="1" si="1444"/>
        <v>0</v>
      </c>
      <c r="V1197" s="52">
        <f t="shared" ca="1" si="1444"/>
        <v>0</v>
      </c>
      <c r="W1197" s="52">
        <f t="shared" ca="1" si="1444"/>
        <v>0</v>
      </c>
      <c r="X1197" s="52">
        <f t="shared" ca="1" si="1444"/>
        <v>0</v>
      </c>
      <c r="Y1197" s="52">
        <f t="shared" ca="1" si="1444"/>
        <v>0</v>
      </c>
      <c r="Z1197" s="52">
        <f t="shared" ca="1" si="1444"/>
        <v>0</v>
      </c>
      <c r="AA1197" s="52">
        <f t="shared" ca="1" si="1444"/>
        <v>0</v>
      </c>
      <c r="AB1197" s="52">
        <f t="shared" ca="1" si="1444"/>
        <v>0</v>
      </c>
      <c r="AC1197" s="52">
        <f t="shared" ca="1" si="1444"/>
        <v>93057.141870167456</v>
      </c>
      <c r="AD1197" s="52">
        <f t="shared" ca="1" si="1444"/>
        <v>48198.250986902334</v>
      </c>
      <c r="AE1197" s="52">
        <f t="shared" ca="1" si="1444"/>
        <v>29733.466299711523</v>
      </c>
      <c r="AF1197" s="52">
        <f t="shared" ca="1" si="1444"/>
        <v>16603.06793925575</v>
      </c>
      <c r="AG1197" s="52">
        <f t="shared" ca="1" si="1444"/>
        <v>18528.165154957809</v>
      </c>
      <c r="AH1197" s="52">
        <f t="shared" ca="1" si="1444"/>
        <v>35950.871996507485</v>
      </c>
      <c r="AI1197" s="52">
        <f t="shared" ca="1" si="1444"/>
        <v>34592.844168954645</v>
      </c>
      <c r="AJ1197" s="52">
        <f t="shared" ca="1" si="1444"/>
        <v>19282.548891160492</v>
      </c>
      <c r="AK1197" s="52">
        <f t="shared" ca="1" si="1444"/>
        <v>21420.123084138846</v>
      </c>
      <c r="AL1197" s="52">
        <f t="shared" ca="1" si="1444"/>
        <v>41412.078988161375</v>
      </c>
      <c r="AM1197" s="52">
        <f t="shared" ca="1" si="1444"/>
        <v>39790.350197499094</v>
      </c>
      <c r="AN1197" s="52">
        <f t="shared" ca="1" si="1444"/>
        <v>22319.065885982272</v>
      </c>
      <c r="AO1197" s="52">
        <f t="shared" ca="1" si="1444"/>
        <v>24511.678439912386</v>
      </c>
      <c r="AP1197" s="52">
        <f t="shared" ca="1" si="1444"/>
        <v>46651.129526172124</v>
      </c>
      <c r="AQ1197" s="52">
        <f t="shared" ca="1" si="1444"/>
        <v>44197.394445630111</v>
      </c>
      <c r="AR1197" s="52">
        <f t="shared" ca="1" si="1444"/>
        <v>23986.050021722564</v>
      </c>
      <c r="AS1197" s="52">
        <f t="shared" ca="1" si="1444"/>
        <v>25538.69247853999</v>
      </c>
      <c r="AT1197" s="52">
        <f t="shared" ca="1" si="1444"/>
        <v>95535.291657852416</v>
      </c>
      <c r="AU1197" s="52">
        <f t="shared" ca="1" si="1444"/>
        <v>270711.13427012885</v>
      </c>
      <c r="AV1197" s="52">
        <f t="shared" ca="1" si="1444"/>
        <v>145517.46262419978</v>
      </c>
      <c r="AW1197" s="52">
        <f t="shared" ca="1" si="1444"/>
        <v>182387.59892833943</v>
      </c>
      <c r="AX1197" s="52">
        <f t="shared" ca="1" si="1444"/>
        <v>273026.89898316731</v>
      </c>
      <c r="AY1197" s="52">
        <f t="shared" ca="1" si="1444"/>
        <v>160610.09420331367</v>
      </c>
      <c r="AZ1197" s="52">
        <f t="shared" ca="1" si="1444"/>
        <v>90746.681474151221</v>
      </c>
      <c r="BA1197" s="52">
        <f t="shared" ca="1" si="1444"/>
        <v>140327.30961439823</v>
      </c>
      <c r="BB1197" s="52">
        <f t="shared" ca="1" si="1444"/>
        <v>273441.40717452572</v>
      </c>
      <c r="BC1197" s="52">
        <f t="shared" ca="1" si="1444"/>
        <v>167027.39986984793</v>
      </c>
      <c r="BD1197" s="52">
        <f t="shared" ca="1" si="1444"/>
        <v>95677.102949824461</v>
      </c>
      <c r="BE1197" s="52">
        <f t="shared" ca="1" si="1444"/>
        <v>144587.40117527739</v>
      </c>
      <c r="BF1197" s="52">
        <f t="shared" ca="1" si="1444"/>
        <v>283339.07755339477</v>
      </c>
      <c r="BG1197" s="52">
        <f t="shared" ca="1" si="1444"/>
        <v>172668.51570028992</v>
      </c>
      <c r="BH1197" s="52">
        <f t="shared" ca="1" si="1444"/>
        <v>97093.665388560941</v>
      </c>
      <c r="BI1197" s="52">
        <f t="shared" ca="1" si="1444"/>
        <v>150722.02899878885</v>
      </c>
      <c r="BJ1197" s="52">
        <f t="shared" ca="1" si="1444"/>
        <v>294700.16257395281</v>
      </c>
      <c r="BK1197" s="52">
        <f t="shared" ca="1" si="1444"/>
        <v>179602.77227321349</v>
      </c>
      <c r="BL1197" s="52">
        <f t="shared" ca="1" si="1444"/>
        <v>101010.04112024038</v>
      </c>
      <c r="BM1197" s="52">
        <f t="shared" ca="1" si="1444"/>
        <v>156784.45144098948</v>
      </c>
      <c r="BN1197" s="52">
        <f t="shared" ca="1" si="1444"/>
        <v>306522.65430726274</v>
      </c>
      <c r="BO1197" s="52">
        <f t="shared" ca="1" si="1444"/>
        <v>177777.08616391147</v>
      </c>
      <c r="BP1197" s="52">
        <f t="shared" ca="1" si="1444"/>
        <v>97479.370084233102</v>
      </c>
      <c r="BQ1197" s="52">
        <f t="shared" ca="1" si="1444"/>
        <v>147496.84938078091</v>
      </c>
      <c r="BR1197" s="52">
        <f t="shared" ca="1" si="1444"/>
        <v>278245.88708535011</v>
      </c>
      <c r="BS1197" s="52">
        <f t="shared" ca="1" si="1444"/>
        <v>176430.29235447777</v>
      </c>
      <c r="BT1197" s="52">
        <f t="shared" ca="1" si="1444"/>
        <v>94568.477972540364</v>
      </c>
      <c r="BU1197" s="52">
        <f t="shared" ca="1" si="1444"/>
        <v>144907.78111575436</v>
      </c>
      <c r="BV1197" s="52">
        <f t="shared" ca="1" si="1444"/>
        <v>290142.81625441811</v>
      </c>
      <c r="BW1197" s="52">
        <f t="shared" ca="1" si="1444"/>
        <v>184249.96053286913</v>
      </c>
      <c r="BX1197" s="52">
        <f t="shared" ca="1" si="1444"/>
        <v>97648.295518110244</v>
      </c>
      <c r="BY1197" s="52">
        <f t="shared" ref="BY1197:CO1197" ca="1" si="1445">MAX(BY1194,0)*Flag_Operations</f>
        <v>151770.83585332031</v>
      </c>
      <c r="BZ1197" s="52">
        <f t="shared" ca="1" si="1445"/>
        <v>302440.46734145656</v>
      </c>
      <c r="CA1197" s="52">
        <f t="shared" ca="1" si="1445"/>
        <v>192307.85374290359</v>
      </c>
      <c r="CB1197" s="52">
        <f t="shared" ca="1" si="1445"/>
        <v>102248.94821865222</v>
      </c>
      <c r="CC1197" s="52">
        <f t="shared" ca="1" si="1445"/>
        <v>158541.06086534384</v>
      </c>
      <c r="CD1197" s="52">
        <f t="shared" ca="1" si="1445"/>
        <v>315242.0910079485</v>
      </c>
      <c r="CE1197" s="52">
        <f t="shared" ca="1" si="1445"/>
        <v>200699.82662151247</v>
      </c>
      <c r="CF1197" s="52">
        <f t="shared" ca="1" si="1445"/>
        <v>107016.58280527144</v>
      </c>
      <c r="CG1197" s="52">
        <f t="shared" ca="1" si="1445"/>
        <v>165564.89886920995</v>
      </c>
      <c r="CH1197" s="52">
        <f t="shared" ca="1" si="1445"/>
        <v>328538.39464533399</v>
      </c>
      <c r="CI1197" s="52">
        <f t="shared" ca="1" si="1445"/>
        <v>209410.09343949921</v>
      </c>
      <c r="CJ1197" s="52">
        <f t="shared" ca="1" si="1445"/>
        <v>113577.58786442541</v>
      </c>
      <c r="CK1197" s="52">
        <f t="shared" ca="1" si="1445"/>
        <v>172449.24687161582</v>
      </c>
      <c r="CL1197" s="52">
        <f t="shared" ca="1" si="1445"/>
        <v>342372.8721207974</v>
      </c>
      <c r="CM1197" s="52">
        <f t="shared" ca="1" si="1445"/>
        <v>218474.8026703553</v>
      </c>
      <c r="CN1197" s="52">
        <f t="shared" ca="1" si="1445"/>
        <v>117079.85311511872</v>
      </c>
      <c r="CO1197" s="52">
        <f t="shared" ca="1" si="1445"/>
        <v>180414.39771195172</v>
      </c>
    </row>
    <row r="1198" spans="1:93">
      <c r="A1198" s="10"/>
      <c r="B1198" s="10"/>
      <c r="C1198" s="17" t="s">
        <v>369</v>
      </c>
      <c r="D1198" s="10"/>
      <c r="E1198" s="10"/>
      <c r="F1198" s="10"/>
      <c r="G1198" s="134" t="str">
        <f>Monetary_Unit</f>
        <v>тыс. руб.</v>
      </c>
      <c r="H1198" s="10"/>
      <c r="I1198" s="10"/>
      <c r="J1198" s="10"/>
      <c r="K1198" s="10"/>
      <c r="L1198" s="52">
        <f ca="1">MIN(L1197,L1185)</f>
        <v>0</v>
      </c>
      <c r="M1198" s="52">
        <f t="shared" ref="M1198:BX1198" ca="1" si="1446">MIN(M1197,M1185)</f>
        <v>0</v>
      </c>
      <c r="N1198" s="52">
        <f t="shared" ca="1" si="1446"/>
        <v>0</v>
      </c>
      <c r="O1198" s="52">
        <f t="shared" ca="1" si="1446"/>
        <v>0</v>
      </c>
      <c r="P1198" s="52">
        <f t="shared" ca="1" si="1446"/>
        <v>0</v>
      </c>
      <c r="Q1198" s="52">
        <f t="shared" ca="1" si="1446"/>
        <v>0</v>
      </c>
      <c r="R1198" s="52">
        <f t="shared" ca="1" si="1446"/>
        <v>0</v>
      </c>
      <c r="S1198" s="52">
        <f t="shared" ca="1" si="1446"/>
        <v>0</v>
      </c>
      <c r="T1198" s="52">
        <f t="shared" ca="1" si="1446"/>
        <v>0</v>
      </c>
      <c r="U1198" s="52">
        <f t="shared" ca="1" si="1446"/>
        <v>0</v>
      </c>
      <c r="V1198" s="52">
        <f t="shared" ca="1" si="1446"/>
        <v>0</v>
      </c>
      <c r="W1198" s="52">
        <f t="shared" ca="1" si="1446"/>
        <v>0</v>
      </c>
      <c r="X1198" s="52">
        <f t="shared" ca="1" si="1446"/>
        <v>0</v>
      </c>
      <c r="Y1198" s="52">
        <f t="shared" ca="1" si="1446"/>
        <v>0</v>
      </c>
      <c r="Z1198" s="52">
        <f t="shared" ca="1" si="1446"/>
        <v>0</v>
      </c>
      <c r="AA1198" s="52">
        <f t="shared" ca="1" si="1446"/>
        <v>0</v>
      </c>
      <c r="AB1198" s="52">
        <f t="shared" ca="1" si="1446"/>
        <v>0</v>
      </c>
      <c r="AC1198" s="52">
        <f t="shared" ca="1" si="1446"/>
        <v>25497.350786420462</v>
      </c>
      <c r="AD1198" s="52">
        <f t="shared" ca="1" si="1446"/>
        <v>23478.65760437533</v>
      </c>
      <c r="AE1198" s="52">
        <f t="shared" ca="1" si="1446"/>
        <v>22637.514180235645</v>
      </c>
      <c r="AF1198" s="52">
        <f t="shared" ca="1" si="1446"/>
        <v>16603.06793925575</v>
      </c>
      <c r="AG1198" s="52">
        <f t="shared" ca="1" si="1446"/>
        <v>18528.165154957809</v>
      </c>
      <c r="AH1198" s="52">
        <f t="shared" ca="1" si="1446"/>
        <v>22706.018620742561</v>
      </c>
      <c r="AI1198" s="52">
        <f t="shared" ca="1" si="1446"/>
        <v>22255.330733271327</v>
      </c>
      <c r="AJ1198" s="52">
        <f t="shared" ca="1" si="1446"/>
        <v>19282.548891160492</v>
      </c>
      <c r="AK1198" s="52">
        <f t="shared" ca="1" si="1446"/>
        <v>21420.123084138846</v>
      </c>
      <c r="AL1198" s="52">
        <f t="shared" ca="1" si="1446"/>
        <v>21914.67467605598</v>
      </c>
      <c r="AM1198" s="52">
        <f t="shared" ca="1" si="1446"/>
        <v>21251.228753983789</v>
      </c>
      <c r="AN1198" s="52">
        <f t="shared" ca="1" si="1446"/>
        <v>20340.528546735615</v>
      </c>
      <c r="AO1198" s="52">
        <f t="shared" ca="1" si="1446"/>
        <v>20274.117805717458</v>
      </c>
      <c r="AP1198" s="52">
        <f t="shared" ca="1" si="1446"/>
        <v>20353.111120342837</v>
      </c>
      <c r="AQ1198" s="52">
        <f t="shared" ca="1" si="1446"/>
        <v>19460.702954767974</v>
      </c>
      <c r="AR1198" s="52">
        <f t="shared" ca="1" si="1446"/>
        <v>18266.375270445842</v>
      </c>
      <c r="AS1198" s="52">
        <f t="shared" ca="1" si="1446"/>
        <v>18276.824846852647</v>
      </c>
      <c r="AT1198" s="52">
        <f t="shared" ca="1" si="1446"/>
        <v>18230.566621183993</v>
      </c>
      <c r="AU1198" s="52">
        <f t="shared" ca="1" si="1446"/>
        <v>15600.088032265026</v>
      </c>
      <c r="AV1198" s="52">
        <f t="shared" ca="1" si="1446"/>
        <v>6768.903048696302</v>
      </c>
      <c r="AW1198" s="52">
        <f t="shared" ca="1" si="1446"/>
        <v>2174.1786869951966</v>
      </c>
      <c r="AX1198" s="52">
        <f t="shared" ca="1" si="1446"/>
        <v>0</v>
      </c>
      <c r="AY1198" s="52">
        <f t="shared" ca="1" si="1446"/>
        <v>0</v>
      </c>
      <c r="AZ1198" s="52">
        <f t="shared" ca="1" si="1446"/>
        <v>0</v>
      </c>
      <c r="BA1198" s="52">
        <f t="shared" ca="1" si="1446"/>
        <v>0</v>
      </c>
      <c r="BB1198" s="52">
        <f t="shared" ca="1" si="1446"/>
        <v>0</v>
      </c>
      <c r="BC1198" s="52">
        <f t="shared" ca="1" si="1446"/>
        <v>0</v>
      </c>
      <c r="BD1198" s="52">
        <f t="shared" ca="1" si="1446"/>
        <v>0</v>
      </c>
      <c r="BE1198" s="52">
        <f t="shared" ca="1" si="1446"/>
        <v>0</v>
      </c>
      <c r="BF1198" s="52">
        <f t="shared" ca="1" si="1446"/>
        <v>0</v>
      </c>
      <c r="BG1198" s="52">
        <f t="shared" ca="1" si="1446"/>
        <v>0</v>
      </c>
      <c r="BH1198" s="52">
        <f t="shared" ca="1" si="1446"/>
        <v>0</v>
      </c>
      <c r="BI1198" s="52">
        <f t="shared" ca="1" si="1446"/>
        <v>0</v>
      </c>
      <c r="BJ1198" s="52">
        <f t="shared" ca="1" si="1446"/>
        <v>0</v>
      </c>
      <c r="BK1198" s="52">
        <f t="shared" ca="1" si="1446"/>
        <v>0</v>
      </c>
      <c r="BL1198" s="52">
        <f t="shared" ca="1" si="1446"/>
        <v>0</v>
      </c>
      <c r="BM1198" s="52">
        <f t="shared" ca="1" si="1446"/>
        <v>0</v>
      </c>
      <c r="BN1198" s="52">
        <f t="shared" ca="1" si="1446"/>
        <v>0</v>
      </c>
      <c r="BO1198" s="52">
        <f t="shared" ca="1" si="1446"/>
        <v>0</v>
      </c>
      <c r="BP1198" s="52">
        <f t="shared" ca="1" si="1446"/>
        <v>0</v>
      </c>
      <c r="BQ1198" s="52">
        <f t="shared" ca="1" si="1446"/>
        <v>0</v>
      </c>
      <c r="BR1198" s="52">
        <f t="shared" ca="1" si="1446"/>
        <v>0</v>
      </c>
      <c r="BS1198" s="52">
        <f t="shared" ca="1" si="1446"/>
        <v>0</v>
      </c>
      <c r="BT1198" s="52">
        <f t="shared" ca="1" si="1446"/>
        <v>0</v>
      </c>
      <c r="BU1198" s="52">
        <f t="shared" ca="1" si="1446"/>
        <v>0</v>
      </c>
      <c r="BV1198" s="52">
        <f t="shared" ca="1" si="1446"/>
        <v>0</v>
      </c>
      <c r="BW1198" s="52">
        <f t="shared" ca="1" si="1446"/>
        <v>0</v>
      </c>
      <c r="BX1198" s="52">
        <f t="shared" ca="1" si="1446"/>
        <v>0</v>
      </c>
      <c r="BY1198" s="52">
        <f t="shared" ref="BY1198:CO1198" ca="1" si="1447">MIN(BY1197,BY1185)</f>
        <v>0</v>
      </c>
      <c r="BZ1198" s="52">
        <f t="shared" ca="1" si="1447"/>
        <v>0</v>
      </c>
      <c r="CA1198" s="52">
        <f t="shared" ca="1" si="1447"/>
        <v>0</v>
      </c>
      <c r="CB1198" s="52">
        <f t="shared" ca="1" si="1447"/>
        <v>0</v>
      </c>
      <c r="CC1198" s="52">
        <f t="shared" ca="1" si="1447"/>
        <v>0</v>
      </c>
      <c r="CD1198" s="52">
        <f t="shared" ca="1" si="1447"/>
        <v>0</v>
      </c>
      <c r="CE1198" s="52">
        <f t="shared" ca="1" si="1447"/>
        <v>0</v>
      </c>
      <c r="CF1198" s="52">
        <f t="shared" ca="1" si="1447"/>
        <v>0</v>
      </c>
      <c r="CG1198" s="52">
        <f t="shared" ca="1" si="1447"/>
        <v>0</v>
      </c>
      <c r="CH1198" s="52">
        <f t="shared" ca="1" si="1447"/>
        <v>0</v>
      </c>
      <c r="CI1198" s="52">
        <f t="shared" ca="1" si="1447"/>
        <v>0</v>
      </c>
      <c r="CJ1198" s="52">
        <f t="shared" ca="1" si="1447"/>
        <v>0</v>
      </c>
      <c r="CK1198" s="52">
        <f t="shared" ca="1" si="1447"/>
        <v>0</v>
      </c>
      <c r="CL1198" s="52">
        <f t="shared" ca="1" si="1447"/>
        <v>0</v>
      </c>
      <c r="CM1198" s="52">
        <f t="shared" ca="1" si="1447"/>
        <v>0</v>
      </c>
      <c r="CN1198" s="52">
        <f t="shared" ca="1" si="1447"/>
        <v>0</v>
      </c>
      <c r="CO1198" s="52">
        <f t="shared" ca="1" si="1447"/>
        <v>0</v>
      </c>
    </row>
    <row r="1199" spans="1:93">
      <c r="A1199" s="10"/>
      <c r="B1199" s="10"/>
      <c r="C1199" s="17" t="s">
        <v>370</v>
      </c>
      <c r="D1199" s="10"/>
      <c r="E1199" s="10"/>
      <c r="F1199" s="10"/>
      <c r="G1199" s="134" t="str">
        <f>Monetary_Unit</f>
        <v>тыс. руб.</v>
      </c>
      <c r="H1199" s="10"/>
      <c r="I1199" s="10"/>
      <c r="J1199" s="10"/>
      <c r="K1199" s="10"/>
      <c r="L1199" s="52">
        <f ca="1">MAX(L1194+L1195,0)</f>
        <v>0</v>
      </c>
      <c r="M1199" s="52">
        <f t="shared" ref="M1199:BX1199" ca="1" si="1448">MAX(M1194+M1195,0)</f>
        <v>0</v>
      </c>
      <c r="N1199" s="52">
        <f t="shared" ca="1" si="1448"/>
        <v>0</v>
      </c>
      <c r="O1199" s="52">
        <f t="shared" ca="1" si="1448"/>
        <v>0</v>
      </c>
      <c r="P1199" s="52">
        <f t="shared" ca="1" si="1448"/>
        <v>0</v>
      </c>
      <c r="Q1199" s="52">
        <f t="shared" ca="1" si="1448"/>
        <v>0</v>
      </c>
      <c r="R1199" s="52">
        <f t="shared" ca="1" si="1448"/>
        <v>0</v>
      </c>
      <c r="S1199" s="52">
        <f t="shared" ca="1" si="1448"/>
        <v>0</v>
      </c>
      <c r="T1199" s="52">
        <f t="shared" ca="1" si="1448"/>
        <v>0</v>
      </c>
      <c r="U1199" s="52">
        <f t="shared" ca="1" si="1448"/>
        <v>0</v>
      </c>
      <c r="V1199" s="52">
        <f t="shared" ca="1" si="1448"/>
        <v>0</v>
      </c>
      <c r="W1199" s="52">
        <f t="shared" ca="1" si="1448"/>
        <v>0</v>
      </c>
      <c r="X1199" s="52">
        <f t="shared" ca="1" si="1448"/>
        <v>0</v>
      </c>
      <c r="Y1199" s="52">
        <f t="shared" ca="1" si="1448"/>
        <v>0</v>
      </c>
      <c r="Z1199" s="52">
        <f t="shared" ca="1" si="1448"/>
        <v>0</v>
      </c>
      <c r="AA1199" s="52">
        <f t="shared" ca="1" si="1448"/>
        <v>0</v>
      </c>
      <c r="AB1199" s="52">
        <f t="shared" ca="1" si="1448"/>
        <v>0</v>
      </c>
      <c r="AC1199" s="52">
        <f t="shared" ca="1" si="1448"/>
        <v>67559.791083746997</v>
      </c>
      <c r="AD1199" s="52">
        <f t="shared" ca="1" si="1448"/>
        <v>24719.593382527004</v>
      </c>
      <c r="AE1199" s="52">
        <f t="shared" ca="1" si="1448"/>
        <v>7095.9521194758781</v>
      </c>
      <c r="AF1199" s="52">
        <f t="shared" ca="1" si="1448"/>
        <v>0</v>
      </c>
      <c r="AG1199" s="52">
        <f t="shared" ca="1" si="1448"/>
        <v>0</v>
      </c>
      <c r="AH1199" s="52">
        <f t="shared" ca="1" si="1448"/>
        <v>13244.853375764924</v>
      </c>
      <c r="AI1199" s="52">
        <f t="shared" ca="1" si="1448"/>
        <v>12337.513435683319</v>
      </c>
      <c r="AJ1199" s="52">
        <f t="shared" ca="1" si="1448"/>
        <v>0</v>
      </c>
      <c r="AK1199" s="52">
        <f t="shared" ca="1" si="1448"/>
        <v>0</v>
      </c>
      <c r="AL1199" s="52">
        <f t="shared" ca="1" si="1448"/>
        <v>19497.404312105395</v>
      </c>
      <c r="AM1199" s="52">
        <f t="shared" ca="1" si="1448"/>
        <v>18539.121443515305</v>
      </c>
      <c r="AN1199" s="52">
        <f t="shared" ca="1" si="1448"/>
        <v>1978.5373392466572</v>
      </c>
      <c r="AO1199" s="52">
        <f t="shared" ca="1" si="1448"/>
        <v>4237.5606341949278</v>
      </c>
      <c r="AP1199" s="52">
        <f t="shared" ca="1" si="1448"/>
        <v>26298.018405829287</v>
      </c>
      <c r="AQ1199" s="52">
        <f t="shared" ca="1" si="1448"/>
        <v>24736.691490862137</v>
      </c>
      <c r="AR1199" s="52">
        <f t="shared" ca="1" si="1448"/>
        <v>5719.6747512767215</v>
      </c>
      <c r="AS1199" s="52">
        <f t="shared" ca="1" si="1448"/>
        <v>7261.8676316873425</v>
      </c>
      <c r="AT1199" s="52">
        <f t="shared" ca="1" si="1448"/>
        <v>77304.725036668417</v>
      </c>
      <c r="AU1199" s="52">
        <f t="shared" ca="1" si="1448"/>
        <v>255111.04623786383</v>
      </c>
      <c r="AV1199" s="52">
        <f t="shared" ca="1" si="1448"/>
        <v>138748.55957550346</v>
      </c>
      <c r="AW1199" s="52">
        <f t="shared" ca="1" si="1448"/>
        <v>180213.42024134423</v>
      </c>
      <c r="AX1199" s="52">
        <f t="shared" ca="1" si="1448"/>
        <v>273026.89898316731</v>
      </c>
      <c r="AY1199" s="52">
        <f t="shared" ca="1" si="1448"/>
        <v>160610.09420331367</v>
      </c>
      <c r="AZ1199" s="52">
        <f t="shared" ca="1" si="1448"/>
        <v>90746.681474151221</v>
      </c>
      <c r="BA1199" s="52">
        <f t="shared" ca="1" si="1448"/>
        <v>140327.30961439823</v>
      </c>
      <c r="BB1199" s="52">
        <f t="shared" ca="1" si="1448"/>
        <v>273441.40717452572</v>
      </c>
      <c r="BC1199" s="52">
        <f t="shared" ca="1" si="1448"/>
        <v>167027.39986984793</v>
      </c>
      <c r="BD1199" s="52">
        <f t="shared" ca="1" si="1448"/>
        <v>95677.102949824461</v>
      </c>
      <c r="BE1199" s="52">
        <f t="shared" ca="1" si="1448"/>
        <v>144587.40117527739</v>
      </c>
      <c r="BF1199" s="52">
        <f t="shared" ca="1" si="1448"/>
        <v>283339.07755339477</v>
      </c>
      <c r="BG1199" s="52">
        <f t="shared" ca="1" si="1448"/>
        <v>172668.51570028992</v>
      </c>
      <c r="BH1199" s="52">
        <f t="shared" ca="1" si="1448"/>
        <v>97093.665388560941</v>
      </c>
      <c r="BI1199" s="52">
        <f t="shared" ca="1" si="1448"/>
        <v>150722.02899878885</v>
      </c>
      <c r="BJ1199" s="52">
        <f t="shared" ca="1" si="1448"/>
        <v>294700.16257395281</v>
      </c>
      <c r="BK1199" s="52">
        <f t="shared" ca="1" si="1448"/>
        <v>179602.77227321349</v>
      </c>
      <c r="BL1199" s="52">
        <f t="shared" ca="1" si="1448"/>
        <v>101010.04112024038</v>
      </c>
      <c r="BM1199" s="52">
        <f t="shared" ca="1" si="1448"/>
        <v>156784.45144098948</v>
      </c>
      <c r="BN1199" s="52">
        <f t="shared" ca="1" si="1448"/>
        <v>306522.65430726274</v>
      </c>
      <c r="BO1199" s="52">
        <f t="shared" ca="1" si="1448"/>
        <v>177777.08616391147</v>
      </c>
      <c r="BP1199" s="52">
        <f t="shared" ca="1" si="1448"/>
        <v>97479.370084233102</v>
      </c>
      <c r="BQ1199" s="52">
        <f t="shared" ca="1" si="1448"/>
        <v>147496.84938078091</v>
      </c>
      <c r="BR1199" s="52">
        <f t="shared" ca="1" si="1448"/>
        <v>278245.88708535011</v>
      </c>
      <c r="BS1199" s="52">
        <f t="shared" ca="1" si="1448"/>
        <v>176430.29235447777</v>
      </c>
      <c r="BT1199" s="52">
        <f t="shared" ca="1" si="1448"/>
        <v>94568.477972540364</v>
      </c>
      <c r="BU1199" s="52">
        <f t="shared" ca="1" si="1448"/>
        <v>144907.78111575436</v>
      </c>
      <c r="BV1199" s="52">
        <f t="shared" ca="1" si="1448"/>
        <v>290142.81625441811</v>
      </c>
      <c r="BW1199" s="52">
        <f t="shared" ca="1" si="1448"/>
        <v>184249.96053286913</v>
      </c>
      <c r="BX1199" s="52">
        <f t="shared" ca="1" si="1448"/>
        <v>97648.295518110244</v>
      </c>
      <c r="BY1199" s="52">
        <f t="shared" ref="BY1199:CO1199" ca="1" si="1449">MAX(BY1194+BY1195,0)</f>
        <v>151770.83585332031</v>
      </c>
      <c r="BZ1199" s="52">
        <f t="shared" ca="1" si="1449"/>
        <v>302440.46734145656</v>
      </c>
      <c r="CA1199" s="52">
        <f t="shared" ca="1" si="1449"/>
        <v>192307.85374290359</v>
      </c>
      <c r="CB1199" s="52">
        <f t="shared" ca="1" si="1449"/>
        <v>102248.94821865222</v>
      </c>
      <c r="CC1199" s="52">
        <f t="shared" ca="1" si="1449"/>
        <v>158541.06086534384</v>
      </c>
      <c r="CD1199" s="52">
        <f t="shared" ca="1" si="1449"/>
        <v>315242.0910079485</v>
      </c>
      <c r="CE1199" s="52">
        <f t="shared" ca="1" si="1449"/>
        <v>200699.82662151247</v>
      </c>
      <c r="CF1199" s="52">
        <f t="shared" ca="1" si="1449"/>
        <v>107016.58280527144</v>
      </c>
      <c r="CG1199" s="52">
        <f t="shared" ca="1" si="1449"/>
        <v>165564.89886920995</v>
      </c>
      <c r="CH1199" s="52">
        <f t="shared" ca="1" si="1449"/>
        <v>328538.39464533399</v>
      </c>
      <c r="CI1199" s="52">
        <f t="shared" ca="1" si="1449"/>
        <v>209410.09343949921</v>
      </c>
      <c r="CJ1199" s="52">
        <f t="shared" ca="1" si="1449"/>
        <v>113577.58786442541</v>
      </c>
      <c r="CK1199" s="52">
        <f t="shared" ca="1" si="1449"/>
        <v>172449.24687161582</v>
      </c>
      <c r="CL1199" s="52">
        <f t="shared" ca="1" si="1449"/>
        <v>342372.8721207974</v>
      </c>
      <c r="CM1199" s="52">
        <f t="shared" ca="1" si="1449"/>
        <v>218474.8026703553</v>
      </c>
      <c r="CN1199" s="52">
        <f t="shared" ca="1" si="1449"/>
        <v>117079.85311511872</v>
      </c>
      <c r="CO1199" s="52">
        <f t="shared" ca="1" si="1449"/>
        <v>180414.39771195172</v>
      </c>
    </row>
    <row r="1200" spans="1:93">
      <c r="A1200" s="10"/>
      <c r="B1200" s="10"/>
      <c r="C1200" s="17"/>
      <c r="D1200" s="10"/>
      <c r="E1200" s="10"/>
      <c r="F1200" s="10"/>
      <c r="G1200" s="11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0"/>
      <c r="AH1200" s="10"/>
      <c r="AI1200" s="10"/>
      <c r="AJ1200" s="10"/>
      <c r="AK1200" s="10"/>
      <c r="AL1200" s="10"/>
      <c r="AM1200" s="10"/>
      <c r="AN1200" s="10"/>
      <c r="AO1200" s="10"/>
      <c r="AP1200" s="10"/>
      <c r="AQ1200" s="10"/>
      <c r="AR1200" s="10"/>
      <c r="AS1200" s="10"/>
      <c r="AT1200" s="10"/>
      <c r="AU1200" s="10"/>
      <c r="AV1200" s="10"/>
      <c r="AW1200" s="10"/>
      <c r="AX1200" s="10"/>
      <c r="AY1200" s="10"/>
      <c r="AZ1200" s="10"/>
      <c r="BA1200" s="10"/>
      <c r="BB1200" s="10"/>
      <c r="BC1200" s="10"/>
      <c r="BD1200" s="10"/>
      <c r="BE1200" s="10"/>
      <c r="BF1200" s="10"/>
      <c r="BG1200" s="10"/>
      <c r="BH1200" s="10"/>
      <c r="BI1200" s="10"/>
      <c r="BJ1200" s="10"/>
      <c r="BK1200" s="10"/>
      <c r="BL1200" s="10"/>
      <c r="BM1200" s="10"/>
      <c r="BN1200" s="10"/>
      <c r="BO1200" s="10"/>
      <c r="BP1200" s="10"/>
      <c r="BQ1200" s="10"/>
      <c r="BR1200" s="10"/>
      <c r="BS1200" s="10"/>
      <c r="BT1200" s="10"/>
      <c r="BU1200" s="10"/>
      <c r="BV1200" s="10"/>
      <c r="BW1200" s="10"/>
      <c r="BX1200" s="10"/>
      <c r="BY1200" s="10"/>
      <c r="BZ1200" s="10"/>
      <c r="CA1200" s="10"/>
      <c r="CB1200" s="10"/>
      <c r="CC1200" s="10"/>
      <c r="CD1200" s="10"/>
      <c r="CE1200" s="10"/>
      <c r="CF1200" s="10"/>
      <c r="CG1200" s="10"/>
      <c r="CH1200" s="10"/>
      <c r="CI1200" s="10"/>
      <c r="CJ1200" s="10"/>
      <c r="CK1200" s="10"/>
      <c r="CL1200" s="10"/>
      <c r="CM1200" s="10"/>
      <c r="CN1200" s="10"/>
      <c r="CO1200" s="10"/>
    </row>
    <row r="1201" spans="1:93" ht="22.5" customHeight="1">
      <c r="A1201" s="10"/>
      <c r="B1201" s="5" t="s">
        <v>166</v>
      </c>
      <c r="C1201" s="5"/>
      <c r="D1201" s="15"/>
      <c r="E1201" s="5"/>
      <c r="F1201" s="5"/>
      <c r="G1201" s="6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5"/>
      <c r="BP1201" s="5"/>
      <c r="BQ1201" s="5"/>
      <c r="BR1201" s="5"/>
      <c r="BS1201" s="5"/>
      <c r="BT1201" s="5"/>
      <c r="BU1201" s="5"/>
      <c r="BV1201" s="5"/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</row>
    <row r="1202" spans="1:93">
      <c r="A1202" s="10"/>
      <c r="B1202" s="10"/>
      <c r="C1202" s="10"/>
      <c r="D1202" s="10"/>
      <c r="E1202" s="10"/>
      <c r="F1202" s="10"/>
      <c r="G1202" s="11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0"/>
      <c r="AH1202" s="10"/>
      <c r="AI1202" s="10"/>
      <c r="AJ1202" s="10"/>
      <c r="AK1202" s="10"/>
      <c r="AL1202" s="10"/>
      <c r="AM1202" s="10"/>
      <c r="AN1202" s="10"/>
      <c r="AO1202" s="10"/>
      <c r="AP1202" s="10"/>
      <c r="AQ1202" s="10"/>
      <c r="AR1202" s="10"/>
      <c r="AS1202" s="10"/>
      <c r="AT1202" s="10"/>
      <c r="AU1202" s="10"/>
      <c r="AV1202" s="10"/>
      <c r="AW1202" s="10"/>
      <c r="AX1202" s="10"/>
      <c r="AY1202" s="10"/>
      <c r="AZ1202" s="10"/>
      <c r="BA1202" s="10"/>
      <c r="BB1202" s="10"/>
      <c r="BC1202" s="10"/>
      <c r="BD1202" s="10"/>
      <c r="BE1202" s="10"/>
      <c r="BF1202" s="10"/>
      <c r="BG1202" s="10"/>
      <c r="BH1202" s="10"/>
      <c r="BI1202" s="10"/>
      <c r="BJ1202" s="10"/>
      <c r="BK1202" s="10"/>
      <c r="BL1202" s="10"/>
      <c r="BM1202" s="10"/>
      <c r="BN1202" s="10"/>
      <c r="BO1202" s="10"/>
      <c r="BP1202" s="10"/>
      <c r="BQ1202" s="10"/>
      <c r="BR1202" s="10"/>
      <c r="BS1202" s="10"/>
      <c r="BT1202" s="10"/>
      <c r="BU1202" s="10"/>
      <c r="BV1202" s="10"/>
      <c r="BW1202" s="10"/>
      <c r="BX1202" s="10"/>
      <c r="BY1202" s="10"/>
      <c r="BZ1202" s="10"/>
      <c r="CA1202" s="10"/>
      <c r="CB1202" s="10"/>
      <c r="CC1202" s="10"/>
      <c r="CD1202" s="10"/>
      <c r="CE1202" s="10"/>
      <c r="CF1202" s="10"/>
      <c r="CG1202" s="10"/>
      <c r="CH1202" s="10"/>
      <c r="CI1202" s="10"/>
      <c r="CJ1202" s="10"/>
      <c r="CK1202" s="10"/>
      <c r="CL1202" s="10"/>
      <c r="CM1202" s="10"/>
      <c r="CN1202" s="10"/>
      <c r="CO1202" s="10"/>
    </row>
    <row r="1203" spans="1:93" ht="16.5" thickBot="1">
      <c r="A1203" s="10"/>
      <c r="B1203" s="10"/>
      <c r="C1203" s="12" t="s">
        <v>544</v>
      </c>
      <c r="D1203" s="10"/>
      <c r="E1203" s="62"/>
      <c r="F1203" s="10"/>
      <c r="G1203" s="11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0"/>
      <c r="AH1203" s="10"/>
      <c r="AI1203" s="10"/>
      <c r="AJ1203" s="10"/>
      <c r="AK1203" s="10"/>
      <c r="AL1203" s="10"/>
      <c r="AM1203" s="10"/>
      <c r="AN1203" s="10"/>
      <c r="AO1203" s="10"/>
      <c r="AP1203" s="10"/>
      <c r="AQ1203" s="10"/>
      <c r="AR1203" s="10"/>
      <c r="AS1203" s="10"/>
      <c r="AT1203" s="10"/>
      <c r="AU1203" s="10"/>
      <c r="AV1203" s="10"/>
      <c r="AW1203" s="10"/>
      <c r="AX1203" s="10"/>
      <c r="AY1203" s="10"/>
      <c r="AZ1203" s="10"/>
      <c r="BA1203" s="10"/>
      <c r="BB1203" s="10"/>
      <c r="BC1203" s="10"/>
      <c r="BD1203" s="10"/>
      <c r="BE1203" s="10"/>
      <c r="BF1203" s="10"/>
      <c r="BG1203" s="10"/>
      <c r="BH1203" s="10"/>
      <c r="BI1203" s="10"/>
      <c r="BJ1203" s="10"/>
      <c r="BK1203" s="10"/>
      <c r="BL1203" s="10"/>
      <c r="BM1203" s="10"/>
      <c r="BN1203" s="10"/>
      <c r="BO1203" s="10"/>
      <c r="BP1203" s="10"/>
      <c r="BQ1203" s="10"/>
      <c r="BR1203" s="10"/>
      <c r="BS1203" s="10"/>
      <c r="BT1203" s="10"/>
      <c r="BU1203" s="10"/>
      <c r="BV1203" s="10"/>
      <c r="BW1203" s="10"/>
      <c r="BX1203" s="10"/>
      <c r="BY1203" s="10"/>
      <c r="BZ1203" s="10"/>
      <c r="CA1203" s="10"/>
      <c r="CB1203" s="10"/>
      <c r="CC1203" s="10"/>
      <c r="CD1203" s="10"/>
      <c r="CE1203" s="10"/>
      <c r="CF1203" s="10"/>
      <c r="CG1203" s="10"/>
      <c r="CH1203" s="10"/>
      <c r="CI1203" s="10"/>
      <c r="CJ1203" s="10"/>
      <c r="CK1203" s="10"/>
      <c r="CL1203" s="10"/>
      <c r="CM1203" s="10"/>
      <c r="CN1203" s="10"/>
      <c r="CO1203" s="10"/>
    </row>
    <row r="1204" spans="1:93">
      <c r="A1204" s="10"/>
      <c r="B1204" s="10"/>
      <c r="C1204" s="17" t="s">
        <v>261</v>
      </c>
      <c r="D1204" s="10"/>
      <c r="E1204" s="62"/>
      <c r="F1204" s="10"/>
      <c r="G1204" s="134" t="str">
        <f t="shared" ref="G1204:G1209" si="1450">Monetary_Unit</f>
        <v>тыс. руб.</v>
      </c>
      <c r="H1204" s="10"/>
      <c r="I1204" s="10"/>
      <c r="J1204" s="10"/>
      <c r="K1204" s="10"/>
      <c r="L1204" s="52">
        <f t="shared" ref="L1204:BW1204" ca="1" si="1451">FCFE</f>
        <v>-20231.553412960755</v>
      </c>
      <c r="M1204" s="52">
        <f t="shared" ca="1" si="1451"/>
        <v>-20518.738035800307</v>
      </c>
      <c r="N1204" s="52">
        <f t="shared" ca="1" si="1451"/>
        <v>-20809.999212027134</v>
      </c>
      <c r="O1204" s="52">
        <f t="shared" ca="1" si="1451"/>
        <v>-21105.394807857592</v>
      </c>
      <c r="P1204" s="52">
        <f t="shared" ca="1" si="1451"/>
        <v>-177490.49062476435</v>
      </c>
      <c r="Q1204" s="52">
        <f t="shared" ca="1" si="1451"/>
        <v>-179239.37658746613</v>
      </c>
      <c r="R1204" s="52">
        <f t="shared" ca="1" si="1451"/>
        <v>-181005.49503456618</v>
      </c>
      <c r="S1204" s="52">
        <f t="shared" ca="1" si="1451"/>
        <v>-182789.01576473904</v>
      </c>
      <c r="T1204" s="52">
        <f t="shared" ca="1" si="1451"/>
        <v>-184965.93951308879</v>
      </c>
      <c r="U1204" s="52">
        <f t="shared" ca="1" si="1451"/>
        <v>-190490.76998061163</v>
      </c>
      <c r="V1204" s="52">
        <f t="shared" ca="1" si="1451"/>
        <v>-194851.96226518595</v>
      </c>
      <c r="W1204" s="52">
        <f t="shared" ca="1" si="1451"/>
        <v>-199210.83002790483</v>
      </c>
      <c r="X1204" s="52">
        <f t="shared" ca="1" si="1451"/>
        <v>-380268.03807791224</v>
      </c>
      <c r="Y1204" s="52">
        <f t="shared" ca="1" si="1451"/>
        <v>-388712.96354787843</v>
      </c>
      <c r="Z1204" s="52">
        <f t="shared" ca="1" si="1451"/>
        <v>-397487.10229346005</v>
      </c>
      <c r="AA1204" s="52">
        <f t="shared" ca="1" si="1451"/>
        <v>-406153.32046609715</v>
      </c>
      <c r="AB1204" s="52">
        <f t="shared" ca="1" si="1451"/>
        <v>-693935.95784803934</v>
      </c>
      <c r="AC1204" s="52">
        <f t="shared" ca="1" si="1451"/>
        <v>93057.141870167456</v>
      </c>
      <c r="AD1204" s="52">
        <f t="shared" ca="1" si="1451"/>
        <v>48198.250986902334</v>
      </c>
      <c r="AE1204" s="52">
        <f t="shared" ca="1" si="1451"/>
        <v>29733.466299711523</v>
      </c>
      <c r="AF1204" s="52">
        <f t="shared" ca="1" si="1451"/>
        <v>16603.06793925575</v>
      </c>
      <c r="AG1204" s="52">
        <f t="shared" ca="1" si="1451"/>
        <v>18528.165154957809</v>
      </c>
      <c r="AH1204" s="52">
        <f t="shared" ca="1" si="1451"/>
        <v>35950.871996507485</v>
      </c>
      <c r="AI1204" s="52">
        <f t="shared" ca="1" si="1451"/>
        <v>34592.844168954645</v>
      </c>
      <c r="AJ1204" s="52">
        <f t="shared" ca="1" si="1451"/>
        <v>19282.548891160492</v>
      </c>
      <c r="AK1204" s="52">
        <f t="shared" ca="1" si="1451"/>
        <v>21420.123084138846</v>
      </c>
      <c r="AL1204" s="52">
        <f t="shared" ca="1" si="1451"/>
        <v>41412.078988161375</v>
      </c>
      <c r="AM1204" s="52">
        <f t="shared" ca="1" si="1451"/>
        <v>39790.350197499094</v>
      </c>
      <c r="AN1204" s="52">
        <f t="shared" ca="1" si="1451"/>
        <v>22319.065885982272</v>
      </c>
      <c r="AO1204" s="52">
        <f t="shared" ca="1" si="1451"/>
        <v>24511.678439912386</v>
      </c>
      <c r="AP1204" s="52">
        <f t="shared" ca="1" si="1451"/>
        <v>46651.129526172124</v>
      </c>
      <c r="AQ1204" s="52">
        <f t="shared" ca="1" si="1451"/>
        <v>44197.394445630111</v>
      </c>
      <c r="AR1204" s="52">
        <f t="shared" ca="1" si="1451"/>
        <v>23986.050021722564</v>
      </c>
      <c r="AS1204" s="52">
        <f t="shared" ca="1" si="1451"/>
        <v>25538.69247853999</v>
      </c>
      <c r="AT1204" s="52">
        <f t="shared" ca="1" si="1451"/>
        <v>95535.291657852416</v>
      </c>
      <c r="AU1204" s="52">
        <f t="shared" ca="1" si="1451"/>
        <v>270711.13427012885</v>
      </c>
      <c r="AV1204" s="52">
        <f t="shared" ca="1" si="1451"/>
        <v>145517.46262419978</v>
      </c>
      <c r="AW1204" s="52">
        <f t="shared" ca="1" si="1451"/>
        <v>182387.59892833943</v>
      </c>
      <c r="AX1204" s="52">
        <f t="shared" ca="1" si="1451"/>
        <v>273026.89898316731</v>
      </c>
      <c r="AY1204" s="52">
        <f t="shared" ca="1" si="1451"/>
        <v>160610.09420331367</v>
      </c>
      <c r="AZ1204" s="52">
        <f t="shared" ca="1" si="1451"/>
        <v>90746.681474151221</v>
      </c>
      <c r="BA1204" s="52">
        <f t="shared" ca="1" si="1451"/>
        <v>140327.30961439823</v>
      </c>
      <c r="BB1204" s="52">
        <f t="shared" ca="1" si="1451"/>
        <v>273441.40717452572</v>
      </c>
      <c r="BC1204" s="52">
        <f t="shared" ca="1" si="1451"/>
        <v>167027.39986984793</v>
      </c>
      <c r="BD1204" s="52">
        <f t="shared" ca="1" si="1451"/>
        <v>95677.102949824461</v>
      </c>
      <c r="BE1204" s="52">
        <f t="shared" ca="1" si="1451"/>
        <v>144587.40117527739</v>
      </c>
      <c r="BF1204" s="52">
        <f t="shared" ca="1" si="1451"/>
        <v>283339.07755339477</v>
      </c>
      <c r="BG1204" s="52">
        <f t="shared" ca="1" si="1451"/>
        <v>172668.51570028992</v>
      </c>
      <c r="BH1204" s="52">
        <f t="shared" ca="1" si="1451"/>
        <v>97093.665388560941</v>
      </c>
      <c r="BI1204" s="52">
        <f t="shared" ca="1" si="1451"/>
        <v>150722.02899878885</v>
      </c>
      <c r="BJ1204" s="52">
        <f t="shared" ca="1" si="1451"/>
        <v>294700.16257395281</v>
      </c>
      <c r="BK1204" s="52">
        <f t="shared" ca="1" si="1451"/>
        <v>179602.77227321349</v>
      </c>
      <c r="BL1204" s="52">
        <f t="shared" ca="1" si="1451"/>
        <v>101010.04112024038</v>
      </c>
      <c r="BM1204" s="52">
        <f t="shared" ca="1" si="1451"/>
        <v>156784.45144098948</v>
      </c>
      <c r="BN1204" s="52">
        <f t="shared" ca="1" si="1451"/>
        <v>306522.65430726274</v>
      </c>
      <c r="BO1204" s="52">
        <f t="shared" ca="1" si="1451"/>
        <v>177777.08616391147</v>
      </c>
      <c r="BP1204" s="52">
        <f t="shared" ca="1" si="1451"/>
        <v>97479.370084233102</v>
      </c>
      <c r="BQ1204" s="52">
        <f t="shared" ca="1" si="1451"/>
        <v>147496.84938078091</v>
      </c>
      <c r="BR1204" s="52">
        <f t="shared" ca="1" si="1451"/>
        <v>278245.88708535011</v>
      </c>
      <c r="BS1204" s="52">
        <f t="shared" ca="1" si="1451"/>
        <v>176430.29235447777</v>
      </c>
      <c r="BT1204" s="52">
        <f t="shared" ca="1" si="1451"/>
        <v>94568.477972540364</v>
      </c>
      <c r="BU1204" s="52">
        <f t="shared" ca="1" si="1451"/>
        <v>144907.78111575436</v>
      </c>
      <c r="BV1204" s="52">
        <f t="shared" ca="1" si="1451"/>
        <v>290142.81625441811</v>
      </c>
      <c r="BW1204" s="52">
        <f t="shared" ca="1" si="1451"/>
        <v>184249.96053286913</v>
      </c>
      <c r="BX1204" s="52">
        <f t="shared" ref="BX1204:CO1204" ca="1" si="1452">FCFE</f>
        <v>97648.295518110244</v>
      </c>
      <c r="BY1204" s="52">
        <f t="shared" ca="1" si="1452"/>
        <v>151770.83585332031</v>
      </c>
      <c r="BZ1204" s="52">
        <f t="shared" ca="1" si="1452"/>
        <v>302440.46734145656</v>
      </c>
      <c r="CA1204" s="52">
        <f t="shared" ca="1" si="1452"/>
        <v>192307.85374290359</v>
      </c>
      <c r="CB1204" s="52">
        <f t="shared" ca="1" si="1452"/>
        <v>102248.94821865222</v>
      </c>
      <c r="CC1204" s="52">
        <f t="shared" ca="1" si="1452"/>
        <v>158541.06086534384</v>
      </c>
      <c r="CD1204" s="52">
        <f t="shared" ca="1" si="1452"/>
        <v>315242.0910079485</v>
      </c>
      <c r="CE1204" s="52">
        <f t="shared" ca="1" si="1452"/>
        <v>200699.82662151247</v>
      </c>
      <c r="CF1204" s="52">
        <f t="shared" ca="1" si="1452"/>
        <v>107016.58280527144</v>
      </c>
      <c r="CG1204" s="52">
        <f t="shared" ca="1" si="1452"/>
        <v>165564.89886920995</v>
      </c>
      <c r="CH1204" s="52">
        <f t="shared" ca="1" si="1452"/>
        <v>328538.39464533399</v>
      </c>
      <c r="CI1204" s="52">
        <f t="shared" ca="1" si="1452"/>
        <v>209410.09343949921</v>
      </c>
      <c r="CJ1204" s="52">
        <f t="shared" ca="1" si="1452"/>
        <v>113577.58786442541</v>
      </c>
      <c r="CK1204" s="52">
        <f t="shared" ca="1" si="1452"/>
        <v>172449.24687161582</v>
      </c>
      <c r="CL1204" s="52">
        <f t="shared" ca="1" si="1452"/>
        <v>342372.8721207974</v>
      </c>
      <c r="CM1204" s="52">
        <f t="shared" ca="1" si="1452"/>
        <v>218474.8026703553</v>
      </c>
      <c r="CN1204" s="52">
        <f t="shared" ca="1" si="1452"/>
        <v>117079.85311511872</v>
      </c>
      <c r="CO1204" s="52">
        <f t="shared" ca="1" si="1452"/>
        <v>180414.39771195172</v>
      </c>
    </row>
    <row r="1205" spans="1:93">
      <c r="A1205" s="10"/>
      <c r="B1205" s="10"/>
      <c r="C1205" s="17" t="s">
        <v>371</v>
      </c>
      <c r="D1205" s="10"/>
      <c r="E1205" s="62"/>
      <c r="F1205" s="10"/>
      <c r="G1205" s="134" t="str">
        <f t="shared" si="1450"/>
        <v>тыс. руб.</v>
      </c>
      <c r="H1205" s="10"/>
      <c r="I1205" s="10"/>
      <c r="J1205" s="10"/>
      <c r="K1205" s="10"/>
      <c r="L1205" s="52">
        <f t="shared" ref="L1205:AQ1205" ca="1" si="1453">L1204+L1227+L1228</f>
        <v>-20231.553412960755</v>
      </c>
      <c r="M1205" s="52">
        <f t="shared" ca="1" si="1453"/>
        <v>-20518.738035800307</v>
      </c>
      <c r="N1205" s="52">
        <f t="shared" ca="1" si="1453"/>
        <v>-20809.999212027134</v>
      </c>
      <c r="O1205" s="52">
        <f t="shared" ca="1" si="1453"/>
        <v>-21105.394807857592</v>
      </c>
      <c r="P1205" s="52">
        <f t="shared" ca="1" si="1453"/>
        <v>-177490.49062476435</v>
      </c>
      <c r="Q1205" s="52">
        <f t="shared" ca="1" si="1453"/>
        <v>-179239.37658746613</v>
      </c>
      <c r="R1205" s="52">
        <f t="shared" ca="1" si="1453"/>
        <v>-181005.49503456618</v>
      </c>
      <c r="S1205" s="52">
        <f t="shared" ca="1" si="1453"/>
        <v>-182789.01576473904</v>
      </c>
      <c r="T1205" s="52">
        <f t="shared" ca="1" si="1453"/>
        <v>-184965.93951308879</v>
      </c>
      <c r="U1205" s="52">
        <f t="shared" ca="1" si="1453"/>
        <v>-190490.76998061163</v>
      </c>
      <c r="V1205" s="52">
        <f t="shared" ca="1" si="1453"/>
        <v>-194851.96226518595</v>
      </c>
      <c r="W1205" s="52">
        <f t="shared" ca="1" si="1453"/>
        <v>-199210.83002790483</v>
      </c>
      <c r="X1205" s="52">
        <f t="shared" ca="1" si="1453"/>
        <v>-380268.03807791224</v>
      </c>
      <c r="Y1205" s="52">
        <f t="shared" ca="1" si="1453"/>
        <v>-388712.96354787843</v>
      </c>
      <c r="Z1205" s="52">
        <f t="shared" ca="1" si="1453"/>
        <v>-397487.10229346005</v>
      </c>
      <c r="AA1205" s="52">
        <f t="shared" ca="1" si="1453"/>
        <v>-406153.32046609715</v>
      </c>
      <c r="AB1205" s="52">
        <f t="shared" ca="1" si="1453"/>
        <v>-693935.95784803934</v>
      </c>
      <c r="AC1205" s="52">
        <f t="shared" ca="1" si="1453"/>
        <v>0</v>
      </c>
      <c r="AD1205" s="52">
        <f t="shared" ca="1" si="1453"/>
        <v>0</v>
      </c>
      <c r="AE1205" s="52">
        <f t="shared" ca="1" si="1453"/>
        <v>0</v>
      </c>
      <c r="AF1205" s="52">
        <f t="shared" ca="1" si="1453"/>
        <v>0</v>
      </c>
      <c r="AG1205" s="52">
        <f t="shared" ca="1" si="1453"/>
        <v>0</v>
      </c>
      <c r="AH1205" s="52">
        <f t="shared" ca="1" si="1453"/>
        <v>0</v>
      </c>
      <c r="AI1205" s="52">
        <f t="shared" ca="1" si="1453"/>
        <v>0</v>
      </c>
      <c r="AJ1205" s="52">
        <f t="shared" ca="1" si="1453"/>
        <v>0</v>
      </c>
      <c r="AK1205" s="52">
        <f t="shared" ca="1" si="1453"/>
        <v>0</v>
      </c>
      <c r="AL1205" s="52">
        <f t="shared" ca="1" si="1453"/>
        <v>0</v>
      </c>
      <c r="AM1205" s="52">
        <f t="shared" ca="1" si="1453"/>
        <v>0</v>
      </c>
      <c r="AN1205" s="52">
        <f t="shared" ca="1" si="1453"/>
        <v>0</v>
      </c>
      <c r="AO1205" s="52">
        <f t="shared" ca="1" si="1453"/>
        <v>0</v>
      </c>
      <c r="AP1205" s="52">
        <f t="shared" ca="1" si="1453"/>
        <v>0</v>
      </c>
      <c r="AQ1205" s="52">
        <f t="shared" ca="1" si="1453"/>
        <v>0</v>
      </c>
      <c r="AR1205" s="52">
        <f t="shared" ref="AR1205:BW1205" ca="1" si="1454">AR1204+AR1227+AR1228</f>
        <v>0</v>
      </c>
      <c r="AS1205" s="52">
        <f t="shared" ca="1" si="1454"/>
        <v>0</v>
      </c>
      <c r="AT1205" s="52">
        <f t="shared" ca="1" si="1454"/>
        <v>0</v>
      </c>
      <c r="AU1205" s="52">
        <f t="shared" ca="1" si="1454"/>
        <v>0</v>
      </c>
      <c r="AV1205" s="52">
        <f t="shared" ca="1" si="1454"/>
        <v>0</v>
      </c>
      <c r="AW1205" s="52">
        <f t="shared" ca="1" si="1454"/>
        <v>115616.33267494224</v>
      </c>
      <c r="AX1205" s="52">
        <f t="shared" ca="1" si="1454"/>
        <v>273026.89898316731</v>
      </c>
      <c r="AY1205" s="52">
        <f t="shared" ca="1" si="1454"/>
        <v>160610.09420331367</v>
      </c>
      <c r="AZ1205" s="52">
        <f t="shared" ca="1" si="1454"/>
        <v>90746.681474151221</v>
      </c>
      <c r="BA1205" s="52">
        <f t="shared" ca="1" si="1454"/>
        <v>140327.30961439823</v>
      </c>
      <c r="BB1205" s="52">
        <f t="shared" ca="1" si="1454"/>
        <v>273441.40717452572</v>
      </c>
      <c r="BC1205" s="52">
        <f t="shared" ca="1" si="1454"/>
        <v>167027.39986984793</v>
      </c>
      <c r="BD1205" s="52">
        <f t="shared" ca="1" si="1454"/>
        <v>95677.102949824461</v>
      </c>
      <c r="BE1205" s="52">
        <f t="shared" ca="1" si="1454"/>
        <v>144587.40117527739</v>
      </c>
      <c r="BF1205" s="52">
        <f t="shared" ca="1" si="1454"/>
        <v>283339.07755339477</v>
      </c>
      <c r="BG1205" s="52">
        <f t="shared" ca="1" si="1454"/>
        <v>172668.51570028992</v>
      </c>
      <c r="BH1205" s="52">
        <f t="shared" ca="1" si="1454"/>
        <v>97093.665388560941</v>
      </c>
      <c r="BI1205" s="52">
        <f t="shared" ca="1" si="1454"/>
        <v>150722.02899878885</v>
      </c>
      <c r="BJ1205" s="52">
        <f t="shared" ca="1" si="1454"/>
        <v>294700.16257395281</v>
      </c>
      <c r="BK1205" s="52">
        <f t="shared" ca="1" si="1454"/>
        <v>179602.77227321349</v>
      </c>
      <c r="BL1205" s="52">
        <f t="shared" ca="1" si="1454"/>
        <v>101010.04112024038</v>
      </c>
      <c r="BM1205" s="52">
        <f t="shared" ca="1" si="1454"/>
        <v>156784.45144098948</v>
      </c>
      <c r="BN1205" s="52">
        <f t="shared" ca="1" si="1454"/>
        <v>306522.65430726274</v>
      </c>
      <c r="BO1205" s="52">
        <f t="shared" ca="1" si="1454"/>
        <v>177777.08616391147</v>
      </c>
      <c r="BP1205" s="52">
        <f t="shared" ca="1" si="1454"/>
        <v>97479.370084233102</v>
      </c>
      <c r="BQ1205" s="52">
        <f t="shared" ca="1" si="1454"/>
        <v>147496.84938078091</v>
      </c>
      <c r="BR1205" s="52">
        <f t="shared" ca="1" si="1454"/>
        <v>278245.88708535011</v>
      </c>
      <c r="BS1205" s="52">
        <f t="shared" ca="1" si="1454"/>
        <v>176430.29235447777</v>
      </c>
      <c r="BT1205" s="52">
        <f t="shared" ca="1" si="1454"/>
        <v>94568.477972540364</v>
      </c>
      <c r="BU1205" s="52">
        <f t="shared" ca="1" si="1454"/>
        <v>144907.78111575436</v>
      </c>
      <c r="BV1205" s="52">
        <f t="shared" ca="1" si="1454"/>
        <v>290142.81625441811</v>
      </c>
      <c r="BW1205" s="52">
        <f t="shared" ca="1" si="1454"/>
        <v>184249.96053286913</v>
      </c>
      <c r="BX1205" s="52">
        <f t="shared" ref="BX1205:CO1205" ca="1" si="1455">BX1204+BX1227+BX1228</f>
        <v>97648.295518110244</v>
      </c>
      <c r="BY1205" s="52">
        <f t="shared" ca="1" si="1455"/>
        <v>151770.83585332031</v>
      </c>
      <c r="BZ1205" s="52">
        <f t="shared" ca="1" si="1455"/>
        <v>302440.46734145656</v>
      </c>
      <c r="CA1205" s="52">
        <f t="shared" ca="1" si="1455"/>
        <v>192307.85374290359</v>
      </c>
      <c r="CB1205" s="52">
        <f t="shared" ca="1" si="1455"/>
        <v>102248.94821865222</v>
      </c>
      <c r="CC1205" s="52">
        <f t="shared" ca="1" si="1455"/>
        <v>158541.06086534384</v>
      </c>
      <c r="CD1205" s="52">
        <f t="shared" ca="1" si="1455"/>
        <v>315242.0910079485</v>
      </c>
      <c r="CE1205" s="52">
        <f t="shared" ca="1" si="1455"/>
        <v>200699.82662151247</v>
      </c>
      <c r="CF1205" s="52">
        <f t="shared" ca="1" si="1455"/>
        <v>107016.58280527144</v>
      </c>
      <c r="CG1205" s="52">
        <f t="shared" ca="1" si="1455"/>
        <v>165564.89886920995</v>
      </c>
      <c r="CH1205" s="52">
        <f t="shared" ca="1" si="1455"/>
        <v>328538.39464533399</v>
      </c>
      <c r="CI1205" s="52">
        <f t="shared" ca="1" si="1455"/>
        <v>209410.09343949921</v>
      </c>
      <c r="CJ1205" s="52">
        <f t="shared" ca="1" si="1455"/>
        <v>113577.58786442541</v>
      </c>
      <c r="CK1205" s="52">
        <f t="shared" ca="1" si="1455"/>
        <v>172449.24687161582</v>
      </c>
      <c r="CL1205" s="52">
        <f t="shared" ca="1" si="1455"/>
        <v>342372.8721207974</v>
      </c>
      <c r="CM1205" s="52">
        <f t="shared" ca="1" si="1455"/>
        <v>218474.8026703553</v>
      </c>
      <c r="CN1205" s="52">
        <f t="shared" ca="1" si="1455"/>
        <v>117079.85311511872</v>
      </c>
      <c r="CO1205" s="52">
        <f t="shared" ca="1" si="1455"/>
        <v>180414.39771195172</v>
      </c>
    </row>
    <row r="1206" spans="1:93">
      <c r="A1206" s="10"/>
      <c r="B1206" s="10"/>
      <c r="C1206" s="17" t="s">
        <v>262</v>
      </c>
      <c r="D1206" s="10"/>
      <c r="E1206" s="62"/>
      <c r="F1206" s="10"/>
      <c r="G1206" s="134" t="str">
        <f t="shared" si="1450"/>
        <v>тыс. руб.</v>
      </c>
      <c r="H1206" s="10"/>
      <c r="I1206" s="10"/>
      <c r="J1206" s="10"/>
      <c r="K1206" s="10"/>
      <c r="L1206" s="52">
        <f ca="1">Отчетность!K28+Отчетность!L57</f>
        <v>0</v>
      </c>
      <c r="M1206" s="52">
        <f ca="1">Отчетность!L28+Отчетность!M57</f>
        <v>0</v>
      </c>
      <c r="N1206" s="52">
        <f ca="1">Отчетность!M28+Отчетность!N57</f>
        <v>0</v>
      </c>
      <c r="O1206" s="52">
        <f ca="1">Отчетность!N28+Отчетность!O57</f>
        <v>0</v>
      </c>
      <c r="P1206" s="52">
        <f ca="1">Отчетность!O28+Отчетность!P57</f>
        <v>0</v>
      </c>
      <c r="Q1206" s="52">
        <f ca="1">Отчетность!P28+Отчетность!Q57</f>
        <v>0</v>
      </c>
      <c r="R1206" s="52">
        <f ca="1">Отчетность!Q28+Отчетность!R57</f>
        <v>0</v>
      </c>
      <c r="S1206" s="52">
        <f ca="1">Отчетность!R28+Отчетность!S57</f>
        <v>0</v>
      </c>
      <c r="T1206" s="52">
        <f ca="1">Отчетность!S28+Отчетность!T57</f>
        <v>0</v>
      </c>
      <c r="U1206" s="52">
        <f ca="1">Отчетность!T28+Отчетность!U57</f>
        <v>0</v>
      </c>
      <c r="V1206" s="52">
        <f ca="1">Отчетность!U28+Отчетность!V57</f>
        <v>0</v>
      </c>
      <c r="W1206" s="52">
        <f ca="1">Отчетность!V28+Отчетность!W57</f>
        <v>0</v>
      </c>
      <c r="X1206" s="52">
        <f ca="1">Отчетность!W28+Отчетность!X57</f>
        <v>0</v>
      </c>
      <c r="Y1206" s="52">
        <f ca="1">Отчетность!X28+Отчетность!Y57</f>
        <v>0</v>
      </c>
      <c r="Z1206" s="52">
        <f ca="1">Отчетность!Y28+Отчетность!Z57</f>
        <v>0</v>
      </c>
      <c r="AA1206" s="52">
        <f ca="1">Отчетность!Z28+Отчетность!AA57</f>
        <v>0</v>
      </c>
      <c r="AB1206" s="52">
        <f ca="1">Отчетность!AA28+Отчетность!AB57</f>
        <v>0</v>
      </c>
      <c r="AC1206" s="52">
        <f ca="1">Отчетность!AB28+Отчетность!AC57</f>
        <v>21020.497477027762</v>
      </c>
      <c r="AD1206" s="52">
        <f ca="1">Отчетность!AC28+Отчетность!AD57</f>
        <v>184304.56817148303</v>
      </c>
      <c r="AE1206" s="52">
        <f ca="1">Отчетность!AD28+Отчетность!AE57</f>
        <v>174398.8609637031</v>
      </c>
      <c r="AF1206" s="52">
        <f ca="1">Отчетность!AE28+Отчетность!AF57</f>
        <v>157447.14720950837</v>
      </c>
      <c r="AG1206" s="52">
        <f ca="1">Отчетность!AF28+Отчетность!AG57</f>
        <v>214464.79567792697</v>
      </c>
      <c r="AH1206" s="52">
        <f ca="1">Отчетность!AG28+Отчетность!AH57</f>
        <v>428332.57148980233</v>
      </c>
      <c r="AI1206" s="52">
        <f ca="1">Отчетность!AH28+Отчетность!AI57</f>
        <v>438753.04737035115</v>
      </c>
      <c r="AJ1206" s="52">
        <f ca="1">Отчетность!AI28+Отчетность!AJ57</f>
        <v>440746.38428236073</v>
      </c>
      <c r="AK1206" s="52">
        <f ca="1">Отчетность!AJ28+Отчетность!AK57</f>
        <v>528150.31833855784</v>
      </c>
      <c r="AL1206" s="52">
        <f ca="1">Отчетность!AK28+Отчетность!AL57</f>
        <v>795882.94833661802</v>
      </c>
      <c r="AM1206" s="52">
        <f ca="1">Отчетность!AL28+Отчетность!AM57</f>
        <v>829691.28277857392</v>
      </c>
      <c r="AN1206" s="52">
        <f ca="1">Отчетность!AM28+Отчетность!AN57</f>
        <v>854435.430626477</v>
      </c>
      <c r="AO1206" s="52">
        <f ca="1">Отчетность!AN28+Отчетность!AO57</f>
        <v>976139.99011114624</v>
      </c>
      <c r="AP1206" s="52">
        <f ca="1">Отчетность!AO28+Отчетность!AP57</f>
        <v>1294431.4261533802</v>
      </c>
      <c r="AQ1206" s="52">
        <f ca="1">Отчетность!AP28+Отчетность!AQ57</f>
        <v>1349001.7557084402</v>
      </c>
      <c r="AR1206" s="52">
        <f ca="1">Отчетность!AQ28+Отчетность!AR57</f>
        <v>1389685.3754740439</v>
      </c>
      <c r="AS1206" s="52">
        <f ca="1">Отчетность!AR28+Отчетность!AS57</f>
        <v>1528915.1621395079</v>
      </c>
      <c r="AT1206" s="52">
        <f ca="1">Отчетность!AS28+Отчетность!AT57</f>
        <v>1870898.9381748298</v>
      </c>
      <c r="AU1206" s="52">
        <f ca="1">Отчетность!AT28+Отчетность!AU57</f>
        <v>1938354.6037313575</v>
      </c>
      <c r="AV1206" s="52">
        <f ca="1">Отчетность!AU28+Отчетность!AV57</f>
        <v>1996687.2907128828</v>
      </c>
      <c r="AW1206" s="52">
        <f ca="1">Отчетность!AV28+Отчетность!AW57</f>
        <v>2104278.4917569449</v>
      </c>
      <c r="AX1206" s="52">
        <f ca="1">Отчетность!AW28+Отчетность!AX57</f>
        <v>2246204.7190840864</v>
      </c>
      <c r="AY1206" s="52">
        <f ca="1">Отчетность!AX28+Отчетность!AY57</f>
        <v>2027795.952601166</v>
      </c>
      <c r="AZ1206" s="52">
        <f ca="1">Отчетность!AY28+Отчетность!AZ57</f>
        <v>1908337.4265353917</v>
      </c>
      <c r="BA1206" s="52">
        <f ca="1">Отчетность!AZ28+Отчетность!BA57</f>
        <v>1933455.126652414</v>
      </c>
      <c r="BB1206" s="52">
        <f ca="1">Отчетность!BA28+Отчетность!BB57</f>
        <v>2062839.6902675729</v>
      </c>
      <c r="BC1206" s="52">
        <f ca="1">Отчетность!BB28+Отчетность!BC57</f>
        <v>1848068.7517206941</v>
      </c>
      <c r="BD1206" s="52">
        <f ca="1">Отчетность!BC28+Отчетность!BD57</f>
        <v>1726702.2288509475</v>
      </c>
      <c r="BE1206" s="52">
        <f ca="1">Отчетность!BD28+Отчетность!BE57</f>
        <v>1776036.6238965821</v>
      </c>
      <c r="BF1206" s="52">
        <f ca="1">Отчетность!BE28+Отчетность!BF57</f>
        <v>1936463.136073092</v>
      </c>
      <c r="BG1206" s="52">
        <f ca="1">Отчетность!BF28+Отчетность!BG57</f>
        <v>1738654.9185890639</v>
      </c>
      <c r="BH1206" s="52">
        <f ca="1">Отчетность!BG28+Отчетность!BH57</f>
        <v>1636941.2746973545</v>
      </c>
      <c r="BI1206" s="52">
        <f ca="1">Отчетность!BH28+Отчетность!BI57</f>
        <v>1691613.7858029543</v>
      </c>
      <c r="BJ1206" s="52">
        <f ca="1">Отчетность!BI28+Отчетность!BJ57</f>
        <v>1859061.3059085323</v>
      </c>
      <c r="BK1206" s="52">
        <f ca="1">Отчетность!BJ28+Отчетность!BK57</f>
        <v>1654268.3092215203</v>
      </c>
      <c r="BL1206" s="52">
        <f ca="1">Отчетность!BK28+Отчетность!BL57</f>
        <v>1549418.7561231584</v>
      </c>
      <c r="BM1206" s="52">
        <f ca="1">Отчетность!BL28+Отчетность!BM57</f>
        <v>1607206.6349988766</v>
      </c>
      <c r="BN1206" s="52">
        <f ca="1">Отчетность!BM28+Отчетность!BN57</f>
        <v>1782280.5550165626</v>
      </c>
      <c r="BO1206" s="52">
        <f ca="1">Отчетность!BN28+Отчетность!BO57</f>
        <v>1561179.1113912696</v>
      </c>
      <c r="BP1206" s="52">
        <f ca="1">Отчетность!BO28+Отчетность!BP57</f>
        <v>1454501.8556481691</v>
      </c>
      <c r="BQ1206" s="52">
        <f ca="1">Отчетность!BP28+Отчетность!BQ57</f>
        <v>1507540.8974016672</v>
      </c>
      <c r="BR1206" s="52">
        <f ca="1">Отчетность!BQ28+Отчетность!BR57</f>
        <v>1665566.6361034876</v>
      </c>
      <c r="BS1206" s="52">
        <f ca="1">Отчетность!BR28+Отчетность!BS57</f>
        <v>1468628.4860311779</v>
      </c>
      <c r="BT1206" s="52">
        <f ca="1">Отчетность!BS28+Отчетность!BT57</f>
        <v>1359894.4897906457</v>
      </c>
      <c r="BU1206" s="52">
        <f ca="1">Отчетность!BT28+Отчетность!BU57</f>
        <v>1414668.7558232464</v>
      </c>
      <c r="BV1206" s="52">
        <f ca="1">Отчетность!BU28+Отчетность!BV57</f>
        <v>1589199.1127512835</v>
      </c>
      <c r="BW1206" s="52">
        <f ca="1">Отчетность!BV28+Отчетность!BW57</f>
        <v>1385306.3542855959</v>
      </c>
      <c r="BX1206" s="52">
        <f ca="1">Отчетность!BW28+Отчетность!BX57</f>
        <v>1272064.8274472523</v>
      </c>
      <c r="BY1206" s="52">
        <f ca="1">Отчетность!BX28+Отчетность!BY57</f>
        <v>1331347.7022618551</v>
      </c>
      <c r="BZ1206" s="52">
        <f ca="1">Отчетность!BY28+Отчетность!BZ57</f>
        <v>1513412.0260745734</v>
      </c>
      <c r="CA1206" s="52">
        <f ca="1">Отчетность!BZ28+Отчетность!CA57</f>
        <v>1302287.0691446778</v>
      </c>
      <c r="CB1206" s="52">
        <f ca="1">Отчетность!CA28+Отчетность!CB57</f>
        <v>1185450.2253032464</v>
      </c>
      <c r="CC1206" s="52">
        <f ca="1">Отчетность!CB28+Отчетность!CC57</f>
        <v>1248036.6409682883</v>
      </c>
      <c r="CD1206" s="52">
        <f ca="1">Отчетность!CC28+Отчетность!CD57</f>
        <v>1438315.7062882408</v>
      </c>
      <c r="CE1206" s="52">
        <f ca="1">Отчетность!CD28+Отчетность!CE57</f>
        <v>1219668.9599969904</v>
      </c>
      <c r="CF1206" s="52">
        <f ca="1">Отчетность!CE28+Отчетность!CF57</f>
        <v>1099064.2154906641</v>
      </c>
      <c r="CG1206" s="52">
        <f ca="1">Отчетность!CF28+Отчетность!CG57</f>
        <v>1165086.1618534692</v>
      </c>
      <c r="CH1206" s="52">
        <f ca="1">Отчетность!CG28+Отчетность!CH57</f>
        <v>1363908.369373817</v>
      </c>
      <c r="CI1206" s="52">
        <f ca="1">Отчетность!CH28+Отчетность!CI57</f>
        <v>1137438.9621467572</v>
      </c>
      <c r="CJ1206" s="52">
        <f ca="1">Отчетность!CI28+Отчетность!CJ57</f>
        <v>1014108.6341925585</v>
      </c>
      <c r="CK1206" s="52">
        <f ca="1">Отчетность!CJ28+Отчетность!CK57</f>
        <v>1082107.4020932093</v>
      </c>
      <c r="CL1206" s="52">
        <f ca="1">Отчетность!CK28+Отчетность!CL57</f>
        <v>1290241.2398996726</v>
      </c>
      <c r="CM1206" s="52">
        <f ca="1">Отчетность!CL28+Отчетность!CM57</f>
        <v>1055635.9749388609</v>
      </c>
      <c r="CN1206" s="52">
        <f ca="1">Отчетность!CM28+Отчетность!CN57</f>
        <v>927014.98458611558</v>
      </c>
      <c r="CO1206" s="52">
        <f ca="1">Отчетность!CN28+Отчетность!CO57</f>
        <v>1000325.2202401581</v>
      </c>
    </row>
    <row r="1207" spans="1:93">
      <c r="A1207" s="10"/>
      <c r="B1207" s="10"/>
      <c r="C1207" s="17" t="s">
        <v>263</v>
      </c>
      <c r="D1207" s="10"/>
      <c r="E1207" s="62"/>
      <c r="F1207" s="10"/>
      <c r="G1207" s="134" t="str">
        <f t="shared" si="1450"/>
        <v>тыс. руб.</v>
      </c>
      <c r="H1207" s="10"/>
      <c r="I1207" s="10"/>
      <c r="J1207" s="10"/>
      <c r="K1207" s="10"/>
      <c r="L1207" s="52">
        <f ca="1">MAX(MIN(MAX(L1205,0),L1206),0)</f>
        <v>0</v>
      </c>
      <c r="M1207" s="52">
        <f t="shared" ref="M1207:BX1207" ca="1" si="1456">MAX(MIN(MAX(M1205,0),M1206),0)</f>
        <v>0</v>
      </c>
      <c r="N1207" s="52">
        <f t="shared" ca="1" si="1456"/>
        <v>0</v>
      </c>
      <c r="O1207" s="52">
        <f t="shared" ca="1" si="1456"/>
        <v>0</v>
      </c>
      <c r="P1207" s="52">
        <f t="shared" ca="1" si="1456"/>
        <v>0</v>
      </c>
      <c r="Q1207" s="52">
        <f t="shared" ca="1" si="1456"/>
        <v>0</v>
      </c>
      <c r="R1207" s="52">
        <f t="shared" ca="1" si="1456"/>
        <v>0</v>
      </c>
      <c r="S1207" s="52">
        <f t="shared" ca="1" si="1456"/>
        <v>0</v>
      </c>
      <c r="T1207" s="52">
        <f t="shared" ca="1" si="1456"/>
        <v>0</v>
      </c>
      <c r="U1207" s="52">
        <f t="shared" ca="1" si="1456"/>
        <v>0</v>
      </c>
      <c r="V1207" s="52">
        <f t="shared" ca="1" si="1456"/>
        <v>0</v>
      </c>
      <c r="W1207" s="52">
        <f t="shared" ca="1" si="1456"/>
        <v>0</v>
      </c>
      <c r="X1207" s="52">
        <f t="shared" ca="1" si="1456"/>
        <v>0</v>
      </c>
      <c r="Y1207" s="52">
        <f t="shared" ca="1" si="1456"/>
        <v>0</v>
      </c>
      <c r="Z1207" s="52">
        <f t="shared" ca="1" si="1456"/>
        <v>0</v>
      </c>
      <c r="AA1207" s="52">
        <f t="shared" ca="1" si="1456"/>
        <v>0</v>
      </c>
      <c r="AB1207" s="52">
        <f t="shared" ca="1" si="1456"/>
        <v>0</v>
      </c>
      <c r="AC1207" s="52">
        <f t="shared" ca="1" si="1456"/>
        <v>0</v>
      </c>
      <c r="AD1207" s="52">
        <f t="shared" ca="1" si="1456"/>
        <v>0</v>
      </c>
      <c r="AE1207" s="52">
        <f t="shared" ca="1" si="1456"/>
        <v>0</v>
      </c>
      <c r="AF1207" s="52">
        <f t="shared" ca="1" si="1456"/>
        <v>0</v>
      </c>
      <c r="AG1207" s="52">
        <f t="shared" ca="1" si="1456"/>
        <v>0</v>
      </c>
      <c r="AH1207" s="52">
        <f t="shared" ca="1" si="1456"/>
        <v>0</v>
      </c>
      <c r="AI1207" s="52">
        <f t="shared" ca="1" si="1456"/>
        <v>0</v>
      </c>
      <c r="AJ1207" s="52">
        <f t="shared" ca="1" si="1456"/>
        <v>0</v>
      </c>
      <c r="AK1207" s="52">
        <f t="shared" ca="1" si="1456"/>
        <v>0</v>
      </c>
      <c r="AL1207" s="52">
        <f t="shared" ca="1" si="1456"/>
        <v>0</v>
      </c>
      <c r="AM1207" s="52">
        <f t="shared" ca="1" si="1456"/>
        <v>0</v>
      </c>
      <c r="AN1207" s="52">
        <f t="shared" ca="1" si="1456"/>
        <v>0</v>
      </c>
      <c r="AO1207" s="52">
        <f t="shared" ca="1" si="1456"/>
        <v>0</v>
      </c>
      <c r="AP1207" s="52">
        <f t="shared" ca="1" si="1456"/>
        <v>0</v>
      </c>
      <c r="AQ1207" s="52">
        <f t="shared" ca="1" si="1456"/>
        <v>0</v>
      </c>
      <c r="AR1207" s="52">
        <f t="shared" ca="1" si="1456"/>
        <v>0</v>
      </c>
      <c r="AS1207" s="52">
        <f t="shared" ca="1" si="1456"/>
        <v>0</v>
      </c>
      <c r="AT1207" s="52">
        <f t="shared" ca="1" si="1456"/>
        <v>0</v>
      </c>
      <c r="AU1207" s="52">
        <f t="shared" ca="1" si="1456"/>
        <v>0</v>
      </c>
      <c r="AV1207" s="52">
        <f t="shared" ca="1" si="1456"/>
        <v>0</v>
      </c>
      <c r="AW1207" s="52">
        <f t="shared" ca="1" si="1456"/>
        <v>115616.33267494224</v>
      </c>
      <c r="AX1207" s="52">
        <f t="shared" ca="1" si="1456"/>
        <v>273026.89898316731</v>
      </c>
      <c r="AY1207" s="52">
        <f t="shared" ca="1" si="1456"/>
        <v>160610.09420331367</v>
      </c>
      <c r="AZ1207" s="52">
        <f t="shared" ca="1" si="1456"/>
        <v>90746.681474151221</v>
      </c>
      <c r="BA1207" s="52">
        <f t="shared" ca="1" si="1456"/>
        <v>140327.30961439823</v>
      </c>
      <c r="BB1207" s="52">
        <f t="shared" ca="1" si="1456"/>
        <v>273441.40717452572</v>
      </c>
      <c r="BC1207" s="52">
        <f t="shared" ca="1" si="1456"/>
        <v>167027.39986984793</v>
      </c>
      <c r="BD1207" s="52">
        <f t="shared" ca="1" si="1456"/>
        <v>95677.102949824461</v>
      </c>
      <c r="BE1207" s="52">
        <f t="shared" ca="1" si="1456"/>
        <v>144587.40117527739</v>
      </c>
      <c r="BF1207" s="52">
        <f t="shared" ca="1" si="1456"/>
        <v>283339.07755339477</v>
      </c>
      <c r="BG1207" s="52">
        <f t="shared" ca="1" si="1456"/>
        <v>172668.51570028992</v>
      </c>
      <c r="BH1207" s="52">
        <f t="shared" ca="1" si="1456"/>
        <v>97093.665388560941</v>
      </c>
      <c r="BI1207" s="52">
        <f t="shared" ca="1" si="1456"/>
        <v>150722.02899878885</v>
      </c>
      <c r="BJ1207" s="52">
        <f t="shared" ca="1" si="1456"/>
        <v>294700.16257395281</v>
      </c>
      <c r="BK1207" s="52">
        <f t="shared" ca="1" si="1456"/>
        <v>179602.77227321349</v>
      </c>
      <c r="BL1207" s="52">
        <f t="shared" ca="1" si="1456"/>
        <v>101010.04112024038</v>
      </c>
      <c r="BM1207" s="52">
        <f t="shared" ca="1" si="1456"/>
        <v>156784.45144098948</v>
      </c>
      <c r="BN1207" s="52">
        <f t="shared" ca="1" si="1456"/>
        <v>306522.65430726274</v>
      </c>
      <c r="BO1207" s="52">
        <f t="shared" ca="1" si="1456"/>
        <v>177777.08616391147</v>
      </c>
      <c r="BP1207" s="52">
        <f t="shared" ca="1" si="1456"/>
        <v>97479.370084233102</v>
      </c>
      <c r="BQ1207" s="52">
        <f t="shared" ca="1" si="1456"/>
        <v>147496.84938078091</v>
      </c>
      <c r="BR1207" s="52">
        <f t="shared" ca="1" si="1456"/>
        <v>278245.88708535011</v>
      </c>
      <c r="BS1207" s="52">
        <f t="shared" ca="1" si="1456"/>
        <v>176430.29235447777</v>
      </c>
      <c r="BT1207" s="52">
        <f t="shared" ca="1" si="1456"/>
        <v>94568.477972540364</v>
      </c>
      <c r="BU1207" s="52">
        <f t="shared" ca="1" si="1456"/>
        <v>144907.78111575436</v>
      </c>
      <c r="BV1207" s="52">
        <f t="shared" ca="1" si="1456"/>
        <v>290142.81625441811</v>
      </c>
      <c r="BW1207" s="52">
        <f t="shared" ca="1" si="1456"/>
        <v>184249.96053286913</v>
      </c>
      <c r="BX1207" s="52">
        <f t="shared" ca="1" si="1456"/>
        <v>97648.295518110244</v>
      </c>
      <c r="BY1207" s="52">
        <f t="shared" ref="BY1207:CO1207" ca="1" si="1457">MAX(MIN(MAX(BY1205,0),BY1206),0)</f>
        <v>151770.83585332031</v>
      </c>
      <c r="BZ1207" s="52">
        <f t="shared" ca="1" si="1457"/>
        <v>302440.46734145656</v>
      </c>
      <c r="CA1207" s="52">
        <f t="shared" ca="1" si="1457"/>
        <v>192307.85374290359</v>
      </c>
      <c r="CB1207" s="52">
        <f t="shared" ca="1" si="1457"/>
        <v>102248.94821865222</v>
      </c>
      <c r="CC1207" s="52">
        <f t="shared" ca="1" si="1457"/>
        <v>158541.06086534384</v>
      </c>
      <c r="CD1207" s="52">
        <f t="shared" ca="1" si="1457"/>
        <v>315242.0910079485</v>
      </c>
      <c r="CE1207" s="52">
        <f t="shared" ca="1" si="1457"/>
        <v>200699.82662151247</v>
      </c>
      <c r="CF1207" s="52">
        <f t="shared" ca="1" si="1457"/>
        <v>107016.58280527144</v>
      </c>
      <c r="CG1207" s="52">
        <f t="shared" ca="1" si="1457"/>
        <v>165564.89886920995</v>
      </c>
      <c r="CH1207" s="52">
        <f t="shared" ca="1" si="1457"/>
        <v>328538.39464533399</v>
      </c>
      <c r="CI1207" s="52">
        <f t="shared" ca="1" si="1457"/>
        <v>209410.09343949921</v>
      </c>
      <c r="CJ1207" s="52">
        <f t="shared" ca="1" si="1457"/>
        <v>113577.58786442541</v>
      </c>
      <c r="CK1207" s="52">
        <f t="shared" ca="1" si="1457"/>
        <v>172449.24687161582</v>
      </c>
      <c r="CL1207" s="52">
        <f t="shared" ca="1" si="1457"/>
        <v>342372.8721207974</v>
      </c>
      <c r="CM1207" s="52">
        <f t="shared" ca="1" si="1457"/>
        <v>218474.8026703553</v>
      </c>
      <c r="CN1207" s="52">
        <f t="shared" ca="1" si="1457"/>
        <v>117079.85311511872</v>
      </c>
      <c r="CO1207" s="52">
        <f t="shared" ca="1" si="1457"/>
        <v>180414.39771195172</v>
      </c>
    </row>
    <row r="1208" spans="1:93" ht="15.75" thickBot="1">
      <c r="A1208" s="10"/>
      <c r="B1208" s="10"/>
      <c r="C1208" s="17" t="s">
        <v>291</v>
      </c>
      <c r="D1208" s="10"/>
      <c r="E1208" s="62"/>
      <c r="F1208" s="10"/>
      <c r="G1208" s="134" t="str">
        <f t="shared" si="1450"/>
        <v>тыс. руб.</v>
      </c>
      <c r="H1208" s="10"/>
      <c r="I1208" s="10"/>
      <c r="J1208" s="10"/>
      <c r="K1208" s="10"/>
      <c r="L1208" s="52">
        <f ca="1">MAX(L1205-L1207,0)*Flag_Operations</f>
        <v>0</v>
      </c>
      <c r="M1208" s="52">
        <f t="shared" ref="M1208:BX1208" ca="1" si="1458">MAX(M1205-M1207,0)*Flag_Operations</f>
        <v>0</v>
      </c>
      <c r="N1208" s="52">
        <f t="shared" ca="1" si="1458"/>
        <v>0</v>
      </c>
      <c r="O1208" s="52">
        <f t="shared" ca="1" si="1458"/>
        <v>0</v>
      </c>
      <c r="P1208" s="52">
        <f t="shared" ca="1" si="1458"/>
        <v>0</v>
      </c>
      <c r="Q1208" s="52">
        <f t="shared" ca="1" si="1458"/>
        <v>0</v>
      </c>
      <c r="R1208" s="52">
        <f t="shared" ca="1" si="1458"/>
        <v>0</v>
      </c>
      <c r="S1208" s="52">
        <f t="shared" ca="1" si="1458"/>
        <v>0</v>
      </c>
      <c r="T1208" s="52">
        <f t="shared" ca="1" si="1458"/>
        <v>0</v>
      </c>
      <c r="U1208" s="52">
        <f t="shared" ca="1" si="1458"/>
        <v>0</v>
      </c>
      <c r="V1208" s="52">
        <f t="shared" ca="1" si="1458"/>
        <v>0</v>
      </c>
      <c r="W1208" s="52">
        <f t="shared" ca="1" si="1458"/>
        <v>0</v>
      </c>
      <c r="X1208" s="52">
        <f t="shared" ca="1" si="1458"/>
        <v>0</v>
      </c>
      <c r="Y1208" s="52">
        <f t="shared" ca="1" si="1458"/>
        <v>0</v>
      </c>
      <c r="Z1208" s="52">
        <f t="shared" ca="1" si="1458"/>
        <v>0</v>
      </c>
      <c r="AA1208" s="52">
        <f t="shared" ca="1" si="1458"/>
        <v>0</v>
      </c>
      <c r="AB1208" s="52">
        <f t="shared" ca="1" si="1458"/>
        <v>0</v>
      </c>
      <c r="AC1208" s="52">
        <f t="shared" ca="1" si="1458"/>
        <v>0</v>
      </c>
      <c r="AD1208" s="52">
        <f t="shared" ca="1" si="1458"/>
        <v>0</v>
      </c>
      <c r="AE1208" s="52">
        <f t="shared" ca="1" si="1458"/>
        <v>0</v>
      </c>
      <c r="AF1208" s="52">
        <f t="shared" ca="1" si="1458"/>
        <v>0</v>
      </c>
      <c r="AG1208" s="52">
        <f t="shared" ca="1" si="1458"/>
        <v>0</v>
      </c>
      <c r="AH1208" s="52">
        <f t="shared" ca="1" si="1458"/>
        <v>0</v>
      </c>
      <c r="AI1208" s="52">
        <f t="shared" ca="1" si="1458"/>
        <v>0</v>
      </c>
      <c r="AJ1208" s="52">
        <f t="shared" ca="1" si="1458"/>
        <v>0</v>
      </c>
      <c r="AK1208" s="52">
        <f t="shared" ca="1" si="1458"/>
        <v>0</v>
      </c>
      <c r="AL1208" s="52">
        <f t="shared" ca="1" si="1458"/>
        <v>0</v>
      </c>
      <c r="AM1208" s="52">
        <f t="shared" ca="1" si="1458"/>
        <v>0</v>
      </c>
      <c r="AN1208" s="52">
        <f t="shared" ca="1" si="1458"/>
        <v>0</v>
      </c>
      <c r="AO1208" s="52">
        <f t="shared" ca="1" si="1458"/>
        <v>0</v>
      </c>
      <c r="AP1208" s="52">
        <f t="shared" ca="1" si="1458"/>
        <v>0</v>
      </c>
      <c r="AQ1208" s="52">
        <f t="shared" ca="1" si="1458"/>
        <v>0</v>
      </c>
      <c r="AR1208" s="52">
        <f t="shared" ca="1" si="1458"/>
        <v>0</v>
      </c>
      <c r="AS1208" s="52">
        <f t="shared" ca="1" si="1458"/>
        <v>0</v>
      </c>
      <c r="AT1208" s="52">
        <f t="shared" ca="1" si="1458"/>
        <v>0</v>
      </c>
      <c r="AU1208" s="52">
        <f t="shared" ca="1" si="1458"/>
        <v>0</v>
      </c>
      <c r="AV1208" s="52">
        <f t="shared" ca="1" si="1458"/>
        <v>0</v>
      </c>
      <c r="AW1208" s="52">
        <f t="shared" ca="1" si="1458"/>
        <v>0</v>
      </c>
      <c r="AX1208" s="52">
        <f t="shared" ca="1" si="1458"/>
        <v>0</v>
      </c>
      <c r="AY1208" s="52">
        <f t="shared" ca="1" si="1458"/>
        <v>0</v>
      </c>
      <c r="AZ1208" s="52">
        <f t="shared" ca="1" si="1458"/>
        <v>0</v>
      </c>
      <c r="BA1208" s="52">
        <f t="shared" ca="1" si="1458"/>
        <v>0</v>
      </c>
      <c r="BB1208" s="52">
        <f t="shared" ca="1" si="1458"/>
        <v>0</v>
      </c>
      <c r="BC1208" s="52">
        <f t="shared" ca="1" si="1458"/>
        <v>0</v>
      </c>
      <c r="BD1208" s="52">
        <f t="shared" ca="1" si="1458"/>
        <v>0</v>
      </c>
      <c r="BE1208" s="52">
        <f t="shared" ca="1" si="1458"/>
        <v>0</v>
      </c>
      <c r="BF1208" s="52">
        <f t="shared" ca="1" si="1458"/>
        <v>0</v>
      </c>
      <c r="BG1208" s="52">
        <f t="shared" ca="1" si="1458"/>
        <v>0</v>
      </c>
      <c r="BH1208" s="52">
        <f t="shared" ca="1" si="1458"/>
        <v>0</v>
      </c>
      <c r="BI1208" s="52">
        <f t="shared" ca="1" si="1458"/>
        <v>0</v>
      </c>
      <c r="BJ1208" s="52">
        <f t="shared" ca="1" si="1458"/>
        <v>0</v>
      </c>
      <c r="BK1208" s="52">
        <f t="shared" ca="1" si="1458"/>
        <v>0</v>
      </c>
      <c r="BL1208" s="52">
        <f t="shared" ca="1" si="1458"/>
        <v>0</v>
      </c>
      <c r="BM1208" s="52">
        <f t="shared" ca="1" si="1458"/>
        <v>0</v>
      </c>
      <c r="BN1208" s="52">
        <f t="shared" ca="1" si="1458"/>
        <v>0</v>
      </c>
      <c r="BO1208" s="52">
        <f t="shared" ca="1" si="1458"/>
        <v>0</v>
      </c>
      <c r="BP1208" s="52">
        <f t="shared" ca="1" si="1458"/>
        <v>0</v>
      </c>
      <c r="BQ1208" s="52">
        <f t="shared" ca="1" si="1458"/>
        <v>0</v>
      </c>
      <c r="BR1208" s="52">
        <f t="shared" ca="1" si="1458"/>
        <v>0</v>
      </c>
      <c r="BS1208" s="52">
        <f t="shared" ca="1" si="1458"/>
        <v>0</v>
      </c>
      <c r="BT1208" s="52">
        <f t="shared" ca="1" si="1458"/>
        <v>0</v>
      </c>
      <c r="BU1208" s="52">
        <f t="shared" ca="1" si="1458"/>
        <v>0</v>
      </c>
      <c r="BV1208" s="52">
        <f t="shared" ca="1" si="1458"/>
        <v>0</v>
      </c>
      <c r="BW1208" s="52">
        <f t="shared" ca="1" si="1458"/>
        <v>0</v>
      </c>
      <c r="BX1208" s="52">
        <f t="shared" ca="1" si="1458"/>
        <v>0</v>
      </c>
      <c r="BY1208" s="52">
        <f t="shared" ref="BY1208:CO1208" ca="1" si="1459">MAX(BY1205-BY1207,0)*Flag_Operations</f>
        <v>0</v>
      </c>
      <c r="BZ1208" s="52">
        <f t="shared" ca="1" si="1459"/>
        <v>0</v>
      </c>
      <c r="CA1208" s="52">
        <f t="shared" ca="1" si="1459"/>
        <v>0</v>
      </c>
      <c r="CB1208" s="52">
        <f t="shared" ca="1" si="1459"/>
        <v>0</v>
      </c>
      <c r="CC1208" s="52">
        <f t="shared" ca="1" si="1459"/>
        <v>0</v>
      </c>
      <c r="CD1208" s="52">
        <f t="shared" ca="1" si="1459"/>
        <v>0</v>
      </c>
      <c r="CE1208" s="52">
        <f t="shared" ca="1" si="1459"/>
        <v>0</v>
      </c>
      <c r="CF1208" s="52">
        <f t="shared" ca="1" si="1459"/>
        <v>0</v>
      </c>
      <c r="CG1208" s="52">
        <f t="shared" ca="1" si="1459"/>
        <v>0</v>
      </c>
      <c r="CH1208" s="52">
        <f t="shared" ca="1" si="1459"/>
        <v>0</v>
      </c>
      <c r="CI1208" s="52">
        <f t="shared" ca="1" si="1459"/>
        <v>0</v>
      </c>
      <c r="CJ1208" s="52">
        <f t="shared" ca="1" si="1459"/>
        <v>0</v>
      </c>
      <c r="CK1208" s="52">
        <f t="shared" ca="1" si="1459"/>
        <v>0</v>
      </c>
      <c r="CL1208" s="52">
        <f t="shared" ca="1" si="1459"/>
        <v>0</v>
      </c>
      <c r="CM1208" s="52">
        <f t="shared" ca="1" si="1459"/>
        <v>0</v>
      </c>
      <c r="CN1208" s="52">
        <f t="shared" ca="1" si="1459"/>
        <v>0</v>
      </c>
      <c r="CO1208" s="52">
        <f t="shared" ca="1" si="1459"/>
        <v>0</v>
      </c>
    </row>
    <row r="1209" spans="1:93" ht="15.75" thickTop="1">
      <c r="A1209" s="172"/>
      <c r="B1209" s="35"/>
      <c r="C1209" s="173" t="s">
        <v>264</v>
      </c>
      <c r="D1209" s="49"/>
      <c r="E1209" s="49"/>
      <c r="F1209" s="49"/>
      <c r="G1209" s="159" t="str">
        <f t="shared" si="1450"/>
        <v>тыс. руб.</v>
      </c>
      <c r="H1209" s="49"/>
      <c r="I1209" s="176">
        <f ca="1">SUM(L1209:CO1209)</f>
        <v>-8270600.6277033035</v>
      </c>
      <c r="J1209" s="49"/>
      <c r="K1209" s="49"/>
      <c r="L1209" s="451">
        <f t="shared" ref="L1209:AQ1209" ca="1" si="1460">-IF(Flag_Last_Operations*$E$923,SUM(L1207:L1208),L1207)</f>
        <v>0</v>
      </c>
      <c r="M1209" s="451">
        <f t="shared" ca="1" si="1460"/>
        <v>0</v>
      </c>
      <c r="N1209" s="451">
        <f t="shared" ca="1" si="1460"/>
        <v>0</v>
      </c>
      <c r="O1209" s="451">
        <f t="shared" ca="1" si="1460"/>
        <v>0</v>
      </c>
      <c r="P1209" s="451">
        <f t="shared" ca="1" si="1460"/>
        <v>0</v>
      </c>
      <c r="Q1209" s="451">
        <f t="shared" ca="1" si="1460"/>
        <v>0</v>
      </c>
      <c r="R1209" s="451">
        <f t="shared" ca="1" si="1460"/>
        <v>0</v>
      </c>
      <c r="S1209" s="451">
        <f t="shared" ca="1" si="1460"/>
        <v>0</v>
      </c>
      <c r="T1209" s="451">
        <f t="shared" ca="1" si="1460"/>
        <v>0</v>
      </c>
      <c r="U1209" s="451">
        <f t="shared" ca="1" si="1460"/>
        <v>0</v>
      </c>
      <c r="V1209" s="451">
        <f t="shared" ca="1" si="1460"/>
        <v>0</v>
      </c>
      <c r="W1209" s="451">
        <f t="shared" ca="1" si="1460"/>
        <v>0</v>
      </c>
      <c r="X1209" s="451">
        <f t="shared" ca="1" si="1460"/>
        <v>0</v>
      </c>
      <c r="Y1209" s="451">
        <f t="shared" ca="1" si="1460"/>
        <v>0</v>
      </c>
      <c r="Z1209" s="451">
        <f t="shared" ca="1" si="1460"/>
        <v>0</v>
      </c>
      <c r="AA1209" s="451">
        <f t="shared" ca="1" si="1460"/>
        <v>0</v>
      </c>
      <c r="AB1209" s="451">
        <f t="shared" ca="1" si="1460"/>
        <v>0</v>
      </c>
      <c r="AC1209" s="451">
        <f t="shared" ca="1" si="1460"/>
        <v>0</v>
      </c>
      <c r="AD1209" s="451">
        <f t="shared" ca="1" si="1460"/>
        <v>0</v>
      </c>
      <c r="AE1209" s="451">
        <f t="shared" ca="1" si="1460"/>
        <v>0</v>
      </c>
      <c r="AF1209" s="451">
        <f t="shared" ca="1" si="1460"/>
        <v>0</v>
      </c>
      <c r="AG1209" s="451">
        <f t="shared" ca="1" si="1460"/>
        <v>0</v>
      </c>
      <c r="AH1209" s="451">
        <f t="shared" ca="1" si="1460"/>
        <v>0</v>
      </c>
      <c r="AI1209" s="451">
        <f t="shared" ca="1" si="1460"/>
        <v>0</v>
      </c>
      <c r="AJ1209" s="451">
        <f t="shared" ca="1" si="1460"/>
        <v>0</v>
      </c>
      <c r="AK1209" s="451">
        <f t="shared" ca="1" si="1460"/>
        <v>0</v>
      </c>
      <c r="AL1209" s="451">
        <f t="shared" ca="1" si="1460"/>
        <v>0</v>
      </c>
      <c r="AM1209" s="451">
        <f t="shared" ca="1" si="1460"/>
        <v>0</v>
      </c>
      <c r="AN1209" s="451">
        <f t="shared" ca="1" si="1460"/>
        <v>0</v>
      </c>
      <c r="AO1209" s="451">
        <f t="shared" ca="1" si="1460"/>
        <v>0</v>
      </c>
      <c r="AP1209" s="451">
        <f t="shared" ca="1" si="1460"/>
        <v>0</v>
      </c>
      <c r="AQ1209" s="451">
        <f t="shared" ca="1" si="1460"/>
        <v>0</v>
      </c>
      <c r="AR1209" s="451">
        <f t="shared" ref="AR1209:BW1209" ca="1" si="1461">-IF(Flag_Last_Operations*$E$923,SUM(AR1207:AR1208),AR1207)</f>
        <v>0</v>
      </c>
      <c r="AS1209" s="451">
        <f t="shared" ca="1" si="1461"/>
        <v>0</v>
      </c>
      <c r="AT1209" s="451">
        <f t="shared" ca="1" si="1461"/>
        <v>0</v>
      </c>
      <c r="AU1209" s="451">
        <f t="shared" ca="1" si="1461"/>
        <v>0</v>
      </c>
      <c r="AV1209" s="451">
        <f t="shared" ca="1" si="1461"/>
        <v>0</v>
      </c>
      <c r="AW1209" s="451">
        <f t="shared" ca="1" si="1461"/>
        <v>-115616.33267494224</v>
      </c>
      <c r="AX1209" s="451">
        <f t="shared" ca="1" si="1461"/>
        <v>-273026.89898316731</v>
      </c>
      <c r="AY1209" s="451">
        <f t="shared" ca="1" si="1461"/>
        <v>-160610.09420331367</v>
      </c>
      <c r="AZ1209" s="451">
        <f t="shared" ca="1" si="1461"/>
        <v>-90746.681474151221</v>
      </c>
      <c r="BA1209" s="451">
        <f t="shared" ca="1" si="1461"/>
        <v>-140327.30961439823</v>
      </c>
      <c r="BB1209" s="451">
        <f t="shared" ca="1" si="1461"/>
        <v>-273441.40717452572</v>
      </c>
      <c r="BC1209" s="451">
        <f t="shared" ca="1" si="1461"/>
        <v>-167027.39986984793</v>
      </c>
      <c r="BD1209" s="451">
        <f t="shared" ca="1" si="1461"/>
        <v>-95677.102949824461</v>
      </c>
      <c r="BE1209" s="451">
        <f t="shared" ca="1" si="1461"/>
        <v>-144587.40117527739</v>
      </c>
      <c r="BF1209" s="451">
        <f t="shared" ca="1" si="1461"/>
        <v>-283339.07755339477</v>
      </c>
      <c r="BG1209" s="451">
        <f t="shared" ca="1" si="1461"/>
        <v>-172668.51570028992</v>
      </c>
      <c r="BH1209" s="451">
        <f t="shared" ca="1" si="1461"/>
        <v>-97093.665388560941</v>
      </c>
      <c r="BI1209" s="451">
        <f t="shared" ca="1" si="1461"/>
        <v>-150722.02899878885</v>
      </c>
      <c r="BJ1209" s="451">
        <f t="shared" ca="1" si="1461"/>
        <v>-294700.16257395281</v>
      </c>
      <c r="BK1209" s="451">
        <f t="shared" ca="1" si="1461"/>
        <v>-179602.77227321349</v>
      </c>
      <c r="BL1209" s="451">
        <f t="shared" ca="1" si="1461"/>
        <v>-101010.04112024038</v>
      </c>
      <c r="BM1209" s="451">
        <f t="shared" ca="1" si="1461"/>
        <v>-156784.45144098948</v>
      </c>
      <c r="BN1209" s="451">
        <f t="shared" ca="1" si="1461"/>
        <v>-306522.65430726274</v>
      </c>
      <c r="BO1209" s="451">
        <f t="shared" ca="1" si="1461"/>
        <v>-177777.08616391147</v>
      </c>
      <c r="BP1209" s="451">
        <f t="shared" ca="1" si="1461"/>
        <v>-97479.370084233102</v>
      </c>
      <c r="BQ1209" s="451">
        <f t="shared" ca="1" si="1461"/>
        <v>-147496.84938078091</v>
      </c>
      <c r="BR1209" s="451">
        <f t="shared" ca="1" si="1461"/>
        <v>-278245.88708535011</v>
      </c>
      <c r="BS1209" s="451">
        <f t="shared" ca="1" si="1461"/>
        <v>-176430.29235447777</v>
      </c>
      <c r="BT1209" s="451">
        <f t="shared" ca="1" si="1461"/>
        <v>-94568.477972540364</v>
      </c>
      <c r="BU1209" s="451">
        <f t="shared" ca="1" si="1461"/>
        <v>-144907.78111575436</v>
      </c>
      <c r="BV1209" s="451">
        <f t="shared" ca="1" si="1461"/>
        <v>-290142.81625441811</v>
      </c>
      <c r="BW1209" s="451">
        <f t="shared" ca="1" si="1461"/>
        <v>-184249.96053286913</v>
      </c>
      <c r="BX1209" s="451">
        <f t="shared" ref="BX1209:CO1209" ca="1" si="1462">-IF(Flag_Last_Operations*$E$923,SUM(BX1207:BX1208),BX1207)</f>
        <v>-97648.295518110244</v>
      </c>
      <c r="BY1209" s="451">
        <f t="shared" ca="1" si="1462"/>
        <v>-151770.83585332031</v>
      </c>
      <c r="BZ1209" s="451">
        <f t="shared" ca="1" si="1462"/>
        <v>-302440.46734145656</v>
      </c>
      <c r="CA1209" s="451">
        <f t="shared" ca="1" si="1462"/>
        <v>-192307.85374290359</v>
      </c>
      <c r="CB1209" s="451">
        <f t="shared" ca="1" si="1462"/>
        <v>-102248.94821865222</v>
      </c>
      <c r="CC1209" s="451">
        <f t="shared" ca="1" si="1462"/>
        <v>-158541.06086534384</v>
      </c>
      <c r="CD1209" s="451">
        <f t="shared" ca="1" si="1462"/>
        <v>-315242.0910079485</v>
      </c>
      <c r="CE1209" s="451">
        <f t="shared" ca="1" si="1462"/>
        <v>-200699.82662151247</v>
      </c>
      <c r="CF1209" s="451">
        <f t="shared" ca="1" si="1462"/>
        <v>-107016.58280527144</v>
      </c>
      <c r="CG1209" s="451">
        <f t="shared" ca="1" si="1462"/>
        <v>-165564.89886920995</v>
      </c>
      <c r="CH1209" s="451">
        <f t="shared" ca="1" si="1462"/>
        <v>-328538.39464533399</v>
      </c>
      <c r="CI1209" s="451">
        <f t="shared" ca="1" si="1462"/>
        <v>-209410.09343949921</v>
      </c>
      <c r="CJ1209" s="451">
        <f t="shared" ca="1" si="1462"/>
        <v>-113577.58786442541</v>
      </c>
      <c r="CK1209" s="451">
        <f t="shared" ca="1" si="1462"/>
        <v>-172449.24687161582</v>
      </c>
      <c r="CL1209" s="451">
        <f t="shared" ca="1" si="1462"/>
        <v>-342372.8721207974</v>
      </c>
      <c r="CM1209" s="451">
        <f t="shared" ca="1" si="1462"/>
        <v>-218474.8026703553</v>
      </c>
      <c r="CN1209" s="451">
        <f t="shared" ca="1" si="1462"/>
        <v>-117079.85311511872</v>
      </c>
      <c r="CO1209" s="451">
        <f t="shared" ca="1" si="1462"/>
        <v>-180414.39771195172</v>
      </c>
    </row>
    <row r="1210" spans="1:93"/>
    <row r="1211" spans="1:93" ht="22.5" customHeight="1">
      <c r="A1211" s="10"/>
      <c r="B1211" s="5" t="s">
        <v>197</v>
      </c>
      <c r="C1211" s="5"/>
      <c r="D1211" s="15"/>
      <c r="E1211" s="5"/>
      <c r="F1211" s="5"/>
      <c r="G1211" s="6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5"/>
      <c r="BP1211" s="5"/>
      <c r="BQ1211" s="5"/>
      <c r="BR1211" s="5"/>
      <c r="BS1211" s="5"/>
      <c r="BT1211" s="5"/>
      <c r="BU1211" s="5"/>
      <c r="BV1211" s="5"/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</row>
    <row r="1212" spans="1:93">
      <c r="A1212" s="10"/>
      <c r="B1212" s="10"/>
      <c r="C1212" s="10"/>
      <c r="D1212" s="10"/>
      <c r="E1212" s="10"/>
      <c r="F1212" s="10"/>
      <c r="G1212" s="11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0"/>
      <c r="AH1212" s="10"/>
      <c r="AI1212" s="10"/>
      <c r="AJ1212" s="10"/>
      <c r="AK1212" s="10"/>
      <c r="AL1212" s="10"/>
      <c r="AM1212" s="10"/>
      <c r="AN1212" s="10"/>
      <c r="AO1212" s="10"/>
      <c r="AP1212" s="10"/>
      <c r="AQ1212" s="10"/>
      <c r="AR1212" s="10"/>
      <c r="AS1212" s="10"/>
      <c r="AT1212" s="10"/>
      <c r="AU1212" s="10"/>
      <c r="AV1212" s="10"/>
      <c r="AW1212" s="10"/>
      <c r="AX1212" s="10"/>
      <c r="AY1212" s="10"/>
      <c r="AZ1212" s="10"/>
      <c r="BA1212" s="10"/>
      <c r="BB1212" s="10"/>
      <c r="BC1212" s="10"/>
      <c r="BD1212" s="10"/>
      <c r="BE1212" s="10"/>
      <c r="BF1212" s="10"/>
      <c r="BG1212" s="10"/>
      <c r="BH1212" s="10"/>
      <c r="BI1212" s="10"/>
      <c r="BJ1212" s="10"/>
      <c r="BK1212" s="10"/>
      <c r="BL1212" s="10"/>
      <c r="BM1212" s="10"/>
      <c r="BN1212" s="10"/>
      <c r="BO1212" s="10"/>
      <c r="BP1212" s="10"/>
      <c r="BQ1212" s="10"/>
      <c r="BR1212" s="10"/>
      <c r="BS1212" s="10"/>
      <c r="BT1212" s="10"/>
      <c r="BU1212" s="10"/>
      <c r="BV1212" s="10"/>
      <c r="BW1212" s="10"/>
      <c r="BX1212" s="10"/>
      <c r="BY1212" s="10"/>
      <c r="BZ1212" s="10"/>
      <c r="CA1212" s="10"/>
      <c r="CB1212" s="10"/>
      <c r="CC1212" s="10"/>
      <c r="CD1212" s="10"/>
      <c r="CE1212" s="10"/>
      <c r="CF1212" s="10"/>
      <c r="CG1212" s="10"/>
      <c r="CH1212" s="10"/>
      <c r="CI1212" s="10"/>
      <c r="CJ1212" s="10"/>
      <c r="CK1212" s="10"/>
      <c r="CL1212" s="10"/>
      <c r="CM1212" s="10"/>
      <c r="CN1212" s="10"/>
      <c r="CO1212" s="10"/>
    </row>
    <row r="1213" spans="1:93">
      <c r="A1213" s="10"/>
      <c r="B1213" s="10"/>
      <c r="C1213" s="21" t="s">
        <v>456</v>
      </c>
      <c r="D1213" s="10"/>
      <c r="E1213" s="10"/>
      <c r="F1213" s="10"/>
      <c r="G1213" s="134" t="str">
        <f t="shared" ref="G1213:G1234" si="1463">Monetary_Unit</f>
        <v>тыс. руб.</v>
      </c>
      <c r="H1213" s="10"/>
      <c r="I1213" s="10"/>
      <c r="J1213" s="10"/>
      <c r="K1213" s="10"/>
      <c r="L1213" s="52">
        <f t="shared" ref="L1213:AQ1213" si="1464">K1234*(Flag_Historical+Flag_Financial_Model)</f>
        <v>0</v>
      </c>
      <c r="M1213" s="52">
        <f t="shared" ca="1" si="1464"/>
        <v>0</v>
      </c>
      <c r="N1213" s="52">
        <f t="shared" ca="1" si="1464"/>
        <v>0</v>
      </c>
      <c r="O1213" s="52">
        <f t="shared" ca="1" si="1464"/>
        <v>0</v>
      </c>
      <c r="P1213" s="52">
        <f t="shared" ca="1" si="1464"/>
        <v>0</v>
      </c>
      <c r="Q1213" s="52">
        <f t="shared" ca="1" si="1464"/>
        <v>0</v>
      </c>
      <c r="R1213" s="52">
        <f t="shared" ca="1" si="1464"/>
        <v>0</v>
      </c>
      <c r="S1213" s="52">
        <f t="shared" ca="1" si="1464"/>
        <v>0</v>
      </c>
      <c r="T1213" s="52">
        <f t="shared" ca="1" si="1464"/>
        <v>0</v>
      </c>
      <c r="U1213" s="52">
        <f t="shared" ca="1" si="1464"/>
        <v>0</v>
      </c>
      <c r="V1213" s="52">
        <f t="shared" ca="1" si="1464"/>
        <v>0</v>
      </c>
      <c r="W1213" s="52">
        <f t="shared" ca="1" si="1464"/>
        <v>0</v>
      </c>
      <c r="X1213" s="52">
        <f t="shared" ca="1" si="1464"/>
        <v>0</v>
      </c>
      <c r="Y1213" s="52">
        <f t="shared" ca="1" si="1464"/>
        <v>0</v>
      </c>
      <c r="Z1213" s="52">
        <f t="shared" ca="1" si="1464"/>
        <v>0</v>
      </c>
      <c r="AA1213" s="52">
        <f t="shared" ca="1" si="1464"/>
        <v>0</v>
      </c>
      <c r="AB1213" s="52">
        <f t="shared" ca="1" si="1464"/>
        <v>0</v>
      </c>
      <c r="AC1213" s="52">
        <f t="shared" ca="1" si="1464"/>
        <v>0</v>
      </c>
      <c r="AD1213" s="52">
        <f t="shared" ca="1" si="1464"/>
        <v>0</v>
      </c>
      <c r="AE1213" s="52">
        <f t="shared" ca="1" si="1464"/>
        <v>0</v>
      </c>
      <c r="AF1213" s="52">
        <f t="shared" ca="1" si="1464"/>
        <v>0</v>
      </c>
      <c r="AG1213" s="52">
        <f t="shared" ca="1" si="1464"/>
        <v>0</v>
      </c>
      <c r="AH1213" s="52">
        <f t="shared" ca="1" si="1464"/>
        <v>0</v>
      </c>
      <c r="AI1213" s="52">
        <f t="shared" ca="1" si="1464"/>
        <v>0</v>
      </c>
      <c r="AJ1213" s="52">
        <f t="shared" ca="1" si="1464"/>
        <v>0</v>
      </c>
      <c r="AK1213" s="52">
        <f t="shared" ca="1" si="1464"/>
        <v>0</v>
      </c>
      <c r="AL1213" s="52">
        <f t="shared" ca="1" si="1464"/>
        <v>0</v>
      </c>
      <c r="AM1213" s="52">
        <f t="shared" ca="1" si="1464"/>
        <v>0</v>
      </c>
      <c r="AN1213" s="52">
        <f t="shared" ca="1" si="1464"/>
        <v>0</v>
      </c>
      <c r="AO1213" s="52">
        <f t="shared" ca="1" si="1464"/>
        <v>0</v>
      </c>
      <c r="AP1213" s="52">
        <f t="shared" ca="1" si="1464"/>
        <v>0</v>
      </c>
      <c r="AQ1213" s="52">
        <f t="shared" ca="1" si="1464"/>
        <v>0</v>
      </c>
      <c r="AR1213" s="52">
        <f t="shared" ref="AR1213:BW1213" ca="1" si="1465">AQ1234*(Flag_Historical+Flag_Financial_Model)</f>
        <v>0</v>
      </c>
      <c r="AS1213" s="52">
        <f t="shared" ca="1" si="1465"/>
        <v>0</v>
      </c>
      <c r="AT1213" s="52">
        <f t="shared" ca="1" si="1465"/>
        <v>0</v>
      </c>
      <c r="AU1213" s="52">
        <f t="shared" ca="1" si="1465"/>
        <v>0</v>
      </c>
      <c r="AV1213" s="52">
        <f t="shared" ca="1" si="1465"/>
        <v>0</v>
      </c>
      <c r="AW1213" s="52">
        <f t="shared" ca="1" si="1465"/>
        <v>0</v>
      </c>
      <c r="AX1213" s="52">
        <f t="shared" ca="1" si="1465"/>
        <v>0</v>
      </c>
      <c r="AY1213" s="52">
        <f t="shared" ca="1" si="1465"/>
        <v>0</v>
      </c>
      <c r="AZ1213" s="52">
        <f t="shared" ca="1" si="1465"/>
        <v>0</v>
      </c>
      <c r="BA1213" s="52">
        <f t="shared" ca="1" si="1465"/>
        <v>0</v>
      </c>
      <c r="BB1213" s="52">
        <f t="shared" ca="1" si="1465"/>
        <v>0</v>
      </c>
      <c r="BC1213" s="52">
        <f t="shared" ca="1" si="1465"/>
        <v>0</v>
      </c>
      <c r="BD1213" s="52">
        <f t="shared" ca="1" si="1465"/>
        <v>0</v>
      </c>
      <c r="BE1213" s="52">
        <f t="shared" ca="1" si="1465"/>
        <v>0</v>
      </c>
      <c r="BF1213" s="52">
        <f t="shared" ca="1" si="1465"/>
        <v>0</v>
      </c>
      <c r="BG1213" s="52">
        <f t="shared" ca="1" si="1465"/>
        <v>0</v>
      </c>
      <c r="BH1213" s="52">
        <f t="shared" ca="1" si="1465"/>
        <v>0</v>
      </c>
      <c r="BI1213" s="52">
        <f t="shared" ca="1" si="1465"/>
        <v>0</v>
      </c>
      <c r="BJ1213" s="52">
        <f t="shared" ca="1" si="1465"/>
        <v>0</v>
      </c>
      <c r="BK1213" s="52">
        <f t="shared" ca="1" si="1465"/>
        <v>0</v>
      </c>
      <c r="BL1213" s="52">
        <f t="shared" ca="1" si="1465"/>
        <v>0</v>
      </c>
      <c r="BM1213" s="52">
        <f t="shared" ca="1" si="1465"/>
        <v>0</v>
      </c>
      <c r="BN1213" s="52">
        <f t="shared" ca="1" si="1465"/>
        <v>0</v>
      </c>
      <c r="BO1213" s="52">
        <f t="shared" ca="1" si="1465"/>
        <v>0</v>
      </c>
      <c r="BP1213" s="52">
        <f t="shared" ca="1" si="1465"/>
        <v>0</v>
      </c>
      <c r="BQ1213" s="52">
        <f t="shared" ca="1" si="1465"/>
        <v>0</v>
      </c>
      <c r="BR1213" s="52">
        <f t="shared" ca="1" si="1465"/>
        <v>0</v>
      </c>
      <c r="BS1213" s="52">
        <f t="shared" ca="1" si="1465"/>
        <v>0</v>
      </c>
      <c r="BT1213" s="52">
        <f t="shared" ca="1" si="1465"/>
        <v>0</v>
      </c>
      <c r="BU1213" s="52">
        <f t="shared" ca="1" si="1465"/>
        <v>0</v>
      </c>
      <c r="BV1213" s="52">
        <f t="shared" ca="1" si="1465"/>
        <v>0</v>
      </c>
      <c r="BW1213" s="52">
        <f t="shared" ca="1" si="1465"/>
        <v>0</v>
      </c>
      <c r="BX1213" s="52">
        <f t="shared" ref="BX1213:CO1213" ca="1" si="1466">BW1234*(Flag_Historical+Flag_Financial_Model)</f>
        <v>0</v>
      </c>
      <c r="BY1213" s="52">
        <f t="shared" ca="1" si="1466"/>
        <v>0</v>
      </c>
      <c r="BZ1213" s="52">
        <f t="shared" ca="1" si="1466"/>
        <v>0</v>
      </c>
      <c r="CA1213" s="52">
        <f t="shared" ca="1" si="1466"/>
        <v>0</v>
      </c>
      <c r="CB1213" s="52">
        <f t="shared" ca="1" si="1466"/>
        <v>0</v>
      </c>
      <c r="CC1213" s="52">
        <f t="shared" ca="1" si="1466"/>
        <v>0</v>
      </c>
      <c r="CD1213" s="52">
        <f t="shared" ca="1" si="1466"/>
        <v>0</v>
      </c>
      <c r="CE1213" s="52">
        <f t="shared" ca="1" si="1466"/>
        <v>0</v>
      </c>
      <c r="CF1213" s="52">
        <f t="shared" ca="1" si="1466"/>
        <v>0</v>
      </c>
      <c r="CG1213" s="52">
        <f t="shared" ca="1" si="1466"/>
        <v>0</v>
      </c>
      <c r="CH1213" s="52">
        <f t="shared" ca="1" si="1466"/>
        <v>0</v>
      </c>
      <c r="CI1213" s="52">
        <f t="shared" ca="1" si="1466"/>
        <v>0</v>
      </c>
      <c r="CJ1213" s="52">
        <f t="shared" ca="1" si="1466"/>
        <v>0</v>
      </c>
      <c r="CK1213" s="52">
        <f t="shared" ca="1" si="1466"/>
        <v>0</v>
      </c>
      <c r="CL1213" s="52">
        <f t="shared" ca="1" si="1466"/>
        <v>0</v>
      </c>
      <c r="CM1213" s="52">
        <f t="shared" ca="1" si="1466"/>
        <v>0</v>
      </c>
      <c r="CN1213" s="52">
        <f t="shared" ca="1" si="1466"/>
        <v>0</v>
      </c>
      <c r="CO1213" s="52">
        <f t="shared" ca="1" si="1466"/>
        <v>0</v>
      </c>
    </row>
    <row r="1214" spans="1:93">
      <c r="A1214" s="10"/>
      <c r="B1214" s="10"/>
      <c r="C1214" s="414" t="s">
        <v>124</v>
      </c>
      <c r="D1214" s="10"/>
      <c r="E1214" s="10"/>
      <c r="F1214" s="10"/>
      <c r="G1214" s="134" t="str">
        <f t="shared" si="1463"/>
        <v>тыс. руб.</v>
      </c>
      <c r="H1214" s="10"/>
      <c r="I1214" s="23">
        <f t="shared" ref="I1214:I1220" ca="1" si="1467">SUM(L1214:CO1214)</f>
        <v>-3087285.4622873445</v>
      </c>
      <c r="J1214" s="10"/>
      <c r="K1214" s="10"/>
      <c r="L1214" s="52">
        <f t="shared" ref="L1214:BW1214" ca="1" si="1468">-CAPEX</f>
        <v>-16859.627844133964</v>
      </c>
      <c r="M1214" s="52">
        <f t="shared" ca="1" si="1468"/>
        <v>-17098.948363166921</v>
      </c>
      <c r="N1214" s="52">
        <f t="shared" ca="1" si="1468"/>
        <v>-17341.666010022611</v>
      </c>
      <c r="O1214" s="52">
        <f t="shared" ca="1" si="1468"/>
        <v>-17587.829006547992</v>
      </c>
      <c r="P1214" s="52">
        <f t="shared" ca="1" si="1468"/>
        <v>-147908.74218730364</v>
      </c>
      <c r="Q1214" s="52">
        <f t="shared" ca="1" si="1468"/>
        <v>-149366.14715622176</v>
      </c>
      <c r="R1214" s="52">
        <f t="shared" ca="1" si="1468"/>
        <v>-150837.91252880514</v>
      </c>
      <c r="S1214" s="52">
        <f t="shared" ca="1" si="1468"/>
        <v>-152324.1798039492</v>
      </c>
      <c r="T1214" s="52">
        <f t="shared" ca="1" si="1468"/>
        <v>-153825.09187479576</v>
      </c>
      <c r="U1214" s="52">
        <f t="shared" ca="1" si="1468"/>
        <v>-155340.79304247064</v>
      </c>
      <c r="V1214" s="52">
        <f t="shared" ca="1" si="1468"/>
        <v>-156871.42902995727</v>
      </c>
      <c r="W1214" s="52">
        <f t="shared" ca="1" si="1468"/>
        <v>-158417.14699610716</v>
      </c>
      <c r="X1214" s="52">
        <f t="shared" ca="1" si="1468"/>
        <v>-306312.90818037902</v>
      </c>
      <c r="Y1214" s="52">
        <f t="shared" ca="1" si="1468"/>
        <v>-309331.13379587734</v>
      </c>
      <c r="Z1214" s="52">
        <f t="shared" ca="1" si="1468"/>
        <v>-312379.09921542153</v>
      </c>
      <c r="AA1214" s="52">
        <f t="shared" ca="1" si="1468"/>
        <v>-315457.09747739154</v>
      </c>
      <c r="AB1214" s="52">
        <f t="shared" ca="1" si="1468"/>
        <v>-550025.70977479313</v>
      </c>
      <c r="AC1214" s="52">
        <f t="shared" ca="1" si="1468"/>
        <v>0</v>
      </c>
      <c r="AD1214" s="52">
        <f t="shared" ca="1" si="1468"/>
        <v>0</v>
      </c>
      <c r="AE1214" s="52">
        <f t="shared" ca="1" si="1468"/>
        <v>0</v>
      </c>
      <c r="AF1214" s="52">
        <f t="shared" ca="1" si="1468"/>
        <v>0</v>
      </c>
      <c r="AG1214" s="52">
        <f t="shared" ca="1" si="1468"/>
        <v>0</v>
      </c>
      <c r="AH1214" s="52">
        <f t="shared" ca="1" si="1468"/>
        <v>0</v>
      </c>
      <c r="AI1214" s="52">
        <f t="shared" ca="1" si="1468"/>
        <v>0</v>
      </c>
      <c r="AJ1214" s="52">
        <f t="shared" ca="1" si="1468"/>
        <v>0</v>
      </c>
      <c r="AK1214" s="52">
        <f t="shared" ca="1" si="1468"/>
        <v>0</v>
      </c>
      <c r="AL1214" s="52">
        <f t="shared" ca="1" si="1468"/>
        <v>0</v>
      </c>
      <c r="AM1214" s="52">
        <f t="shared" ca="1" si="1468"/>
        <v>0</v>
      </c>
      <c r="AN1214" s="52">
        <f t="shared" ca="1" si="1468"/>
        <v>0</v>
      </c>
      <c r="AO1214" s="52">
        <f t="shared" ca="1" si="1468"/>
        <v>0</v>
      </c>
      <c r="AP1214" s="52">
        <f t="shared" ca="1" si="1468"/>
        <v>0</v>
      </c>
      <c r="AQ1214" s="52">
        <f t="shared" ca="1" si="1468"/>
        <v>0</v>
      </c>
      <c r="AR1214" s="52">
        <f t="shared" ca="1" si="1468"/>
        <v>0</v>
      </c>
      <c r="AS1214" s="52">
        <f t="shared" ca="1" si="1468"/>
        <v>0</v>
      </c>
      <c r="AT1214" s="52">
        <f t="shared" ca="1" si="1468"/>
        <v>0</v>
      </c>
      <c r="AU1214" s="52">
        <f t="shared" ca="1" si="1468"/>
        <v>0</v>
      </c>
      <c r="AV1214" s="52">
        <f t="shared" ca="1" si="1468"/>
        <v>0</v>
      </c>
      <c r="AW1214" s="52">
        <f t="shared" ca="1" si="1468"/>
        <v>0</v>
      </c>
      <c r="AX1214" s="52">
        <f t="shared" ca="1" si="1468"/>
        <v>0</v>
      </c>
      <c r="AY1214" s="52">
        <f t="shared" ca="1" si="1468"/>
        <v>0</v>
      </c>
      <c r="AZ1214" s="52">
        <f t="shared" ca="1" si="1468"/>
        <v>0</v>
      </c>
      <c r="BA1214" s="52">
        <f t="shared" ca="1" si="1468"/>
        <v>0</v>
      </c>
      <c r="BB1214" s="52">
        <f t="shared" ca="1" si="1468"/>
        <v>0</v>
      </c>
      <c r="BC1214" s="52">
        <f t="shared" ca="1" si="1468"/>
        <v>0</v>
      </c>
      <c r="BD1214" s="52">
        <f t="shared" ca="1" si="1468"/>
        <v>0</v>
      </c>
      <c r="BE1214" s="52">
        <f t="shared" ca="1" si="1468"/>
        <v>0</v>
      </c>
      <c r="BF1214" s="52">
        <f t="shared" ca="1" si="1468"/>
        <v>0</v>
      </c>
      <c r="BG1214" s="52">
        <f t="shared" ca="1" si="1468"/>
        <v>0</v>
      </c>
      <c r="BH1214" s="52">
        <f t="shared" ca="1" si="1468"/>
        <v>0</v>
      </c>
      <c r="BI1214" s="52">
        <f t="shared" ca="1" si="1468"/>
        <v>0</v>
      </c>
      <c r="BJ1214" s="52">
        <f t="shared" ca="1" si="1468"/>
        <v>0</v>
      </c>
      <c r="BK1214" s="52">
        <f t="shared" ca="1" si="1468"/>
        <v>0</v>
      </c>
      <c r="BL1214" s="52">
        <f t="shared" ca="1" si="1468"/>
        <v>0</v>
      </c>
      <c r="BM1214" s="52">
        <f t="shared" ca="1" si="1468"/>
        <v>0</v>
      </c>
      <c r="BN1214" s="52">
        <f t="shared" ca="1" si="1468"/>
        <v>0</v>
      </c>
      <c r="BO1214" s="52">
        <f t="shared" ca="1" si="1468"/>
        <v>0</v>
      </c>
      <c r="BP1214" s="52">
        <f t="shared" ca="1" si="1468"/>
        <v>0</v>
      </c>
      <c r="BQ1214" s="52">
        <f t="shared" ca="1" si="1468"/>
        <v>0</v>
      </c>
      <c r="BR1214" s="52">
        <f t="shared" ca="1" si="1468"/>
        <v>0</v>
      </c>
      <c r="BS1214" s="52">
        <f t="shared" ca="1" si="1468"/>
        <v>0</v>
      </c>
      <c r="BT1214" s="52">
        <f t="shared" ca="1" si="1468"/>
        <v>0</v>
      </c>
      <c r="BU1214" s="52">
        <f t="shared" ca="1" si="1468"/>
        <v>0</v>
      </c>
      <c r="BV1214" s="52">
        <f t="shared" ca="1" si="1468"/>
        <v>0</v>
      </c>
      <c r="BW1214" s="52">
        <f t="shared" ca="1" si="1468"/>
        <v>0</v>
      </c>
      <c r="BX1214" s="52">
        <f t="shared" ref="BX1214:CO1214" ca="1" si="1469">-CAPEX</f>
        <v>0</v>
      </c>
      <c r="BY1214" s="52">
        <f t="shared" ca="1" si="1469"/>
        <v>0</v>
      </c>
      <c r="BZ1214" s="52">
        <f t="shared" ca="1" si="1469"/>
        <v>0</v>
      </c>
      <c r="CA1214" s="52">
        <f t="shared" ca="1" si="1469"/>
        <v>0</v>
      </c>
      <c r="CB1214" s="52">
        <f t="shared" ca="1" si="1469"/>
        <v>0</v>
      </c>
      <c r="CC1214" s="52">
        <f t="shared" ca="1" si="1469"/>
        <v>0</v>
      </c>
      <c r="CD1214" s="52">
        <f t="shared" ca="1" si="1469"/>
        <v>0</v>
      </c>
      <c r="CE1214" s="52">
        <f t="shared" ca="1" si="1469"/>
        <v>0</v>
      </c>
      <c r="CF1214" s="52">
        <f t="shared" ca="1" si="1469"/>
        <v>0</v>
      </c>
      <c r="CG1214" s="52">
        <f t="shared" ca="1" si="1469"/>
        <v>0</v>
      </c>
      <c r="CH1214" s="52">
        <f t="shared" ca="1" si="1469"/>
        <v>0</v>
      </c>
      <c r="CI1214" s="52">
        <f t="shared" ca="1" si="1469"/>
        <v>0</v>
      </c>
      <c r="CJ1214" s="52">
        <f t="shared" ca="1" si="1469"/>
        <v>0</v>
      </c>
      <c r="CK1214" s="52">
        <f t="shared" ca="1" si="1469"/>
        <v>0</v>
      </c>
      <c r="CL1214" s="52">
        <f t="shared" ca="1" si="1469"/>
        <v>0</v>
      </c>
      <c r="CM1214" s="52">
        <f t="shared" ca="1" si="1469"/>
        <v>0</v>
      </c>
      <c r="CN1214" s="52">
        <f t="shared" ca="1" si="1469"/>
        <v>0</v>
      </c>
      <c r="CO1214" s="52">
        <f t="shared" ca="1" si="1469"/>
        <v>0</v>
      </c>
    </row>
    <row r="1215" spans="1:93">
      <c r="A1215" s="10"/>
      <c r="B1215" s="10"/>
      <c r="C1215" s="414" t="s">
        <v>96</v>
      </c>
      <c r="D1215" s="10"/>
      <c r="E1215" s="10"/>
      <c r="F1215" s="10"/>
      <c r="G1215" s="134" t="str">
        <f t="shared" si="1463"/>
        <v>тыс. руб.</v>
      </c>
      <c r="H1215" s="10"/>
      <c r="I1215" s="23">
        <f t="shared" ca="1" si="1467"/>
        <v>31948941.046733905</v>
      </c>
      <c r="J1215" s="10"/>
      <c r="K1215" s="10"/>
      <c r="L1215" s="52">
        <f t="shared" ref="L1215:BW1215" ca="1" si="1470">Revenue</f>
        <v>0</v>
      </c>
      <c r="M1215" s="52">
        <f t="shared" ca="1" si="1470"/>
        <v>0</v>
      </c>
      <c r="N1215" s="52">
        <f t="shared" ca="1" si="1470"/>
        <v>0</v>
      </c>
      <c r="O1215" s="52">
        <f t="shared" ca="1" si="1470"/>
        <v>0</v>
      </c>
      <c r="P1215" s="52">
        <f t="shared" ca="1" si="1470"/>
        <v>0</v>
      </c>
      <c r="Q1215" s="52">
        <f t="shared" ca="1" si="1470"/>
        <v>0</v>
      </c>
      <c r="R1215" s="52">
        <f t="shared" ca="1" si="1470"/>
        <v>0</v>
      </c>
      <c r="S1215" s="52">
        <f t="shared" ca="1" si="1470"/>
        <v>0</v>
      </c>
      <c r="T1215" s="52">
        <f t="shared" ca="1" si="1470"/>
        <v>0</v>
      </c>
      <c r="U1215" s="52">
        <f t="shared" ca="1" si="1470"/>
        <v>0</v>
      </c>
      <c r="V1215" s="52">
        <f t="shared" ca="1" si="1470"/>
        <v>0</v>
      </c>
      <c r="W1215" s="52">
        <f t="shared" ca="1" si="1470"/>
        <v>0</v>
      </c>
      <c r="X1215" s="52">
        <f t="shared" ca="1" si="1470"/>
        <v>0</v>
      </c>
      <c r="Y1215" s="52">
        <f t="shared" ca="1" si="1470"/>
        <v>0</v>
      </c>
      <c r="Z1215" s="52">
        <f t="shared" ca="1" si="1470"/>
        <v>0</v>
      </c>
      <c r="AA1215" s="52">
        <f t="shared" ca="1" si="1470"/>
        <v>0</v>
      </c>
      <c r="AB1215" s="52">
        <f t="shared" ca="1" si="1470"/>
        <v>0</v>
      </c>
      <c r="AC1215" s="52">
        <f t="shared" ca="1" si="1470"/>
        <v>287137.34130179585</v>
      </c>
      <c r="AD1215" s="52">
        <f t="shared" ca="1" si="1470"/>
        <v>547617.81742701808</v>
      </c>
      <c r="AE1215" s="52">
        <f t="shared" ca="1" si="1470"/>
        <v>203266.93156101141</v>
      </c>
      <c r="AF1215" s="52">
        <f t="shared" ca="1" si="1470"/>
        <v>184143.12050146211</v>
      </c>
      <c r="AG1215" s="52">
        <f t="shared" ca="1" si="1470"/>
        <v>334936.84636492439</v>
      </c>
      <c r="AH1215" s="52">
        <f t="shared" ca="1" si="1470"/>
        <v>636735.91244217439</v>
      </c>
      <c r="AI1215" s="52">
        <f t="shared" ca="1" si="1470"/>
        <v>235631.14326524414</v>
      </c>
      <c r="AJ1215" s="52">
        <f t="shared" ca="1" si="1470"/>
        <v>212850.80121366578</v>
      </c>
      <c r="AK1215" s="52">
        <f t="shared" ca="1" si="1470"/>
        <v>386100.89208702045</v>
      </c>
      <c r="AL1215" s="52">
        <f t="shared" ca="1" si="1470"/>
        <v>732107.2665506599</v>
      </c>
      <c r="AM1215" s="52">
        <f t="shared" ca="1" si="1470"/>
        <v>270259.26481531787</v>
      </c>
      <c r="AN1215" s="52">
        <f t="shared" ca="1" si="1470"/>
        <v>246266.69480548825</v>
      </c>
      <c r="AO1215" s="52">
        <f t="shared" ca="1" si="1470"/>
        <v>440822.16251270013</v>
      </c>
      <c r="AP1215" s="52">
        <f t="shared" ca="1" si="1470"/>
        <v>815915.05294910888</v>
      </c>
      <c r="AQ1215" s="52">
        <f t="shared" ca="1" si="1470"/>
        <v>294175.13083405176</v>
      </c>
      <c r="AR1215" s="52">
        <f t="shared" ca="1" si="1470"/>
        <v>259073.75095888102</v>
      </c>
      <c r="AS1215" s="52">
        <f t="shared" ca="1" si="1470"/>
        <v>458455.04901320807</v>
      </c>
      <c r="AT1215" s="52">
        <f t="shared" ca="1" si="1470"/>
        <v>848551.65506707318</v>
      </c>
      <c r="AU1215" s="52">
        <f t="shared" ca="1" si="1470"/>
        <v>305942.13606741378</v>
      </c>
      <c r="AV1215" s="52">
        <f t="shared" ca="1" si="1470"/>
        <v>269436.70099723624</v>
      </c>
      <c r="AW1215" s="52">
        <f t="shared" ca="1" si="1470"/>
        <v>422147.48991467513</v>
      </c>
      <c r="AX1215" s="52">
        <f t="shared" ca="1" si="1470"/>
        <v>773536.7544139981</v>
      </c>
      <c r="AY1215" s="52">
        <f t="shared" ca="1" si="1470"/>
        <v>283242.42833727284</v>
      </c>
      <c r="AZ1215" s="52">
        <f t="shared" ca="1" si="1470"/>
        <v>250185.10206601798</v>
      </c>
      <c r="BA1215" s="52">
        <f t="shared" ca="1" si="1470"/>
        <v>439033.38951126201</v>
      </c>
      <c r="BB1215" s="52">
        <f t="shared" ca="1" si="1470"/>
        <v>804478.22459055774</v>
      </c>
      <c r="BC1215" s="52">
        <f t="shared" ca="1" si="1470"/>
        <v>294572.12547076365</v>
      </c>
      <c r="BD1215" s="52">
        <f t="shared" ca="1" si="1470"/>
        <v>263083.53399475489</v>
      </c>
      <c r="BE1215" s="52">
        <f t="shared" ca="1" si="1470"/>
        <v>456594.72509171249</v>
      </c>
      <c r="BF1215" s="52">
        <f t="shared" ca="1" si="1470"/>
        <v>836657.35357417993</v>
      </c>
      <c r="BG1215" s="52">
        <f t="shared" ca="1" si="1470"/>
        <v>306355.01048959419</v>
      </c>
      <c r="BH1215" s="52">
        <f t="shared" ca="1" si="1470"/>
        <v>270600.20639460499</v>
      </c>
      <c r="BI1215" s="52">
        <f t="shared" ca="1" si="1470"/>
        <v>474858.51409538084</v>
      </c>
      <c r="BJ1215" s="52">
        <f t="shared" ca="1" si="1470"/>
        <v>870123.6477171469</v>
      </c>
      <c r="BK1215" s="52">
        <f t="shared" ca="1" si="1470"/>
        <v>318609.21090917796</v>
      </c>
      <c r="BL1215" s="52">
        <f t="shared" ca="1" si="1470"/>
        <v>281424.21465038921</v>
      </c>
      <c r="BM1215" s="52">
        <f t="shared" ca="1" si="1470"/>
        <v>493852.85465919605</v>
      </c>
      <c r="BN1215" s="52">
        <f t="shared" ca="1" si="1470"/>
        <v>904928.59362583258</v>
      </c>
      <c r="BO1215" s="52">
        <f t="shared" ca="1" si="1470"/>
        <v>331353.57934554503</v>
      </c>
      <c r="BP1215" s="52">
        <f t="shared" ca="1" si="1470"/>
        <v>292681.18323640467</v>
      </c>
      <c r="BQ1215" s="52">
        <f t="shared" ca="1" si="1470"/>
        <v>513606.96884556377</v>
      </c>
      <c r="BR1215" s="52">
        <f t="shared" ca="1" si="1470"/>
        <v>941125.73737086589</v>
      </c>
      <c r="BS1215" s="52">
        <f t="shared" ca="1" si="1470"/>
        <v>344607.72251936671</v>
      </c>
      <c r="BT1215" s="52">
        <f t="shared" ca="1" si="1470"/>
        <v>307770.52423881477</v>
      </c>
      <c r="BU1215" s="52">
        <f t="shared" ca="1" si="1470"/>
        <v>534151.24759938626</v>
      </c>
      <c r="BV1215" s="52">
        <f t="shared" ca="1" si="1470"/>
        <v>978770.76686570025</v>
      </c>
      <c r="BW1215" s="52">
        <f t="shared" ca="1" si="1470"/>
        <v>358392.03142014134</v>
      </c>
      <c r="BX1215" s="52">
        <f t="shared" ref="BX1215:CO1215" ca="1" si="1471">Revenue</f>
        <v>316563.96778849518</v>
      </c>
      <c r="BY1215" s="52">
        <f t="shared" ca="1" si="1471"/>
        <v>555517.29750336171</v>
      </c>
      <c r="BZ1215" s="52">
        <f t="shared" ca="1" si="1471"/>
        <v>1017921.5975403283</v>
      </c>
      <c r="CA1215" s="52">
        <f t="shared" ca="1" si="1471"/>
        <v>372727.71267694695</v>
      </c>
      <c r="CB1215" s="52">
        <f t="shared" ca="1" si="1471"/>
        <v>329226.52650003496</v>
      </c>
      <c r="CC1215" s="52">
        <f t="shared" ca="1" si="1471"/>
        <v>577737.98940349603</v>
      </c>
      <c r="CD1215" s="52">
        <f t="shared" ca="1" si="1471"/>
        <v>1058638.4614419413</v>
      </c>
      <c r="CE1215" s="52">
        <f t="shared" ca="1" si="1471"/>
        <v>387636.8211840248</v>
      </c>
      <c r="CF1215" s="52">
        <f t="shared" ca="1" si="1471"/>
        <v>342395.58756003634</v>
      </c>
      <c r="CG1215" s="52">
        <f t="shared" ca="1" si="1471"/>
        <v>600847.50897963578</v>
      </c>
      <c r="CH1215" s="52">
        <f t="shared" ca="1" si="1471"/>
        <v>1100983.9998996188</v>
      </c>
      <c r="CI1215" s="52">
        <f t="shared" ca="1" si="1471"/>
        <v>403142.2940313858</v>
      </c>
      <c r="CJ1215" s="52">
        <f t="shared" ca="1" si="1471"/>
        <v>360047.98229646485</v>
      </c>
      <c r="CK1215" s="52">
        <f t="shared" ca="1" si="1471"/>
        <v>624881.40933882119</v>
      </c>
      <c r="CL1215" s="52">
        <f t="shared" ca="1" si="1471"/>
        <v>1145023.3598956035</v>
      </c>
      <c r="CM1215" s="52">
        <f t="shared" ca="1" si="1471"/>
        <v>419267.98579264118</v>
      </c>
      <c r="CN1215" s="52">
        <f t="shared" ca="1" si="1471"/>
        <v>370335.06750493526</v>
      </c>
      <c r="CO1215" s="52">
        <f t="shared" ca="1" si="1471"/>
        <v>649876.66571237403</v>
      </c>
    </row>
    <row r="1216" spans="1:93">
      <c r="A1216" s="10"/>
      <c r="B1216" s="10"/>
      <c r="C1216" s="21" t="s">
        <v>700</v>
      </c>
      <c r="D1216" s="10"/>
      <c r="E1216" s="10"/>
      <c r="F1216" s="10"/>
      <c r="G1216" s="134" t="str">
        <f t="shared" si="1463"/>
        <v>тыс. руб.</v>
      </c>
      <c r="H1216" s="10"/>
      <c r="I1216" s="23">
        <f t="shared" ca="1" si="1467"/>
        <v>-18493633.551309194</v>
      </c>
      <c r="J1216" s="10"/>
      <c r="K1216" s="10"/>
      <c r="L1216" s="52">
        <f t="shared" ref="L1216:BW1216" ca="1" si="1472">COGS</f>
        <v>0</v>
      </c>
      <c r="M1216" s="52">
        <f t="shared" ca="1" si="1472"/>
        <v>0</v>
      </c>
      <c r="N1216" s="52">
        <f t="shared" ca="1" si="1472"/>
        <v>0</v>
      </c>
      <c r="O1216" s="52">
        <f t="shared" ca="1" si="1472"/>
        <v>0</v>
      </c>
      <c r="P1216" s="52">
        <f t="shared" ca="1" si="1472"/>
        <v>0</v>
      </c>
      <c r="Q1216" s="52">
        <f t="shared" ca="1" si="1472"/>
        <v>0</v>
      </c>
      <c r="R1216" s="52">
        <f t="shared" ca="1" si="1472"/>
        <v>0</v>
      </c>
      <c r="S1216" s="52">
        <f t="shared" ca="1" si="1472"/>
        <v>0</v>
      </c>
      <c r="T1216" s="52">
        <f t="shared" ca="1" si="1472"/>
        <v>0</v>
      </c>
      <c r="U1216" s="52">
        <f t="shared" ca="1" si="1472"/>
        <v>0</v>
      </c>
      <c r="V1216" s="52">
        <f t="shared" ca="1" si="1472"/>
        <v>0</v>
      </c>
      <c r="W1216" s="52">
        <f t="shared" ca="1" si="1472"/>
        <v>0</v>
      </c>
      <c r="X1216" s="52">
        <f t="shared" ca="1" si="1472"/>
        <v>0</v>
      </c>
      <c r="Y1216" s="52">
        <f t="shared" ca="1" si="1472"/>
        <v>0</v>
      </c>
      <c r="Z1216" s="52">
        <f t="shared" ca="1" si="1472"/>
        <v>0</v>
      </c>
      <c r="AA1216" s="52">
        <f t="shared" ca="1" si="1472"/>
        <v>0</v>
      </c>
      <c r="AB1216" s="52">
        <f t="shared" ca="1" si="1472"/>
        <v>0</v>
      </c>
      <c r="AC1216" s="52">
        <f t="shared" ca="1" si="1472"/>
        <v>-153088.06791866009</v>
      </c>
      <c r="AD1216" s="52">
        <f t="shared" ca="1" si="1472"/>
        <v>-277065.31551683269</v>
      </c>
      <c r="AE1216" s="52">
        <f t="shared" ca="1" si="1472"/>
        <v>-111407.08688779266</v>
      </c>
      <c r="AF1216" s="52">
        <f t="shared" ca="1" si="1472"/>
        <v>-102418.07308987781</v>
      </c>
      <c r="AG1216" s="52">
        <f t="shared" ca="1" si="1472"/>
        <v>-178544.29480956297</v>
      </c>
      <c r="AH1216" s="52">
        <f t="shared" ca="1" si="1472"/>
        <v>-322126.35063196789</v>
      </c>
      <c r="AI1216" s="52">
        <f t="shared" ca="1" si="1472"/>
        <v>-129117.93196149165</v>
      </c>
      <c r="AJ1216" s="52">
        <f t="shared" ca="1" si="1472"/>
        <v>-118358.58903083384</v>
      </c>
      <c r="AK1216" s="52">
        <f t="shared" ca="1" si="1472"/>
        <v>-205792.07894306828</v>
      </c>
      <c r="AL1216" s="52">
        <f t="shared" ca="1" si="1472"/>
        <v>-370348.96405148692</v>
      </c>
      <c r="AM1216" s="52">
        <f t="shared" ca="1" si="1472"/>
        <v>-148067.39330206616</v>
      </c>
      <c r="AN1216" s="52">
        <f t="shared" ca="1" si="1472"/>
        <v>-136914.35929549739</v>
      </c>
      <c r="AO1216" s="52">
        <f t="shared" ca="1" si="1472"/>
        <v>-234933.32935229276</v>
      </c>
      <c r="AP1216" s="52">
        <f t="shared" ca="1" si="1472"/>
        <v>-412725.51899434091</v>
      </c>
      <c r="AQ1216" s="52">
        <f t="shared" ca="1" si="1472"/>
        <v>-161157.44910287601</v>
      </c>
      <c r="AR1216" s="52">
        <f t="shared" ca="1" si="1472"/>
        <v>-144029.45805522188</v>
      </c>
      <c r="AS1216" s="52">
        <f t="shared" ca="1" si="1472"/>
        <v>-244331.37553298092</v>
      </c>
      <c r="AT1216" s="52">
        <f t="shared" ca="1" si="1472"/>
        <v>-429235.267698696</v>
      </c>
      <c r="AU1216" s="52">
        <f t="shared" ca="1" si="1472"/>
        <v>-167604.4821843064</v>
      </c>
      <c r="AV1216" s="52">
        <f t="shared" ca="1" si="1472"/>
        <v>-149790.63637743067</v>
      </c>
      <c r="AW1216" s="52">
        <f t="shared" ca="1" si="1472"/>
        <v>-254104.63055430009</v>
      </c>
      <c r="AX1216" s="52">
        <f t="shared" ca="1" si="1472"/>
        <v>-446404.67840664374</v>
      </c>
      <c r="AY1216" s="52">
        <f t="shared" ca="1" si="1472"/>
        <v>-174308.66147167861</v>
      </c>
      <c r="AZ1216" s="52">
        <f t="shared" ca="1" si="1472"/>
        <v>-155782.26183252787</v>
      </c>
      <c r="BA1216" s="52">
        <f t="shared" ca="1" si="1472"/>
        <v>-264268.81577647204</v>
      </c>
      <c r="BB1216" s="52">
        <f t="shared" ca="1" si="1472"/>
        <v>-464260.86554290925</v>
      </c>
      <c r="BC1216" s="52">
        <f t="shared" ca="1" si="1472"/>
        <v>-181281.00793054575</v>
      </c>
      <c r="BD1216" s="52">
        <f t="shared" ca="1" si="1472"/>
        <v>-163812.90867722456</v>
      </c>
      <c r="BE1216" s="52">
        <f t="shared" ca="1" si="1472"/>
        <v>-274838.7663720788</v>
      </c>
      <c r="BF1216" s="52">
        <f t="shared" ca="1" si="1472"/>
        <v>-482830.48132597207</v>
      </c>
      <c r="BG1216" s="52">
        <f t="shared" ca="1" si="1472"/>
        <v>-188531.42134076369</v>
      </c>
      <c r="BH1216" s="52">
        <f t="shared" ca="1" si="1472"/>
        <v>-168494.09439806215</v>
      </c>
      <c r="BI1216" s="52">
        <f t="shared" ca="1" si="1472"/>
        <v>-285833.15114383207</v>
      </c>
      <c r="BJ1216" s="52">
        <f t="shared" ca="1" si="1472"/>
        <v>-502144.55217121053</v>
      </c>
      <c r="BK1216" s="52">
        <f t="shared" ca="1" si="1472"/>
        <v>-196073.53817767825</v>
      </c>
      <c r="BL1216" s="52">
        <f t="shared" ca="1" si="1472"/>
        <v>-175233.85817398463</v>
      </c>
      <c r="BM1216" s="52">
        <f t="shared" ca="1" si="1472"/>
        <v>-297266.47718958539</v>
      </c>
      <c r="BN1216" s="52">
        <f t="shared" ca="1" si="1472"/>
        <v>-522230.33425805887</v>
      </c>
      <c r="BO1216" s="52">
        <f t="shared" ca="1" si="1472"/>
        <v>-203916.47970478528</v>
      </c>
      <c r="BP1216" s="52">
        <f t="shared" ca="1" si="1472"/>
        <v>-182243.21250094395</v>
      </c>
      <c r="BQ1216" s="52">
        <f t="shared" ca="1" si="1472"/>
        <v>-309157.1362771687</v>
      </c>
      <c r="BR1216" s="52">
        <f t="shared" ca="1" si="1472"/>
        <v>-543119.54762838129</v>
      </c>
      <c r="BS1216" s="52">
        <f t="shared" ca="1" si="1472"/>
        <v>-212073.13889297668</v>
      </c>
      <c r="BT1216" s="52">
        <f t="shared" ca="1" si="1472"/>
        <v>-191637.93345454932</v>
      </c>
      <c r="BU1216" s="52">
        <f t="shared" ca="1" si="1472"/>
        <v>-321522.48346021632</v>
      </c>
      <c r="BV1216" s="52">
        <f t="shared" ca="1" si="1472"/>
        <v>-564843.37160810805</v>
      </c>
      <c r="BW1216" s="52">
        <f t="shared" ca="1" si="1472"/>
        <v>-220555.09708445895</v>
      </c>
      <c r="BX1216" s="52">
        <f t="shared" ref="BX1216:CO1216" ca="1" si="1473">COGS</f>
        <v>-197114.25864102089</v>
      </c>
      <c r="BY1216" s="52">
        <f t="shared" ca="1" si="1473"/>
        <v>-334384.35859738558</v>
      </c>
      <c r="BZ1216" s="52">
        <f t="shared" ca="1" si="1473"/>
        <v>-587438.10271485697</v>
      </c>
      <c r="CA1216" s="52">
        <f t="shared" ca="1" si="1473"/>
        <v>-229378.30702664348</v>
      </c>
      <c r="CB1216" s="52">
        <f t="shared" ca="1" si="1473"/>
        <v>-204998.82898666174</v>
      </c>
      <c r="CC1216" s="52">
        <f t="shared" ca="1" si="1473"/>
        <v>-347759.73294128099</v>
      </c>
      <c r="CD1216" s="52">
        <f t="shared" ca="1" si="1473"/>
        <v>-610935.62682345114</v>
      </c>
      <c r="CE1216" s="52">
        <f t="shared" ca="1" si="1473"/>
        <v>-238553.43930770928</v>
      </c>
      <c r="CF1216" s="52">
        <f t="shared" ca="1" si="1473"/>
        <v>-213198.78214612813</v>
      </c>
      <c r="CG1216" s="52">
        <f t="shared" ca="1" si="1473"/>
        <v>-361670.12225893216</v>
      </c>
      <c r="CH1216" s="52">
        <f t="shared" ca="1" si="1473"/>
        <v>-635373.05189638922</v>
      </c>
      <c r="CI1216" s="52">
        <f t="shared" ca="1" si="1473"/>
        <v>-248095.57688001767</v>
      </c>
      <c r="CJ1216" s="52">
        <f t="shared" ca="1" si="1473"/>
        <v>-224189.27687251486</v>
      </c>
      <c r="CK1216" s="52">
        <f t="shared" ca="1" si="1473"/>
        <v>-376135.82950839237</v>
      </c>
      <c r="CL1216" s="52">
        <f t="shared" ca="1" si="1473"/>
        <v>-660786.85333500605</v>
      </c>
      <c r="CM1216" s="52">
        <f t="shared" ca="1" si="1473"/>
        <v>-258018.26827588529</v>
      </c>
      <c r="CN1216" s="52">
        <f t="shared" ca="1" si="1473"/>
        <v>-230595.80276925216</v>
      </c>
      <c r="CO1216" s="52">
        <f t="shared" ca="1" si="1473"/>
        <v>-391182.40423526097</v>
      </c>
    </row>
    <row r="1217" spans="1:93">
      <c r="A1217" s="10"/>
      <c r="B1217" s="10"/>
      <c r="C1217" s="21" t="s">
        <v>728</v>
      </c>
      <c r="D1217" s="10"/>
      <c r="E1217" s="10"/>
      <c r="F1217" s="10"/>
      <c r="G1217" s="134" t="str">
        <f t="shared" si="1463"/>
        <v>тыс. руб.</v>
      </c>
      <c r="H1217" s="10"/>
      <c r="I1217" s="23">
        <f t="shared" ca="1" si="1467"/>
        <v>-355606.44199776108</v>
      </c>
      <c r="J1217" s="10"/>
      <c r="K1217" s="10"/>
      <c r="L1217" s="52">
        <f t="shared" ref="L1217:BW1217" ca="1" si="1474">SGA</f>
        <v>0</v>
      </c>
      <c r="M1217" s="52">
        <f t="shared" ca="1" si="1474"/>
        <v>0</v>
      </c>
      <c r="N1217" s="52">
        <f t="shared" ca="1" si="1474"/>
        <v>0</v>
      </c>
      <c r="O1217" s="52">
        <f t="shared" ca="1" si="1474"/>
        <v>0</v>
      </c>
      <c r="P1217" s="52">
        <f t="shared" ca="1" si="1474"/>
        <v>0</v>
      </c>
      <c r="Q1217" s="52">
        <f t="shared" ca="1" si="1474"/>
        <v>0</v>
      </c>
      <c r="R1217" s="52">
        <f t="shared" ca="1" si="1474"/>
        <v>0</v>
      </c>
      <c r="S1217" s="52">
        <f t="shared" ca="1" si="1474"/>
        <v>0</v>
      </c>
      <c r="T1217" s="52">
        <f t="shared" ca="1" si="1474"/>
        <v>0</v>
      </c>
      <c r="U1217" s="52">
        <f t="shared" ca="1" si="1474"/>
        <v>0</v>
      </c>
      <c r="V1217" s="52">
        <f t="shared" ca="1" si="1474"/>
        <v>0</v>
      </c>
      <c r="W1217" s="52">
        <f t="shared" ca="1" si="1474"/>
        <v>0</v>
      </c>
      <c r="X1217" s="52">
        <f t="shared" ca="1" si="1474"/>
        <v>0</v>
      </c>
      <c r="Y1217" s="52">
        <f t="shared" ca="1" si="1474"/>
        <v>0</v>
      </c>
      <c r="Z1217" s="52">
        <f t="shared" ca="1" si="1474"/>
        <v>0</v>
      </c>
      <c r="AA1217" s="52">
        <f t="shared" ca="1" si="1474"/>
        <v>0</v>
      </c>
      <c r="AB1217" s="52">
        <f t="shared" ca="1" si="1474"/>
        <v>0</v>
      </c>
      <c r="AC1217" s="52">
        <f t="shared" ca="1" si="1474"/>
        <v>-2309.1203594642329</v>
      </c>
      <c r="AD1217" s="52">
        <f t="shared" ca="1" si="1474"/>
        <v>-2334.4953084693348</v>
      </c>
      <c r="AE1217" s="52">
        <f t="shared" ca="1" si="1474"/>
        <v>-2334.4953084693348</v>
      </c>
      <c r="AF1217" s="52">
        <f t="shared" ca="1" si="1474"/>
        <v>-2283.7454104591311</v>
      </c>
      <c r="AG1217" s="52">
        <f t="shared" ca="1" si="1474"/>
        <v>-2309.1203594642329</v>
      </c>
      <c r="AH1217" s="52">
        <f t="shared" ca="1" si="1474"/>
        <v>-2334.4953084693348</v>
      </c>
      <c r="AI1217" s="52">
        <f t="shared" ca="1" si="1474"/>
        <v>-2334.4953084693348</v>
      </c>
      <c r="AJ1217" s="52">
        <f t="shared" ca="1" si="1474"/>
        <v>-2283.7454104591311</v>
      </c>
      <c r="AK1217" s="52">
        <f t="shared" ca="1" si="1474"/>
        <v>-2309.1203594642329</v>
      </c>
      <c r="AL1217" s="52">
        <f t="shared" ca="1" si="1474"/>
        <v>-2334.4953084693348</v>
      </c>
      <c r="AM1217" s="52">
        <f t="shared" ca="1" si="1474"/>
        <v>-2334.4953084693348</v>
      </c>
      <c r="AN1217" s="52">
        <f t="shared" ca="1" si="1474"/>
        <v>-2302.8112874438389</v>
      </c>
      <c r="AO1217" s="52">
        <f t="shared" ca="1" si="1474"/>
        <v>-2302.8112874438389</v>
      </c>
      <c r="AP1217" s="52">
        <f t="shared" ca="1" si="1474"/>
        <v>-2328.1169059871777</v>
      </c>
      <c r="AQ1217" s="52">
        <f t="shared" ca="1" si="1474"/>
        <v>-2328.1169059871777</v>
      </c>
      <c r="AR1217" s="52">
        <f t="shared" ca="1" si="1474"/>
        <v>-2283.7454104591311</v>
      </c>
      <c r="AS1217" s="52">
        <f t="shared" ca="1" si="1474"/>
        <v>-2309.1203594642329</v>
      </c>
      <c r="AT1217" s="52">
        <f t="shared" ca="1" si="1474"/>
        <v>-2334.4953084693348</v>
      </c>
      <c r="AU1217" s="52">
        <f t="shared" ca="1" si="1474"/>
        <v>-2334.4953084693348</v>
      </c>
      <c r="AV1217" s="52">
        <f t="shared" ca="1" si="1474"/>
        <v>-2283.7454104591311</v>
      </c>
      <c r="AW1217" s="52">
        <f t="shared" ca="1" si="1474"/>
        <v>-2309.1203594642329</v>
      </c>
      <c r="AX1217" s="52">
        <f t="shared" ca="1" si="1474"/>
        <v>-2334.4953084693348</v>
      </c>
      <c r="AY1217" s="52">
        <f t="shared" ca="1" si="1474"/>
        <v>-2334.4953084693348</v>
      </c>
      <c r="AZ1217" s="52">
        <f t="shared" ca="1" si="1474"/>
        <v>-2283.7454104591311</v>
      </c>
      <c r="BA1217" s="52">
        <f t="shared" ca="1" si="1474"/>
        <v>-2309.1203594642329</v>
      </c>
      <c r="BB1217" s="52">
        <f t="shared" ca="1" si="1474"/>
        <v>-2334.4953084693348</v>
      </c>
      <c r="BC1217" s="52">
        <f t="shared" ca="1" si="1474"/>
        <v>-2334.4953084693348</v>
      </c>
      <c r="BD1217" s="52">
        <f t="shared" ca="1" si="1474"/>
        <v>-2302.8112874438389</v>
      </c>
      <c r="BE1217" s="52">
        <f t="shared" ca="1" si="1474"/>
        <v>-2302.8112874438389</v>
      </c>
      <c r="BF1217" s="52">
        <f t="shared" ca="1" si="1474"/>
        <v>-2328.1169059871777</v>
      </c>
      <c r="BG1217" s="52">
        <f t="shared" ca="1" si="1474"/>
        <v>-2328.1169059871777</v>
      </c>
      <c r="BH1217" s="52">
        <f t="shared" ca="1" si="1474"/>
        <v>-2283.7454104591311</v>
      </c>
      <c r="BI1217" s="52">
        <f t="shared" ca="1" si="1474"/>
        <v>-2309.1203594642329</v>
      </c>
      <c r="BJ1217" s="52">
        <f t="shared" ca="1" si="1474"/>
        <v>-2334.4953084693348</v>
      </c>
      <c r="BK1217" s="52">
        <f t="shared" ca="1" si="1474"/>
        <v>-2334.4953084693348</v>
      </c>
      <c r="BL1217" s="52">
        <f t="shared" ca="1" si="1474"/>
        <v>-2283.7454104591311</v>
      </c>
      <c r="BM1217" s="52">
        <f t="shared" ca="1" si="1474"/>
        <v>-2309.1203594642329</v>
      </c>
      <c r="BN1217" s="52">
        <f t="shared" ca="1" si="1474"/>
        <v>-2334.4953084693348</v>
      </c>
      <c r="BO1217" s="52">
        <f t="shared" ca="1" si="1474"/>
        <v>-2334.4953084693348</v>
      </c>
      <c r="BP1217" s="52">
        <f t="shared" ca="1" si="1474"/>
        <v>-2283.7454104591311</v>
      </c>
      <c r="BQ1217" s="52">
        <f t="shared" ca="1" si="1474"/>
        <v>-2309.1203594642329</v>
      </c>
      <c r="BR1217" s="52">
        <f t="shared" ca="1" si="1474"/>
        <v>-12428.582569210232</v>
      </c>
      <c r="BS1217" s="52">
        <f t="shared" ca="1" si="1474"/>
        <v>-12299.99547034729</v>
      </c>
      <c r="BT1217" s="52">
        <f t="shared" ca="1" si="1474"/>
        <v>-12006.216709992057</v>
      </c>
      <c r="BU1217" s="52">
        <f t="shared" ca="1" si="1474"/>
        <v>-11879.374809043717</v>
      </c>
      <c r="BV1217" s="52">
        <f t="shared" ca="1" si="1474"/>
        <v>-11881.681621371145</v>
      </c>
      <c r="BW1217" s="52">
        <f t="shared" ca="1" si="1474"/>
        <v>-11753.445853379415</v>
      </c>
      <c r="BX1217" s="52">
        <f t="shared" ref="BX1217:CO1217" ca="1" si="1475">SGA</f>
        <v>-11403.645628727523</v>
      </c>
      <c r="BY1217" s="52">
        <f t="shared" ca="1" si="1475"/>
        <v>-11403.16338937432</v>
      </c>
      <c r="BZ1217" s="52">
        <f t="shared" ca="1" si="1475"/>
        <v>-11399.8857783067</v>
      </c>
      <c r="CA1217" s="52">
        <f t="shared" ca="1" si="1475"/>
        <v>-11271.298679443758</v>
      </c>
      <c r="CB1217" s="52">
        <f t="shared" ca="1" si="1475"/>
        <v>-10900.478720133406</v>
      </c>
      <c r="CC1217" s="52">
        <f t="shared" ca="1" si="1475"/>
        <v>-10894.405737351375</v>
      </c>
      <c r="CD1217" s="52">
        <f t="shared" ca="1" si="1475"/>
        <v>-10885.537382854933</v>
      </c>
      <c r="CE1217" s="52">
        <f t="shared" ca="1" si="1475"/>
        <v>-10756.950283991993</v>
      </c>
      <c r="CF1217" s="52">
        <f t="shared" ca="1" si="1475"/>
        <v>-10397.311811539286</v>
      </c>
      <c r="CG1217" s="52">
        <f t="shared" ca="1" si="1475"/>
        <v>-10385.648085328434</v>
      </c>
      <c r="CH1217" s="52">
        <f t="shared" ca="1" si="1475"/>
        <v>-10371.188987403168</v>
      </c>
      <c r="CI1217" s="52">
        <f t="shared" ca="1" si="1475"/>
        <v>-10242.601888540228</v>
      </c>
      <c r="CJ1217" s="52">
        <f t="shared" ca="1" si="1475"/>
        <v>-9976.746294818573</v>
      </c>
      <c r="CK1217" s="52">
        <f t="shared" ca="1" si="1475"/>
        <v>-9849.9043938702307</v>
      </c>
      <c r="CL1217" s="52">
        <f t="shared" ca="1" si="1475"/>
        <v>-9829.9093335034468</v>
      </c>
      <c r="CM1217" s="52">
        <f t="shared" ca="1" si="1475"/>
        <v>-9701.6735655117154</v>
      </c>
      <c r="CN1217" s="52">
        <f t="shared" ca="1" si="1475"/>
        <v>-9390.9779943510493</v>
      </c>
      <c r="CO1217" s="52">
        <f t="shared" ca="1" si="1475"/>
        <v>-9368.1327812825512</v>
      </c>
    </row>
    <row r="1218" spans="1:93">
      <c r="A1218" s="10"/>
      <c r="B1218" s="10"/>
      <c r="C1218" s="21" t="s">
        <v>56</v>
      </c>
      <c r="D1218" s="10"/>
      <c r="E1218" s="10"/>
      <c r="F1218" s="10"/>
      <c r="G1218" s="134" t="str">
        <f t="shared" si="1463"/>
        <v>тыс. руб.</v>
      </c>
      <c r="H1218" s="10"/>
      <c r="I1218" s="23">
        <f t="shared" ca="1" si="1467"/>
        <v>-10990.619012601321</v>
      </c>
      <c r="J1218" s="10"/>
      <c r="K1218" s="10"/>
      <c r="L1218" s="52">
        <f t="shared" ref="L1218:BW1218" si="1476">Bank_Fees</f>
        <v>0</v>
      </c>
      <c r="M1218" s="52">
        <f t="shared" ca="1" si="1476"/>
        <v>0</v>
      </c>
      <c r="N1218" s="52">
        <f t="shared" ca="1" si="1476"/>
        <v>0</v>
      </c>
      <c r="O1218" s="52">
        <f t="shared" ca="1" si="1476"/>
        <v>0</v>
      </c>
      <c r="P1218" s="52">
        <f t="shared" ca="1" si="1476"/>
        <v>0</v>
      </c>
      <c r="Q1218" s="52">
        <f t="shared" ca="1" si="1476"/>
        <v>0</v>
      </c>
      <c r="R1218" s="52">
        <f t="shared" ca="1" si="1476"/>
        <v>0</v>
      </c>
      <c r="S1218" s="52">
        <f t="shared" ca="1" si="1476"/>
        <v>0</v>
      </c>
      <c r="T1218" s="52">
        <f t="shared" ca="1" si="1476"/>
        <v>0</v>
      </c>
      <c r="U1218" s="52">
        <f t="shared" ca="1" si="1476"/>
        <v>-2032.1389863481136</v>
      </c>
      <c r="V1218" s="52">
        <f t="shared" ca="1" si="1476"/>
        <v>-1913.5143739847667</v>
      </c>
      <c r="W1218" s="52">
        <f t="shared" ca="1" si="1476"/>
        <v>-1771.1696690677206</v>
      </c>
      <c r="X1218" s="52">
        <f t="shared" ca="1" si="1476"/>
        <v>-1605.3348325415557</v>
      </c>
      <c r="Y1218" s="52">
        <f t="shared" ca="1" si="1476"/>
        <v>-1331.1596721046919</v>
      </c>
      <c r="Z1218" s="52">
        <f t="shared" ca="1" si="1476"/>
        <v>-1065.8684792952763</v>
      </c>
      <c r="AA1218" s="52">
        <f t="shared" ca="1" si="1476"/>
        <v>-783.19099934951782</v>
      </c>
      <c r="AB1218" s="52">
        <f t="shared" ca="1" si="1476"/>
        <v>-488.24199990967918</v>
      </c>
      <c r="AC1218" s="52">
        <f t="shared" ca="1" si="1476"/>
        <v>0</v>
      </c>
      <c r="AD1218" s="52">
        <f t="shared" ca="1" si="1476"/>
        <v>0</v>
      </c>
      <c r="AE1218" s="52">
        <f t="shared" ca="1" si="1476"/>
        <v>0</v>
      </c>
      <c r="AF1218" s="52">
        <f t="shared" ca="1" si="1476"/>
        <v>0</v>
      </c>
      <c r="AG1218" s="52">
        <f t="shared" ca="1" si="1476"/>
        <v>0</v>
      </c>
      <c r="AH1218" s="52">
        <f t="shared" ca="1" si="1476"/>
        <v>0</v>
      </c>
      <c r="AI1218" s="52">
        <f t="shared" ca="1" si="1476"/>
        <v>0</v>
      </c>
      <c r="AJ1218" s="52">
        <f t="shared" ca="1" si="1476"/>
        <v>0</v>
      </c>
      <c r="AK1218" s="52">
        <f t="shared" ca="1" si="1476"/>
        <v>0</v>
      </c>
      <c r="AL1218" s="52">
        <f t="shared" ca="1" si="1476"/>
        <v>0</v>
      </c>
      <c r="AM1218" s="52">
        <f t="shared" ca="1" si="1476"/>
        <v>0</v>
      </c>
      <c r="AN1218" s="52">
        <f t="shared" ca="1" si="1476"/>
        <v>0</v>
      </c>
      <c r="AO1218" s="52">
        <f t="shared" ca="1" si="1476"/>
        <v>0</v>
      </c>
      <c r="AP1218" s="52">
        <f t="shared" ca="1" si="1476"/>
        <v>0</v>
      </c>
      <c r="AQ1218" s="52">
        <f t="shared" ca="1" si="1476"/>
        <v>0</v>
      </c>
      <c r="AR1218" s="52">
        <f t="shared" ca="1" si="1476"/>
        <v>0</v>
      </c>
      <c r="AS1218" s="52">
        <f t="shared" ca="1" si="1476"/>
        <v>0</v>
      </c>
      <c r="AT1218" s="52">
        <f t="shared" ca="1" si="1476"/>
        <v>0</v>
      </c>
      <c r="AU1218" s="52">
        <f t="shared" ca="1" si="1476"/>
        <v>0</v>
      </c>
      <c r="AV1218" s="52">
        <f t="shared" ca="1" si="1476"/>
        <v>0</v>
      </c>
      <c r="AW1218" s="52">
        <f t="shared" ca="1" si="1476"/>
        <v>0</v>
      </c>
      <c r="AX1218" s="52">
        <f t="shared" ca="1" si="1476"/>
        <v>0</v>
      </c>
      <c r="AY1218" s="52">
        <f t="shared" ca="1" si="1476"/>
        <v>0</v>
      </c>
      <c r="AZ1218" s="52">
        <f t="shared" ca="1" si="1476"/>
        <v>0</v>
      </c>
      <c r="BA1218" s="52">
        <f t="shared" ca="1" si="1476"/>
        <v>0</v>
      </c>
      <c r="BB1218" s="52">
        <f t="shared" ca="1" si="1476"/>
        <v>0</v>
      </c>
      <c r="BC1218" s="52">
        <f t="shared" ca="1" si="1476"/>
        <v>0</v>
      </c>
      <c r="BD1218" s="52">
        <f t="shared" ca="1" si="1476"/>
        <v>0</v>
      </c>
      <c r="BE1218" s="52">
        <f t="shared" ca="1" si="1476"/>
        <v>0</v>
      </c>
      <c r="BF1218" s="52">
        <f t="shared" ca="1" si="1476"/>
        <v>0</v>
      </c>
      <c r="BG1218" s="52">
        <f t="shared" ca="1" si="1476"/>
        <v>0</v>
      </c>
      <c r="BH1218" s="52">
        <f t="shared" ca="1" si="1476"/>
        <v>0</v>
      </c>
      <c r="BI1218" s="52">
        <f t="shared" ca="1" si="1476"/>
        <v>0</v>
      </c>
      <c r="BJ1218" s="52">
        <f t="shared" ca="1" si="1476"/>
        <v>0</v>
      </c>
      <c r="BK1218" s="52">
        <f t="shared" ca="1" si="1476"/>
        <v>0</v>
      </c>
      <c r="BL1218" s="52">
        <f t="shared" ca="1" si="1476"/>
        <v>0</v>
      </c>
      <c r="BM1218" s="52">
        <f t="shared" ca="1" si="1476"/>
        <v>0</v>
      </c>
      <c r="BN1218" s="52">
        <f t="shared" ca="1" si="1476"/>
        <v>0</v>
      </c>
      <c r="BO1218" s="52">
        <f t="shared" ca="1" si="1476"/>
        <v>0</v>
      </c>
      <c r="BP1218" s="52">
        <f t="shared" ca="1" si="1476"/>
        <v>0</v>
      </c>
      <c r="BQ1218" s="52">
        <f t="shared" ca="1" si="1476"/>
        <v>0</v>
      </c>
      <c r="BR1218" s="52">
        <f t="shared" ca="1" si="1476"/>
        <v>0</v>
      </c>
      <c r="BS1218" s="52">
        <f t="shared" ca="1" si="1476"/>
        <v>0</v>
      </c>
      <c r="BT1218" s="52">
        <f t="shared" ca="1" si="1476"/>
        <v>0</v>
      </c>
      <c r="BU1218" s="52">
        <f t="shared" ca="1" si="1476"/>
        <v>0</v>
      </c>
      <c r="BV1218" s="52">
        <f t="shared" ca="1" si="1476"/>
        <v>0</v>
      </c>
      <c r="BW1218" s="52">
        <f t="shared" ca="1" si="1476"/>
        <v>0</v>
      </c>
      <c r="BX1218" s="52">
        <f t="shared" ref="BX1218:CO1218" ca="1" si="1477">Bank_Fees</f>
        <v>0</v>
      </c>
      <c r="BY1218" s="52">
        <f t="shared" ca="1" si="1477"/>
        <v>0</v>
      </c>
      <c r="BZ1218" s="52">
        <f t="shared" ca="1" si="1477"/>
        <v>0</v>
      </c>
      <c r="CA1218" s="52">
        <f t="shared" ca="1" si="1477"/>
        <v>0</v>
      </c>
      <c r="CB1218" s="52">
        <f t="shared" ca="1" si="1477"/>
        <v>0</v>
      </c>
      <c r="CC1218" s="52">
        <f t="shared" ca="1" si="1477"/>
        <v>0</v>
      </c>
      <c r="CD1218" s="52">
        <f t="shared" ca="1" si="1477"/>
        <v>0</v>
      </c>
      <c r="CE1218" s="52">
        <f t="shared" ca="1" si="1477"/>
        <v>0</v>
      </c>
      <c r="CF1218" s="52">
        <f t="shared" ca="1" si="1477"/>
        <v>0</v>
      </c>
      <c r="CG1218" s="52">
        <f t="shared" ca="1" si="1477"/>
        <v>0</v>
      </c>
      <c r="CH1218" s="52">
        <f t="shared" ca="1" si="1477"/>
        <v>0</v>
      </c>
      <c r="CI1218" s="52">
        <f t="shared" ca="1" si="1477"/>
        <v>0</v>
      </c>
      <c r="CJ1218" s="52">
        <f t="shared" ca="1" si="1477"/>
        <v>0</v>
      </c>
      <c r="CK1218" s="52">
        <f t="shared" ca="1" si="1477"/>
        <v>0</v>
      </c>
      <c r="CL1218" s="52">
        <f t="shared" ca="1" si="1477"/>
        <v>0</v>
      </c>
      <c r="CM1218" s="52">
        <f t="shared" ca="1" si="1477"/>
        <v>0</v>
      </c>
      <c r="CN1218" s="52">
        <f t="shared" ca="1" si="1477"/>
        <v>0</v>
      </c>
      <c r="CO1218" s="52">
        <f t="shared" ca="1" si="1477"/>
        <v>0</v>
      </c>
    </row>
    <row r="1219" spans="1:93">
      <c r="A1219" s="10"/>
      <c r="B1219" s="10"/>
      <c r="C1219" s="414" t="s">
        <v>402</v>
      </c>
      <c r="D1219" s="10"/>
      <c r="E1219" s="10"/>
      <c r="F1219" s="10"/>
      <c r="G1219" s="134" t="str">
        <f t="shared" si="1463"/>
        <v>тыс. руб.</v>
      </c>
      <c r="H1219" s="10"/>
      <c r="I1219" s="23">
        <f t="shared" ca="1" si="1467"/>
        <v>71552.676699739823</v>
      </c>
      <c r="J1219" s="10"/>
      <c r="K1219" s="10"/>
      <c r="L1219" s="52">
        <f t="shared" ref="L1219:BW1219" ca="1" si="1478">VAT_Cash_Flow</f>
        <v>-3371.9255688267931</v>
      </c>
      <c r="M1219" s="52">
        <f t="shared" ca="1" si="1478"/>
        <v>-3419.7896726333838</v>
      </c>
      <c r="N1219" s="52">
        <f t="shared" ca="1" si="1478"/>
        <v>-3468.3332020045218</v>
      </c>
      <c r="O1219" s="52">
        <f t="shared" ca="1" si="1478"/>
        <v>-3517.5658013095981</v>
      </c>
      <c r="P1219" s="52">
        <f t="shared" ca="1" si="1478"/>
        <v>-29581.74843746073</v>
      </c>
      <c r="Q1219" s="52">
        <f t="shared" ca="1" si="1478"/>
        <v>-29873.229431244363</v>
      </c>
      <c r="R1219" s="52">
        <f t="shared" ca="1" si="1478"/>
        <v>-30167.582505761035</v>
      </c>
      <c r="S1219" s="52">
        <f t="shared" ca="1" si="1478"/>
        <v>-30464.835960789846</v>
      </c>
      <c r="T1219" s="52">
        <f t="shared" ca="1" si="1478"/>
        <v>-30765.018374959152</v>
      </c>
      <c r="U1219" s="52">
        <f t="shared" ca="1" si="1478"/>
        <v>-31068.158608494123</v>
      </c>
      <c r="V1219" s="52">
        <f t="shared" ca="1" si="1478"/>
        <v>-31374.285805991443</v>
      </c>
      <c r="W1219" s="52">
        <f t="shared" ca="1" si="1478"/>
        <v>-31683.429399221437</v>
      </c>
      <c r="X1219" s="52">
        <f t="shared" ca="1" si="1478"/>
        <v>-61262.581636075804</v>
      </c>
      <c r="Y1219" s="52">
        <f t="shared" ca="1" si="1478"/>
        <v>-61866.226759175479</v>
      </c>
      <c r="Z1219" s="52">
        <f t="shared" ca="1" si="1478"/>
        <v>-62475.819843084319</v>
      </c>
      <c r="AA1219" s="52">
        <f t="shared" ca="1" si="1478"/>
        <v>-63091.419495478331</v>
      </c>
      <c r="AB1219" s="52">
        <f t="shared" ca="1" si="1478"/>
        <v>-110005.14195495861</v>
      </c>
      <c r="AC1219" s="52">
        <f t="shared" ca="1" si="1478"/>
        <v>496029.06325528905</v>
      </c>
      <c r="AD1219" s="52">
        <f t="shared" ca="1" si="1478"/>
        <v>86726.320653099174</v>
      </c>
      <c r="AE1219" s="52">
        <f t="shared" ca="1" si="1478"/>
        <v>3631.0699049526047</v>
      </c>
      <c r="AF1219" s="52">
        <f t="shared" ca="1" si="1478"/>
        <v>16369.970828104153</v>
      </c>
      <c r="AG1219" s="52">
        <f t="shared" ca="1" si="1478"/>
        <v>-5526.9857779293634</v>
      </c>
      <c r="AH1219" s="52">
        <f t="shared" ca="1" si="1478"/>
        <v>-20152.723434249718</v>
      </c>
      <c r="AI1219" s="52">
        <f t="shared" ca="1" si="1478"/>
        <v>4291.8545063702404</v>
      </c>
      <c r="AJ1219" s="52">
        <f t="shared" ca="1" si="1478"/>
        <v>19080.908890100753</v>
      </c>
      <c r="AK1219" s="52">
        <f t="shared" ca="1" si="1478"/>
        <v>-6321.1670295895783</v>
      </c>
      <c r="AL1219" s="52">
        <f t="shared" ca="1" si="1478"/>
        <v>-23129.035590654974</v>
      </c>
      <c r="AM1219" s="52">
        <f t="shared" ca="1" si="1478"/>
        <v>4999.6921640533328</v>
      </c>
      <c r="AN1219" s="52">
        <f t="shared" ca="1" si="1478"/>
        <v>21881.252816225988</v>
      </c>
      <c r="AO1219" s="52">
        <f t="shared" ca="1" si="1478"/>
        <v>-7169.9024874847128</v>
      </c>
      <c r="AP1219" s="52">
        <f t="shared" ca="1" si="1478"/>
        <v>-25438.718571728292</v>
      </c>
      <c r="AQ1219" s="52">
        <f t="shared" ca="1" si="1478"/>
        <v>6256.70051811343</v>
      </c>
      <c r="AR1219" s="52">
        <f t="shared" ca="1" si="1478"/>
        <v>24959.816450627564</v>
      </c>
      <c r="AS1219" s="52">
        <f t="shared" ca="1" si="1478"/>
        <v>-6957.5761581066909</v>
      </c>
      <c r="AT1219" s="52">
        <f t="shared" ca="1" si="1478"/>
        <v>-26346.648694106327</v>
      </c>
      <c r="AU1219" s="52">
        <f t="shared" ca="1" si="1478"/>
        <v>6506.9641166942092</v>
      </c>
      <c r="AV1219" s="52">
        <f t="shared" ca="1" si="1478"/>
        <v>25958.354697568982</v>
      </c>
      <c r="AW1219" s="52">
        <f t="shared" ca="1" si="1478"/>
        <v>58191.49187661022</v>
      </c>
      <c r="AX1219" s="52">
        <f t="shared" ca="1" si="1478"/>
        <v>50789.366774719732</v>
      </c>
      <c r="AY1219" s="52">
        <f t="shared" ca="1" si="1478"/>
        <v>-56390.865089872575</v>
      </c>
      <c r="AZ1219" s="52">
        <f t="shared" ca="1" si="1478"/>
        <v>-3783.0571285007136</v>
      </c>
      <c r="BA1219" s="52">
        <f t="shared" ca="1" si="1478"/>
        <v>21339.369529083353</v>
      </c>
      <c r="BB1219" s="52">
        <f t="shared" ca="1" si="1478"/>
        <v>42321.471779338317</v>
      </c>
      <c r="BC1219" s="52">
        <f t="shared" ca="1" si="1478"/>
        <v>-58646.499693467471</v>
      </c>
      <c r="BD1219" s="52">
        <f t="shared" ca="1" si="1478"/>
        <v>-3622.2314913052032</v>
      </c>
      <c r="BE1219" s="52">
        <f t="shared" ca="1" si="1478"/>
        <v>21880.956795001614</v>
      </c>
      <c r="BF1219" s="52">
        <f t="shared" ca="1" si="1478"/>
        <v>44014.33401115211</v>
      </c>
      <c r="BG1219" s="52">
        <f t="shared" ca="1" si="1478"/>
        <v>-60992.358067536086</v>
      </c>
      <c r="BH1219" s="52">
        <f t="shared" ca="1" si="1478"/>
        <v>-4091.9199715871146</v>
      </c>
      <c r="BI1219" s="52">
        <f t="shared" ca="1" si="1478"/>
        <v>23080.662082656534</v>
      </c>
      <c r="BJ1219" s="52">
        <f t="shared" ca="1" si="1478"/>
        <v>45774.903876532298</v>
      </c>
      <c r="BK1219" s="52">
        <f t="shared" ca="1" si="1478"/>
        <v>-63432.054068454323</v>
      </c>
      <c r="BL1219" s="52">
        <f t="shared" ca="1" si="1478"/>
        <v>-4255.4247737937985</v>
      </c>
      <c r="BM1219" s="52">
        <f t="shared" ca="1" si="1478"/>
        <v>24003.888565962799</v>
      </c>
      <c r="BN1219" s="52">
        <f t="shared" ca="1" si="1478"/>
        <v>47605.900031593541</v>
      </c>
      <c r="BO1219" s="52">
        <f t="shared" ca="1" si="1478"/>
        <v>-65969.336231192487</v>
      </c>
      <c r="BP1219" s="52">
        <f t="shared" ca="1" si="1478"/>
        <v>-4425.6417647455528</v>
      </c>
      <c r="BQ1219" s="52">
        <f t="shared" ca="1" si="1478"/>
        <v>24964.044108601302</v>
      </c>
      <c r="BR1219" s="52">
        <f t="shared" ca="1" si="1478"/>
        <v>49510.13603285735</v>
      </c>
      <c r="BS1219" s="52">
        <f t="shared" ca="1" si="1478"/>
        <v>-68608.109680440233</v>
      </c>
      <c r="BT1219" s="52">
        <f t="shared" ca="1" si="1478"/>
        <v>-4237.4985164049576</v>
      </c>
      <c r="BU1219" s="52">
        <f t="shared" ca="1" si="1478"/>
        <v>25597.624607622762</v>
      </c>
      <c r="BV1219" s="52">
        <f t="shared" ca="1" si="1478"/>
        <v>51490.545405645425</v>
      </c>
      <c r="BW1219" s="52">
        <f t="shared" ca="1" si="1478"/>
        <v>-71352.432179892086</v>
      </c>
      <c r="BX1219" s="52">
        <f t="shared" ref="BX1219:CO1219" ca="1" si="1479">VAT_Cash_Flow</f>
        <v>-4786.9676055961463</v>
      </c>
      <c r="BY1219" s="52">
        <f t="shared" ca="1" si="1479"/>
        <v>27001.110107863176</v>
      </c>
      <c r="BZ1219" s="52">
        <f t="shared" ca="1" si="1479"/>
        <v>53550.163133138471</v>
      </c>
      <c r="CA1219" s="52">
        <f t="shared" ca="1" si="1479"/>
        <v>-74206.531430364106</v>
      </c>
      <c r="CB1219" s="52">
        <f t="shared" ca="1" si="1479"/>
        <v>-4978.2450980587528</v>
      </c>
      <c r="CC1219" s="52">
        <f t="shared" ca="1" si="1479"/>
        <v>28081.154512177687</v>
      </c>
      <c r="CD1219" s="52">
        <f t="shared" ca="1" si="1479"/>
        <v>55692.169658463994</v>
      </c>
      <c r="CE1219" s="52">
        <f t="shared" ca="1" si="1479"/>
        <v>-77174.792687578665</v>
      </c>
      <c r="CF1219" s="52">
        <f t="shared" ca="1" si="1479"/>
        <v>-5177.374901981093</v>
      </c>
      <c r="CG1219" s="52">
        <f t="shared" ca="1" si="1479"/>
        <v>29204.400692664785</v>
      </c>
      <c r="CH1219" s="52">
        <f t="shared" ca="1" si="1479"/>
        <v>57919.856444802557</v>
      </c>
      <c r="CI1219" s="52">
        <f t="shared" ca="1" si="1479"/>
        <v>-80261.784395081791</v>
      </c>
      <c r="CJ1219" s="52">
        <f t="shared" ca="1" si="1479"/>
        <v>-4957.2739124036452</v>
      </c>
      <c r="CK1219" s="52">
        <f t="shared" ca="1" si="1479"/>
        <v>29945.600262894091</v>
      </c>
      <c r="CL1219" s="52">
        <f t="shared" ca="1" si="1479"/>
        <v>60236.655301862993</v>
      </c>
      <c r="CM1219" s="52">
        <f t="shared" ca="1" si="1479"/>
        <v>-83472.253562466241</v>
      </c>
      <c r="CN1219" s="52">
        <f t="shared" ca="1" si="1479"/>
        <v>-5600.0750298493367</v>
      </c>
      <c r="CO1219" s="52">
        <f t="shared" ca="1" si="1479"/>
        <v>31587.47978918624</v>
      </c>
    </row>
    <row r="1220" spans="1:93" ht="15.75" thickBot="1">
      <c r="A1220" s="10"/>
      <c r="B1220" s="10"/>
      <c r="C1220" s="21" t="s">
        <v>457</v>
      </c>
      <c r="D1220" s="10"/>
      <c r="E1220" s="10"/>
      <c r="F1220" s="10"/>
      <c r="G1220" s="134" t="str">
        <f t="shared" si="1463"/>
        <v>тыс. руб.</v>
      </c>
      <c r="H1220" s="10"/>
      <c r="I1220" s="23">
        <f t="shared" ca="1" si="1467"/>
        <v>-149764.4385477177</v>
      </c>
      <c r="J1220" s="10"/>
      <c r="K1220" s="10"/>
      <c r="L1220" s="52">
        <f t="shared" ref="L1220:BW1220" ca="1" si="1480">WC_Cash_Flow</f>
        <v>0</v>
      </c>
      <c r="M1220" s="52">
        <f t="shared" ca="1" si="1480"/>
        <v>0</v>
      </c>
      <c r="N1220" s="52">
        <f t="shared" ca="1" si="1480"/>
        <v>0</v>
      </c>
      <c r="O1220" s="52">
        <f t="shared" ca="1" si="1480"/>
        <v>0</v>
      </c>
      <c r="P1220" s="52">
        <f t="shared" ca="1" si="1480"/>
        <v>0</v>
      </c>
      <c r="Q1220" s="52">
        <f t="shared" ca="1" si="1480"/>
        <v>0</v>
      </c>
      <c r="R1220" s="52">
        <f t="shared" ca="1" si="1480"/>
        <v>0</v>
      </c>
      <c r="S1220" s="52">
        <f t="shared" ca="1" si="1480"/>
        <v>0</v>
      </c>
      <c r="T1220" s="52">
        <f t="shared" ca="1" si="1480"/>
        <v>0</v>
      </c>
      <c r="U1220" s="52">
        <f t="shared" ca="1" si="1480"/>
        <v>0</v>
      </c>
      <c r="V1220" s="52">
        <f t="shared" ca="1" si="1480"/>
        <v>0</v>
      </c>
      <c r="W1220" s="52">
        <f t="shared" ca="1" si="1480"/>
        <v>0</v>
      </c>
      <c r="X1220" s="52">
        <f t="shared" ca="1" si="1480"/>
        <v>0</v>
      </c>
      <c r="Y1220" s="52">
        <f t="shared" ca="1" si="1480"/>
        <v>0</v>
      </c>
      <c r="Z1220" s="52">
        <f t="shared" ca="1" si="1480"/>
        <v>0</v>
      </c>
      <c r="AA1220" s="52">
        <f t="shared" ca="1" si="1480"/>
        <v>0</v>
      </c>
      <c r="AB1220" s="52">
        <f t="shared" ca="1" si="1480"/>
        <v>0</v>
      </c>
      <c r="AC1220" s="52">
        <f t="shared" ca="1" si="1480"/>
        <v>-69426.365057955772</v>
      </c>
      <c r="AD1220" s="52">
        <f t="shared" ca="1" si="1480"/>
        <v>-63970.969616588263</v>
      </c>
      <c r="AE1220" s="52">
        <f t="shared" ca="1" si="1480"/>
        <v>85278.838549397798</v>
      </c>
      <c r="AF1220" s="52">
        <f t="shared" ca="1" si="1480"/>
        <v>3807.1348063051992</v>
      </c>
      <c r="AG1220" s="52">
        <f t="shared" ca="1" si="1480"/>
        <v>-36677.000975711504</v>
      </c>
      <c r="AH1220" s="52">
        <f t="shared" ca="1" si="1480"/>
        <v>-74122.31285529217</v>
      </c>
      <c r="AI1220" s="52">
        <f t="shared" ca="1" si="1480"/>
        <v>99326.269513595325</v>
      </c>
      <c r="AJ1220" s="52">
        <f t="shared" ca="1" si="1480"/>
        <v>4560.5700701664173</v>
      </c>
      <c r="AK1220" s="52">
        <f t="shared" ca="1" si="1480"/>
        <v>-42140.401559901497</v>
      </c>
      <c r="AL1220" s="52">
        <f t="shared" ca="1" si="1480"/>
        <v>-84983.410001705837</v>
      </c>
      <c r="AM1220" s="52">
        <f t="shared" ca="1" si="1480"/>
        <v>114361.04881324957</v>
      </c>
      <c r="AN1220" s="52">
        <f t="shared" ca="1" si="1480"/>
        <v>5368.0768338672933</v>
      </c>
      <c r="AO1220" s="52">
        <f t="shared" ca="1" si="1480"/>
        <v>-47982.192091916775</v>
      </c>
      <c r="AP1220" s="52">
        <f t="shared" ca="1" si="1480"/>
        <v>-92166.338640098256</v>
      </c>
      <c r="AQ1220" s="52">
        <f t="shared" ca="1" si="1480"/>
        <v>129116.05016391008</v>
      </c>
      <c r="AR1220" s="52">
        <f t="shared" ca="1" si="1480"/>
        <v>7297.9947382550163</v>
      </c>
      <c r="AS1220" s="52">
        <f t="shared" ca="1" si="1480"/>
        <v>-48511.617276406585</v>
      </c>
      <c r="AT1220" s="52">
        <f t="shared" ca="1" si="1480"/>
        <v>-95852.991027645534</v>
      </c>
      <c r="AU1220" s="52">
        <f t="shared" ca="1" si="1480"/>
        <v>134280.69333993405</v>
      </c>
      <c r="AV1220" s="52">
        <f t="shared" ca="1" si="1480"/>
        <v>7589.7946717012092</v>
      </c>
      <c r="AW1220" s="52">
        <f t="shared" ca="1" si="1480"/>
        <v>-32436.995904036186</v>
      </c>
      <c r="AX1220" s="52">
        <f t="shared" ca="1" si="1480"/>
        <v>-82172.751018344134</v>
      </c>
      <c r="AY1220" s="52">
        <f t="shared" ca="1" si="1480"/>
        <v>115515.10356823145</v>
      </c>
      <c r="AZ1220" s="52">
        <f t="shared" ca="1" si="1480"/>
        <v>6510.4472404044645</v>
      </c>
      <c r="BA1220" s="52">
        <f t="shared" ca="1" si="1480"/>
        <v>-43744.164730566728</v>
      </c>
      <c r="BB1220" s="52">
        <f t="shared" ca="1" si="1480"/>
        <v>-85459.661059077858</v>
      </c>
      <c r="BC1220" s="52">
        <f t="shared" ca="1" si="1480"/>
        <v>120135.70771096059</v>
      </c>
      <c r="BD1220" s="52">
        <f t="shared" ca="1" si="1480"/>
        <v>6770.7342163205903</v>
      </c>
      <c r="BE1220" s="52">
        <f t="shared" ca="1" si="1480"/>
        <v>-45493.932609735406</v>
      </c>
      <c r="BF1220" s="52">
        <f t="shared" ca="1" si="1480"/>
        <v>-88878.04880409714</v>
      </c>
      <c r="BG1220" s="52">
        <f t="shared" ca="1" si="1480"/>
        <v>124941.13470390707</v>
      </c>
      <c r="BH1220" s="52">
        <f t="shared" ca="1" si="1480"/>
        <v>7041.8345570155652</v>
      </c>
      <c r="BI1220" s="52">
        <f t="shared" ca="1" si="1480"/>
        <v>-47313.688572580984</v>
      </c>
      <c r="BJ1220" s="52">
        <f t="shared" ca="1" si="1480"/>
        <v>-92433.169401498453</v>
      </c>
      <c r="BK1220" s="52">
        <f t="shared" ca="1" si="1480"/>
        <v>129938.78146017488</v>
      </c>
      <c r="BL1220" s="52">
        <f t="shared" ca="1" si="1480"/>
        <v>7323.3677246302541</v>
      </c>
      <c r="BM1220" s="52">
        <f t="shared" ca="1" si="1480"/>
        <v>-49206.236115484178</v>
      </c>
      <c r="BN1220" s="52">
        <f t="shared" ca="1" si="1480"/>
        <v>-96130.496177558496</v>
      </c>
      <c r="BO1220" s="52">
        <f t="shared" ca="1" si="1480"/>
        <v>135136.33271858183</v>
      </c>
      <c r="BP1220" s="52">
        <f t="shared" ca="1" si="1480"/>
        <v>7616.3024336155795</v>
      </c>
      <c r="BQ1220" s="52">
        <f t="shared" ca="1" si="1480"/>
        <v>-51174.485560103698</v>
      </c>
      <c r="BR1220" s="52">
        <f t="shared" ca="1" si="1480"/>
        <v>-99975.716024660796</v>
      </c>
      <c r="BS1220" s="52">
        <f t="shared" ca="1" si="1480"/>
        <v>140541.78602732514</v>
      </c>
      <c r="BT1220" s="52">
        <f t="shared" ca="1" si="1480"/>
        <v>7920.8013804475777</v>
      </c>
      <c r="BU1220" s="52">
        <f t="shared" ca="1" si="1480"/>
        <v>-53221.46649156179</v>
      </c>
      <c r="BV1220" s="52">
        <f t="shared" ca="1" si="1480"/>
        <v>-103974.74618957087</v>
      </c>
      <c r="BW1220" s="52">
        <f t="shared" ca="1" si="1480"/>
        <v>146163.45592947846</v>
      </c>
      <c r="BX1220" s="52">
        <f t="shared" ref="BX1220:CO1220" ca="1" si="1481">WC_Cash_Flow</f>
        <v>8237.9504346286412</v>
      </c>
      <c r="BY1220" s="52">
        <f t="shared" ca="1" si="1481"/>
        <v>-55350.32358180813</v>
      </c>
      <c r="BZ1220" s="52">
        <f t="shared" ca="1" si="1481"/>
        <v>-108133.73445227277</v>
      </c>
      <c r="CA1220" s="52">
        <f t="shared" ca="1" si="1481"/>
        <v>152009.9957671545</v>
      </c>
      <c r="CB1220" s="52">
        <f t="shared" ca="1" si="1481"/>
        <v>8567.304420686618</v>
      </c>
      <c r="CC1220" s="52">
        <f t="shared" ca="1" si="1481"/>
        <v>-57564.336525080376</v>
      </c>
      <c r="CD1220" s="52">
        <f t="shared" ca="1" si="1481"/>
        <v>-112459.08383036405</v>
      </c>
      <c r="CE1220" s="52">
        <f t="shared" ca="1" si="1481"/>
        <v>158090.39559784101</v>
      </c>
      <c r="CF1220" s="52">
        <f t="shared" ca="1" si="1481"/>
        <v>8909.9965975140512</v>
      </c>
      <c r="CG1220" s="52">
        <f t="shared" ca="1" si="1481"/>
        <v>-59866.9099860836</v>
      </c>
      <c r="CH1220" s="52">
        <f t="shared" ca="1" si="1481"/>
        <v>-116957.44718357857</v>
      </c>
      <c r="CI1220" s="52">
        <f t="shared" ca="1" si="1481"/>
        <v>164414.01142175472</v>
      </c>
      <c r="CJ1220" s="52">
        <f t="shared" ca="1" si="1481"/>
        <v>9266.217296976276</v>
      </c>
      <c r="CK1220" s="52">
        <f t="shared" ca="1" si="1481"/>
        <v>-62261.588150906988</v>
      </c>
      <c r="CL1220" s="52">
        <f t="shared" ca="1" si="1481"/>
        <v>-121635.74685369676</v>
      </c>
      <c r="CM1220" s="52">
        <f t="shared" ca="1" si="1481"/>
        <v>170990.57007828349</v>
      </c>
      <c r="CN1220" s="52">
        <f t="shared" ca="1" si="1481"/>
        <v>9637.2368328057346</v>
      </c>
      <c r="CO1220" s="52">
        <f t="shared" ca="1" si="1481"/>
        <v>-64752.049840948021</v>
      </c>
    </row>
    <row r="1221" spans="1:93" ht="15.75" thickTop="1">
      <c r="A1221" s="35"/>
      <c r="B1221" s="35"/>
      <c r="C1221" s="208" t="s">
        <v>198</v>
      </c>
      <c r="D1221" s="49"/>
      <c r="E1221" s="49"/>
      <c r="F1221" s="49"/>
      <c r="G1221" s="137" t="str">
        <f t="shared" si="1463"/>
        <v>тыс. руб.</v>
      </c>
      <c r="H1221" s="49"/>
      <c r="I1221" s="49"/>
      <c r="J1221" s="49"/>
      <c r="K1221" s="49"/>
      <c r="L1221" s="174">
        <f t="shared" ref="L1221:BW1221" ca="1" si="1482">SUM(L1213:L1220)</f>
        <v>-20231.553412960755</v>
      </c>
      <c r="M1221" s="174">
        <f t="shared" ca="1" si="1482"/>
        <v>-20518.738035800307</v>
      </c>
      <c r="N1221" s="174">
        <f t="shared" ca="1" si="1482"/>
        <v>-20809.999212027134</v>
      </c>
      <c r="O1221" s="174">
        <f t="shared" ca="1" si="1482"/>
        <v>-21105.394807857592</v>
      </c>
      <c r="P1221" s="174">
        <f t="shared" ca="1" si="1482"/>
        <v>-177490.49062476435</v>
      </c>
      <c r="Q1221" s="174">
        <f t="shared" ca="1" si="1482"/>
        <v>-179239.37658746613</v>
      </c>
      <c r="R1221" s="174">
        <f t="shared" ca="1" si="1482"/>
        <v>-181005.49503456618</v>
      </c>
      <c r="S1221" s="174">
        <f t="shared" ca="1" si="1482"/>
        <v>-182789.01576473904</v>
      </c>
      <c r="T1221" s="174">
        <f t="shared" ca="1" si="1482"/>
        <v>-184590.11024975491</v>
      </c>
      <c r="U1221" s="174">
        <f t="shared" ca="1" si="1482"/>
        <v>-188441.09063731288</v>
      </c>
      <c r="V1221" s="174">
        <f t="shared" ca="1" si="1482"/>
        <v>-190159.22920993349</v>
      </c>
      <c r="W1221" s="174">
        <f t="shared" ca="1" si="1482"/>
        <v>-191871.74606439631</v>
      </c>
      <c r="X1221" s="174">
        <f t="shared" ca="1" si="1482"/>
        <v>-369180.82464899635</v>
      </c>
      <c r="Y1221" s="174">
        <f t="shared" ca="1" si="1482"/>
        <v>-372528.52022715751</v>
      </c>
      <c r="Z1221" s="174">
        <f t="shared" ca="1" si="1482"/>
        <v>-375920.78753780114</v>
      </c>
      <c r="AA1221" s="174">
        <f t="shared" ca="1" si="1482"/>
        <v>-379331.70797221939</v>
      </c>
      <c r="AB1221" s="174">
        <f t="shared" ca="1" si="1482"/>
        <v>-660519.09372966131</v>
      </c>
      <c r="AC1221" s="174">
        <f t="shared" ca="1" si="1482"/>
        <v>558342.85122100485</v>
      </c>
      <c r="AD1221" s="174">
        <f t="shared" ca="1" si="1482"/>
        <v>290973.35763822694</v>
      </c>
      <c r="AE1221" s="174">
        <f t="shared" ca="1" si="1482"/>
        <v>178435.25781909982</v>
      </c>
      <c r="AF1221" s="174">
        <f t="shared" ca="1" si="1482"/>
        <v>99618.407635534517</v>
      </c>
      <c r="AG1221" s="174">
        <f t="shared" ca="1" si="1482"/>
        <v>111879.44444225632</v>
      </c>
      <c r="AH1221" s="174">
        <f t="shared" ca="1" si="1482"/>
        <v>218000.0302121953</v>
      </c>
      <c r="AI1221" s="174">
        <f t="shared" ca="1" si="1482"/>
        <v>207796.84001524872</v>
      </c>
      <c r="AJ1221" s="174">
        <f t="shared" ca="1" si="1482"/>
        <v>115849.94573263997</v>
      </c>
      <c r="AK1221" s="174">
        <f t="shared" ca="1" si="1482"/>
        <v>129538.12419499685</v>
      </c>
      <c r="AL1221" s="174">
        <f t="shared" ca="1" si="1482"/>
        <v>251311.3615983428</v>
      </c>
      <c r="AM1221" s="174">
        <f t="shared" ca="1" si="1482"/>
        <v>239218.11718208526</v>
      </c>
      <c r="AN1221" s="174">
        <f t="shared" ca="1" si="1482"/>
        <v>134298.85387264029</v>
      </c>
      <c r="AO1221" s="174">
        <f t="shared" ca="1" si="1482"/>
        <v>148433.92729356204</v>
      </c>
      <c r="AP1221" s="174">
        <f t="shared" ca="1" si="1482"/>
        <v>283256.35983695427</v>
      </c>
      <c r="AQ1221" s="174">
        <f t="shared" ca="1" si="1482"/>
        <v>266062.31550721207</v>
      </c>
      <c r="AR1221" s="174">
        <f t="shared" ca="1" si="1482"/>
        <v>145018.35868208259</v>
      </c>
      <c r="AS1221" s="174">
        <f t="shared" ca="1" si="1482"/>
        <v>156345.35968624966</v>
      </c>
      <c r="AT1221" s="174">
        <f t="shared" ca="1" si="1482"/>
        <v>294782.25233815599</v>
      </c>
      <c r="AU1221" s="174">
        <f t="shared" ca="1" si="1482"/>
        <v>276790.81603126629</v>
      </c>
      <c r="AV1221" s="174">
        <f t="shared" ca="1" si="1482"/>
        <v>150910.46857861662</v>
      </c>
      <c r="AW1221" s="174">
        <f t="shared" ca="1" si="1482"/>
        <v>191488.23497348485</v>
      </c>
      <c r="AX1221" s="174">
        <f t="shared" ca="1" si="1482"/>
        <v>293414.19645526062</v>
      </c>
      <c r="AY1221" s="174">
        <f t="shared" ca="1" si="1482"/>
        <v>165723.51003548375</v>
      </c>
      <c r="AZ1221" s="174">
        <f t="shared" ca="1" si="1482"/>
        <v>94846.484934934721</v>
      </c>
      <c r="BA1221" s="174">
        <f t="shared" ca="1" si="1482"/>
        <v>150050.65817384236</v>
      </c>
      <c r="BB1221" s="174">
        <f t="shared" ca="1" si="1482"/>
        <v>294744.67445943959</v>
      </c>
      <c r="BC1221" s="174">
        <f t="shared" ca="1" si="1482"/>
        <v>172445.83024924167</v>
      </c>
      <c r="BD1221" s="174">
        <f t="shared" ca="1" si="1482"/>
        <v>100116.31675510187</v>
      </c>
      <c r="BE1221" s="174">
        <f t="shared" ca="1" si="1482"/>
        <v>155840.17161745604</v>
      </c>
      <c r="BF1221" s="174">
        <f t="shared" ca="1" si="1482"/>
        <v>306635.04054927558</v>
      </c>
      <c r="BG1221" s="174">
        <f t="shared" ca="1" si="1482"/>
        <v>179444.24887921431</v>
      </c>
      <c r="BH1221" s="174">
        <f t="shared" ca="1" si="1482"/>
        <v>102772.28117151215</v>
      </c>
      <c r="BI1221" s="174">
        <f t="shared" ca="1" si="1482"/>
        <v>162483.21610216011</v>
      </c>
      <c r="BJ1221" s="174">
        <f t="shared" ca="1" si="1482"/>
        <v>318986.33471250086</v>
      </c>
      <c r="BK1221" s="174">
        <f t="shared" ca="1" si="1482"/>
        <v>186707.90481475095</v>
      </c>
      <c r="BL1221" s="174">
        <f t="shared" ca="1" si="1482"/>
        <v>106974.55401678191</v>
      </c>
      <c r="BM1221" s="174">
        <f t="shared" ca="1" si="1482"/>
        <v>169074.90956062506</v>
      </c>
      <c r="BN1221" s="174">
        <f t="shared" ca="1" si="1482"/>
        <v>331839.16791333939</v>
      </c>
      <c r="BO1221" s="174">
        <f t="shared" ca="1" si="1482"/>
        <v>194269.60081967976</v>
      </c>
      <c r="BP1221" s="174">
        <f t="shared" ca="1" si="1482"/>
        <v>111344.88599387162</v>
      </c>
      <c r="BQ1221" s="174">
        <f t="shared" ca="1" si="1482"/>
        <v>175930.27075742846</v>
      </c>
      <c r="BR1221" s="174">
        <f t="shared" ca="1" si="1482"/>
        <v>335112.02718147094</v>
      </c>
      <c r="BS1221" s="174">
        <f t="shared" ca="1" si="1482"/>
        <v>192168.26450292766</v>
      </c>
      <c r="BT1221" s="174">
        <f t="shared" ca="1" si="1482"/>
        <v>107809.67693831601</v>
      </c>
      <c r="BU1221" s="174">
        <f t="shared" ca="1" si="1482"/>
        <v>173125.54744618721</v>
      </c>
      <c r="BV1221" s="174">
        <f t="shared" ca="1" si="1482"/>
        <v>349561.51285229565</v>
      </c>
      <c r="BW1221" s="174">
        <f t="shared" ca="1" si="1482"/>
        <v>200894.51223188936</v>
      </c>
      <c r="BX1221" s="174">
        <f t="shared" ref="BX1221:CO1221" ca="1" si="1483">SUM(BX1213:BX1220)</f>
        <v>111497.04634777927</v>
      </c>
      <c r="BY1221" s="174">
        <f t="shared" ca="1" si="1483"/>
        <v>181380.56204265685</v>
      </c>
      <c r="BZ1221" s="174">
        <f t="shared" ca="1" si="1483"/>
        <v>364500.03772803035</v>
      </c>
      <c r="CA1221" s="174">
        <f t="shared" ca="1" si="1483"/>
        <v>209881.57130765013</v>
      </c>
      <c r="CB1221" s="174">
        <f t="shared" ca="1" si="1483"/>
        <v>116916.27811586767</v>
      </c>
      <c r="CC1221" s="174">
        <f t="shared" ca="1" si="1483"/>
        <v>189600.66871196099</v>
      </c>
      <c r="CD1221" s="174">
        <f t="shared" ca="1" si="1483"/>
        <v>380050.38306373521</v>
      </c>
      <c r="CE1221" s="174">
        <f t="shared" ca="1" si="1483"/>
        <v>219242.03450258588</v>
      </c>
      <c r="CF1221" s="174">
        <f t="shared" ca="1" si="1483"/>
        <v>122532.11529790188</v>
      </c>
      <c r="CG1221" s="174">
        <f t="shared" ca="1" si="1483"/>
        <v>198129.22934195638</v>
      </c>
      <c r="CH1221" s="174">
        <f t="shared" ca="1" si="1483"/>
        <v>396202.16827705037</v>
      </c>
      <c r="CI1221" s="174">
        <f t="shared" ca="1" si="1483"/>
        <v>228956.34228950081</v>
      </c>
      <c r="CJ1221" s="174">
        <f t="shared" ca="1" si="1483"/>
        <v>130190.90251370404</v>
      </c>
      <c r="CK1221" s="174">
        <f t="shared" ca="1" si="1483"/>
        <v>206579.68754854568</v>
      </c>
      <c r="CL1221" s="174">
        <f t="shared" ca="1" si="1483"/>
        <v>413007.50567526021</v>
      </c>
      <c r="CM1221" s="174">
        <f t="shared" ca="1" si="1483"/>
        <v>239066.36046706143</v>
      </c>
      <c r="CN1221" s="174">
        <f t="shared" ca="1" si="1483"/>
        <v>134385.44854428846</v>
      </c>
      <c r="CO1221" s="174">
        <f t="shared" ca="1" si="1483"/>
        <v>216161.55864406872</v>
      </c>
    </row>
    <row r="1222" spans="1:93" ht="15.75" thickBot="1">
      <c r="A1222" s="10"/>
      <c r="B1222" s="10"/>
      <c r="C1222" s="21" t="s">
        <v>107</v>
      </c>
      <c r="D1222" s="10"/>
      <c r="E1222" s="10"/>
      <c r="F1222" s="10"/>
      <c r="G1222" s="134" t="str">
        <f t="shared" si="1463"/>
        <v>тыс. руб.</v>
      </c>
      <c r="H1222" s="10"/>
      <c r="I1222" s="23">
        <f ca="1">SUM(L1222:CO1222)</f>
        <v>-1083177.1599277665</v>
      </c>
      <c r="J1222" s="10"/>
      <c r="K1222" s="10"/>
      <c r="L1222" s="52">
        <f t="shared" ref="L1222:BW1222" ca="1" si="1484">Profits_Tax</f>
        <v>0</v>
      </c>
      <c r="M1222" s="52">
        <f t="shared" ca="1" si="1484"/>
        <v>0</v>
      </c>
      <c r="N1222" s="52">
        <f t="shared" ca="1" si="1484"/>
        <v>0</v>
      </c>
      <c r="O1222" s="52">
        <f t="shared" ca="1" si="1484"/>
        <v>0</v>
      </c>
      <c r="P1222" s="52">
        <f t="shared" ca="1" si="1484"/>
        <v>0</v>
      </c>
      <c r="Q1222" s="52">
        <f t="shared" ca="1" si="1484"/>
        <v>0</v>
      </c>
      <c r="R1222" s="52">
        <f t="shared" ca="1" si="1484"/>
        <v>0</v>
      </c>
      <c r="S1222" s="52">
        <f t="shared" ca="1" si="1484"/>
        <v>0</v>
      </c>
      <c r="T1222" s="52">
        <f t="shared" ca="1" si="1484"/>
        <v>0</v>
      </c>
      <c r="U1222" s="52">
        <f t="shared" ca="1" si="1484"/>
        <v>0</v>
      </c>
      <c r="V1222" s="52">
        <f t="shared" ca="1" si="1484"/>
        <v>0</v>
      </c>
      <c r="W1222" s="52">
        <f t="shared" ca="1" si="1484"/>
        <v>0</v>
      </c>
      <c r="X1222" s="52">
        <f t="shared" ca="1" si="1484"/>
        <v>0</v>
      </c>
      <c r="Y1222" s="52">
        <f t="shared" ca="1" si="1484"/>
        <v>0</v>
      </c>
      <c r="Z1222" s="52">
        <f t="shared" ca="1" si="1484"/>
        <v>0</v>
      </c>
      <c r="AA1222" s="52">
        <f t="shared" ca="1" si="1484"/>
        <v>0</v>
      </c>
      <c r="AB1222" s="52">
        <f t="shared" ca="1" si="1484"/>
        <v>0</v>
      </c>
      <c r="AC1222" s="52">
        <f t="shared" ca="1" si="1484"/>
        <v>0</v>
      </c>
      <c r="AD1222" s="52">
        <f t="shared" ca="1" si="1484"/>
        <v>-1783.8517168128092</v>
      </c>
      <c r="AE1222" s="52">
        <f t="shared" ca="1" si="1484"/>
        <v>-34.460020830635514</v>
      </c>
      <c r="AF1222" s="52">
        <f t="shared" ca="1" si="1484"/>
        <v>0</v>
      </c>
      <c r="AG1222" s="52">
        <f t="shared" ca="1" si="1484"/>
        <v>-710.4535125094086</v>
      </c>
      <c r="AH1222" s="52">
        <f t="shared" ca="1" si="1484"/>
        <v>-2294.7982331503858</v>
      </c>
      <c r="AI1222" s="52">
        <f t="shared" ca="1" si="1484"/>
        <v>-239.77500152082479</v>
      </c>
      <c r="AJ1222" s="52">
        <f t="shared" ca="1" si="1484"/>
        <v>-154.6523856769943</v>
      </c>
      <c r="AK1222" s="52">
        <f t="shared" ca="1" si="1484"/>
        <v>-1017.3856901637367</v>
      </c>
      <c r="AL1222" s="52">
        <f t="shared" ca="1" si="1484"/>
        <v>-2838.8876693744746</v>
      </c>
      <c r="AM1222" s="52">
        <f t="shared" ca="1" si="1484"/>
        <v>-476.01599709059332</v>
      </c>
      <c r="AN1222" s="52">
        <f t="shared" ca="1" si="1484"/>
        <v>-384.45855674662567</v>
      </c>
      <c r="AO1222" s="52">
        <f t="shared" ca="1" si="1484"/>
        <v>-1363.8566540876977</v>
      </c>
      <c r="AP1222" s="52">
        <f t="shared" ca="1" si="1484"/>
        <v>-3349.5826799216848</v>
      </c>
      <c r="AQ1222" s="52">
        <f t="shared" ca="1" si="1484"/>
        <v>-877.94883343143158</v>
      </c>
      <c r="AR1222" s="52">
        <f t="shared" ca="1" si="1484"/>
        <v>-1102.0585517472766</v>
      </c>
      <c r="AS1222" s="52">
        <f t="shared" ca="1" si="1484"/>
        <v>-3113.2048150097348</v>
      </c>
      <c r="AT1222" s="52">
        <f t="shared" ca="1" si="1484"/>
        <v>-7251.0413327619317</v>
      </c>
      <c r="AU1222" s="52">
        <f t="shared" ca="1" si="1484"/>
        <v>-6079.681761137449</v>
      </c>
      <c r="AV1222" s="52">
        <f t="shared" ca="1" si="1484"/>
        <v>-5393.0059544168471</v>
      </c>
      <c r="AW1222" s="52">
        <f t="shared" ca="1" si="1484"/>
        <v>-9100.6360451454311</v>
      </c>
      <c r="AX1222" s="52">
        <f t="shared" ca="1" si="1484"/>
        <v>-20387.297472093291</v>
      </c>
      <c r="AY1222" s="52">
        <f t="shared" ca="1" si="1484"/>
        <v>-5113.4158321700788</v>
      </c>
      <c r="AZ1222" s="52">
        <f t="shared" ca="1" si="1484"/>
        <v>-4099.8034607835061</v>
      </c>
      <c r="BA1222" s="52">
        <f t="shared" ca="1" si="1484"/>
        <v>-9723.348559444139</v>
      </c>
      <c r="BB1222" s="52">
        <f t="shared" ca="1" si="1484"/>
        <v>-21303.267284913883</v>
      </c>
      <c r="BC1222" s="52">
        <f t="shared" ca="1" si="1484"/>
        <v>-5418.430379393737</v>
      </c>
      <c r="BD1222" s="52">
        <f t="shared" ca="1" si="1484"/>
        <v>-4439.213805277408</v>
      </c>
      <c r="BE1222" s="52">
        <f t="shared" ca="1" si="1484"/>
        <v>-11252.770442178638</v>
      </c>
      <c r="BF1222" s="52">
        <f t="shared" ca="1" si="1484"/>
        <v>-23295.962995880793</v>
      </c>
      <c r="BG1222" s="52">
        <f t="shared" ca="1" si="1484"/>
        <v>-6775.7331789243817</v>
      </c>
      <c r="BH1222" s="52">
        <f t="shared" ca="1" si="1484"/>
        <v>-5678.6157829512076</v>
      </c>
      <c r="BI1222" s="52">
        <f t="shared" ca="1" si="1484"/>
        <v>-11761.187103371267</v>
      </c>
      <c r="BJ1222" s="52">
        <f t="shared" ca="1" si="1484"/>
        <v>-24286.172138548041</v>
      </c>
      <c r="BK1222" s="52">
        <f t="shared" ca="1" si="1484"/>
        <v>-7105.132541537474</v>
      </c>
      <c r="BL1222" s="52">
        <f t="shared" ca="1" si="1484"/>
        <v>-5964.5128965415306</v>
      </c>
      <c r="BM1222" s="52">
        <f t="shared" ca="1" si="1484"/>
        <v>-12290.458119635599</v>
      </c>
      <c r="BN1222" s="52">
        <f t="shared" ca="1" si="1484"/>
        <v>-25316.513606076656</v>
      </c>
      <c r="BO1222" s="52">
        <f t="shared" ca="1" si="1484"/>
        <v>-16492.514655768286</v>
      </c>
      <c r="BP1222" s="52">
        <f t="shared" ca="1" si="1484"/>
        <v>-13865.515909638518</v>
      </c>
      <c r="BQ1222" s="52">
        <f t="shared" ca="1" si="1484"/>
        <v>-28433.421376647551</v>
      </c>
      <c r="BR1222" s="52">
        <f t="shared" ca="1" si="1484"/>
        <v>-56866.140096120798</v>
      </c>
      <c r="BS1222" s="52">
        <f t="shared" ca="1" si="1484"/>
        <v>-15737.972148449895</v>
      </c>
      <c r="BT1222" s="52">
        <f t="shared" ca="1" si="1484"/>
        <v>-13241.198965775646</v>
      </c>
      <c r="BU1222" s="52">
        <f t="shared" ca="1" si="1484"/>
        <v>-28217.766330432834</v>
      </c>
      <c r="BV1222" s="52">
        <f t="shared" ca="1" si="1484"/>
        <v>-59418.696597877533</v>
      </c>
      <c r="BW1222" s="52">
        <f t="shared" ca="1" si="1484"/>
        <v>-16644.551699020234</v>
      </c>
      <c r="BX1222" s="52">
        <f t="shared" ref="BX1222:CO1222" ca="1" si="1485">Profits_Tax</f>
        <v>-13848.750829669019</v>
      </c>
      <c r="BY1222" s="52">
        <f t="shared" ca="1" si="1485"/>
        <v>-29609.72618933655</v>
      </c>
      <c r="BZ1222" s="52">
        <f t="shared" ca="1" si="1485"/>
        <v>-62059.570386573781</v>
      </c>
      <c r="CA1222" s="52">
        <f t="shared" ca="1" si="1485"/>
        <v>-17573.717564746523</v>
      </c>
      <c r="CB1222" s="52">
        <f t="shared" ca="1" si="1485"/>
        <v>-14667.329897215441</v>
      </c>
      <c r="CC1222" s="52">
        <f t="shared" ca="1" si="1485"/>
        <v>-31059.607846617138</v>
      </c>
      <c r="CD1222" s="52">
        <f t="shared" ca="1" si="1485"/>
        <v>-64808.292055786733</v>
      </c>
      <c r="CE1222" s="52">
        <f t="shared" ca="1" si="1485"/>
        <v>-18542.207881073417</v>
      </c>
      <c r="CF1222" s="52">
        <f t="shared" ca="1" si="1485"/>
        <v>-15515.532492630453</v>
      </c>
      <c r="CG1222" s="52">
        <f t="shared" ca="1" si="1485"/>
        <v>-32564.330472746424</v>
      </c>
      <c r="CH1222" s="52">
        <f t="shared" ca="1" si="1485"/>
        <v>-67663.773631716351</v>
      </c>
      <c r="CI1222" s="52">
        <f t="shared" ca="1" si="1485"/>
        <v>-19546.248850001593</v>
      </c>
      <c r="CJ1222" s="52">
        <f t="shared" ca="1" si="1485"/>
        <v>-16613.31464927864</v>
      </c>
      <c r="CK1222" s="52">
        <f t="shared" ca="1" si="1485"/>
        <v>-34130.440676929851</v>
      </c>
      <c r="CL1222" s="52">
        <f t="shared" ca="1" si="1485"/>
        <v>-70634.633554462838</v>
      </c>
      <c r="CM1222" s="52">
        <f t="shared" ca="1" si="1485"/>
        <v>-20591.557796706118</v>
      </c>
      <c r="CN1222" s="52">
        <f t="shared" ca="1" si="1485"/>
        <v>-17305.595429169738</v>
      </c>
      <c r="CO1222" s="52">
        <f t="shared" ca="1" si="1485"/>
        <v>-35747.160932116996</v>
      </c>
    </row>
    <row r="1223" spans="1:93" ht="15.75" thickTop="1">
      <c r="A1223" s="35"/>
      <c r="B1223" s="35"/>
      <c r="C1223" s="208" t="s">
        <v>199</v>
      </c>
      <c r="D1223" s="49"/>
      <c r="E1223" s="49"/>
      <c r="F1223" s="49"/>
      <c r="G1223" s="137" t="str">
        <f t="shared" si="1463"/>
        <v>тыс. руб.</v>
      </c>
      <c r="H1223" s="49"/>
      <c r="I1223" s="49"/>
      <c r="J1223" s="49"/>
      <c r="K1223" s="49"/>
      <c r="L1223" s="174">
        <f ca="1">SUM(L1221:L1222)</f>
        <v>-20231.553412960755</v>
      </c>
      <c r="M1223" s="174">
        <f t="shared" ref="M1223:BX1223" ca="1" si="1486">SUM(M1221:M1222)</f>
        <v>-20518.738035800307</v>
      </c>
      <c r="N1223" s="174">
        <f t="shared" ca="1" si="1486"/>
        <v>-20809.999212027134</v>
      </c>
      <c r="O1223" s="174">
        <f t="shared" ca="1" si="1486"/>
        <v>-21105.394807857592</v>
      </c>
      <c r="P1223" s="174">
        <f t="shared" ca="1" si="1486"/>
        <v>-177490.49062476435</v>
      </c>
      <c r="Q1223" s="174">
        <f t="shared" ca="1" si="1486"/>
        <v>-179239.37658746613</v>
      </c>
      <c r="R1223" s="174">
        <f t="shared" ca="1" si="1486"/>
        <v>-181005.49503456618</v>
      </c>
      <c r="S1223" s="174">
        <f t="shared" ca="1" si="1486"/>
        <v>-182789.01576473904</v>
      </c>
      <c r="T1223" s="174">
        <f t="shared" ca="1" si="1486"/>
        <v>-184590.11024975491</v>
      </c>
      <c r="U1223" s="174">
        <f t="shared" ca="1" si="1486"/>
        <v>-188441.09063731288</v>
      </c>
      <c r="V1223" s="174">
        <f t="shared" ca="1" si="1486"/>
        <v>-190159.22920993349</v>
      </c>
      <c r="W1223" s="174">
        <f t="shared" ca="1" si="1486"/>
        <v>-191871.74606439631</v>
      </c>
      <c r="X1223" s="174">
        <f t="shared" ca="1" si="1486"/>
        <v>-369180.82464899635</v>
      </c>
      <c r="Y1223" s="174">
        <f t="shared" ca="1" si="1486"/>
        <v>-372528.52022715751</v>
      </c>
      <c r="Z1223" s="174">
        <f t="shared" ca="1" si="1486"/>
        <v>-375920.78753780114</v>
      </c>
      <c r="AA1223" s="174">
        <f t="shared" ca="1" si="1486"/>
        <v>-379331.70797221939</v>
      </c>
      <c r="AB1223" s="174">
        <f t="shared" ca="1" si="1486"/>
        <v>-660519.09372966131</v>
      </c>
      <c r="AC1223" s="174">
        <f t="shared" ca="1" si="1486"/>
        <v>558342.85122100485</v>
      </c>
      <c r="AD1223" s="174">
        <f t="shared" ca="1" si="1486"/>
        <v>289189.50592141412</v>
      </c>
      <c r="AE1223" s="174">
        <f t="shared" ca="1" si="1486"/>
        <v>178400.7977982692</v>
      </c>
      <c r="AF1223" s="174">
        <f t="shared" ca="1" si="1486"/>
        <v>99618.407635534517</v>
      </c>
      <c r="AG1223" s="174">
        <f t="shared" ca="1" si="1486"/>
        <v>111168.99092974691</v>
      </c>
      <c r="AH1223" s="174">
        <f t="shared" ca="1" si="1486"/>
        <v>215705.23197904491</v>
      </c>
      <c r="AI1223" s="174">
        <f t="shared" ca="1" si="1486"/>
        <v>207557.0650137279</v>
      </c>
      <c r="AJ1223" s="174">
        <f t="shared" ca="1" si="1486"/>
        <v>115695.29334696298</v>
      </c>
      <c r="AK1223" s="174">
        <f t="shared" ca="1" si="1486"/>
        <v>128520.73850483312</v>
      </c>
      <c r="AL1223" s="174">
        <f t="shared" ca="1" si="1486"/>
        <v>248472.47392896833</v>
      </c>
      <c r="AM1223" s="174">
        <f t="shared" ca="1" si="1486"/>
        <v>238742.10118499468</v>
      </c>
      <c r="AN1223" s="174">
        <f t="shared" ca="1" si="1486"/>
        <v>133914.39531589366</v>
      </c>
      <c r="AO1223" s="174">
        <f t="shared" ca="1" si="1486"/>
        <v>147070.07063947435</v>
      </c>
      <c r="AP1223" s="174">
        <f t="shared" ca="1" si="1486"/>
        <v>279906.77715703257</v>
      </c>
      <c r="AQ1223" s="174">
        <f t="shared" ca="1" si="1486"/>
        <v>265184.36667378066</v>
      </c>
      <c r="AR1223" s="174">
        <f t="shared" ca="1" si="1486"/>
        <v>143916.30013033532</v>
      </c>
      <c r="AS1223" s="174">
        <f t="shared" ca="1" si="1486"/>
        <v>153232.15487123994</v>
      </c>
      <c r="AT1223" s="174">
        <f t="shared" ca="1" si="1486"/>
        <v>287531.21100539406</v>
      </c>
      <c r="AU1223" s="174">
        <f t="shared" ca="1" si="1486"/>
        <v>270711.13427012885</v>
      </c>
      <c r="AV1223" s="174">
        <f t="shared" ca="1" si="1486"/>
        <v>145517.46262419978</v>
      </c>
      <c r="AW1223" s="174">
        <f t="shared" ca="1" si="1486"/>
        <v>182387.59892833943</v>
      </c>
      <c r="AX1223" s="174">
        <f t="shared" ca="1" si="1486"/>
        <v>273026.89898316731</v>
      </c>
      <c r="AY1223" s="174">
        <f t="shared" ca="1" si="1486"/>
        <v>160610.09420331367</v>
      </c>
      <c r="AZ1223" s="174">
        <f t="shared" ca="1" si="1486"/>
        <v>90746.681474151221</v>
      </c>
      <c r="BA1223" s="174">
        <f t="shared" ca="1" si="1486"/>
        <v>140327.30961439823</v>
      </c>
      <c r="BB1223" s="174">
        <f t="shared" ca="1" si="1486"/>
        <v>273441.40717452572</v>
      </c>
      <c r="BC1223" s="174">
        <f t="shared" ca="1" si="1486"/>
        <v>167027.39986984793</v>
      </c>
      <c r="BD1223" s="174">
        <f t="shared" ca="1" si="1486"/>
        <v>95677.102949824461</v>
      </c>
      <c r="BE1223" s="174">
        <f t="shared" ca="1" si="1486"/>
        <v>144587.40117527739</v>
      </c>
      <c r="BF1223" s="174">
        <f t="shared" ca="1" si="1486"/>
        <v>283339.07755339477</v>
      </c>
      <c r="BG1223" s="174">
        <f t="shared" ca="1" si="1486"/>
        <v>172668.51570028992</v>
      </c>
      <c r="BH1223" s="174">
        <f t="shared" ca="1" si="1486"/>
        <v>97093.665388560941</v>
      </c>
      <c r="BI1223" s="174">
        <f t="shared" ca="1" si="1486"/>
        <v>150722.02899878885</v>
      </c>
      <c r="BJ1223" s="174">
        <f t="shared" ca="1" si="1486"/>
        <v>294700.16257395281</v>
      </c>
      <c r="BK1223" s="174">
        <f t="shared" ca="1" si="1486"/>
        <v>179602.77227321349</v>
      </c>
      <c r="BL1223" s="174">
        <f t="shared" ca="1" si="1486"/>
        <v>101010.04112024038</v>
      </c>
      <c r="BM1223" s="174">
        <f t="shared" ca="1" si="1486"/>
        <v>156784.45144098948</v>
      </c>
      <c r="BN1223" s="174">
        <f t="shared" ca="1" si="1486"/>
        <v>306522.65430726274</v>
      </c>
      <c r="BO1223" s="174">
        <f t="shared" ca="1" si="1486"/>
        <v>177777.08616391147</v>
      </c>
      <c r="BP1223" s="174">
        <f t="shared" ca="1" si="1486"/>
        <v>97479.370084233102</v>
      </c>
      <c r="BQ1223" s="174">
        <f t="shared" ca="1" si="1486"/>
        <v>147496.84938078091</v>
      </c>
      <c r="BR1223" s="174">
        <f t="shared" ca="1" si="1486"/>
        <v>278245.88708535011</v>
      </c>
      <c r="BS1223" s="174">
        <f t="shared" ca="1" si="1486"/>
        <v>176430.29235447777</v>
      </c>
      <c r="BT1223" s="174">
        <f t="shared" ca="1" si="1486"/>
        <v>94568.477972540364</v>
      </c>
      <c r="BU1223" s="174">
        <f t="shared" ca="1" si="1486"/>
        <v>144907.78111575436</v>
      </c>
      <c r="BV1223" s="174">
        <f t="shared" ca="1" si="1486"/>
        <v>290142.81625441811</v>
      </c>
      <c r="BW1223" s="174">
        <f t="shared" ca="1" si="1486"/>
        <v>184249.96053286913</v>
      </c>
      <c r="BX1223" s="174">
        <f t="shared" ca="1" si="1486"/>
        <v>97648.295518110244</v>
      </c>
      <c r="BY1223" s="174">
        <f t="shared" ref="BY1223:CO1223" ca="1" si="1487">SUM(BY1221:BY1222)</f>
        <v>151770.83585332031</v>
      </c>
      <c r="BZ1223" s="174">
        <f t="shared" ca="1" si="1487"/>
        <v>302440.46734145656</v>
      </c>
      <c r="CA1223" s="174">
        <f t="shared" ca="1" si="1487"/>
        <v>192307.85374290359</v>
      </c>
      <c r="CB1223" s="174">
        <f t="shared" ca="1" si="1487"/>
        <v>102248.94821865222</v>
      </c>
      <c r="CC1223" s="174">
        <f t="shared" ca="1" si="1487"/>
        <v>158541.06086534384</v>
      </c>
      <c r="CD1223" s="174">
        <f t="shared" ca="1" si="1487"/>
        <v>315242.0910079485</v>
      </c>
      <c r="CE1223" s="174">
        <f t="shared" ca="1" si="1487"/>
        <v>200699.82662151247</v>
      </c>
      <c r="CF1223" s="174">
        <f t="shared" ca="1" si="1487"/>
        <v>107016.58280527144</v>
      </c>
      <c r="CG1223" s="174">
        <f t="shared" ca="1" si="1487"/>
        <v>165564.89886920995</v>
      </c>
      <c r="CH1223" s="174">
        <f t="shared" ca="1" si="1487"/>
        <v>328538.39464533399</v>
      </c>
      <c r="CI1223" s="174">
        <f t="shared" ca="1" si="1487"/>
        <v>209410.09343949921</v>
      </c>
      <c r="CJ1223" s="174">
        <f t="shared" ca="1" si="1487"/>
        <v>113577.58786442541</v>
      </c>
      <c r="CK1223" s="174">
        <f t="shared" ca="1" si="1487"/>
        <v>172449.24687161582</v>
      </c>
      <c r="CL1223" s="174">
        <f t="shared" ca="1" si="1487"/>
        <v>342372.8721207974</v>
      </c>
      <c r="CM1223" s="174">
        <f t="shared" ca="1" si="1487"/>
        <v>218474.8026703553</v>
      </c>
      <c r="CN1223" s="174">
        <f t="shared" ca="1" si="1487"/>
        <v>117079.85311511872</v>
      </c>
      <c r="CO1223" s="174">
        <f t="shared" ca="1" si="1487"/>
        <v>180414.39771195172</v>
      </c>
    </row>
    <row r="1224" spans="1:93">
      <c r="A1224" s="10"/>
      <c r="B1224" s="10"/>
      <c r="C1224" s="21" t="s">
        <v>458</v>
      </c>
      <c r="D1224" s="10"/>
      <c r="E1224" s="10"/>
      <c r="F1224" s="10"/>
      <c r="G1224" s="134" t="str">
        <f t="shared" si="1463"/>
        <v>тыс. руб.</v>
      </c>
      <c r="H1224" s="10"/>
      <c r="I1224" s="23">
        <f ca="1">SUM(L1224:CO1224)</f>
        <v>-472505.91550729872</v>
      </c>
      <c r="J1224" s="10"/>
      <c r="K1224" s="10"/>
      <c r="L1224" s="52">
        <f t="shared" ref="L1224:BX1224" si="1488">Debt_Interest_Paid</f>
        <v>0</v>
      </c>
      <c r="M1224" s="52">
        <f t="shared" ca="1" si="1488"/>
        <v>0</v>
      </c>
      <c r="N1224" s="52">
        <f t="shared" ca="1" si="1488"/>
        <v>0</v>
      </c>
      <c r="O1224" s="52">
        <f t="shared" ca="1" si="1488"/>
        <v>0</v>
      </c>
      <c r="P1224" s="52">
        <f t="shared" ca="1" si="1488"/>
        <v>0</v>
      </c>
      <c r="Q1224" s="52">
        <f t="shared" ca="1" si="1488"/>
        <v>0</v>
      </c>
      <c r="R1224" s="52">
        <f t="shared" ca="1" si="1488"/>
        <v>0</v>
      </c>
      <c r="S1224" s="52">
        <f t="shared" ca="1" si="1488"/>
        <v>0</v>
      </c>
      <c r="T1224" s="52">
        <f t="shared" ca="1" si="1488"/>
        <v>-375.82926333388428</v>
      </c>
      <c r="U1224" s="52">
        <f t="shared" ca="1" si="1488"/>
        <v>-2049.679343298747</v>
      </c>
      <c r="V1224" s="52">
        <f t="shared" ca="1" si="1488"/>
        <v>-4692.73305525248</v>
      </c>
      <c r="W1224" s="52">
        <f t="shared" ca="1" si="1488"/>
        <v>-7339.0839635085113</v>
      </c>
      <c r="X1224" s="52">
        <f t="shared" ca="1" si="1488"/>
        <v>-11087.213428915877</v>
      </c>
      <c r="Y1224" s="52">
        <f t="shared" ca="1" si="1488"/>
        <v>-16184.443320720929</v>
      </c>
      <c r="Z1224" s="52">
        <f t="shared" ca="1" si="1488"/>
        <v>-21566.314755658917</v>
      </c>
      <c r="AA1224" s="52">
        <f t="shared" ca="1" si="1488"/>
        <v>-26821.612493877776</v>
      </c>
      <c r="AB1224" s="52">
        <f t="shared" ca="1" si="1488"/>
        <v>-33416.864118378056</v>
      </c>
      <c r="AC1224" s="52">
        <f t="shared" ca="1" si="1488"/>
        <v>-38354.581535515288</v>
      </c>
      <c r="AD1224" s="52">
        <f t="shared" ca="1" si="1488"/>
        <v>-32803.703361364605</v>
      </c>
      <c r="AE1224" s="52">
        <f t="shared" ca="1" si="1488"/>
        <v>-29891.359146755047</v>
      </c>
      <c r="AF1224" s="52">
        <f t="shared" ca="1" si="1488"/>
        <v>-27616.105945096959</v>
      </c>
      <c r="AG1224" s="52">
        <f t="shared" ca="1" si="1488"/>
        <v>-27156.393128187661</v>
      </c>
      <c r="AH1224" s="52">
        <f t="shared" ca="1" si="1488"/>
        <v>-26538.750611260843</v>
      </c>
      <c r="AI1224" s="52">
        <f t="shared" ca="1" si="1488"/>
        <v>-24395.411155234164</v>
      </c>
      <c r="AJ1224" s="52">
        <f t="shared" ca="1" si="1488"/>
        <v>-21831.922145464901</v>
      </c>
      <c r="AK1224" s="52">
        <f t="shared" ca="1" si="1488"/>
        <v>-21042.52524153925</v>
      </c>
      <c r="AL1224" s="52">
        <f t="shared" ca="1" si="1488"/>
        <v>-20069.891622505023</v>
      </c>
      <c r="AM1224" s="52">
        <f t="shared" ca="1" si="1488"/>
        <v>-17454.073787044064</v>
      </c>
      <c r="AN1224" s="52">
        <f t="shared" ca="1" si="1488"/>
        <v>-14712.666046453658</v>
      </c>
      <c r="AO1224" s="52">
        <f t="shared" ca="1" si="1488"/>
        <v>-13375.764703781109</v>
      </c>
      <c r="AP1224" s="52">
        <f t="shared" ca="1" si="1488"/>
        <v>-11999.563981574278</v>
      </c>
      <c r="AQ1224" s="52">
        <f t="shared" ca="1" si="1488"/>
        <v>-8912.8602572211221</v>
      </c>
      <c r="AR1224" s="52">
        <f t="shared" ca="1" si="1488"/>
        <v>-5840.770680695141</v>
      </c>
      <c r="AS1224" s="52">
        <f t="shared" ca="1" si="1488"/>
        <v>-4327.01356872835</v>
      </c>
      <c r="AT1224" s="52">
        <f t="shared" ca="1" si="1488"/>
        <v>-2648.7848459321053</v>
      </c>
      <c r="AU1224" s="52">
        <f t="shared" ca="1" si="1488"/>
        <v>0</v>
      </c>
      <c r="AV1224" s="52">
        <f t="shared" ca="1" si="1488"/>
        <v>0</v>
      </c>
      <c r="AW1224" s="52">
        <f t="shared" ca="1" si="1488"/>
        <v>0</v>
      </c>
      <c r="AX1224" s="52">
        <f t="shared" ca="1" si="1488"/>
        <v>0</v>
      </c>
      <c r="AY1224" s="52">
        <f t="shared" ca="1" si="1488"/>
        <v>0</v>
      </c>
      <c r="AZ1224" s="52">
        <f t="shared" ca="1" si="1488"/>
        <v>0</v>
      </c>
      <c r="BA1224" s="52">
        <f t="shared" ca="1" si="1488"/>
        <v>0</v>
      </c>
      <c r="BB1224" s="52">
        <f t="shared" ca="1" si="1488"/>
        <v>0</v>
      </c>
      <c r="BC1224" s="52">
        <f t="shared" ca="1" si="1488"/>
        <v>0</v>
      </c>
      <c r="BD1224" s="52">
        <f t="shared" ca="1" si="1488"/>
        <v>0</v>
      </c>
      <c r="BE1224" s="52">
        <f t="shared" ca="1" si="1488"/>
        <v>0</v>
      </c>
      <c r="BF1224" s="52">
        <f t="shared" ca="1" si="1488"/>
        <v>0</v>
      </c>
      <c r="BG1224" s="52">
        <f t="shared" ca="1" si="1488"/>
        <v>0</v>
      </c>
      <c r="BH1224" s="52">
        <f t="shared" ca="1" si="1488"/>
        <v>0</v>
      </c>
      <c r="BI1224" s="52">
        <f t="shared" ca="1" si="1488"/>
        <v>0</v>
      </c>
      <c r="BJ1224" s="52">
        <f t="shared" ca="1" si="1488"/>
        <v>0</v>
      </c>
      <c r="BK1224" s="52">
        <f t="shared" ca="1" si="1488"/>
        <v>0</v>
      </c>
      <c r="BL1224" s="52">
        <f t="shared" ca="1" si="1488"/>
        <v>0</v>
      </c>
      <c r="BM1224" s="52">
        <f t="shared" ca="1" si="1488"/>
        <v>0</v>
      </c>
      <c r="BN1224" s="52">
        <f t="shared" ca="1" si="1488"/>
        <v>0</v>
      </c>
      <c r="BO1224" s="52">
        <f t="shared" ca="1" si="1488"/>
        <v>0</v>
      </c>
      <c r="BP1224" s="52">
        <f t="shared" ca="1" si="1488"/>
        <v>0</v>
      </c>
      <c r="BQ1224" s="52">
        <f t="shared" ca="1" si="1488"/>
        <v>0</v>
      </c>
      <c r="BR1224" s="52">
        <f t="shared" ca="1" si="1488"/>
        <v>0</v>
      </c>
      <c r="BS1224" s="52">
        <f t="shared" ca="1" si="1488"/>
        <v>0</v>
      </c>
      <c r="BT1224" s="52">
        <f t="shared" ca="1" si="1488"/>
        <v>0</v>
      </c>
      <c r="BU1224" s="52">
        <f t="shared" ca="1" si="1488"/>
        <v>0</v>
      </c>
      <c r="BV1224" s="52">
        <f t="shared" ca="1" si="1488"/>
        <v>0</v>
      </c>
      <c r="BW1224" s="52">
        <f t="shared" ca="1" si="1488"/>
        <v>0</v>
      </c>
      <c r="BX1224" s="52">
        <f t="shared" ca="1" si="1488"/>
        <v>0</v>
      </c>
      <c r="BY1224" s="52">
        <f t="shared" ref="BY1224:CO1224" ca="1" si="1489">Debt_Interest_Paid</f>
        <v>0</v>
      </c>
      <c r="BZ1224" s="52">
        <f t="shared" ca="1" si="1489"/>
        <v>0</v>
      </c>
      <c r="CA1224" s="52">
        <f t="shared" ca="1" si="1489"/>
        <v>0</v>
      </c>
      <c r="CB1224" s="52">
        <f t="shared" ca="1" si="1489"/>
        <v>0</v>
      </c>
      <c r="CC1224" s="52">
        <f t="shared" ca="1" si="1489"/>
        <v>0</v>
      </c>
      <c r="CD1224" s="52">
        <f t="shared" ca="1" si="1489"/>
        <v>0</v>
      </c>
      <c r="CE1224" s="52">
        <f t="shared" ca="1" si="1489"/>
        <v>0</v>
      </c>
      <c r="CF1224" s="52">
        <f t="shared" ca="1" si="1489"/>
        <v>0</v>
      </c>
      <c r="CG1224" s="52">
        <f t="shared" ca="1" si="1489"/>
        <v>0</v>
      </c>
      <c r="CH1224" s="52">
        <f t="shared" ca="1" si="1489"/>
        <v>0</v>
      </c>
      <c r="CI1224" s="52">
        <f t="shared" ca="1" si="1489"/>
        <v>0</v>
      </c>
      <c r="CJ1224" s="52">
        <f t="shared" ca="1" si="1489"/>
        <v>0</v>
      </c>
      <c r="CK1224" s="52">
        <f t="shared" ca="1" si="1489"/>
        <v>0</v>
      </c>
      <c r="CL1224" s="52">
        <f t="shared" ca="1" si="1489"/>
        <v>0</v>
      </c>
      <c r="CM1224" s="52">
        <f t="shared" ca="1" si="1489"/>
        <v>0</v>
      </c>
      <c r="CN1224" s="52">
        <f t="shared" ca="1" si="1489"/>
        <v>0</v>
      </c>
      <c r="CO1224" s="52">
        <f t="shared" ca="1" si="1489"/>
        <v>0</v>
      </c>
    </row>
    <row r="1225" spans="1:93" ht="15.75" thickBot="1">
      <c r="A1225" s="10"/>
      <c r="B1225" s="10"/>
      <c r="C1225" s="21" t="s">
        <v>459</v>
      </c>
      <c r="D1225" s="10"/>
      <c r="E1225" s="10"/>
      <c r="F1225" s="10"/>
      <c r="G1225" s="134" t="str">
        <f t="shared" si="1463"/>
        <v>тыс. руб.</v>
      </c>
      <c r="H1225" s="10"/>
      <c r="I1225" s="23">
        <f ca="1">SUM(L1225:CO1225)</f>
        <v>-2771888.3794600698</v>
      </c>
      <c r="J1225" s="10"/>
      <c r="K1225" s="10"/>
      <c r="L1225" s="52">
        <f t="shared" ref="L1225:BW1225" ca="1" si="1490">Debt_Repaiment</f>
        <v>0</v>
      </c>
      <c r="M1225" s="52">
        <f t="shared" ca="1" si="1490"/>
        <v>0</v>
      </c>
      <c r="N1225" s="52">
        <f t="shared" ca="1" si="1490"/>
        <v>0</v>
      </c>
      <c r="O1225" s="52">
        <f t="shared" ca="1" si="1490"/>
        <v>0</v>
      </c>
      <c r="P1225" s="52">
        <f t="shared" ca="1" si="1490"/>
        <v>0</v>
      </c>
      <c r="Q1225" s="52">
        <f t="shared" ca="1" si="1490"/>
        <v>0</v>
      </c>
      <c r="R1225" s="52">
        <f t="shared" ca="1" si="1490"/>
        <v>0</v>
      </c>
      <c r="S1225" s="52">
        <f t="shared" ca="1" si="1490"/>
        <v>0</v>
      </c>
      <c r="T1225" s="52">
        <f t="shared" ca="1" si="1490"/>
        <v>0</v>
      </c>
      <c r="U1225" s="52">
        <f t="shared" ca="1" si="1490"/>
        <v>0</v>
      </c>
      <c r="V1225" s="52">
        <f t="shared" ca="1" si="1490"/>
        <v>0</v>
      </c>
      <c r="W1225" s="52">
        <f t="shared" ca="1" si="1490"/>
        <v>0</v>
      </c>
      <c r="X1225" s="52">
        <f t="shared" ca="1" si="1490"/>
        <v>0</v>
      </c>
      <c r="Y1225" s="52">
        <f t="shared" ca="1" si="1490"/>
        <v>0</v>
      </c>
      <c r="Z1225" s="52">
        <f t="shared" ca="1" si="1490"/>
        <v>0</v>
      </c>
      <c r="AA1225" s="52">
        <f t="shared" ca="1" si="1490"/>
        <v>0</v>
      </c>
      <c r="AB1225" s="52">
        <f t="shared" ca="1" si="1490"/>
        <v>0</v>
      </c>
      <c r="AC1225" s="52">
        <f t="shared" ca="1" si="1490"/>
        <v>-426931.12781532214</v>
      </c>
      <c r="AD1225" s="52">
        <f t="shared" ca="1" si="1490"/>
        <v>-208187.55157314718</v>
      </c>
      <c r="AE1225" s="52">
        <f t="shared" ca="1" si="1490"/>
        <v>-118775.97235180263</v>
      </c>
      <c r="AF1225" s="52">
        <f t="shared" ca="1" si="1490"/>
        <v>-55399.233751181804</v>
      </c>
      <c r="AG1225" s="52">
        <f t="shared" ca="1" si="1490"/>
        <v>-65484.432646601446</v>
      </c>
      <c r="AH1225" s="52">
        <f t="shared" ca="1" si="1490"/>
        <v>-153215.60937127657</v>
      </c>
      <c r="AI1225" s="52">
        <f t="shared" ca="1" si="1490"/>
        <v>-148568.80968953908</v>
      </c>
      <c r="AJ1225" s="52">
        <f t="shared" ca="1" si="1490"/>
        <v>-74580.822310337593</v>
      </c>
      <c r="AK1225" s="52">
        <f t="shared" ca="1" si="1490"/>
        <v>-86058.090179155028</v>
      </c>
      <c r="AL1225" s="52">
        <f t="shared" ca="1" si="1490"/>
        <v>-186990.50331830193</v>
      </c>
      <c r="AM1225" s="52">
        <f t="shared" ca="1" si="1490"/>
        <v>-181497.67720045152</v>
      </c>
      <c r="AN1225" s="52">
        <f t="shared" ca="1" si="1490"/>
        <v>-96882.663383457737</v>
      </c>
      <c r="AO1225" s="52">
        <f t="shared" ca="1" si="1490"/>
        <v>-109182.62749578085</v>
      </c>
      <c r="AP1225" s="52">
        <f t="shared" ca="1" si="1490"/>
        <v>-221256.08364928619</v>
      </c>
      <c r="AQ1225" s="52">
        <f t="shared" ca="1" si="1490"/>
        <v>-212074.11197092943</v>
      </c>
      <c r="AR1225" s="52">
        <f t="shared" ca="1" si="1490"/>
        <v>-114089.47942791763</v>
      </c>
      <c r="AS1225" s="52">
        <f t="shared" ca="1" si="1490"/>
        <v>-123366.4488239716</v>
      </c>
      <c r="AT1225" s="52">
        <f t="shared" ca="1" si="1490"/>
        <v>-189347.13450160954</v>
      </c>
      <c r="AU1225" s="52">
        <f t="shared" ca="1" si="1490"/>
        <v>0</v>
      </c>
      <c r="AV1225" s="52">
        <f t="shared" ca="1" si="1490"/>
        <v>0</v>
      </c>
      <c r="AW1225" s="52">
        <f t="shared" ca="1" si="1490"/>
        <v>0</v>
      </c>
      <c r="AX1225" s="52">
        <f t="shared" ca="1" si="1490"/>
        <v>0</v>
      </c>
      <c r="AY1225" s="52">
        <f t="shared" ca="1" si="1490"/>
        <v>0</v>
      </c>
      <c r="AZ1225" s="52">
        <f t="shared" ca="1" si="1490"/>
        <v>0</v>
      </c>
      <c r="BA1225" s="52">
        <f t="shared" ca="1" si="1490"/>
        <v>0</v>
      </c>
      <c r="BB1225" s="52">
        <f t="shared" ca="1" si="1490"/>
        <v>0</v>
      </c>
      <c r="BC1225" s="52">
        <f t="shared" ca="1" si="1490"/>
        <v>0</v>
      </c>
      <c r="BD1225" s="52">
        <f t="shared" ca="1" si="1490"/>
        <v>0</v>
      </c>
      <c r="BE1225" s="52">
        <f t="shared" ca="1" si="1490"/>
        <v>0</v>
      </c>
      <c r="BF1225" s="52">
        <f t="shared" ca="1" si="1490"/>
        <v>0</v>
      </c>
      <c r="BG1225" s="52">
        <f t="shared" ca="1" si="1490"/>
        <v>0</v>
      </c>
      <c r="BH1225" s="52">
        <f t="shared" ca="1" si="1490"/>
        <v>0</v>
      </c>
      <c r="BI1225" s="52">
        <f t="shared" ca="1" si="1490"/>
        <v>0</v>
      </c>
      <c r="BJ1225" s="52">
        <f t="shared" ca="1" si="1490"/>
        <v>0</v>
      </c>
      <c r="BK1225" s="52">
        <f t="shared" ca="1" si="1490"/>
        <v>0</v>
      </c>
      <c r="BL1225" s="52">
        <f t="shared" ca="1" si="1490"/>
        <v>0</v>
      </c>
      <c r="BM1225" s="52">
        <f t="shared" ca="1" si="1490"/>
        <v>0</v>
      </c>
      <c r="BN1225" s="52">
        <f t="shared" ca="1" si="1490"/>
        <v>0</v>
      </c>
      <c r="BO1225" s="52">
        <f t="shared" ca="1" si="1490"/>
        <v>0</v>
      </c>
      <c r="BP1225" s="52">
        <f t="shared" ca="1" si="1490"/>
        <v>0</v>
      </c>
      <c r="BQ1225" s="52">
        <f t="shared" ca="1" si="1490"/>
        <v>0</v>
      </c>
      <c r="BR1225" s="52">
        <f t="shared" ca="1" si="1490"/>
        <v>0</v>
      </c>
      <c r="BS1225" s="52">
        <f t="shared" ca="1" si="1490"/>
        <v>0</v>
      </c>
      <c r="BT1225" s="52">
        <f t="shared" ca="1" si="1490"/>
        <v>0</v>
      </c>
      <c r="BU1225" s="52">
        <f t="shared" ca="1" si="1490"/>
        <v>0</v>
      </c>
      <c r="BV1225" s="52">
        <f t="shared" ca="1" si="1490"/>
        <v>0</v>
      </c>
      <c r="BW1225" s="52">
        <f t="shared" ca="1" si="1490"/>
        <v>0</v>
      </c>
      <c r="BX1225" s="52">
        <f t="shared" ref="BX1225:CO1225" ca="1" si="1491">Debt_Repaiment</f>
        <v>0</v>
      </c>
      <c r="BY1225" s="52">
        <f t="shared" ca="1" si="1491"/>
        <v>0</v>
      </c>
      <c r="BZ1225" s="52">
        <f t="shared" ca="1" si="1491"/>
        <v>0</v>
      </c>
      <c r="CA1225" s="52">
        <f t="shared" ca="1" si="1491"/>
        <v>0</v>
      </c>
      <c r="CB1225" s="52">
        <f t="shared" ca="1" si="1491"/>
        <v>0</v>
      </c>
      <c r="CC1225" s="52">
        <f t="shared" ca="1" si="1491"/>
        <v>0</v>
      </c>
      <c r="CD1225" s="52">
        <f t="shared" ca="1" si="1491"/>
        <v>0</v>
      </c>
      <c r="CE1225" s="52">
        <f t="shared" ca="1" si="1491"/>
        <v>0</v>
      </c>
      <c r="CF1225" s="52">
        <f t="shared" ca="1" si="1491"/>
        <v>0</v>
      </c>
      <c r="CG1225" s="52">
        <f t="shared" ca="1" si="1491"/>
        <v>0</v>
      </c>
      <c r="CH1225" s="52">
        <f t="shared" ca="1" si="1491"/>
        <v>0</v>
      </c>
      <c r="CI1225" s="52">
        <f t="shared" ca="1" si="1491"/>
        <v>0</v>
      </c>
      <c r="CJ1225" s="52">
        <f t="shared" ca="1" si="1491"/>
        <v>0</v>
      </c>
      <c r="CK1225" s="52">
        <f t="shared" ca="1" si="1491"/>
        <v>0</v>
      </c>
      <c r="CL1225" s="52">
        <f t="shared" ca="1" si="1491"/>
        <v>0</v>
      </c>
      <c r="CM1225" s="52">
        <f t="shared" ca="1" si="1491"/>
        <v>0</v>
      </c>
      <c r="CN1225" s="52">
        <f t="shared" ca="1" si="1491"/>
        <v>0</v>
      </c>
      <c r="CO1225" s="52">
        <f t="shared" ca="1" si="1491"/>
        <v>0</v>
      </c>
    </row>
    <row r="1226" spans="1:93" ht="15.75" thickTop="1">
      <c r="A1226" s="35"/>
      <c r="B1226" s="35"/>
      <c r="C1226" s="208" t="s">
        <v>419</v>
      </c>
      <c r="D1226" s="49"/>
      <c r="E1226" s="49"/>
      <c r="F1226" s="49"/>
      <c r="G1226" s="137" t="str">
        <f t="shared" si="1463"/>
        <v>тыс. руб.</v>
      </c>
      <c r="H1226" s="49"/>
      <c r="I1226" s="49"/>
      <c r="J1226" s="49"/>
      <c r="K1226" s="49"/>
      <c r="L1226" s="174">
        <f ca="1">SUM(L1223:L1225)</f>
        <v>-20231.553412960755</v>
      </c>
      <c r="M1226" s="174">
        <f t="shared" ref="M1226:BX1226" ca="1" si="1492">SUM(M1223:M1225)</f>
        <v>-20518.738035800307</v>
      </c>
      <c r="N1226" s="174">
        <f t="shared" ca="1" si="1492"/>
        <v>-20809.999212027134</v>
      </c>
      <c r="O1226" s="174">
        <f t="shared" ca="1" si="1492"/>
        <v>-21105.394807857592</v>
      </c>
      <c r="P1226" s="174">
        <f t="shared" ca="1" si="1492"/>
        <v>-177490.49062476435</v>
      </c>
      <c r="Q1226" s="174">
        <f t="shared" ca="1" si="1492"/>
        <v>-179239.37658746613</v>
      </c>
      <c r="R1226" s="174">
        <f t="shared" ca="1" si="1492"/>
        <v>-181005.49503456618</v>
      </c>
      <c r="S1226" s="174">
        <f t="shared" ca="1" si="1492"/>
        <v>-182789.01576473904</v>
      </c>
      <c r="T1226" s="174">
        <f t="shared" ca="1" si="1492"/>
        <v>-184965.93951308879</v>
      </c>
      <c r="U1226" s="174">
        <f t="shared" ca="1" si="1492"/>
        <v>-190490.76998061163</v>
      </c>
      <c r="V1226" s="174">
        <f t="shared" ca="1" si="1492"/>
        <v>-194851.96226518595</v>
      </c>
      <c r="W1226" s="174">
        <f t="shared" ca="1" si="1492"/>
        <v>-199210.83002790483</v>
      </c>
      <c r="X1226" s="174">
        <f t="shared" ca="1" si="1492"/>
        <v>-380268.03807791224</v>
      </c>
      <c r="Y1226" s="174">
        <f t="shared" ca="1" si="1492"/>
        <v>-388712.96354787843</v>
      </c>
      <c r="Z1226" s="174">
        <f t="shared" ca="1" si="1492"/>
        <v>-397487.10229346005</v>
      </c>
      <c r="AA1226" s="174">
        <f t="shared" ca="1" si="1492"/>
        <v>-406153.32046609715</v>
      </c>
      <c r="AB1226" s="174">
        <f t="shared" ca="1" si="1492"/>
        <v>-693935.95784803934</v>
      </c>
      <c r="AC1226" s="174">
        <f t="shared" ca="1" si="1492"/>
        <v>93057.141870167456</v>
      </c>
      <c r="AD1226" s="174">
        <f t="shared" ca="1" si="1492"/>
        <v>48198.250986902334</v>
      </c>
      <c r="AE1226" s="174">
        <f t="shared" ca="1" si="1492"/>
        <v>29733.466299711523</v>
      </c>
      <c r="AF1226" s="174">
        <f t="shared" ca="1" si="1492"/>
        <v>16603.06793925575</v>
      </c>
      <c r="AG1226" s="174">
        <f t="shared" ca="1" si="1492"/>
        <v>18528.165154957809</v>
      </c>
      <c r="AH1226" s="174">
        <f t="shared" ca="1" si="1492"/>
        <v>35950.871996507485</v>
      </c>
      <c r="AI1226" s="174">
        <f t="shared" ca="1" si="1492"/>
        <v>34592.844168954645</v>
      </c>
      <c r="AJ1226" s="174">
        <f t="shared" ca="1" si="1492"/>
        <v>19282.548891160492</v>
      </c>
      <c r="AK1226" s="174">
        <f t="shared" ca="1" si="1492"/>
        <v>21420.123084138846</v>
      </c>
      <c r="AL1226" s="174">
        <f t="shared" ca="1" si="1492"/>
        <v>41412.078988161375</v>
      </c>
      <c r="AM1226" s="174">
        <f t="shared" ca="1" si="1492"/>
        <v>39790.350197499094</v>
      </c>
      <c r="AN1226" s="174">
        <f t="shared" ca="1" si="1492"/>
        <v>22319.065885982272</v>
      </c>
      <c r="AO1226" s="174">
        <f t="shared" ca="1" si="1492"/>
        <v>24511.678439912386</v>
      </c>
      <c r="AP1226" s="174">
        <f t="shared" ca="1" si="1492"/>
        <v>46651.129526172124</v>
      </c>
      <c r="AQ1226" s="174">
        <f t="shared" ca="1" si="1492"/>
        <v>44197.394445630111</v>
      </c>
      <c r="AR1226" s="174">
        <f t="shared" ca="1" si="1492"/>
        <v>23986.050021722564</v>
      </c>
      <c r="AS1226" s="174">
        <f t="shared" ca="1" si="1492"/>
        <v>25538.69247853999</v>
      </c>
      <c r="AT1226" s="174">
        <f t="shared" ca="1" si="1492"/>
        <v>95535.291657852416</v>
      </c>
      <c r="AU1226" s="174">
        <f t="shared" ca="1" si="1492"/>
        <v>270711.13427012885</v>
      </c>
      <c r="AV1226" s="174">
        <f t="shared" ca="1" si="1492"/>
        <v>145517.46262419978</v>
      </c>
      <c r="AW1226" s="174">
        <f t="shared" ca="1" si="1492"/>
        <v>182387.59892833943</v>
      </c>
      <c r="AX1226" s="174">
        <f t="shared" ca="1" si="1492"/>
        <v>273026.89898316731</v>
      </c>
      <c r="AY1226" s="174">
        <f t="shared" ca="1" si="1492"/>
        <v>160610.09420331367</v>
      </c>
      <c r="AZ1226" s="174">
        <f t="shared" ca="1" si="1492"/>
        <v>90746.681474151221</v>
      </c>
      <c r="BA1226" s="174">
        <f t="shared" ca="1" si="1492"/>
        <v>140327.30961439823</v>
      </c>
      <c r="BB1226" s="174">
        <f t="shared" ca="1" si="1492"/>
        <v>273441.40717452572</v>
      </c>
      <c r="BC1226" s="174">
        <f t="shared" ca="1" si="1492"/>
        <v>167027.39986984793</v>
      </c>
      <c r="BD1226" s="174">
        <f t="shared" ca="1" si="1492"/>
        <v>95677.102949824461</v>
      </c>
      <c r="BE1226" s="174">
        <f t="shared" ca="1" si="1492"/>
        <v>144587.40117527739</v>
      </c>
      <c r="BF1226" s="174">
        <f t="shared" ca="1" si="1492"/>
        <v>283339.07755339477</v>
      </c>
      <c r="BG1226" s="174">
        <f t="shared" ca="1" si="1492"/>
        <v>172668.51570028992</v>
      </c>
      <c r="BH1226" s="174">
        <f t="shared" ca="1" si="1492"/>
        <v>97093.665388560941</v>
      </c>
      <c r="BI1226" s="174">
        <f t="shared" ca="1" si="1492"/>
        <v>150722.02899878885</v>
      </c>
      <c r="BJ1226" s="174">
        <f t="shared" ca="1" si="1492"/>
        <v>294700.16257395281</v>
      </c>
      <c r="BK1226" s="174">
        <f t="shared" ca="1" si="1492"/>
        <v>179602.77227321349</v>
      </c>
      <c r="BL1226" s="174">
        <f t="shared" ca="1" si="1492"/>
        <v>101010.04112024038</v>
      </c>
      <c r="BM1226" s="174">
        <f t="shared" ca="1" si="1492"/>
        <v>156784.45144098948</v>
      </c>
      <c r="BN1226" s="174">
        <f t="shared" ca="1" si="1492"/>
        <v>306522.65430726274</v>
      </c>
      <c r="BO1226" s="174">
        <f t="shared" ca="1" si="1492"/>
        <v>177777.08616391147</v>
      </c>
      <c r="BP1226" s="174">
        <f t="shared" ca="1" si="1492"/>
        <v>97479.370084233102</v>
      </c>
      <c r="BQ1226" s="174">
        <f t="shared" ca="1" si="1492"/>
        <v>147496.84938078091</v>
      </c>
      <c r="BR1226" s="174">
        <f t="shared" ca="1" si="1492"/>
        <v>278245.88708535011</v>
      </c>
      <c r="BS1226" s="174">
        <f t="shared" ca="1" si="1492"/>
        <v>176430.29235447777</v>
      </c>
      <c r="BT1226" s="174">
        <f t="shared" ca="1" si="1492"/>
        <v>94568.477972540364</v>
      </c>
      <c r="BU1226" s="174">
        <f t="shared" ca="1" si="1492"/>
        <v>144907.78111575436</v>
      </c>
      <c r="BV1226" s="174">
        <f t="shared" ca="1" si="1492"/>
        <v>290142.81625441811</v>
      </c>
      <c r="BW1226" s="174">
        <f t="shared" ca="1" si="1492"/>
        <v>184249.96053286913</v>
      </c>
      <c r="BX1226" s="174">
        <f t="shared" ca="1" si="1492"/>
        <v>97648.295518110244</v>
      </c>
      <c r="BY1226" s="174">
        <f t="shared" ref="BY1226:CO1226" ca="1" si="1493">SUM(BY1223:BY1225)</f>
        <v>151770.83585332031</v>
      </c>
      <c r="BZ1226" s="174">
        <f t="shared" ca="1" si="1493"/>
        <v>302440.46734145656</v>
      </c>
      <c r="CA1226" s="174">
        <f t="shared" ca="1" si="1493"/>
        <v>192307.85374290359</v>
      </c>
      <c r="CB1226" s="174">
        <f t="shared" ca="1" si="1493"/>
        <v>102248.94821865222</v>
      </c>
      <c r="CC1226" s="174">
        <f t="shared" ca="1" si="1493"/>
        <v>158541.06086534384</v>
      </c>
      <c r="CD1226" s="174">
        <f t="shared" ca="1" si="1493"/>
        <v>315242.0910079485</v>
      </c>
      <c r="CE1226" s="174">
        <f t="shared" ca="1" si="1493"/>
        <v>200699.82662151247</v>
      </c>
      <c r="CF1226" s="174">
        <f t="shared" ca="1" si="1493"/>
        <v>107016.58280527144</v>
      </c>
      <c r="CG1226" s="174">
        <f t="shared" ca="1" si="1493"/>
        <v>165564.89886920995</v>
      </c>
      <c r="CH1226" s="174">
        <f t="shared" ca="1" si="1493"/>
        <v>328538.39464533399</v>
      </c>
      <c r="CI1226" s="174">
        <f t="shared" ca="1" si="1493"/>
        <v>209410.09343949921</v>
      </c>
      <c r="CJ1226" s="174">
        <f t="shared" ca="1" si="1493"/>
        <v>113577.58786442541</v>
      </c>
      <c r="CK1226" s="174">
        <f t="shared" ca="1" si="1493"/>
        <v>172449.24687161582</v>
      </c>
      <c r="CL1226" s="174">
        <f t="shared" ca="1" si="1493"/>
        <v>342372.8721207974</v>
      </c>
      <c r="CM1226" s="174">
        <f t="shared" ca="1" si="1493"/>
        <v>218474.8026703553</v>
      </c>
      <c r="CN1226" s="174">
        <f t="shared" ca="1" si="1493"/>
        <v>117079.85311511872</v>
      </c>
      <c r="CO1226" s="174">
        <f t="shared" ca="1" si="1493"/>
        <v>180414.39771195172</v>
      </c>
    </row>
    <row r="1227" spans="1:93">
      <c r="A1227" s="10"/>
      <c r="B1227" s="10"/>
      <c r="C1227" s="21" t="s">
        <v>460</v>
      </c>
      <c r="D1227" s="10"/>
      <c r="E1227" s="10"/>
      <c r="F1227" s="10"/>
      <c r="G1227" s="134" t="str">
        <f t="shared" si="1463"/>
        <v>тыс. руб.</v>
      </c>
      <c r="H1227" s="10"/>
      <c r="I1227" s="23">
        <f ca="1">SUM(L1227:CO1227)</f>
        <v>-395320.07735860086</v>
      </c>
      <c r="J1227" s="10"/>
      <c r="K1227" s="10"/>
      <c r="L1227" s="52">
        <f t="shared" ref="L1227:BW1227" ca="1" si="1494">Subord_Interest_Paid</f>
        <v>0</v>
      </c>
      <c r="M1227" s="52">
        <f t="shared" ca="1" si="1494"/>
        <v>0</v>
      </c>
      <c r="N1227" s="52">
        <f t="shared" ca="1" si="1494"/>
        <v>0</v>
      </c>
      <c r="O1227" s="52">
        <f t="shared" ca="1" si="1494"/>
        <v>0</v>
      </c>
      <c r="P1227" s="52">
        <f t="shared" ca="1" si="1494"/>
        <v>0</v>
      </c>
      <c r="Q1227" s="52">
        <f t="shared" ca="1" si="1494"/>
        <v>0</v>
      </c>
      <c r="R1227" s="52">
        <f t="shared" ca="1" si="1494"/>
        <v>0</v>
      </c>
      <c r="S1227" s="52">
        <f t="shared" ca="1" si="1494"/>
        <v>0</v>
      </c>
      <c r="T1227" s="52">
        <f t="shared" ca="1" si="1494"/>
        <v>0</v>
      </c>
      <c r="U1227" s="52">
        <f t="shared" ca="1" si="1494"/>
        <v>0</v>
      </c>
      <c r="V1227" s="52">
        <f t="shared" ca="1" si="1494"/>
        <v>0</v>
      </c>
      <c r="W1227" s="52">
        <f t="shared" ca="1" si="1494"/>
        <v>0</v>
      </c>
      <c r="X1227" s="52">
        <f t="shared" ca="1" si="1494"/>
        <v>0</v>
      </c>
      <c r="Y1227" s="52">
        <f t="shared" ca="1" si="1494"/>
        <v>0</v>
      </c>
      <c r="Z1227" s="52">
        <f t="shared" ca="1" si="1494"/>
        <v>0</v>
      </c>
      <c r="AA1227" s="52">
        <f t="shared" ca="1" si="1494"/>
        <v>0</v>
      </c>
      <c r="AB1227" s="52">
        <f t="shared" ca="1" si="1494"/>
        <v>0</v>
      </c>
      <c r="AC1227" s="52">
        <f t="shared" ca="1" si="1494"/>
        <v>-25497.350786420462</v>
      </c>
      <c r="AD1227" s="52">
        <f t="shared" ca="1" si="1494"/>
        <v>-23478.65760437533</v>
      </c>
      <c r="AE1227" s="52">
        <f t="shared" ca="1" si="1494"/>
        <v>-22637.514180235645</v>
      </c>
      <c r="AF1227" s="52">
        <f t="shared" ca="1" si="1494"/>
        <v>-16603.06793925575</v>
      </c>
      <c r="AG1227" s="52">
        <f t="shared" ca="1" si="1494"/>
        <v>-18528.165154957809</v>
      </c>
      <c r="AH1227" s="52">
        <f t="shared" ca="1" si="1494"/>
        <v>-22706.018620742561</v>
      </c>
      <c r="AI1227" s="52">
        <f t="shared" ca="1" si="1494"/>
        <v>-22255.330733271327</v>
      </c>
      <c r="AJ1227" s="52">
        <f t="shared" ca="1" si="1494"/>
        <v>-19282.548891160492</v>
      </c>
      <c r="AK1227" s="52">
        <f t="shared" ca="1" si="1494"/>
        <v>-21420.123084138846</v>
      </c>
      <c r="AL1227" s="52">
        <f t="shared" ca="1" si="1494"/>
        <v>-21914.67467605598</v>
      </c>
      <c r="AM1227" s="52">
        <f t="shared" ca="1" si="1494"/>
        <v>-21251.228753983789</v>
      </c>
      <c r="AN1227" s="52">
        <f t="shared" ca="1" si="1494"/>
        <v>-20340.528546735615</v>
      </c>
      <c r="AO1227" s="52">
        <f t="shared" ca="1" si="1494"/>
        <v>-20274.117805717458</v>
      </c>
      <c r="AP1227" s="52">
        <f t="shared" ca="1" si="1494"/>
        <v>-20353.111120342837</v>
      </c>
      <c r="AQ1227" s="52">
        <f t="shared" ca="1" si="1494"/>
        <v>-19460.702954767974</v>
      </c>
      <c r="AR1227" s="52">
        <f t="shared" ca="1" si="1494"/>
        <v>-18266.375270445842</v>
      </c>
      <c r="AS1227" s="52">
        <f t="shared" ca="1" si="1494"/>
        <v>-18276.824846852647</v>
      </c>
      <c r="AT1227" s="52">
        <f t="shared" ca="1" si="1494"/>
        <v>-18230.566621183993</v>
      </c>
      <c r="AU1227" s="52">
        <f t="shared" ca="1" si="1494"/>
        <v>-15600.088032265026</v>
      </c>
      <c r="AV1227" s="52">
        <f t="shared" ca="1" si="1494"/>
        <v>-6768.903048696302</v>
      </c>
      <c r="AW1227" s="52">
        <f t="shared" ca="1" si="1494"/>
        <v>-2174.1786869951966</v>
      </c>
      <c r="AX1227" s="52">
        <f t="shared" ca="1" si="1494"/>
        <v>0</v>
      </c>
      <c r="AY1227" s="52">
        <f t="shared" ca="1" si="1494"/>
        <v>0</v>
      </c>
      <c r="AZ1227" s="52">
        <f t="shared" ca="1" si="1494"/>
        <v>0</v>
      </c>
      <c r="BA1227" s="52">
        <f t="shared" ca="1" si="1494"/>
        <v>0</v>
      </c>
      <c r="BB1227" s="52">
        <f t="shared" ca="1" si="1494"/>
        <v>0</v>
      </c>
      <c r="BC1227" s="52">
        <f t="shared" ca="1" si="1494"/>
        <v>0</v>
      </c>
      <c r="BD1227" s="52">
        <f t="shared" ca="1" si="1494"/>
        <v>0</v>
      </c>
      <c r="BE1227" s="52">
        <f t="shared" ca="1" si="1494"/>
        <v>0</v>
      </c>
      <c r="BF1227" s="52">
        <f t="shared" ca="1" si="1494"/>
        <v>0</v>
      </c>
      <c r="BG1227" s="52">
        <f t="shared" ca="1" si="1494"/>
        <v>0</v>
      </c>
      <c r="BH1227" s="52">
        <f t="shared" ca="1" si="1494"/>
        <v>0</v>
      </c>
      <c r="BI1227" s="52">
        <f t="shared" ca="1" si="1494"/>
        <v>0</v>
      </c>
      <c r="BJ1227" s="52">
        <f t="shared" ca="1" si="1494"/>
        <v>0</v>
      </c>
      <c r="BK1227" s="52">
        <f t="shared" ca="1" si="1494"/>
        <v>0</v>
      </c>
      <c r="BL1227" s="52">
        <f t="shared" ca="1" si="1494"/>
        <v>0</v>
      </c>
      <c r="BM1227" s="52">
        <f t="shared" ca="1" si="1494"/>
        <v>0</v>
      </c>
      <c r="BN1227" s="52">
        <f t="shared" ca="1" si="1494"/>
        <v>0</v>
      </c>
      <c r="BO1227" s="52">
        <f t="shared" ca="1" si="1494"/>
        <v>0</v>
      </c>
      <c r="BP1227" s="52">
        <f t="shared" ca="1" si="1494"/>
        <v>0</v>
      </c>
      <c r="BQ1227" s="52">
        <f t="shared" ca="1" si="1494"/>
        <v>0</v>
      </c>
      <c r="BR1227" s="52">
        <f t="shared" ca="1" si="1494"/>
        <v>0</v>
      </c>
      <c r="BS1227" s="52">
        <f t="shared" ca="1" si="1494"/>
        <v>0</v>
      </c>
      <c r="BT1227" s="52">
        <f t="shared" ca="1" si="1494"/>
        <v>0</v>
      </c>
      <c r="BU1227" s="52">
        <f t="shared" ca="1" si="1494"/>
        <v>0</v>
      </c>
      <c r="BV1227" s="52">
        <f t="shared" ca="1" si="1494"/>
        <v>0</v>
      </c>
      <c r="BW1227" s="52">
        <f t="shared" ca="1" si="1494"/>
        <v>0</v>
      </c>
      <c r="BX1227" s="52">
        <f t="shared" ref="BX1227:CO1227" ca="1" si="1495">Subord_Interest_Paid</f>
        <v>0</v>
      </c>
      <c r="BY1227" s="52">
        <f t="shared" ca="1" si="1495"/>
        <v>0</v>
      </c>
      <c r="BZ1227" s="52">
        <f t="shared" ca="1" si="1495"/>
        <v>0</v>
      </c>
      <c r="CA1227" s="52">
        <f t="shared" ca="1" si="1495"/>
        <v>0</v>
      </c>
      <c r="CB1227" s="52">
        <f t="shared" ca="1" si="1495"/>
        <v>0</v>
      </c>
      <c r="CC1227" s="52">
        <f t="shared" ca="1" si="1495"/>
        <v>0</v>
      </c>
      <c r="CD1227" s="52">
        <f t="shared" ca="1" si="1495"/>
        <v>0</v>
      </c>
      <c r="CE1227" s="52">
        <f t="shared" ca="1" si="1495"/>
        <v>0</v>
      </c>
      <c r="CF1227" s="52">
        <f t="shared" ca="1" si="1495"/>
        <v>0</v>
      </c>
      <c r="CG1227" s="52">
        <f t="shared" ca="1" si="1495"/>
        <v>0</v>
      </c>
      <c r="CH1227" s="52">
        <f t="shared" ca="1" si="1495"/>
        <v>0</v>
      </c>
      <c r="CI1227" s="52">
        <f t="shared" ca="1" si="1495"/>
        <v>0</v>
      </c>
      <c r="CJ1227" s="52">
        <f t="shared" ca="1" si="1495"/>
        <v>0</v>
      </c>
      <c r="CK1227" s="52">
        <f t="shared" ca="1" si="1495"/>
        <v>0</v>
      </c>
      <c r="CL1227" s="52">
        <f t="shared" ca="1" si="1495"/>
        <v>0</v>
      </c>
      <c r="CM1227" s="52">
        <f t="shared" ca="1" si="1495"/>
        <v>0</v>
      </c>
      <c r="CN1227" s="52">
        <f t="shared" ca="1" si="1495"/>
        <v>0</v>
      </c>
      <c r="CO1227" s="52">
        <f t="shared" ca="1" si="1495"/>
        <v>0</v>
      </c>
    </row>
    <row r="1228" spans="1:93">
      <c r="A1228" s="10"/>
      <c r="B1228" s="10"/>
      <c r="C1228" s="21" t="s">
        <v>461</v>
      </c>
      <c r="D1228" s="10"/>
      <c r="E1228" s="10"/>
      <c r="F1228" s="10"/>
      <c r="G1228" s="134" t="str">
        <f t="shared" si="1463"/>
        <v>тыс. руб.</v>
      </c>
      <c r="H1228" s="10"/>
      <c r="I1228" s="23">
        <f ca="1">SUM(L1228:CO1228)</f>
        <v>-768987.99782235362</v>
      </c>
      <c r="J1228" s="10"/>
      <c r="K1228" s="10"/>
      <c r="L1228" s="52">
        <f t="shared" ref="L1228:BW1228" ca="1" si="1496">Subord_Repayment</f>
        <v>0</v>
      </c>
      <c r="M1228" s="52">
        <f t="shared" ca="1" si="1496"/>
        <v>0</v>
      </c>
      <c r="N1228" s="52">
        <f t="shared" ca="1" si="1496"/>
        <v>0</v>
      </c>
      <c r="O1228" s="52">
        <f t="shared" ca="1" si="1496"/>
        <v>0</v>
      </c>
      <c r="P1228" s="52">
        <f t="shared" ca="1" si="1496"/>
        <v>0</v>
      </c>
      <c r="Q1228" s="52">
        <f t="shared" ca="1" si="1496"/>
        <v>0</v>
      </c>
      <c r="R1228" s="52">
        <f t="shared" ca="1" si="1496"/>
        <v>0</v>
      </c>
      <c r="S1228" s="52">
        <f t="shared" ca="1" si="1496"/>
        <v>0</v>
      </c>
      <c r="T1228" s="52">
        <f t="shared" ca="1" si="1496"/>
        <v>0</v>
      </c>
      <c r="U1228" s="52">
        <f t="shared" ca="1" si="1496"/>
        <v>0</v>
      </c>
      <c r="V1228" s="52">
        <f t="shared" ca="1" si="1496"/>
        <v>0</v>
      </c>
      <c r="W1228" s="52">
        <f t="shared" ca="1" si="1496"/>
        <v>0</v>
      </c>
      <c r="X1228" s="52">
        <f t="shared" ca="1" si="1496"/>
        <v>0</v>
      </c>
      <c r="Y1228" s="52">
        <f t="shared" ca="1" si="1496"/>
        <v>0</v>
      </c>
      <c r="Z1228" s="52">
        <f t="shared" ca="1" si="1496"/>
        <v>0</v>
      </c>
      <c r="AA1228" s="52">
        <f t="shared" ca="1" si="1496"/>
        <v>0</v>
      </c>
      <c r="AB1228" s="52">
        <f t="shared" ca="1" si="1496"/>
        <v>0</v>
      </c>
      <c r="AC1228" s="52">
        <f t="shared" ca="1" si="1496"/>
        <v>-67559.791083746997</v>
      </c>
      <c r="AD1228" s="52">
        <f t="shared" ca="1" si="1496"/>
        <v>-24719.593382527004</v>
      </c>
      <c r="AE1228" s="52">
        <f t="shared" ca="1" si="1496"/>
        <v>-7095.9521194758781</v>
      </c>
      <c r="AF1228" s="52">
        <f t="shared" ca="1" si="1496"/>
        <v>0</v>
      </c>
      <c r="AG1228" s="52">
        <f t="shared" ca="1" si="1496"/>
        <v>0</v>
      </c>
      <c r="AH1228" s="52">
        <f t="shared" ca="1" si="1496"/>
        <v>-13244.853375764924</v>
      </c>
      <c r="AI1228" s="52">
        <f t="shared" ca="1" si="1496"/>
        <v>-12337.513435683319</v>
      </c>
      <c r="AJ1228" s="52">
        <f t="shared" ca="1" si="1496"/>
        <v>0</v>
      </c>
      <c r="AK1228" s="52">
        <f t="shared" ca="1" si="1496"/>
        <v>0</v>
      </c>
      <c r="AL1228" s="52">
        <f t="shared" ca="1" si="1496"/>
        <v>-19497.404312105395</v>
      </c>
      <c r="AM1228" s="52">
        <f t="shared" ca="1" si="1496"/>
        <v>-18539.121443515305</v>
      </c>
      <c r="AN1228" s="52">
        <f t="shared" ca="1" si="1496"/>
        <v>-1978.5373392466572</v>
      </c>
      <c r="AO1228" s="52">
        <f t="shared" ca="1" si="1496"/>
        <v>-4237.5606341949278</v>
      </c>
      <c r="AP1228" s="52">
        <f t="shared" ca="1" si="1496"/>
        <v>-26298.018405829287</v>
      </c>
      <c r="AQ1228" s="52">
        <f t="shared" ca="1" si="1496"/>
        <v>-24736.691490862137</v>
      </c>
      <c r="AR1228" s="52">
        <f t="shared" ca="1" si="1496"/>
        <v>-5719.6747512767215</v>
      </c>
      <c r="AS1228" s="52">
        <f t="shared" ca="1" si="1496"/>
        <v>-7261.8676316873425</v>
      </c>
      <c r="AT1228" s="52">
        <f t="shared" ca="1" si="1496"/>
        <v>-77304.725036668417</v>
      </c>
      <c r="AU1228" s="52">
        <f t="shared" ca="1" si="1496"/>
        <v>-255111.04623786383</v>
      </c>
      <c r="AV1228" s="52">
        <f t="shared" ca="1" si="1496"/>
        <v>-138748.55957550346</v>
      </c>
      <c r="AW1228" s="52">
        <f t="shared" ca="1" si="1496"/>
        <v>-64597.087566401984</v>
      </c>
      <c r="AX1228" s="52">
        <f t="shared" ca="1" si="1496"/>
        <v>0</v>
      </c>
      <c r="AY1228" s="52">
        <f t="shared" ca="1" si="1496"/>
        <v>0</v>
      </c>
      <c r="AZ1228" s="52">
        <f t="shared" ca="1" si="1496"/>
        <v>0</v>
      </c>
      <c r="BA1228" s="52">
        <f t="shared" ca="1" si="1496"/>
        <v>0</v>
      </c>
      <c r="BB1228" s="52">
        <f t="shared" ca="1" si="1496"/>
        <v>0</v>
      </c>
      <c r="BC1228" s="52">
        <f t="shared" ca="1" si="1496"/>
        <v>0</v>
      </c>
      <c r="BD1228" s="52">
        <f t="shared" ca="1" si="1496"/>
        <v>0</v>
      </c>
      <c r="BE1228" s="52">
        <f t="shared" ca="1" si="1496"/>
        <v>0</v>
      </c>
      <c r="BF1228" s="52">
        <f t="shared" ca="1" si="1496"/>
        <v>0</v>
      </c>
      <c r="BG1228" s="52">
        <f t="shared" ca="1" si="1496"/>
        <v>0</v>
      </c>
      <c r="BH1228" s="52">
        <f t="shared" ca="1" si="1496"/>
        <v>0</v>
      </c>
      <c r="BI1228" s="52">
        <f t="shared" ca="1" si="1496"/>
        <v>0</v>
      </c>
      <c r="BJ1228" s="52">
        <f t="shared" ca="1" si="1496"/>
        <v>0</v>
      </c>
      <c r="BK1228" s="52">
        <f t="shared" ca="1" si="1496"/>
        <v>0</v>
      </c>
      <c r="BL1228" s="52">
        <f t="shared" ca="1" si="1496"/>
        <v>0</v>
      </c>
      <c r="BM1228" s="52">
        <f t="shared" ca="1" si="1496"/>
        <v>0</v>
      </c>
      <c r="BN1228" s="52">
        <f t="shared" ca="1" si="1496"/>
        <v>0</v>
      </c>
      <c r="BO1228" s="52">
        <f t="shared" ca="1" si="1496"/>
        <v>0</v>
      </c>
      <c r="BP1228" s="52">
        <f t="shared" ca="1" si="1496"/>
        <v>0</v>
      </c>
      <c r="BQ1228" s="52">
        <f t="shared" ca="1" si="1496"/>
        <v>0</v>
      </c>
      <c r="BR1228" s="52">
        <f t="shared" ca="1" si="1496"/>
        <v>0</v>
      </c>
      <c r="BS1228" s="52">
        <f t="shared" ca="1" si="1496"/>
        <v>0</v>
      </c>
      <c r="BT1228" s="52">
        <f t="shared" ca="1" si="1496"/>
        <v>0</v>
      </c>
      <c r="BU1228" s="52">
        <f t="shared" ca="1" si="1496"/>
        <v>0</v>
      </c>
      <c r="BV1228" s="52">
        <f t="shared" ca="1" si="1496"/>
        <v>0</v>
      </c>
      <c r="BW1228" s="52">
        <f t="shared" ca="1" si="1496"/>
        <v>0</v>
      </c>
      <c r="BX1228" s="52">
        <f t="shared" ref="BX1228:CO1228" ca="1" si="1497">Subord_Repayment</f>
        <v>0</v>
      </c>
      <c r="BY1228" s="52">
        <f t="shared" ca="1" si="1497"/>
        <v>0</v>
      </c>
      <c r="BZ1228" s="52">
        <f t="shared" ca="1" si="1497"/>
        <v>0</v>
      </c>
      <c r="CA1228" s="52">
        <f t="shared" ca="1" si="1497"/>
        <v>0</v>
      </c>
      <c r="CB1228" s="52">
        <f t="shared" ca="1" si="1497"/>
        <v>0</v>
      </c>
      <c r="CC1228" s="52">
        <f t="shared" ca="1" si="1497"/>
        <v>0</v>
      </c>
      <c r="CD1228" s="52">
        <f t="shared" ca="1" si="1497"/>
        <v>0</v>
      </c>
      <c r="CE1228" s="52">
        <f t="shared" ca="1" si="1497"/>
        <v>0</v>
      </c>
      <c r="CF1228" s="52">
        <f t="shared" ca="1" si="1497"/>
        <v>0</v>
      </c>
      <c r="CG1228" s="52">
        <f t="shared" ca="1" si="1497"/>
        <v>0</v>
      </c>
      <c r="CH1228" s="52">
        <f t="shared" ca="1" si="1497"/>
        <v>0</v>
      </c>
      <c r="CI1228" s="52">
        <f t="shared" ca="1" si="1497"/>
        <v>0</v>
      </c>
      <c r="CJ1228" s="52">
        <f t="shared" ca="1" si="1497"/>
        <v>0</v>
      </c>
      <c r="CK1228" s="52">
        <f t="shared" ca="1" si="1497"/>
        <v>0</v>
      </c>
      <c r="CL1228" s="52">
        <f t="shared" ca="1" si="1497"/>
        <v>0</v>
      </c>
      <c r="CM1228" s="52">
        <f t="shared" ca="1" si="1497"/>
        <v>0</v>
      </c>
      <c r="CN1228" s="52">
        <f t="shared" ca="1" si="1497"/>
        <v>0</v>
      </c>
      <c r="CO1228" s="52">
        <f t="shared" ca="1" si="1497"/>
        <v>0</v>
      </c>
    </row>
    <row r="1229" spans="1:93" ht="15.75" thickBot="1">
      <c r="A1229" s="10"/>
      <c r="B1229" s="10"/>
      <c r="C1229" s="21" t="s">
        <v>462</v>
      </c>
      <c r="D1229" s="10"/>
      <c r="E1229" s="10"/>
      <c r="F1229" s="10"/>
      <c r="G1229" s="134" t="str">
        <f t="shared" si="1463"/>
        <v>тыс. руб.</v>
      </c>
      <c r="H1229" s="10"/>
      <c r="I1229" s="23">
        <f ca="1">SUM(L1229:CO1229)</f>
        <v>-8270600.6277033035</v>
      </c>
      <c r="J1229" s="10"/>
      <c r="K1229" s="10"/>
      <c r="L1229" s="52">
        <f t="shared" ref="L1229:BW1229" ca="1" si="1498">Dividends</f>
        <v>0</v>
      </c>
      <c r="M1229" s="52">
        <f t="shared" ca="1" si="1498"/>
        <v>0</v>
      </c>
      <c r="N1229" s="52">
        <f t="shared" ca="1" si="1498"/>
        <v>0</v>
      </c>
      <c r="O1229" s="52">
        <f t="shared" ca="1" si="1498"/>
        <v>0</v>
      </c>
      <c r="P1229" s="52">
        <f t="shared" ca="1" si="1498"/>
        <v>0</v>
      </c>
      <c r="Q1229" s="52">
        <f t="shared" ca="1" si="1498"/>
        <v>0</v>
      </c>
      <c r="R1229" s="52">
        <f t="shared" ca="1" si="1498"/>
        <v>0</v>
      </c>
      <c r="S1229" s="52">
        <f t="shared" ca="1" si="1498"/>
        <v>0</v>
      </c>
      <c r="T1229" s="52">
        <f t="shared" ca="1" si="1498"/>
        <v>0</v>
      </c>
      <c r="U1229" s="52">
        <f t="shared" ca="1" si="1498"/>
        <v>0</v>
      </c>
      <c r="V1229" s="52">
        <f t="shared" ca="1" si="1498"/>
        <v>0</v>
      </c>
      <c r="W1229" s="52">
        <f t="shared" ca="1" si="1498"/>
        <v>0</v>
      </c>
      <c r="X1229" s="52">
        <f t="shared" ca="1" si="1498"/>
        <v>0</v>
      </c>
      <c r="Y1229" s="52">
        <f t="shared" ca="1" si="1498"/>
        <v>0</v>
      </c>
      <c r="Z1229" s="52">
        <f t="shared" ca="1" si="1498"/>
        <v>0</v>
      </c>
      <c r="AA1229" s="52">
        <f t="shared" ca="1" si="1498"/>
        <v>0</v>
      </c>
      <c r="AB1229" s="52">
        <f t="shared" ca="1" si="1498"/>
        <v>0</v>
      </c>
      <c r="AC1229" s="52">
        <f t="shared" ca="1" si="1498"/>
        <v>0</v>
      </c>
      <c r="AD1229" s="52">
        <f t="shared" ca="1" si="1498"/>
        <v>0</v>
      </c>
      <c r="AE1229" s="52">
        <f t="shared" ca="1" si="1498"/>
        <v>0</v>
      </c>
      <c r="AF1229" s="52">
        <f t="shared" ca="1" si="1498"/>
        <v>0</v>
      </c>
      <c r="AG1229" s="52">
        <f t="shared" ca="1" si="1498"/>
        <v>0</v>
      </c>
      <c r="AH1229" s="52">
        <f t="shared" ca="1" si="1498"/>
        <v>0</v>
      </c>
      <c r="AI1229" s="52">
        <f t="shared" ca="1" si="1498"/>
        <v>0</v>
      </c>
      <c r="AJ1229" s="52">
        <f t="shared" ca="1" si="1498"/>
        <v>0</v>
      </c>
      <c r="AK1229" s="52">
        <f t="shared" ca="1" si="1498"/>
        <v>0</v>
      </c>
      <c r="AL1229" s="52">
        <f t="shared" ca="1" si="1498"/>
        <v>0</v>
      </c>
      <c r="AM1229" s="52">
        <f t="shared" ca="1" si="1498"/>
        <v>0</v>
      </c>
      <c r="AN1229" s="52">
        <f t="shared" ca="1" si="1498"/>
        <v>0</v>
      </c>
      <c r="AO1229" s="52">
        <f t="shared" ca="1" si="1498"/>
        <v>0</v>
      </c>
      <c r="AP1229" s="52">
        <f t="shared" ca="1" si="1498"/>
        <v>0</v>
      </c>
      <c r="AQ1229" s="52">
        <f t="shared" ca="1" si="1498"/>
        <v>0</v>
      </c>
      <c r="AR1229" s="52">
        <f t="shared" ca="1" si="1498"/>
        <v>0</v>
      </c>
      <c r="AS1229" s="52">
        <f t="shared" ca="1" si="1498"/>
        <v>0</v>
      </c>
      <c r="AT1229" s="52">
        <f t="shared" ca="1" si="1498"/>
        <v>0</v>
      </c>
      <c r="AU1229" s="52">
        <f t="shared" ca="1" si="1498"/>
        <v>0</v>
      </c>
      <c r="AV1229" s="52">
        <f t="shared" ca="1" si="1498"/>
        <v>0</v>
      </c>
      <c r="AW1229" s="52">
        <f t="shared" ca="1" si="1498"/>
        <v>-115616.33267494224</v>
      </c>
      <c r="AX1229" s="52">
        <f t="shared" ca="1" si="1498"/>
        <v>-273026.89898316731</v>
      </c>
      <c r="AY1229" s="52">
        <f t="shared" ca="1" si="1498"/>
        <v>-160610.09420331367</v>
      </c>
      <c r="AZ1229" s="52">
        <f t="shared" ca="1" si="1498"/>
        <v>-90746.681474151221</v>
      </c>
      <c r="BA1229" s="52">
        <f t="shared" ca="1" si="1498"/>
        <v>-140327.30961439823</v>
      </c>
      <c r="BB1229" s="52">
        <f t="shared" ca="1" si="1498"/>
        <v>-273441.40717452572</v>
      </c>
      <c r="BC1229" s="52">
        <f t="shared" ca="1" si="1498"/>
        <v>-167027.39986984793</v>
      </c>
      <c r="BD1229" s="52">
        <f t="shared" ca="1" si="1498"/>
        <v>-95677.102949824461</v>
      </c>
      <c r="BE1229" s="52">
        <f t="shared" ca="1" si="1498"/>
        <v>-144587.40117527739</v>
      </c>
      <c r="BF1229" s="52">
        <f t="shared" ca="1" si="1498"/>
        <v>-283339.07755339477</v>
      </c>
      <c r="BG1229" s="52">
        <f t="shared" ca="1" si="1498"/>
        <v>-172668.51570028992</v>
      </c>
      <c r="BH1229" s="52">
        <f t="shared" ca="1" si="1498"/>
        <v>-97093.665388560941</v>
      </c>
      <c r="BI1229" s="52">
        <f t="shared" ca="1" si="1498"/>
        <v>-150722.02899878885</v>
      </c>
      <c r="BJ1229" s="52">
        <f t="shared" ca="1" si="1498"/>
        <v>-294700.16257395281</v>
      </c>
      <c r="BK1229" s="52">
        <f t="shared" ca="1" si="1498"/>
        <v>-179602.77227321349</v>
      </c>
      <c r="BL1229" s="52">
        <f t="shared" ca="1" si="1498"/>
        <v>-101010.04112024038</v>
      </c>
      <c r="BM1229" s="52">
        <f t="shared" ca="1" si="1498"/>
        <v>-156784.45144098948</v>
      </c>
      <c r="BN1229" s="52">
        <f t="shared" ca="1" si="1498"/>
        <v>-306522.65430726274</v>
      </c>
      <c r="BO1229" s="52">
        <f t="shared" ca="1" si="1498"/>
        <v>-177777.08616391147</v>
      </c>
      <c r="BP1229" s="52">
        <f t="shared" ca="1" si="1498"/>
        <v>-97479.370084233102</v>
      </c>
      <c r="BQ1229" s="52">
        <f t="shared" ca="1" si="1498"/>
        <v>-147496.84938078091</v>
      </c>
      <c r="BR1229" s="52">
        <f t="shared" ca="1" si="1498"/>
        <v>-278245.88708535011</v>
      </c>
      <c r="BS1229" s="52">
        <f t="shared" ca="1" si="1498"/>
        <v>-176430.29235447777</v>
      </c>
      <c r="BT1229" s="52">
        <f t="shared" ca="1" si="1498"/>
        <v>-94568.477972540364</v>
      </c>
      <c r="BU1229" s="52">
        <f t="shared" ca="1" si="1498"/>
        <v>-144907.78111575436</v>
      </c>
      <c r="BV1229" s="52">
        <f t="shared" ca="1" si="1498"/>
        <v>-290142.81625441811</v>
      </c>
      <c r="BW1229" s="52">
        <f t="shared" ca="1" si="1498"/>
        <v>-184249.96053286913</v>
      </c>
      <c r="BX1229" s="52">
        <f t="shared" ref="BX1229:CO1229" ca="1" si="1499">Dividends</f>
        <v>-97648.295518110244</v>
      </c>
      <c r="BY1229" s="52">
        <f t="shared" ca="1" si="1499"/>
        <v>-151770.83585332031</v>
      </c>
      <c r="BZ1229" s="52">
        <f t="shared" ca="1" si="1499"/>
        <v>-302440.46734145656</v>
      </c>
      <c r="CA1229" s="52">
        <f t="shared" ca="1" si="1499"/>
        <v>-192307.85374290359</v>
      </c>
      <c r="CB1229" s="52">
        <f t="shared" ca="1" si="1499"/>
        <v>-102248.94821865222</v>
      </c>
      <c r="CC1229" s="52">
        <f t="shared" ca="1" si="1499"/>
        <v>-158541.06086534384</v>
      </c>
      <c r="CD1229" s="52">
        <f t="shared" ca="1" si="1499"/>
        <v>-315242.0910079485</v>
      </c>
      <c r="CE1229" s="52">
        <f t="shared" ca="1" si="1499"/>
        <v>-200699.82662151247</v>
      </c>
      <c r="CF1229" s="52">
        <f t="shared" ca="1" si="1499"/>
        <v>-107016.58280527144</v>
      </c>
      <c r="CG1229" s="52">
        <f t="shared" ca="1" si="1499"/>
        <v>-165564.89886920995</v>
      </c>
      <c r="CH1229" s="52">
        <f t="shared" ca="1" si="1499"/>
        <v>-328538.39464533399</v>
      </c>
      <c r="CI1229" s="52">
        <f t="shared" ca="1" si="1499"/>
        <v>-209410.09343949921</v>
      </c>
      <c r="CJ1229" s="52">
        <f t="shared" ca="1" si="1499"/>
        <v>-113577.58786442541</v>
      </c>
      <c r="CK1229" s="52">
        <f t="shared" ca="1" si="1499"/>
        <v>-172449.24687161582</v>
      </c>
      <c r="CL1229" s="52">
        <f t="shared" ca="1" si="1499"/>
        <v>-342372.8721207974</v>
      </c>
      <c r="CM1229" s="52">
        <f t="shared" ca="1" si="1499"/>
        <v>-218474.8026703553</v>
      </c>
      <c r="CN1229" s="52">
        <f t="shared" ca="1" si="1499"/>
        <v>-117079.85311511872</v>
      </c>
      <c r="CO1229" s="52">
        <f t="shared" ca="1" si="1499"/>
        <v>-180414.39771195172</v>
      </c>
    </row>
    <row r="1230" spans="1:93" ht="15.75" thickTop="1">
      <c r="A1230" s="35"/>
      <c r="B1230" s="35"/>
      <c r="C1230" s="208" t="s">
        <v>200</v>
      </c>
      <c r="D1230" s="49"/>
      <c r="E1230" s="49"/>
      <c r="F1230" s="49"/>
      <c r="G1230" s="137" t="str">
        <f t="shared" si="1463"/>
        <v>тыс. руб.</v>
      </c>
      <c r="H1230" s="49"/>
      <c r="I1230" s="49"/>
      <c r="J1230" s="49"/>
      <c r="K1230" s="49"/>
      <c r="L1230" s="174">
        <f ca="1">SUM(L1226:L1229)</f>
        <v>-20231.553412960755</v>
      </c>
      <c r="M1230" s="174">
        <f t="shared" ref="M1230:BX1230" ca="1" si="1500">SUM(M1226:M1229)</f>
        <v>-20518.738035800307</v>
      </c>
      <c r="N1230" s="174">
        <f t="shared" ca="1" si="1500"/>
        <v>-20809.999212027134</v>
      </c>
      <c r="O1230" s="174">
        <f t="shared" ca="1" si="1500"/>
        <v>-21105.394807857592</v>
      </c>
      <c r="P1230" s="174">
        <f t="shared" ca="1" si="1500"/>
        <v>-177490.49062476435</v>
      </c>
      <c r="Q1230" s="174">
        <f t="shared" ca="1" si="1500"/>
        <v>-179239.37658746613</v>
      </c>
      <c r="R1230" s="174">
        <f t="shared" ca="1" si="1500"/>
        <v>-181005.49503456618</v>
      </c>
      <c r="S1230" s="174">
        <f t="shared" ca="1" si="1500"/>
        <v>-182789.01576473904</v>
      </c>
      <c r="T1230" s="174">
        <f t="shared" ca="1" si="1500"/>
        <v>-184965.93951308879</v>
      </c>
      <c r="U1230" s="174">
        <f t="shared" ca="1" si="1500"/>
        <v>-190490.76998061163</v>
      </c>
      <c r="V1230" s="174">
        <f t="shared" ca="1" si="1500"/>
        <v>-194851.96226518595</v>
      </c>
      <c r="W1230" s="174">
        <f t="shared" ca="1" si="1500"/>
        <v>-199210.83002790483</v>
      </c>
      <c r="X1230" s="174">
        <f t="shared" ca="1" si="1500"/>
        <v>-380268.03807791224</v>
      </c>
      <c r="Y1230" s="174">
        <f t="shared" ca="1" si="1500"/>
        <v>-388712.96354787843</v>
      </c>
      <c r="Z1230" s="174">
        <f t="shared" ca="1" si="1500"/>
        <v>-397487.10229346005</v>
      </c>
      <c r="AA1230" s="174">
        <f t="shared" ca="1" si="1500"/>
        <v>-406153.32046609715</v>
      </c>
      <c r="AB1230" s="174">
        <f t="shared" ca="1" si="1500"/>
        <v>-693935.95784803934</v>
      </c>
      <c r="AC1230" s="174">
        <f t="shared" ca="1" si="1500"/>
        <v>0</v>
      </c>
      <c r="AD1230" s="174">
        <f t="shared" ca="1" si="1500"/>
        <v>0</v>
      </c>
      <c r="AE1230" s="174">
        <f t="shared" ca="1" si="1500"/>
        <v>0</v>
      </c>
      <c r="AF1230" s="174">
        <f t="shared" ca="1" si="1500"/>
        <v>0</v>
      </c>
      <c r="AG1230" s="174">
        <f t="shared" ca="1" si="1500"/>
        <v>0</v>
      </c>
      <c r="AH1230" s="174">
        <f t="shared" ca="1" si="1500"/>
        <v>0</v>
      </c>
      <c r="AI1230" s="174">
        <f t="shared" ca="1" si="1500"/>
        <v>0</v>
      </c>
      <c r="AJ1230" s="174">
        <f t="shared" ca="1" si="1500"/>
        <v>0</v>
      </c>
      <c r="AK1230" s="174">
        <f t="shared" ca="1" si="1500"/>
        <v>0</v>
      </c>
      <c r="AL1230" s="174">
        <f t="shared" ca="1" si="1500"/>
        <v>0</v>
      </c>
      <c r="AM1230" s="174">
        <f t="shared" ca="1" si="1500"/>
        <v>0</v>
      </c>
      <c r="AN1230" s="174">
        <f t="shared" ca="1" si="1500"/>
        <v>0</v>
      </c>
      <c r="AO1230" s="174">
        <f t="shared" ca="1" si="1500"/>
        <v>0</v>
      </c>
      <c r="AP1230" s="174">
        <f t="shared" ca="1" si="1500"/>
        <v>0</v>
      </c>
      <c r="AQ1230" s="174">
        <f t="shared" ca="1" si="1500"/>
        <v>0</v>
      </c>
      <c r="AR1230" s="174">
        <f t="shared" ca="1" si="1500"/>
        <v>0</v>
      </c>
      <c r="AS1230" s="174">
        <f t="shared" ca="1" si="1500"/>
        <v>0</v>
      </c>
      <c r="AT1230" s="174">
        <f t="shared" ca="1" si="1500"/>
        <v>0</v>
      </c>
      <c r="AU1230" s="174">
        <f t="shared" ca="1" si="1500"/>
        <v>0</v>
      </c>
      <c r="AV1230" s="174">
        <f t="shared" ca="1" si="1500"/>
        <v>0</v>
      </c>
      <c r="AW1230" s="174">
        <f t="shared" ca="1" si="1500"/>
        <v>0</v>
      </c>
      <c r="AX1230" s="174">
        <f t="shared" ca="1" si="1500"/>
        <v>0</v>
      </c>
      <c r="AY1230" s="174">
        <f t="shared" ca="1" si="1500"/>
        <v>0</v>
      </c>
      <c r="AZ1230" s="174">
        <f t="shared" ca="1" si="1500"/>
        <v>0</v>
      </c>
      <c r="BA1230" s="174">
        <f t="shared" ca="1" si="1500"/>
        <v>0</v>
      </c>
      <c r="BB1230" s="174">
        <f t="shared" ca="1" si="1500"/>
        <v>0</v>
      </c>
      <c r="BC1230" s="174">
        <f t="shared" ca="1" si="1500"/>
        <v>0</v>
      </c>
      <c r="BD1230" s="174">
        <f t="shared" ca="1" si="1500"/>
        <v>0</v>
      </c>
      <c r="BE1230" s="174">
        <f t="shared" ca="1" si="1500"/>
        <v>0</v>
      </c>
      <c r="BF1230" s="174">
        <f t="shared" ca="1" si="1500"/>
        <v>0</v>
      </c>
      <c r="BG1230" s="174">
        <f t="shared" ca="1" si="1500"/>
        <v>0</v>
      </c>
      <c r="BH1230" s="174">
        <f t="shared" ca="1" si="1500"/>
        <v>0</v>
      </c>
      <c r="BI1230" s="174">
        <f t="shared" ca="1" si="1500"/>
        <v>0</v>
      </c>
      <c r="BJ1230" s="174">
        <f t="shared" ca="1" si="1500"/>
        <v>0</v>
      </c>
      <c r="BK1230" s="174">
        <f t="shared" ca="1" si="1500"/>
        <v>0</v>
      </c>
      <c r="BL1230" s="174">
        <f t="shared" ca="1" si="1500"/>
        <v>0</v>
      </c>
      <c r="BM1230" s="174">
        <f t="shared" ca="1" si="1500"/>
        <v>0</v>
      </c>
      <c r="BN1230" s="174">
        <f t="shared" ca="1" si="1500"/>
        <v>0</v>
      </c>
      <c r="BO1230" s="174">
        <f t="shared" ca="1" si="1500"/>
        <v>0</v>
      </c>
      <c r="BP1230" s="174">
        <f t="shared" ca="1" si="1500"/>
        <v>0</v>
      </c>
      <c r="BQ1230" s="174">
        <f t="shared" ca="1" si="1500"/>
        <v>0</v>
      </c>
      <c r="BR1230" s="174">
        <f t="shared" ca="1" si="1500"/>
        <v>0</v>
      </c>
      <c r="BS1230" s="174">
        <f t="shared" ca="1" si="1500"/>
        <v>0</v>
      </c>
      <c r="BT1230" s="174">
        <f t="shared" ca="1" si="1500"/>
        <v>0</v>
      </c>
      <c r="BU1230" s="174">
        <f t="shared" ca="1" si="1500"/>
        <v>0</v>
      </c>
      <c r="BV1230" s="174">
        <f t="shared" ca="1" si="1500"/>
        <v>0</v>
      </c>
      <c r="BW1230" s="174">
        <f t="shared" ca="1" si="1500"/>
        <v>0</v>
      </c>
      <c r="BX1230" s="174">
        <f t="shared" ca="1" si="1500"/>
        <v>0</v>
      </c>
      <c r="BY1230" s="174">
        <f t="shared" ref="BY1230:CO1230" ca="1" si="1501">SUM(BY1226:BY1229)</f>
        <v>0</v>
      </c>
      <c r="BZ1230" s="174">
        <f t="shared" ca="1" si="1501"/>
        <v>0</v>
      </c>
      <c r="CA1230" s="174">
        <f t="shared" ca="1" si="1501"/>
        <v>0</v>
      </c>
      <c r="CB1230" s="174">
        <f t="shared" ca="1" si="1501"/>
        <v>0</v>
      </c>
      <c r="CC1230" s="174">
        <f t="shared" ca="1" si="1501"/>
        <v>0</v>
      </c>
      <c r="CD1230" s="174">
        <f t="shared" ca="1" si="1501"/>
        <v>0</v>
      </c>
      <c r="CE1230" s="174">
        <f t="shared" ca="1" si="1501"/>
        <v>0</v>
      </c>
      <c r="CF1230" s="174">
        <f t="shared" ca="1" si="1501"/>
        <v>0</v>
      </c>
      <c r="CG1230" s="174">
        <f t="shared" ca="1" si="1501"/>
        <v>0</v>
      </c>
      <c r="CH1230" s="174">
        <f t="shared" ca="1" si="1501"/>
        <v>0</v>
      </c>
      <c r="CI1230" s="174">
        <f t="shared" ca="1" si="1501"/>
        <v>0</v>
      </c>
      <c r="CJ1230" s="174">
        <f t="shared" ca="1" si="1501"/>
        <v>0</v>
      </c>
      <c r="CK1230" s="174">
        <f t="shared" ca="1" si="1501"/>
        <v>0</v>
      </c>
      <c r="CL1230" s="174">
        <f t="shared" ca="1" si="1501"/>
        <v>0</v>
      </c>
      <c r="CM1230" s="174">
        <f t="shared" ca="1" si="1501"/>
        <v>0</v>
      </c>
      <c r="CN1230" s="174">
        <f t="shared" ca="1" si="1501"/>
        <v>0</v>
      </c>
      <c r="CO1230" s="174">
        <f t="shared" ca="1" si="1501"/>
        <v>0</v>
      </c>
    </row>
    <row r="1231" spans="1:93">
      <c r="A1231" s="10"/>
      <c r="B1231" s="10"/>
      <c r="C1231" s="21" t="s">
        <v>463</v>
      </c>
      <c r="D1231" s="10"/>
      <c r="E1231" s="10"/>
      <c r="F1231" s="10"/>
      <c r="G1231" s="134" t="str">
        <f t="shared" si="1463"/>
        <v>тыс. руб.</v>
      </c>
      <c r="H1231" s="10"/>
      <c r="I1231" s="23">
        <f ca="1">SUM(L1231:CO1231)</f>
        <v>533689.28402014531</v>
      </c>
      <c r="J1231" s="10"/>
      <c r="K1231" s="10"/>
      <c r="L1231" s="52">
        <f t="shared" ref="L1231:BW1231" si="1502">Equity_Drawdown</f>
        <v>10115.776706480377</v>
      </c>
      <c r="M1231" s="52">
        <f t="shared" ca="1" si="1502"/>
        <v>10259.369017900153</v>
      </c>
      <c r="N1231" s="52">
        <f t="shared" ca="1" si="1502"/>
        <v>10404.999606013567</v>
      </c>
      <c r="O1231" s="52">
        <f t="shared" ca="1" si="1502"/>
        <v>10552.697403928796</v>
      </c>
      <c r="P1231" s="52">
        <f t="shared" ca="1" si="1502"/>
        <v>88745.245312382176</v>
      </c>
      <c r="Q1231" s="52">
        <f t="shared" ca="1" si="1502"/>
        <v>89619.688293733067</v>
      </c>
      <c r="R1231" s="52">
        <f t="shared" ca="1" si="1502"/>
        <v>90502.747517283089</v>
      </c>
      <c r="S1231" s="52">
        <f t="shared" ca="1" si="1502"/>
        <v>91394.507882369522</v>
      </c>
      <c r="T1231" s="52">
        <f t="shared" ca="1" si="1502"/>
        <v>65019.970533948253</v>
      </c>
      <c r="U1231" s="52">
        <f t="shared" ca="1" si="1502"/>
        <v>2040.9091648234303</v>
      </c>
      <c r="V1231" s="52">
        <f t="shared" ca="1" si="1502"/>
        <v>3303.1237146186231</v>
      </c>
      <c r="W1231" s="52">
        <f t="shared" ca="1" si="1502"/>
        <v>4555.1268162881161</v>
      </c>
      <c r="X1231" s="52">
        <f t="shared" ca="1" si="1502"/>
        <v>6346.274130728716</v>
      </c>
      <c r="Y1231" s="52">
        <f t="shared" ca="1" si="1502"/>
        <v>8757.8014964128106</v>
      </c>
      <c r="Z1231" s="52">
        <f t="shared" ca="1" si="1502"/>
        <v>11316.091617477097</v>
      </c>
      <c r="AA1231" s="52">
        <f t="shared" ca="1" si="1502"/>
        <v>13802.401746613647</v>
      </c>
      <c r="AB1231" s="52">
        <f t="shared" ca="1" si="1502"/>
        <v>16952.553059143869</v>
      </c>
      <c r="AC1231" s="52">
        <f t="shared" ca="1" si="1502"/>
        <v>0</v>
      </c>
      <c r="AD1231" s="52">
        <f t="shared" ca="1" si="1502"/>
        <v>0</v>
      </c>
      <c r="AE1231" s="52">
        <f t="shared" ca="1" si="1502"/>
        <v>0</v>
      </c>
      <c r="AF1231" s="52">
        <f t="shared" ca="1" si="1502"/>
        <v>0</v>
      </c>
      <c r="AG1231" s="52">
        <f t="shared" ca="1" si="1502"/>
        <v>0</v>
      </c>
      <c r="AH1231" s="52">
        <f t="shared" ca="1" si="1502"/>
        <v>0</v>
      </c>
      <c r="AI1231" s="52">
        <f t="shared" ca="1" si="1502"/>
        <v>0</v>
      </c>
      <c r="AJ1231" s="52">
        <f t="shared" ca="1" si="1502"/>
        <v>0</v>
      </c>
      <c r="AK1231" s="52">
        <f t="shared" ca="1" si="1502"/>
        <v>0</v>
      </c>
      <c r="AL1231" s="52">
        <f t="shared" ca="1" si="1502"/>
        <v>0</v>
      </c>
      <c r="AM1231" s="52">
        <f t="shared" ca="1" si="1502"/>
        <v>0</v>
      </c>
      <c r="AN1231" s="52">
        <f t="shared" ca="1" si="1502"/>
        <v>0</v>
      </c>
      <c r="AO1231" s="52">
        <f t="shared" ca="1" si="1502"/>
        <v>0</v>
      </c>
      <c r="AP1231" s="52">
        <f t="shared" ca="1" si="1502"/>
        <v>0</v>
      </c>
      <c r="AQ1231" s="52">
        <f t="shared" ca="1" si="1502"/>
        <v>0</v>
      </c>
      <c r="AR1231" s="52">
        <f t="shared" ca="1" si="1502"/>
        <v>0</v>
      </c>
      <c r="AS1231" s="52">
        <f t="shared" ca="1" si="1502"/>
        <v>0</v>
      </c>
      <c r="AT1231" s="52">
        <f t="shared" ca="1" si="1502"/>
        <v>0</v>
      </c>
      <c r="AU1231" s="52">
        <f t="shared" ca="1" si="1502"/>
        <v>0</v>
      </c>
      <c r="AV1231" s="52">
        <f t="shared" ca="1" si="1502"/>
        <v>0</v>
      </c>
      <c r="AW1231" s="52">
        <f t="shared" ca="1" si="1502"/>
        <v>0</v>
      </c>
      <c r="AX1231" s="52">
        <f t="shared" ca="1" si="1502"/>
        <v>0</v>
      </c>
      <c r="AY1231" s="52">
        <f t="shared" ca="1" si="1502"/>
        <v>0</v>
      </c>
      <c r="AZ1231" s="52">
        <f t="shared" ca="1" si="1502"/>
        <v>0</v>
      </c>
      <c r="BA1231" s="52">
        <f t="shared" ca="1" si="1502"/>
        <v>0</v>
      </c>
      <c r="BB1231" s="52">
        <f t="shared" ca="1" si="1502"/>
        <v>0</v>
      </c>
      <c r="BC1231" s="52">
        <f t="shared" ca="1" si="1502"/>
        <v>0</v>
      </c>
      <c r="BD1231" s="52">
        <f t="shared" ca="1" si="1502"/>
        <v>0</v>
      </c>
      <c r="BE1231" s="52">
        <f t="shared" ca="1" si="1502"/>
        <v>0</v>
      </c>
      <c r="BF1231" s="52">
        <f t="shared" ca="1" si="1502"/>
        <v>0</v>
      </c>
      <c r="BG1231" s="52">
        <f t="shared" ca="1" si="1502"/>
        <v>0</v>
      </c>
      <c r="BH1231" s="52">
        <f t="shared" ca="1" si="1502"/>
        <v>0</v>
      </c>
      <c r="BI1231" s="52">
        <f t="shared" ca="1" si="1502"/>
        <v>0</v>
      </c>
      <c r="BJ1231" s="52">
        <f t="shared" ca="1" si="1502"/>
        <v>0</v>
      </c>
      <c r="BK1231" s="52">
        <f t="shared" ca="1" si="1502"/>
        <v>0</v>
      </c>
      <c r="BL1231" s="52">
        <f t="shared" ca="1" si="1502"/>
        <v>0</v>
      </c>
      <c r="BM1231" s="52">
        <f t="shared" ca="1" si="1502"/>
        <v>0</v>
      </c>
      <c r="BN1231" s="52">
        <f t="shared" ca="1" si="1502"/>
        <v>0</v>
      </c>
      <c r="BO1231" s="52">
        <f t="shared" ca="1" si="1502"/>
        <v>0</v>
      </c>
      <c r="BP1231" s="52">
        <f t="shared" ca="1" si="1502"/>
        <v>0</v>
      </c>
      <c r="BQ1231" s="52">
        <f t="shared" ca="1" si="1502"/>
        <v>0</v>
      </c>
      <c r="BR1231" s="52">
        <f t="shared" ca="1" si="1502"/>
        <v>0</v>
      </c>
      <c r="BS1231" s="52">
        <f t="shared" ca="1" si="1502"/>
        <v>0</v>
      </c>
      <c r="BT1231" s="52">
        <f t="shared" ca="1" si="1502"/>
        <v>0</v>
      </c>
      <c r="BU1231" s="52">
        <f t="shared" ca="1" si="1502"/>
        <v>0</v>
      </c>
      <c r="BV1231" s="52">
        <f t="shared" ca="1" si="1502"/>
        <v>0</v>
      </c>
      <c r="BW1231" s="52">
        <f t="shared" ca="1" si="1502"/>
        <v>0</v>
      </c>
      <c r="BX1231" s="52">
        <f t="shared" ref="BX1231:CO1231" ca="1" si="1503">Equity_Drawdown</f>
        <v>0</v>
      </c>
      <c r="BY1231" s="52">
        <f t="shared" ca="1" si="1503"/>
        <v>0</v>
      </c>
      <c r="BZ1231" s="52">
        <f t="shared" ca="1" si="1503"/>
        <v>0</v>
      </c>
      <c r="CA1231" s="52">
        <f t="shared" ca="1" si="1503"/>
        <v>0</v>
      </c>
      <c r="CB1231" s="52">
        <f t="shared" ca="1" si="1503"/>
        <v>0</v>
      </c>
      <c r="CC1231" s="52">
        <f t="shared" ca="1" si="1503"/>
        <v>0</v>
      </c>
      <c r="CD1231" s="52">
        <f t="shared" ca="1" si="1503"/>
        <v>0</v>
      </c>
      <c r="CE1231" s="52">
        <f t="shared" ca="1" si="1503"/>
        <v>0</v>
      </c>
      <c r="CF1231" s="52">
        <f t="shared" ca="1" si="1503"/>
        <v>0</v>
      </c>
      <c r="CG1231" s="52">
        <f t="shared" ca="1" si="1503"/>
        <v>0</v>
      </c>
      <c r="CH1231" s="52">
        <f t="shared" ca="1" si="1503"/>
        <v>0</v>
      </c>
      <c r="CI1231" s="52">
        <f t="shared" ca="1" si="1503"/>
        <v>0</v>
      </c>
      <c r="CJ1231" s="52">
        <f t="shared" ca="1" si="1503"/>
        <v>0</v>
      </c>
      <c r="CK1231" s="52">
        <f t="shared" ca="1" si="1503"/>
        <v>0</v>
      </c>
      <c r="CL1231" s="52">
        <f t="shared" ca="1" si="1503"/>
        <v>0</v>
      </c>
      <c r="CM1231" s="52">
        <f t="shared" ca="1" si="1503"/>
        <v>0</v>
      </c>
      <c r="CN1231" s="52">
        <f t="shared" ca="1" si="1503"/>
        <v>0</v>
      </c>
      <c r="CO1231" s="52">
        <f t="shared" ca="1" si="1503"/>
        <v>0</v>
      </c>
    </row>
    <row r="1232" spans="1:93">
      <c r="A1232" s="10"/>
      <c r="B1232" s="10"/>
      <c r="C1232" s="21" t="s">
        <v>464</v>
      </c>
      <c r="D1232" s="10"/>
      <c r="E1232" s="10"/>
      <c r="F1232" s="10"/>
      <c r="G1232" s="134" t="str">
        <f t="shared" si="1463"/>
        <v>тыс. руб.</v>
      </c>
      <c r="H1232" s="10"/>
      <c r="I1232" s="23">
        <f ca="1">SUM(L1232:CO1232)</f>
        <v>533689.28402014542</v>
      </c>
      <c r="J1232" s="10"/>
      <c r="K1232" s="10"/>
      <c r="L1232" s="52">
        <f t="shared" ref="L1232:BW1232" ca="1" si="1504">Subord_Drawdown</f>
        <v>10115.776706480377</v>
      </c>
      <c r="M1232" s="52">
        <f t="shared" ca="1" si="1504"/>
        <v>10259.369017900153</v>
      </c>
      <c r="N1232" s="52">
        <f t="shared" ca="1" si="1504"/>
        <v>10404.999606013567</v>
      </c>
      <c r="O1232" s="52">
        <f t="shared" ca="1" si="1504"/>
        <v>10552.697403928796</v>
      </c>
      <c r="P1232" s="52">
        <f t="shared" ca="1" si="1504"/>
        <v>88745.245312382176</v>
      </c>
      <c r="Q1232" s="52">
        <f t="shared" ca="1" si="1504"/>
        <v>89619.688293733067</v>
      </c>
      <c r="R1232" s="52">
        <f t="shared" ca="1" si="1504"/>
        <v>90502.747517283089</v>
      </c>
      <c r="S1232" s="52">
        <f t="shared" ca="1" si="1504"/>
        <v>91394.507882369522</v>
      </c>
      <c r="T1232" s="52">
        <f t="shared" ca="1" si="1504"/>
        <v>65019.970533948253</v>
      </c>
      <c r="U1232" s="52">
        <f t="shared" ca="1" si="1504"/>
        <v>2040.9091648234303</v>
      </c>
      <c r="V1232" s="52">
        <f t="shared" ca="1" si="1504"/>
        <v>3303.1237146186231</v>
      </c>
      <c r="W1232" s="52">
        <f t="shared" ca="1" si="1504"/>
        <v>4555.1268162881161</v>
      </c>
      <c r="X1232" s="52">
        <f t="shared" ca="1" si="1504"/>
        <v>6346.274130728716</v>
      </c>
      <c r="Y1232" s="52">
        <f t="shared" ca="1" si="1504"/>
        <v>8757.8014964128106</v>
      </c>
      <c r="Z1232" s="52">
        <f t="shared" ca="1" si="1504"/>
        <v>11316.091617477097</v>
      </c>
      <c r="AA1232" s="52">
        <f t="shared" ca="1" si="1504"/>
        <v>13802.401746613647</v>
      </c>
      <c r="AB1232" s="52">
        <f t="shared" ca="1" si="1504"/>
        <v>16952.553059143986</v>
      </c>
      <c r="AC1232" s="52">
        <f t="shared" ca="1" si="1504"/>
        <v>0</v>
      </c>
      <c r="AD1232" s="52">
        <f t="shared" ca="1" si="1504"/>
        <v>0</v>
      </c>
      <c r="AE1232" s="52">
        <f t="shared" ca="1" si="1504"/>
        <v>0</v>
      </c>
      <c r="AF1232" s="52">
        <f t="shared" ca="1" si="1504"/>
        <v>0</v>
      </c>
      <c r="AG1232" s="52">
        <f t="shared" ca="1" si="1504"/>
        <v>0</v>
      </c>
      <c r="AH1232" s="52">
        <f t="shared" ca="1" si="1504"/>
        <v>0</v>
      </c>
      <c r="AI1232" s="52">
        <f t="shared" ca="1" si="1504"/>
        <v>0</v>
      </c>
      <c r="AJ1232" s="52">
        <f t="shared" ca="1" si="1504"/>
        <v>0</v>
      </c>
      <c r="AK1232" s="52">
        <f t="shared" ca="1" si="1504"/>
        <v>0</v>
      </c>
      <c r="AL1232" s="52">
        <f t="shared" ca="1" si="1504"/>
        <v>0</v>
      </c>
      <c r="AM1232" s="52">
        <f t="shared" ca="1" si="1504"/>
        <v>0</v>
      </c>
      <c r="AN1232" s="52">
        <f t="shared" ca="1" si="1504"/>
        <v>0</v>
      </c>
      <c r="AO1232" s="52">
        <f t="shared" ca="1" si="1504"/>
        <v>0</v>
      </c>
      <c r="AP1232" s="52">
        <f t="shared" ca="1" si="1504"/>
        <v>0</v>
      </c>
      <c r="AQ1232" s="52">
        <f t="shared" ca="1" si="1504"/>
        <v>0</v>
      </c>
      <c r="AR1232" s="52">
        <f t="shared" ca="1" si="1504"/>
        <v>0</v>
      </c>
      <c r="AS1232" s="52">
        <f t="shared" ca="1" si="1504"/>
        <v>0</v>
      </c>
      <c r="AT1232" s="52">
        <f t="shared" ca="1" si="1504"/>
        <v>0</v>
      </c>
      <c r="AU1232" s="52">
        <f t="shared" ca="1" si="1504"/>
        <v>0</v>
      </c>
      <c r="AV1232" s="52">
        <f t="shared" ca="1" si="1504"/>
        <v>0</v>
      </c>
      <c r="AW1232" s="52">
        <f t="shared" ca="1" si="1504"/>
        <v>0</v>
      </c>
      <c r="AX1232" s="52">
        <f t="shared" ca="1" si="1504"/>
        <v>0</v>
      </c>
      <c r="AY1232" s="52">
        <f t="shared" ca="1" si="1504"/>
        <v>0</v>
      </c>
      <c r="AZ1232" s="52">
        <f t="shared" ca="1" si="1504"/>
        <v>0</v>
      </c>
      <c r="BA1232" s="52">
        <f t="shared" ca="1" si="1504"/>
        <v>0</v>
      </c>
      <c r="BB1232" s="52">
        <f t="shared" ca="1" si="1504"/>
        <v>0</v>
      </c>
      <c r="BC1232" s="52">
        <f t="shared" ca="1" si="1504"/>
        <v>0</v>
      </c>
      <c r="BD1232" s="52">
        <f t="shared" ca="1" si="1504"/>
        <v>0</v>
      </c>
      <c r="BE1232" s="52">
        <f t="shared" ca="1" si="1504"/>
        <v>0</v>
      </c>
      <c r="BF1232" s="52">
        <f t="shared" ca="1" si="1504"/>
        <v>0</v>
      </c>
      <c r="BG1232" s="52">
        <f t="shared" ca="1" si="1504"/>
        <v>0</v>
      </c>
      <c r="BH1232" s="52">
        <f t="shared" ca="1" si="1504"/>
        <v>0</v>
      </c>
      <c r="BI1232" s="52">
        <f t="shared" ca="1" si="1504"/>
        <v>0</v>
      </c>
      <c r="BJ1232" s="52">
        <f t="shared" ca="1" si="1504"/>
        <v>0</v>
      </c>
      <c r="BK1232" s="52">
        <f t="shared" ca="1" si="1504"/>
        <v>0</v>
      </c>
      <c r="BL1232" s="52">
        <f t="shared" ca="1" si="1504"/>
        <v>0</v>
      </c>
      <c r="BM1232" s="52">
        <f t="shared" ca="1" si="1504"/>
        <v>0</v>
      </c>
      <c r="BN1232" s="52">
        <f t="shared" ca="1" si="1504"/>
        <v>0</v>
      </c>
      <c r="BO1232" s="52">
        <f t="shared" ca="1" si="1504"/>
        <v>0</v>
      </c>
      <c r="BP1232" s="52">
        <f t="shared" ca="1" si="1504"/>
        <v>0</v>
      </c>
      <c r="BQ1232" s="52">
        <f t="shared" ca="1" si="1504"/>
        <v>0</v>
      </c>
      <c r="BR1232" s="52">
        <f t="shared" ca="1" si="1504"/>
        <v>0</v>
      </c>
      <c r="BS1232" s="52">
        <f t="shared" ca="1" si="1504"/>
        <v>0</v>
      </c>
      <c r="BT1232" s="52">
        <f t="shared" ca="1" si="1504"/>
        <v>0</v>
      </c>
      <c r="BU1232" s="52">
        <f t="shared" ca="1" si="1504"/>
        <v>0</v>
      </c>
      <c r="BV1232" s="52">
        <f t="shared" ca="1" si="1504"/>
        <v>0</v>
      </c>
      <c r="BW1232" s="52">
        <f t="shared" ca="1" si="1504"/>
        <v>0</v>
      </c>
      <c r="BX1232" s="52">
        <f t="shared" ref="BX1232:CO1232" ca="1" si="1505">Subord_Drawdown</f>
        <v>0</v>
      </c>
      <c r="BY1232" s="52">
        <f t="shared" ca="1" si="1505"/>
        <v>0</v>
      </c>
      <c r="BZ1232" s="52">
        <f t="shared" ca="1" si="1505"/>
        <v>0</v>
      </c>
      <c r="CA1232" s="52">
        <f t="shared" ca="1" si="1505"/>
        <v>0</v>
      </c>
      <c r="CB1232" s="52">
        <f t="shared" ca="1" si="1505"/>
        <v>0</v>
      </c>
      <c r="CC1232" s="52">
        <f t="shared" ca="1" si="1505"/>
        <v>0</v>
      </c>
      <c r="CD1232" s="52">
        <f t="shared" ca="1" si="1505"/>
        <v>0</v>
      </c>
      <c r="CE1232" s="52">
        <f t="shared" ca="1" si="1505"/>
        <v>0</v>
      </c>
      <c r="CF1232" s="52">
        <f t="shared" ca="1" si="1505"/>
        <v>0</v>
      </c>
      <c r="CG1232" s="52">
        <f t="shared" ca="1" si="1505"/>
        <v>0</v>
      </c>
      <c r="CH1232" s="52">
        <f t="shared" ca="1" si="1505"/>
        <v>0</v>
      </c>
      <c r="CI1232" s="52">
        <f t="shared" ca="1" si="1505"/>
        <v>0</v>
      </c>
      <c r="CJ1232" s="52">
        <f t="shared" ca="1" si="1505"/>
        <v>0</v>
      </c>
      <c r="CK1232" s="52">
        <f t="shared" ca="1" si="1505"/>
        <v>0</v>
      </c>
      <c r="CL1232" s="52">
        <f t="shared" ca="1" si="1505"/>
        <v>0</v>
      </c>
      <c r="CM1232" s="52">
        <f t="shared" ca="1" si="1505"/>
        <v>0</v>
      </c>
      <c r="CN1232" s="52">
        <f t="shared" ca="1" si="1505"/>
        <v>0</v>
      </c>
      <c r="CO1232" s="52">
        <f t="shared" ca="1" si="1505"/>
        <v>0</v>
      </c>
    </row>
    <row r="1233" spans="1:93" ht="15.75" thickBot="1">
      <c r="A1233" s="10"/>
      <c r="B1233" s="10"/>
      <c r="C1233" s="21" t="s">
        <v>465</v>
      </c>
      <c r="D1233" s="10"/>
      <c r="E1233" s="10"/>
      <c r="F1233" s="10"/>
      <c r="G1233" s="134" t="str">
        <f t="shared" si="1463"/>
        <v>тыс. руб.</v>
      </c>
      <c r="H1233" s="10"/>
      <c r="I1233" s="23">
        <f ca="1">SUM(L1233:CO1233)</f>
        <v>2771888.3794600694</v>
      </c>
      <c r="J1233" s="10"/>
      <c r="K1233" s="10"/>
      <c r="L1233" s="52">
        <f t="shared" ref="L1233:BW1233" si="1506">Debt_Drawdown</f>
        <v>0</v>
      </c>
      <c r="M1233" s="52">
        <f t="shared" ca="1" si="1506"/>
        <v>0</v>
      </c>
      <c r="N1233" s="52">
        <f t="shared" ca="1" si="1506"/>
        <v>0</v>
      </c>
      <c r="O1233" s="52">
        <f t="shared" ca="1" si="1506"/>
        <v>0</v>
      </c>
      <c r="P1233" s="52">
        <f t="shared" ca="1" si="1506"/>
        <v>0</v>
      </c>
      <c r="Q1233" s="52">
        <f t="shared" ca="1" si="1506"/>
        <v>0</v>
      </c>
      <c r="R1233" s="52">
        <f t="shared" ca="1" si="1506"/>
        <v>0</v>
      </c>
      <c r="S1233" s="52">
        <f t="shared" ca="1" si="1506"/>
        <v>0</v>
      </c>
      <c r="T1233" s="52">
        <f t="shared" ca="1" si="1506"/>
        <v>54925.998445192294</v>
      </c>
      <c r="U1233" s="52">
        <f t="shared" ca="1" si="1506"/>
        <v>186408.95165096477</v>
      </c>
      <c r="V1233" s="52">
        <f t="shared" ca="1" si="1506"/>
        <v>188245.71483594872</v>
      </c>
      <c r="W1233" s="52">
        <f t="shared" ca="1" si="1506"/>
        <v>190100.57639532859</v>
      </c>
      <c r="X1233" s="52">
        <f t="shared" ca="1" si="1506"/>
        <v>367575.48981645482</v>
      </c>
      <c r="Y1233" s="52">
        <f t="shared" ca="1" si="1506"/>
        <v>371197.36055505282</v>
      </c>
      <c r="Z1233" s="52">
        <f t="shared" ca="1" si="1506"/>
        <v>374854.91905850585</v>
      </c>
      <c r="AA1233" s="52">
        <f t="shared" ca="1" si="1506"/>
        <v>378548.51697286987</v>
      </c>
      <c r="AB1233" s="52">
        <f t="shared" ca="1" si="1506"/>
        <v>660030.85172975156</v>
      </c>
      <c r="AC1233" s="52">
        <f t="shared" ca="1" si="1506"/>
        <v>0</v>
      </c>
      <c r="AD1233" s="52">
        <f t="shared" ca="1" si="1506"/>
        <v>0</v>
      </c>
      <c r="AE1233" s="52">
        <f t="shared" ca="1" si="1506"/>
        <v>0</v>
      </c>
      <c r="AF1233" s="52">
        <f t="shared" ca="1" si="1506"/>
        <v>0</v>
      </c>
      <c r="AG1233" s="52">
        <f t="shared" ca="1" si="1506"/>
        <v>0</v>
      </c>
      <c r="AH1233" s="52">
        <f t="shared" ca="1" si="1506"/>
        <v>0</v>
      </c>
      <c r="AI1233" s="52">
        <f t="shared" ca="1" si="1506"/>
        <v>0</v>
      </c>
      <c r="AJ1233" s="52">
        <f t="shared" ca="1" si="1506"/>
        <v>0</v>
      </c>
      <c r="AK1233" s="52">
        <f t="shared" ca="1" si="1506"/>
        <v>0</v>
      </c>
      <c r="AL1233" s="52">
        <f t="shared" ca="1" si="1506"/>
        <v>0</v>
      </c>
      <c r="AM1233" s="52">
        <f t="shared" ca="1" si="1506"/>
        <v>0</v>
      </c>
      <c r="AN1233" s="52">
        <f t="shared" ca="1" si="1506"/>
        <v>0</v>
      </c>
      <c r="AO1233" s="52">
        <f t="shared" ca="1" si="1506"/>
        <v>0</v>
      </c>
      <c r="AP1233" s="52">
        <f t="shared" ca="1" si="1506"/>
        <v>0</v>
      </c>
      <c r="AQ1233" s="52">
        <f t="shared" ca="1" si="1506"/>
        <v>0</v>
      </c>
      <c r="AR1233" s="52">
        <f t="shared" ca="1" si="1506"/>
        <v>0</v>
      </c>
      <c r="AS1233" s="52">
        <f t="shared" ca="1" si="1506"/>
        <v>0</v>
      </c>
      <c r="AT1233" s="52">
        <f t="shared" ca="1" si="1506"/>
        <v>0</v>
      </c>
      <c r="AU1233" s="52">
        <f t="shared" ca="1" si="1506"/>
        <v>0</v>
      </c>
      <c r="AV1233" s="52">
        <f t="shared" ca="1" si="1506"/>
        <v>0</v>
      </c>
      <c r="AW1233" s="52">
        <f t="shared" ca="1" si="1506"/>
        <v>0</v>
      </c>
      <c r="AX1233" s="52">
        <f t="shared" ca="1" si="1506"/>
        <v>0</v>
      </c>
      <c r="AY1233" s="52">
        <f t="shared" ca="1" si="1506"/>
        <v>0</v>
      </c>
      <c r="AZ1233" s="52">
        <f t="shared" ca="1" si="1506"/>
        <v>0</v>
      </c>
      <c r="BA1233" s="52">
        <f t="shared" ca="1" si="1506"/>
        <v>0</v>
      </c>
      <c r="BB1233" s="52">
        <f t="shared" ca="1" si="1506"/>
        <v>0</v>
      </c>
      <c r="BC1233" s="52">
        <f t="shared" ca="1" si="1506"/>
        <v>0</v>
      </c>
      <c r="BD1233" s="52">
        <f t="shared" ca="1" si="1506"/>
        <v>0</v>
      </c>
      <c r="BE1233" s="52">
        <f t="shared" ca="1" si="1506"/>
        <v>0</v>
      </c>
      <c r="BF1233" s="52">
        <f t="shared" ca="1" si="1506"/>
        <v>0</v>
      </c>
      <c r="BG1233" s="52">
        <f t="shared" ca="1" si="1506"/>
        <v>0</v>
      </c>
      <c r="BH1233" s="52">
        <f t="shared" ca="1" si="1506"/>
        <v>0</v>
      </c>
      <c r="BI1233" s="52">
        <f t="shared" ca="1" si="1506"/>
        <v>0</v>
      </c>
      <c r="BJ1233" s="52">
        <f t="shared" ca="1" si="1506"/>
        <v>0</v>
      </c>
      <c r="BK1233" s="52">
        <f t="shared" ca="1" si="1506"/>
        <v>0</v>
      </c>
      <c r="BL1233" s="52">
        <f t="shared" ca="1" si="1506"/>
        <v>0</v>
      </c>
      <c r="BM1233" s="52">
        <f t="shared" ca="1" si="1506"/>
        <v>0</v>
      </c>
      <c r="BN1233" s="52">
        <f t="shared" ca="1" si="1506"/>
        <v>0</v>
      </c>
      <c r="BO1233" s="52">
        <f t="shared" ca="1" si="1506"/>
        <v>0</v>
      </c>
      <c r="BP1233" s="52">
        <f t="shared" ca="1" si="1506"/>
        <v>0</v>
      </c>
      <c r="BQ1233" s="52">
        <f t="shared" ca="1" si="1506"/>
        <v>0</v>
      </c>
      <c r="BR1233" s="52">
        <f t="shared" ca="1" si="1506"/>
        <v>0</v>
      </c>
      <c r="BS1233" s="52">
        <f t="shared" ca="1" si="1506"/>
        <v>0</v>
      </c>
      <c r="BT1233" s="52">
        <f t="shared" ca="1" si="1506"/>
        <v>0</v>
      </c>
      <c r="BU1233" s="52">
        <f t="shared" ca="1" si="1506"/>
        <v>0</v>
      </c>
      <c r="BV1233" s="52">
        <f t="shared" ca="1" si="1506"/>
        <v>0</v>
      </c>
      <c r="BW1233" s="52">
        <f t="shared" ca="1" si="1506"/>
        <v>0</v>
      </c>
      <c r="BX1233" s="52">
        <f t="shared" ref="BX1233:CO1233" ca="1" si="1507">Debt_Drawdown</f>
        <v>0</v>
      </c>
      <c r="BY1233" s="52">
        <f t="shared" ca="1" si="1507"/>
        <v>0</v>
      </c>
      <c r="BZ1233" s="52">
        <f t="shared" ca="1" si="1507"/>
        <v>0</v>
      </c>
      <c r="CA1233" s="52">
        <f t="shared" ca="1" si="1507"/>
        <v>0</v>
      </c>
      <c r="CB1233" s="52">
        <f t="shared" ca="1" si="1507"/>
        <v>0</v>
      </c>
      <c r="CC1233" s="52">
        <f t="shared" ca="1" si="1507"/>
        <v>0</v>
      </c>
      <c r="CD1233" s="52">
        <f t="shared" ca="1" si="1507"/>
        <v>0</v>
      </c>
      <c r="CE1233" s="52">
        <f t="shared" ca="1" si="1507"/>
        <v>0</v>
      </c>
      <c r="CF1233" s="52">
        <f t="shared" ca="1" si="1507"/>
        <v>0</v>
      </c>
      <c r="CG1233" s="52">
        <f t="shared" ca="1" si="1507"/>
        <v>0</v>
      </c>
      <c r="CH1233" s="52">
        <f t="shared" ca="1" si="1507"/>
        <v>0</v>
      </c>
      <c r="CI1233" s="52">
        <f t="shared" ca="1" si="1507"/>
        <v>0</v>
      </c>
      <c r="CJ1233" s="52">
        <f t="shared" ca="1" si="1507"/>
        <v>0</v>
      </c>
      <c r="CK1233" s="52">
        <f t="shared" ca="1" si="1507"/>
        <v>0</v>
      </c>
      <c r="CL1233" s="52">
        <f t="shared" ca="1" si="1507"/>
        <v>0</v>
      </c>
      <c r="CM1233" s="52">
        <f t="shared" ca="1" si="1507"/>
        <v>0</v>
      </c>
      <c r="CN1233" s="52">
        <f t="shared" ca="1" si="1507"/>
        <v>0</v>
      </c>
      <c r="CO1233" s="52">
        <f t="shared" ca="1" si="1507"/>
        <v>0</v>
      </c>
    </row>
    <row r="1234" spans="1:93" ht="15.75" thickTop="1">
      <c r="A1234" s="35"/>
      <c r="B1234" s="35"/>
      <c r="C1234" s="208" t="s">
        <v>216</v>
      </c>
      <c r="D1234" s="49"/>
      <c r="E1234" s="49"/>
      <c r="F1234" s="49"/>
      <c r="G1234" s="137" t="str">
        <f t="shared" si="1463"/>
        <v>тыс. руб.</v>
      </c>
      <c r="H1234" s="49"/>
      <c r="I1234" s="49"/>
      <c r="J1234" s="49"/>
      <c r="K1234" s="49"/>
      <c r="L1234" s="174">
        <f ca="1">IF(ABS(SUM(L1230:L1233))&lt;Accuracy,0,SUM(L1230:L1233))</f>
        <v>0</v>
      </c>
      <c r="M1234" s="174">
        <f t="shared" ref="M1234:BX1234" ca="1" si="1508">IF(ABS(SUM(M1230:M1233))&lt;Accuracy,0,SUM(M1230:M1233))</f>
        <v>0</v>
      </c>
      <c r="N1234" s="174">
        <f t="shared" ca="1" si="1508"/>
        <v>0</v>
      </c>
      <c r="O1234" s="174">
        <f t="shared" ca="1" si="1508"/>
        <v>0</v>
      </c>
      <c r="P1234" s="174">
        <f t="shared" ca="1" si="1508"/>
        <v>0</v>
      </c>
      <c r="Q1234" s="174">
        <f t="shared" ca="1" si="1508"/>
        <v>0</v>
      </c>
      <c r="R1234" s="174">
        <f t="shared" ca="1" si="1508"/>
        <v>0</v>
      </c>
      <c r="S1234" s="174">
        <f t="shared" ca="1" si="1508"/>
        <v>0</v>
      </c>
      <c r="T1234" s="174">
        <f t="shared" ca="1" si="1508"/>
        <v>0</v>
      </c>
      <c r="U1234" s="174">
        <f t="shared" ca="1" si="1508"/>
        <v>0</v>
      </c>
      <c r="V1234" s="174">
        <f t="shared" ca="1" si="1508"/>
        <v>0</v>
      </c>
      <c r="W1234" s="174">
        <f t="shared" ca="1" si="1508"/>
        <v>0</v>
      </c>
      <c r="X1234" s="174">
        <f t="shared" ca="1" si="1508"/>
        <v>0</v>
      </c>
      <c r="Y1234" s="174">
        <f t="shared" ca="1" si="1508"/>
        <v>0</v>
      </c>
      <c r="Z1234" s="174">
        <f t="shared" ca="1" si="1508"/>
        <v>0</v>
      </c>
      <c r="AA1234" s="174">
        <f t="shared" ca="1" si="1508"/>
        <v>0</v>
      </c>
      <c r="AB1234" s="174">
        <f t="shared" ca="1" si="1508"/>
        <v>0</v>
      </c>
      <c r="AC1234" s="174">
        <f t="shared" ca="1" si="1508"/>
        <v>0</v>
      </c>
      <c r="AD1234" s="174">
        <f t="shared" ca="1" si="1508"/>
        <v>0</v>
      </c>
      <c r="AE1234" s="174">
        <f t="shared" ca="1" si="1508"/>
        <v>0</v>
      </c>
      <c r="AF1234" s="174">
        <f t="shared" ca="1" si="1508"/>
        <v>0</v>
      </c>
      <c r="AG1234" s="174">
        <f t="shared" ca="1" si="1508"/>
        <v>0</v>
      </c>
      <c r="AH1234" s="174">
        <f t="shared" ca="1" si="1508"/>
        <v>0</v>
      </c>
      <c r="AI1234" s="174">
        <f t="shared" ca="1" si="1508"/>
        <v>0</v>
      </c>
      <c r="AJ1234" s="174">
        <f t="shared" ca="1" si="1508"/>
        <v>0</v>
      </c>
      <c r="AK1234" s="174">
        <f t="shared" ca="1" si="1508"/>
        <v>0</v>
      </c>
      <c r="AL1234" s="174">
        <f t="shared" ca="1" si="1508"/>
        <v>0</v>
      </c>
      <c r="AM1234" s="174">
        <f t="shared" ca="1" si="1508"/>
        <v>0</v>
      </c>
      <c r="AN1234" s="174">
        <f t="shared" ca="1" si="1508"/>
        <v>0</v>
      </c>
      <c r="AO1234" s="174">
        <f t="shared" ca="1" si="1508"/>
        <v>0</v>
      </c>
      <c r="AP1234" s="174">
        <f t="shared" ca="1" si="1508"/>
        <v>0</v>
      </c>
      <c r="AQ1234" s="174">
        <f t="shared" ca="1" si="1508"/>
        <v>0</v>
      </c>
      <c r="AR1234" s="174">
        <f t="shared" ca="1" si="1508"/>
        <v>0</v>
      </c>
      <c r="AS1234" s="174">
        <f t="shared" ca="1" si="1508"/>
        <v>0</v>
      </c>
      <c r="AT1234" s="174">
        <f t="shared" ca="1" si="1508"/>
        <v>0</v>
      </c>
      <c r="AU1234" s="174">
        <f t="shared" ca="1" si="1508"/>
        <v>0</v>
      </c>
      <c r="AV1234" s="174">
        <f t="shared" ca="1" si="1508"/>
        <v>0</v>
      </c>
      <c r="AW1234" s="174">
        <f t="shared" ca="1" si="1508"/>
        <v>0</v>
      </c>
      <c r="AX1234" s="174">
        <f t="shared" ca="1" si="1508"/>
        <v>0</v>
      </c>
      <c r="AY1234" s="174">
        <f t="shared" ca="1" si="1508"/>
        <v>0</v>
      </c>
      <c r="AZ1234" s="174">
        <f t="shared" ca="1" si="1508"/>
        <v>0</v>
      </c>
      <c r="BA1234" s="174">
        <f t="shared" ca="1" si="1508"/>
        <v>0</v>
      </c>
      <c r="BB1234" s="174">
        <f t="shared" ca="1" si="1508"/>
        <v>0</v>
      </c>
      <c r="BC1234" s="174">
        <f t="shared" ca="1" si="1508"/>
        <v>0</v>
      </c>
      <c r="BD1234" s="174">
        <f t="shared" ca="1" si="1508"/>
        <v>0</v>
      </c>
      <c r="BE1234" s="174">
        <f t="shared" ca="1" si="1508"/>
        <v>0</v>
      </c>
      <c r="BF1234" s="174">
        <f t="shared" ca="1" si="1508"/>
        <v>0</v>
      </c>
      <c r="BG1234" s="174">
        <f t="shared" ca="1" si="1508"/>
        <v>0</v>
      </c>
      <c r="BH1234" s="174">
        <f t="shared" ca="1" si="1508"/>
        <v>0</v>
      </c>
      <c r="BI1234" s="174">
        <f t="shared" ca="1" si="1508"/>
        <v>0</v>
      </c>
      <c r="BJ1234" s="174">
        <f t="shared" ca="1" si="1508"/>
        <v>0</v>
      </c>
      <c r="BK1234" s="174">
        <f t="shared" ca="1" si="1508"/>
        <v>0</v>
      </c>
      <c r="BL1234" s="174">
        <f t="shared" ca="1" si="1508"/>
        <v>0</v>
      </c>
      <c r="BM1234" s="174">
        <f t="shared" ca="1" si="1508"/>
        <v>0</v>
      </c>
      <c r="BN1234" s="174">
        <f t="shared" ca="1" si="1508"/>
        <v>0</v>
      </c>
      <c r="BO1234" s="174">
        <f t="shared" ca="1" si="1508"/>
        <v>0</v>
      </c>
      <c r="BP1234" s="174">
        <f t="shared" ca="1" si="1508"/>
        <v>0</v>
      </c>
      <c r="BQ1234" s="174">
        <f t="shared" ca="1" si="1508"/>
        <v>0</v>
      </c>
      <c r="BR1234" s="174">
        <f t="shared" ca="1" si="1508"/>
        <v>0</v>
      </c>
      <c r="BS1234" s="174">
        <f t="shared" ca="1" si="1508"/>
        <v>0</v>
      </c>
      <c r="BT1234" s="174">
        <f t="shared" ca="1" si="1508"/>
        <v>0</v>
      </c>
      <c r="BU1234" s="174">
        <f t="shared" ca="1" si="1508"/>
        <v>0</v>
      </c>
      <c r="BV1234" s="174">
        <f t="shared" ca="1" si="1508"/>
        <v>0</v>
      </c>
      <c r="BW1234" s="174">
        <f t="shared" ca="1" si="1508"/>
        <v>0</v>
      </c>
      <c r="BX1234" s="174">
        <f t="shared" ca="1" si="1508"/>
        <v>0</v>
      </c>
      <c r="BY1234" s="174">
        <f t="shared" ref="BY1234:CO1234" ca="1" si="1509">IF(ABS(SUM(BY1230:BY1233))&lt;Accuracy,0,SUM(BY1230:BY1233))</f>
        <v>0</v>
      </c>
      <c r="BZ1234" s="174">
        <f t="shared" ca="1" si="1509"/>
        <v>0</v>
      </c>
      <c r="CA1234" s="174">
        <f t="shared" ca="1" si="1509"/>
        <v>0</v>
      </c>
      <c r="CB1234" s="174">
        <f t="shared" ca="1" si="1509"/>
        <v>0</v>
      </c>
      <c r="CC1234" s="174">
        <f t="shared" ca="1" si="1509"/>
        <v>0</v>
      </c>
      <c r="CD1234" s="174">
        <f t="shared" ca="1" si="1509"/>
        <v>0</v>
      </c>
      <c r="CE1234" s="174">
        <f t="shared" ca="1" si="1509"/>
        <v>0</v>
      </c>
      <c r="CF1234" s="174">
        <f t="shared" ca="1" si="1509"/>
        <v>0</v>
      </c>
      <c r="CG1234" s="174">
        <f t="shared" ca="1" si="1509"/>
        <v>0</v>
      </c>
      <c r="CH1234" s="174">
        <f t="shared" ca="1" si="1509"/>
        <v>0</v>
      </c>
      <c r="CI1234" s="174">
        <f t="shared" ca="1" si="1509"/>
        <v>0</v>
      </c>
      <c r="CJ1234" s="174">
        <f t="shared" ca="1" si="1509"/>
        <v>0</v>
      </c>
      <c r="CK1234" s="174">
        <f t="shared" ca="1" si="1509"/>
        <v>0</v>
      </c>
      <c r="CL1234" s="174">
        <f t="shared" ca="1" si="1509"/>
        <v>0</v>
      </c>
      <c r="CM1234" s="174">
        <f t="shared" ca="1" si="1509"/>
        <v>0</v>
      </c>
      <c r="CN1234" s="174">
        <f t="shared" ca="1" si="1509"/>
        <v>0</v>
      </c>
      <c r="CO1234" s="174">
        <f t="shared" ca="1" si="1509"/>
        <v>0</v>
      </c>
    </row>
    <row r="1235" spans="1:93">
      <c r="A1235" s="10"/>
      <c r="B1235" s="10"/>
      <c r="C1235" s="10"/>
      <c r="D1235" s="10"/>
      <c r="E1235" s="10"/>
      <c r="F1235" s="10"/>
      <c r="G1235" s="11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0"/>
      <c r="AH1235" s="10"/>
      <c r="AI1235" s="10"/>
      <c r="AJ1235" s="10"/>
      <c r="AK1235" s="10"/>
      <c r="AL1235" s="10"/>
      <c r="AM1235" s="10"/>
      <c r="AN1235" s="10"/>
      <c r="AO1235" s="10"/>
      <c r="AP1235" s="10"/>
      <c r="AQ1235" s="10"/>
      <c r="AR1235" s="10"/>
      <c r="AS1235" s="10"/>
      <c r="AT1235" s="10"/>
      <c r="AU1235" s="10"/>
      <c r="AV1235" s="10"/>
      <c r="AW1235" s="10"/>
      <c r="AX1235" s="10"/>
      <c r="AY1235" s="10"/>
      <c r="AZ1235" s="10"/>
      <c r="BA1235" s="10"/>
      <c r="BB1235" s="10"/>
      <c r="BC1235" s="10"/>
      <c r="BD1235" s="10"/>
      <c r="BE1235" s="10"/>
      <c r="BF1235" s="10"/>
      <c r="BG1235" s="10"/>
      <c r="BH1235" s="10"/>
      <c r="BI1235" s="10"/>
      <c r="BJ1235" s="10"/>
      <c r="BK1235" s="10"/>
      <c r="BL1235" s="10"/>
      <c r="BM1235" s="10"/>
      <c r="BN1235" s="10"/>
      <c r="BO1235" s="10"/>
      <c r="BP1235" s="10"/>
      <c r="BQ1235" s="10"/>
      <c r="BR1235" s="10"/>
      <c r="BS1235" s="10"/>
      <c r="BT1235" s="10"/>
      <c r="BU1235" s="10"/>
      <c r="BV1235" s="10"/>
      <c r="BW1235" s="10"/>
      <c r="BX1235" s="10"/>
      <c r="BY1235" s="10"/>
      <c r="BZ1235" s="10"/>
      <c r="CA1235" s="10"/>
      <c r="CB1235" s="10"/>
      <c r="CC1235" s="10"/>
      <c r="CD1235" s="10"/>
      <c r="CE1235" s="10"/>
      <c r="CF1235" s="10"/>
      <c r="CG1235" s="10"/>
      <c r="CH1235" s="10"/>
      <c r="CI1235" s="10"/>
      <c r="CJ1235" s="10"/>
      <c r="CK1235" s="10"/>
      <c r="CL1235" s="10"/>
      <c r="CM1235" s="10"/>
      <c r="CN1235" s="10"/>
      <c r="CO1235" s="10"/>
    </row>
    <row r="1236" spans="1:93">
      <c r="A1236" s="10"/>
      <c r="B1236" s="10"/>
      <c r="C1236" s="10" t="s">
        <v>466</v>
      </c>
      <c r="D1236" s="10"/>
      <c r="E1236" s="10"/>
      <c r="F1236" s="10"/>
      <c r="G1236" s="134" t="str">
        <f>Monetary_Unit</f>
        <v>тыс. руб.</v>
      </c>
      <c r="H1236" s="10"/>
      <c r="I1236" s="10"/>
      <c r="J1236" s="10"/>
      <c r="K1236" s="10"/>
      <c r="L1236" s="10">
        <f ca="1">L1223-L1213</f>
        <v>-20231.553412960755</v>
      </c>
      <c r="M1236" s="10">
        <f t="shared" ref="M1236:BX1236" ca="1" si="1510">M1223-M1213</f>
        <v>-20518.738035800307</v>
      </c>
      <c r="N1236" s="10">
        <f t="shared" ca="1" si="1510"/>
        <v>-20809.999212027134</v>
      </c>
      <c r="O1236" s="10">
        <f t="shared" ca="1" si="1510"/>
        <v>-21105.394807857592</v>
      </c>
      <c r="P1236" s="10">
        <f t="shared" ca="1" si="1510"/>
        <v>-177490.49062476435</v>
      </c>
      <c r="Q1236" s="10">
        <f t="shared" ca="1" si="1510"/>
        <v>-179239.37658746613</v>
      </c>
      <c r="R1236" s="10">
        <f t="shared" ca="1" si="1510"/>
        <v>-181005.49503456618</v>
      </c>
      <c r="S1236" s="10">
        <f t="shared" ca="1" si="1510"/>
        <v>-182789.01576473904</v>
      </c>
      <c r="T1236" s="10">
        <f t="shared" ca="1" si="1510"/>
        <v>-184590.11024975491</v>
      </c>
      <c r="U1236" s="10">
        <f t="shared" ca="1" si="1510"/>
        <v>-188441.09063731288</v>
      </c>
      <c r="V1236" s="10">
        <f t="shared" ca="1" si="1510"/>
        <v>-190159.22920993349</v>
      </c>
      <c r="W1236" s="10">
        <f t="shared" ca="1" si="1510"/>
        <v>-191871.74606439631</v>
      </c>
      <c r="X1236" s="10">
        <f t="shared" ca="1" si="1510"/>
        <v>-369180.82464899635</v>
      </c>
      <c r="Y1236" s="10">
        <f t="shared" ca="1" si="1510"/>
        <v>-372528.52022715751</v>
      </c>
      <c r="Z1236" s="10">
        <f t="shared" ca="1" si="1510"/>
        <v>-375920.78753780114</v>
      </c>
      <c r="AA1236" s="10">
        <f t="shared" ca="1" si="1510"/>
        <v>-379331.70797221939</v>
      </c>
      <c r="AB1236" s="10">
        <f t="shared" ca="1" si="1510"/>
        <v>-660519.09372966131</v>
      </c>
      <c r="AC1236" s="10">
        <f t="shared" ca="1" si="1510"/>
        <v>558342.85122100485</v>
      </c>
      <c r="AD1236" s="10">
        <f t="shared" ca="1" si="1510"/>
        <v>289189.50592141412</v>
      </c>
      <c r="AE1236" s="10">
        <f t="shared" ca="1" si="1510"/>
        <v>178400.7977982692</v>
      </c>
      <c r="AF1236" s="10">
        <f t="shared" ca="1" si="1510"/>
        <v>99618.407635534517</v>
      </c>
      <c r="AG1236" s="10">
        <f t="shared" ca="1" si="1510"/>
        <v>111168.99092974691</v>
      </c>
      <c r="AH1236" s="10">
        <f t="shared" ca="1" si="1510"/>
        <v>215705.23197904491</v>
      </c>
      <c r="AI1236" s="10">
        <f t="shared" ca="1" si="1510"/>
        <v>207557.0650137279</v>
      </c>
      <c r="AJ1236" s="10">
        <f t="shared" ca="1" si="1510"/>
        <v>115695.29334696298</v>
      </c>
      <c r="AK1236" s="10">
        <f t="shared" ca="1" si="1510"/>
        <v>128520.73850483312</v>
      </c>
      <c r="AL1236" s="10">
        <f t="shared" ca="1" si="1510"/>
        <v>248472.47392896833</v>
      </c>
      <c r="AM1236" s="10">
        <f t="shared" ca="1" si="1510"/>
        <v>238742.10118499468</v>
      </c>
      <c r="AN1236" s="10">
        <f t="shared" ca="1" si="1510"/>
        <v>133914.39531589366</v>
      </c>
      <c r="AO1236" s="10">
        <f t="shared" ca="1" si="1510"/>
        <v>147070.07063947435</v>
      </c>
      <c r="AP1236" s="10">
        <f t="shared" ca="1" si="1510"/>
        <v>279906.77715703257</v>
      </c>
      <c r="AQ1236" s="10">
        <f t="shared" ca="1" si="1510"/>
        <v>265184.36667378066</v>
      </c>
      <c r="AR1236" s="10">
        <f t="shared" ca="1" si="1510"/>
        <v>143916.30013033532</v>
      </c>
      <c r="AS1236" s="10">
        <f t="shared" ca="1" si="1510"/>
        <v>153232.15487123994</v>
      </c>
      <c r="AT1236" s="10">
        <f t="shared" ca="1" si="1510"/>
        <v>287531.21100539406</v>
      </c>
      <c r="AU1236" s="10">
        <f t="shared" ca="1" si="1510"/>
        <v>270711.13427012885</v>
      </c>
      <c r="AV1236" s="10">
        <f t="shared" ca="1" si="1510"/>
        <v>145517.46262419978</v>
      </c>
      <c r="AW1236" s="10">
        <f t="shared" ca="1" si="1510"/>
        <v>182387.59892833943</v>
      </c>
      <c r="AX1236" s="10">
        <f t="shared" ca="1" si="1510"/>
        <v>273026.89898316731</v>
      </c>
      <c r="AY1236" s="10">
        <f t="shared" ca="1" si="1510"/>
        <v>160610.09420331367</v>
      </c>
      <c r="AZ1236" s="10">
        <f t="shared" ca="1" si="1510"/>
        <v>90746.681474151221</v>
      </c>
      <c r="BA1236" s="10">
        <f t="shared" ca="1" si="1510"/>
        <v>140327.30961439823</v>
      </c>
      <c r="BB1236" s="10">
        <f t="shared" ca="1" si="1510"/>
        <v>273441.40717452572</v>
      </c>
      <c r="BC1236" s="10">
        <f t="shared" ca="1" si="1510"/>
        <v>167027.39986984793</v>
      </c>
      <c r="BD1236" s="10">
        <f t="shared" ca="1" si="1510"/>
        <v>95677.102949824461</v>
      </c>
      <c r="BE1236" s="10">
        <f t="shared" ca="1" si="1510"/>
        <v>144587.40117527739</v>
      </c>
      <c r="BF1236" s="10">
        <f t="shared" ca="1" si="1510"/>
        <v>283339.07755339477</v>
      </c>
      <c r="BG1236" s="10">
        <f t="shared" ca="1" si="1510"/>
        <v>172668.51570028992</v>
      </c>
      <c r="BH1236" s="10">
        <f t="shared" ca="1" si="1510"/>
        <v>97093.665388560941</v>
      </c>
      <c r="BI1236" s="10">
        <f t="shared" ca="1" si="1510"/>
        <v>150722.02899878885</v>
      </c>
      <c r="BJ1236" s="10">
        <f t="shared" ca="1" si="1510"/>
        <v>294700.16257395281</v>
      </c>
      <c r="BK1236" s="10">
        <f t="shared" ca="1" si="1510"/>
        <v>179602.77227321349</v>
      </c>
      <c r="BL1236" s="10">
        <f t="shared" ca="1" si="1510"/>
        <v>101010.04112024038</v>
      </c>
      <c r="BM1236" s="10">
        <f t="shared" ca="1" si="1510"/>
        <v>156784.45144098948</v>
      </c>
      <c r="BN1236" s="10">
        <f t="shared" ca="1" si="1510"/>
        <v>306522.65430726274</v>
      </c>
      <c r="BO1236" s="10">
        <f t="shared" ca="1" si="1510"/>
        <v>177777.08616391147</v>
      </c>
      <c r="BP1236" s="10">
        <f t="shared" ca="1" si="1510"/>
        <v>97479.370084233102</v>
      </c>
      <c r="BQ1236" s="10">
        <f t="shared" ca="1" si="1510"/>
        <v>147496.84938078091</v>
      </c>
      <c r="BR1236" s="10">
        <f t="shared" ca="1" si="1510"/>
        <v>278245.88708535011</v>
      </c>
      <c r="BS1236" s="10">
        <f t="shared" ca="1" si="1510"/>
        <v>176430.29235447777</v>
      </c>
      <c r="BT1236" s="10">
        <f t="shared" ca="1" si="1510"/>
        <v>94568.477972540364</v>
      </c>
      <c r="BU1236" s="10">
        <f t="shared" ca="1" si="1510"/>
        <v>144907.78111575436</v>
      </c>
      <c r="BV1236" s="10">
        <f t="shared" ca="1" si="1510"/>
        <v>290142.81625441811</v>
      </c>
      <c r="BW1236" s="10">
        <f t="shared" ca="1" si="1510"/>
        <v>184249.96053286913</v>
      </c>
      <c r="BX1236" s="10">
        <f t="shared" ca="1" si="1510"/>
        <v>97648.295518110244</v>
      </c>
      <c r="BY1236" s="10">
        <f t="shared" ref="BY1236:CO1236" ca="1" si="1511">BY1223-BY1213</f>
        <v>151770.83585332031</v>
      </c>
      <c r="BZ1236" s="10">
        <f t="shared" ca="1" si="1511"/>
        <v>302440.46734145656</v>
      </c>
      <c r="CA1236" s="10">
        <f t="shared" ca="1" si="1511"/>
        <v>192307.85374290359</v>
      </c>
      <c r="CB1236" s="10">
        <f t="shared" ca="1" si="1511"/>
        <v>102248.94821865222</v>
      </c>
      <c r="CC1236" s="10">
        <f t="shared" ca="1" si="1511"/>
        <v>158541.06086534384</v>
      </c>
      <c r="CD1236" s="10">
        <f t="shared" ca="1" si="1511"/>
        <v>315242.0910079485</v>
      </c>
      <c r="CE1236" s="10">
        <f t="shared" ca="1" si="1511"/>
        <v>200699.82662151247</v>
      </c>
      <c r="CF1236" s="10">
        <f t="shared" ca="1" si="1511"/>
        <v>107016.58280527144</v>
      </c>
      <c r="CG1236" s="10">
        <f t="shared" ca="1" si="1511"/>
        <v>165564.89886920995</v>
      </c>
      <c r="CH1236" s="10">
        <f t="shared" ca="1" si="1511"/>
        <v>328538.39464533399</v>
      </c>
      <c r="CI1236" s="10">
        <f t="shared" ca="1" si="1511"/>
        <v>209410.09343949921</v>
      </c>
      <c r="CJ1236" s="10">
        <f t="shared" ca="1" si="1511"/>
        <v>113577.58786442541</v>
      </c>
      <c r="CK1236" s="10">
        <f t="shared" ca="1" si="1511"/>
        <v>172449.24687161582</v>
      </c>
      <c r="CL1236" s="10">
        <f t="shared" ca="1" si="1511"/>
        <v>342372.8721207974</v>
      </c>
      <c r="CM1236" s="10">
        <f t="shared" ca="1" si="1511"/>
        <v>218474.8026703553</v>
      </c>
      <c r="CN1236" s="10">
        <f t="shared" ca="1" si="1511"/>
        <v>117079.85311511872</v>
      </c>
      <c r="CO1236" s="10">
        <f t="shared" ca="1" si="1511"/>
        <v>180414.39771195172</v>
      </c>
    </row>
    <row r="1237" spans="1:93"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0"/>
      <c r="AH1237" s="10"/>
      <c r="AI1237" s="10"/>
      <c r="AJ1237" s="10"/>
      <c r="AK1237" s="10"/>
      <c r="AL1237" s="10"/>
      <c r="AM1237" s="10"/>
      <c r="AN1237" s="10"/>
      <c r="AO1237" s="10"/>
      <c r="AP1237" s="10"/>
      <c r="AQ1237" s="10"/>
      <c r="AR1237" s="10"/>
      <c r="AS1237" s="10"/>
      <c r="AT1237" s="10"/>
      <c r="AU1237" s="10"/>
      <c r="AV1237" s="10"/>
      <c r="AW1237" s="10"/>
      <c r="AX1237" s="10"/>
      <c r="AY1237" s="10"/>
      <c r="AZ1237" s="10"/>
      <c r="BA1237" s="10"/>
      <c r="BB1237" s="10"/>
      <c r="BC1237" s="10"/>
      <c r="BD1237" s="10"/>
      <c r="BE1237" s="10"/>
      <c r="BF1237" s="10"/>
      <c r="BG1237" s="10"/>
      <c r="BH1237" s="10"/>
      <c r="BI1237" s="10"/>
      <c r="BJ1237" s="10"/>
      <c r="BK1237" s="10"/>
      <c r="BL1237" s="10"/>
      <c r="BM1237" s="10"/>
      <c r="BN1237" s="10"/>
      <c r="BO1237" s="10"/>
      <c r="BP1237" s="10"/>
      <c r="BQ1237" s="10"/>
      <c r="BR1237" s="10"/>
      <c r="BS1237" s="10"/>
      <c r="BT1237" s="10"/>
      <c r="BU1237" s="10"/>
      <c r="BV1237" s="10"/>
      <c r="BW1237" s="10"/>
      <c r="BX1237" s="10"/>
      <c r="BY1237" s="10"/>
      <c r="BZ1237" s="10"/>
      <c r="CA1237" s="10"/>
      <c r="CB1237" s="10"/>
      <c r="CC1237" s="10"/>
      <c r="CD1237" s="10"/>
      <c r="CE1237" s="10"/>
      <c r="CF1237" s="10"/>
      <c r="CG1237" s="10"/>
      <c r="CH1237" s="10"/>
      <c r="CI1237" s="10"/>
      <c r="CJ1237" s="10"/>
      <c r="CK1237" s="10"/>
      <c r="CL1237" s="10"/>
      <c r="CM1237" s="10"/>
      <c r="CN1237" s="10"/>
      <c r="CO1237" s="10"/>
    </row>
    <row r="1238" spans="1:93" ht="22.5" customHeight="1">
      <c r="A1238" s="10"/>
      <c r="B1238" s="5" t="s">
        <v>171</v>
      </c>
      <c r="C1238" s="5"/>
      <c r="D1238" s="15"/>
      <c r="E1238" s="5"/>
      <c r="F1238" s="5"/>
      <c r="G1238" s="6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5"/>
      <c r="BP1238" s="5"/>
      <c r="BQ1238" s="5"/>
      <c r="BR1238" s="5"/>
      <c r="BS1238" s="5"/>
      <c r="BT1238" s="5"/>
      <c r="BU1238" s="5"/>
      <c r="BV1238" s="5"/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</row>
    <row r="1239" spans="1:93">
      <c r="A1239" s="10"/>
      <c r="B1239" s="10"/>
      <c r="C1239" s="10"/>
      <c r="D1239" s="10"/>
      <c r="E1239" s="10"/>
      <c r="F1239" s="10"/>
      <c r="G1239" s="11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0"/>
      <c r="AH1239" s="10"/>
      <c r="AI1239" s="10"/>
      <c r="AJ1239" s="10"/>
      <c r="AK1239" s="10"/>
      <c r="AL1239" s="10"/>
      <c r="AM1239" s="10"/>
      <c r="AN1239" s="10"/>
      <c r="AO1239" s="10"/>
      <c r="AP1239" s="10"/>
      <c r="AQ1239" s="10"/>
      <c r="AR1239" s="10"/>
      <c r="AS1239" s="10"/>
      <c r="AT1239" s="10"/>
      <c r="AU1239" s="10"/>
      <c r="AV1239" s="10"/>
      <c r="AW1239" s="10"/>
      <c r="AX1239" s="10"/>
      <c r="AY1239" s="10"/>
      <c r="AZ1239" s="10"/>
      <c r="BA1239" s="10"/>
      <c r="BB1239" s="10"/>
      <c r="BC1239" s="10"/>
      <c r="BD1239" s="10"/>
      <c r="BE1239" s="10"/>
      <c r="BF1239" s="10"/>
      <c r="BG1239" s="10"/>
      <c r="BH1239" s="10"/>
      <c r="BI1239" s="10"/>
      <c r="BJ1239" s="10"/>
      <c r="BK1239" s="10"/>
      <c r="BL1239" s="10"/>
      <c r="BM1239" s="10"/>
      <c r="BN1239" s="10"/>
      <c r="BO1239" s="10"/>
      <c r="BP1239" s="10"/>
      <c r="BQ1239" s="10"/>
      <c r="BR1239" s="10"/>
      <c r="BS1239" s="10"/>
      <c r="BT1239" s="10"/>
      <c r="BU1239" s="10"/>
      <c r="BV1239" s="10"/>
      <c r="BW1239" s="10"/>
      <c r="BX1239" s="10"/>
      <c r="BY1239" s="10"/>
      <c r="BZ1239" s="10"/>
      <c r="CA1239" s="10"/>
      <c r="CB1239" s="10"/>
      <c r="CC1239" s="10"/>
      <c r="CD1239" s="10"/>
      <c r="CE1239" s="10"/>
      <c r="CF1239" s="10"/>
      <c r="CG1239" s="10"/>
      <c r="CH1239" s="10"/>
      <c r="CI1239" s="10"/>
      <c r="CJ1239" s="10"/>
      <c r="CK1239" s="10"/>
      <c r="CL1239" s="10"/>
      <c r="CM1239" s="10"/>
      <c r="CN1239" s="10"/>
      <c r="CO1239" s="10"/>
    </row>
    <row r="1240" spans="1:93">
      <c r="A1240" s="10"/>
      <c r="B1240" s="10"/>
      <c r="C1240" s="67" t="s">
        <v>163</v>
      </c>
      <c r="D1240" s="10"/>
      <c r="E1240" s="10"/>
      <c r="F1240" s="10"/>
      <c r="G1240" s="11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0"/>
      <c r="AH1240" s="10"/>
      <c r="AI1240" s="10"/>
      <c r="AJ1240" s="10"/>
      <c r="AK1240" s="10"/>
      <c r="AL1240" s="10"/>
      <c r="AM1240" s="10"/>
      <c r="AN1240" s="10"/>
      <c r="AO1240" s="10"/>
      <c r="AP1240" s="10"/>
      <c r="AQ1240" s="10"/>
      <c r="AR1240" s="10"/>
      <c r="AS1240" s="10"/>
      <c r="AT1240" s="10"/>
      <c r="AU1240" s="10"/>
      <c r="AV1240" s="10"/>
      <c r="AW1240" s="10"/>
      <c r="AX1240" s="10"/>
      <c r="AY1240" s="10"/>
      <c r="AZ1240" s="10"/>
      <c r="BA1240" s="10"/>
      <c r="BB1240" s="10"/>
      <c r="BC1240" s="10"/>
      <c r="BD1240" s="10"/>
      <c r="BE1240" s="10"/>
      <c r="BF1240" s="10"/>
      <c r="BG1240" s="10"/>
      <c r="BH1240" s="10"/>
      <c r="BI1240" s="10"/>
      <c r="BJ1240" s="10"/>
      <c r="BK1240" s="10"/>
      <c r="BL1240" s="10"/>
      <c r="BM1240" s="10"/>
      <c r="BN1240" s="10"/>
      <c r="BO1240" s="10"/>
      <c r="BP1240" s="10"/>
      <c r="BQ1240" s="10"/>
      <c r="BR1240" s="10"/>
      <c r="BS1240" s="10"/>
      <c r="BT1240" s="10"/>
      <c r="BU1240" s="10"/>
      <c r="BV1240" s="10"/>
      <c r="BW1240" s="10"/>
      <c r="BX1240" s="10"/>
      <c r="BY1240" s="10"/>
      <c r="BZ1240" s="10"/>
      <c r="CA1240" s="10"/>
      <c r="CB1240" s="10"/>
      <c r="CC1240" s="10"/>
      <c r="CD1240" s="10"/>
      <c r="CE1240" s="10"/>
      <c r="CF1240" s="10"/>
      <c r="CG1240" s="10"/>
      <c r="CH1240" s="10"/>
      <c r="CI1240" s="10"/>
      <c r="CJ1240" s="10"/>
      <c r="CK1240" s="10"/>
      <c r="CL1240" s="10"/>
      <c r="CM1240" s="10"/>
      <c r="CN1240" s="10"/>
      <c r="CO1240" s="10"/>
    </row>
    <row r="1241" spans="1:93">
      <c r="A1241" s="10"/>
      <c r="B1241" s="10"/>
      <c r="C1241" s="17" t="s">
        <v>161</v>
      </c>
      <c r="D1241" s="10"/>
      <c r="E1241" s="10"/>
      <c r="F1241" s="10"/>
      <c r="G1241" s="134" t="str">
        <f t="shared" ref="G1241:G1254" si="1512">Monetary_Unit</f>
        <v>тыс. руб.</v>
      </c>
      <c r="H1241" s="10"/>
      <c r="I1241" s="23">
        <f t="shared" ref="I1241:I1254" ca="1" si="1513">SUM(L1241:CO1241)</f>
        <v>3087285.4622873445</v>
      </c>
      <c r="J1241" s="10"/>
      <c r="K1241" s="10"/>
      <c r="L1241" s="52">
        <f t="shared" ref="L1241:BW1241" ca="1" si="1514">CAPEX</f>
        <v>16859.627844133964</v>
      </c>
      <c r="M1241" s="52">
        <f t="shared" ca="1" si="1514"/>
        <v>17098.948363166921</v>
      </c>
      <c r="N1241" s="52">
        <f t="shared" ca="1" si="1514"/>
        <v>17341.666010022611</v>
      </c>
      <c r="O1241" s="52">
        <f t="shared" ca="1" si="1514"/>
        <v>17587.829006547992</v>
      </c>
      <c r="P1241" s="52">
        <f t="shared" ca="1" si="1514"/>
        <v>147908.74218730364</v>
      </c>
      <c r="Q1241" s="52">
        <f t="shared" ca="1" si="1514"/>
        <v>149366.14715622176</v>
      </c>
      <c r="R1241" s="52">
        <f t="shared" ca="1" si="1514"/>
        <v>150837.91252880514</v>
      </c>
      <c r="S1241" s="52">
        <f t="shared" ca="1" si="1514"/>
        <v>152324.1798039492</v>
      </c>
      <c r="T1241" s="52">
        <f t="shared" ca="1" si="1514"/>
        <v>153825.09187479576</v>
      </c>
      <c r="U1241" s="52">
        <f t="shared" ca="1" si="1514"/>
        <v>155340.79304247064</v>
      </c>
      <c r="V1241" s="52">
        <f t="shared" ca="1" si="1514"/>
        <v>156871.42902995727</v>
      </c>
      <c r="W1241" s="52">
        <f t="shared" ca="1" si="1514"/>
        <v>158417.14699610716</v>
      </c>
      <c r="X1241" s="52">
        <f t="shared" ca="1" si="1514"/>
        <v>306312.90818037902</v>
      </c>
      <c r="Y1241" s="52">
        <f t="shared" ca="1" si="1514"/>
        <v>309331.13379587734</v>
      </c>
      <c r="Z1241" s="52">
        <f t="shared" ca="1" si="1514"/>
        <v>312379.09921542153</v>
      </c>
      <c r="AA1241" s="52">
        <f t="shared" ca="1" si="1514"/>
        <v>315457.09747739154</v>
      </c>
      <c r="AB1241" s="52">
        <f t="shared" ca="1" si="1514"/>
        <v>550025.70977479313</v>
      </c>
      <c r="AC1241" s="52">
        <f t="shared" ca="1" si="1514"/>
        <v>0</v>
      </c>
      <c r="AD1241" s="52">
        <f t="shared" ca="1" si="1514"/>
        <v>0</v>
      </c>
      <c r="AE1241" s="52">
        <f t="shared" ca="1" si="1514"/>
        <v>0</v>
      </c>
      <c r="AF1241" s="52">
        <f t="shared" ca="1" si="1514"/>
        <v>0</v>
      </c>
      <c r="AG1241" s="52">
        <f t="shared" ca="1" si="1514"/>
        <v>0</v>
      </c>
      <c r="AH1241" s="52">
        <f t="shared" ca="1" si="1514"/>
        <v>0</v>
      </c>
      <c r="AI1241" s="52">
        <f t="shared" ca="1" si="1514"/>
        <v>0</v>
      </c>
      <c r="AJ1241" s="52">
        <f t="shared" ca="1" si="1514"/>
        <v>0</v>
      </c>
      <c r="AK1241" s="52">
        <f t="shared" ca="1" si="1514"/>
        <v>0</v>
      </c>
      <c r="AL1241" s="52">
        <f t="shared" ca="1" si="1514"/>
        <v>0</v>
      </c>
      <c r="AM1241" s="52">
        <f t="shared" ca="1" si="1514"/>
        <v>0</v>
      </c>
      <c r="AN1241" s="52">
        <f t="shared" ca="1" si="1514"/>
        <v>0</v>
      </c>
      <c r="AO1241" s="52">
        <f t="shared" ca="1" si="1514"/>
        <v>0</v>
      </c>
      <c r="AP1241" s="52">
        <f t="shared" ca="1" si="1514"/>
        <v>0</v>
      </c>
      <c r="AQ1241" s="52">
        <f t="shared" ca="1" si="1514"/>
        <v>0</v>
      </c>
      <c r="AR1241" s="52">
        <f t="shared" ca="1" si="1514"/>
        <v>0</v>
      </c>
      <c r="AS1241" s="52">
        <f t="shared" ca="1" si="1514"/>
        <v>0</v>
      </c>
      <c r="AT1241" s="52">
        <f t="shared" ca="1" si="1514"/>
        <v>0</v>
      </c>
      <c r="AU1241" s="52">
        <f t="shared" ca="1" si="1514"/>
        <v>0</v>
      </c>
      <c r="AV1241" s="52">
        <f t="shared" ca="1" si="1514"/>
        <v>0</v>
      </c>
      <c r="AW1241" s="52">
        <f t="shared" ca="1" si="1514"/>
        <v>0</v>
      </c>
      <c r="AX1241" s="52">
        <f t="shared" ca="1" si="1514"/>
        <v>0</v>
      </c>
      <c r="AY1241" s="52">
        <f t="shared" ca="1" si="1514"/>
        <v>0</v>
      </c>
      <c r="AZ1241" s="52">
        <f t="shared" ca="1" si="1514"/>
        <v>0</v>
      </c>
      <c r="BA1241" s="52">
        <f t="shared" ca="1" si="1514"/>
        <v>0</v>
      </c>
      <c r="BB1241" s="52">
        <f t="shared" ca="1" si="1514"/>
        <v>0</v>
      </c>
      <c r="BC1241" s="52">
        <f t="shared" ca="1" si="1514"/>
        <v>0</v>
      </c>
      <c r="BD1241" s="52">
        <f t="shared" ca="1" si="1514"/>
        <v>0</v>
      </c>
      <c r="BE1241" s="52">
        <f t="shared" ca="1" si="1514"/>
        <v>0</v>
      </c>
      <c r="BF1241" s="52">
        <f t="shared" ca="1" si="1514"/>
        <v>0</v>
      </c>
      <c r="BG1241" s="52">
        <f t="shared" ca="1" si="1514"/>
        <v>0</v>
      </c>
      <c r="BH1241" s="52">
        <f t="shared" ca="1" si="1514"/>
        <v>0</v>
      </c>
      <c r="BI1241" s="52">
        <f t="shared" ca="1" si="1514"/>
        <v>0</v>
      </c>
      <c r="BJ1241" s="52">
        <f t="shared" ca="1" si="1514"/>
        <v>0</v>
      </c>
      <c r="BK1241" s="52">
        <f t="shared" ca="1" si="1514"/>
        <v>0</v>
      </c>
      <c r="BL1241" s="52">
        <f t="shared" ca="1" si="1514"/>
        <v>0</v>
      </c>
      <c r="BM1241" s="52">
        <f t="shared" ca="1" si="1514"/>
        <v>0</v>
      </c>
      <c r="BN1241" s="52">
        <f t="shared" ca="1" si="1514"/>
        <v>0</v>
      </c>
      <c r="BO1241" s="52">
        <f t="shared" ca="1" si="1514"/>
        <v>0</v>
      </c>
      <c r="BP1241" s="52">
        <f t="shared" ca="1" si="1514"/>
        <v>0</v>
      </c>
      <c r="BQ1241" s="52">
        <f t="shared" ca="1" si="1514"/>
        <v>0</v>
      </c>
      <c r="BR1241" s="52">
        <f t="shared" ca="1" si="1514"/>
        <v>0</v>
      </c>
      <c r="BS1241" s="52">
        <f t="shared" ca="1" si="1514"/>
        <v>0</v>
      </c>
      <c r="BT1241" s="52">
        <f t="shared" ca="1" si="1514"/>
        <v>0</v>
      </c>
      <c r="BU1241" s="52">
        <f t="shared" ca="1" si="1514"/>
        <v>0</v>
      </c>
      <c r="BV1241" s="52">
        <f t="shared" ca="1" si="1514"/>
        <v>0</v>
      </c>
      <c r="BW1241" s="52">
        <f t="shared" ca="1" si="1514"/>
        <v>0</v>
      </c>
      <c r="BX1241" s="52">
        <f t="shared" ref="BX1241:CO1241" ca="1" si="1515">CAPEX</f>
        <v>0</v>
      </c>
      <c r="BY1241" s="52">
        <f t="shared" ca="1" si="1515"/>
        <v>0</v>
      </c>
      <c r="BZ1241" s="52">
        <f t="shared" ca="1" si="1515"/>
        <v>0</v>
      </c>
      <c r="CA1241" s="52">
        <f t="shared" ca="1" si="1515"/>
        <v>0</v>
      </c>
      <c r="CB1241" s="52">
        <f t="shared" ca="1" si="1515"/>
        <v>0</v>
      </c>
      <c r="CC1241" s="52">
        <f t="shared" ca="1" si="1515"/>
        <v>0</v>
      </c>
      <c r="CD1241" s="52">
        <f t="shared" ca="1" si="1515"/>
        <v>0</v>
      </c>
      <c r="CE1241" s="52">
        <f t="shared" ca="1" si="1515"/>
        <v>0</v>
      </c>
      <c r="CF1241" s="52">
        <f t="shared" ca="1" si="1515"/>
        <v>0</v>
      </c>
      <c r="CG1241" s="52">
        <f t="shared" ca="1" si="1515"/>
        <v>0</v>
      </c>
      <c r="CH1241" s="52">
        <f t="shared" ca="1" si="1515"/>
        <v>0</v>
      </c>
      <c r="CI1241" s="52">
        <f t="shared" ca="1" si="1515"/>
        <v>0</v>
      </c>
      <c r="CJ1241" s="52">
        <f t="shared" ca="1" si="1515"/>
        <v>0</v>
      </c>
      <c r="CK1241" s="52">
        <f t="shared" ca="1" si="1515"/>
        <v>0</v>
      </c>
      <c r="CL1241" s="52">
        <f t="shared" ca="1" si="1515"/>
        <v>0</v>
      </c>
      <c r="CM1241" s="52">
        <f t="shared" ca="1" si="1515"/>
        <v>0</v>
      </c>
      <c r="CN1241" s="52">
        <f t="shared" ca="1" si="1515"/>
        <v>0</v>
      </c>
      <c r="CO1241" s="52">
        <f t="shared" ca="1" si="1515"/>
        <v>0</v>
      </c>
    </row>
    <row r="1242" spans="1:93">
      <c r="A1242" s="10"/>
      <c r="B1242" s="10"/>
      <c r="C1242" s="17" t="s">
        <v>700</v>
      </c>
      <c r="D1242" s="10"/>
      <c r="E1242" s="10"/>
      <c r="F1242" s="10"/>
      <c r="G1242" s="134" t="str">
        <f t="shared" si="1512"/>
        <v>тыс. руб.</v>
      </c>
      <c r="H1242" s="10"/>
      <c r="I1242" s="23">
        <f t="shared" ca="1" si="1513"/>
        <v>18493633.551309194</v>
      </c>
      <c r="J1242" s="10"/>
      <c r="K1242" s="10"/>
      <c r="L1242" s="52">
        <f t="shared" ref="L1242:BW1242" ca="1" si="1516">-COGS</f>
        <v>0</v>
      </c>
      <c r="M1242" s="52">
        <f t="shared" ca="1" si="1516"/>
        <v>0</v>
      </c>
      <c r="N1242" s="52">
        <f t="shared" ca="1" si="1516"/>
        <v>0</v>
      </c>
      <c r="O1242" s="52">
        <f t="shared" ca="1" si="1516"/>
        <v>0</v>
      </c>
      <c r="P1242" s="52">
        <f t="shared" ca="1" si="1516"/>
        <v>0</v>
      </c>
      <c r="Q1242" s="52">
        <f t="shared" ca="1" si="1516"/>
        <v>0</v>
      </c>
      <c r="R1242" s="52">
        <f t="shared" ca="1" si="1516"/>
        <v>0</v>
      </c>
      <c r="S1242" s="52">
        <f t="shared" ca="1" si="1516"/>
        <v>0</v>
      </c>
      <c r="T1242" s="52">
        <f t="shared" ca="1" si="1516"/>
        <v>0</v>
      </c>
      <c r="U1242" s="52">
        <f t="shared" ca="1" si="1516"/>
        <v>0</v>
      </c>
      <c r="V1242" s="52">
        <f t="shared" ca="1" si="1516"/>
        <v>0</v>
      </c>
      <c r="W1242" s="52">
        <f t="shared" ca="1" si="1516"/>
        <v>0</v>
      </c>
      <c r="X1242" s="52">
        <f t="shared" ca="1" si="1516"/>
        <v>0</v>
      </c>
      <c r="Y1242" s="52">
        <f t="shared" ca="1" si="1516"/>
        <v>0</v>
      </c>
      <c r="Z1242" s="52">
        <f t="shared" ca="1" si="1516"/>
        <v>0</v>
      </c>
      <c r="AA1242" s="52">
        <f t="shared" ca="1" si="1516"/>
        <v>0</v>
      </c>
      <c r="AB1242" s="52">
        <f t="shared" ca="1" si="1516"/>
        <v>0</v>
      </c>
      <c r="AC1242" s="52">
        <f t="shared" ca="1" si="1516"/>
        <v>153088.06791866009</v>
      </c>
      <c r="AD1242" s="52">
        <f t="shared" ca="1" si="1516"/>
        <v>277065.31551683269</v>
      </c>
      <c r="AE1242" s="52">
        <f t="shared" ca="1" si="1516"/>
        <v>111407.08688779266</v>
      </c>
      <c r="AF1242" s="52">
        <f t="shared" ca="1" si="1516"/>
        <v>102418.07308987781</v>
      </c>
      <c r="AG1242" s="52">
        <f t="shared" ca="1" si="1516"/>
        <v>178544.29480956297</v>
      </c>
      <c r="AH1242" s="52">
        <f t="shared" ca="1" si="1516"/>
        <v>322126.35063196789</v>
      </c>
      <c r="AI1242" s="52">
        <f t="shared" ca="1" si="1516"/>
        <v>129117.93196149165</v>
      </c>
      <c r="AJ1242" s="52">
        <f t="shared" ca="1" si="1516"/>
        <v>118358.58903083384</v>
      </c>
      <c r="AK1242" s="52">
        <f t="shared" ca="1" si="1516"/>
        <v>205792.07894306828</v>
      </c>
      <c r="AL1242" s="52">
        <f t="shared" ca="1" si="1516"/>
        <v>370348.96405148692</v>
      </c>
      <c r="AM1242" s="52">
        <f t="shared" ca="1" si="1516"/>
        <v>148067.39330206616</v>
      </c>
      <c r="AN1242" s="52">
        <f t="shared" ca="1" si="1516"/>
        <v>136914.35929549739</v>
      </c>
      <c r="AO1242" s="52">
        <f t="shared" ca="1" si="1516"/>
        <v>234933.32935229276</v>
      </c>
      <c r="AP1242" s="52">
        <f t="shared" ca="1" si="1516"/>
        <v>412725.51899434091</v>
      </c>
      <c r="AQ1242" s="52">
        <f t="shared" ca="1" si="1516"/>
        <v>161157.44910287601</v>
      </c>
      <c r="AR1242" s="52">
        <f t="shared" ca="1" si="1516"/>
        <v>144029.45805522188</v>
      </c>
      <c r="AS1242" s="52">
        <f t="shared" ca="1" si="1516"/>
        <v>244331.37553298092</v>
      </c>
      <c r="AT1242" s="52">
        <f t="shared" ca="1" si="1516"/>
        <v>429235.267698696</v>
      </c>
      <c r="AU1242" s="52">
        <f t="shared" ca="1" si="1516"/>
        <v>167604.4821843064</v>
      </c>
      <c r="AV1242" s="52">
        <f t="shared" ca="1" si="1516"/>
        <v>149790.63637743067</v>
      </c>
      <c r="AW1242" s="52">
        <f t="shared" ca="1" si="1516"/>
        <v>254104.63055430009</v>
      </c>
      <c r="AX1242" s="52">
        <f t="shared" ca="1" si="1516"/>
        <v>446404.67840664374</v>
      </c>
      <c r="AY1242" s="52">
        <f t="shared" ca="1" si="1516"/>
        <v>174308.66147167861</v>
      </c>
      <c r="AZ1242" s="52">
        <f t="shared" ca="1" si="1516"/>
        <v>155782.26183252787</v>
      </c>
      <c r="BA1242" s="52">
        <f t="shared" ca="1" si="1516"/>
        <v>264268.81577647204</v>
      </c>
      <c r="BB1242" s="52">
        <f t="shared" ca="1" si="1516"/>
        <v>464260.86554290925</v>
      </c>
      <c r="BC1242" s="52">
        <f t="shared" ca="1" si="1516"/>
        <v>181281.00793054575</v>
      </c>
      <c r="BD1242" s="52">
        <f t="shared" ca="1" si="1516"/>
        <v>163812.90867722456</v>
      </c>
      <c r="BE1242" s="52">
        <f t="shared" ca="1" si="1516"/>
        <v>274838.7663720788</v>
      </c>
      <c r="BF1242" s="52">
        <f t="shared" ca="1" si="1516"/>
        <v>482830.48132597207</v>
      </c>
      <c r="BG1242" s="52">
        <f t="shared" ca="1" si="1516"/>
        <v>188531.42134076369</v>
      </c>
      <c r="BH1242" s="52">
        <f t="shared" ca="1" si="1516"/>
        <v>168494.09439806215</v>
      </c>
      <c r="BI1242" s="52">
        <f t="shared" ca="1" si="1516"/>
        <v>285833.15114383207</v>
      </c>
      <c r="BJ1242" s="52">
        <f t="shared" ca="1" si="1516"/>
        <v>502144.55217121053</v>
      </c>
      <c r="BK1242" s="52">
        <f t="shared" ca="1" si="1516"/>
        <v>196073.53817767825</v>
      </c>
      <c r="BL1242" s="52">
        <f t="shared" ca="1" si="1516"/>
        <v>175233.85817398463</v>
      </c>
      <c r="BM1242" s="52">
        <f t="shared" ca="1" si="1516"/>
        <v>297266.47718958539</v>
      </c>
      <c r="BN1242" s="52">
        <f t="shared" ca="1" si="1516"/>
        <v>522230.33425805887</v>
      </c>
      <c r="BO1242" s="52">
        <f t="shared" ca="1" si="1516"/>
        <v>203916.47970478528</v>
      </c>
      <c r="BP1242" s="52">
        <f t="shared" ca="1" si="1516"/>
        <v>182243.21250094395</v>
      </c>
      <c r="BQ1242" s="52">
        <f t="shared" ca="1" si="1516"/>
        <v>309157.1362771687</v>
      </c>
      <c r="BR1242" s="52">
        <f t="shared" ca="1" si="1516"/>
        <v>543119.54762838129</v>
      </c>
      <c r="BS1242" s="52">
        <f t="shared" ca="1" si="1516"/>
        <v>212073.13889297668</v>
      </c>
      <c r="BT1242" s="52">
        <f t="shared" ca="1" si="1516"/>
        <v>191637.93345454932</v>
      </c>
      <c r="BU1242" s="52">
        <f t="shared" ca="1" si="1516"/>
        <v>321522.48346021632</v>
      </c>
      <c r="BV1242" s="52">
        <f t="shared" ca="1" si="1516"/>
        <v>564843.37160810805</v>
      </c>
      <c r="BW1242" s="52">
        <f t="shared" ca="1" si="1516"/>
        <v>220555.09708445895</v>
      </c>
      <c r="BX1242" s="52">
        <f t="shared" ref="BX1242:CO1242" ca="1" si="1517">-COGS</f>
        <v>197114.25864102089</v>
      </c>
      <c r="BY1242" s="52">
        <f t="shared" ca="1" si="1517"/>
        <v>334384.35859738558</v>
      </c>
      <c r="BZ1242" s="52">
        <f t="shared" ca="1" si="1517"/>
        <v>587438.10271485697</v>
      </c>
      <c r="CA1242" s="52">
        <f t="shared" ca="1" si="1517"/>
        <v>229378.30702664348</v>
      </c>
      <c r="CB1242" s="52">
        <f t="shared" ca="1" si="1517"/>
        <v>204998.82898666174</v>
      </c>
      <c r="CC1242" s="52">
        <f t="shared" ca="1" si="1517"/>
        <v>347759.73294128099</v>
      </c>
      <c r="CD1242" s="52">
        <f t="shared" ca="1" si="1517"/>
        <v>610935.62682345114</v>
      </c>
      <c r="CE1242" s="52">
        <f t="shared" ca="1" si="1517"/>
        <v>238553.43930770928</v>
      </c>
      <c r="CF1242" s="52">
        <f t="shared" ca="1" si="1517"/>
        <v>213198.78214612813</v>
      </c>
      <c r="CG1242" s="52">
        <f t="shared" ca="1" si="1517"/>
        <v>361670.12225893216</v>
      </c>
      <c r="CH1242" s="52">
        <f t="shared" ca="1" si="1517"/>
        <v>635373.05189638922</v>
      </c>
      <c r="CI1242" s="52">
        <f t="shared" ca="1" si="1517"/>
        <v>248095.57688001767</v>
      </c>
      <c r="CJ1242" s="52">
        <f t="shared" ca="1" si="1517"/>
        <v>224189.27687251486</v>
      </c>
      <c r="CK1242" s="52">
        <f t="shared" ca="1" si="1517"/>
        <v>376135.82950839237</v>
      </c>
      <c r="CL1242" s="52">
        <f t="shared" ca="1" si="1517"/>
        <v>660786.85333500605</v>
      </c>
      <c r="CM1242" s="52">
        <f t="shared" ca="1" si="1517"/>
        <v>258018.26827588529</v>
      </c>
      <c r="CN1242" s="52">
        <f t="shared" ca="1" si="1517"/>
        <v>230595.80276925216</v>
      </c>
      <c r="CO1242" s="52">
        <f t="shared" ca="1" si="1517"/>
        <v>391182.40423526097</v>
      </c>
    </row>
    <row r="1243" spans="1:93">
      <c r="A1243" s="10"/>
      <c r="B1243" s="10"/>
      <c r="C1243" s="17" t="s">
        <v>728</v>
      </c>
      <c r="D1243" s="10"/>
      <c r="E1243" s="10"/>
      <c r="F1243" s="10"/>
      <c r="G1243" s="134" t="str">
        <f t="shared" si="1512"/>
        <v>тыс. руб.</v>
      </c>
      <c r="H1243" s="10"/>
      <c r="I1243" s="23">
        <f t="shared" ca="1" si="1513"/>
        <v>355606.44199776108</v>
      </c>
      <c r="J1243" s="10"/>
      <c r="K1243" s="10"/>
      <c r="L1243" s="52">
        <f t="shared" ref="L1243:BW1243" ca="1" si="1518">-SGA</f>
        <v>0</v>
      </c>
      <c r="M1243" s="52">
        <f t="shared" ca="1" si="1518"/>
        <v>0</v>
      </c>
      <c r="N1243" s="52">
        <f t="shared" ca="1" si="1518"/>
        <v>0</v>
      </c>
      <c r="O1243" s="52">
        <f t="shared" ca="1" si="1518"/>
        <v>0</v>
      </c>
      <c r="P1243" s="52">
        <f t="shared" ca="1" si="1518"/>
        <v>0</v>
      </c>
      <c r="Q1243" s="52">
        <f t="shared" ca="1" si="1518"/>
        <v>0</v>
      </c>
      <c r="R1243" s="52">
        <f t="shared" ca="1" si="1518"/>
        <v>0</v>
      </c>
      <c r="S1243" s="52">
        <f t="shared" ca="1" si="1518"/>
        <v>0</v>
      </c>
      <c r="T1243" s="52">
        <f t="shared" ca="1" si="1518"/>
        <v>0</v>
      </c>
      <c r="U1243" s="52">
        <f t="shared" ca="1" si="1518"/>
        <v>0</v>
      </c>
      <c r="V1243" s="52">
        <f t="shared" ca="1" si="1518"/>
        <v>0</v>
      </c>
      <c r="W1243" s="52">
        <f t="shared" ca="1" si="1518"/>
        <v>0</v>
      </c>
      <c r="X1243" s="52">
        <f t="shared" ca="1" si="1518"/>
        <v>0</v>
      </c>
      <c r="Y1243" s="52">
        <f t="shared" ca="1" si="1518"/>
        <v>0</v>
      </c>
      <c r="Z1243" s="52">
        <f t="shared" ca="1" si="1518"/>
        <v>0</v>
      </c>
      <c r="AA1243" s="52">
        <f t="shared" ca="1" si="1518"/>
        <v>0</v>
      </c>
      <c r="AB1243" s="52">
        <f t="shared" ca="1" si="1518"/>
        <v>0</v>
      </c>
      <c r="AC1243" s="52">
        <f t="shared" ca="1" si="1518"/>
        <v>2309.1203594642329</v>
      </c>
      <c r="AD1243" s="52">
        <f t="shared" ca="1" si="1518"/>
        <v>2334.4953084693348</v>
      </c>
      <c r="AE1243" s="52">
        <f t="shared" ca="1" si="1518"/>
        <v>2334.4953084693348</v>
      </c>
      <c r="AF1243" s="52">
        <f t="shared" ca="1" si="1518"/>
        <v>2283.7454104591311</v>
      </c>
      <c r="AG1243" s="52">
        <f t="shared" ca="1" si="1518"/>
        <v>2309.1203594642329</v>
      </c>
      <c r="AH1243" s="52">
        <f t="shared" ca="1" si="1518"/>
        <v>2334.4953084693348</v>
      </c>
      <c r="AI1243" s="52">
        <f t="shared" ca="1" si="1518"/>
        <v>2334.4953084693348</v>
      </c>
      <c r="AJ1243" s="52">
        <f t="shared" ca="1" si="1518"/>
        <v>2283.7454104591311</v>
      </c>
      <c r="AK1243" s="52">
        <f t="shared" ca="1" si="1518"/>
        <v>2309.1203594642329</v>
      </c>
      <c r="AL1243" s="52">
        <f t="shared" ca="1" si="1518"/>
        <v>2334.4953084693348</v>
      </c>
      <c r="AM1243" s="52">
        <f t="shared" ca="1" si="1518"/>
        <v>2334.4953084693348</v>
      </c>
      <c r="AN1243" s="52">
        <f t="shared" ca="1" si="1518"/>
        <v>2302.8112874438389</v>
      </c>
      <c r="AO1243" s="52">
        <f t="shared" ca="1" si="1518"/>
        <v>2302.8112874438389</v>
      </c>
      <c r="AP1243" s="52">
        <f t="shared" ca="1" si="1518"/>
        <v>2328.1169059871777</v>
      </c>
      <c r="AQ1243" s="52">
        <f t="shared" ca="1" si="1518"/>
        <v>2328.1169059871777</v>
      </c>
      <c r="AR1243" s="52">
        <f t="shared" ca="1" si="1518"/>
        <v>2283.7454104591311</v>
      </c>
      <c r="AS1243" s="52">
        <f t="shared" ca="1" si="1518"/>
        <v>2309.1203594642329</v>
      </c>
      <c r="AT1243" s="52">
        <f t="shared" ca="1" si="1518"/>
        <v>2334.4953084693348</v>
      </c>
      <c r="AU1243" s="52">
        <f t="shared" ca="1" si="1518"/>
        <v>2334.4953084693348</v>
      </c>
      <c r="AV1243" s="52">
        <f t="shared" ca="1" si="1518"/>
        <v>2283.7454104591311</v>
      </c>
      <c r="AW1243" s="52">
        <f t="shared" ca="1" si="1518"/>
        <v>2309.1203594642329</v>
      </c>
      <c r="AX1243" s="52">
        <f t="shared" ca="1" si="1518"/>
        <v>2334.4953084693348</v>
      </c>
      <c r="AY1243" s="52">
        <f t="shared" ca="1" si="1518"/>
        <v>2334.4953084693348</v>
      </c>
      <c r="AZ1243" s="52">
        <f t="shared" ca="1" si="1518"/>
        <v>2283.7454104591311</v>
      </c>
      <c r="BA1243" s="52">
        <f t="shared" ca="1" si="1518"/>
        <v>2309.1203594642329</v>
      </c>
      <c r="BB1243" s="52">
        <f t="shared" ca="1" si="1518"/>
        <v>2334.4953084693348</v>
      </c>
      <c r="BC1243" s="52">
        <f t="shared" ca="1" si="1518"/>
        <v>2334.4953084693348</v>
      </c>
      <c r="BD1243" s="52">
        <f t="shared" ca="1" si="1518"/>
        <v>2302.8112874438389</v>
      </c>
      <c r="BE1243" s="52">
        <f t="shared" ca="1" si="1518"/>
        <v>2302.8112874438389</v>
      </c>
      <c r="BF1243" s="52">
        <f t="shared" ca="1" si="1518"/>
        <v>2328.1169059871777</v>
      </c>
      <c r="BG1243" s="52">
        <f t="shared" ca="1" si="1518"/>
        <v>2328.1169059871777</v>
      </c>
      <c r="BH1243" s="52">
        <f t="shared" ca="1" si="1518"/>
        <v>2283.7454104591311</v>
      </c>
      <c r="BI1243" s="52">
        <f t="shared" ca="1" si="1518"/>
        <v>2309.1203594642329</v>
      </c>
      <c r="BJ1243" s="52">
        <f t="shared" ca="1" si="1518"/>
        <v>2334.4953084693348</v>
      </c>
      <c r="BK1243" s="52">
        <f t="shared" ca="1" si="1518"/>
        <v>2334.4953084693348</v>
      </c>
      <c r="BL1243" s="52">
        <f t="shared" ca="1" si="1518"/>
        <v>2283.7454104591311</v>
      </c>
      <c r="BM1243" s="52">
        <f t="shared" ca="1" si="1518"/>
        <v>2309.1203594642329</v>
      </c>
      <c r="BN1243" s="52">
        <f t="shared" ca="1" si="1518"/>
        <v>2334.4953084693348</v>
      </c>
      <c r="BO1243" s="52">
        <f t="shared" ca="1" si="1518"/>
        <v>2334.4953084693348</v>
      </c>
      <c r="BP1243" s="52">
        <f t="shared" ca="1" si="1518"/>
        <v>2283.7454104591311</v>
      </c>
      <c r="BQ1243" s="52">
        <f t="shared" ca="1" si="1518"/>
        <v>2309.1203594642329</v>
      </c>
      <c r="BR1243" s="52">
        <f t="shared" ca="1" si="1518"/>
        <v>12428.582569210232</v>
      </c>
      <c r="BS1243" s="52">
        <f t="shared" ca="1" si="1518"/>
        <v>12299.99547034729</v>
      </c>
      <c r="BT1243" s="52">
        <f t="shared" ca="1" si="1518"/>
        <v>12006.216709992057</v>
      </c>
      <c r="BU1243" s="52">
        <f t="shared" ca="1" si="1518"/>
        <v>11879.374809043717</v>
      </c>
      <c r="BV1243" s="52">
        <f t="shared" ca="1" si="1518"/>
        <v>11881.681621371145</v>
      </c>
      <c r="BW1243" s="52">
        <f t="shared" ca="1" si="1518"/>
        <v>11753.445853379415</v>
      </c>
      <c r="BX1243" s="52">
        <f t="shared" ref="BX1243:CO1243" ca="1" si="1519">-SGA</f>
        <v>11403.645628727523</v>
      </c>
      <c r="BY1243" s="52">
        <f t="shared" ca="1" si="1519"/>
        <v>11403.16338937432</v>
      </c>
      <c r="BZ1243" s="52">
        <f t="shared" ca="1" si="1519"/>
        <v>11399.8857783067</v>
      </c>
      <c r="CA1243" s="52">
        <f t="shared" ca="1" si="1519"/>
        <v>11271.298679443758</v>
      </c>
      <c r="CB1243" s="52">
        <f t="shared" ca="1" si="1519"/>
        <v>10900.478720133406</v>
      </c>
      <c r="CC1243" s="52">
        <f t="shared" ca="1" si="1519"/>
        <v>10894.405737351375</v>
      </c>
      <c r="CD1243" s="52">
        <f t="shared" ca="1" si="1519"/>
        <v>10885.537382854933</v>
      </c>
      <c r="CE1243" s="52">
        <f t="shared" ca="1" si="1519"/>
        <v>10756.950283991993</v>
      </c>
      <c r="CF1243" s="52">
        <f t="shared" ca="1" si="1519"/>
        <v>10397.311811539286</v>
      </c>
      <c r="CG1243" s="52">
        <f t="shared" ca="1" si="1519"/>
        <v>10385.648085328434</v>
      </c>
      <c r="CH1243" s="52">
        <f t="shared" ca="1" si="1519"/>
        <v>10371.188987403168</v>
      </c>
      <c r="CI1243" s="52">
        <f t="shared" ca="1" si="1519"/>
        <v>10242.601888540228</v>
      </c>
      <c r="CJ1243" s="52">
        <f t="shared" ca="1" si="1519"/>
        <v>9976.746294818573</v>
      </c>
      <c r="CK1243" s="52">
        <f t="shared" ca="1" si="1519"/>
        <v>9849.9043938702307</v>
      </c>
      <c r="CL1243" s="52">
        <f t="shared" ca="1" si="1519"/>
        <v>9829.9093335034468</v>
      </c>
      <c r="CM1243" s="52">
        <f t="shared" ca="1" si="1519"/>
        <v>9701.6735655117154</v>
      </c>
      <c r="CN1243" s="52">
        <f t="shared" ca="1" si="1519"/>
        <v>9390.9779943510493</v>
      </c>
      <c r="CO1243" s="52">
        <f t="shared" ca="1" si="1519"/>
        <v>9368.1327812825512</v>
      </c>
    </row>
    <row r="1244" spans="1:93">
      <c r="A1244" s="10"/>
      <c r="B1244" s="10"/>
      <c r="C1244" s="17" t="s">
        <v>345</v>
      </c>
      <c r="D1244" s="10"/>
      <c r="E1244" s="10"/>
      <c r="F1244" s="10"/>
      <c r="G1244" s="134" t="str">
        <f t="shared" si="1512"/>
        <v>тыс. руб.</v>
      </c>
      <c r="H1244" s="10"/>
      <c r="I1244" s="23">
        <f t="shared" ca="1" si="1513"/>
        <v>1548922.577481891</v>
      </c>
      <c r="J1244" s="10"/>
      <c r="K1244" s="10"/>
      <c r="L1244" s="52">
        <f t="shared" ref="L1244:BW1244" ca="1" si="1520">-VAT_Cash_Flow*(VAT_Cash_Flow&lt;0)</f>
        <v>3371.9255688267931</v>
      </c>
      <c r="M1244" s="52">
        <f t="shared" ca="1" si="1520"/>
        <v>3419.7896726333838</v>
      </c>
      <c r="N1244" s="52">
        <f t="shared" ca="1" si="1520"/>
        <v>3468.3332020045218</v>
      </c>
      <c r="O1244" s="52">
        <f t="shared" ca="1" si="1520"/>
        <v>3517.5658013095981</v>
      </c>
      <c r="P1244" s="52">
        <f t="shared" ca="1" si="1520"/>
        <v>29581.74843746073</v>
      </c>
      <c r="Q1244" s="52">
        <f t="shared" ca="1" si="1520"/>
        <v>29873.229431244363</v>
      </c>
      <c r="R1244" s="52">
        <f t="shared" ca="1" si="1520"/>
        <v>30167.582505761035</v>
      </c>
      <c r="S1244" s="52">
        <f t="shared" ca="1" si="1520"/>
        <v>30464.835960789846</v>
      </c>
      <c r="T1244" s="52">
        <f t="shared" ca="1" si="1520"/>
        <v>30765.018374959152</v>
      </c>
      <c r="U1244" s="52">
        <f t="shared" ca="1" si="1520"/>
        <v>31068.158608494123</v>
      </c>
      <c r="V1244" s="52">
        <f t="shared" ca="1" si="1520"/>
        <v>31374.285805991443</v>
      </c>
      <c r="W1244" s="52">
        <f t="shared" ca="1" si="1520"/>
        <v>31683.429399221437</v>
      </c>
      <c r="X1244" s="52">
        <f t="shared" ca="1" si="1520"/>
        <v>61262.581636075804</v>
      </c>
      <c r="Y1244" s="52">
        <f t="shared" ca="1" si="1520"/>
        <v>61866.226759175479</v>
      </c>
      <c r="Z1244" s="52">
        <f t="shared" ca="1" si="1520"/>
        <v>62475.819843084319</v>
      </c>
      <c r="AA1244" s="52">
        <f t="shared" ca="1" si="1520"/>
        <v>63091.419495478331</v>
      </c>
      <c r="AB1244" s="52">
        <f t="shared" ca="1" si="1520"/>
        <v>110005.14195495861</v>
      </c>
      <c r="AC1244" s="52">
        <f t="shared" ca="1" si="1520"/>
        <v>0</v>
      </c>
      <c r="AD1244" s="52">
        <f t="shared" ca="1" si="1520"/>
        <v>0</v>
      </c>
      <c r="AE1244" s="52">
        <f t="shared" ca="1" si="1520"/>
        <v>0</v>
      </c>
      <c r="AF1244" s="52">
        <f t="shared" ca="1" si="1520"/>
        <v>0</v>
      </c>
      <c r="AG1244" s="52">
        <f t="shared" ca="1" si="1520"/>
        <v>5526.9857779293634</v>
      </c>
      <c r="AH1244" s="52">
        <f t="shared" ca="1" si="1520"/>
        <v>20152.723434249718</v>
      </c>
      <c r="AI1244" s="52">
        <f t="shared" ca="1" si="1520"/>
        <v>0</v>
      </c>
      <c r="AJ1244" s="52">
        <f t="shared" ca="1" si="1520"/>
        <v>0</v>
      </c>
      <c r="AK1244" s="52">
        <f t="shared" ca="1" si="1520"/>
        <v>6321.1670295895783</v>
      </c>
      <c r="AL1244" s="52">
        <f t="shared" ca="1" si="1520"/>
        <v>23129.035590654974</v>
      </c>
      <c r="AM1244" s="52">
        <f t="shared" ca="1" si="1520"/>
        <v>0</v>
      </c>
      <c r="AN1244" s="52">
        <f t="shared" ca="1" si="1520"/>
        <v>0</v>
      </c>
      <c r="AO1244" s="52">
        <f t="shared" ca="1" si="1520"/>
        <v>7169.9024874847128</v>
      </c>
      <c r="AP1244" s="52">
        <f t="shared" ca="1" si="1520"/>
        <v>25438.718571728292</v>
      </c>
      <c r="AQ1244" s="52">
        <f t="shared" ca="1" si="1520"/>
        <v>0</v>
      </c>
      <c r="AR1244" s="52">
        <f t="shared" ca="1" si="1520"/>
        <v>0</v>
      </c>
      <c r="AS1244" s="52">
        <f t="shared" ca="1" si="1520"/>
        <v>6957.5761581066909</v>
      </c>
      <c r="AT1244" s="52">
        <f t="shared" ca="1" si="1520"/>
        <v>26346.648694106327</v>
      </c>
      <c r="AU1244" s="52">
        <f t="shared" ca="1" si="1520"/>
        <v>0</v>
      </c>
      <c r="AV1244" s="52">
        <f t="shared" ca="1" si="1520"/>
        <v>0</v>
      </c>
      <c r="AW1244" s="52">
        <f t="shared" ca="1" si="1520"/>
        <v>0</v>
      </c>
      <c r="AX1244" s="52">
        <f t="shared" ca="1" si="1520"/>
        <v>0</v>
      </c>
      <c r="AY1244" s="52">
        <f t="shared" ca="1" si="1520"/>
        <v>56390.865089872575</v>
      </c>
      <c r="AZ1244" s="52">
        <f t="shared" ca="1" si="1520"/>
        <v>3783.0571285007136</v>
      </c>
      <c r="BA1244" s="52">
        <f t="shared" ca="1" si="1520"/>
        <v>0</v>
      </c>
      <c r="BB1244" s="52">
        <f t="shared" ca="1" si="1520"/>
        <v>0</v>
      </c>
      <c r="BC1244" s="52">
        <f t="shared" ca="1" si="1520"/>
        <v>58646.499693467471</v>
      </c>
      <c r="BD1244" s="52">
        <f t="shared" ca="1" si="1520"/>
        <v>3622.2314913052032</v>
      </c>
      <c r="BE1244" s="52">
        <f t="shared" ca="1" si="1520"/>
        <v>0</v>
      </c>
      <c r="BF1244" s="52">
        <f t="shared" ca="1" si="1520"/>
        <v>0</v>
      </c>
      <c r="BG1244" s="52">
        <f t="shared" ca="1" si="1520"/>
        <v>60992.358067536086</v>
      </c>
      <c r="BH1244" s="52">
        <f t="shared" ca="1" si="1520"/>
        <v>4091.9199715871146</v>
      </c>
      <c r="BI1244" s="52">
        <f t="shared" ca="1" si="1520"/>
        <v>0</v>
      </c>
      <c r="BJ1244" s="52">
        <f t="shared" ca="1" si="1520"/>
        <v>0</v>
      </c>
      <c r="BK1244" s="52">
        <f t="shared" ca="1" si="1520"/>
        <v>63432.054068454323</v>
      </c>
      <c r="BL1244" s="52">
        <f t="shared" ca="1" si="1520"/>
        <v>4255.4247737937985</v>
      </c>
      <c r="BM1244" s="52">
        <f t="shared" ca="1" si="1520"/>
        <v>0</v>
      </c>
      <c r="BN1244" s="52">
        <f t="shared" ca="1" si="1520"/>
        <v>0</v>
      </c>
      <c r="BO1244" s="52">
        <f t="shared" ca="1" si="1520"/>
        <v>65969.336231192487</v>
      </c>
      <c r="BP1244" s="52">
        <f t="shared" ca="1" si="1520"/>
        <v>4425.6417647455528</v>
      </c>
      <c r="BQ1244" s="52">
        <f t="shared" ca="1" si="1520"/>
        <v>0</v>
      </c>
      <c r="BR1244" s="52">
        <f t="shared" ca="1" si="1520"/>
        <v>0</v>
      </c>
      <c r="BS1244" s="52">
        <f t="shared" ca="1" si="1520"/>
        <v>68608.109680440233</v>
      </c>
      <c r="BT1244" s="52">
        <f t="shared" ca="1" si="1520"/>
        <v>4237.4985164049576</v>
      </c>
      <c r="BU1244" s="52">
        <f t="shared" ca="1" si="1520"/>
        <v>0</v>
      </c>
      <c r="BV1244" s="52">
        <f t="shared" ca="1" si="1520"/>
        <v>0</v>
      </c>
      <c r="BW1244" s="52">
        <f t="shared" ca="1" si="1520"/>
        <v>71352.432179892086</v>
      </c>
      <c r="BX1244" s="52">
        <f t="shared" ref="BX1244:CO1244" ca="1" si="1521">-VAT_Cash_Flow*(VAT_Cash_Flow&lt;0)</f>
        <v>4786.9676055961463</v>
      </c>
      <c r="BY1244" s="52">
        <f t="shared" ca="1" si="1521"/>
        <v>0</v>
      </c>
      <c r="BZ1244" s="52">
        <f t="shared" ca="1" si="1521"/>
        <v>0</v>
      </c>
      <c r="CA1244" s="52">
        <f t="shared" ca="1" si="1521"/>
        <v>74206.531430364106</v>
      </c>
      <c r="CB1244" s="52">
        <f t="shared" ca="1" si="1521"/>
        <v>4978.2450980587528</v>
      </c>
      <c r="CC1244" s="52">
        <f t="shared" ca="1" si="1521"/>
        <v>0</v>
      </c>
      <c r="CD1244" s="52">
        <f t="shared" ca="1" si="1521"/>
        <v>0</v>
      </c>
      <c r="CE1244" s="52">
        <f t="shared" ca="1" si="1521"/>
        <v>77174.792687578665</v>
      </c>
      <c r="CF1244" s="52">
        <f t="shared" ca="1" si="1521"/>
        <v>5177.374901981093</v>
      </c>
      <c r="CG1244" s="52">
        <f t="shared" ca="1" si="1521"/>
        <v>0</v>
      </c>
      <c r="CH1244" s="52">
        <f t="shared" ca="1" si="1521"/>
        <v>0</v>
      </c>
      <c r="CI1244" s="52">
        <f t="shared" ca="1" si="1521"/>
        <v>80261.784395081791</v>
      </c>
      <c r="CJ1244" s="52">
        <f t="shared" ca="1" si="1521"/>
        <v>4957.2739124036452</v>
      </c>
      <c r="CK1244" s="52">
        <f t="shared" ca="1" si="1521"/>
        <v>0</v>
      </c>
      <c r="CL1244" s="52">
        <f t="shared" ca="1" si="1521"/>
        <v>0</v>
      </c>
      <c r="CM1244" s="52">
        <f t="shared" ca="1" si="1521"/>
        <v>83472.253562466241</v>
      </c>
      <c r="CN1244" s="52">
        <f t="shared" ca="1" si="1521"/>
        <v>5600.0750298493367</v>
      </c>
      <c r="CO1244" s="52">
        <f t="shared" ca="1" si="1521"/>
        <v>0</v>
      </c>
    </row>
    <row r="1245" spans="1:93">
      <c r="A1245" s="10"/>
      <c r="B1245" s="10"/>
      <c r="C1245" s="17" t="s">
        <v>214</v>
      </c>
      <c r="D1245" s="10"/>
      <c r="E1245" s="10"/>
      <c r="F1245" s="10"/>
      <c r="G1245" s="134" t="str">
        <f t="shared" si="1512"/>
        <v>тыс. руб.</v>
      </c>
      <c r="H1245" s="10"/>
      <c r="I1245" s="23">
        <f t="shared" ca="1" si="1513"/>
        <v>2386430.3781668385</v>
      </c>
      <c r="J1245" s="10"/>
      <c r="K1245" s="10"/>
      <c r="L1245" s="52">
        <f t="shared" ref="L1245:BW1245" ca="1" si="1522">-WC_Cash_Flow*(WC_Cash_Flow&lt;0)</f>
        <v>0</v>
      </c>
      <c r="M1245" s="52">
        <f t="shared" ca="1" si="1522"/>
        <v>0</v>
      </c>
      <c r="N1245" s="52">
        <f t="shared" ca="1" si="1522"/>
        <v>0</v>
      </c>
      <c r="O1245" s="52">
        <f t="shared" ca="1" si="1522"/>
        <v>0</v>
      </c>
      <c r="P1245" s="52">
        <f t="shared" ca="1" si="1522"/>
        <v>0</v>
      </c>
      <c r="Q1245" s="52">
        <f t="shared" ca="1" si="1522"/>
        <v>0</v>
      </c>
      <c r="R1245" s="52">
        <f t="shared" ca="1" si="1522"/>
        <v>0</v>
      </c>
      <c r="S1245" s="52">
        <f t="shared" ca="1" si="1522"/>
        <v>0</v>
      </c>
      <c r="T1245" s="52">
        <f t="shared" ca="1" si="1522"/>
        <v>0</v>
      </c>
      <c r="U1245" s="52">
        <f t="shared" ca="1" si="1522"/>
        <v>0</v>
      </c>
      <c r="V1245" s="52">
        <f t="shared" ca="1" si="1522"/>
        <v>0</v>
      </c>
      <c r="W1245" s="52">
        <f t="shared" ca="1" si="1522"/>
        <v>0</v>
      </c>
      <c r="X1245" s="52">
        <f t="shared" ca="1" si="1522"/>
        <v>0</v>
      </c>
      <c r="Y1245" s="52">
        <f t="shared" ca="1" si="1522"/>
        <v>0</v>
      </c>
      <c r="Z1245" s="52">
        <f t="shared" ca="1" si="1522"/>
        <v>0</v>
      </c>
      <c r="AA1245" s="52">
        <f t="shared" ca="1" si="1522"/>
        <v>0</v>
      </c>
      <c r="AB1245" s="52">
        <f t="shared" ca="1" si="1522"/>
        <v>0</v>
      </c>
      <c r="AC1245" s="52">
        <f t="shared" ca="1" si="1522"/>
        <v>69426.365057955772</v>
      </c>
      <c r="AD1245" s="52">
        <f t="shared" ca="1" si="1522"/>
        <v>63970.969616588263</v>
      </c>
      <c r="AE1245" s="52">
        <f t="shared" ca="1" si="1522"/>
        <v>0</v>
      </c>
      <c r="AF1245" s="52">
        <f t="shared" ca="1" si="1522"/>
        <v>0</v>
      </c>
      <c r="AG1245" s="52">
        <f t="shared" ca="1" si="1522"/>
        <v>36677.000975711504</v>
      </c>
      <c r="AH1245" s="52">
        <f t="shared" ca="1" si="1522"/>
        <v>74122.31285529217</v>
      </c>
      <c r="AI1245" s="52">
        <f t="shared" ca="1" si="1522"/>
        <v>0</v>
      </c>
      <c r="AJ1245" s="52">
        <f t="shared" ca="1" si="1522"/>
        <v>0</v>
      </c>
      <c r="AK1245" s="52">
        <f t="shared" ca="1" si="1522"/>
        <v>42140.401559901497</v>
      </c>
      <c r="AL1245" s="52">
        <f t="shared" ca="1" si="1522"/>
        <v>84983.410001705837</v>
      </c>
      <c r="AM1245" s="52">
        <f t="shared" ca="1" si="1522"/>
        <v>0</v>
      </c>
      <c r="AN1245" s="52">
        <f t="shared" ca="1" si="1522"/>
        <v>0</v>
      </c>
      <c r="AO1245" s="52">
        <f t="shared" ca="1" si="1522"/>
        <v>47982.192091916775</v>
      </c>
      <c r="AP1245" s="52">
        <f t="shared" ca="1" si="1522"/>
        <v>92166.338640098256</v>
      </c>
      <c r="AQ1245" s="52">
        <f t="shared" ca="1" si="1522"/>
        <v>0</v>
      </c>
      <c r="AR1245" s="52">
        <f t="shared" ca="1" si="1522"/>
        <v>0</v>
      </c>
      <c r="AS1245" s="52">
        <f t="shared" ca="1" si="1522"/>
        <v>48511.617276406585</v>
      </c>
      <c r="AT1245" s="52">
        <f t="shared" ca="1" si="1522"/>
        <v>95852.991027645534</v>
      </c>
      <c r="AU1245" s="52">
        <f t="shared" ca="1" si="1522"/>
        <v>0</v>
      </c>
      <c r="AV1245" s="52">
        <f t="shared" ca="1" si="1522"/>
        <v>0</v>
      </c>
      <c r="AW1245" s="52">
        <f t="shared" ca="1" si="1522"/>
        <v>32436.995904036186</v>
      </c>
      <c r="AX1245" s="52">
        <f t="shared" ca="1" si="1522"/>
        <v>82172.751018344134</v>
      </c>
      <c r="AY1245" s="52">
        <f t="shared" ca="1" si="1522"/>
        <v>0</v>
      </c>
      <c r="AZ1245" s="52">
        <f t="shared" ca="1" si="1522"/>
        <v>0</v>
      </c>
      <c r="BA1245" s="52">
        <f t="shared" ca="1" si="1522"/>
        <v>43744.164730566728</v>
      </c>
      <c r="BB1245" s="52">
        <f t="shared" ca="1" si="1522"/>
        <v>85459.661059077858</v>
      </c>
      <c r="BC1245" s="52">
        <f t="shared" ca="1" si="1522"/>
        <v>0</v>
      </c>
      <c r="BD1245" s="52">
        <f t="shared" ca="1" si="1522"/>
        <v>0</v>
      </c>
      <c r="BE1245" s="52">
        <f t="shared" ca="1" si="1522"/>
        <v>45493.932609735406</v>
      </c>
      <c r="BF1245" s="52">
        <f t="shared" ca="1" si="1522"/>
        <v>88878.04880409714</v>
      </c>
      <c r="BG1245" s="52">
        <f t="shared" ca="1" si="1522"/>
        <v>0</v>
      </c>
      <c r="BH1245" s="52">
        <f t="shared" ca="1" si="1522"/>
        <v>0</v>
      </c>
      <c r="BI1245" s="52">
        <f t="shared" ca="1" si="1522"/>
        <v>47313.688572580984</v>
      </c>
      <c r="BJ1245" s="52">
        <f t="shared" ca="1" si="1522"/>
        <v>92433.169401498453</v>
      </c>
      <c r="BK1245" s="52">
        <f t="shared" ca="1" si="1522"/>
        <v>0</v>
      </c>
      <c r="BL1245" s="52">
        <f t="shared" ca="1" si="1522"/>
        <v>0</v>
      </c>
      <c r="BM1245" s="52">
        <f t="shared" ca="1" si="1522"/>
        <v>49206.236115484178</v>
      </c>
      <c r="BN1245" s="52">
        <f t="shared" ca="1" si="1522"/>
        <v>96130.496177558496</v>
      </c>
      <c r="BO1245" s="52">
        <f t="shared" ca="1" si="1522"/>
        <v>0</v>
      </c>
      <c r="BP1245" s="52">
        <f t="shared" ca="1" si="1522"/>
        <v>0</v>
      </c>
      <c r="BQ1245" s="52">
        <f t="shared" ca="1" si="1522"/>
        <v>51174.485560103698</v>
      </c>
      <c r="BR1245" s="52">
        <f t="shared" ca="1" si="1522"/>
        <v>99975.716024660796</v>
      </c>
      <c r="BS1245" s="52">
        <f t="shared" ca="1" si="1522"/>
        <v>0</v>
      </c>
      <c r="BT1245" s="52">
        <f t="shared" ca="1" si="1522"/>
        <v>0</v>
      </c>
      <c r="BU1245" s="52">
        <f t="shared" ca="1" si="1522"/>
        <v>53221.46649156179</v>
      </c>
      <c r="BV1245" s="52">
        <f t="shared" ca="1" si="1522"/>
        <v>103974.74618957087</v>
      </c>
      <c r="BW1245" s="52">
        <f t="shared" ca="1" si="1522"/>
        <v>0</v>
      </c>
      <c r="BX1245" s="52">
        <f t="shared" ref="BX1245:CO1245" ca="1" si="1523">-WC_Cash_Flow*(WC_Cash_Flow&lt;0)</f>
        <v>0</v>
      </c>
      <c r="BY1245" s="52">
        <f t="shared" ca="1" si="1523"/>
        <v>55350.32358180813</v>
      </c>
      <c r="BZ1245" s="52">
        <f t="shared" ca="1" si="1523"/>
        <v>108133.73445227277</v>
      </c>
      <c r="CA1245" s="52">
        <f t="shared" ca="1" si="1523"/>
        <v>0</v>
      </c>
      <c r="CB1245" s="52">
        <f t="shared" ca="1" si="1523"/>
        <v>0</v>
      </c>
      <c r="CC1245" s="52">
        <f t="shared" ca="1" si="1523"/>
        <v>57564.336525080376</v>
      </c>
      <c r="CD1245" s="52">
        <f t="shared" ca="1" si="1523"/>
        <v>112459.08383036405</v>
      </c>
      <c r="CE1245" s="52">
        <f t="shared" ca="1" si="1523"/>
        <v>0</v>
      </c>
      <c r="CF1245" s="52">
        <f t="shared" ca="1" si="1523"/>
        <v>0</v>
      </c>
      <c r="CG1245" s="52">
        <f t="shared" ca="1" si="1523"/>
        <v>59866.9099860836</v>
      </c>
      <c r="CH1245" s="52">
        <f t="shared" ca="1" si="1523"/>
        <v>116957.44718357857</v>
      </c>
      <c r="CI1245" s="52">
        <f t="shared" ca="1" si="1523"/>
        <v>0</v>
      </c>
      <c r="CJ1245" s="52">
        <f t="shared" ca="1" si="1523"/>
        <v>0</v>
      </c>
      <c r="CK1245" s="52">
        <f t="shared" ca="1" si="1523"/>
        <v>62261.588150906988</v>
      </c>
      <c r="CL1245" s="52">
        <f t="shared" ca="1" si="1523"/>
        <v>121635.74685369676</v>
      </c>
      <c r="CM1245" s="52">
        <f t="shared" ca="1" si="1523"/>
        <v>0</v>
      </c>
      <c r="CN1245" s="52">
        <f t="shared" ca="1" si="1523"/>
        <v>0</v>
      </c>
      <c r="CO1245" s="52">
        <f t="shared" ca="1" si="1523"/>
        <v>64752.049840948021</v>
      </c>
    </row>
    <row r="1246" spans="1:93">
      <c r="A1246" s="10"/>
      <c r="B1246" s="10"/>
      <c r="C1246" s="17" t="s">
        <v>107</v>
      </c>
      <c r="D1246" s="10"/>
      <c r="E1246" s="10"/>
      <c r="F1246" s="10"/>
      <c r="G1246" s="134" t="str">
        <f t="shared" si="1512"/>
        <v>тыс. руб.</v>
      </c>
      <c r="H1246" s="10"/>
      <c r="I1246" s="23">
        <f t="shared" ca="1" si="1513"/>
        <v>1083177.1599277665</v>
      </c>
      <c r="J1246" s="10"/>
      <c r="K1246" s="10"/>
      <c r="L1246" s="52">
        <f t="shared" ref="L1246:BW1246" ca="1" si="1524">-Profits_Tax</f>
        <v>0</v>
      </c>
      <c r="M1246" s="52">
        <f t="shared" ca="1" si="1524"/>
        <v>0</v>
      </c>
      <c r="N1246" s="52">
        <f t="shared" ca="1" si="1524"/>
        <v>0</v>
      </c>
      <c r="O1246" s="52">
        <f t="shared" ca="1" si="1524"/>
        <v>0</v>
      </c>
      <c r="P1246" s="52">
        <f t="shared" ca="1" si="1524"/>
        <v>0</v>
      </c>
      <c r="Q1246" s="52">
        <f t="shared" ca="1" si="1524"/>
        <v>0</v>
      </c>
      <c r="R1246" s="52">
        <f t="shared" ca="1" si="1524"/>
        <v>0</v>
      </c>
      <c r="S1246" s="52">
        <f t="shared" ca="1" si="1524"/>
        <v>0</v>
      </c>
      <c r="T1246" s="52">
        <f t="shared" ca="1" si="1524"/>
        <v>0</v>
      </c>
      <c r="U1246" s="52">
        <f t="shared" ca="1" si="1524"/>
        <v>0</v>
      </c>
      <c r="V1246" s="52">
        <f t="shared" ca="1" si="1524"/>
        <v>0</v>
      </c>
      <c r="W1246" s="52">
        <f t="shared" ca="1" si="1524"/>
        <v>0</v>
      </c>
      <c r="X1246" s="52">
        <f t="shared" ca="1" si="1524"/>
        <v>0</v>
      </c>
      <c r="Y1246" s="52">
        <f t="shared" ca="1" si="1524"/>
        <v>0</v>
      </c>
      <c r="Z1246" s="52">
        <f t="shared" ca="1" si="1524"/>
        <v>0</v>
      </c>
      <c r="AA1246" s="52">
        <f t="shared" ca="1" si="1524"/>
        <v>0</v>
      </c>
      <c r="AB1246" s="52">
        <f t="shared" ca="1" si="1524"/>
        <v>0</v>
      </c>
      <c r="AC1246" s="52">
        <f t="shared" ca="1" si="1524"/>
        <v>0</v>
      </c>
      <c r="AD1246" s="52">
        <f t="shared" ca="1" si="1524"/>
        <v>1783.8517168128092</v>
      </c>
      <c r="AE1246" s="52">
        <f t="shared" ca="1" si="1524"/>
        <v>34.460020830635514</v>
      </c>
      <c r="AF1246" s="52">
        <f t="shared" ca="1" si="1524"/>
        <v>0</v>
      </c>
      <c r="AG1246" s="52">
        <f t="shared" ca="1" si="1524"/>
        <v>710.4535125094086</v>
      </c>
      <c r="AH1246" s="52">
        <f t="shared" ca="1" si="1524"/>
        <v>2294.7982331503858</v>
      </c>
      <c r="AI1246" s="52">
        <f t="shared" ca="1" si="1524"/>
        <v>239.77500152082479</v>
      </c>
      <c r="AJ1246" s="52">
        <f t="shared" ca="1" si="1524"/>
        <v>154.6523856769943</v>
      </c>
      <c r="AK1246" s="52">
        <f t="shared" ca="1" si="1524"/>
        <v>1017.3856901637367</v>
      </c>
      <c r="AL1246" s="52">
        <f t="shared" ca="1" si="1524"/>
        <v>2838.8876693744746</v>
      </c>
      <c r="AM1246" s="52">
        <f t="shared" ca="1" si="1524"/>
        <v>476.01599709059332</v>
      </c>
      <c r="AN1246" s="52">
        <f t="shared" ca="1" si="1524"/>
        <v>384.45855674662567</v>
      </c>
      <c r="AO1246" s="52">
        <f t="shared" ca="1" si="1524"/>
        <v>1363.8566540876977</v>
      </c>
      <c r="AP1246" s="52">
        <f t="shared" ca="1" si="1524"/>
        <v>3349.5826799216848</v>
      </c>
      <c r="AQ1246" s="52">
        <f t="shared" ca="1" si="1524"/>
        <v>877.94883343143158</v>
      </c>
      <c r="AR1246" s="52">
        <f t="shared" ca="1" si="1524"/>
        <v>1102.0585517472766</v>
      </c>
      <c r="AS1246" s="52">
        <f t="shared" ca="1" si="1524"/>
        <v>3113.2048150097348</v>
      </c>
      <c r="AT1246" s="52">
        <f t="shared" ca="1" si="1524"/>
        <v>7251.0413327619317</v>
      </c>
      <c r="AU1246" s="52">
        <f t="shared" ca="1" si="1524"/>
        <v>6079.681761137449</v>
      </c>
      <c r="AV1246" s="52">
        <f t="shared" ca="1" si="1524"/>
        <v>5393.0059544168471</v>
      </c>
      <c r="AW1246" s="52">
        <f t="shared" ca="1" si="1524"/>
        <v>9100.6360451454311</v>
      </c>
      <c r="AX1246" s="52">
        <f t="shared" ca="1" si="1524"/>
        <v>20387.297472093291</v>
      </c>
      <c r="AY1246" s="52">
        <f t="shared" ca="1" si="1524"/>
        <v>5113.4158321700788</v>
      </c>
      <c r="AZ1246" s="52">
        <f t="shared" ca="1" si="1524"/>
        <v>4099.8034607835061</v>
      </c>
      <c r="BA1246" s="52">
        <f t="shared" ca="1" si="1524"/>
        <v>9723.348559444139</v>
      </c>
      <c r="BB1246" s="52">
        <f t="shared" ca="1" si="1524"/>
        <v>21303.267284913883</v>
      </c>
      <c r="BC1246" s="52">
        <f t="shared" ca="1" si="1524"/>
        <v>5418.430379393737</v>
      </c>
      <c r="BD1246" s="52">
        <f t="shared" ca="1" si="1524"/>
        <v>4439.213805277408</v>
      </c>
      <c r="BE1246" s="52">
        <f t="shared" ca="1" si="1524"/>
        <v>11252.770442178638</v>
      </c>
      <c r="BF1246" s="52">
        <f t="shared" ca="1" si="1524"/>
        <v>23295.962995880793</v>
      </c>
      <c r="BG1246" s="52">
        <f t="shared" ca="1" si="1524"/>
        <v>6775.7331789243817</v>
      </c>
      <c r="BH1246" s="52">
        <f t="shared" ca="1" si="1524"/>
        <v>5678.6157829512076</v>
      </c>
      <c r="BI1246" s="52">
        <f t="shared" ca="1" si="1524"/>
        <v>11761.187103371267</v>
      </c>
      <c r="BJ1246" s="52">
        <f t="shared" ca="1" si="1524"/>
        <v>24286.172138548041</v>
      </c>
      <c r="BK1246" s="52">
        <f t="shared" ca="1" si="1524"/>
        <v>7105.132541537474</v>
      </c>
      <c r="BL1246" s="52">
        <f t="shared" ca="1" si="1524"/>
        <v>5964.5128965415306</v>
      </c>
      <c r="BM1246" s="52">
        <f t="shared" ca="1" si="1524"/>
        <v>12290.458119635599</v>
      </c>
      <c r="BN1246" s="52">
        <f t="shared" ca="1" si="1524"/>
        <v>25316.513606076656</v>
      </c>
      <c r="BO1246" s="52">
        <f t="shared" ca="1" si="1524"/>
        <v>16492.514655768286</v>
      </c>
      <c r="BP1246" s="52">
        <f t="shared" ca="1" si="1524"/>
        <v>13865.515909638518</v>
      </c>
      <c r="BQ1246" s="52">
        <f t="shared" ca="1" si="1524"/>
        <v>28433.421376647551</v>
      </c>
      <c r="BR1246" s="52">
        <f t="shared" ca="1" si="1524"/>
        <v>56866.140096120798</v>
      </c>
      <c r="BS1246" s="52">
        <f t="shared" ca="1" si="1524"/>
        <v>15737.972148449895</v>
      </c>
      <c r="BT1246" s="52">
        <f t="shared" ca="1" si="1524"/>
        <v>13241.198965775646</v>
      </c>
      <c r="BU1246" s="52">
        <f t="shared" ca="1" si="1524"/>
        <v>28217.766330432834</v>
      </c>
      <c r="BV1246" s="52">
        <f t="shared" ca="1" si="1524"/>
        <v>59418.696597877533</v>
      </c>
      <c r="BW1246" s="52">
        <f t="shared" ca="1" si="1524"/>
        <v>16644.551699020234</v>
      </c>
      <c r="BX1246" s="52">
        <f t="shared" ref="BX1246:CO1246" ca="1" si="1525">-Profits_Tax</f>
        <v>13848.750829669019</v>
      </c>
      <c r="BY1246" s="52">
        <f t="shared" ca="1" si="1525"/>
        <v>29609.72618933655</v>
      </c>
      <c r="BZ1246" s="52">
        <f t="shared" ca="1" si="1525"/>
        <v>62059.570386573781</v>
      </c>
      <c r="CA1246" s="52">
        <f t="shared" ca="1" si="1525"/>
        <v>17573.717564746523</v>
      </c>
      <c r="CB1246" s="52">
        <f t="shared" ca="1" si="1525"/>
        <v>14667.329897215441</v>
      </c>
      <c r="CC1246" s="52">
        <f t="shared" ca="1" si="1525"/>
        <v>31059.607846617138</v>
      </c>
      <c r="CD1246" s="52">
        <f t="shared" ca="1" si="1525"/>
        <v>64808.292055786733</v>
      </c>
      <c r="CE1246" s="52">
        <f t="shared" ca="1" si="1525"/>
        <v>18542.207881073417</v>
      </c>
      <c r="CF1246" s="52">
        <f t="shared" ca="1" si="1525"/>
        <v>15515.532492630453</v>
      </c>
      <c r="CG1246" s="52">
        <f t="shared" ca="1" si="1525"/>
        <v>32564.330472746424</v>
      </c>
      <c r="CH1246" s="52">
        <f t="shared" ca="1" si="1525"/>
        <v>67663.773631716351</v>
      </c>
      <c r="CI1246" s="52">
        <f t="shared" ca="1" si="1525"/>
        <v>19546.248850001593</v>
      </c>
      <c r="CJ1246" s="52">
        <f t="shared" ca="1" si="1525"/>
        <v>16613.31464927864</v>
      </c>
      <c r="CK1246" s="52">
        <f t="shared" ca="1" si="1525"/>
        <v>34130.440676929851</v>
      </c>
      <c r="CL1246" s="52">
        <f t="shared" ca="1" si="1525"/>
        <v>70634.633554462838</v>
      </c>
      <c r="CM1246" s="52">
        <f t="shared" ca="1" si="1525"/>
        <v>20591.557796706118</v>
      </c>
      <c r="CN1246" s="52">
        <f t="shared" ca="1" si="1525"/>
        <v>17305.595429169738</v>
      </c>
      <c r="CO1246" s="52">
        <f t="shared" ca="1" si="1525"/>
        <v>35747.160932116996</v>
      </c>
    </row>
    <row r="1247" spans="1:93">
      <c r="A1247" s="10"/>
      <c r="B1247" s="10"/>
      <c r="C1247" s="17" t="s">
        <v>467</v>
      </c>
      <c r="D1247" s="10"/>
      <c r="E1247" s="10"/>
      <c r="F1247" s="10"/>
      <c r="G1247" s="134" t="str">
        <f t="shared" si="1512"/>
        <v>тыс. руб.</v>
      </c>
      <c r="H1247" s="10"/>
      <c r="I1247" s="23">
        <f t="shared" ca="1" si="1513"/>
        <v>2771888.3794600698</v>
      </c>
      <c r="J1247" s="10"/>
      <c r="K1247" s="10"/>
      <c r="L1247" s="52">
        <f t="shared" ref="L1247:BW1247" ca="1" si="1526">-Debt_Repaiment</f>
        <v>0</v>
      </c>
      <c r="M1247" s="52">
        <f t="shared" ca="1" si="1526"/>
        <v>0</v>
      </c>
      <c r="N1247" s="52">
        <f t="shared" ca="1" si="1526"/>
        <v>0</v>
      </c>
      <c r="O1247" s="52">
        <f t="shared" ca="1" si="1526"/>
        <v>0</v>
      </c>
      <c r="P1247" s="52">
        <f t="shared" ca="1" si="1526"/>
        <v>0</v>
      </c>
      <c r="Q1247" s="52">
        <f t="shared" ca="1" si="1526"/>
        <v>0</v>
      </c>
      <c r="R1247" s="52">
        <f t="shared" ca="1" si="1526"/>
        <v>0</v>
      </c>
      <c r="S1247" s="52">
        <f t="shared" ca="1" si="1526"/>
        <v>0</v>
      </c>
      <c r="T1247" s="52">
        <f t="shared" ca="1" si="1526"/>
        <v>0</v>
      </c>
      <c r="U1247" s="52">
        <f t="shared" ca="1" si="1526"/>
        <v>0</v>
      </c>
      <c r="V1247" s="52">
        <f t="shared" ca="1" si="1526"/>
        <v>0</v>
      </c>
      <c r="W1247" s="52">
        <f t="shared" ca="1" si="1526"/>
        <v>0</v>
      </c>
      <c r="X1247" s="52">
        <f t="shared" ca="1" si="1526"/>
        <v>0</v>
      </c>
      <c r="Y1247" s="52">
        <f t="shared" ca="1" si="1526"/>
        <v>0</v>
      </c>
      <c r="Z1247" s="52">
        <f t="shared" ca="1" si="1526"/>
        <v>0</v>
      </c>
      <c r="AA1247" s="52">
        <f t="shared" ca="1" si="1526"/>
        <v>0</v>
      </c>
      <c r="AB1247" s="52">
        <f t="shared" ca="1" si="1526"/>
        <v>0</v>
      </c>
      <c r="AC1247" s="52">
        <f t="shared" ca="1" si="1526"/>
        <v>426931.12781532214</v>
      </c>
      <c r="AD1247" s="52">
        <f t="shared" ca="1" si="1526"/>
        <v>208187.55157314718</v>
      </c>
      <c r="AE1247" s="52">
        <f t="shared" ca="1" si="1526"/>
        <v>118775.97235180263</v>
      </c>
      <c r="AF1247" s="52">
        <f t="shared" ca="1" si="1526"/>
        <v>55399.233751181804</v>
      </c>
      <c r="AG1247" s="52">
        <f t="shared" ca="1" si="1526"/>
        <v>65484.432646601446</v>
      </c>
      <c r="AH1247" s="52">
        <f t="shared" ca="1" si="1526"/>
        <v>153215.60937127657</v>
      </c>
      <c r="AI1247" s="52">
        <f t="shared" ca="1" si="1526"/>
        <v>148568.80968953908</v>
      </c>
      <c r="AJ1247" s="52">
        <f t="shared" ca="1" si="1526"/>
        <v>74580.822310337593</v>
      </c>
      <c r="AK1247" s="52">
        <f t="shared" ca="1" si="1526"/>
        <v>86058.090179155028</v>
      </c>
      <c r="AL1247" s="52">
        <f t="shared" ca="1" si="1526"/>
        <v>186990.50331830193</v>
      </c>
      <c r="AM1247" s="52">
        <f t="shared" ca="1" si="1526"/>
        <v>181497.67720045152</v>
      </c>
      <c r="AN1247" s="52">
        <f t="shared" ca="1" si="1526"/>
        <v>96882.663383457737</v>
      </c>
      <c r="AO1247" s="52">
        <f t="shared" ca="1" si="1526"/>
        <v>109182.62749578085</v>
      </c>
      <c r="AP1247" s="52">
        <f t="shared" ca="1" si="1526"/>
        <v>221256.08364928619</v>
      </c>
      <c r="AQ1247" s="52">
        <f t="shared" ca="1" si="1526"/>
        <v>212074.11197092943</v>
      </c>
      <c r="AR1247" s="52">
        <f t="shared" ca="1" si="1526"/>
        <v>114089.47942791763</v>
      </c>
      <c r="AS1247" s="52">
        <f t="shared" ca="1" si="1526"/>
        <v>123366.4488239716</v>
      </c>
      <c r="AT1247" s="52">
        <f t="shared" ca="1" si="1526"/>
        <v>189347.13450160954</v>
      </c>
      <c r="AU1247" s="52">
        <f t="shared" ca="1" si="1526"/>
        <v>0</v>
      </c>
      <c r="AV1247" s="52">
        <f t="shared" ca="1" si="1526"/>
        <v>0</v>
      </c>
      <c r="AW1247" s="52">
        <f t="shared" ca="1" si="1526"/>
        <v>0</v>
      </c>
      <c r="AX1247" s="52">
        <f t="shared" ca="1" si="1526"/>
        <v>0</v>
      </c>
      <c r="AY1247" s="52">
        <f t="shared" ca="1" si="1526"/>
        <v>0</v>
      </c>
      <c r="AZ1247" s="52">
        <f t="shared" ca="1" si="1526"/>
        <v>0</v>
      </c>
      <c r="BA1247" s="52">
        <f t="shared" ca="1" si="1526"/>
        <v>0</v>
      </c>
      <c r="BB1247" s="52">
        <f t="shared" ca="1" si="1526"/>
        <v>0</v>
      </c>
      <c r="BC1247" s="52">
        <f t="shared" ca="1" si="1526"/>
        <v>0</v>
      </c>
      <c r="BD1247" s="52">
        <f t="shared" ca="1" si="1526"/>
        <v>0</v>
      </c>
      <c r="BE1247" s="52">
        <f t="shared" ca="1" si="1526"/>
        <v>0</v>
      </c>
      <c r="BF1247" s="52">
        <f t="shared" ca="1" si="1526"/>
        <v>0</v>
      </c>
      <c r="BG1247" s="52">
        <f t="shared" ca="1" si="1526"/>
        <v>0</v>
      </c>
      <c r="BH1247" s="52">
        <f t="shared" ca="1" si="1526"/>
        <v>0</v>
      </c>
      <c r="BI1247" s="52">
        <f t="shared" ca="1" si="1526"/>
        <v>0</v>
      </c>
      <c r="BJ1247" s="52">
        <f t="shared" ca="1" si="1526"/>
        <v>0</v>
      </c>
      <c r="BK1247" s="52">
        <f t="shared" ca="1" si="1526"/>
        <v>0</v>
      </c>
      <c r="BL1247" s="52">
        <f t="shared" ca="1" si="1526"/>
        <v>0</v>
      </c>
      <c r="BM1247" s="52">
        <f t="shared" ca="1" si="1526"/>
        <v>0</v>
      </c>
      <c r="BN1247" s="52">
        <f t="shared" ca="1" si="1526"/>
        <v>0</v>
      </c>
      <c r="BO1247" s="52">
        <f t="shared" ca="1" si="1526"/>
        <v>0</v>
      </c>
      <c r="BP1247" s="52">
        <f t="shared" ca="1" si="1526"/>
        <v>0</v>
      </c>
      <c r="BQ1247" s="52">
        <f t="shared" ca="1" si="1526"/>
        <v>0</v>
      </c>
      <c r="BR1247" s="52">
        <f t="shared" ca="1" si="1526"/>
        <v>0</v>
      </c>
      <c r="BS1247" s="52">
        <f t="shared" ca="1" si="1526"/>
        <v>0</v>
      </c>
      <c r="BT1247" s="52">
        <f t="shared" ca="1" si="1526"/>
        <v>0</v>
      </c>
      <c r="BU1247" s="52">
        <f t="shared" ca="1" si="1526"/>
        <v>0</v>
      </c>
      <c r="BV1247" s="52">
        <f t="shared" ca="1" si="1526"/>
        <v>0</v>
      </c>
      <c r="BW1247" s="52">
        <f t="shared" ca="1" si="1526"/>
        <v>0</v>
      </c>
      <c r="BX1247" s="52">
        <f t="shared" ref="BX1247:CO1247" ca="1" si="1527">-Debt_Repaiment</f>
        <v>0</v>
      </c>
      <c r="BY1247" s="52">
        <f t="shared" ca="1" si="1527"/>
        <v>0</v>
      </c>
      <c r="BZ1247" s="52">
        <f t="shared" ca="1" si="1527"/>
        <v>0</v>
      </c>
      <c r="CA1247" s="52">
        <f t="shared" ca="1" si="1527"/>
        <v>0</v>
      </c>
      <c r="CB1247" s="52">
        <f t="shared" ca="1" si="1527"/>
        <v>0</v>
      </c>
      <c r="CC1247" s="52">
        <f t="shared" ca="1" si="1527"/>
        <v>0</v>
      </c>
      <c r="CD1247" s="52">
        <f t="shared" ca="1" si="1527"/>
        <v>0</v>
      </c>
      <c r="CE1247" s="52">
        <f t="shared" ca="1" si="1527"/>
        <v>0</v>
      </c>
      <c r="CF1247" s="52">
        <f t="shared" ca="1" si="1527"/>
        <v>0</v>
      </c>
      <c r="CG1247" s="52">
        <f t="shared" ca="1" si="1527"/>
        <v>0</v>
      </c>
      <c r="CH1247" s="52">
        <f t="shared" ca="1" si="1527"/>
        <v>0</v>
      </c>
      <c r="CI1247" s="52">
        <f t="shared" ca="1" si="1527"/>
        <v>0</v>
      </c>
      <c r="CJ1247" s="52">
        <f t="shared" ca="1" si="1527"/>
        <v>0</v>
      </c>
      <c r="CK1247" s="52">
        <f t="shared" ca="1" si="1527"/>
        <v>0</v>
      </c>
      <c r="CL1247" s="52">
        <f t="shared" ca="1" si="1527"/>
        <v>0</v>
      </c>
      <c r="CM1247" s="52">
        <f t="shared" ca="1" si="1527"/>
        <v>0</v>
      </c>
      <c r="CN1247" s="52">
        <f t="shared" ca="1" si="1527"/>
        <v>0</v>
      </c>
      <c r="CO1247" s="52">
        <f t="shared" ca="1" si="1527"/>
        <v>0</v>
      </c>
    </row>
    <row r="1248" spans="1:93">
      <c r="A1248" s="10"/>
      <c r="B1248" s="10"/>
      <c r="C1248" s="17" t="s">
        <v>468</v>
      </c>
      <c r="D1248" s="10"/>
      <c r="E1248" s="10"/>
      <c r="F1248" s="10"/>
      <c r="G1248" s="134" t="str">
        <f t="shared" si="1512"/>
        <v>тыс. руб.</v>
      </c>
      <c r="H1248" s="10"/>
      <c r="I1248" s="23">
        <f t="shared" ca="1" si="1513"/>
        <v>472505.91550729872</v>
      </c>
      <c r="J1248" s="10"/>
      <c r="K1248" s="10"/>
      <c r="L1248" s="52">
        <f t="shared" ref="L1248:BW1248" si="1528">-Debt_Interest_Paid</f>
        <v>0</v>
      </c>
      <c r="M1248" s="52">
        <f t="shared" ca="1" si="1528"/>
        <v>0</v>
      </c>
      <c r="N1248" s="52">
        <f t="shared" ca="1" si="1528"/>
        <v>0</v>
      </c>
      <c r="O1248" s="52">
        <f t="shared" ca="1" si="1528"/>
        <v>0</v>
      </c>
      <c r="P1248" s="52">
        <f t="shared" ca="1" si="1528"/>
        <v>0</v>
      </c>
      <c r="Q1248" s="52">
        <f t="shared" ca="1" si="1528"/>
        <v>0</v>
      </c>
      <c r="R1248" s="52">
        <f t="shared" ca="1" si="1528"/>
        <v>0</v>
      </c>
      <c r="S1248" s="52">
        <f t="shared" ca="1" si="1528"/>
        <v>0</v>
      </c>
      <c r="T1248" s="52">
        <f t="shared" ca="1" si="1528"/>
        <v>375.82926333388428</v>
      </c>
      <c r="U1248" s="52">
        <f t="shared" ca="1" si="1528"/>
        <v>2049.679343298747</v>
      </c>
      <c r="V1248" s="52">
        <f t="shared" ca="1" si="1528"/>
        <v>4692.73305525248</v>
      </c>
      <c r="W1248" s="52">
        <f t="shared" ca="1" si="1528"/>
        <v>7339.0839635085113</v>
      </c>
      <c r="X1248" s="52">
        <f t="shared" ca="1" si="1528"/>
        <v>11087.213428915877</v>
      </c>
      <c r="Y1248" s="52">
        <f t="shared" ca="1" si="1528"/>
        <v>16184.443320720929</v>
      </c>
      <c r="Z1248" s="52">
        <f t="shared" ca="1" si="1528"/>
        <v>21566.314755658917</v>
      </c>
      <c r="AA1248" s="52">
        <f t="shared" ca="1" si="1528"/>
        <v>26821.612493877776</v>
      </c>
      <c r="AB1248" s="52">
        <f t="shared" ca="1" si="1528"/>
        <v>33416.864118378056</v>
      </c>
      <c r="AC1248" s="52">
        <f t="shared" ca="1" si="1528"/>
        <v>38354.581535515288</v>
      </c>
      <c r="AD1248" s="52">
        <f t="shared" ca="1" si="1528"/>
        <v>32803.703361364605</v>
      </c>
      <c r="AE1248" s="52">
        <f t="shared" ca="1" si="1528"/>
        <v>29891.359146755047</v>
      </c>
      <c r="AF1248" s="52">
        <f t="shared" ca="1" si="1528"/>
        <v>27616.105945096959</v>
      </c>
      <c r="AG1248" s="52">
        <f t="shared" ca="1" si="1528"/>
        <v>27156.393128187661</v>
      </c>
      <c r="AH1248" s="52">
        <f t="shared" ca="1" si="1528"/>
        <v>26538.750611260843</v>
      </c>
      <c r="AI1248" s="52">
        <f t="shared" ca="1" si="1528"/>
        <v>24395.411155234164</v>
      </c>
      <c r="AJ1248" s="52">
        <f t="shared" ca="1" si="1528"/>
        <v>21831.922145464901</v>
      </c>
      <c r="AK1248" s="52">
        <f t="shared" ca="1" si="1528"/>
        <v>21042.52524153925</v>
      </c>
      <c r="AL1248" s="52">
        <f t="shared" ca="1" si="1528"/>
        <v>20069.891622505023</v>
      </c>
      <c r="AM1248" s="52">
        <f t="shared" ca="1" si="1528"/>
        <v>17454.073787044064</v>
      </c>
      <c r="AN1248" s="52">
        <f t="shared" ca="1" si="1528"/>
        <v>14712.666046453658</v>
      </c>
      <c r="AO1248" s="52">
        <f t="shared" ca="1" si="1528"/>
        <v>13375.764703781109</v>
      </c>
      <c r="AP1248" s="52">
        <f t="shared" ca="1" si="1528"/>
        <v>11999.563981574278</v>
      </c>
      <c r="AQ1248" s="52">
        <f t="shared" ca="1" si="1528"/>
        <v>8912.8602572211221</v>
      </c>
      <c r="AR1248" s="52">
        <f t="shared" ca="1" si="1528"/>
        <v>5840.770680695141</v>
      </c>
      <c r="AS1248" s="52">
        <f t="shared" ca="1" si="1528"/>
        <v>4327.01356872835</v>
      </c>
      <c r="AT1248" s="52">
        <f t="shared" ca="1" si="1528"/>
        <v>2648.7848459321053</v>
      </c>
      <c r="AU1248" s="52">
        <f t="shared" ca="1" si="1528"/>
        <v>0</v>
      </c>
      <c r="AV1248" s="52">
        <f t="shared" ca="1" si="1528"/>
        <v>0</v>
      </c>
      <c r="AW1248" s="52">
        <f t="shared" ca="1" si="1528"/>
        <v>0</v>
      </c>
      <c r="AX1248" s="52">
        <f t="shared" ca="1" si="1528"/>
        <v>0</v>
      </c>
      <c r="AY1248" s="52">
        <f t="shared" ca="1" si="1528"/>
        <v>0</v>
      </c>
      <c r="AZ1248" s="52">
        <f t="shared" ca="1" si="1528"/>
        <v>0</v>
      </c>
      <c r="BA1248" s="52">
        <f t="shared" ca="1" si="1528"/>
        <v>0</v>
      </c>
      <c r="BB1248" s="52">
        <f t="shared" ca="1" si="1528"/>
        <v>0</v>
      </c>
      <c r="BC1248" s="52">
        <f t="shared" ca="1" si="1528"/>
        <v>0</v>
      </c>
      <c r="BD1248" s="52">
        <f t="shared" ca="1" si="1528"/>
        <v>0</v>
      </c>
      <c r="BE1248" s="52">
        <f t="shared" ca="1" si="1528"/>
        <v>0</v>
      </c>
      <c r="BF1248" s="52">
        <f t="shared" ca="1" si="1528"/>
        <v>0</v>
      </c>
      <c r="BG1248" s="52">
        <f t="shared" ca="1" si="1528"/>
        <v>0</v>
      </c>
      <c r="BH1248" s="52">
        <f t="shared" ca="1" si="1528"/>
        <v>0</v>
      </c>
      <c r="BI1248" s="52">
        <f t="shared" ca="1" si="1528"/>
        <v>0</v>
      </c>
      <c r="BJ1248" s="52">
        <f t="shared" ca="1" si="1528"/>
        <v>0</v>
      </c>
      <c r="BK1248" s="52">
        <f t="shared" ca="1" si="1528"/>
        <v>0</v>
      </c>
      <c r="BL1248" s="52">
        <f t="shared" ca="1" si="1528"/>
        <v>0</v>
      </c>
      <c r="BM1248" s="52">
        <f t="shared" ca="1" si="1528"/>
        <v>0</v>
      </c>
      <c r="BN1248" s="52">
        <f t="shared" ca="1" si="1528"/>
        <v>0</v>
      </c>
      <c r="BO1248" s="52">
        <f t="shared" ca="1" si="1528"/>
        <v>0</v>
      </c>
      <c r="BP1248" s="52">
        <f t="shared" ca="1" si="1528"/>
        <v>0</v>
      </c>
      <c r="BQ1248" s="52">
        <f t="shared" ca="1" si="1528"/>
        <v>0</v>
      </c>
      <c r="BR1248" s="52">
        <f t="shared" ca="1" si="1528"/>
        <v>0</v>
      </c>
      <c r="BS1248" s="52">
        <f t="shared" ca="1" si="1528"/>
        <v>0</v>
      </c>
      <c r="BT1248" s="52">
        <f t="shared" ca="1" si="1528"/>
        <v>0</v>
      </c>
      <c r="BU1248" s="52">
        <f t="shared" ca="1" si="1528"/>
        <v>0</v>
      </c>
      <c r="BV1248" s="52">
        <f t="shared" ca="1" si="1528"/>
        <v>0</v>
      </c>
      <c r="BW1248" s="52">
        <f t="shared" ca="1" si="1528"/>
        <v>0</v>
      </c>
      <c r="BX1248" s="52">
        <f t="shared" ref="BX1248:CO1248" ca="1" si="1529">-Debt_Interest_Paid</f>
        <v>0</v>
      </c>
      <c r="BY1248" s="52">
        <f t="shared" ca="1" si="1529"/>
        <v>0</v>
      </c>
      <c r="BZ1248" s="52">
        <f t="shared" ca="1" si="1529"/>
        <v>0</v>
      </c>
      <c r="CA1248" s="52">
        <f t="shared" ca="1" si="1529"/>
        <v>0</v>
      </c>
      <c r="CB1248" s="52">
        <f t="shared" ca="1" si="1529"/>
        <v>0</v>
      </c>
      <c r="CC1248" s="52">
        <f t="shared" ca="1" si="1529"/>
        <v>0</v>
      </c>
      <c r="CD1248" s="52">
        <f t="shared" ca="1" si="1529"/>
        <v>0</v>
      </c>
      <c r="CE1248" s="52">
        <f t="shared" ca="1" si="1529"/>
        <v>0</v>
      </c>
      <c r="CF1248" s="52">
        <f t="shared" ca="1" si="1529"/>
        <v>0</v>
      </c>
      <c r="CG1248" s="52">
        <f t="shared" ca="1" si="1529"/>
        <v>0</v>
      </c>
      <c r="CH1248" s="52">
        <f t="shared" ca="1" si="1529"/>
        <v>0</v>
      </c>
      <c r="CI1248" s="52">
        <f t="shared" ca="1" si="1529"/>
        <v>0</v>
      </c>
      <c r="CJ1248" s="52">
        <f t="shared" ca="1" si="1529"/>
        <v>0</v>
      </c>
      <c r="CK1248" s="52">
        <f t="shared" ca="1" si="1529"/>
        <v>0</v>
      </c>
      <c r="CL1248" s="52">
        <f t="shared" ca="1" si="1529"/>
        <v>0</v>
      </c>
      <c r="CM1248" s="52">
        <f t="shared" ca="1" si="1529"/>
        <v>0</v>
      </c>
      <c r="CN1248" s="52">
        <f t="shared" ca="1" si="1529"/>
        <v>0</v>
      </c>
      <c r="CO1248" s="52">
        <f t="shared" ca="1" si="1529"/>
        <v>0</v>
      </c>
    </row>
    <row r="1249" spans="1:93">
      <c r="A1249" s="10"/>
      <c r="B1249" s="10"/>
      <c r="C1249" s="17" t="s">
        <v>469</v>
      </c>
      <c r="D1249" s="10"/>
      <c r="E1249" s="10"/>
      <c r="F1249" s="10"/>
      <c r="G1249" s="134" t="str">
        <f t="shared" si="1512"/>
        <v>тыс. руб.</v>
      </c>
      <c r="H1249" s="10"/>
      <c r="I1249" s="23">
        <f t="shared" ca="1" si="1513"/>
        <v>10990.619012601321</v>
      </c>
      <c r="J1249" s="10"/>
      <c r="K1249" s="10"/>
      <c r="L1249" s="52">
        <f t="shared" ref="L1249:BW1249" si="1530">-Bank_Fees</f>
        <v>0</v>
      </c>
      <c r="M1249" s="52">
        <f t="shared" ca="1" si="1530"/>
        <v>0</v>
      </c>
      <c r="N1249" s="52">
        <f t="shared" ca="1" si="1530"/>
        <v>0</v>
      </c>
      <c r="O1249" s="52">
        <f t="shared" ca="1" si="1530"/>
        <v>0</v>
      </c>
      <c r="P1249" s="52">
        <f t="shared" ca="1" si="1530"/>
        <v>0</v>
      </c>
      <c r="Q1249" s="52">
        <f t="shared" ca="1" si="1530"/>
        <v>0</v>
      </c>
      <c r="R1249" s="52">
        <f t="shared" ca="1" si="1530"/>
        <v>0</v>
      </c>
      <c r="S1249" s="52">
        <f t="shared" ca="1" si="1530"/>
        <v>0</v>
      </c>
      <c r="T1249" s="52">
        <f t="shared" ca="1" si="1530"/>
        <v>0</v>
      </c>
      <c r="U1249" s="52">
        <f t="shared" ca="1" si="1530"/>
        <v>2032.1389863481136</v>
      </c>
      <c r="V1249" s="52">
        <f t="shared" ca="1" si="1530"/>
        <v>1913.5143739847667</v>
      </c>
      <c r="W1249" s="52">
        <f t="shared" ca="1" si="1530"/>
        <v>1771.1696690677206</v>
      </c>
      <c r="X1249" s="52">
        <f t="shared" ca="1" si="1530"/>
        <v>1605.3348325415557</v>
      </c>
      <c r="Y1249" s="52">
        <f t="shared" ca="1" si="1530"/>
        <v>1331.1596721046919</v>
      </c>
      <c r="Z1249" s="52">
        <f t="shared" ca="1" si="1530"/>
        <v>1065.8684792952763</v>
      </c>
      <c r="AA1249" s="52">
        <f t="shared" ca="1" si="1530"/>
        <v>783.19099934951782</v>
      </c>
      <c r="AB1249" s="52">
        <f t="shared" ca="1" si="1530"/>
        <v>488.24199990967918</v>
      </c>
      <c r="AC1249" s="52">
        <f t="shared" ca="1" si="1530"/>
        <v>0</v>
      </c>
      <c r="AD1249" s="52">
        <f t="shared" ca="1" si="1530"/>
        <v>0</v>
      </c>
      <c r="AE1249" s="52">
        <f t="shared" ca="1" si="1530"/>
        <v>0</v>
      </c>
      <c r="AF1249" s="52">
        <f t="shared" ca="1" si="1530"/>
        <v>0</v>
      </c>
      <c r="AG1249" s="52">
        <f t="shared" ca="1" si="1530"/>
        <v>0</v>
      </c>
      <c r="AH1249" s="52">
        <f t="shared" ca="1" si="1530"/>
        <v>0</v>
      </c>
      <c r="AI1249" s="52">
        <f t="shared" ca="1" si="1530"/>
        <v>0</v>
      </c>
      <c r="AJ1249" s="52">
        <f t="shared" ca="1" si="1530"/>
        <v>0</v>
      </c>
      <c r="AK1249" s="52">
        <f t="shared" ca="1" si="1530"/>
        <v>0</v>
      </c>
      <c r="AL1249" s="52">
        <f t="shared" ca="1" si="1530"/>
        <v>0</v>
      </c>
      <c r="AM1249" s="52">
        <f t="shared" ca="1" si="1530"/>
        <v>0</v>
      </c>
      <c r="AN1249" s="52">
        <f t="shared" ca="1" si="1530"/>
        <v>0</v>
      </c>
      <c r="AO1249" s="52">
        <f t="shared" ca="1" si="1530"/>
        <v>0</v>
      </c>
      <c r="AP1249" s="52">
        <f t="shared" ca="1" si="1530"/>
        <v>0</v>
      </c>
      <c r="AQ1249" s="52">
        <f t="shared" ca="1" si="1530"/>
        <v>0</v>
      </c>
      <c r="AR1249" s="52">
        <f t="shared" ca="1" si="1530"/>
        <v>0</v>
      </c>
      <c r="AS1249" s="52">
        <f t="shared" ca="1" si="1530"/>
        <v>0</v>
      </c>
      <c r="AT1249" s="52">
        <f t="shared" ca="1" si="1530"/>
        <v>0</v>
      </c>
      <c r="AU1249" s="52">
        <f t="shared" ca="1" si="1530"/>
        <v>0</v>
      </c>
      <c r="AV1249" s="52">
        <f t="shared" ca="1" si="1530"/>
        <v>0</v>
      </c>
      <c r="AW1249" s="52">
        <f t="shared" ca="1" si="1530"/>
        <v>0</v>
      </c>
      <c r="AX1249" s="52">
        <f t="shared" ca="1" si="1530"/>
        <v>0</v>
      </c>
      <c r="AY1249" s="52">
        <f t="shared" ca="1" si="1530"/>
        <v>0</v>
      </c>
      <c r="AZ1249" s="52">
        <f t="shared" ca="1" si="1530"/>
        <v>0</v>
      </c>
      <c r="BA1249" s="52">
        <f t="shared" ca="1" si="1530"/>
        <v>0</v>
      </c>
      <c r="BB1249" s="52">
        <f t="shared" ca="1" si="1530"/>
        <v>0</v>
      </c>
      <c r="BC1249" s="52">
        <f t="shared" ca="1" si="1530"/>
        <v>0</v>
      </c>
      <c r="BD1249" s="52">
        <f t="shared" ca="1" si="1530"/>
        <v>0</v>
      </c>
      <c r="BE1249" s="52">
        <f t="shared" ca="1" si="1530"/>
        <v>0</v>
      </c>
      <c r="BF1249" s="52">
        <f t="shared" ca="1" si="1530"/>
        <v>0</v>
      </c>
      <c r="BG1249" s="52">
        <f t="shared" ca="1" si="1530"/>
        <v>0</v>
      </c>
      <c r="BH1249" s="52">
        <f t="shared" ca="1" si="1530"/>
        <v>0</v>
      </c>
      <c r="BI1249" s="52">
        <f t="shared" ca="1" si="1530"/>
        <v>0</v>
      </c>
      <c r="BJ1249" s="52">
        <f t="shared" ca="1" si="1530"/>
        <v>0</v>
      </c>
      <c r="BK1249" s="52">
        <f t="shared" ca="1" si="1530"/>
        <v>0</v>
      </c>
      <c r="BL1249" s="52">
        <f t="shared" ca="1" si="1530"/>
        <v>0</v>
      </c>
      <c r="BM1249" s="52">
        <f t="shared" ca="1" si="1530"/>
        <v>0</v>
      </c>
      <c r="BN1249" s="52">
        <f t="shared" ca="1" si="1530"/>
        <v>0</v>
      </c>
      <c r="BO1249" s="52">
        <f t="shared" ca="1" si="1530"/>
        <v>0</v>
      </c>
      <c r="BP1249" s="52">
        <f t="shared" ca="1" si="1530"/>
        <v>0</v>
      </c>
      <c r="BQ1249" s="52">
        <f t="shared" ca="1" si="1530"/>
        <v>0</v>
      </c>
      <c r="BR1249" s="52">
        <f t="shared" ca="1" si="1530"/>
        <v>0</v>
      </c>
      <c r="BS1249" s="52">
        <f t="shared" ca="1" si="1530"/>
        <v>0</v>
      </c>
      <c r="BT1249" s="52">
        <f t="shared" ca="1" si="1530"/>
        <v>0</v>
      </c>
      <c r="BU1249" s="52">
        <f t="shared" ca="1" si="1530"/>
        <v>0</v>
      </c>
      <c r="BV1249" s="52">
        <f t="shared" ca="1" si="1530"/>
        <v>0</v>
      </c>
      <c r="BW1249" s="52">
        <f t="shared" ca="1" si="1530"/>
        <v>0</v>
      </c>
      <c r="BX1249" s="52">
        <f t="shared" ref="BX1249:CO1249" ca="1" si="1531">-Bank_Fees</f>
        <v>0</v>
      </c>
      <c r="BY1249" s="52">
        <f t="shared" ca="1" si="1531"/>
        <v>0</v>
      </c>
      <c r="BZ1249" s="52">
        <f t="shared" ca="1" si="1531"/>
        <v>0</v>
      </c>
      <c r="CA1249" s="52">
        <f t="shared" ca="1" si="1531"/>
        <v>0</v>
      </c>
      <c r="CB1249" s="52">
        <f t="shared" ca="1" si="1531"/>
        <v>0</v>
      </c>
      <c r="CC1249" s="52">
        <f t="shared" ca="1" si="1531"/>
        <v>0</v>
      </c>
      <c r="CD1249" s="52">
        <f t="shared" ca="1" si="1531"/>
        <v>0</v>
      </c>
      <c r="CE1249" s="52">
        <f t="shared" ca="1" si="1531"/>
        <v>0</v>
      </c>
      <c r="CF1249" s="52">
        <f t="shared" ca="1" si="1531"/>
        <v>0</v>
      </c>
      <c r="CG1249" s="52">
        <f t="shared" ca="1" si="1531"/>
        <v>0</v>
      </c>
      <c r="CH1249" s="52">
        <f t="shared" ca="1" si="1531"/>
        <v>0</v>
      </c>
      <c r="CI1249" s="52">
        <f t="shared" ca="1" si="1531"/>
        <v>0</v>
      </c>
      <c r="CJ1249" s="52">
        <f t="shared" ca="1" si="1531"/>
        <v>0</v>
      </c>
      <c r="CK1249" s="52">
        <f t="shared" ca="1" si="1531"/>
        <v>0</v>
      </c>
      <c r="CL1249" s="52">
        <f t="shared" ca="1" si="1531"/>
        <v>0</v>
      </c>
      <c r="CM1249" s="52">
        <f t="shared" ca="1" si="1531"/>
        <v>0</v>
      </c>
      <c r="CN1249" s="52">
        <f t="shared" ca="1" si="1531"/>
        <v>0</v>
      </c>
      <c r="CO1249" s="52">
        <f t="shared" ca="1" si="1531"/>
        <v>0</v>
      </c>
    </row>
    <row r="1250" spans="1:93">
      <c r="A1250" s="10"/>
      <c r="B1250" s="10"/>
      <c r="C1250" s="17" t="s">
        <v>421</v>
      </c>
      <c r="D1250" s="10"/>
      <c r="E1250" s="10"/>
      <c r="F1250" s="10"/>
      <c r="G1250" s="134" t="str">
        <f t="shared" si="1512"/>
        <v>тыс. руб.</v>
      </c>
      <c r="H1250" s="10"/>
      <c r="I1250" s="23">
        <f t="shared" ca="1" si="1513"/>
        <v>395320.07735860086</v>
      </c>
      <c r="J1250" s="10"/>
      <c r="K1250" s="10"/>
      <c r="L1250" s="52">
        <f t="shared" ref="L1250:BW1250" ca="1" si="1532">-Subord_Interest_Paid</f>
        <v>0</v>
      </c>
      <c r="M1250" s="52">
        <f t="shared" ca="1" si="1532"/>
        <v>0</v>
      </c>
      <c r="N1250" s="52">
        <f t="shared" ca="1" si="1532"/>
        <v>0</v>
      </c>
      <c r="O1250" s="52">
        <f t="shared" ca="1" si="1532"/>
        <v>0</v>
      </c>
      <c r="P1250" s="52">
        <f t="shared" ca="1" si="1532"/>
        <v>0</v>
      </c>
      <c r="Q1250" s="52">
        <f t="shared" ca="1" si="1532"/>
        <v>0</v>
      </c>
      <c r="R1250" s="52">
        <f t="shared" ca="1" si="1532"/>
        <v>0</v>
      </c>
      <c r="S1250" s="52">
        <f t="shared" ca="1" si="1532"/>
        <v>0</v>
      </c>
      <c r="T1250" s="52">
        <f t="shared" ca="1" si="1532"/>
        <v>0</v>
      </c>
      <c r="U1250" s="52">
        <f t="shared" ca="1" si="1532"/>
        <v>0</v>
      </c>
      <c r="V1250" s="52">
        <f t="shared" ca="1" si="1532"/>
        <v>0</v>
      </c>
      <c r="W1250" s="52">
        <f t="shared" ca="1" si="1532"/>
        <v>0</v>
      </c>
      <c r="X1250" s="52">
        <f t="shared" ca="1" si="1532"/>
        <v>0</v>
      </c>
      <c r="Y1250" s="52">
        <f t="shared" ca="1" si="1532"/>
        <v>0</v>
      </c>
      <c r="Z1250" s="52">
        <f t="shared" ca="1" si="1532"/>
        <v>0</v>
      </c>
      <c r="AA1250" s="52">
        <f t="shared" ca="1" si="1532"/>
        <v>0</v>
      </c>
      <c r="AB1250" s="52">
        <f t="shared" ca="1" si="1532"/>
        <v>0</v>
      </c>
      <c r="AC1250" s="52">
        <f t="shared" ca="1" si="1532"/>
        <v>25497.350786420462</v>
      </c>
      <c r="AD1250" s="52">
        <f t="shared" ca="1" si="1532"/>
        <v>23478.65760437533</v>
      </c>
      <c r="AE1250" s="52">
        <f t="shared" ca="1" si="1532"/>
        <v>22637.514180235645</v>
      </c>
      <c r="AF1250" s="52">
        <f t="shared" ca="1" si="1532"/>
        <v>16603.06793925575</v>
      </c>
      <c r="AG1250" s="52">
        <f t="shared" ca="1" si="1532"/>
        <v>18528.165154957809</v>
      </c>
      <c r="AH1250" s="52">
        <f t="shared" ca="1" si="1532"/>
        <v>22706.018620742561</v>
      </c>
      <c r="AI1250" s="52">
        <f t="shared" ca="1" si="1532"/>
        <v>22255.330733271327</v>
      </c>
      <c r="AJ1250" s="52">
        <f t="shared" ca="1" si="1532"/>
        <v>19282.548891160492</v>
      </c>
      <c r="AK1250" s="52">
        <f t="shared" ca="1" si="1532"/>
        <v>21420.123084138846</v>
      </c>
      <c r="AL1250" s="52">
        <f t="shared" ca="1" si="1532"/>
        <v>21914.67467605598</v>
      </c>
      <c r="AM1250" s="52">
        <f t="shared" ca="1" si="1532"/>
        <v>21251.228753983789</v>
      </c>
      <c r="AN1250" s="52">
        <f t="shared" ca="1" si="1532"/>
        <v>20340.528546735615</v>
      </c>
      <c r="AO1250" s="52">
        <f t="shared" ca="1" si="1532"/>
        <v>20274.117805717458</v>
      </c>
      <c r="AP1250" s="52">
        <f t="shared" ca="1" si="1532"/>
        <v>20353.111120342837</v>
      </c>
      <c r="AQ1250" s="52">
        <f t="shared" ca="1" si="1532"/>
        <v>19460.702954767974</v>
      </c>
      <c r="AR1250" s="52">
        <f t="shared" ca="1" si="1532"/>
        <v>18266.375270445842</v>
      </c>
      <c r="AS1250" s="52">
        <f t="shared" ca="1" si="1532"/>
        <v>18276.824846852647</v>
      </c>
      <c r="AT1250" s="52">
        <f t="shared" ca="1" si="1532"/>
        <v>18230.566621183993</v>
      </c>
      <c r="AU1250" s="52">
        <f t="shared" ca="1" si="1532"/>
        <v>15600.088032265026</v>
      </c>
      <c r="AV1250" s="52">
        <f t="shared" ca="1" si="1532"/>
        <v>6768.903048696302</v>
      </c>
      <c r="AW1250" s="52">
        <f t="shared" ca="1" si="1532"/>
        <v>2174.1786869951966</v>
      </c>
      <c r="AX1250" s="52">
        <f t="shared" ca="1" si="1532"/>
        <v>0</v>
      </c>
      <c r="AY1250" s="52">
        <f t="shared" ca="1" si="1532"/>
        <v>0</v>
      </c>
      <c r="AZ1250" s="52">
        <f t="shared" ca="1" si="1532"/>
        <v>0</v>
      </c>
      <c r="BA1250" s="52">
        <f t="shared" ca="1" si="1532"/>
        <v>0</v>
      </c>
      <c r="BB1250" s="52">
        <f t="shared" ca="1" si="1532"/>
        <v>0</v>
      </c>
      <c r="BC1250" s="52">
        <f t="shared" ca="1" si="1532"/>
        <v>0</v>
      </c>
      <c r="BD1250" s="52">
        <f t="shared" ca="1" si="1532"/>
        <v>0</v>
      </c>
      <c r="BE1250" s="52">
        <f t="shared" ca="1" si="1532"/>
        <v>0</v>
      </c>
      <c r="BF1250" s="52">
        <f t="shared" ca="1" si="1532"/>
        <v>0</v>
      </c>
      <c r="BG1250" s="52">
        <f t="shared" ca="1" si="1532"/>
        <v>0</v>
      </c>
      <c r="BH1250" s="52">
        <f t="shared" ca="1" si="1532"/>
        <v>0</v>
      </c>
      <c r="BI1250" s="52">
        <f t="shared" ca="1" si="1532"/>
        <v>0</v>
      </c>
      <c r="BJ1250" s="52">
        <f t="shared" ca="1" si="1532"/>
        <v>0</v>
      </c>
      <c r="BK1250" s="52">
        <f t="shared" ca="1" si="1532"/>
        <v>0</v>
      </c>
      <c r="BL1250" s="52">
        <f t="shared" ca="1" si="1532"/>
        <v>0</v>
      </c>
      <c r="BM1250" s="52">
        <f t="shared" ca="1" si="1532"/>
        <v>0</v>
      </c>
      <c r="BN1250" s="52">
        <f t="shared" ca="1" si="1532"/>
        <v>0</v>
      </c>
      <c r="BO1250" s="52">
        <f t="shared" ca="1" si="1532"/>
        <v>0</v>
      </c>
      <c r="BP1250" s="52">
        <f t="shared" ca="1" si="1532"/>
        <v>0</v>
      </c>
      <c r="BQ1250" s="52">
        <f t="shared" ca="1" si="1532"/>
        <v>0</v>
      </c>
      <c r="BR1250" s="52">
        <f t="shared" ca="1" si="1532"/>
        <v>0</v>
      </c>
      <c r="BS1250" s="52">
        <f t="shared" ca="1" si="1532"/>
        <v>0</v>
      </c>
      <c r="BT1250" s="52">
        <f t="shared" ca="1" si="1532"/>
        <v>0</v>
      </c>
      <c r="BU1250" s="52">
        <f t="shared" ca="1" si="1532"/>
        <v>0</v>
      </c>
      <c r="BV1250" s="52">
        <f t="shared" ca="1" si="1532"/>
        <v>0</v>
      </c>
      <c r="BW1250" s="52">
        <f t="shared" ca="1" si="1532"/>
        <v>0</v>
      </c>
      <c r="BX1250" s="52">
        <f t="shared" ref="BX1250:CO1250" ca="1" si="1533">-Subord_Interest_Paid</f>
        <v>0</v>
      </c>
      <c r="BY1250" s="52">
        <f t="shared" ca="1" si="1533"/>
        <v>0</v>
      </c>
      <c r="BZ1250" s="52">
        <f t="shared" ca="1" si="1533"/>
        <v>0</v>
      </c>
      <c r="CA1250" s="52">
        <f t="shared" ca="1" si="1533"/>
        <v>0</v>
      </c>
      <c r="CB1250" s="52">
        <f t="shared" ca="1" si="1533"/>
        <v>0</v>
      </c>
      <c r="CC1250" s="52">
        <f t="shared" ca="1" si="1533"/>
        <v>0</v>
      </c>
      <c r="CD1250" s="52">
        <f t="shared" ca="1" si="1533"/>
        <v>0</v>
      </c>
      <c r="CE1250" s="52">
        <f t="shared" ca="1" si="1533"/>
        <v>0</v>
      </c>
      <c r="CF1250" s="52">
        <f t="shared" ca="1" si="1533"/>
        <v>0</v>
      </c>
      <c r="CG1250" s="52">
        <f t="shared" ca="1" si="1533"/>
        <v>0</v>
      </c>
      <c r="CH1250" s="52">
        <f t="shared" ca="1" si="1533"/>
        <v>0</v>
      </c>
      <c r="CI1250" s="52">
        <f t="shared" ca="1" si="1533"/>
        <v>0</v>
      </c>
      <c r="CJ1250" s="52">
        <f t="shared" ca="1" si="1533"/>
        <v>0</v>
      </c>
      <c r="CK1250" s="52">
        <f t="shared" ca="1" si="1533"/>
        <v>0</v>
      </c>
      <c r="CL1250" s="52">
        <f t="shared" ca="1" si="1533"/>
        <v>0</v>
      </c>
      <c r="CM1250" s="52">
        <f t="shared" ca="1" si="1533"/>
        <v>0</v>
      </c>
      <c r="CN1250" s="52">
        <f t="shared" ca="1" si="1533"/>
        <v>0</v>
      </c>
      <c r="CO1250" s="52">
        <f t="shared" ca="1" si="1533"/>
        <v>0</v>
      </c>
    </row>
    <row r="1251" spans="1:93">
      <c r="A1251" s="10"/>
      <c r="B1251" s="10"/>
      <c r="C1251" s="17" t="s">
        <v>420</v>
      </c>
      <c r="D1251" s="10"/>
      <c r="E1251" s="10"/>
      <c r="F1251" s="10"/>
      <c r="G1251" s="134" t="str">
        <f t="shared" si="1512"/>
        <v>тыс. руб.</v>
      </c>
      <c r="H1251" s="10"/>
      <c r="I1251" s="23">
        <f t="shared" ca="1" si="1513"/>
        <v>768987.99782235362</v>
      </c>
      <c r="J1251" s="10"/>
      <c r="K1251" s="10"/>
      <c r="L1251" s="52">
        <f t="shared" ref="L1251:BW1251" ca="1" si="1534">-Subord_Repayment</f>
        <v>0</v>
      </c>
      <c r="M1251" s="52">
        <f t="shared" ca="1" si="1534"/>
        <v>0</v>
      </c>
      <c r="N1251" s="52">
        <f t="shared" ca="1" si="1534"/>
        <v>0</v>
      </c>
      <c r="O1251" s="52">
        <f t="shared" ca="1" si="1534"/>
        <v>0</v>
      </c>
      <c r="P1251" s="52">
        <f t="shared" ca="1" si="1534"/>
        <v>0</v>
      </c>
      <c r="Q1251" s="52">
        <f t="shared" ca="1" si="1534"/>
        <v>0</v>
      </c>
      <c r="R1251" s="52">
        <f t="shared" ca="1" si="1534"/>
        <v>0</v>
      </c>
      <c r="S1251" s="52">
        <f t="shared" ca="1" si="1534"/>
        <v>0</v>
      </c>
      <c r="T1251" s="52">
        <f t="shared" ca="1" si="1534"/>
        <v>0</v>
      </c>
      <c r="U1251" s="52">
        <f t="shared" ca="1" si="1534"/>
        <v>0</v>
      </c>
      <c r="V1251" s="52">
        <f t="shared" ca="1" si="1534"/>
        <v>0</v>
      </c>
      <c r="W1251" s="52">
        <f t="shared" ca="1" si="1534"/>
        <v>0</v>
      </c>
      <c r="X1251" s="52">
        <f t="shared" ca="1" si="1534"/>
        <v>0</v>
      </c>
      <c r="Y1251" s="52">
        <f t="shared" ca="1" si="1534"/>
        <v>0</v>
      </c>
      <c r="Z1251" s="52">
        <f t="shared" ca="1" si="1534"/>
        <v>0</v>
      </c>
      <c r="AA1251" s="52">
        <f t="shared" ca="1" si="1534"/>
        <v>0</v>
      </c>
      <c r="AB1251" s="52">
        <f t="shared" ca="1" si="1534"/>
        <v>0</v>
      </c>
      <c r="AC1251" s="52">
        <f t="shared" ca="1" si="1534"/>
        <v>67559.791083746997</v>
      </c>
      <c r="AD1251" s="52">
        <f t="shared" ca="1" si="1534"/>
        <v>24719.593382527004</v>
      </c>
      <c r="AE1251" s="52">
        <f t="shared" ca="1" si="1534"/>
        <v>7095.9521194758781</v>
      </c>
      <c r="AF1251" s="52">
        <f t="shared" ca="1" si="1534"/>
        <v>0</v>
      </c>
      <c r="AG1251" s="52">
        <f t="shared" ca="1" si="1534"/>
        <v>0</v>
      </c>
      <c r="AH1251" s="52">
        <f t="shared" ca="1" si="1534"/>
        <v>13244.853375764924</v>
      </c>
      <c r="AI1251" s="52">
        <f t="shared" ca="1" si="1534"/>
        <v>12337.513435683319</v>
      </c>
      <c r="AJ1251" s="52">
        <f t="shared" ca="1" si="1534"/>
        <v>0</v>
      </c>
      <c r="AK1251" s="52">
        <f t="shared" ca="1" si="1534"/>
        <v>0</v>
      </c>
      <c r="AL1251" s="52">
        <f t="shared" ca="1" si="1534"/>
        <v>19497.404312105395</v>
      </c>
      <c r="AM1251" s="52">
        <f t="shared" ca="1" si="1534"/>
        <v>18539.121443515305</v>
      </c>
      <c r="AN1251" s="52">
        <f t="shared" ca="1" si="1534"/>
        <v>1978.5373392466572</v>
      </c>
      <c r="AO1251" s="52">
        <f t="shared" ca="1" si="1534"/>
        <v>4237.5606341949278</v>
      </c>
      <c r="AP1251" s="52">
        <f t="shared" ca="1" si="1534"/>
        <v>26298.018405829287</v>
      </c>
      <c r="AQ1251" s="52">
        <f t="shared" ca="1" si="1534"/>
        <v>24736.691490862137</v>
      </c>
      <c r="AR1251" s="52">
        <f t="shared" ca="1" si="1534"/>
        <v>5719.6747512767215</v>
      </c>
      <c r="AS1251" s="52">
        <f t="shared" ca="1" si="1534"/>
        <v>7261.8676316873425</v>
      </c>
      <c r="AT1251" s="52">
        <f t="shared" ca="1" si="1534"/>
        <v>77304.725036668417</v>
      </c>
      <c r="AU1251" s="52">
        <f t="shared" ca="1" si="1534"/>
        <v>255111.04623786383</v>
      </c>
      <c r="AV1251" s="52">
        <f t="shared" ca="1" si="1534"/>
        <v>138748.55957550346</v>
      </c>
      <c r="AW1251" s="52">
        <f t="shared" ca="1" si="1534"/>
        <v>64597.087566401984</v>
      </c>
      <c r="AX1251" s="52">
        <f t="shared" ca="1" si="1534"/>
        <v>0</v>
      </c>
      <c r="AY1251" s="52">
        <f t="shared" ca="1" si="1534"/>
        <v>0</v>
      </c>
      <c r="AZ1251" s="52">
        <f t="shared" ca="1" si="1534"/>
        <v>0</v>
      </c>
      <c r="BA1251" s="52">
        <f t="shared" ca="1" si="1534"/>
        <v>0</v>
      </c>
      <c r="BB1251" s="52">
        <f t="shared" ca="1" si="1534"/>
        <v>0</v>
      </c>
      <c r="BC1251" s="52">
        <f t="shared" ca="1" si="1534"/>
        <v>0</v>
      </c>
      <c r="BD1251" s="52">
        <f t="shared" ca="1" si="1534"/>
        <v>0</v>
      </c>
      <c r="BE1251" s="52">
        <f t="shared" ca="1" si="1534"/>
        <v>0</v>
      </c>
      <c r="BF1251" s="52">
        <f t="shared" ca="1" si="1534"/>
        <v>0</v>
      </c>
      <c r="BG1251" s="52">
        <f t="shared" ca="1" si="1534"/>
        <v>0</v>
      </c>
      <c r="BH1251" s="52">
        <f t="shared" ca="1" si="1534"/>
        <v>0</v>
      </c>
      <c r="BI1251" s="52">
        <f t="shared" ca="1" si="1534"/>
        <v>0</v>
      </c>
      <c r="BJ1251" s="52">
        <f t="shared" ca="1" si="1534"/>
        <v>0</v>
      </c>
      <c r="BK1251" s="52">
        <f t="shared" ca="1" si="1534"/>
        <v>0</v>
      </c>
      <c r="BL1251" s="52">
        <f t="shared" ca="1" si="1534"/>
        <v>0</v>
      </c>
      <c r="BM1251" s="52">
        <f t="shared" ca="1" si="1534"/>
        <v>0</v>
      </c>
      <c r="BN1251" s="52">
        <f t="shared" ca="1" si="1534"/>
        <v>0</v>
      </c>
      <c r="BO1251" s="52">
        <f t="shared" ca="1" si="1534"/>
        <v>0</v>
      </c>
      <c r="BP1251" s="52">
        <f t="shared" ca="1" si="1534"/>
        <v>0</v>
      </c>
      <c r="BQ1251" s="52">
        <f t="shared" ca="1" si="1534"/>
        <v>0</v>
      </c>
      <c r="BR1251" s="52">
        <f t="shared" ca="1" si="1534"/>
        <v>0</v>
      </c>
      <c r="BS1251" s="52">
        <f t="shared" ca="1" si="1534"/>
        <v>0</v>
      </c>
      <c r="BT1251" s="52">
        <f t="shared" ca="1" si="1534"/>
        <v>0</v>
      </c>
      <c r="BU1251" s="52">
        <f t="shared" ca="1" si="1534"/>
        <v>0</v>
      </c>
      <c r="BV1251" s="52">
        <f t="shared" ca="1" si="1534"/>
        <v>0</v>
      </c>
      <c r="BW1251" s="52">
        <f t="shared" ca="1" si="1534"/>
        <v>0</v>
      </c>
      <c r="BX1251" s="52">
        <f t="shared" ref="BX1251:CO1251" ca="1" si="1535">-Subord_Repayment</f>
        <v>0</v>
      </c>
      <c r="BY1251" s="52">
        <f t="shared" ca="1" si="1535"/>
        <v>0</v>
      </c>
      <c r="BZ1251" s="52">
        <f t="shared" ca="1" si="1535"/>
        <v>0</v>
      </c>
      <c r="CA1251" s="52">
        <f t="shared" ca="1" si="1535"/>
        <v>0</v>
      </c>
      <c r="CB1251" s="52">
        <f t="shared" ca="1" si="1535"/>
        <v>0</v>
      </c>
      <c r="CC1251" s="52">
        <f t="shared" ca="1" si="1535"/>
        <v>0</v>
      </c>
      <c r="CD1251" s="52">
        <f t="shared" ca="1" si="1535"/>
        <v>0</v>
      </c>
      <c r="CE1251" s="52">
        <f t="shared" ca="1" si="1535"/>
        <v>0</v>
      </c>
      <c r="CF1251" s="52">
        <f t="shared" ca="1" si="1535"/>
        <v>0</v>
      </c>
      <c r="CG1251" s="52">
        <f t="shared" ca="1" si="1535"/>
        <v>0</v>
      </c>
      <c r="CH1251" s="52">
        <f t="shared" ca="1" si="1535"/>
        <v>0</v>
      </c>
      <c r="CI1251" s="52">
        <f t="shared" ca="1" si="1535"/>
        <v>0</v>
      </c>
      <c r="CJ1251" s="52">
        <f t="shared" ca="1" si="1535"/>
        <v>0</v>
      </c>
      <c r="CK1251" s="52">
        <f t="shared" ca="1" si="1535"/>
        <v>0</v>
      </c>
      <c r="CL1251" s="52">
        <f t="shared" ca="1" si="1535"/>
        <v>0</v>
      </c>
      <c r="CM1251" s="52">
        <f t="shared" ca="1" si="1535"/>
        <v>0</v>
      </c>
      <c r="CN1251" s="52">
        <f t="shared" ca="1" si="1535"/>
        <v>0</v>
      </c>
      <c r="CO1251" s="52">
        <f t="shared" ca="1" si="1535"/>
        <v>0</v>
      </c>
    </row>
    <row r="1252" spans="1:93">
      <c r="A1252" s="10"/>
      <c r="B1252" s="10"/>
      <c r="C1252" s="17" t="s">
        <v>166</v>
      </c>
      <c r="D1252" s="10"/>
      <c r="E1252" s="10"/>
      <c r="F1252" s="10"/>
      <c r="G1252" s="134" t="str">
        <f t="shared" si="1512"/>
        <v>тыс. руб.</v>
      </c>
      <c r="H1252" s="10"/>
      <c r="I1252" s="23">
        <f t="shared" ca="1" si="1513"/>
        <v>8270600.6277033035</v>
      </c>
      <c r="J1252" s="10"/>
      <c r="K1252" s="10"/>
      <c r="L1252" s="52">
        <f t="shared" ref="L1252:BW1252" ca="1" si="1536">-Dividends</f>
        <v>0</v>
      </c>
      <c r="M1252" s="52">
        <f t="shared" ca="1" si="1536"/>
        <v>0</v>
      </c>
      <c r="N1252" s="52">
        <f t="shared" ca="1" si="1536"/>
        <v>0</v>
      </c>
      <c r="O1252" s="52">
        <f t="shared" ca="1" si="1536"/>
        <v>0</v>
      </c>
      <c r="P1252" s="52">
        <f t="shared" ca="1" si="1536"/>
        <v>0</v>
      </c>
      <c r="Q1252" s="52">
        <f t="shared" ca="1" si="1536"/>
        <v>0</v>
      </c>
      <c r="R1252" s="52">
        <f t="shared" ca="1" si="1536"/>
        <v>0</v>
      </c>
      <c r="S1252" s="52">
        <f t="shared" ca="1" si="1536"/>
        <v>0</v>
      </c>
      <c r="T1252" s="52">
        <f t="shared" ca="1" si="1536"/>
        <v>0</v>
      </c>
      <c r="U1252" s="52">
        <f t="shared" ca="1" si="1536"/>
        <v>0</v>
      </c>
      <c r="V1252" s="52">
        <f t="shared" ca="1" si="1536"/>
        <v>0</v>
      </c>
      <c r="W1252" s="52">
        <f t="shared" ca="1" si="1536"/>
        <v>0</v>
      </c>
      <c r="X1252" s="52">
        <f t="shared" ca="1" si="1536"/>
        <v>0</v>
      </c>
      <c r="Y1252" s="52">
        <f t="shared" ca="1" si="1536"/>
        <v>0</v>
      </c>
      <c r="Z1252" s="52">
        <f t="shared" ca="1" si="1536"/>
        <v>0</v>
      </c>
      <c r="AA1252" s="52">
        <f t="shared" ca="1" si="1536"/>
        <v>0</v>
      </c>
      <c r="AB1252" s="52">
        <f t="shared" ca="1" si="1536"/>
        <v>0</v>
      </c>
      <c r="AC1252" s="52">
        <f t="shared" ca="1" si="1536"/>
        <v>0</v>
      </c>
      <c r="AD1252" s="52">
        <f t="shared" ca="1" si="1536"/>
        <v>0</v>
      </c>
      <c r="AE1252" s="52">
        <f t="shared" ca="1" si="1536"/>
        <v>0</v>
      </c>
      <c r="AF1252" s="52">
        <f t="shared" ca="1" si="1536"/>
        <v>0</v>
      </c>
      <c r="AG1252" s="52">
        <f t="shared" ca="1" si="1536"/>
        <v>0</v>
      </c>
      <c r="AH1252" s="52">
        <f t="shared" ca="1" si="1536"/>
        <v>0</v>
      </c>
      <c r="AI1252" s="52">
        <f t="shared" ca="1" si="1536"/>
        <v>0</v>
      </c>
      <c r="AJ1252" s="52">
        <f t="shared" ca="1" si="1536"/>
        <v>0</v>
      </c>
      <c r="AK1252" s="52">
        <f t="shared" ca="1" si="1536"/>
        <v>0</v>
      </c>
      <c r="AL1252" s="52">
        <f t="shared" ca="1" si="1536"/>
        <v>0</v>
      </c>
      <c r="AM1252" s="52">
        <f t="shared" ca="1" si="1536"/>
        <v>0</v>
      </c>
      <c r="AN1252" s="52">
        <f t="shared" ca="1" si="1536"/>
        <v>0</v>
      </c>
      <c r="AO1252" s="52">
        <f t="shared" ca="1" si="1536"/>
        <v>0</v>
      </c>
      <c r="AP1252" s="52">
        <f t="shared" ca="1" si="1536"/>
        <v>0</v>
      </c>
      <c r="AQ1252" s="52">
        <f t="shared" ca="1" si="1536"/>
        <v>0</v>
      </c>
      <c r="AR1252" s="52">
        <f t="shared" ca="1" si="1536"/>
        <v>0</v>
      </c>
      <c r="AS1252" s="52">
        <f t="shared" ca="1" si="1536"/>
        <v>0</v>
      </c>
      <c r="AT1252" s="52">
        <f t="shared" ca="1" si="1536"/>
        <v>0</v>
      </c>
      <c r="AU1252" s="52">
        <f t="shared" ca="1" si="1536"/>
        <v>0</v>
      </c>
      <c r="AV1252" s="52">
        <f t="shared" ca="1" si="1536"/>
        <v>0</v>
      </c>
      <c r="AW1252" s="52">
        <f t="shared" ca="1" si="1536"/>
        <v>115616.33267494224</v>
      </c>
      <c r="AX1252" s="52">
        <f t="shared" ca="1" si="1536"/>
        <v>273026.89898316731</v>
      </c>
      <c r="AY1252" s="52">
        <f t="shared" ca="1" si="1536"/>
        <v>160610.09420331367</v>
      </c>
      <c r="AZ1252" s="52">
        <f t="shared" ca="1" si="1536"/>
        <v>90746.681474151221</v>
      </c>
      <c r="BA1252" s="52">
        <f t="shared" ca="1" si="1536"/>
        <v>140327.30961439823</v>
      </c>
      <c r="BB1252" s="52">
        <f t="shared" ca="1" si="1536"/>
        <v>273441.40717452572</v>
      </c>
      <c r="BC1252" s="52">
        <f t="shared" ca="1" si="1536"/>
        <v>167027.39986984793</v>
      </c>
      <c r="BD1252" s="52">
        <f t="shared" ca="1" si="1536"/>
        <v>95677.102949824461</v>
      </c>
      <c r="BE1252" s="52">
        <f t="shared" ca="1" si="1536"/>
        <v>144587.40117527739</v>
      </c>
      <c r="BF1252" s="52">
        <f t="shared" ca="1" si="1536"/>
        <v>283339.07755339477</v>
      </c>
      <c r="BG1252" s="52">
        <f t="shared" ca="1" si="1536"/>
        <v>172668.51570028992</v>
      </c>
      <c r="BH1252" s="52">
        <f t="shared" ca="1" si="1536"/>
        <v>97093.665388560941</v>
      </c>
      <c r="BI1252" s="52">
        <f t="shared" ca="1" si="1536"/>
        <v>150722.02899878885</v>
      </c>
      <c r="BJ1252" s="52">
        <f t="shared" ca="1" si="1536"/>
        <v>294700.16257395281</v>
      </c>
      <c r="BK1252" s="52">
        <f t="shared" ca="1" si="1536"/>
        <v>179602.77227321349</v>
      </c>
      <c r="BL1252" s="52">
        <f t="shared" ca="1" si="1536"/>
        <v>101010.04112024038</v>
      </c>
      <c r="BM1252" s="52">
        <f t="shared" ca="1" si="1536"/>
        <v>156784.45144098948</v>
      </c>
      <c r="BN1252" s="52">
        <f t="shared" ca="1" si="1536"/>
        <v>306522.65430726274</v>
      </c>
      <c r="BO1252" s="52">
        <f t="shared" ca="1" si="1536"/>
        <v>177777.08616391147</v>
      </c>
      <c r="BP1252" s="52">
        <f t="shared" ca="1" si="1536"/>
        <v>97479.370084233102</v>
      </c>
      <c r="BQ1252" s="52">
        <f t="shared" ca="1" si="1536"/>
        <v>147496.84938078091</v>
      </c>
      <c r="BR1252" s="52">
        <f t="shared" ca="1" si="1536"/>
        <v>278245.88708535011</v>
      </c>
      <c r="BS1252" s="52">
        <f t="shared" ca="1" si="1536"/>
        <v>176430.29235447777</v>
      </c>
      <c r="BT1252" s="52">
        <f t="shared" ca="1" si="1536"/>
        <v>94568.477972540364</v>
      </c>
      <c r="BU1252" s="52">
        <f t="shared" ca="1" si="1536"/>
        <v>144907.78111575436</v>
      </c>
      <c r="BV1252" s="52">
        <f t="shared" ca="1" si="1536"/>
        <v>290142.81625441811</v>
      </c>
      <c r="BW1252" s="52">
        <f t="shared" ca="1" si="1536"/>
        <v>184249.96053286913</v>
      </c>
      <c r="BX1252" s="52">
        <f t="shared" ref="BX1252:CO1252" ca="1" si="1537">-Dividends</f>
        <v>97648.295518110244</v>
      </c>
      <c r="BY1252" s="52">
        <f t="shared" ca="1" si="1537"/>
        <v>151770.83585332031</v>
      </c>
      <c r="BZ1252" s="52">
        <f t="shared" ca="1" si="1537"/>
        <v>302440.46734145656</v>
      </c>
      <c r="CA1252" s="52">
        <f t="shared" ca="1" si="1537"/>
        <v>192307.85374290359</v>
      </c>
      <c r="CB1252" s="52">
        <f t="shared" ca="1" si="1537"/>
        <v>102248.94821865222</v>
      </c>
      <c r="CC1252" s="52">
        <f t="shared" ca="1" si="1537"/>
        <v>158541.06086534384</v>
      </c>
      <c r="CD1252" s="52">
        <f t="shared" ca="1" si="1537"/>
        <v>315242.0910079485</v>
      </c>
      <c r="CE1252" s="52">
        <f t="shared" ca="1" si="1537"/>
        <v>200699.82662151247</v>
      </c>
      <c r="CF1252" s="52">
        <f t="shared" ca="1" si="1537"/>
        <v>107016.58280527144</v>
      </c>
      <c r="CG1252" s="52">
        <f t="shared" ca="1" si="1537"/>
        <v>165564.89886920995</v>
      </c>
      <c r="CH1252" s="52">
        <f t="shared" ca="1" si="1537"/>
        <v>328538.39464533399</v>
      </c>
      <c r="CI1252" s="52">
        <f t="shared" ca="1" si="1537"/>
        <v>209410.09343949921</v>
      </c>
      <c r="CJ1252" s="52">
        <f t="shared" ca="1" si="1537"/>
        <v>113577.58786442541</v>
      </c>
      <c r="CK1252" s="52">
        <f t="shared" ca="1" si="1537"/>
        <v>172449.24687161582</v>
      </c>
      <c r="CL1252" s="52">
        <f t="shared" ca="1" si="1537"/>
        <v>342372.8721207974</v>
      </c>
      <c r="CM1252" s="52">
        <f t="shared" ca="1" si="1537"/>
        <v>218474.8026703553</v>
      </c>
      <c r="CN1252" s="52">
        <f t="shared" ca="1" si="1537"/>
        <v>117079.85311511872</v>
      </c>
      <c r="CO1252" s="52">
        <f t="shared" ca="1" si="1537"/>
        <v>180414.39771195172</v>
      </c>
    </row>
    <row r="1253" spans="1:93" ht="15.75" thickBot="1">
      <c r="A1253" s="10"/>
      <c r="B1253" s="10"/>
      <c r="C1253" s="17" t="s">
        <v>470</v>
      </c>
      <c r="D1253" s="10"/>
      <c r="E1253" s="10"/>
      <c r="F1253" s="10"/>
      <c r="G1253" s="134" t="str">
        <f t="shared" si="1512"/>
        <v>тыс. руб.</v>
      </c>
      <c r="H1253" s="10"/>
      <c r="I1253" s="23">
        <f t="shared" ca="1" si="1513"/>
        <v>0</v>
      </c>
      <c r="J1253" s="10"/>
      <c r="K1253" s="10"/>
      <c r="L1253" s="52">
        <f t="shared" ref="L1253:BW1253" ca="1" si="1538">(Cash_EoP-Cash_BoP)*((Cash_EoP-Cash_BoP)&gt;0)</f>
        <v>0</v>
      </c>
      <c r="M1253" s="52">
        <f t="shared" ca="1" si="1538"/>
        <v>0</v>
      </c>
      <c r="N1253" s="52">
        <f t="shared" ca="1" si="1538"/>
        <v>0</v>
      </c>
      <c r="O1253" s="52">
        <f t="shared" ca="1" si="1538"/>
        <v>0</v>
      </c>
      <c r="P1253" s="52">
        <f t="shared" ca="1" si="1538"/>
        <v>0</v>
      </c>
      <c r="Q1253" s="52">
        <f t="shared" ca="1" si="1538"/>
        <v>0</v>
      </c>
      <c r="R1253" s="52">
        <f t="shared" ca="1" si="1538"/>
        <v>0</v>
      </c>
      <c r="S1253" s="52">
        <f t="shared" ca="1" si="1538"/>
        <v>0</v>
      </c>
      <c r="T1253" s="52">
        <f t="shared" ca="1" si="1538"/>
        <v>0</v>
      </c>
      <c r="U1253" s="52">
        <f t="shared" ca="1" si="1538"/>
        <v>0</v>
      </c>
      <c r="V1253" s="52">
        <f t="shared" ca="1" si="1538"/>
        <v>0</v>
      </c>
      <c r="W1253" s="52">
        <f t="shared" ca="1" si="1538"/>
        <v>0</v>
      </c>
      <c r="X1253" s="52">
        <f t="shared" ca="1" si="1538"/>
        <v>0</v>
      </c>
      <c r="Y1253" s="52">
        <f t="shared" ca="1" si="1538"/>
        <v>0</v>
      </c>
      <c r="Z1253" s="52">
        <f t="shared" ca="1" si="1538"/>
        <v>0</v>
      </c>
      <c r="AA1253" s="52">
        <f t="shared" ca="1" si="1538"/>
        <v>0</v>
      </c>
      <c r="AB1253" s="52">
        <f t="shared" ca="1" si="1538"/>
        <v>0</v>
      </c>
      <c r="AC1253" s="52">
        <f t="shared" ca="1" si="1538"/>
        <v>0</v>
      </c>
      <c r="AD1253" s="52">
        <f t="shared" ca="1" si="1538"/>
        <v>0</v>
      </c>
      <c r="AE1253" s="52">
        <f t="shared" ca="1" si="1538"/>
        <v>0</v>
      </c>
      <c r="AF1253" s="52">
        <f t="shared" ca="1" si="1538"/>
        <v>0</v>
      </c>
      <c r="AG1253" s="52">
        <f t="shared" ca="1" si="1538"/>
        <v>0</v>
      </c>
      <c r="AH1253" s="52">
        <f t="shared" ca="1" si="1538"/>
        <v>0</v>
      </c>
      <c r="AI1253" s="52">
        <f t="shared" ca="1" si="1538"/>
        <v>0</v>
      </c>
      <c r="AJ1253" s="52">
        <f t="shared" ca="1" si="1538"/>
        <v>0</v>
      </c>
      <c r="AK1253" s="52">
        <f t="shared" ca="1" si="1538"/>
        <v>0</v>
      </c>
      <c r="AL1253" s="52">
        <f t="shared" ca="1" si="1538"/>
        <v>0</v>
      </c>
      <c r="AM1253" s="52">
        <f t="shared" ca="1" si="1538"/>
        <v>0</v>
      </c>
      <c r="AN1253" s="52">
        <f t="shared" ca="1" si="1538"/>
        <v>0</v>
      </c>
      <c r="AO1253" s="52">
        <f t="shared" ca="1" si="1538"/>
        <v>0</v>
      </c>
      <c r="AP1253" s="52">
        <f t="shared" ca="1" si="1538"/>
        <v>0</v>
      </c>
      <c r="AQ1253" s="52">
        <f t="shared" ca="1" si="1538"/>
        <v>0</v>
      </c>
      <c r="AR1253" s="52">
        <f t="shared" ca="1" si="1538"/>
        <v>0</v>
      </c>
      <c r="AS1253" s="52">
        <f t="shared" ca="1" si="1538"/>
        <v>0</v>
      </c>
      <c r="AT1253" s="52">
        <f t="shared" ca="1" si="1538"/>
        <v>0</v>
      </c>
      <c r="AU1253" s="52">
        <f t="shared" ca="1" si="1538"/>
        <v>0</v>
      </c>
      <c r="AV1253" s="52">
        <f t="shared" ca="1" si="1538"/>
        <v>0</v>
      </c>
      <c r="AW1253" s="52">
        <f t="shared" ca="1" si="1538"/>
        <v>0</v>
      </c>
      <c r="AX1253" s="52">
        <f t="shared" ca="1" si="1538"/>
        <v>0</v>
      </c>
      <c r="AY1253" s="52">
        <f t="shared" ca="1" si="1538"/>
        <v>0</v>
      </c>
      <c r="AZ1253" s="52">
        <f t="shared" ca="1" si="1538"/>
        <v>0</v>
      </c>
      <c r="BA1253" s="52">
        <f t="shared" ca="1" si="1538"/>
        <v>0</v>
      </c>
      <c r="BB1253" s="52">
        <f t="shared" ca="1" si="1538"/>
        <v>0</v>
      </c>
      <c r="BC1253" s="52">
        <f t="shared" ca="1" si="1538"/>
        <v>0</v>
      </c>
      <c r="BD1253" s="52">
        <f t="shared" ca="1" si="1538"/>
        <v>0</v>
      </c>
      <c r="BE1253" s="52">
        <f t="shared" ca="1" si="1538"/>
        <v>0</v>
      </c>
      <c r="BF1253" s="52">
        <f t="shared" ca="1" si="1538"/>
        <v>0</v>
      </c>
      <c r="BG1253" s="52">
        <f t="shared" ca="1" si="1538"/>
        <v>0</v>
      </c>
      <c r="BH1253" s="52">
        <f t="shared" ca="1" si="1538"/>
        <v>0</v>
      </c>
      <c r="BI1253" s="52">
        <f t="shared" ca="1" si="1538"/>
        <v>0</v>
      </c>
      <c r="BJ1253" s="52">
        <f t="shared" ca="1" si="1538"/>
        <v>0</v>
      </c>
      <c r="BK1253" s="52">
        <f t="shared" ca="1" si="1538"/>
        <v>0</v>
      </c>
      <c r="BL1253" s="52">
        <f t="shared" ca="1" si="1538"/>
        <v>0</v>
      </c>
      <c r="BM1253" s="52">
        <f t="shared" ca="1" si="1538"/>
        <v>0</v>
      </c>
      <c r="BN1253" s="52">
        <f t="shared" ca="1" si="1538"/>
        <v>0</v>
      </c>
      <c r="BO1253" s="52">
        <f t="shared" ca="1" si="1538"/>
        <v>0</v>
      </c>
      <c r="BP1253" s="52">
        <f t="shared" ca="1" si="1538"/>
        <v>0</v>
      </c>
      <c r="BQ1253" s="52">
        <f t="shared" ca="1" si="1538"/>
        <v>0</v>
      </c>
      <c r="BR1253" s="52">
        <f t="shared" ca="1" si="1538"/>
        <v>0</v>
      </c>
      <c r="BS1253" s="52">
        <f t="shared" ca="1" si="1538"/>
        <v>0</v>
      </c>
      <c r="BT1253" s="52">
        <f t="shared" ca="1" si="1538"/>
        <v>0</v>
      </c>
      <c r="BU1253" s="52">
        <f t="shared" ca="1" si="1538"/>
        <v>0</v>
      </c>
      <c r="BV1253" s="52">
        <f t="shared" ca="1" si="1538"/>
        <v>0</v>
      </c>
      <c r="BW1253" s="52">
        <f t="shared" ca="1" si="1538"/>
        <v>0</v>
      </c>
      <c r="BX1253" s="52">
        <f t="shared" ref="BX1253:CO1253" ca="1" si="1539">(Cash_EoP-Cash_BoP)*((Cash_EoP-Cash_BoP)&gt;0)</f>
        <v>0</v>
      </c>
      <c r="BY1253" s="52">
        <f t="shared" ca="1" si="1539"/>
        <v>0</v>
      </c>
      <c r="BZ1253" s="52">
        <f t="shared" ca="1" si="1539"/>
        <v>0</v>
      </c>
      <c r="CA1253" s="52">
        <f t="shared" ca="1" si="1539"/>
        <v>0</v>
      </c>
      <c r="CB1253" s="52">
        <f t="shared" ca="1" si="1539"/>
        <v>0</v>
      </c>
      <c r="CC1253" s="52">
        <f t="shared" ca="1" si="1539"/>
        <v>0</v>
      </c>
      <c r="CD1253" s="52">
        <f t="shared" ca="1" si="1539"/>
        <v>0</v>
      </c>
      <c r="CE1253" s="52">
        <f t="shared" ca="1" si="1539"/>
        <v>0</v>
      </c>
      <c r="CF1253" s="52">
        <f t="shared" ca="1" si="1539"/>
        <v>0</v>
      </c>
      <c r="CG1253" s="52">
        <f t="shared" ca="1" si="1539"/>
        <v>0</v>
      </c>
      <c r="CH1253" s="52">
        <f t="shared" ca="1" si="1539"/>
        <v>0</v>
      </c>
      <c r="CI1253" s="52">
        <f t="shared" ca="1" si="1539"/>
        <v>0</v>
      </c>
      <c r="CJ1253" s="52">
        <f t="shared" ca="1" si="1539"/>
        <v>0</v>
      </c>
      <c r="CK1253" s="52">
        <f t="shared" ca="1" si="1539"/>
        <v>0</v>
      </c>
      <c r="CL1253" s="52">
        <f t="shared" ca="1" si="1539"/>
        <v>0</v>
      </c>
      <c r="CM1253" s="52">
        <f t="shared" ca="1" si="1539"/>
        <v>0</v>
      </c>
      <c r="CN1253" s="52">
        <f t="shared" ca="1" si="1539"/>
        <v>0</v>
      </c>
      <c r="CO1253" s="52">
        <f t="shared" ca="1" si="1539"/>
        <v>0</v>
      </c>
    </row>
    <row r="1254" spans="1:93" ht="15.75" thickTop="1">
      <c r="A1254" s="35"/>
      <c r="B1254" s="35"/>
      <c r="C1254" s="49" t="s">
        <v>167</v>
      </c>
      <c r="D1254" s="49"/>
      <c r="E1254" s="49"/>
      <c r="F1254" s="49"/>
      <c r="G1254" s="159" t="str">
        <f t="shared" si="1512"/>
        <v>тыс. руб.</v>
      </c>
      <c r="H1254" s="49"/>
      <c r="I1254" s="176">
        <f t="shared" ca="1" si="1513"/>
        <v>39645349.188035011</v>
      </c>
      <c r="J1254" s="49"/>
      <c r="K1254" s="49"/>
      <c r="L1254" s="174">
        <f t="shared" ref="L1254:BW1254" ca="1" si="1540">SUM(L1241:L1253)</f>
        <v>20231.553412960755</v>
      </c>
      <c r="M1254" s="174">
        <f t="shared" ca="1" si="1540"/>
        <v>20518.738035800307</v>
      </c>
      <c r="N1254" s="174">
        <f t="shared" ca="1" si="1540"/>
        <v>20809.999212027134</v>
      </c>
      <c r="O1254" s="174">
        <f t="shared" ca="1" si="1540"/>
        <v>21105.394807857592</v>
      </c>
      <c r="P1254" s="174">
        <f t="shared" ca="1" si="1540"/>
        <v>177490.49062476435</v>
      </c>
      <c r="Q1254" s="174">
        <f t="shared" ca="1" si="1540"/>
        <v>179239.37658746613</v>
      </c>
      <c r="R1254" s="174">
        <f t="shared" ca="1" si="1540"/>
        <v>181005.49503456618</v>
      </c>
      <c r="S1254" s="174">
        <f t="shared" ca="1" si="1540"/>
        <v>182789.01576473904</v>
      </c>
      <c r="T1254" s="174">
        <f t="shared" ca="1" si="1540"/>
        <v>184965.93951308879</v>
      </c>
      <c r="U1254" s="174">
        <f t="shared" ca="1" si="1540"/>
        <v>190490.76998061163</v>
      </c>
      <c r="V1254" s="174">
        <f t="shared" ca="1" si="1540"/>
        <v>194851.96226518595</v>
      </c>
      <c r="W1254" s="174">
        <f t="shared" ca="1" si="1540"/>
        <v>199210.83002790483</v>
      </c>
      <c r="X1254" s="174">
        <f t="shared" ca="1" si="1540"/>
        <v>380268.03807791224</v>
      </c>
      <c r="Y1254" s="174">
        <f t="shared" ca="1" si="1540"/>
        <v>388712.96354787843</v>
      </c>
      <c r="Z1254" s="174">
        <f t="shared" ca="1" si="1540"/>
        <v>397487.10229346005</v>
      </c>
      <c r="AA1254" s="174">
        <f t="shared" ca="1" si="1540"/>
        <v>406153.32046609715</v>
      </c>
      <c r="AB1254" s="174">
        <f t="shared" ca="1" si="1540"/>
        <v>693935.95784803946</v>
      </c>
      <c r="AC1254" s="174">
        <f t="shared" ca="1" si="1540"/>
        <v>783166.4045570849</v>
      </c>
      <c r="AD1254" s="174">
        <f t="shared" ca="1" si="1540"/>
        <v>634344.13808011718</v>
      </c>
      <c r="AE1254" s="174">
        <f t="shared" ca="1" si="1540"/>
        <v>292176.84001536184</v>
      </c>
      <c r="AF1254" s="174">
        <f t="shared" ca="1" si="1540"/>
        <v>204320.22613587149</v>
      </c>
      <c r="AG1254" s="174">
        <f t="shared" ca="1" si="1540"/>
        <v>334936.84636492439</v>
      </c>
      <c r="AH1254" s="174">
        <f t="shared" ca="1" si="1540"/>
        <v>636735.91244217439</v>
      </c>
      <c r="AI1254" s="174">
        <f t="shared" ca="1" si="1540"/>
        <v>339249.26728520967</v>
      </c>
      <c r="AJ1254" s="174">
        <f t="shared" ca="1" si="1540"/>
        <v>236492.28017393296</v>
      </c>
      <c r="AK1254" s="174">
        <f t="shared" ca="1" si="1540"/>
        <v>386100.89208702045</v>
      </c>
      <c r="AL1254" s="174">
        <f t="shared" ca="1" si="1540"/>
        <v>732107.26655066002</v>
      </c>
      <c r="AM1254" s="174">
        <f t="shared" ca="1" si="1540"/>
        <v>389620.00579262077</v>
      </c>
      <c r="AN1254" s="174">
        <f t="shared" ca="1" si="1540"/>
        <v>273516.02445558156</v>
      </c>
      <c r="AO1254" s="174">
        <f t="shared" ca="1" si="1540"/>
        <v>440822.16251270019</v>
      </c>
      <c r="AP1254" s="174">
        <f t="shared" ca="1" si="1540"/>
        <v>815915.05294910888</v>
      </c>
      <c r="AQ1254" s="174">
        <f t="shared" ca="1" si="1540"/>
        <v>429547.88151607523</v>
      </c>
      <c r="AR1254" s="174">
        <f t="shared" ca="1" si="1540"/>
        <v>291331.56214776362</v>
      </c>
      <c r="AS1254" s="174">
        <f t="shared" ca="1" si="1540"/>
        <v>458455.04901320802</v>
      </c>
      <c r="AT1254" s="174">
        <f t="shared" ca="1" si="1540"/>
        <v>848551.65506707318</v>
      </c>
      <c r="AU1254" s="174">
        <f t="shared" ca="1" si="1540"/>
        <v>446729.793524042</v>
      </c>
      <c r="AV1254" s="174">
        <f t="shared" ca="1" si="1540"/>
        <v>302984.85036650643</v>
      </c>
      <c r="AW1254" s="174">
        <f t="shared" ca="1" si="1540"/>
        <v>480338.98179128533</v>
      </c>
      <c r="AX1254" s="174">
        <f t="shared" ca="1" si="1540"/>
        <v>824326.12118871766</v>
      </c>
      <c r="AY1254" s="174">
        <f t="shared" ca="1" si="1540"/>
        <v>398757.53190550429</v>
      </c>
      <c r="AZ1254" s="174">
        <f t="shared" ca="1" si="1540"/>
        <v>256695.54930642247</v>
      </c>
      <c r="BA1254" s="174">
        <f t="shared" ca="1" si="1540"/>
        <v>460372.75904034538</v>
      </c>
      <c r="BB1254" s="174">
        <f t="shared" ca="1" si="1540"/>
        <v>846799.69636989618</v>
      </c>
      <c r="BC1254" s="174">
        <f t="shared" ca="1" si="1540"/>
        <v>414707.83318172424</v>
      </c>
      <c r="BD1254" s="174">
        <f t="shared" ca="1" si="1540"/>
        <v>269854.26821107545</v>
      </c>
      <c r="BE1254" s="174">
        <f t="shared" ca="1" si="1540"/>
        <v>478475.68188671407</v>
      </c>
      <c r="BF1254" s="174">
        <f t="shared" ca="1" si="1540"/>
        <v>880671.68758533197</v>
      </c>
      <c r="BG1254" s="174">
        <f t="shared" ca="1" si="1540"/>
        <v>431296.14519350126</v>
      </c>
      <c r="BH1254" s="174">
        <f t="shared" ca="1" si="1540"/>
        <v>277642.04095162055</v>
      </c>
      <c r="BI1254" s="174">
        <f t="shared" ca="1" si="1540"/>
        <v>497939.17617803742</v>
      </c>
      <c r="BJ1254" s="174">
        <f t="shared" ca="1" si="1540"/>
        <v>915898.55159367912</v>
      </c>
      <c r="BK1254" s="174">
        <f t="shared" ca="1" si="1540"/>
        <v>448547.99236935284</v>
      </c>
      <c r="BL1254" s="174">
        <f t="shared" ca="1" si="1540"/>
        <v>288747.5823750195</v>
      </c>
      <c r="BM1254" s="174">
        <f t="shared" ca="1" si="1540"/>
        <v>517856.74322515889</v>
      </c>
      <c r="BN1254" s="174">
        <f t="shared" ca="1" si="1540"/>
        <v>952534.49365742609</v>
      </c>
      <c r="BO1254" s="174">
        <f t="shared" ca="1" si="1540"/>
        <v>466489.91206412693</v>
      </c>
      <c r="BP1254" s="174">
        <f t="shared" ca="1" si="1540"/>
        <v>300297.48567002028</v>
      </c>
      <c r="BQ1254" s="174">
        <f t="shared" ca="1" si="1540"/>
        <v>538571.01295416511</v>
      </c>
      <c r="BR1254" s="174">
        <f t="shared" ca="1" si="1540"/>
        <v>990635.87340372324</v>
      </c>
      <c r="BS1254" s="174">
        <f t="shared" ca="1" si="1540"/>
        <v>485149.50854669185</v>
      </c>
      <c r="BT1254" s="174">
        <f t="shared" ca="1" si="1540"/>
        <v>315691.32561926229</v>
      </c>
      <c r="BU1254" s="174">
        <f t="shared" ca="1" si="1540"/>
        <v>559748.872207009</v>
      </c>
      <c r="BV1254" s="174">
        <f t="shared" ca="1" si="1540"/>
        <v>1030261.3122713458</v>
      </c>
      <c r="BW1254" s="174">
        <f t="shared" ca="1" si="1540"/>
        <v>504555.48734961986</v>
      </c>
      <c r="BX1254" s="174">
        <f t="shared" ref="BX1254:CO1254" ca="1" si="1541">SUM(BX1241:BX1253)</f>
        <v>324801.91822312382</v>
      </c>
      <c r="BY1254" s="174">
        <f t="shared" ca="1" si="1541"/>
        <v>582518.40761122492</v>
      </c>
      <c r="BZ1254" s="174">
        <f t="shared" ca="1" si="1541"/>
        <v>1071471.7606734668</v>
      </c>
      <c r="CA1254" s="174">
        <f t="shared" ca="1" si="1541"/>
        <v>524737.70844410139</v>
      </c>
      <c r="CB1254" s="174">
        <f t="shared" ca="1" si="1541"/>
        <v>337793.83092072152</v>
      </c>
      <c r="CC1254" s="174">
        <f t="shared" ca="1" si="1541"/>
        <v>605819.14391567372</v>
      </c>
      <c r="CD1254" s="174">
        <f t="shared" ca="1" si="1541"/>
        <v>1114330.6311004055</v>
      </c>
      <c r="CE1254" s="174">
        <f t="shared" ca="1" si="1541"/>
        <v>545727.21678186581</v>
      </c>
      <c r="CF1254" s="174">
        <f t="shared" ca="1" si="1541"/>
        <v>351305.58415755036</v>
      </c>
      <c r="CG1254" s="174">
        <f t="shared" ca="1" si="1541"/>
        <v>630051.90967230056</v>
      </c>
      <c r="CH1254" s="174">
        <f t="shared" ca="1" si="1541"/>
        <v>1158903.8563444214</v>
      </c>
      <c r="CI1254" s="174">
        <f t="shared" ca="1" si="1541"/>
        <v>567556.30545314052</v>
      </c>
      <c r="CJ1254" s="174">
        <f t="shared" ca="1" si="1541"/>
        <v>369314.19959344115</v>
      </c>
      <c r="CK1254" s="174">
        <f t="shared" ca="1" si="1541"/>
        <v>654827.00960171525</v>
      </c>
      <c r="CL1254" s="174">
        <f t="shared" ca="1" si="1541"/>
        <v>1205260.0151974666</v>
      </c>
      <c r="CM1254" s="174">
        <f t="shared" ca="1" si="1541"/>
        <v>590258.55587092461</v>
      </c>
      <c r="CN1254" s="174">
        <f t="shared" ca="1" si="1541"/>
        <v>379972.30433774099</v>
      </c>
      <c r="CO1254" s="174">
        <f t="shared" ca="1" si="1541"/>
        <v>681464.1455015603</v>
      </c>
    </row>
    <row r="1255" spans="1:93">
      <c r="A1255" s="10"/>
      <c r="B1255" s="10"/>
      <c r="C1255" s="10"/>
      <c r="D1255" s="10"/>
      <c r="E1255" s="10"/>
      <c r="F1255" s="10"/>
      <c r="G1255" s="11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0"/>
      <c r="AH1255" s="10"/>
      <c r="AI1255" s="10"/>
      <c r="AJ1255" s="10"/>
      <c r="AK1255" s="10"/>
      <c r="AL1255" s="10"/>
      <c r="AM1255" s="10"/>
      <c r="AN1255" s="10"/>
      <c r="AO1255" s="10"/>
      <c r="AP1255" s="10"/>
      <c r="AQ1255" s="10"/>
      <c r="AR1255" s="10"/>
      <c r="AS1255" s="10"/>
      <c r="AT1255" s="10"/>
      <c r="AU1255" s="10"/>
      <c r="AV1255" s="10"/>
      <c r="AW1255" s="10"/>
      <c r="AX1255" s="10"/>
      <c r="AY1255" s="10"/>
      <c r="AZ1255" s="10"/>
      <c r="BA1255" s="10"/>
      <c r="BB1255" s="10"/>
      <c r="BC1255" s="10"/>
      <c r="BD1255" s="10"/>
      <c r="BE1255" s="10"/>
      <c r="BF1255" s="10"/>
      <c r="BG1255" s="10"/>
      <c r="BH1255" s="10"/>
      <c r="BI1255" s="10"/>
      <c r="BJ1255" s="10"/>
      <c r="BK1255" s="10"/>
      <c r="BL1255" s="10"/>
      <c r="BM1255" s="10"/>
      <c r="BN1255" s="10"/>
      <c r="BO1255" s="10"/>
      <c r="BP1255" s="10"/>
      <c r="BQ1255" s="10"/>
      <c r="BR1255" s="10"/>
      <c r="BS1255" s="10"/>
      <c r="BT1255" s="10"/>
      <c r="BU1255" s="10"/>
      <c r="BV1255" s="10"/>
      <c r="BW1255" s="10"/>
      <c r="BX1255" s="10"/>
      <c r="BY1255" s="10"/>
      <c r="BZ1255" s="10"/>
      <c r="CA1255" s="10"/>
      <c r="CB1255" s="10"/>
      <c r="CC1255" s="10"/>
      <c r="CD1255" s="10"/>
      <c r="CE1255" s="10"/>
      <c r="CF1255" s="10"/>
      <c r="CG1255" s="10"/>
      <c r="CH1255" s="10"/>
      <c r="CI1255" s="10"/>
      <c r="CJ1255" s="10"/>
      <c r="CK1255" s="10"/>
      <c r="CL1255" s="10"/>
      <c r="CM1255" s="10"/>
      <c r="CN1255" s="10"/>
      <c r="CO1255" s="10"/>
    </row>
    <row r="1256" spans="1:93">
      <c r="A1256" s="10"/>
      <c r="B1256" s="10"/>
      <c r="C1256" s="67" t="s">
        <v>164</v>
      </c>
      <c r="D1256" s="10"/>
      <c r="E1256" s="10"/>
      <c r="F1256" s="10"/>
      <c r="G1256" s="11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0"/>
      <c r="AH1256" s="10"/>
      <c r="AI1256" s="10"/>
      <c r="AJ1256" s="10"/>
      <c r="AK1256" s="10"/>
      <c r="AL1256" s="10"/>
      <c r="AM1256" s="10"/>
      <c r="AN1256" s="10"/>
      <c r="AO1256" s="10"/>
      <c r="AP1256" s="10"/>
      <c r="AQ1256" s="10"/>
      <c r="AR1256" s="10"/>
      <c r="AS1256" s="10"/>
      <c r="AT1256" s="10"/>
      <c r="AU1256" s="10"/>
      <c r="AV1256" s="10"/>
      <c r="AW1256" s="10"/>
      <c r="AX1256" s="10"/>
      <c r="AY1256" s="10"/>
      <c r="AZ1256" s="10"/>
      <c r="BA1256" s="10"/>
      <c r="BB1256" s="10"/>
      <c r="BC1256" s="10"/>
      <c r="BD1256" s="10"/>
      <c r="BE1256" s="10"/>
      <c r="BF1256" s="10"/>
      <c r="BG1256" s="10"/>
      <c r="BH1256" s="10"/>
      <c r="BI1256" s="10"/>
      <c r="BJ1256" s="10"/>
      <c r="BK1256" s="10"/>
      <c r="BL1256" s="10"/>
      <c r="BM1256" s="10"/>
      <c r="BN1256" s="10"/>
      <c r="BO1256" s="10"/>
      <c r="BP1256" s="10"/>
      <c r="BQ1256" s="10"/>
      <c r="BR1256" s="10"/>
      <c r="BS1256" s="10"/>
      <c r="BT1256" s="10"/>
      <c r="BU1256" s="10"/>
      <c r="BV1256" s="10"/>
      <c r="BW1256" s="10"/>
      <c r="BX1256" s="10"/>
      <c r="BY1256" s="10"/>
      <c r="BZ1256" s="10"/>
      <c r="CA1256" s="10"/>
      <c r="CB1256" s="10"/>
      <c r="CC1256" s="10"/>
      <c r="CD1256" s="10"/>
      <c r="CE1256" s="10"/>
      <c r="CF1256" s="10"/>
      <c r="CG1256" s="10"/>
      <c r="CH1256" s="10"/>
      <c r="CI1256" s="10"/>
      <c r="CJ1256" s="10"/>
      <c r="CK1256" s="10"/>
      <c r="CL1256" s="10"/>
      <c r="CM1256" s="10"/>
      <c r="CN1256" s="10"/>
      <c r="CO1256" s="10"/>
    </row>
    <row r="1257" spans="1:93">
      <c r="A1257" s="10"/>
      <c r="B1257" s="10"/>
      <c r="C1257" s="17" t="s">
        <v>96</v>
      </c>
      <c r="D1257" s="10"/>
      <c r="E1257" s="10"/>
      <c r="F1257" s="10"/>
      <c r="G1257" s="134" t="str">
        <f t="shared" ref="G1257:G1264" si="1542">Monetary_Unit</f>
        <v>тыс. руб.</v>
      </c>
      <c r="H1257" s="10"/>
      <c r="I1257" s="23">
        <f t="shared" ref="I1257:I1264" ca="1" si="1543">SUM(L1257:CO1257)</f>
        <v>31948941.046733905</v>
      </c>
      <c r="J1257" s="10"/>
      <c r="K1257" s="10"/>
      <c r="L1257" s="52">
        <f t="shared" ref="L1257:BW1257" ca="1" si="1544">Revenue</f>
        <v>0</v>
      </c>
      <c r="M1257" s="52">
        <f t="shared" ca="1" si="1544"/>
        <v>0</v>
      </c>
      <c r="N1257" s="52">
        <f t="shared" ca="1" si="1544"/>
        <v>0</v>
      </c>
      <c r="O1257" s="52">
        <f t="shared" ca="1" si="1544"/>
        <v>0</v>
      </c>
      <c r="P1257" s="52">
        <f t="shared" ca="1" si="1544"/>
        <v>0</v>
      </c>
      <c r="Q1257" s="52">
        <f t="shared" ca="1" si="1544"/>
        <v>0</v>
      </c>
      <c r="R1257" s="52">
        <f t="shared" ca="1" si="1544"/>
        <v>0</v>
      </c>
      <c r="S1257" s="52">
        <f t="shared" ca="1" si="1544"/>
        <v>0</v>
      </c>
      <c r="T1257" s="52">
        <f t="shared" ca="1" si="1544"/>
        <v>0</v>
      </c>
      <c r="U1257" s="52">
        <f t="shared" ca="1" si="1544"/>
        <v>0</v>
      </c>
      <c r="V1257" s="52">
        <f t="shared" ca="1" si="1544"/>
        <v>0</v>
      </c>
      <c r="W1257" s="52">
        <f t="shared" ca="1" si="1544"/>
        <v>0</v>
      </c>
      <c r="X1257" s="52">
        <f t="shared" ca="1" si="1544"/>
        <v>0</v>
      </c>
      <c r="Y1257" s="52">
        <f t="shared" ca="1" si="1544"/>
        <v>0</v>
      </c>
      <c r="Z1257" s="52">
        <f t="shared" ca="1" si="1544"/>
        <v>0</v>
      </c>
      <c r="AA1257" s="52">
        <f t="shared" ca="1" si="1544"/>
        <v>0</v>
      </c>
      <c r="AB1257" s="52">
        <f t="shared" ca="1" si="1544"/>
        <v>0</v>
      </c>
      <c r="AC1257" s="52">
        <f t="shared" ca="1" si="1544"/>
        <v>287137.34130179585</v>
      </c>
      <c r="AD1257" s="52">
        <f t="shared" ca="1" si="1544"/>
        <v>547617.81742701808</v>
      </c>
      <c r="AE1257" s="52">
        <f t="shared" ca="1" si="1544"/>
        <v>203266.93156101141</v>
      </c>
      <c r="AF1257" s="52">
        <f t="shared" ca="1" si="1544"/>
        <v>184143.12050146211</v>
      </c>
      <c r="AG1257" s="52">
        <f t="shared" ca="1" si="1544"/>
        <v>334936.84636492439</v>
      </c>
      <c r="AH1257" s="52">
        <f t="shared" ca="1" si="1544"/>
        <v>636735.91244217439</v>
      </c>
      <c r="AI1257" s="52">
        <f t="shared" ca="1" si="1544"/>
        <v>235631.14326524414</v>
      </c>
      <c r="AJ1257" s="52">
        <f t="shared" ca="1" si="1544"/>
        <v>212850.80121366578</v>
      </c>
      <c r="AK1257" s="52">
        <f t="shared" ca="1" si="1544"/>
        <v>386100.89208702045</v>
      </c>
      <c r="AL1257" s="52">
        <f t="shared" ca="1" si="1544"/>
        <v>732107.2665506599</v>
      </c>
      <c r="AM1257" s="52">
        <f t="shared" ca="1" si="1544"/>
        <v>270259.26481531787</v>
      </c>
      <c r="AN1257" s="52">
        <f t="shared" ca="1" si="1544"/>
        <v>246266.69480548825</v>
      </c>
      <c r="AO1257" s="52">
        <f t="shared" ca="1" si="1544"/>
        <v>440822.16251270013</v>
      </c>
      <c r="AP1257" s="52">
        <f t="shared" ca="1" si="1544"/>
        <v>815915.05294910888</v>
      </c>
      <c r="AQ1257" s="52">
        <f t="shared" ca="1" si="1544"/>
        <v>294175.13083405176</v>
      </c>
      <c r="AR1257" s="52">
        <f t="shared" ca="1" si="1544"/>
        <v>259073.75095888102</v>
      </c>
      <c r="AS1257" s="52">
        <f t="shared" ca="1" si="1544"/>
        <v>458455.04901320807</v>
      </c>
      <c r="AT1257" s="52">
        <f t="shared" ca="1" si="1544"/>
        <v>848551.65506707318</v>
      </c>
      <c r="AU1257" s="52">
        <f t="shared" ca="1" si="1544"/>
        <v>305942.13606741378</v>
      </c>
      <c r="AV1257" s="52">
        <f t="shared" ca="1" si="1544"/>
        <v>269436.70099723624</v>
      </c>
      <c r="AW1257" s="52">
        <f t="shared" ca="1" si="1544"/>
        <v>422147.48991467513</v>
      </c>
      <c r="AX1257" s="52">
        <f t="shared" ca="1" si="1544"/>
        <v>773536.7544139981</v>
      </c>
      <c r="AY1257" s="52">
        <f t="shared" ca="1" si="1544"/>
        <v>283242.42833727284</v>
      </c>
      <c r="AZ1257" s="52">
        <f t="shared" ca="1" si="1544"/>
        <v>250185.10206601798</v>
      </c>
      <c r="BA1257" s="52">
        <f t="shared" ca="1" si="1544"/>
        <v>439033.38951126201</v>
      </c>
      <c r="BB1257" s="52">
        <f t="shared" ca="1" si="1544"/>
        <v>804478.22459055774</v>
      </c>
      <c r="BC1257" s="52">
        <f t="shared" ca="1" si="1544"/>
        <v>294572.12547076365</v>
      </c>
      <c r="BD1257" s="52">
        <f t="shared" ca="1" si="1544"/>
        <v>263083.53399475489</v>
      </c>
      <c r="BE1257" s="52">
        <f t="shared" ca="1" si="1544"/>
        <v>456594.72509171249</v>
      </c>
      <c r="BF1257" s="52">
        <f t="shared" ca="1" si="1544"/>
        <v>836657.35357417993</v>
      </c>
      <c r="BG1257" s="52">
        <f t="shared" ca="1" si="1544"/>
        <v>306355.01048959419</v>
      </c>
      <c r="BH1257" s="52">
        <f t="shared" ca="1" si="1544"/>
        <v>270600.20639460499</v>
      </c>
      <c r="BI1257" s="52">
        <f t="shared" ca="1" si="1544"/>
        <v>474858.51409538084</v>
      </c>
      <c r="BJ1257" s="52">
        <f t="shared" ca="1" si="1544"/>
        <v>870123.6477171469</v>
      </c>
      <c r="BK1257" s="52">
        <f t="shared" ca="1" si="1544"/>
        <v>318609.21090917796</v>
      </c>
      <c r="BL1257" s="52">
        <f t="shared" ca="1" si="1544"/>
        <v>281424.21465038921</v>
      </c>
      <c r="BM1257" s="52">
        <f t="shared" ca="1" si="1544"/>
        <v>493852.85465919605</v>
      </c>
      <c r="BN1257" s="52">
        <f t="shared" ca="1" si="1544"/>
        <v>904928.59362583258</v>
      </c>
      <c r="BO1257" s="52">
        <f t="shared" ca="1" si="1544"/>
        <v>331353.57934554503</v>
      </c>
      <c r="BP1257" s="52">
        <f t="shared" ca="1" si="1544"/>
        <v>292681.18323640467</v>
      </c>
      <c r="BQ1257" s="52">
        <f t="shared" ca="1" si="1544"/>
        <v>513606.96884556377</v>
      </c>
      <c r="BR1257" s="52">
        <f t="shared" ca="1" si="1544"/>
        <v>941125.73737086589</v>
      </c>
      <c r="BS1257" s="52">
        <f t="shared" ca="1" si="1544"/>
        <v>344607.72251936671</v>
      </c>
      <c r="BT1257" s="52">
        <f t="shared" ca="1" si="1544"/>
        <v>307770.52423881477</v>
      </c>
      <c r="BU1257" s="52">
        <f t="shared" ca="1" si="1544"/>
        <v>534151.24759938626</v>
      </c>
      <c r="BV1257" s="52">
        <f t="shared" ca="1" si="1544"/>
        <v>978770.76686570025</v>
      </c>
      <c r="BW1257" s="52">
        <f t="shared" ca="1" si="1544"/>
        <v>358392.03142014134</v>
      </c>
      <c r="BX1257" s="52">
        <f t="shared" ref="BX1257:CO1257" ca="1" si="1545">Revenue</f>
        <v>316563.96778849518</v>
      </c>
      <c r="BY1257" s="52">
        <f t="shared" ca="1" si="1545"/>
        <v>555517.29750336171</v>
      </c>
      <c r="BZ1257" s="52">
        <f t="shared" ca="1" si="1545"/>
        <v>1017921.5975403283</v>
      </c>
      <c r="CA1257" s="52">
        <f t="shared" ca="1" si="1545"/>
        <v>372727.71267694695</v>
      </c>
      <c r="CB1257" s="52">
        <f t="shared" ca="1" si="1545"/>
        <v>329226.52650003496</v>
      </c>
      <c r="CC1257" s="52">
        <f t="shared" ca="1" si="1545"/>
        <v>577737.98940349603</v>
      </c>
      <c r="CD1257" s="52">
        <f t="shared" ca="1" si="1545"/>
        <v>1058638.4614419413</v>
      </c>
      <c r="CE1257" s="52">
        <f t="shared" ca="1" si="1545"/>
        <v>387636.8211840248</v>
      </c>
      <c r="CF1257" s="52">
        <f t="shared" ca="1" si="1545"/>
        <v>342395.58756003634</v>
      </c>
      <c r="CG1257" s="52">
        <f t="shared" ca="1" si="1545"/>
        <v>600847.50897963578</v>
      </c>
      <c r="CH1257" s="52">
        <f t="shared" ca="1" si="1545"/>
        <v>1100983.9998996188</v>
      </c>
      <c r="CI1257" s="52">
        <f t="shared" ca="1" si="1545"/>
        <v>403142.2940313858</v>
      </c>
      <c r="CJ1257" s="52">
        <f t="shared" ca="1" si="1545"/>
        <v>360047.98229646485</v>
      </c>
      <c r="CK1257" s="52">
        <f t="shared" ca="1" si="1545"/>
        <v>624881.40933882119</v>
      </c>
      <c r="CL1257" s="52">
        <f t="shared" ca="1" si="1545"/>
        <v>1145023.3598956035</v>
      </c>
      <c r="CM1257" s="52">
        <f t="shared" ca="1" si="1545"/>
        <v>419267.98579264118</v>
      </c>
      <c r="CN1257" s="52">
        <f t="shared" ca="1" si="1545"/>
        <v>370335.06750493526</v>
      </c>
      <c r="CO1257" s="52">
        <f t="shared" ca="1" si="1545"/>
        <v>649876.66571237403</v>
      </c>
    </row>
    <row r="1258" spans="1:93">
      <c r="A1258" s="10"/>
      <c r="B1258" s="10"/>
      <c r="C1258" s="17" t="s">
        <v>303</v>
      </c>
      <c r="D1258" s="10"/>
      <c r="E1258" s="10"/>
      <c r="F1258" s="10"/>
      <c r="G1258" s="134" t="str">
        <f t="shared" si="1542"/>
        <v>тыс. руб.</v>
      </c>
      <c r="H1258" s="10"/>
      <c r="I1258" s="23">
        <f t="shared" ca="1" si="1543"/>
        <v>1620475.2541816309</v>
      </c>
      <c r="J1258" s="10"/>
      <c r="K1258" s="10"/>
      <c r="L1258" s="52">
        <f t="shared" ref="L1258:BW1258" ca="1" si="1546">VAT_Cash_Flow*(VAT_Cash_Flow&gt;0)</f>
        <v>0</v>
      </c>
      <c r="M1258" s="52">
        <f t="shared" ca="1" si="1546"/>
        <v>0</v>
      </c>
      <c r="N1258" s="52">
        <f t="shared" ca="1" si="1546"/>
        <v>0</v>
      </c>
      <c r="O1258" s="52">
        <f t="shared" ca="1" si="1546"/>
        <v>0</v>
      </c>
      <c r="P1258" s="52">
        <f t="shared" ca="1" si="1546"/>
        <v>0</v>
      </c>
      <c r="Q1258" s="52">
        <f t="shared" ca="1" si="1546"/>
        <v>0</v>
      </c>
      <c r="R1258" s="52">
        <f t="shared" ca="1" si="1546"/>
        <v>0</v>
      </c>
      <c r="S1258" s="52">
        <f t="shared" ca="1" si="1546"/>
        <v>0</v>
      </c>
      <c r="T1258" s="52">
        <f t="shared" ca="1" si="1546"/>
        <v>0</v>
      </c>
      <c r="U1258" s="52">
        <f t="shared" ca="1" si="1546"/>
        <v>0</v>
      </c>
      <c r="V1258" s="52">
        <f t="shared" ca="1" si="1546"/>
        <v>0</v>
      </c>
      <c r="W1258" s="52">
        <f t="shared" ca="1" si="1546"/>
        <v>0</v>
      </c>
      <c r="X1258" s="52">
        <f t="shared" ca="1" si="1546"/>
        <v>0</v>
      </c>
      <c r="Y1258" s="52">
        <f t="shared" ca="1" si="1546"/>
        <v>0</v>
      </c>
      <c r="Z1258" s="52">
        <f t="shared" ca="1" si="1546"/>
        <v>0</v>
      </c>
      <c r="AA1258" s="52">
        <f t="shared" ca="1" si="1546"/>
        <v>0</v>
      </c>
      <c r="AB1258" s="52">
        <f t="shared" ca="1" si="1546"/>
        <v>0</v>
      </c>
      <c r="AC1258" s="52">
        <f t="shared" ca="1" si="1546"/>
        <v>496029.06325528905</v>
      </c>
      <c r="AD1258" s="52">
        <f t="shared" ca="1" si="1546"/>
        <v>86726.320653099174</v>
      </c>
      <c r="AE1258" s="52">
        <f t="shared" ca="1" si="1546"/>
        <v>3631.0699049526047</v>
      </c>
      <c r="AF1258" s="52">
        <f t="shared" ca="1" si="1546"/>
        <v>16369.970828104153</v>
      </c>
      <c r="AG1258" s="52">
        <f t="shared" ca="1" si="1546"/>
        <v>0</v>
      </c>
      <c r="AH1258" s="52">
        <f t="shared" ca="1" si="1546"/>
        <v>0</v>
      </c>
      <c r="AI1258" s="52">
        <f t="shared" ca="1" si="1546"/>
        <v>4291.8545063702404</v>
      </c>
      <c r="AJ1258" s="52">
        <f t="shared" ca="1" si="1546"/>
        <v>19080.908890100753</v>
      </c>
      <c r="AK1258" s="52">
        <f t="shared" ca="1" si="1546"/>
        <v>0</v>
      </c>
      <c r="AL1258" s="52">
        <f t="shared" ca="1" si="1546"/>
        <v>0</v>
      </c>
      <c r="AM1258" s="52">
        <f t="shared" ca="1" si="1546"/>
        <v>4999.6921640533328</v>
      </c>
      <c r="AN1258" s="52">
        <f t="shared" ca="1" si="1546"/>
        <v>21881.252816225988</v>
      </c>
      <c r="AO1258" s="52">
        <f t="shared" ca="1" si="1546"/>
        <v>0</v>
      </c>
      <c r="AP1258" s="52">
        <f t="shared" ca="1" si="1546"/>
        <v>0</v>
      </c>
      <c r="AQ1258" s="52">
        <f t="shared" ca="1" si="1546"/>
        <v>6256.70051811343</v>
      </c>
      <c r="AR1258" s="52">
        <f t="shared" ca="1" si="1546"/>
        <v>24959.816450627564</v>
      </c>
      <c r="AS1258" s="52">
        <f t="shared" ca="1" si="1546"/>
        <v>0</v>
      </c>
      <c r="AT1258" s="52">
        <f t="shared" ca="1" si="1546"/>
        <v>0</v>
      </c>
      <c r="AU1258" s="52">
        <f t="shared" ca="1" si="1546"/>
        <v>6506.9641166942092</v>
      </c>
      <c r="AV1258" s="52">
        <f t="shared" ca="1" si="1546"/>
        <v>25958.354697568982</v>
      </c>
      <c r="AW1258" s="52">
        <f t="shared" ca="1" si="1546"/>
        <v>58191.49187661022</v>
      </c>
      <c r="AX1258" s="52">
        <f t="shared" ca="1" si="1546"/>
        <v>50789.366774719732</v>
      </c>
      <c r="AY1258" s="52">
        <f t="shared" ca="1" si="1546"/>
        <v>0</v>
      </c>
      <c r="AZ1258" s="52">
        <f t="shared" ca="1" si="1546"/>
        <v>0</v>
      </c>
      <c r="BA1258" s="52">
        <f t="shared" ca="1" si="1546"/>
        <v>21339.369529083353</v>
      </c>
      <c r="BB1258" s="52">
        <f t="shared" ca="1" si="1546"/>
        <v>42321.471779338317</v>
      </c>
      <c r="BC1258" s="52">
        <f t="shared" ca="1" si="1546"/>
        <v>0</v>
      </c>
      <c r="BD1258" s="52">
        <f t="shared" ca="1" si="1546"/>
        <v>0</v>
      </c>
      <c r="BE1258" s="52">
        <f t="shared" ca="1" si="1546"/>
        <v>21880.956795001614</v>
      </c>
      <c r="BF1258" s="52">
        <f t="shared" ca="1" si="1546"/>
        <v>44014.33401115211</v>
      </c>
      <c r="BG1258" s="52">
        <f t="shared" ca="1" si="1546"/>
        <v>0</v>
      </c>
      <c r="BH1258" s="52">
        <f t="shared" ca="1" si="1546"/>
        <v>0</v>
      </c>
      <c r="BI1258" s="52">
        <f t="shared" ca="1" si="1546"/>
        <v>23080.662082656534</v>
      </c>
      <c r="BJ1258" s="52">
        <f t="shared" ca="1" si="1546"/>
        <v>45774.903876532298</v>
      </c>
      <c r="BK1258" s="52">
        <f t="shared" ca="1" si="1546"/>
        <v>0</v>
      </c>
      <c r="BL1258" s="52">
        <f t="shared" ca="1" si="1546"/>
        <v>0</v>
      </c>
      <c r="BM1258" s="52">
        <f t="shared" ca="1" si="1546"/>
        <v>24003.888565962799</v>
      </c>
      <c r="BN1258" s="52">
        <f t="shared" ca="1" si="1546"/>
        <v>47605.900031593541</v>
      </c>
      <c r="BO1258" s="52">
        <f t="shared" ca="1" si="1546"/>
        <v>0</v>
      </c>
      <c r="BP1258" s="52">
        <f t="shared" ca="1" si="1546"/>
        <v>0</v>
      </c>
      <c r="BQ1258" s="52">
        <f t="shared" ca="1" si="1546"/>
        <v>24964.044108601302</v>
      </c>
      <c r="BR1258" s="52">
        <f t="shared" ca="1" si="1546"/>
        <v>49510.13603285735</v>
      </c>
      <c r="BS1258" s="52">
        <f t="shared" ca="1" si="1546"/>
        <v>0</v>
      </c>
      <c r="BT1258" s="52">
        <f t="shared" ca="1" si="1546"/>
        <v>0</v>
      </c>
      <c r="BU1258" s="52">
        <f t="shared" ca="1" si="1546"/>
        <v>25597.624607622762</v>
      </c>
      <c r="BV1258" s="52">
        <f t="shared" ca="1" si="1546"/>
        <v>51490.545405645425</v>
      </c>
      <c r="BW1258" s="52">
        <f t="shared" ca="1" si="1546"/>
        <v>0</v>
      </c>
      <c r="BX1258" s="52">
        <f t="shared" ref="BX1258:CO1258" ca="1" si="1547">VAT_Cash_Flow*(VAT_Cash_Flow&gt;0)</f>
        <v>0</v>
      </c>
      <c r="BY1258" s="52">
        <f t="shared" ca="1" si="1547"/>
        <v>27001.110107863176</v>
      </c>
      <c r="BZ1258" s="52">
        <f t="shared" ca="1" si="1547"/>
        <v>53550.163133138471</v>
      </c>
      <c r="CA1258" s="52">
        <f t="shared" ca="1" si="1547"/>
        <v>0</v>
      </c>
      <c r="CB1258" s="52">
        <f t="shared" ca="1" si="1547"/>
        <v>0</v>
      </c>
      <c r="CC1258" s="52">
        <f t="shared" ca="1" si="1547"/>
        <v>28081.154512177687</v>
      </c>
      <c r="CD1258" s="52">
        <f t="shared" ca="1" si="1547"/>
        <v>55692.169658463994</v>
      </c>
      <c r="CE1258" s="52">
        <f t="shared" ca="1" si="1547"/>
        <v>0</v>
      </c>
      <c r="CF1258" s="52">
        <f t="shared" ca="1" si="1547"/>
        <v>0</v>
      </c>
      <c r="CG1258" s="52">
        <f t="shared" ca="1" si="1547"/>
        <v>29204.400692664785</v>
      </c>
      <c r="CH1258" s="52">
        <f t="shared" ca="1" si="1547"/>
        <v>57919.856444802557</v>
      </c>
      <c r="CI1258" s="52">
        <f t="shared" ca="1" si="1547"/>
        <v>0</v>
      </c>
      <c r="CJ1258" s="52">
        <f t="shared" ca="1" si="1547"/>
        <v>0</v>
      </c>
      <c r="CK1258" s="52">
        <f t="shared" ca="1" si="1547"/>
        <v>29945.600262894091</v>
      </c>
      <c r="CL1258" s="52">
        <f t="shared" ca="1" si="1547"/>
        <v>60236.655301862993</v>
      </c>
      <c r="CM1258" s="52">
        <f t="shared" ca="1" si="1547"/>
        <v>0</v>
      </c>
      <c r="CN1258" s="52">
        <f t="shared" ca="1" si="1547"/>
        <v>0</v>
      </c>
      <c r="CO1258" s="52">
        <f t="shared" ca="1" si="1547"/>
        <v>31587.47978918624</v>
      </c>
    </row>
    <row r="1259" spans="1:93">
      <c r="A1259" s="10"/>
      <c r="B1259" s="10"/>
      <c r="C1259" s="17" t="s">
        <v>471</v>
      </c>
      <c r="D1259" s="10"/>
      <c r="E1259" s="10"/>
      <c r="F1259" s="10"/>
      <c r="G1259" s="134" t="str">
        <f t="shared" si="1542"/>
        <v>тыс. руб.</v>
      </c>
      <c r="H1259" s="10"/>
      <c r="I1259" s="23">
        <f t="shared" ca="1" si="1543"/>
        <v>2771888.3794600694</v>
      </c>
      <c r="J1259" s="10"/>
      <c r="K1259" s="10"/>
      <c r="L1259" s="52">
        <f t="shared" ref="L1259:BW1259" si="1548">Debt_Drawdown</f>
        <v>0</v>
      </c>
      <c r="M1259" s="52">
        <f t="shared" ca="1" si="1548"/>
        <v>0</v>
      </c>
      <c r="N1259" s="52">
        <f t="shared" ca="1" si="1548"/>
        <v>0</v>
      </c>
      <c r="O1259" s="52">
        <f t="shared" ca="1" si="1548"/>
        <v>0</v>
      </c>
      <c r="P1259" s="52">
        <f t="shared" ca="1" si="1548"/>
        <v>0</v>
      </c>
      <c r="Q1259" s="52">
        <f t="shared" ca="1" si="1548"/>
        <v>0</v>
      </c>
      <c r="R1259" s="52">
        <f t="shared" ca="1" si="1548"/>
        <v>0</v>
      </c>
      <c r="S1259" s="52">
        <f t="shared" ca="1" si="1548"/>
        <v>0</v>
      </c>
      <c r="T1259" s="52">
        <f t="shared" ca="1" si="1548"/>
        <v>54925.998445192294</v>
      </c>
      <c r="U1259" s="52">
        <f t="shared" ca="1" si="1548"/>
        <v>186408.95165096477</v>
      </c>
      <c r="V1259" s="52">
        <f t="shared" ca="1" si="1548"/>
        <v>188245.71483594872</v>
      </c>
      <c r="W1259" s="52">
        <f t="shared" ca="1" si="1548"/>
        <v>190100.57639532859</v>
      </c>
      <c r="X1259" s="52">
        <f t="shared" ca="1" si="1548"/>
        <v>367575.48981645482</v>
      </c>
      <c r="Y1259" s="52">
        <f t="shared" ca="1" si="1548"/>
        <v>371197.36055505282</v>
      </c>
      <c r="Z1259" s="52">
        <f t="shared" ca="1" si="1548"/>
        <v>374854.91905850585</v>
      </c>
      <c r="AA1259" s="52">
        <f t="shared" ca="1" si="1548"/>
        <v>378548.51697286987</v>
      </c>
      <c r="AB1259" s="52">
        <f t="shared" ca="1" si="1548"/>
        <v>660030.85172975156</v>
      </c>
      <c r="AC1259" s="52">
        <f t="shared" ca="1" si="1548"/>
        <v>0</v>
      </c>
      <c r="AD1259" s="52">
        <f t="shared" ca="1" si="1548"/>
        <v>0</v>
      </c>
      <c r="AE1259" s="52">
        <f t="shared" ca="1" si="1548"/>
        <v>0</v>
      </c>
      <c r="AF1259" s="52">
        <f t="shared" ca="1" si="1548"/>
        <v>0</v>
      </c>
      <c r="AG1259" s="52">
        <f t="shared" ca="1" si="1548"/>
        <v>0</v>
      </c>
      <c r="AH1259" s="52">
        <f t="shared" ca="1" si="1548"/>
        <v>0</v>
      </c>
      <c r="AI1259" s="52">
        <f t="shared" ca="1" si="1548"/>
        <v>0</v>
      </c>
      <c r="AJ1259" s="52">
        <f t="shared" ca="1" si="1548"/>
        <v>0</v>
      </c>
      <c r="AK1259" s="52">
        <f t="shared" ca="1" si="1548"/>
        <v>0</v>
      </c>
      <c r="AL1259" s="52">
        <f t="shared" ca="1" si="1548"/>
        <v>0</v>
      </c>
      <c r="AM1259" s="52">
        <f t="shared" ca="1" si="1548"/>
        <v>0</v>
      </c>
      <c r="AN1259" s="52">
        <f t="shared" ca="1" si="1548"/>
        <v>0</v>
      </c>
      <c r="AO1259" s="52">
        <f t="shared" ca="1" si="1548"/>
        <v>0</v>
      </c>
      <c r="AP1259" s="52">
        <f t="shared" ca="1" si="1548"/>
        <v>0</v>
      </c>
      <c r="AQ1259" s="52">
        <f t="shared" ca="1" si="1548"/>
        <v>0</v>
      </c>
      <c r="AR1259" s="52">
        <f t="shared" ca="1" si="1548"/>
        <v>0</v>
      </c>
      <c r="AS1259" s="52">
        <f t="shared" ca="1" si="1548"/>
        <v>0</v>
      </c>
      <c r="AT1259" s="52">
        <f t="shared" ca="1" si="1548"/>
        <v>0</v>
      </c>
      <c r="AU1259" s="52">
        <f t="shared" ca="1" si="1548"/>
        <v>0</v>
      </c>
      <c r="AV1259" s="52">
        <f t="shared" ca="1" si="1548"/>
        <v>0</v>
      </c>
      <c r="AW1259" s="52">
        <f t="shared" ca="1" si="1548"/>
        <v>0</v>
      </c>
      <c r="AX1259" s="52">
        <f t="shared" ca="1" si="1548"/>
        <v>0</v>
      </c>
      <c r="AY1259" s="52">
        <f t="shared" ca="1" si="1548"/>
        <v>0</v>
      </c>
      <c r="AZ1259" s="52">
        <f t="shared" ca="1" si="1548"/>
        <v>0</v>
      </c>
      <c r="BA1259" s="52">
        <f t="shared" ca="1" si="1548"/>
        <v>0</v>
      </c>
      <c r="BB1259" s="52">
        <f t="shared" ca="1" si="1548"/>
        <v>0</v>
      </c>
      <c r="BC1259" s="52">
        <f t="shared" ca="1" si="1548"/>
        <v>0</v>
      </c>
      <c r="BD1259" s="52">
        <f t="shared" ca="1" si="1548"/>
        <v>0</v>
      </c>
      <c r="BE1259" s="52">
        <f t="shared" ca="1" si="1548"/>
        <v>0</v>
      </c>
      <c r="BF1259" s="52">
        <f t="shared" ca="1" si="1548"/>
        <v>0</v>
      </c>
      <c r="BG1259" s="52">
        <f t="shared" ca="1" si="1548"/>
        <v>0</v>
      </c>
      <c r="BH1259" s="52">
        <f t="shared" ca="1" si="1548"/>
        <v>0</v>
      </c>
      <c r="BI1259" s="52">
        <f t="shared" ca="1" si="1548"/>
        <v>0</v>
      </c>
      <c r="BJ1259" s="52">
        <f t="shared" ca="1" si="1548"/>
        <v>0</v>
      </c>
      <c r="BK1259" s="52">
        <f t="shared" ca="1" si="1548"/>
        <v>0</v>
      </c>
      <c r="BL1259" s="52">
        <f t="shared" ca="1" si="1548"/>
        <v>0</v>
      </c>
      <c r="BM1259" s="52">
        <f t="shared" ca="1" si="1548"/>
        <v>0</v>
      </c>
      <c r="BN1259" s="52">
        <f t="shared" ca="1" si="1548"/>
        <v>0</v>
      </c>
      <c r="BO1259" s="52">
        <f t="shared" ca="1" si="1548"/>
        <v>0</v>
      </c>
      <c r="BP1259" s="52">
        <f t="shared" ca="1" si="1548"/>
        <v>0</v>
      </c>
      <c r="BQ1259" s="52">
        <f t="shared" ca="1" si="1548"/>
        <v>0</v>
      </c>
      <c r="BR1259" s="52">
        <f t="shared" ca="1" si="1548"/>
        <v>0</v>
      </c>
      <c r="BS1259" s="52">
        <f t="shared" ca="1" si="1548"/>
        <v>0</v>
      </c>
      <c r="BT1259" s="52">
        <f t="shared" ca="1" si="1548"/>
        <v>0</v>
      </c>
      <c r="BU1259" s="52">
        <f t="shared" ca="1" si="1548"/>
        <v>0</v>
      </c>
      <c r="BV1259" s="52">
        <f t="shared" ca="1" si="1548"/>
        <v>0</v>
      </c>
      <c r="BW1259" s="52">
        <f t="shared" ca="1" si="1548"/>
        <v>0</v>
      </c>
      <c r="BX1259" s="52">
        <f t="shared" ref="BX1259:CO1259" ca="1" si="1549">Debt_Drawdown</f>
        <v>0</v>
      </c>
      <c r="BY1259" s="52">
        <f t="shared" ca="1" si="1549"/>
        <v>0</v>
      </c>
      <c r="BZ1259" s="52">
        <f t="shared" ca="1" si="1549"/>
        <v>0</v>
      </c>
      <c r="CA1259" s="52">
        <f t="shared" ca="1" si="1549"/>
        <v>0</v>
      </c>
      <c r="CB1259" s="52">
        <f t="shared" ca="1" si="1549"/>
        <v>0</v>
      </c>
      <c r="CC1259" s="52">
        <f t="shared" ca="1" si="1549"/>
        <v>0</v>
      </c>
      <c r="CD1259" s="52">
        <f t="shared" ca="1" si="1549"/>
        <v>0</v>
      </c>
      <c r="CE1259" s="52">
        <f t="shared" ca="1" si="1549"/>
        <v>0</v>
      </c>
      <c r="CF1259" s="52">
        <f t="shared" ca="1" si="1549"/>
        <v>0</v>
      </c>
      <c r="CG1259" s="52">
        <f t="shared" ca="1" si="1549"/>
        <v>0</v>
      </c>
      <c r="CH1259" s="52">
        <f t="shared" ca="1" si="1549"/>
        <v>0</v>
      </c>
      <c r="CI1259" s="52">
        <f t="shared" ca="1" si="1549"/>
        <v>0</v>
      </c>
      <c r="CJ1259" s="52">
        <f t="shared" ca="1" si="1549"/>
        <v>0</v>
      </c>
      <c r="CK1259" s="52">
        <f t="shared" ca="1" si="1549"/>
        <v>0</v>
      </c>
      <c r="CL1259" s="52">
        <f t="shared" ca="1" si="1549"/>
        <v>0</v>
      </c>
      <c r="CM1259" s="52">
        <f t="shared" ca="1" si="1549"/>
        <v>0</v>
      </c>
      <c r="CN1259" s="52">
        <f t="shared" ca="1" si="1549"/>
        <v>0</v>
      </c>
      <c r="CO1259" s="52">
        <f t="shared" ca="1" si="1549"/>
        <v>0</v>
      </c>
    </row>
    <row r="1260" spans="1:93">
      <c r="A1260" s="10"/>
      <c r="B1260" s="10"/>
      <c r="C1260" s="17" t="s">
        <v>472</v>
      </c>
      <c r="D1260" s="10"/>
      <c r="E1260" s="10"/>
      <c r="F1260" s="10"/>
      <c r="G1260" s="134" t="str">
        <f t="shared" si="1542"/>
        <v>тыс. руб.</v>
      </c>
      <c r="H1260" s="10"/>
      <c r="I1260" s="23">
        <f t="shared" ca="1" si="1543"/>
        <v>533689.28402014531</v>
      </c>
      <c r="J1260" s="10"/>
      <c r="K1260" s="10"/>
      <c r="L1260" s="52">
        <f t="shared" ref="L1260:BW1260" si="1550">Equity_Drawdown</f>
        <v>10115.776706480377</v>
      </c>
      <c r="M1260" s="52">
        <f t="shared" ca="1" si="1550"/>
        <v>10259.369017900153</v>
      </c>
      <c r="N1260" s="52">
        <f t="shared" ca="1" si="1550"/>
        <v>10404.999606013567</v>
      </c>
      <c r="O1260" s="52">
        <f t="shared" ca="1" si="1550"/>
        <v>10552.697403928796</v>
      </c>
      <c r="P1260" s="52">
        <f t="shared" ca="1" si="1550"/>
        <v>88745.245312382176</v>
      </c>
      <c r="Q1260" s="52">
        <f t="shared" ca="1" si="1550"/>
        <v>89619.688293733067</v>
      </c>
      <c r="R1260" s="52">
        <f t="shared" ca="1" si="1550"/>
        <v>90502.747517283089</v>
      </c>
      <c r="S1260" s="52">
        <f t="shared" ca="1" si="1550"/>
        <v>91394.507882369522</v>
      </c>
      <c r="T1260" s="52">
        <f t="shared" ca="1" si="1550"/>
        <v>65019.970533948253</v>
      </c>
      <c r="U1260" s="52">
        <f t="shared" ca="1" si="1550"/>
        <v>2040.9091648234303</v>
      </c>
      <c r="V1260" s="52">
        <f t="shared" ca="1" si="1550"/>
        <v>3303.1237146186231</v>
      </c>
      <c r="W1260" s="52">
        <f t="shared" ca="1" si="1550"/>
        <v>4555.1268162881161</v>
      </c>
      <c r="X1260" s="52">
        <f t="shared" ca="1" si="1550"/>
        <v>6346.274130728716</v>
      </c>
      <c r="Y1260" s="52">
        <f t="shared" ca="1" si="1550"/>
        <v>8757.8014964128106</v>
      </c>
      <c r="Z1260" s="52">
        <f t="shared" ca="1" si="1550"/>
        <v>11316.091617477097</v>
      </c>
      <c r="AA1260" s="52">
        <f t="shared" ca="1" si="1550"/>
        <v>13802.401746613647</v>
      </c>
      <c r="AB1260" s="52">
        <f t="shared" ca="1" si="1550"/>
        <v>16952.553059143869</v>
      </c>
      <c r="AC1260" s="52">
        <f t="shared" ca="1" si="1550"/>
        <v>0</v>
      </c>
      <c r="AD1260" s="52">
        <f t="shared" ca="1" si="1550"/>
        <v>0</v>
      </c>
      <c r="AE1260" s="52">
        <f t="shared" ca="1" si="1550"/>
        <v>0</v>
      </c>
      <c r="AF1260" s="52">
        <f t="shared" ca="1" si="1550"/>
        <v>0</v>
      </c>
      <c r="AG1260" s="52">
        <f t="shared" ca="1" si="1550"/>
        <v>0</v>
      </c>
      <c r="AH1260" s="52">
        <f t="shared" ca="1" si="1550"/>
        <v>0</v>
      </c>
      <c r="AI1260" s="52">
        <f t="shared" ca="1" si="1550"/>
        <v>0</v>
      </c>
      <c r="AJ1260" s="52">
        <f t="shared" ca="1" si="1550"/>
        <v>0</v>
      </c>
      <c r="AK1260" s="52">
        <f t="shared" ca="1" si="1550"/>
        <v>0</v>
      </c>
      <c r="AL1260" s="52">
        <f t="shared" ca="1" si="1550"/>
        <v>0</v>
      </c>
      <c r="AM1260" s="52">
        <f t="shared" ca="1" si="1550"/>
        <v>0</v>
      </c>
      <c r="AN1260" s="52">
        <f t="shared" ca="1" si="1550"/>
        <v>0</v>
      </c>
      <c r="AO1260" s="52">
        <f t="shared" ca="1" si="1550"/>
        <v>0</v>
      </c>
      <c r="AP1260" s="52">
        <f t="shared" ca="1" si="1550"/>
        <v>0</v>
      </c>
      <c r="AQ1260" s="52">
        <f t="shared" ca="1" si="1550"/>
        <v>0</v>
      </c>
      <c r="AR1260" s="52">
        <f t="shared" ca="1" si="1550"/>
        <v>0</v>
      </c>
      <c r="AS1260" s="52">
        <f t="shared" ca="1" si="1550"/>
        <v>0</v>
      </c>
      <c r="AT1260" s="52">
        <f t="shared" ca="1" si="1550"/>
        <v>0</v>
      </c>
      <c r="AU1260" s="52">
        <f t="shared" ca="1" si="1550"/>
        <v>0</v>
      </c>
      <c r="AV1260" s="52">
        <f t="shared" ca="1" si="1550"/>
        <v>0</v>
      </c>
      <c r="AW1260" s="52">
        <f t="shared" ca="1" si="1550"/>
        <v>0</v>
      </c>
      <c r="AX1260" s="52">
        <f t="shared" ca="1" si="1550"/>
        <v>0</v>
      </c>
      <c r="AY1260" s="52">
        <f t="shared" ca="1" si="1550"/>
        <v>0</v>
      </c>
      <c r="AZ1260" s="52">
        <f t="shared" ca="1" si="1550"/>
        <v>0</v>
      </c>
      <c r="BA1260" s="52">
        <f t="shared" ca="1" si="1550"/>
        <v>0</v>
      </c>
      <c r="BB1260" s="52">
        <f t="shared" ca="1" si="1550"/>
        <v>0</v>
      </c>
      <c r="BC1260" s="52">
        <f t="shared" ca="1" si="1550"/>
        <v>0</v>
      </c>
      <c r="BD1260" s="52">
        <f t="shared" ca="1" si="1550"/>
        <v>0</v>
      </c>
      <c r="BE1260" s="52">
        <f t="shared" ca="1" si="1550"/>
        <v>0</v>
      </c>
      <c r="BF1260" s="52">
        <f t="shared" ca="1" si="1550"/>
        <v>0</v>
      </c>
      <c r="BG1260" s="52">
        <f t="shared" ca="1" si="1550"/>
        <v>0</v>
      </c>
      <c r="BH1260" s="52">
        <f t="shared" ca="1" si="1550"/>
        <v>0</v>
      </c>
      <c r="BI1260" s="52">
        <f t="shared" ca="1" si="1550"/>
        <v>0</v>
      </c>
      <c r="BJ1260" s="52">
        <f t="shared" ca="1" si="1550"/>
        <v>0</v>
      </c>
      <c r="BK1260" s="52">
        <f t="shared" ca="1" si="1550"/>
        <v>0</v>
      </c>
      <c r="BL1260" s="52">
        <f t="shared" ca="1" si="1550"/>
        <v>0</v>
      </c>
      <c r="BM1260" s="52">
        <f t="shared" ca="1" si="1550"/>
        <v>0</v>
      </c>
      <c r="BN1260" s="52">
        <f t="shared" ca="1" si="1550"/>
        <v>0</v>
      </c>
      <c r="BO1260" s="52">
        <f t="shared" ca="1" si="1550"/>
        <v>0</v>
      </c>
      <c r="BP1260" s="52">
        <f t="shared" ca="1" si="1550"/>
        <v>0</v>
      </c>
      <c r="BQ1260" s="52">
        <f t="shared" ca="1" si="1550"/>
        <v>0</v>
      </c>
      <c r="BR1260" s="52">
        <f t="shared" ca="1" si="1550"/>
        <v>0</v>
      </c>
      <c r="BS1260" s="52">
        <f t="shared" ca="1" si="1550"/>
        <v>0</v>
      </c>
      <c r="BT1260" s="52">
        <f t="shared" ca="1" si="1550"/>
        <v>0</v>
      </c>
      <c r="BU1260" s="52">
        <f t="shared" ca="1" si="1550"/>
        <v>0</v>
      </c>
      <c r="BV1260" s="52">
        <f t="shared" ca="1" si="1550"/>
        <v>0</v>
      </c>
      <c r="BW1260" s="52">
        <f t="shared" ca="1" si="1550"/>
        <v>0</v>
      </c>
      <c r="BX1260" s="52">
        <f t="shared" ref="BX1260:CO1260" ca="1" si="1551">Equity_Drawdown</f>
        <v>0</v>
      </c>
      <c r="BY1260" s="52">
        <f t="shared" ca="1" si="1551"/>
        <v>0</v>
      </c>
      <c r="BZ1260" s="52">
        <f t="shared" ca="1" si="1551"/>
        <v>0</v>
      </c>
      <c r="CA1260" s="52">
        <f t="shared" ca="1" si="1551"/>
        <v>0</v>
      </c>
      <c r="CB1260" s="52">
        <f t="shared" ca="1" si="1551"/>
        <v>0</v>
      </c>
      <c r="CC1260" s="52">
        <f t="shared" ca="1" si="1551"/>
        <v>0</v>
      </c>
      <c r="CD1260" s="52">
        <f t="shared" ca="1" si="1551"/>
        <v>0</v>
      </c>
      <c r="CE1260" s="52">
        <f t="shared" ca="1" si="1551"/>
        <v>0</v>
      </c>
      <c r="CF1260" s="52">
        <f t="shared" ca="1" si="1551"/>
        <v>0</v>
      </c>
      <c r="CG1260" s="52">
        <f t="shared" ca="1" si="1551"/>
        <v>0</v>
      </c>
      <c r="CH1260" s="52">
        <f t="shared" ca="1" si="1551"/>
        <v>0</v>
      </c>
      <c r="CI1260" s="52">
        <f t="shared" ca="1" si="1551"/>
        <v>0</v>
      </c>
      <c r="CJ1260" s="52">
        <f t="shared" ca="1" si="1551"/>
        <v>0</v>
      </c>
      <c r="CK1260" s="52">
        <f t="shared" ca="1" si="1551"/>
        <v>0</v>
      </c>
      <c r="CL1260" s="52">
        <f t="shared" ca="1" si="1551"/>
        <v>0</v>
      </c>
      <c r="CM1260" s="52">
        <f t="shared" ca="1" si="1551"/>
        <v>0</v>
      </c>
      <c r="CN1260" s="52">
        <f t="shared" ca="1" si="1551"/>
        <v>0</v>
      </c>
      <c r="CO1260" s="52">
        <f t="shared" ca="1" si="1551"/>
        <v>0</v>
      </c>
    </row>
    <row r="1261" spans="1:93">
      <c r="A1261" s="10"/>
      <c r="B1261" s="10"/>
      <c r="C1261" s="17" t="s">
        <v>359</v>
      </c>
      <c r="D1261" s="10"/>
      <c r="E1261" s="10"/>
      <c r="F1261" s="10"/>
      <c r="G1261" s="134" t="str">
        <f t="shared" si="1542"/>
        <v>тыс. руб.</v>
      </c>
      <c r="H1261" s="10"/>
      <c r="I1261" s="23">
        <f t="shared" ca="1" si="1543"/>
        <v>533689.28402014542</v>
      </c>
      <c r="J1261" s="10"/>
      <c r="K1261" s="10"/>
      <c r="L1261" s="52">
        <f t="shared" ref="L1261:BW1261" ca="1" si="1552">Subord_Drawdown</f>
        <v>10115.776706480377</v>
      </c>
      <c r="M1261" s="52">
        <f t="shared" ca="1" si="1552"/>
        <v>10259.369017900153</v>
      </c>
      <c r="N1261" s="52">
        <f t="shared" ca="1" si="1552"/>
        <v>10404.999606013567</v>
      </c>
      <c r="O1261" s="52">
        <f t="shared" ca="1" si="1552"/>
        <v>10552.697403928796</v>
      </c>
      <c r="P1261" s="52">
        <f t="shared" ca="1" si="1552"/>
        <v>88745.245312382176</v>
      </c>
      <c r="Q1261" s="52">
        <f t="shared" ca="1" si="1552"/>
        <v>89619.688293733067</v>
      </c>
      <c r="R1261" s="52">
        <f t="shared" ca="1" si="1552"/>
        <v>90502.747517283089</v>
      </c>
      <c r="S1261" s="52">
        <f t="shared" ca="1" si="1552"/>
        <v>91394.507882369522</v>
      </c>
      <c r="T1261" s="52">
        <f t="shared" ca="1" si="1552"/>
        <v>65019.970533948253</v>
      </c>
      <c r="U1261" s="52">
        <f t="shared" ca="1" si="1552"/>
        <v>2040.9091648234303</v>
      </c>
      <c r="V1261" s="52">
        <f t="shared" ca="1" si="1552"/>
        <v>3303.1237146186231</v>
      </c>
      <c r="W1261" s="52">
        <f t="shared" ca="1" si="1552"/>
        <v>4555.1268162881161</v>
      </c>
      <c r="X1261" s="52">
        <f t="shared" ca="1" si="1552"/>
        <v>6346.274130728716</v>
      </c>
      <c r="Y1261" s="52">
        <f t="shared" ca="1" si="1552"/>
        <v>8757.8014964128106</v>
      </c>
      <c r="Z1261" s="52">
        <f t="shared" ca="1" si="1552"/>
        <v>11316.091617477097</v>
      </c>
      <c r="AA1261" s="52">
        <f t="shared" ca="1" si="1552"/>
        <v>13802.401746613647</v>
      </c>
      <c r="AB1261" s="52">
        <f t="shared" ca="1" si="1552"/>
        <v>16952.553059143986</v>
      </c>
      <c r="AC1261" s="52">
        <f t="shared" ca="1" si="1552"/>
        <v>0</v>
      </c>
      <c r="AD1261" s="52">
        <f t="shared" ca="1" si="1552"/>
        <v>0</v>
      </c>
      <c r="AE1261" s="52">
        <f t="shared" ca="1" si="1552"/>
        <v>0</v>
      </c>
      <c r="AF1261" s="52">
        <f t="shared" ca="1" si="1552"/>
        <v>0</v>
      </c>
      <c r="AG1261" s="52">
        <f t="shared" ca="1" si="1552"/>
        <v>0</v>
      </c>
      <c r="AH1261" s="52">
        <f t="shared" ca="1" si="1552"/>
        <v>0</v>
      </c>
      <c r="AI1261" s="52">
        <f t="shared" ca="1" si="1552"/>
        <v>0</v>
      </c>
      <c r="AJ1261" s="52">
        <f t="shared" ca="1" si="1552"/>
        <v>0</v>
      </c>
      <c r="AK1261" s="52">
        <f t="shared" ca="1" si="1552"/>
        <v>0</v>
      </c>
      <c r="AL1261" s="52">
        <f t="shared" ca="1" si="1552"/>
        <v>0</v>
      </c>
      <c r="AM1261" s="52">
        <f t="shared" ca="1" si="1552"/>
        <v>0</v>
      </c>
      <c r="AN1261" s="52">
        <f t="shared" ca="1" si="1552"/>
        <v>0</v>
      </c>
      <c r="AO1261" s="52">
        <f t="shared" ca="1" si="1552"/>
        <v>0</v>
      </c>
      <c r="AP1261" s="52">
        <f t="shared" ca="1" si="1552"/>
        <v>0</v>
      </c>
      <c r="AQ1261" s="52">
        <f t="shared" ca="1" si="1552"/>
        <v>0</v>
      </c>
      <c r="AR1261" s="52">
        <f t="shared" ca="1" si="1552"/>
        <v>0</v>
      </c>
      <c r="AS1261" s="52">
        <f t="shared" ca="1" si="1552"/>
        <v>0</v>
      </c>
      <c r="AT1261" s="52">
        <f t="shared" ca="1" si="1552"/>
        <v>0</v>
      </c>
      <c r="AU1261" s="52">
        <f t="shared" ca="1" si="1552"/>
        <v>0</v>
      </c>
      <c r="AV1261" s="52">
        <f t="shared" ca="1" si="1552"/>
        <v>0</v>
      </c>
      <c r="AW1261" s="52">
        <f t="shared" ca="1" si="1552"/>
        <v>0</v>
      </c>
      <c r="AX1261" s="52">
        <f t="shared" ca="1" si="1552"/>
        <v>0</v>
      </c>
      <c r="AY1261" s="52">
        <f t="shared" ca="1" si="1552"/>
        <v>0</v>
      </c>
      <c r="AZ1261" s="52">
        <f t="shared" ca="1" si="1552"/>
        <v>0</v>
      </c>
      <c r="BA1261" s="52">
        <f t="shared" ca="1" si="1552"/>
        <v>0</v>
      </c>
      <c r="BB1261" s="52">
        <f t="shared" ca="1" si="1552"/>
        <v>0</v>
      </c>
      <c r="BC1261" s="52">
        <f t="shared" ca="1" si="1552"/>
        <v>0</v>
      </c>
      <c r="BD1261" s="52">
        <f t="shared" ca="1" si="1552"/>
        <v>0</v>
      </c>
      <c r="BE1261" s="52">
        <f t="shared" ca="1" si="1552"/>
        <v>0</v>
      </c>
      <c r="BF1261" s="52">
        <f t="shared" ca="1" si="1552"/>
        <v>0</v>
      </c>
      <c r="BG1261" s="52">
        <f t="shared" ca="1" si="1552"/>
        <v>0</v>
      </c>
      <c r="BH1261" s="52">
        <f t="shared" ca="1" si="1552"/>
        <v>0</v>
      </c>
      <c r="BI1261" s="52">
        <f t="shared" ca="1" si="1552"/>
        <v>0</v>
      </c>
      <c r="BJ1261" s="52">
        <f t="shared" ca="1" si="1552"/>
        <v>0</v>
      </c>
      <c r="BK1261" s="52">
        <f t="shared" ca="1" si="1552"/>
        <v>0</v>
      </c>
      <c r="BL1261" s="52">
        <f t="shared" ca="1" si="1552"/>
        <v>0</v>
      </c>
      <c r="BM1261" s="52">
        <f t="shared" ca="1" si="1552"/>
        <v>0</v>
      </c>
      <c r="BN1261" s="52">
        <f t="shared" ca="1" si="1552"/>
        <v>0</v>
      </c>
      <c r="BO1261" s="52">
        <f t="shared" ca="1" si="1552"/>
        <v>0</v>
      </c>
      <c r="BP1261" s="52">
        <f t="shared" ca="1" si="1552"/>
        <v>0</v>
      </c>
      <c r="BQ1261" s="52">
        <f t="shared" ca="1" si="1552"/>
        <v>0</v>
      </c>
      <c r="BR1261" s="52">
        <f t="shared" ca="1" si="1552"/>
        <v>0</v>
      </c>
      <c r="BS1261" s="52">
        <f t="shared" ca="1" si="1552"/>
        <v>0</v>
      </c>
      <c r="BT1261" s="52">
        <f t="shared" ca="1" si="1552"/>
        <v>0</v>
      </c>
      <c r="BU1261" s="52">
        <f t="shared" ca="1" si="1552"/>
        <v>0</v>
      </c>
      <c r="BV1261" s="52">
        <f t="shared" ca="1" si="1552"/>
        <v>0</v>
      </c>
      <c r="BW1261" s="52">
        <f t="shared" ca="1" si="1552"/>
        <v>0</v>
      </c>
      <c r="BX1261" s="52">
        <f t="shared" ref="BX1261:CO1261" ca="1" si="1553">Subord_Drawdown</f>
        <v>0</v>
      </c>
      <c r="BY1261" s="52">
        <f t="shared" ca="1" si="1553"/>
        <v>0</v>
      </c>
      <c r="BZ1261" s="52">
        <f t="shared" ca="1" si="1553"/>
        <v>0</v>
      </c>
      <c r="CA1261" s="52">
        <f t="shared" ca="1" si="1553"/>
        <v>0</v>
      </c>
      <c r="CB1261" s="52">
        <f t="shared" ca="1" si="1553"/>
        <v>0</v>
      </c>
      <c r="CC1261" s="52">
        <f t="shared" ca="1" si="1553"/>
        <v>0</v>
      </c>
      <c r="CD1261" s="52">
        <f t="shared" ca="1" si="1553"/>
        <v>0</v>
      </c>
      <c r="CE1261" s="52">
        <f t="shared" ca="1" si="1553"/>
        <v>0</v>
      </c>
      <c r="CF1261" s="52">
        <f t="shared" ca="1" si="1553"/>
        <v>0</v>
      </c>
      <c r="CG1261" s="52">
        <f t="shared" ca="1" si="1553"/>
        <v>0</v>
      </c>
      <c r="CH1261" s="52">
        <f t="shared" ca="1" si="1553"/>
        <v>0</v>
      </c>
      <c r="CI1261" s="52">
        <f t="shared" ca="1" si="1553"/>
        <v>0</v>
      </c>
      <c r="CJ1261" s="52">
        <f t="shared" ca="1" si="1553"/>
        <v>0</v>
      </c>
      <c r="CK1261" s="52">
        <f t="shared" ca="1" si="1553"/>
        <v>0</v>
      </c>
      <c r="CL1261" s="52">
        <f t="shared" ca="1" si="1553"/>
        <v>0</v>
      </c>
      <c r="CM1261" s="52">
        <f t="shared" ca="1" si="1553"/>
        <v>0</v>
      </c>
      <c r="CN1261" s="52">
        <f t="shared" ca="1" si="1553"/>
        <v>0</v>
      </c>
      <c r="CO1261" s="52">
        <f t="shared" ca="1" si="1553"/>
        <v>0</v>
      </c>
    </row>
    <row r="1262" spans="1:93">
      <c r="A1262" s="10"/>
      <c r="B1262" s="10"/>
      <c r="C1262" s="17" t="s">
        <v>215</v>
      </c>
      <c r="D1262" s="10"/>
      <c r="E1262" s="10"/>
      <c r="F1262" s="10"/>
      <c r="G1262" s="134" t="str">
        <f t="shared" si="1542"/>
        <v>тыс. руб.</v>
      </c>
      <c r="H1262" s="10"/>
      <c r="I1262" s="23">
        <f t="shared" ca="1" si="1543"/>
        <v>2236665.9396191207</v>
      </c>
      <c r="J1262" s="10"/>
      <c r="K1262" s="10"/>
      <c r="L1262" s="52">
        <f t="shared" ref="L1262:BW1262" ca="1" si="1554">WC_Cash_Flow*(WC_Cash_Flow&gt;0)</f>
        <v>0</v>
      </c>
      <c r="M1262" s="52">
        <f t="shared" ca="1" si="1554"/>
        <v>0</v>
      </c>
      <c r="N1262" s="52">
        <f t="shared" ca="1" si="1554"/>
        <v>0</v>
      </c>
      <c r="O1262" s="52">
        <f t="shared" ca="1" si="1554"/>
        <v>0</v>
      </c>
      <c r="P1262" s="52">
        <f t="shared" ca="1" si="1554"/>
        <v>0</v>
      </c>
      <c r="Q1262" s="52">
        <f t="shared" ca="1" si="1554"/>
        <v>0</v>
      </c>
      <c r="R1262" s="52">
        <f t="shared" ca="1" si="1554"/>
        <v>0</v>
      </c>
      <c r="S1262" s="52">
        <f t="shared" ca="1" si="1554"/>
        <v>0</v>
      </c>
      <c r="T1262" s="52">
        <f t="shared" ca="1" si="1554"/>
        <v>0</v>
      </c>
      <c r="U1262" s="52">
        <f t="shared" ca="1" si="1554"/>
        <v>0</v>
      </c>
      <c r="V1262" s="52">
        <f t="shared" ca="1" si="1554"/>
        <v>0</v>
      </c>
      <c r="W1262" s="52">
        <f t="shared" ca="1" si="1554"/>
        <v>0</v>
      </c>
      <c r="X1262" s="52">
        <f t="shared" ca="1" si="1554"/>
        <v>0</v>
      </c>
      <c r="Y1262" s="52">
        <f t="shared" ca="1" si="1554"/>
        <v>0</v>
      </c>
      <c r="Z1262" s="52">
        <f t="shared" ca="1" si="1554"/>
        <v>0</v>
      </c>
      <c r="AA1262" s="52">
        <f t="shared" ca="1" si="1554"/>
        <v>0</v>
      </c>
      <c r="AB1262" s="52">
        <f t="shared" ca="1" si="1554"/>
        <v>0</v>
      </c>
      <c r="AC1262" s="52">
        <f t="shared" ca="1" si="1554"/>
        <v>0</v>
      </c>
      <c r="AD1262" s="52">
        <f t="shared" ca="1" si="1554"/>
        <v>0</v>
      </c>
      <c r="AE1262" s="52">
        <f t="shared" ca="1" si="1554"/>
        <v>85278.838549397798</v>
      </c>
      <c r="AF1262" s="52">
        <f t="shared" ca="1" si="1554"/>
        <v>3807.1348063051992</v>
      </c>
      <c r="AG1262" s="52">
        <f t="shared" ca="1" si="1554"/>
        <v>0</v>
      </c>
      <c r="AH1262" s="52">
        <f t="shared" ca="1" si="1554"/>
        <v>0</v>
      </c>
      <c r="AI1262" s="52">
        <f t="shared" ca="1" si="1554"/>
        <v>99326.269513595325</v>
      </c>
      <c r="AJ1262" s="52">
        <f t="shared" ca="1" si="1554"/>
        <v>4560.5700701664173</v>
      </c>
      <c r="AK1262" s="52">
        <f t="shared" ca="1" si="1554"/>
        <v>0</v>
      </c>
      <c r="AL1262" s="52">
        <f t="shared" ca="1" si="1554"/>
        <v>0</v>
      </c>
      <c r="AM1262" s="52">
        <f t="shared" ca="1" si="1554"/>
        <v>114361.04881324957</v>
      </c>
      <c r="AN1262" s="52">
        <f t="shared" ca="1" si="1554"/>
        <v>5368.0768338672933</v>
      </c>
      <c r="AO1262" s="52">
        <f t="shared" ca="1" si="1554"/>
        <v>0</v>
      </c>
      <c r="AP1262" s="52">
        <f t="shared" ca="1" si="1554"/>
        <v>0</v>
      </c>
      <c r="AQ1262" s="52">
        <f t="shared" ca="1" si="1554"/>
        <v>129116.05016391008</v>
      </c>
      <c r="AR1262" s="52">
        <f t="shared" ca="1" si="1554"/>
        <v>7297.9947382550163</v>
      </c>
      <c r="AS1262" s="52">
        <f t="shared" ca="1" si="1554"/>
        <v>0</v>
      </c>
      <c r="AT1262" s="52">
        <f t="shared" ca="1" si="1554"/>
        <v>0</v>
      </c>
      <c r="AU1262" s="52">
        <f t="shared" ca="1" si="1554"/>
        <v>134280.69333993405</v>
      </c>
      <c r="AV1262" s="52">
        <f t="shared" ca="1" si="1554"/>
        <v>7589.7946717012092</v>
      </c>
      <c r="AW1262" s="52">
        <f t="shared" ca="1" si="1554"/>
        <v>0</v>
      </c>
      <c r="AX1262" s="52">
        <f t="shared" ca="1" si="1554"/>
        <v>0</v>
      </c>
      <c r="AY1262" s="52">
        <f t="shared" ca="1" si="1554"/>
        <v>115515.10356823145</v>
      </c>
      <c r="AZ1262" s="52">
        <f t="shared" ca="1" si="1554"/>
        <v>6510.4472404044645</v>
      </c>
      <c r="BA1262" s="52">
        <f t="shared" ca="1" si="1554"/>
        <v>0</v>
      </c>
      <c r="BB1262" s="52">
        <f t="shared" ca="1" si="1554"/>
        <v>0</v>
      </c>
      <c r="BC1262" s="52">
        <f t="shared" ca="1" si="1554"/>
        <v>120135.70771096059</v>
      </c>
      <c r="BD1262" s="52">
        <f t="shared" ca="1" si="1554"/>
        <v>6770.7342163205903</v>
      </c>
      <c r="BE1262" s="52">
        <f t="shared" ca="1" si="1554"/>
        <v>0</v>
      </c>
      <c r="BF1262" s="52">
        <f t="shared" ca="1" si="1554"/>
        <v>0</v>
      </c>
      <c r="BG1262" s="52">
        <f t="shared" ca="1" si="1554"/>
        <v>124941.13470390707</v>
      </c>
      <c r="BH1262" s="52">
        <f t="shared" ca="1" si="1554"/>
        <v>7041.8345570155652</v>
      </c>
      <c r="BI1262" s="52">
        <f t="shared" ca="1" si="1554"/>
        <v>0</v>
      </c>
      <c r="BJ1262" s="52">
        <f t="shared" ca="1" si="1554"/>
        <v>0</v>
      </c>
      <c r="BK1262" s="52">
        <f t="shared" ca="1" si="1554"/>
        <v>129938.78146017488</v>
      </c>
      <c r="BL1262" s="52">
        <f t="shared" ca="1" si="1554"/>
        <v>7323.3677246302541</v>
      </c>
      <c r="BM1262" s="52">
        <f t="shared" ca="1" si="1554"/>
        <v>0</v>
      </c>
      <c r="BN1262" s="52">
        <f t="shared" ca="1" si="1554"/>
        <v>0</v>
      </c>
      <c r="BO1262" s="52">
        <f t="shared" ca="1" si="1554"/>
        <v>135136.33271858183</v>
      </c>
      <c r="BP1262" s="52">
        <f t="shared" ca="1" si="1554"/>
        <v>7616.3024336155795</v>
      </c>
      <c r="BQ1262" s="52">
        <f t="shared" ca="1" si="1554"/>
        <v>0</v>
      </c>
      <c r="BR1262" s="52">
        <f t="shared" ca="1" si="1554"/>
        <v>0</v>
      </c>
      <c r="BS1262" s="52">
        <f t="shared" ca="1" si="1554"/>
        <v>140541.78602732514</v>
      </c>
      <c r="BT1262" s="52">
        <f t="shared" ca="1" si="1554"/>
        <v>7920.8013804475777</v>
      </c>
      <c r="BU1262" s="52">
        <f t="shared" ca="1" si="1554"/>
        <v>0</v>
      </c>
      <c r="BV1262" s="52">
        <f t="shared" ca="1" si="1554"/>
        <v>0</v>
      </c>
      <c r="BW1262" s="52">
        <f t="shared" ca="1" si="1554"/>
        <v>146163.45592947846</v>
      </c>
      <c r="BX1262" s="52">
        <f t="shared" ref="BX1262:CO1262" ca="1" si="1555">WC_Cash_Flow*(WC_Cash_Flow&gt;0)</f>
        <v>8237.9504346286412</v>
      </c>
      <c r="BY1262" s="52">
        <f t="shared" ca="1" si="1555"/>
        <v>0</v>
      </c>
      <c r="BZ1262" s="52">
        <f t="shared" ca="1" si="1555"/>
        <v>0</v>
      </c>
      <c r="CA1262" s="52">
        <f t="shared" ca="1" si="1555"/>
        <v>152009.9957671545</v>
      </c>
      <c r="CB1262" s="52">
        <f t="shared" ca="1" si="1555"/>
        <v>8567.304420686618</v>
      </c>
      <c r="CC1262" s="52">
        <f t="shared" ca="1" si="1555"/>
        <v>0</v>
      </c>
      <c r="CD1262" s="52">
        <f t="shared" ca="1" si="1555"/>
        <v>0</v>
      </c>
      <c r="CE1262" s="52">
        <f t="shared" ca="1" si="1555"/>
        <v>158090.39559784101</v>
      </c>
      <c r="CF1262" s="52">
        <f t="shared" ca="1" si="1555"/>
        <v>8909.9965975140512</v>
      </c>
      <c r="CG1262" s="52">
        <f t="shared" ca="1" si="1555"/>
        <v>0</v>
      </c>
      <c r="CH1262" s="52">
        <f t="shared" ca="1" si="1555"/>
        <v>0</v>
      </c>
      <c r="CI1262" s="52">
        <f t="shared" ca="1" si="1555"/>
        <v>164414.01142175472</v>
      </c>
      <c r="CJ1262" s="52">
        <f t="shared" ca="1" si="1555"/>
        <v>9266.217296976276</v>
      </c>
      <c r="CK1262" s="52">
        <f t="shared" ca="1" si="1555"/>
        <v>0</v>
      </c>
      <c r="CL1262" s="52">
        <f t="shared" ca="1" si="1555"/>
        <v>0</v>
      </c>
      <c r="CM1262" s="52">
        <f t="shared" ca="1" si="1555"/>
        <v>170990.57007828349</v>
      </c>
      <c r="CN1262" s="52">
        <f t="shared" ca="1" si="1555"/>
        <v>9637.2368328057346</v>
      </c>
      <c r="CO1262" s="52">
        <f t="shared" ca="1" si="1555"/>
        <v>0</v>
      </c>
    </row>
    <row r="1263" spans="1:93" ht="15.75" thickBot="1">
      <c r="A1263" s="10"/>
      <c r="B1263" s="10"/>
      <c r="C1263" s="17" t="s">
        <v>473</v>
      </c>
      <c r="D1263" s="10"/>
      <c r="E1263" s="10"/>
      <c r="F1263" s="10"/>
      <c r="G1263" s="134" t="str">
        <f t="shared" si="1542"/>
        <v>тыс. руб.</v>
      </c>
      <c r="H1263" s="10"/>
      <c r="I1263" s="23">
        <f t="shared" ca="1" si="1543"/>
        <v>0</v>
      </c>
      <c r="J1263" s="10"/>
      <c r="K1263" s="10"/>
      <c r="L1263" s="52">
        <f t="shared" ref="L1263:BW1263" ca="1" si="1556">-(Cash_EoP-Cash_BoP)*((Cash_EoP-Cash_BoP)&lt;0)</f>
        <v>0</v>
      </c>
      <c r="M1263" s="52">
        <f t="shared" ca="1" si="1556"/>
        <v>0</v>
      </c>
      <c r="N1263" s="52">
        <f t="shared" ca="1" si="1556"/>
        <v>0</v>
      </c>
      <c r="O1263" s="52">
        <f t="shared" ca="1" si="1556"/>
        <v>0</v>
      </c>
      <c r="P1263" s="52">
        <f t="shared" ca="1" si="1556"/>
        <v>0</v>
      </c>
      <c r="Q1263" s="52">
        <f t="shared" ca="1" si="1556"/>
        <v>0</v>
      </c>
      <c r="R1263" s="52">
        <f t="shared" ca="1" si="1556"/>
        <v>0</v>
      </c>
      <c r="S1263" s="52">
        <f t="shared" ca="1" si="1556"/>
        <v>0</v>
      </c>
      <c r="T1263" s="52">
        <f t="shared" ca="1" si="1556"/>
        <v>0</v>
      </c>
      <c r="U1263" s="52">
        <f t="shared" ca="1" si="1556"/>
        <v>0</v>
      </c>
      <c r="V1263" s="52">
        <f t="shared" ca="1" si="1556"/>
        <v>0</v>
      </c>
      <c r="W1263" s="52">
        <f t="shared" ca="1" si="1556"/>
        <v>0</v>
      </c>
      <c r="X1263" s="52">
        <f t="shared" ca="1" si="1556"/>
        <v>0</v>
      </c>
      <c r="Y1263" s="52">
        <f t="shared" ca="1" si="1556"/>
        <v>0</v>
      </c>
      <c r="Z1263" s="52">
        <f t="shared" ca="1" si="1556"/>
        <v>0</v>
      </c>
      <c r="AA1263" s="52">
        <f t="shared" ca="1" si="1556"/>
        <v>0</v>
      </c>
      <c r="AB1263" s="52">
        <f t="shared" ca="1" si="1556"/>
        <v>0</v>
      </c>
      <c r="AC1263" s="52">
        <f t="shared" ca="1" si="1556"/>
        <v>0</v>
      </c>
      <c r="AD1263" s="52">
        <f t="shared" ca="1" si="1556"/>
        <v>0</v>
      </c>
      <c r="AE1263" s="52">
        <f t="shared" ca="1" si="1556"/>
        <v>0</v>
      </c>
      <c r="AF1263" s="52">
        <f t="shared" ca="1" si="1556"/>
        <v>0</v>
      </c>
      <c r="AG1263" s="52">
        <f t="shared" ca="1" si="1556"/>
        <v>0</v>
      </c>
      <c r="AH1263" s="52">
        <f t="shared" ca="1" si="1556"/>
        <v>0</v>
      </c>
      <c r="AI1263" s="52">
        <f t="shared" ca="1" si="1556"/>
        <v>0</v>
      </c>
      <c r="AJ1263" s="52">
        <f t="shared" ca="1" si="1556"/>
        <v>0</v>
      </c>
      <c r="AK1263" s="52">
        <f t="shared" ca="1" si="1556"/>
        <v>0</v>
      </c>
      <c r="AL1263" s="52">
        <f t="shared" ca="1" si="1556"/>
        <v>0</v>
      </c>
      <c r="AM1263" s="52">
        <f t="shared" ca="1" si="1556"/>
        <v>0</v>
      </c>
      <c r="AN1263" s="52">
        <f t="shared" ca="1" si="1556"/>
        <v>0</v>
      </c>
      <c r="AO1263" s="52">
        <f t="shared" ca="1" si="1556"/>
        <v>0</v>
      </c>
      <c r="AP1263" s="52">
        <f t="shared" ca="1" si="1556"/>
        <v>0</v>
      </c>
      <c r="AQ1263" s="52">
        <f t="shared" ca="1" si="1556"/>
        <v>0</v>
      </c>
      <c r="AR1263" s="52">
        <f t="shared" ca="1" si="1556"/>
        <v>0</v>
      </c>
      <c r="AS1263" s="52">
        <f t="shared" ca="1" si="1556"/>
        <v>0</v>
      </c>
      <c r="AT1263" s="52">
        <f t="shared" ca="1" si="1556"/>
        <v>0</v>
      </c>
      <c r="AU1263" s="52">
        <f t="shared" ca="1" si="1556"/>
        <v>0</v>
      </c>
      <c r="AV1263" s="52">
        <f t="shared" ca="1" si="1556"/>
        <v>0</v>
      </c>
      <c r="AW1263" s="52">
        <f t="shared" ca="1" si="1556"/>
        <v>0</v>
      </c>
      <c r="AX1263" s="52">
        <f t="shared" ca="1" si="1556"/>
        <v>0</v>
      </c>
      <c r="AY1263" s="52">
        <f t="shared" ca="1" si="1556"/>
        <v>0</v>
      </c>
      <c r="AZ1263" s="52">
        <f t="shared" ca="1" si="1556"/>
        <v>0</v>
      </c>
      <c r="BA1263" s="52">
        <f t="shared" ca="1" si="1556"/>
        <v>0</v>
      </c>
      <c r="BB1263" s="52">
        <f t="shared" ca="1" si="1556"/>
        <v>0</v>
      </c>
      <c r="BC1263" s="52">
        <f t="shared" ca="1" si="1556"/>
        <v>0</v>
      </c>
      <c r="BD1263" s="52">
        <f t="shared" ca="1" si="1556"/>
        <v>0</v>
      </c>
      <c r="BE1263" s="52">
        <f t="shared" ca="1" si="1556"/>
        <v>0</v>
      </c>
      <c r="BF1263" s="52">
        <f t="shared" ca="1" si="1556"/>
        <v>0</v>
      </c>
      <c r="BG1263" s="52">
        <f t="shared" ca="1" si="1556"/>
        <v>0</v>
      </c>
      <c r="BH1263" s="52">
        <f t="shared" ca="1" si="1556"/>
        <v>0</v>
      </c>
      <c r="BI1263" s="52">
        <f t="shared" ca="1" si="1556"/>
        <v>0</v>
      </c>
      <c r="BJ1263" s="52">
        <f t="shared" ca="1" si="1556"/>
        <v>0</v>
      </c>
      <c r="BK1263" s="52">
        <f t="shared" ca="1" si="1556"/>
        <v>0</v>
      </c>
      <c r="BL1263" s="52">
        <f t="shared" ca="1" si="1556"/>
        <v>0</v>
      </c>
      <c r="BM1263" s="52">
        <f t="shared" ca="1" si="1556"/>
        <v>0</v>
      </c>
      <c r="BN1263" s="52">
        <f t="shared" ca="1" si="1556"/>
        <v>0</v>
      </c>
      <c r="BO1263" s="52">
        <f t="shared" ca="1" si="1556"/>
        <v>0</v>
      </c>
      <c r="BP1263" s="52">
        <f t="shared" ca="1" si="1556"/>
        <v>0</v>
      </c>
      <c r="BQ1263" s="52">
        <f t="shared" ca="1" si="1556"/>
        <v>0</v>
      </c>
      <c r="BR1263" s="52">
        <f t="shared" ca="1" si="1556"/>
        <v>0</v>
      </c>
      <c r="BS1263" s="52">
        <f t="shared" ca="1" si="1556"/>
        <v>0</v>
      </c>
      <c r="BT1263" s="52">
        <f t="shared" ca="1" si="1556"/>
        <v>0</v>
      </c>
      <c r="BU1263" s="52">
        <f t="shared" ca="1" si="1556"/>
        <v>0</v>
      </c>
      <c r="BV1263" s="52">
        <f t="shared" ca="1" si="1556"/>
        <v>0</v>
      </c>
      <c r="BW1263" s="52">
        <f t="shared" ca="1" si="1556"/>
        <v>0</v>
      </c>
      <c r="BX1263" s="52">
        <f t="shared" ref="BX1263:CO1263" ca="1" si="1557">-(Cash_EoP-Cash_BoP)*((Cash_EoP-Cash_BoP)&lt;0)</f>
        <v>0</v>
      </c>
      <c r="BY1263" s="52">
        <f t="shared" ca="1" si="1557"/>
        <v>0</v>
      </c>
      <c r="BZ1263" s="52">
        <f t="shared" ca="1" si="1557"/>
        <v>0</v>
      </c>
      <c r="CA1263" s="52">
        <f t="shared" ca="1" si="1557"/>
        <v>0</v>
      </c>
      <c r="CB1263" s="52">
        <f t="shared" ca="1" si="1557"/>
        <v>0</v>
      </c>
      <c r="CC1263" s="52">
        <f t="shared" ca="1" si="1557"/>
        <v>0</v>
      </c>
      <c r="CD1263" s="52">
        <f t="shared" ca="1" si="1557"/>
        <v>0</v>
      </c>
      <c r="CE1263" s="52">
        <f t="shared" ca="1" si="1557"/>
        <v>0</v>
      </c>
      <c r="CF1263" s="52">
        <f t="shared" ca="1" si="1557"/>
        <v>0</v>
      </c>
      <c r="CG1263" s="52">
        <f t="shared" ca="1" si="1557"/>
        <v>0</v>
      </c>
      <c r="CH1263" s="52">
        <f t="shared" ca="1" si="1557"/>
        <v>0</v>
      </c>
      <c r="CI1263" s="52">
        <f t="shared" ca="1" si="1557"/>
        <v>0</v>
      </c>
      <c r="CJ1263" s="52">
        <f t="shared" ca="1" si="1557"/>
        <v>0</v>
      </c>
      <c r="CK1263" s="52">
        <f t="shared" ca="1" si="1557"/>
        <v>0</v>
      </c>
      <c r="CL1263" s="52">
        <f t="shared" ca="1" si="1557"/>
        <v>0</v>
      </c>
      <c r="CM1263" s="52">
        <f t="shared" ca="1" si="1557"/>
        <v>0</v>
      </c>
      <c r="CN1263" s="52">
        <f t="shared" ca="1" si="1557"/>
        <v>0</v>
      </c>
      <c r="CO1263" s="52">
        <f t="shared" ca="1" si="1557"/>
        <v>0</v>
      </c>
    </row>
    <row r="1264" spans="1:93" ht="15.75" thickTop="1">
      <c r="A1264" s="35"/>
      <c r="B1264" s="35"/>
      <c r="C1264" s="49" t="s">
        <v>168</v>
      </c>
      <c r="D1264" s="49"/>
      <c r="E1264" s="49"/>
      <c r="F1264" s="49"/>
      <c r="G1264" s="159" t="str">
        <f t="shared" si="1542"/>
        <v>тыс. руб.</v>
      </c>
      <c r="H1264" s="49"/>
      <c r="I1264" s="176">
        <f t="shared" ca="1" si="1543"/>
        <v>39645349.188035011</v>
      </c>
      <c r="J1264" s="49"/>
      <c r="K1264" s="49"/>
      <c r="L1264" s="174">
        <f ca="1">SUM(L1257:L1263)</f>
        <v>20231.553412960755</v>
      </c>
      <c r="M1264" s="174">
        <f t="shared" ref="M1264:BX1264" ca="1" si="1558">SUM(M1257:M1263)</f>
        <v>20518.738035800307</v>
      </c>
      <c r="N1264" s="174">
        <f t="shared" ca="1" si="1558"/>
        <v>20809.999212027134</v>
      </c>
      <c r="O1264" s="174">
        <f t="shared" ca="1" si="1558"/>
        <v>21105.394807857592</v>
      </c>
      <c r="P1264" s="174">
        <f t="shared" ca="1" si="1558"/>
        <v>177490.49062476435</v>
      </c>
      <c r="Q1264" s="174">
        <f t="shared" ca="1" si="1558"/>
        <v>179239.37658746613</v>
      </c>
      <c r="R1264" s="174">
        <f t="shared" ca="1" si="1558"/>
        <v>181005.49503456618</v>
      </c>
      <c r="S1264" s="174">
        <f t="shared" ca="1" si="1558"/>
        <v>182789.01576473904</v>
      </c>
      <c r="T1264" s="174">
        <f t="shared" ca="1" si="1558"/>
        <v>184965.93951308879</v>
      </c>
      <c r="U1264" s="174">
        <f t="shared" ca="1" si="1558"/>
        <v>190490.7699806116</v>
      </c>
      <c r="V1264" s="174">
        <f t="shared" ca="1" si="1558"/>
        <v>194851.96226518595</v>
      </c>
      <c r="W1264" s="174">
        <f t="shared" ca="1" si="1558"/>
        <v>199210.8300279048</v>
      </c>
      <c r="X1264" s="174">
        <f t="shared" ca="1" si="1558"/>
        <v>380268.03807791229</v>
      </c>
      <c r="Y1264" s="174">
        <f t="shared" ca="1" si="1558"/>
        <v>388712.96354787849</v>
      </c>
      <c r="Z1264" s="174">
        <f t="shared" ca="1" si="1558"/>
        <v>397487.10229346005</v>
      </c>
      <c r="AA1264" s="174">
        <f t="shared" ca="1" si="1558"/>
        <v>406153.32046609721</v>
      </c>
      <c r="AB1264" s="174">
        <f t="shared" ca="1" si="1558"/>
        <v>693935.95784803934</v>
      </c>
      <c r="AC1264" s="174">
        <f t="shared" ca="1" si="1558"/>
        <v>783166.4045570849</v>
      </c>
      <c r="AD1264" s="174">
        <f t="shared" ca="1" si="1558"/>
        <v>634344.13808011729</v>
      </c>
      <c r="AE1264" s="174">
        <f t="shared" ca="1" si="1558"/>
        <v>292176.84001536178</v>
      </c>
      <c r="AF1264" s="174">
        <f t="shared" ca="1" si="1558"/>
        <v>204320.22613587146</v>
      </c>
      <c r="AG1264" s="174">
        <f t="shared" ca="1" si="1558"/>
        <v>334936.84636492439</v>
      </c>
      <c r="AH1264" s="174">
        <f t="shared" ca="1" si="1558"/>
        <v>636735.91244217439</v>
      </c>
      <c r="AI1264" s="174">
        <f t="shared" ca="1" si="1558"/>
        <v>339249.26728520973</v>
      </c>
      <c r="AJ1264" s="174">
        <f t="shared" ca="1" si="1558"/>
        <v>236492.28017393296</v>
      </c>
      <c r="AK1264" s="174">
        <f t="shared" ca="1" si="1558"/>
        <v>386100.89208702045</v>
      </c>
      <c r="AL1264" s="174">
        <f t="shared" ca="1" si="1558"/>
        <v>732107.2665506599</v>
      </c>
      <c r="AM1264" s="174">
        <f t="shared" ca="1" si="1558"/>
        <v>389620.00579262077</v>
      </c>
      <c r="AN1264" s="174">
        <f t="shared" ca="1" si="1558"/>
        <v>273516.02445558156</v>
      </c>
      <c r="AO1264" s="174">
        <f t="shared" ca="1" si="1558"/>
        <v>440822.16251270013</v>
      </c>
      <c r="AP1264" s="174">
        <f t="shared" ca="1" si="1558"/>
        <v>815915.05294910888</v>
      </c>
      <c r="AQ1264" s="174">
        <f t="shared" ca="1" si="1558"/>
        <v>429547.88151607529</v>
      </c>
      <c r="AR1264" s="174">
        <f t="shared" ca="1" si="1558"/>
        <v>291331.56214776356</v>
      </c>
      <c r="AS1264" s="174">
        <f t="shared" ca="1" si="1558"/>
        <v>458455.04901320807</v>
      </c>
      <c r="AT1264" s="174">
        <f t="shared" ca="1" si="1558"/>
        <v>848551.65506707318</v>
      </c>
      <c r="AU1264" s="174">
        <f t="shared" ca="1" si="1558"/>
        <v>446729.79352404206</v>
      </c>
      <c r="AV1264" s="174">
        <f t="shared" ca="1" si="1558"/>
        <v>302984.85036650643</v>
      </c>
      <c r="AW1264" s="174">
        <f t="shared" ca="1" si="1558"/>
        <v>480338.98179128533</v>
      </c>
      <c r="AX1264" s="174">
        <f t="shared" ca="1" si="1558"/>
        <v>824326.12118871789</v>
      </c>
      <c r="AY1264" s="174">
        <f t="shared" ca="1" si="1558"/>
        <v>398757.53190550429</v>
      </c>
      <c r="AZ1264" s="174">
        <f t="shared" ca="1" si="1558"/>
        <v>256695.54930642244</v>
      </c>
      <c r="BA1264" s="174">
        <f t="shared" ca="1" si="1558"/>
        <v>460372.75904034538</v>
      </c>
      <c r="BB1264" s="174">
        <f t="shared" ca="1" si="1558"/>
        <v>846799.69636989606</v>
      </c>
      <c r="BC1264" s="174">
        <f t="shared" ca="1" si="1558"/>
        <v>414707.83318172424</v>
      </c>
      <c r="BD1264" s="174">
        <f t="shared" ca="1" si="1558"/>
        <v>269854.26821107545</v>
      </c>
      <c r="BE1264" s="174">
        <f t="shared" ca="1" si="1558"/>
        <v>478475.68188671413</v>
      </c>
      <c r="BF1264" s="174">
        <f t="shared" ca="1" si="1558"/>
        <v>880671.68758533208</v>
      </c>
      <c r="BG1264" s="174">
        <f t="shared" ca="1" si="1558"/>
        <v>431296.14519350126</v>
      </c>
      <c r="BH1264" s="174">
        <f t="shared" ca="1" si="1558"/>
        <v>277642.04095162055</v>
      </c>
      <c r="BI1264" s="174">
        <f t="shared" ca="1" si="1558"/>
        <v>497939.17617803736</v>
      </c>
      <c r="BJ1264" s="174">
        <f t="shared" ca="1" si="1558"/>
        <v>915898.55159367924</v>
      </c>
      <c r="BK1264" s="174">
        <f t="shared" ca="1" si="1558"/>
        <v>448547.99236935284</v>
      </c>
      <c r="BL1264" s="174">
        <f t="shared" ca="1" si="1558"/>
        <v>288747.58237501944</v>
      </c>
      <c r="BM1264" s="174">
        <f t="shared" ca="1" si="1558"/>
        <v>517856.74322515883</v>
      </c>
      <c r="BN1264" s="174">
        <f t="shared" ca="1" si="1558"/>
        <v>952534.49365742609</v>
      </c>
      <c r="BO1264" s="174">
        <f t="shared" ca="1" si="1558"/>
        <v>466489.91206412687</v>
      </c>
      <c r="BP1264" s="174">
        <f t="shared" ca="1" si="1558"/>
        <v>300297.48567002022</v>
      </c>
      <c r="BQ1264" s="174">
        <f t="shared" ca="1" si="1558"/>
        <v>538571.01295416511</v>
      </c>
      <c r="BR1264" s="174">
        <f t="shared" ca="1" si="1558"/>
        <v>990635.87340372324</v>
      </c>
      <c r="BS1264" s="174">
        <f t="shared" ca="1" si="1558"/>
        <v>485149.50854669185</v>
      </c>
      <c r="BT1264" s="174">
        <f t="shared" ca="1" si="1558"/>
        <v>315691.32561926235</v>
      </c>
      <c r="BU1264" s="174">
        <f t="shared" ca="1" si="1558"/>
        <v>559748.872207009</v>
      </c>
      <c r="BV1264" s="174">
        <f t="shared" ca="1" si="1558"/>
        <v>1030261.3122713456</v>
      </c>
      <c r="BW1264" s="174">
        <f t="shared" ca="1" si="1558"/>
        <v>504555.4873496198</v>
      </c>
      <c r="BX1264" s="174">
        <f t="shared" ca="1" si="1558"/>
        <v>324801.91822312382</v>
      </c>
      <c r="BY1264" s="174">
        <f t="shared" ref="BY1264:CO1264" ca="1" si="1559">SUM(BY1257:BY1263)</f>
        <v>582518.40761122492</v>
      </c>
      <c r="BZ1264" s="174">
        <f t="shared" ca="1" si="1559"/>
        <v>1071471.7606734668</v>
      </c>
      <c r="CA1264" s="174">
        <f t="shared" ca="1" si="1559"/>
        <v>524737.7084441015</v>
      </c>
      <c r="CB1264" s="174">
        <f t="shared" ca="1" si="1559"/>
        <v>337793.83092072158</v>
      </c>
      <c r="CC1264" s="174">
        <f t="shared" ca="1" si="1559"/>
        <v>605819.14391567372</v>
      </c>
      <c r="CD1264" s="174">
        <f t="shared" ca="1" si="1559"/>
        <v>1114330.6311004052</v>
      </c>
      <c r="CE1264" s="174">
        <f t="shared" ca="1" si="1559"/>
        <v>545727.21678186581</v>
      </c>
      <c r="CF1264" s="174">
        <f t="shared" ca="1" si="1559"/>
        <v>351305.58415755036</v>
      </c>
      <c r="CG1264" s="174">
        <f t="shared" ca="1" si="1559"/>
        <v>630051.90967230056</v>
      </c>
      <c r="CH1264" s="174">
        <f t="shared" ca="1" si="1559"/>
        <v>1158903.8563444214</v>
      </c>
      <c r="CI1264" s="174">
        <f t="shared" ca="1" si="1559"/>
        <v>567556.30545314052</v>
      </c>
      <c r="CJ1264" s="174">
        <f t="shared" ca="1" si="1559"/>
        <v>369314.1995934411</v>
      </c>
      <c r="CK1264" s="174">
        <f t="shared" ca="1" si="1559"/>
        <v>654827.00960171525</v>
      </c>
      <c r="CL1264" s="174">
        <f t="shared" ca="1" si="1559"/>
        <v>1205260.0151974666</v>
      </c>
      <c r="CM1264" s="174">
        <f t="shared" ca="1" si="1559"/>
        <v>590258.55587092461</v>
      </c>
      <c r="CN1264" s="174">
        <f t="shared" ca="1" si="1559"/>
        <v>379972.30433774099</v>
      </c>
      <c r="CO1264" s="174">
        <f t="shared" ca="1" si="1559"/>
        <v>681464.1455015603</v>
      </c>
    </row>
    <row r="1265" spans="1:93">
      <c r="A1265" s="10"/>
      <c r="B1265" s="10"/>
      <c r="C1265" s="10"/>
      <c r="D1265" s="10"/>
      <c r="E1265" s="10"/>
      <c r="F1265" s="10"/>
      <c r="G1265" s="11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0"/>
      <c r="AH1265" s="10"/>
      <c r="AI1265" s="10"/>
      <c r="AJ1265" s="10"/>
      <c r="AK1265" s="10"/>
      <c r="AL1265" s="10"/>
      <c r="AM1265" s="10"/>
      <c r="AN1265" s="10"/>
      <c r="AO1265" s="10"/>
      <c r="AP1265" s="10"/>
      <c r="AQ1265" s="10"/>
      <c r="AR1265" s="10"/>
      <c r="AS1265" s="10"/>
      <c r="AT1265" s="10"/>
      <c r="AU1265" s="10"/>
      <c r="AV1265" s="10"/>
      <c r="AW1265" s="10"/>
      <c r="AX1265" s="10"/>
      <c r="AY1265" s="10"/>
      <c r="AZ1265" s="10"/>
      <c r="BA1265" s="10"/>
      <c r="BB1265" s="10"/>
      <c r="BC1265" s="10"/>
      <c r="BD1265" s="10"/>
      <c r="BE1265" s="10"/>
      <c r="BF1265" s="10"/>
      <c r="BG1265" s="10"/>
      <c r="BH1265" s="10"/>
      <c r="BI1265" s="10"/>
      <c r="BJ1265" s="10"/>
      <c r="BK1265" s="10"/>
      <c r="BL1265" s="10"/>
      <c r="BM1265" s="10"/>
      <c r="BN1265" s="10"/>
      <c r="BO1265" s="10"/>
      <c r="BP1265" s="10"/>
      <c r="BQ1265" s="10"/>
      <c r="BR1265" s="10"/>
      <c r="BS1265" s="10"/>
      <c r="BT1265" s="10"/>
      <c r="BU1265" s="10"/>
      <c r="BV1265" s="10"/>
      <c r="BW1265" s="10"/>
      <c r="BX1265" s="10"/>
      <c r="BY1265" s="10"/>
      <c r="BZ1265" s="10"/>
      <c r="CA1265" s="10"/>
      <c r="CB1265" s="10"/>
      <c r="CC1265" s="10"/>
      <c r="CD1265" s="10"/>
      <c r="CE1265" s="10"/>
      <c r="CF1265" s="10"/>
      <c r="CG1265" s="10"/>
      <c r="CH1265" s="10"/>
      <c r="CI1265" s="10"/>
      <c r="CJ1265" s="10"/>
      <c r="CK1265" s="10"/>
      <c r="CL1265" s="10"/>
      <c r="CM1265" s="10"/>
      <c r="CN1265" s="10"/>
      <c r="CO1265" s="10"/>
    </row>
    <row r="1266" spans="1:93">
      <c r="A1266" s="46"/>
      <c r="B1266" s="46"/>
      <c r="C1266" s="46" t="s">
        <v>165</v>
      </c>
      <c r="D1266" s="46"/>
      <c r="E1266" s="46"/>
      <c r="F1266" s="46"/>
      <c r="G1266" s="89"/>
      <c r="H1266" s="46"/>
      <c r="I1266" s="46">
        <f ca="1">SUM(L1266:CO1266)</f>
        <v>0</v>
      </c>
      <c r="J1266" s="46"/>
      <c r="K1266" s="46"/>
      <c r="L1266" s="46">
        <f ca="1">(L1254-L1264)*(ABS(L1254-L1264)&gt;Accuracy)</f>
        <v>0</v>
      </c>
      <c r="M1266" s="46">
        <f t="shared" ref="M1266:BX1266" ca="1" si="1560">(M1254-M1264)*(ABS(M1254-M1264)&gt;Accuracy)</f>
        <v>0</v>
      </c>
      <c r="N1266" s="46">
        <f t="shared" ca="1" si="1560"/>
        <v>0</v>
      </c>
      <c r="O1266" s="46">
        <f t="shared" ca="1" si="1560"/>
        <v>0</v>
      </c>
      <c r="P1266" s="46">
        <f t="shared" ca="1" si="1560"/>
        <v>0</v>
      </c>
      <c r="Q1266" s="46">
        <f t="shared" ca="1" si="1560"/>
        <v>0</v>
      </c>
      <c r="R1266" s="46">
        <f t="shared" ca="1" si="1560"/>
        <v>0</v>
      </c>
      <c r="S1266" s="46">
        <f t="shared" ca="1" si="1560"/>
        <v>0</v>
      </c>
      <c r="T1266" s="46">
        <f t="shared" ca="1" si="1560"/>
        <v>0</v>
      </c>
      <c r="U1266" s="46">
        <f t="shared" ca="1" si="1560"/>
        <v>0</v>
      </c>
      <c r="V1266" s="46">
        <f t="shared" ca="1" si="1560"/>
        <v>0</v>
      </c>
      <c r="W1266" s="46">
        <f t="shared" ca="1" si="1560"/>
        <v>0</v>
      </c>
      <c r="X1266" s="46">
        <f t="shared" ca="1" si="1560"/>
        <v>0</v>
      </c>
      <c r="Y1266" s="46">
        <f t="shared" ca="1" si="1560"/>
        <v>0</v>
      </c>
      <c r="Z1266" s="46">
        <f t="shared" ca="1" si="1560"/>
        <v>0</v>
      </c>
      <c r="AA1266" s="46">
        <f t="shared" ca="1" si="1560"/>
        <v>0</v>
      </c>
      <c r="AB1266" s="46">
        <f t="shared" ca="1" si="1560"/>
        <v>0</v>
      </c>
      <c r="AC1266" s="46">
        <f t="shared" ca="1" si="1560"/>
        <v>0</v>
      </c>
      <c r="AD1266" s="46">
        <f t="shared" ca="1" si="1560"/>
        <v>0</v>
      </c>
      <c r="AE1266" s="46">
        <f t="shared" ca="1" si="1560"/>
        <v>0</v>
      </c>
      <c r="AF1266" s="46">
        <f t="shared" ca="1" si="1560"/>
        <v>0</v>
      </c>
      <c r="AG1266" s="46">
        <f t="shared" ca="1" si="1560"/>
        <v>0</v>
      </c>
      <c r="AH1266" s="46">
        <f t="shared" ca="1" si="1560"/>
        <v>0</v>
      </c>
      <c r="AI1266" s="46">
        <f t="shared" ca="1" si="1560"/>
        <v>0</v>
      </c>
      <c r="AJ1266" s="46">
        <f t="shared" ca="1" si="1560"/>
        <v>0</v>
      </c>
      <c r="AK1266" s="46">
        <f t="shared" ca="1" si="1560"/>
        <v>0</v>
      </c>
      <c r="AL1266" s="46">
        <f t="shared" ca="1" si="1560"/>
        <v>0</v>
      </c>
      <c r="AM1266" s="46">
        <f t="shared" ca="1" si="1560"/>
        <v>0</v>
      </c>
      <c r="AN1266" s="46">
        <f t="shared" ca="1" si="1560"/>
        <v>0</v>
      </c>
      <c r="AO1266" s="46">
        <f t="shared" ca="1" si="1560"/>
        <v>0</v>
      </c>
      <c r="AP1266" s="46">
        <f t="shared" ca="1" si="1560"/>
        <v>0</v>
      </c>
      <c r="AQ1266" s="46">
        <f t="shared" ca="1" si="1560"/>
        <v>0</v>
      </c>
      <c r="AR1266" s="46">
        <f t="shared" ca="1" si="1560"/>
        <v>0</v>
      </c>
      <c r="AS1266" s="46">
        <f t="shared" ca="1" si="1560"/>
        <v>0</v>
      </c>
      <c r="AT1266" s="46">
        <f t="shared" ca="1" si="1560"/>
        <v>0</v>
      </c>
      <c r="AU1266" s="46">
        <f t="shared" ca="1" si="1560"/>
        <v>0</v>
      </c>
      <c r="AV1266" s="46">
        <f t="shared" ca="1" si="1560"/>
        <v>0</v>
      </c>
      <c r="AW1266" s="46">
        <f t="shared" ca="1" si="1560"/>
        <v>0</v>
      </c>
      <c r="AX1266" s="46">
        <f t="shared" ca="1" si="1560"/>
        <v>0</v>
      </c>
      <c r="AY1266" s="46">
        <f t="shared" ca="1" si="1560"/>
        <v>0</v>
      </c>
      <c r="AZ1266" s="46">
        <f t="shared" ca="1" si="1560"/>
        <v>0</v>
      </c>
      <c r="BA1266" s="46">
        <f t="shared" ca="1" si="1560"/>
        <v>0</v>
      </c>
      <c r="BB1266" s="46">
        <f t="shared" ca="1" si="1560"/>
        <v>0</v>
      </c>
      <c r="BC1266" s="46">
        <f t="shared" ca="1" si="1560"/>
        <v>0</v>
      </c>
      <c r="BD1266" s="46">
        <f t="shared" ca="1" si="1560"/>
        <v>0</v>
      </c>
      <c r="BE1266" s="46">
        <f t="shared" ca="1" si="1560"/>
        <v>0</v>
      </c>
      <c r="BF1266" s="46">
        <f t="shared" ca="1" si="1560"/>
        <v>0</v>
      </c>
      <c r="BG1266" s="46">
        <f t="shared" ca="1" si="1560"/>
        <v>0</v>
      </c>
      <c r="BH1266" s="46">
        <f t="shared" ca="1" si="1560"/>
        <v>0</v>
      </c>
      <c r="BI1266" s="46">
        <f t="shared" ca="1" si="1560"/>
        <v>0</v>
      </c>
      <c r="BJ1266" s="46">
        <f t="shared" ca="1" si="1560"/>
        <v>0</v>
      </c>
      <c r="BK1266" s="46">
        <f t="shared" ca="1" si="1560"/>
        <v>0</v>
      </c>
      <c r="BL1266" s="46">
        <f t="shared" ca="1" si="1560"/>
        <v>0</v>
      </c>
      <c r="BM1266" s="46">
        <f t="shared" ca="1" si="1560"/>
        <v>0</v>
      </c>
      <c r="BN1266" s="46">
        <f t="shared" ca="1" si="1560"/>
        <v>0</v>
      </c>
      <c r="BO1266" s="46">
        <f t="shared" ca="1" si="1560"/>
        <v>0</v>
      </c>
      <c r="BP1266" s="46">
        <f t="shared" ca="1" si="1560"/>
        <v>0</v>
      </c>
      <c r="BQ1266" s="46">
        <f t="shared" ca="1" si="1560"/>
        <v>0</v>
      </c>
      <c r="BR1266" s="46">
        <f t="shared" ca="1" si="1560"/>
        <v>0</v>
      </c>
      <c r="BS1266" s="46">
        <f t="shared" ca="1" si="1560"/>
        <v>0</v>
      </c>
      <c r="BT1266" s="46">
        <f t="shared" ca="1" si="1560"/>
        <v>0</v>
      </c>
      <c r="BU1266" s="46">
        <f t="shared" ca="1" si="1560"/>
        <v>0</v>
      </c>
      <c r="BV1266" s="46">
        <f t="shared" ca="1" si="1560"/>
        <v>0</v>
      </c>
      <c r="BW1266" s="46">
        <f t="shared" ca="1" si="1560"/>
        <v>0</v>
      </c>
      <c r="BX1266" s="46">
        <f t="shared" ca="1" si="1560"/>
        <v>0</v>
      </c>
      <c r="BY1266" s="46">
        <f t="shared" ref="BY1266:CO1266" ca="1" si="1561">(BY1254-BY1264)*(ABS(BY1254-BY1264)&gt;Accuracy)</f>
        <v>0</v>
      </c>
      <c r="BZ1266" s="46">
        <f t="shared" ca="1" si="1561"/>
        <v>0</v>
      </c>
      <c r="CA1266" s="46">
        <f t="shared" ca="1" si="1561"/>
        <v>0</v>
      </c>
      <c r="CB1266" s="46">
        <f t="shared" ca="1" si="1561"/>
        <v>0</v>
      </c>
      <c r="CC1266" s="46">
        <f t="shared" ca="1" si="1561"/>
        <v>0</v>
      </c>
      <c r="CD1266" s="46">
        <f t="shared" ca="1" si="1561"/>
        <v>0</v>
      </c>
      <c r="CE1266" s="46">
        <f t="shared" ca="1" si="1561"/>
        <v>0</v>
      </c>
      <c r="CF1266" s="46">
        <f t="shared" ca="1" si="1561"/>
        <v>0</v>
      </c>
      <c r="CG1266" s="46">
        <f t="shared" ca="1" si="1561"/>
        <v>0</v>
      </c>
      <c r="CH1266" s="46">
        <f t="shared" ca="1" si="1561"/>
        <v>0</v>
      </c>
      <c r="CI1266" s="46">
        <f t="shared" ca="1" si="1561"/>
        <v>0</v>
      </c>
      <c r="CJ1266" s="46">
        <f t="shared" ca="1" si="1561"/>
        <v>0</v>
      </c>
      <c r="CK1266" s="46">
        <f t="shared" ca="1" si="1561"/>
        <v>0</v>
      </c>
      <c r="CL1266" s="46">
        <f t="shared" ca="1" si="1561"/>
        <v>0</v>
      </c>
      <c r="CM1266" s="46">
        <f t="shared" ca="1" si="1561"/>
        <v>0</v>
      </c>
      <c r="CN1266" s="46">
        <f t="shared" ca="1" si="1561"/>
        <v>0</v>
      </c>
      <c r="CO1266" s="46">
        <f t="shared" ca="1" si="1561"/>
        <v>0</v>
      </c>
    </row>
    <row r="1267" spans="1:93"/>
    <row r="1268" spans="1:93" ht="22.5" customHeight="1">
      <c r="A1268" s="10"/>
      <c r="B1268" s="5" t="s">
        <v>270</v>
      </c>
      <c r="C1268" s="5"/>
      <c r="D1268" s="15"/>
      <c r="E1268" s="5"/>
      <c r="F1268" s="5"/>
      <c r="G1268" s="6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5"/>
      <c r="BP1268" s="5"/>
      <c r="BQ1268" s="5"/>
      <c r="BR1268" s="5"/>
      <c r="BS1268" s="5"/>
      <c r="BT1268" s="5"/>
      <c r="BU1268" s="5"/>
      <c r="BV1268" s="5"/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</row>
    <row r="1269" spans="1:93">
      <c r="A1269" s="10"/>
      <c r="B1269" s="10"/>
      <c r="C1269" s="10"/>
      <c r="D1269" s="10"/>
      <c r="E1269" s="10"/>
      <c r="F1269" s="10"/>
      <c r="G1269" s="11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0"/>
      <c r="AH1269" s="10"/>
      <c r="AI1269" s="10"/>
      <c r="AJ1269" s="10"/>
      <c r="AK1269" s="10"/>
      <c r="AL1269" s="10"/>
      <c r="AM1269" s="10"/>
      <c r="AN1269" s="10"/>
      <c r="AO1269" s="10"/>
      <c r="AP1269" s="10"/>
      <c r="AQ1269" s="10"/>
      <c r="AR1269" s="10"/>
      <c r="AS1269" s="10"/>
      <c r="AT1269" s="10"/>
      <c r="AU1269" s="10"/>
      <c r="AV1269" s="10"/>
      <c r="AW1269" s="10"/>
      <c r="AX1269" s="10"/>
      <c r="AY1269" s="10"/>
      <c r="AZ1269" s="10"/>
      <c r="BA1269" s="10"/>
      <c r="BB1269" s="10"/>
      <c r="BC1269" s="10"/>
      <c r="BD1269" s="10"/>
      <c r="BE1269" s="10"/>
      <c r="BF1269" s="10"/>
      <c r="BG1269" s="10"/>
      <c r="BH1269" s="10"/>
      <c r="BI1269" s="10"/>
      <c r="BJ1269" s="10"/>
      <c r="BK1269" s="10"/>
      <c r="BL1269" s="10"/>
      <c r="BM1269" s="10"/>
      <c r="BN1269" s="10"/>
      <c r="BO1269" s="10"/>
      <c r="BP1269" s="10"/>
      <c r="BQ1269" s="10"/>
      <c r="BR1269" s="10"/>
      <c r="BS1269" s="10"/>
      <c r="BT1269" s="10"/>
      <c r="BU1269" s="10"/>
      <c r="BV1269" s="10"/>
      <c r="BW1269" s="10"/>
      <c r="BX1269" s="10"/>
      <c r="BY1269" s="10"/>
      <c r="BZ1269" s="10"/>
      <c r="CA1269" s="10"/>
      <c r="CB1269" s="10"/>
      <c r="CC1269" s="10"/>
      <c r="CD1269" s="10"/>
      <c r="CE1269" s="10"/>
      <c r="CF1269" s="10"/>
      <c r="CG1269" s="10"/>
      <c r="CH1269" s="10"/>
      <c r="CI1269" s="10"/>
      <c r="CJ1269" s="10"/>
      <c r="CK1269" s="10"/>
      <c r="CL1269" s="10"/>
      <c r="CM1269" s="10"/>
      <c r="CN1269" s="10"/>
      <c r="CO1269" s="10"/>
    </row>
    <row r="1270" spans="1:93">
      <c r="A1270" s="10"/>
      <c r="B1270" s="10"/>
      <c r="C1270" s="16" t="s">
        <v>481</v>
      </c>
      <c r="D1270" s="10"/>
      <c r="E1270" s="10"/>
      <c r="F1270" s="11"/>
      <c r="G1270" s="11"/>
      <c r="H1270" s="11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0"/>
      <c r="AH1270" s="10"/>
      <c r="AI1270" s="10"/>
      <c r="AJ1270" s="10"/>
      <c r="AK1270" s="10"/>
      <c r="AL1270" s="10"/>
      <c r="AM1270" s="10"/>
      <c r="AN1270" s="10"/>
      <c r="AO1270" s="10"/>
      <c r="AP1270" s="10"/>
      <c r="AQ1270" s="10"/>
      <c r="AR1270" s="10"/>
      <c r="AS1270" s="10"/>
      <c r="AT1270" s="10"/>
      <c r="AU1270" s="10"/>
      <c r="AV1270" s="10"/>
      <c r="AW1270" s="10"/>
      <c r="AX1270" s="10"/>
      <c r="AY1270" s="10"/>
      <c r="AZ1270" s="10"/>
      <c r="BA1270" s="10"/>
      <c r="BB1270" s="10"/>
      <c r="BC1270" s="10"/>
      <c r="BD1270" s="10"/>
      <c r="BE1270" s="10"/>
      <c r="BF1270" s="10"/>
      <c r="BG1270" s="10"/>
      <c r="BH1270" s="10"/>
      <c r="BI1270" s="10"/>
      <c r="BJ1270" s="10"/>
      <c r="BK1270" s="10"/>
      <c r="BL1270" s="10"/>
      <c r="BM1270" s="10"/>
      <c r="BN1270" s="10"/>
      <c r="BO1270" s="10"/>
      <c r="BP1270" s="10"/>
      <c r="BQ1270" s="10"/>
      <c r="BR1270" s="10"/>
      <c r="BS1270" s="10"/>
      <c r="BT1270" s="10"/>
      <c r="BU1270" s="10"/>
      <c r="BV1270" s="10"/>
      <c r="BW1270" s="10"/>
      <c r="BX1270" s="10"/>
      <c r="BY1270" s="10"/>
      <c r="BZ1270" s="10"/>
      <c r="CA1270" s="10"/>
      <c r="CB1270" s="10"/>
      <c r="CC1270" s="10"/>
      <c r="CD1270" s="10"/>
      <c r="CE1270" s="10"/>
      <c r="CF1270" s="10"/>
      <c r="CG1270" s="10"/>
      <c r="CH1270" s="10"/>
      <c r="CI1270" s="10"/>
      <c r="CJ1270" s="10"/>
      <c r="CK1270" s="10"/>
      <c r="CL1270" s="10"/>
      <c r="CM1270" s="10"/>
      <c r="CN1270" s="10"/>
      <c r="CO1270" s="10"/>
    </row>
    <row r="1271" spans="1:93">
      <c r="A1271" s="10"/>
      <c r="B1271" s="10"/>
      <c r="C1271" s="17" t="s">
        <v>422</v>
      </c>
      <c r="D1271" s="10"/>
      <c r="E1271" s="65">
        <f ca="1">SUMPRODUCT(L1167:CO1167,Flag_Invest )</f>
        <v>533689.28402014531</v>
      </c>
      <c r="F1271" s="11"/>
      <c r="G1271" s="11" t="str">
        <f>Monetary_Unit</f>
        <v>тыс. руб.</v>
      </c>
      <c r="H1271" s="11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0"/>
      <c r="AH1271" s="10"/>
      <c r="AI1271" s="10"/>
      <c r="AJ1271" s="10"/>
      <c r="AK1271" s="10"/>
      <c r="AL1271" s="10"/>
      <c r="AM1271" s="10"/>
      <c r="AN1271" s="10"/>
      <c r="AO1271" s="10"/>
      <c r="AP1271" s="10"/>
      <c r="AQ1271" s="10"/>
      <c r="AR1271" s="10"/>
      <c r="AS1271" s="10"/>
      <c r="AT1271" s="10"/>
      <c r="AU1271" s="10"/>
      <c r="AV1271" s="10"/>
      <c r="AW1271" s="10"/>
      <c r="AX1271" s="10"/>
      <c r="AY1271" s="10"/>
      <c r="AZ1271" s="10"/>
      <c r="BA1271" s="10"/>
      <c r="BB1271" s="10"/>
      <c r="BC1271" s="10"/>
      <c r="BD1271" s="10"/>
      <c r="BE1271" s="10"/>
      <c r="BF1271" s="10"/>
      <c r="BG1271" s="10"/>
      <c r="BH1271" s="10"/>
      <c r="BI1271" s="10"/>
      <c r="BJ1271" s="10"/>
      <c r="BK1271" s="10"/>
      <c r="BL1271" s="10"/>
      <c r="BM1271" s="10"/>
      <c r="BN1271" s="10"/>
      <c r="BO1271" s="10"/>
      <c r="BP1271" s="10"/>
      <c r="BQ1271" s="10"/>
      <c r="BR1271" s="10"/>
      <c r="BS1271" s="10"/>
      <c r="BT1271" s="10"/>
      <c r="BU1271" s="10"/>
      <c r="BV1271" s="10"/>
      <c r="BW1271" s="10"/>
      <c r="BX1271" s="10"/>
      <c r="BY1271" s="10"/>
      <c r="BZ1271" s="10"/>
      <c r="CA1271" s="10"/>
      <c r="CB1271" s="10"/>
      <c r="CC1271" s="10"/>
      <c r="CD1271" s="10"/>
      <c r="CE1271" s="10"/>
      <c r="CF1271" s="10"/>
      <c r="CG1271" s="10"/>
      <c r="CH1271" s="10"/>
      <c r="CI1271" s="10"/>
      <c r="CJ1271" s="10"/>
      <c r="CK1271" s="10"/>
      <c r="CL1271" s="10"/>
      <c r="CM1271" s="10"/>
      <c r="CN1271" s="10"/>
      <c r="CO1271" s="10"/>
    </row>
    <row r="1272" spans="1:93">
      <c r="A1272" s="10"/>
      <c r="B1272" s="10"/>
      <c r="C1272" s="17" t="s">
        <v>423</v>
      </c>
      <c r="D1272" s="10"/>
      <c r="E1272" s="65">
        <f ca="1">SUMPRODUCT(Subord_Drawdown,Flag_Construction)</f>
        <v>533689.28402014542</v>
      </c>
      <c r="F1272" s="11"/>
      <c r="G1272" s="11" t="str">
        <f>Monetary_Unit</f>
        <v>тыс. руб.</v>
      </c>
      <c r="H1272" s="11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0"/>
      <c r="AH1272" s="10"/>
      <c r="AI1272" s="10"/>
      <c r="AJ1272" s="10"/>
      <c r="AK1272" s="10"/>
      <c r="AL1272" s="10"/>
      <c r="AM1272" s="10"/>
      <c r="AN1272" s="10"/>
      <c r="AO1272" s="10"/>
      <c r="AP1272" s="10"/>
      <c r="AQ1272" s="10"/>
      <c r="AR1272" s="10"/>
      <c r="AS1272" s="10"/>
      <c r="AT1272" s="10"/>
      <c r="AU1272" s="10"/>
      <c r="AV1272" s="10"/>
      <c r="AW1272" s="10"/>
      <c r="AX1272" s="10"/>
      <c r="AY1272" s="10"/>
      <c r="AZ1272" s="10"/>
      <c r="BA1272" s="10"/>
      <c r="BB1272" s="10"/>
      <c r="BC1272" s="10"/>
      <c r="BD1272" s="10"/>
      <c r="BE1272" s="10"/>
      <c r="BF1272" s="10"/>
      <c r="BG1272" s="10"/>
      <c r="BH1272" s="10"/>
      <c r="BI1272" s="10"/>
      <c r="BJ1272" s="10"/>
      <c r="BK1272" s="10"/>
      <c r="BL1272" s="10"/>
      <c r="BM1272" s="10"/>
      <c r="BN1272" s="10"/>
      <c r="BO1272" s="10"/>
      <c r="BP1272" s="10"/>
      <c r="BQ1272" s="10"/>
      <c r="BR1272" s="10"/>
      <c r="BS1272" s="10"/>
      <c r="BT1272" s="10"/>
      <c r="BU1272" s="10"/>
      <c r="BV1272" s="10"/>
      <c r="BW1272" s="10"/>
      <c r="BX1272" s="10"/>
      <c r="BY1272" s="10"/>
      <c r="BZ1272" s="10"/>
      <c r="CA1272" s="10"/>
      <c r="CB1272" s="10"/>
      <c r="CC1272" s="10"/>
      <c r="CD1272" s="10"/>
      <c r="CE1272" s="10"/>
      <c r="CF1272" s="10"/>
      <c r="CG1272" s="10"/>
      <c r="CH1272" s="10"/>
      <c r="CI1272" s="10"/>
      <c r="CJ1272" s="10"/>
      <c r="CK1272" s="10"/>
      <c r="CL1272" s="10"/>
      <c r="CM1272" s="10"/>
      <c r="CN1272" s="10"/>
      <c r="CO1272" s="10"/>
    </row>
    <row r="1273" spans="1:93" ht="15.75" thickBot="1">
      <c r="A1273" s="10"/>
      <c r="B1273" s="10"/>
      <c r="C1273" s="17" t="s">
        <v>162</v>
      </c>
      <c r="D1273" s="10"/>
      <c r="E1273" s="65">
        <f ca="1">SUMPRODUCT(Debt_Drawdown,Flag_Construction)</f>
        <v>2771888.3794600694</v>
      </c>
      <c r="F1273" s="11"/>
      <c r="G1273" s="11" t="str">
        <f>Monetary_Unit</f>
        <v>тыс. руб.</v>
      </c>
      <c r="H1273" s="11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0"/>
      <c r="AH1273" s="10"/>
      <c r="AI1273" s="10"/>
      <c r="AJ1273" s="10"/>
      <c r="AK1273" s="10"/>
      <c r="AL1273" s="10"/>
      <c r="AM1273" s="10"/>
      <c r="AN1273" s="10"/>
      <c r="AO1273" s="10"/>
      <c r="AP1273" s="10"/>
      <c r="AQ1273" s="10"/>
      <c r="AR1273" s="10"/>
      <c r="AS1273" s="10"/>
      <c r="AT1273" s="10"/>
      <c r="AU1273" s="10"/>
      <c r="AV1273" s="10"/>
      <c r="AW1273" s="10"/>
      <c r="AX1273" s="10"/>
      <c r="AY1273" s="10"/>
      <c r="AZ1273" s="10"/>
      <c r="BA1273" s="10"/>
      <c r="BB1273" s="10"/>
      <c r="BC1273" s="10"/>
      <c r="BD1273" s="10"/>
      <c r="BE1273" s="10"/>
      <c r="BF1273" s="10"/>
      <c r="BG1273" s="10"/>
      <c r="BH1273" s="10"/>
      <c r="BI1273" s="10"/>
      <c r="BJ1273" s="10"/>
      <c r="BK1273" s="10"/>
      <c r="BL1273" s="10"/>
      <c r="BM1273" s="10"/>
      <c r="BN1273" s="10"/>
      <c r="BO1273" s="10"/>
      <c r="BP1273" s="10"/>
      <c r="BQ1273" s="10"/>
      <c r="BR1273" s="10"/>
      <c r="BS1273" s="10"/>
      <c r="BT1273" s="10"/>
      <c r="BU1273" s="10"/>
      <c r="BV1273" s="10"/>
      <c r="BW1273" s="10"/>
      <c r="BX1273" s="10"/>
      <c r="BY1273" s="10"/>
      <c r="BZ1273" s="10"/>
      <c r="CA1273" s="10"/>
      <c r="CB1273" s="10"/>
      <c r="CC1273" s="10"/>
      <c r="CD1273" s="10"/>
      <c r="CE1273" s="10"/>
      <c r="CF1273" s="10"/>
      <c r="CG1273" s="10"/>
      <c r="CH1273" s="10"/>
      <c r="CI1273" s="10"/>
      <c r="CJ1273" s="10"/>
      <c r="CK1273" s="10"/>
      <c r="CL1273" s="10"/>
      <c r="CM1273" s="10"/>
      <c r="CN1273" s="10"/>
      <c r="CO1273" s="10"/>
    </row>
    <row r="1274" spans="1:93" ht="15.75" thickTop="1">
      <c r="A1274" s="10"/>
      <c r="B1274" s="10"/>
      <c r="C1274" s="49" t="s">
        <v>20</v>
      </c>
      <c r="D1274" s="49"/>
      <c r="E1274" s="136">
        <f ca="1">SUM(E1271:E1273)</f>
        <v>3839266.9475003602</v>
      </c>
      <c r="F1274" s="11"/>
      <c r="G1274" s="11" t="str">
        <f>Monetary_Unit</f>
        <v>тыс. руб.</v>
      </c>
      <c r="H1274" s="11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0"/>
      <c r="AH1274" s="10"/>
      <c r="AI1274" s="10"/>
      <c r="AJ1274" s="10"/>
      <c r="AK1274" s="10"/>
      <c r="AL1274" s="10"/>
      <c r="AM1274" s="10"/>
      <c r="AN1274" s="10"/>
      <c r="AO1274" s="10"/>
      <c r="AP1274" s="10"/>
      <c r="AQ1274" s="10"/>
      <c r="AR1274" s="10"/>
      <c r="AS1274" s="10"/>
      <c r="AT1274" s="10"/>
      <c r="AU1274" s="10"/>
      <c r="AV1274" s="10"/>
      <c r="AW1274" s="10"/>
      <c r="AX1274" s="10"/>
      <c r="AY1274" s="10"/>
      <c r="AZ1274" s="10"/>
      <c r="BA1274" s="10"/>
      <c r="BB1274" s="10"/>
      <c r="BC1274" s="10"/>
      <c r="BD1274" s="10"/>
      <c r="BE1274" s="10"/>
      <c r="BF1274" s="10"/>
      <c r="BG1274" s="10"/>
      <c r="BH1274" s="10"/>
      <c r="BI1274" s="10"/>
      <c r="BJ1274" s="10"/>
      <c r="BK1274" s="10"/>
      <c r="BL1274" s="10"/>
      <c r="BM1274" s="10"/>
      <c r="BN1274" s="10"/>
      <c r="BO1274" s="10"/>
      <c r="BP1274" s="10"/>
      <c r="BQ1274" s="10"/>
      <c r="BR1274" s="10"/>
      <c r="BS1274" s="10"/>
      <c r="BT1274" s="10"/>
      <c r="BU1274" s="10"/>
      <c r="BV1274" s="10"/>
      <c r="BW1274" s="10"/>
      <c r="BX1274" s="10"/>
      <c r="BY1274" s="10"/>
      <c r="BZ1274" s="10"/>
      <c r="CA1274" s="10"/>
      <c r="CB1274" s="10"/>
      <c r="CC1274" s="10"/>
      <c r="CD1274" s="10"/>
      <c r="CE1274" s="10"/>
      <c r="CF1274" s="10"/>
      <c r="CG1274" s="10"/>
      <c r="CH1274" s="10"/>
      <c r="CI1274" s="10"/>
      <c r="CJ1274" s="10"/>
      <c r="CK1274" s="10"/>
      <c r="CL1274" s="10"/>
      <c r="CM1274" s="10"/>
      <c r="CN1274" s="10"/>
      <c r="CO1274" s="10"/>
    </row>
    <row r="1275" spans="1:93">
      <c r="A1275" s="10"/>
      <c r="B1275" s="10"/>
      <c r="C1275" s="17"/>
      <c r="D1275" s="10"/>
      <c r="E1275" s="62"/>
      <c r="F1275" s="11"/>
      <c r="G1275" s="11"/>
      <c r="H1275" s="11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0"/>
      <c r="AH1275" s="10"/>
      <c r="AI1275" s="10"/>
      <c r="AJ1275" s="10"/>
      <c r="AK1275" s="10"/>
      <c r="AL1275" s="10"/>
      <c r="AM1275" s="10"/>
      <c r="AN1275" s="10"/>
      <c r="AO1275" s="10"/>
      <c r="AP1275" s="10"/>
      <c r="AQ1275" s="10"/>
      <c r="AR1275" s="10"/>
      <c r="AS1275" s="10"/>
      <c r="AT1275" s="10"/>
      <c r="AU1275" s="10"/>
      <c r="AV1275" s="10"/>
      <c r="AW1275" s="10"/>
      <c r="AX1275" s="10"/>
      <c r="AY1275" s="10"/>
      <c r="AZ1275" s="10"/>
      <c r="BA1275" s="10"/>
      <c r="BB1275" s="10"/>
      <c r="BC1275" s="10"/>
      <c r="BD1275" s="10"/>
      <c r="BE1275" s="10"/>
      <c r="BF1275" s="10"/>
      <c r="BG1275" s="10"/>
      <c r="BH1275" s="10"/>
      <c r="BI1275" s="10"/>
      <c r="BJ1275" s="10"/>
      <c r="BK1275" s="10"/>
      <c r="BL1275" s="10"/>
      <c r="BM1275" s="10"/>
      <c r="BN1275" s="10"/>
      <c r="BO1275" s="10"/>
      <c r="BP1275" s="10"/>
      <c r="BQ1275" s="10"/>
      <c r="BR1275" s="10"/>
      <c r="BS1275" s="10"/>
      <c r="BT1275" s="10"/>
      <c r="BU1275" s="10"/>
      <c r="BV1275" s="10"/>
      <c r="BW1275" s="10"/>
      <c r="BX1275" s="10"/>
      <c r="BY1275" s="10"/>
      <c r="BZ1275" s="10"/>
      <c r="CA1275" s="10"/>
      <c r="CB1275" s="10"/>
      <c r="CC1275" s="10"/>
      <c r="CD1275" s="10"/>
      <c r="CE1275" s="10"/>
      <c r="CF1275" s="10"/>
      <c r="CG1275" s="10"/>
      <c r="CH1275" s="10"/>
      <c r="CI1275" s="10"/>
      <c r="CJ1275" s="10"/>
      <c r="CK1275" s="10"/>
      <c r="CL1275" s="10"/>
      <c r="CM1275" s="10"/>
      <c r="CN1275" s="10"/>
      <c r="CO1275" s="10"/>
    </row>
    <row r="1276" spans="1:93">
      <c r="A1276" s="10"/>
      <c r="B1276" s="10"/>
      <c r="C1276" s="17" t="s">
        <v>422</v>
      </c>
      <c r="D1276" s="10"/>
      <c r="E1276" s="186">
        <f ca="1">IFERROR(E1271/E$1274,0)</f>
        <v>0.13900812090381356</v>
      </c>
      <c r="F1276" s="11"/>
      <c r="G1276" s="11" t="s">
        <v>28</v>
      </c>
      <c r="H1276" s="11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0"/>
      <c r="AH1276" s="10"/>
      <c r="AI1276" s="10"/>
      <c r="AJ1276" s="10"/>
      <c r="AK1276" s="10"/>
      <c r="AL1276" s="10"/>
      <c r="AM1276" s="10"/>
      <c r="AN1276" s="10"/>
      <c r="AO1276" s="10"/>
      <c r="AP1276" s="10"/>
      <c r="AQ1276" s="10"/>
      <c r="AR1276" s="10"/>
      <c r="AS1276" s="10"/>
      <c r="AT1276" s="10"/>
      <c r="AU1276" s="10"/>
      <c r="AV1276" s="10"/>
      <c r="AW1276" s="10"/>
      <c r="AX1276" s="10"/>
      <c r="AY1276" s="10"/>
      <c r="AZ1276" s="10"/>
      <c r="BA1276" s="10"/>
      <c r="BB1276" s="10"/>
      <c r="BC1276" s="10"/>
      <c r="BD1276" s="10"/>
      <c r="BE1276" s="10"/>
      <c r="BF1276" s="10"/>
      <c r="BG1276" s="10"/>
      <c r="BH1276" s="10"/>
      <c r="BI1276" s="10"/>
      <c r="BJ1276" s="10"/>
      <c r="BK1276" s="10"/>
      <c r="BL1276" s="10"/>
      <c r="BM1276" s="10"/>
      <c r="BN1276" s="10"/>
      <c r="BO1276" s="10"/>
      <c r="BP1276" s="10"/>
      <c r="BQ1276" s="10"/>
      <c r="BR1276" s="10"/>
      <c r="BS1276" s="10"/>
      <c r="BT1276" s="10"/>
      <c r="BU1276" s="10"/>
      <c r="BV1276" s="10"/>
      <c r="BW1276" s="10"/>
      <c r="BX1276" s="10"/>
      <c r="BY1276" s="10"/>
      <c r="BZ1276" s="10"/>
      <c r="CA1276" s="10"/>
      <c r="CB1276" s="10"/>
      <c r="CC1276" s="10"/>
      <c r="CD1276" s="10"/>
      <c r="CE1276" s="10"/>
      <c r="CF1276" s="10"/>
      <c r="CG1276" s="10"/>
      <c r="CH1276" s="10"/>
      <c r="CI1276" s="10"/>
      <c r="CJ1276" s="10"/>
      <c r="CK1276" s="10"/>
      <c r="CL1276" s="10"/>
      <c r="CM1276" s="10"/>
      <c r="CN1276" s="10"/>
      <c r="CO1276" s="10"/>
    </row>
    <row r="1277" spans="1:93">
      <c r="A1277" s="10"/>
      <c r="B1277" s="10"/>
      <c r="C1277" s="17" t="s">
        <v>423</v>
      </c>
      <c r="D1277" s="10"/>
      <c r="E1277" s="186">
        <f ca="1">IFERROR(E1272/E$1274,0)</f>
        <v>0.13900812090381359</v>
      </c>
      <c r="F1277" s="11"/>
      <c r="G1277" s="11" t="s">
        <v>28</v>
      </c>
      <c r="H1277" s="11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0"/>
      <c r="AH1277" s="10"/>
      <c r="AI1277" s="10"/>
      <c r="AJ1277" s="10"/>
      <c r="AK1277" s="10"/>
      <c r="AL1277" s="10"/>
      <c r="AM1277" s="10"/>
      <c r="AN1277" s="10"/>
      <c r="AO1277" s="10"/>
      <c r="AP1277" s="10"/>
      <c r="AQ1277" s="10"/>
      <c r="AR1277" s="10"/>
      <c r="AS1277" s="10"/>
      <c r="AT1277" s="10"/>
      <c r="AU1277" s="10"/>
      <c r="AV1277" s="10"/>
      <c r="AW1277" s="10"/>
      <c r="AX1277" s="10"/>
      <c r="AY1277" s="10"/>
      <c r="AZ1277" s="10"/>
      <c r="BA1277" s="10"/>
      <c r="BB1277" s="10"/>
      <c r="BC1277" s="10"/>
      <c r="BD1277" s="10"/>
      <c r="BE1277" s="10"/>
      <c r="BF1277" s="10"/>
      <c r="BG1277" s="10"/>
      <c r="BH1277" s="10"/>
      <c r="BI1277" s="10"/>
      <c r="BJ1277" s="10"/>
      <c r="BK1277" s="10"/>
      <c r="BL1277" s="10"/>
      <c r="BM1277" s="10"/>
      <c r="BN1277" s="10"/>
      <c r="BO1277" s="10"/>
      <c r="BP1277" s="10"/>
      <c r="BQ1277" s="10"/>
      <c r="BR1277" s="10"/>
      <c r="BS1277" s="10"/>
      <c r="BT1277" s="10"/>
      <c r="BU1277" s="10"/>
      <c r="BV1277" s="10"/>
      <c r="BW1277" s="10"/>
      <c r="BX1277" s="10"/>
      <c r="BY1277" s="10"/>
      <c r="BZ1277" s="10"/>
      <c r="CA1277" s="10"/>
      <c r="CB1277" s="10"/>
      <c r="CC1277" s="10"/>
      <c r="CD1277" s="10"/>
      <c r="CE1277" s="10"/>
      <c r="CF1277" s="10"/>
      <c r="CG1277" s="10"/>
      <c r="CH1277" s="10"/>
      <c r="CI1277" s="10"/>
      <c r="CJ1277" s="10"/>
      <c r="CK1277" s="10"/>
      <c r="CL1277" s="10"/>
      <c r="CM1277" s="10"/>
      <c r="CN1277" s="10"/>
      <c r="CO1277" s="10"/>
    </row>
    <row r="1278" spans="1:93" ht="15.75" thickBot="1">
      <c r="A1278" s="10"/>
      <c r="B1278" s="10"/>
      <c r="C1278" s="17" t="s">
        <v>162</v>
      </c>
      <c r="D1278" s="10"/>
      <c r="E1278" s="186">
        <f ca="1">IFERROR(E1273/E$1274,0)</f>
        <v>0.72198375819237282</v>
      </c>
      <c r="F1278" s="11"/>
      <c r="G1278" s="11" t="s">
        <v>28</v>
      </c>
      <c r="H1278" s="11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0"/>
      <c r="AH1278" s="10"/>
      <c r="AI1278" s="10"/>
      <c r="AJ1278" s="10"/>
      <c r="AK1278" s="10"/>
      <c r="AL1278" s="10"/>
      <c r="AM1278" s="10"/>
      <c r="AN1278" s="10"/>
      <c r="AO1278" s="10"/>
      <c r="AP1278" s="10"/>
      <c r="AQ1278" s="10"/>
      <c r="AR1278" s="10"/>
      <c r="AS1278" s="10"/>
      <c r="AT1278" s="10"/>
      <c r="AU1278" s="10"/>
      <c r="AV1278" s="10"/>
      <c r="AW1278" s="10"/>
      <c r="AX1278" s="10"/>
      <c r="AY1278" s="10"/>
      <c r="AZ1278" s="10"/>
      <c r="BA1278" s="10"/>
      <c r="BB1278" s="10"/>
      <c r="BC1278" s="10"/>
      <c r="BD1278" s="10"/>
      <c r="BE1278" s="10"/>
      <c r="BF1278" s="10"/>
      <c r="BG1278" s="10"/>
      <c r="BH1278" s="10"/>
      <c r="BI1278" s="10"/>
      <c r="BJ1278" s="10"/>
      <c r="BK1278" s="10"/>
      <c r="BL1278" s="10"/>
      <c r="BM1278" s="10"/>
      <c r="BN1278" s="10"/>
      <c r="BO1278" s="10"/>
      <c r="BP1278" s="10"/>
      <c r="BQ1278" s="10"/>
      <c r="BR1278" s="10"/>
      <c r="BS1278" s="10"/>
      <c r="BT1278" s="10"/>
      <c r="BU1278" s="10"/>
      <c r="BV1278" s="10"/>
      <c r="BW1278" s="10"/>
      <c r="BX1278" s="10"/>
      <c r="BY1278" s="10"/>
      <c r="BZ1278" s="10"/>
      <c r="CA1278" s="10"/>
      <c r="CB1278" s="10"/>
      <c r="CC1278" s="10"/>
      <c r="CD1278" s="10"/>
      <c r="CE1278" s="10"/>
      <c r="CF1278" s="10"/>
      <c r="CG1278" s="10"/>
      <c r="CH1278" s="10"/>
      <c r="CI1278" s="10"/>
      <c r="CJ1278" s="10"/>
      <c r="CK1278" s="10"/>
      <c r="CL1278" s="10"/>
      <c r="CM1278" s="10"/>
      <c r="CN1278" s="10"/>
      <c r="CO1278" s="10"/>
    </row>
    <row r="1279" spans="1:93" ht="15.75" thickTop="1">
      <c r="A1279" s="10"/>
      <c r="B1279" s="10"/>
      <c r="C1279" s="49" t="s">
        <v>20</v>
      </c>
      <c r="D1279" s="49"/>
      <c r="E1279" s="187">
        <f ca="1">SUM(E1276:E1278)</f>
        <v>1</v>
      </c>
      <c r="F1279" s="11"/>
      <c r="G1279" s="11" t="s">
        <v>28</v>
      </c>
      <c r="H1279" s="11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0"/>
      <c r="AH1279" s="10"/>
      <c r="AI1279" s="10"/>
      <c r="AJ1279" s="10"/>
      <c r="AK1279" s="10"/>
      <c r="AL1279" s="10"/>
      <c r="AM1279" s="10"/>
      <c r="AN1279" s="10"/>
      <c r="AO1279" s="10"/>
      <c r="AP1279" s="10"/>
      <c r="AQ1279" s="10"/>
      <c r="AR1279" s="10"/>
      <c r="AS1279" s="10"/>
      <c r="AT1279" s="10"/>
      <c r="AU1279" s="10"/>
      <c r="AV1279" s="10"/>
      <c r="AW1279" s="10"/>
      <c r="AX1279" s="10"/>
      <c r="AY1279" s="10"/>
      <c r="AZ1279" s="10"/>
      <c r="BA1279" s="10"/>
      <c r="BB1279" s="10"/>
      <c r="BC1279" s="10"/>
      <c r="BD1279" s="10"/>
      <c r="BE1279" s="10"/>
      <c r="BF1279" s="10"/>
      <c r="BG1279" s="10"/>
      <c r="BH1279" s="10"/>
      <c r="BI1279" s="10"/>
      <c r="BJ1279" s="10"/>
      <c r="BK1279" s="10"/>
      <c r="BL1279" s="10"/>
      <c r="BM1279" s="10"/>
      <c r="BN1279" s="10"/>
      <c r="BO1279" s="10"/>
      <c r="BP1279" s="10"/>
      <c r="BQ1279" s="10"/>
      <c r="BR1279" s="10"/>
      <c r="BS1279" s="10"/>
      <c r="BT1279" s="10"/>
      <c r="BU1279" s="10"/>
      <c r="BV1279" s="10"/>
      <c r="BW1279" s="10"/>
      <c r="BX1279" s="10"/>
      <c r="BY1279" s="10"/>
      <c r="BZ1279" s="10"/>
      <c r="CA1279" s="10"/>
      <c r="CB1279" s="10"/>
      <c r="CC1279" s="10"/>
      <c r="CD1279" s="10"/>
      <c r="CE1279" s="10"/>
      <c r="CF1279" s="10"/>
      <c r="CG1279" s="10"/>
      <c r="CH1279" s="10"/>
      <c r="CI1279" s="10"/>
      <c r="CJ1279" s="10"/>
      <c r="CK1279" s="10"/>
      <c r="CL1279" s="10"/>
      <c r="CM1279" s="10"/>
      <c r="CN1279" s="10"/>
      <c r="CO1279" s="10"/>
    </row>
    <row r="1280" spans="1:93">
      <c r="A1280" s="10"/>
      <c r="B1280" s="10"/>
      <c r="C1280" s="10"/>
      <c r="D1280" s="10"/>
      <c r="E1280" s="62"/>
      <c r="F1280" s="11"/>
      <c r="G1280" s="11"/>
      <c r="H1280" s="11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0"/>
      <c r="AH1280" s="10"/>
      <c r="AI1280" s="10"/>
      <c r="AJ1280" s="10"/>
      <c r="AK1280" s="10"/>
      <c r="AL1280" s="10"/>
      <c r="AM1280" s="10"/>
      <c r="AN1280" s="10"/>
      <c r="AO1280" s="10"/>
      <c r="AP1280" s="10"/>
      <c r="AQ1280" s="10"/>
      <c r="AR1280" s="10"/>
      <c r="AS1280" s="10"/>
      <c r="AT1280" s="10"/>
      <c r="AU1280" s="10"/>
      <c r="AV1280" s="10"/>
      <c r="AW1280" s="10"/>
      <c r="AX1280" s="10"/>
      <c r="AY1280" s="10"/>
      <c r="AZ1280" s="10"/>
      <c r="BA1280" s="10"/>
      <c r="BB1280" s="10"/>
      <c r="BC1280" s="10"/>
      <c r="BD1280" s="10"/>
      <c r="BE1280" s="10"/>
      <c r="BF1280" s="10"/>
      <c r="BG1280" s="10"/>
      <c r="BH1280" s="10"/>
      <c r="BI1280" s="10"/>
      <c r="BJ1280" s="10"/>
      <c r="BK1280" s="10"/>
      <c r="BL1280" s="10"/>
      <c r="BM1280" s="10"/>
      <c r="BN1280" s="10"/>
      <c r="BO1280" s="10"/>
      <c r="BP1280" s="10"/>
      <c r="BQ1280" s="10"/>
      <c r="BR1280" s="10"/>
      <c r="BS1280" s="10"/>
      <c r="BT1280" s="10"/>
      <c r="BU1280" s="10"/>
      <c r="BV1280" s="10"/>
      <c r="BW1280" s="10"/>
      <c r="BX1280" s="10"/>
      <c r="BY1280" s="10"/>
      <c r="BZ1280" s="10"/>
      <c r="CA1280" s="10"/>
      <c r="CB1280" s="10"/>
      <c r="CC1280" s="10"/>
      <c r="CD1280" s="10"/>
      <c r="CE1280" s="10"/>
      <c r="CF1280" s="10"/>
      <c r="CG1280" s="10"/>
      <c r="CH1280" s="10"/>
      <c r="CI1280" s="10"/>
      <c r="CJ1280" s="10"/>
      <c r="CK1280" s="10"/>
      <c r="CL1280" s="10"/>
      <c r="CM1280" s="10"/>
      <c r="CN1280" s="10"/>
      <c r="CO1280" s="10"/>
    </row>
    <row r="1281" spans="1:93">
      <c r="A1281" s="10"/>
      <c r="B1281" s="10"/>
      <c r="C1281" s="16" t="s">
        <v>272</v>
      </c>
      <c r="D1281" s="10"/>
      <c r="E1281" s="62"/>
      <c r="F1281" s="11"/>
      <c r="G1281" s="11"/>
      <c r="H1281" s="11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0"/>
      <c r="AH1281" s="10"/>
      <c r="AI1281" s="10"/>
      <c r="AJ1281" s="10"/>
      <c r="AK1281" s="10"/>
      <c r="AL1281" s="10"/>
      <c r="AM1281" s="10"/>
      <c r="AN1281" s="10"/>
      <c r="AO1281" s="10"/>
      <c r="AP1281" s="10"/>
      <c r="AQ1281" s="10"/>
      <c r="AR1281" s="10"/>
      <c r="AS1281" s="10"/>
      <c r="AT1281" s="10"/>
      <c r="AU1281" s="10"/>
      <c r="AV1281" s="10"/>
      <c r="AW1281" s="10"/>
      <c r="AX1281" s="10"/>
      <c r="AY1281" s="10"/>
      <c r="AZ1281" s="10"/>
      <c r="BA1281" s="10"/>
      <c r="BB1281" s="10"/>
      <c r="BC1281" s="10"/>
      <c r="BD1281" s="10"/>
      <c r="BE1281" s="10"/>
      <c r="BF1281" s="10"/>
      <c r="BG1281" s="10"/>
      <c r="BH1281" s="10"/>
      <c r="BI1281" s="10"/>
      <c r="BJ1281" s="10"/>
      <c r="BK1281" s="10"/>
      <c r="BL1281" s="10"/>
      <c r="BM1281" s="10"/>
      <c r="BN1281" s="10"/>
      <c r="BO1281" s="10"/>
      <c r="BP1281" s="10"/>
      <c r="BQ1281" s="10"/>
      <c r="BR1281" s="10"/>
      <c r="BS1281" s="10"/>
      <c r="BT1281" s="10"/>
      <c r="BU1281" s="10"/>
      <c r="BV1281" s="10"/>
      <c r="BW1281" s="10"/>
      <c r="BX1281" s="10"/>
      <c r="BY1281" s="10"/>
      <c r="BZ1281" s="10"/>
      <c r="CA1281" s="10"/>
      <c r="CB1281" s="10"/>
      <c r="CC1281" s="10"/>
      <c r="CD1281" s="10"/>
      <c r="CE1281" s="10"/>
      <c r="CF1281" s="10"/>
      <c r="CG1281" s="10"/>
      <c r="CH1281" s="10"/>
      <c r="CI1281" s="10"/>
      <c r="CJ1281" s="10"/>
      <c r="CK1281" s="10"/>
      <c r="CL1281" s="10"/>
      <c r="CM1281" s="10"/>
      <c r="CN1281" s="10"/>
      <c r="CO1281" s="10"/>
    </row>
    <row r="1282" spans="1:93">
      <c r="A1282" s="10"/>
      <c r="B1282" s="10"/>
      <c r="C1282" s="17" t="s">
        <v>273</v>
      </c>
      <c r="D1282" s="10"/>
      <c r="E1282" s="188">
        <f>Предпосылки!E581</f>
        <v>3.9E-2</v>
      </c>
      <c r="F1282" s="11"/>
      <c r="G1282" s="11" t="s">
        <v>28</v>
      </c>
      <c r="H1282" s="11"/>
      <c r="I1282" s="3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0"/>
      <c r="AH1282" s="10"/>
      <c r="AI1282" s="10"/>
      <c r="AJ1282" s="10"/>
      <c r="AK1282" s="10"/>
      <c r="AL1282" s="10"/>
      <c r="AM1282" s="10"/>
      <c r="AN1282" s="10"/>
      <c r="AO1282" s="10"/>
      <c r="AP1282" s="10"/>
      <c r="AQ1282" s="10"/>
      <c r="AR1282" s="10"/>
      <c r="AS1282" s="10"/>
      <c r="AT1282" s="10"/>
      <c r="AU1282" s="10"/>
      <c r="AV1282" s="10"/>
      <c r="AW1282" s="10"/>
      <c r="AX1282" s="10"/>
      <c r="AY1282" s="10"/>
      <c r="AZ1282" s="10"/>
      <c r="BA1282" s="10"/>
      <c r="BB1282" s="10"/>
      <c r="BC1282" s="10"/>
      <c r="BD1282" s="10"/>
      <c r="BE1282" s="10"/>
      <c r="BF1282" s="10"/>
      <c r="BG1282" s="10"/>
      <c r="BH1282" s="10"/>
      <c r="BI1282" s="10"/>
      <c r="BJ1282" s="10"/>
      <c r="BK1282" s="10"/>
      <c r="BL1282" s="10"/>
      <c r="BM1282" s="10"/>
      <c r="BN1282" s="10"/>
      <c r="BO1282" s="10"/>
      <c r="BP1282" s="10"/>
      <c r="BQ1282" s="10"/>
      <c r="BR1282" s="10"/>
      <c r="BS1282" s="10"/>
      <c r="BT1282" s="10"/>
      <c r="BU1282" s="10"/>
      <c r="BV1282" s="10"/>
      <c r="BW1282" s="10"/>
      <c r="BX1282" s="10"/>
      <c r="BY1282" s="10"/>
      <c r="BZ1282" s="10"/>
      <c r="CA1282" s="10"/>
      <c r="CB1282" s="10"/>
      <c r="CC1282" s="10"/>
      <c r="CD1282" s="10"/>
      <c r="CE1282" s="10"/>
      <c r="CF1282" s="10"/>
      <c r="CG1282" s="10"/>
      <c r="CH1282" s="10"/>
      <c r="CI1282" s="10"/>
      <c r="CJ1282" s="10"/>
      <c r="CK1282" s="10"/>
      <c r="CL1282" s="10"/>
      <c r="CM1282" s="10"/>
      <c r="CN1282" s="10"/>
      <c r="CO1282" s="10"/>
    </row>
    <row r="1283" spans="1:93">
      <c r="A1283" s="10"/>
      <c r="B1283" s="10"/>
      <c r="C1283" s="17" t="s">
        <v>274</v>
      </c>
      <c r="D1283" s="10"/>
      <c r="E1283" s="188">
        <f>Предпосылки!E582</f>
        <v>7.2300000000000003E-2</v>
      </c>
      <c r="F1283" s="11"/>
      <c r="G1283" s="11" t="s">
        <v>28</v>
      </c>
      <c r="H1283" s="11"/>
      <c r="I1283" s="3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0"/>
      <c r="AH1283" s="10"/>
      <c r="AI1283" s="10"/>
      <c r="AJ1283" s="10"/>
      <c r="AK1283" s="10"/>
      <c r="AL1283" s="10"/>
      <c r="AM1283" s="10"/>
      <c r="AN1283" s="10"/>
      <c r="AO1283" s="10"/>
      <c r="AP1283" s="10"/>
      <c r="AQ1283" s="10"/>
      <c r="AR1283" s="10"/>
      <c r="AS1283" s="10"/>
      <c r="AT1283" s="10"/>
      <c r="AU1283" s="10"/>
      <c r="AV1283" s="10"/>
      <c r="AW1283" s="10"/>
      <c r="AX1283" s="10"/>
      <c r="AY1283" s="10"/>
      <c r="AZ1283" s="10"/>
      <c r="BA1283" s="10"/>
      <c r="BB1283" s="10"/>
      <c r="BC1283" s="10"/>
      <c r="BD1283" s="10"/>
      <c r="BE1283" s="10"/>
      <c r="BF1283" s="10"/>
      <c r="BG1283" s="10"/>
      <c r="BH1283" s="10"/>
      <c r="BI1283" s="10"/>
      <c r="BJ1283" s="10"/>
      <c r="BK1283" s="10"/>
      <c r="BL1283" s="10"/>
      <c r="BM1283" s="10"/>
      <c r="BN1283" s="10"/>
      <c r="BO1283" s="10"/>
      <c r="BP1283" s="10"/>
      <c r="BQ1283" s="10"/>
      <c r="BR1283" s="10"/>
      <c r="BS1283" s="10"/>
      <c r="BT1283" s="10"/>
      <c r="BU1283" s="10"/>
      <c r="BV1283" s="10"/>
      <c r="BW1283" s="10"/>
      <c r="BX1283" s="10"/>
      <c r="BY1283" s="10"/>
      <c r="BZ1283" s="10"/>
      <c r="CA1283" s="10"/>
      <c r="CB1283" s="10"/>
      <c r="CC1283" s="10"/>
      <c r="CD1283" s="10"/>
      <c r="CE1283" s="10"/>
      <c r="CF1283" s="10"/>
      <c r="CG1283" s="10"/>
      <c r="CH1283" s="10"/>
      <c r="CI1283" s="10"/>
      <c r="CJ1283" s="10"/>
      <c r="CK1283" s="10"/>
      <c r="CL1283" s="10"/>
      <c r="CM1283" s="10"/>
      <c r="CN1283" s="10"/>
      <c r="CO1283" s="10"/>
    </row>
    <row r="1284" spans="1:93">
      <c r="A1284" s="10"/>
      <c r="B1284" s="10"/>
      <c r="C1284" s="17" t="s">
        <v>275</v>
      </c>
      <c r="D1284" s="10"/>
      <c r="E1284" s="188">
        <f>Предпосылки!E585</f>
        <v>0</v>
      </c>
      <c r="F1284" s="11"/>
      <c r="G1284" s="11" t="s">
        <v>28</v>
      </c>
      <c r="H1284" s="11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0"/>
      <c r="AH1284" s="10"/>
      <c r="AI1284" s="10"/>
      <c r="AJ1284" s="10"/>
      <c r="AK1284" s="10"/>
      <c r="AL1284" s="10"/>
      <c r="AM1284" s="10"/>
      <c r="AN1284" s="10"/>
      <c r="AO1284" s="10"/>
      <c r="AP1284" s="10"/>
      <c r="AQ1284" s="10"/>
      <c r="AR1284" s="10"/>
      <c r="AS1284" s="10"/>
      <c r="AT1284" s="10"/>
      <c r="AU1284" s="10"/>
      <c r="AV1284" s="10"/>
      <c r="AW1284" s="10"/>
      <c r="AX1284" s="10"/>
      <c r="AY1284" s="10"/>
      <c r="AZ1284" s="10"/>
      <c r="BA1284" s="10"/>
      <c r="BB1284" s="10"/>
      <c r="BC1284" s="10"/>
      <c r="BD1284" s="10"/>
      <c r="BE1284" s="10"/>
      <c r="BF1284" s="10"/>
      <c r="BG1284" s="10"/>
      <c r="BH1284" s="10"/>
      <c r="BI1284" s="10"/>
      <c r="BJ1284" s="10"/>
      <c r="BK1284" s="10"/>
      <c r="BL1284" s="10"/>
      <c r="BM1284" s="10"/>
      <c r="BN1284" s="10"/>
      <c r="BO1284" s="10"/>
      <c r="BP1284" s="10"/>
      <c r="BQ1284" s="10"/>
      <c r="BR1284" s="10"/>
      <c r="BS1284" s="10"/>
      <c r="BT1284" s="10"/>
      <c r="BU1284" s="10"/>
      <c r="BV1284" s="10"/>
      <c r="BW1284" s="10"/>
      <c r="BX1284" s="10"/>
      <c r="BY1284" s="10"/>
      <c r="BZ1284" s="10"/>
      <c r="CA1284" s="10"/>
      <c r="CB1284" s="10"/>
      <c r="CC1284" s="10"/>
      <c r="CD1284" s="10"/>
      <c r="CE1284" s="10"/>
      <c r="CF1284" s="10"/>
      <c r="CG1284" s="10"/>
      <c r="CH1284" s="10"/>
      <c r="CI1284" s="10"/>
      <c r="CJ1284" s="10"/>
      <c r="CK1284" s="10"/>
      <c r="CL1284" s="10"/>
      <c r="CM1284" s="10"/>
      <c r="CN1284" s="10"/>
      <c r="CO1284" s="10"/>
    </row>
    <row r="1285" spans="1:93">
      <c r="A1285" s="10"/>
      <c r="B1285" s="10"/>
      <c r="C1285" s="17"/>
      <c r="D1285" s="10"/>
      <c r="E1285" s="62"/>
      <c r="F1285" s="11"/>
      <c r="G1285" s="11"/>
      <c r="H1285" s="11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0"/>
      <c r="AH1285" s="10"/>
      <c r="AI1285" s="10"/>
      <c r="AJ1285" s="10"/>
      <c r="AK1285" s="10"/>
      <c r="AL1285" s="10"/>
      <c r="AM1285" s="10"/>
      <c r="AN1285" s="10"/>
      <c r="AO1285" s="10"/>
      <c r="AP1285" s="10"/>
      <c r="AQ1285" s="10"/>
      <c r="AR1285" s="10"/>
      <c r="AS1285" s="10"/>
      <c r="AT1285" s="10"/>
      <c r="AU1285" s="10"/>
      <c r="AV1285" s="10"/>
      <c r="AW1285" s="10"/>
      <c r="AX1285" s="10"/>
      <c r="AY1285" s="10"/>
      <c r="AZ1285" s="10"/>
      <c r="BA1285" s="10"/>
      <c r="BB1285" s="10"/>
      <c r="BC1285" s="10"/>
      <c r="BD1285" s="10"/>
      <c r="BE1285" s="10"/>
      <c r="BF1285" s="10"/>
      <c r="BG1285" s="10"/>
      <c r="BH1285" s="10"/>
      <c r="BI1285" s="10"/>
      <c r="BJ1285" s="10"/>
      <c r="BK1285" s="10"/>
      <c r="BL1285" s="10"/>
      <c r="BM1285" s="10"/>
      <c r="BN1285" s="10"/>
      <c r="BO1285" s="10"/>
      <c r="BP1285" s="10"/>
      <c r="BQ1285" s="10"/>
      <c r="BR1285" s="10"/>
      <c r="BS1285" s="10"/>
      <c r="BT1285" s="10"/>
      <c r="BU1285" s="10"/>
      <c r="BV1285" s="10"/>
      <c r="BW1285" s="10"/>
      <c r="BX1285" s="10"/>
      <c r="BY1285" s="10"/>
      <c r="BZ1285" s="10"/>
      <c r="CA1285" s="10"/>
      <c r="CB1285" s="10"/>
      <c r="CC1285" s="10"/>
      <c r="CD1285" s="10"/>
      <c r="CE1285" s="10"/>
      <c r="CF1285" s="10"/>
      <c r="CG1285" s="10"/>
      <c r="CH1285" s="10"/>
      <c r="CI1285" s="10"/>
      <c r="CJ1285" s="10"/>
      <c r="CK1285" s="10"/>
      <c r="CL1285" s="10"/>
      <c r="CM1285" s="10"/>
      <c r="CN1285" s="10"/>
      <c r="CO1285" s="10"/>
    </row>
    <row r="1286" spans="1:93">
      <c r="A1286" s="10"/>
      <c r="B1286" s="10"/>
      <c r="C1286" s="16" t="s">
        <v>276</v>
      </c>
      <c r="D1286" s="10"/>
      <c r="E1286" s="62"/>
      <c r="F1286" s="11"/>
      <c r="G1286" s="11"/>
      <c r="H1286" s="11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0"/>
      <c r="AH1286" s="10"/>
      <c r="AI1286" s="10"/>
      <c r="AJ1286" s="10"/>
      <c r="AK1286" s="10"/>
      <c r="AL1286" s="10"/>
      <c r="AM1286" s="10"/>
      <c r="AN1286" s="10"/>
      <c r="AO1286" s="10"/>
      <c r="AP1286" s="10"/>
      <c r="AQ1286" s="10"/>
      <c r="AR1286" s="10"/>
      <c r="AS1286" s="10"/>
      <c r="AT1286" s="10"/>
      <c r="AU1286" s="10"/>
      <c r="AV1286" s="10"/>
      <c r="AW1286" s="10"/>
      <c r="AX1286" s="10"/>
      <c r="AY1286" s="10"/>
      <c r="AZ1286" s="10"/>
      <c r="BA1286" s="10"/>
      <c r="BB1286" s="10"/>
      <c r="BC1286" s="10"/>
      <c r="BD1286" s="10"/>
      <c r="BE1286" s="10"/>
      <c r="BF1286" s="10"/>
      <c r="BG1286" s="10"/>
      <c r="BH1286" s="10"/>
      <c r="BI1286" s="10"/>
      <c r="BJ1286" s="10"/>
      <c r="BK1286" s="10"/>
      <c r="BL1286" s="10"/>
      <c r="BM1286" s="10"/>
      <c r="BN1286" s="10"/>
      <c r="BO1286" s="10"/>
      <c r="BP1286" s="10"/>
      <c r="BQ1286" s="10"/>
      <c r="BR1286" s="10"/>
      <c r="BS1286" s="10"/>
      <c r="BT1286" s="10"/>
      <c r="BU1286" s="10"/>
      <c r="BV1286" s="10"/>
      <c r="BW1286" s="10"/>
      <c r="BX1286" s="10"/>
      <c r="BY1286" s="10"/>
      <c r="BZ1286" s="10"/>
      <c r="CA1286" s="10"/>
      <c r="CB1286" s="10"/>
      <c r="CC1286" s="10"/>
      <c r="CD1286" s="10"/>
      <c r="CE1286" s="10"/>
      <c r="CF1286" s="10"/>
      <c r="CG1286" s="10"/>
      <c r="CH1286" s="10"/>
      <c r="CI1286" s="10"/>
      <c r="CJ1286" s="10"/>
      <c r="CK1286" s="10"/>
      <c r="CL1286" s="10"/>
      <c r="CM1286" s="10"/>
      <c r="CN1286" s="10"/>
      <c r="CO1286" s="10"/>
    </row>
    <row r="1287" spans="1:93">
      <c r="A1287" s="10"/>
      <c r="B1287" s="10"/>
      <c r="C1287" s="17" t="s">
        <v>277</v>
      </c>
      <c r="D1287" s="10"/>
      <c r="E1287" s="189">
        <f>Предпосылки!E584</f>
        <v>1.34</v>
      </c>
      <c r="F1287" s="11"/>
      <c r="G1287" s="11" t="s">
        <v>378</v>
      </c>
      <c r="H1287" s="11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0"/>
      <c r="AH1287" s="10"/>
      <c r="AI1287" s="10"/>
      <c r="AJ1287" s="10"/>
      <c r="AK1287" s="10"/>
      <c r="AL1287" s="10"/>
      <c r="AM1287" s="10"/>
      <c r="AN1287" s="10"/>
      <c r="AO1287" s="10"/>
      <c r="AP1287" s="10"/>
      <c r="AQ1287" s="10"/>
      <c r="AR1287" s="10"/>
      <c r="AS1287" s="10"/>
      <c r="AT1287" s="10"/>
      <c r="AU1287" s="10"/>
      <c r="AV1287" s="10"/>
      <c r="AW1287" s="10"/>
      <c r="AX1287" s="10"/>
      <c r="AY1287" s="10"/>
      <c r="AZ1287" s="10"/>
      <c r="BA1287" s="10"/>
      <c r="BB1287" s="10"/>
      <c r="BC1287" s="10"/>
      <c r="BD1287" s="10"/>
      <c r="BE1287" s="10"/>
      <c r="BF1287" s="10"/>
      <c r="BG1287" s="10"/>
      <c r="BH1287" s="10"/>
      <c r="BI1287" s="10"/>
      <c r="BJ1287" s="10"/>
      <c r="BK1287" s="10"/>
      <c r="BL1287" s="10"/>
      <c r="BM1287" s="10"/>
      <c r="BN1287" s="10"/>
      <c r="BO1287" s="10"/>
      <c r="BP1287" s="10"/>
      <c r="BQ1287" s="10"/>
      <c r="BR1287" s="10"/>
      <c r="BS1287" s="10"/>
      <c r="BT1287" s="10"/>
      <c r="BU1287" s="10"/>
      <c r="BV1287" s="10"/>
      <c r="BW1287" s="10"/>
      <c r="BX1287" s="10"/>
      <c r="BY1287" s="10"/>
      <c r="BZ1287" s="10"/>
      <c r="CA1287" s="10"/>
      <c r="CB1287" s="10"/>
      <c r="CC1287" s="10"/>
      <c r="CD1287" s="10"/>
      <c r="CE1287" s="10"/>
      <c r="CF1287" s="10"/>
      <c r="CG1287" s="10"/>
      <c r="CH1287" s="10"/>
      <c r="CI1287" s="10"/>
      <c r="CJ1287" s="10"/>
      <c r="CK1287" s="10"/>
      <c r="CL1287" s="10"/>
      <c r="CM1287" s="10"/>
      <c r="CN1287" s="10"/>
      <c r="CO1287" s="10"/>
    </row>
    <row r="1288" spans="1:93">
      <c r="A1288" s="10"/>
      <c r="B1288" s="10"/>
      <c r="C1288" s="17" t="s">
        <v>278</v>
      </c>
      <c r="D1288" s="10"/>
      <c r="E1288" s="190">
        <f ca="1">E1277</f>
        <v>0.13900812090381359</v>
      </c>
      <c r="F1288" s="11"/>
      <c r="G1288" s="11" t="s">
        <v>378</v>
      </c>
      <c r="H1288" s="11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0"/>
      <c r="AH1288" s="10"/>
      <c r="AI1288" s="10"/>
      <c r="AJ1288" s="10"/>
      <c r="AK1288" s="10"/>
      <c r="AL1288" s="10"/>
      <c r="AM1288" s="10"/>
      <c r="AN1288" s="10"/>
      <c r="AO1288" s="10"/>
      <c r="AP1288" s="10"/>
      <c r="AQ1288" s="10"/>
      <c r="AR1288" s="10"/>
      <c r="AS1288" s="10"/>
      <c r="AT1288" s="10"/>
      <c r="AU1288" s="10"/>
      <c r="AV1288" s="10"/>
      <c r="AW1288" s="10"/>
      <c r="AX1288" s="10"/>
      <c r="AY1288" s="10"/>
      <c r="AZ1288" s="10"/>
      <c r="BA1288" s="10"/>
      <c r="BB1288" s="10"/>
      <c r="BC1288" s="10"/>
      <c r="BD1288" s="10"/>
      <c r="BE1288" s="10"/>
      <c r="BF1288" s="10"/>
      <c r="BG1288" s="10"/>
      <c r="BH1288" s="10"/>
      <c r="BI1288" s="10"/>
      <c r="BJ1288" s="10"/>
      <c r="BK1288" s="10"/>
      <c r="BL1288" s="10"/>
      <c r="BM1288" s="10"/>
      <c r="BN1288" s="10"/>
      <c r="BO1288" s="10"/>
      <c r="BP1288" s="10"/>
      <c r="BQ1288" s="10"/>
      <c r="BR1288" s="10"/>
      <c r="BS1288" s="10"/>
      <c r="BT1288" s="10"/>
      <c r="BU1288" s="10"/>
      <c r="BV1288" s="10"/>
      <c r="BW1288" s="10"/>
      <c r="BX1288" s="10"/>
      <c r="BY1288" s="10"/>
      <c r="BZ1288" s="10"/>
      <c r="CA1288" s="10"/>
      <c r="CB1288" s="10"/>
      <c r="CC1288" s="10"/>
      <c r="CD1288" s="10"/>
      <c r="CE1288" s="10"/>
      <c r="CF1288" s="10"/>
      <c r="CG1288" s="10"/>
      <c r="CH1288" s="10"/>
      <c r="CI1288" s="10"/>
      <c r="CJ1288" s="10"/>
      <c r="CK1288" s="10"/>
      <c r="CL1288" s="10"/>
      <c r="CM1288" s="10"/>
      <c r="CN1288" s="10"/>
      <c r="CO1288" s="10"/>
    </row>
    <row r="1289" spans="1:93">
      <c r="A1289" s="10"/>
      <c r="B1289" s="10"/>
      <c r="C1289" s="17" t="s">
        <v>279</v>
      </c>
      <c r="D1289" s="10"/>
      <c r="E1289" s="190">
        <f ca="1">SUM(E1276:E1277)</f>
        <v>0.27801624180762718</v>
      </c>
      <c r="F1289" s="11"/>
      <c r="G1289" s="11" t="s">
        <v>378</v>
      </c>
      <c r="H1289" s="11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0"/>
      <c r="AH1289" s="10"/>
      <c r="AI1289" s="10"/>
      <c r="AJ1289" s="10"/>
      <c r="AK1289" s="10"/>
      <c r="AL1289" s="10"/>
      <c r="AM1289" s="10"/>
      <c r="AN1289" s="10"/>
      <c r="AO1289" s="10"/>
      <c r="AP1289" s="10"/>
      <c r="AQ1289" s="10"/>
      <c r="AR1289" s="10"/>
      <c r="AS1289" s="10"/>
      <c r="AT1289" s="10"/>
      <c r="AU1289" s="10"/>
      <c r="AV1289" s="10"/>
      <c r="AW1289" s="10"/>
      <c r="AX1289" s="10"/>
      <c r="AY1289" s="10"/>
      <c r="AZ1289" s="10"/>
      <c r="BA1289" s="10"/>
      <c r="BB1289" s="10"/>
      <c r="BC1289" s="10"/>
      <c r="BD1289" s="10"/>
      <c r="BE1289" s="10"/>
      <c r="BF1289" s="10"/>
      <c r="BG1289" s="10"/>
      <c r="BH1289" s="10"/>
      <c r="BI1289" s="10"/>
      <c r="BJ1289" s="10"/>
      <c r="BK1289" s="10"/>
      <c r="BL1289" s="10"/>
      <c r="BM1289" s="10"/>
      <c r="BN1289" s="10"/>
      <c r="BO1289" s="10"/>
      <c r="BP1289" s="10"/>
      <c r="BQ1289" s="10"/>
      <c r="BR1289" s="10"/>
      <c r="BS1289" s="10"/>
      <c r="BT1289" s="10"/>
      <c r="BU1289" s="10"/>
      <c r="BV1289" s="10"/>
      <c r="BW1289" s="10"/>
      <c r="BX1289" s="10"/>
      <c r="BY1289" s="10"/>
      <c r="BZ1289" s="10"/>
      <c r="CA1289" s="10"/>
      <c r="CB1289" s="10"/>
      <c r="CC1289" s="10"/>
      <c r="CD1289" s="10"/>
      <c r="CE1289" s="10"/>
      <c r="CF1289" s="10"/>
      <c r="CG1289" s="10"/>
      <c r="CH1289" s="10"/>
      <c r="CI1289" s="10"/>
      <c r="CJ1289" s="10"/>
      <c r="CK1289" s="10"/>
      <c r="CL1289" s="10"/>
      <c r="CM1289" s="10"/>
      <c r="CN1289" s="10"/>
      <c r="CO1289" s="10"/>
    </row>
    <row r="1290" spans="1:93" ht="15.75" thickBot="1">
      <c r="A1290" s="10"/>
      <c r="B1290" s="10"/>
      <c r="C1290" s="17" t="s">
        <v>280</v>
      </c>
      <c r="D1290" s="10"/>
      <c r="E1290" s="190">
        <f ca="1">IFERROR(E1287*(1+E1288/E1289*(1-Profits_Tax_Rate)),E1287)</f>
        <v>1.90615</v>
      </c>
      <c r="F1290" s="11"/>
      <c r="G1290" s="11" t="s">
        <v>378</v>
      </c>
      <c r="H1290" s="11"/>
      <c r="I1290" s="11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0"/>
      <c r="AH1290" s="10"/>
      <c r="AI1290" s="10"/>
      <c r="AJ1290" s="10"/>
      <c r="AK1290" s="10"/>
      <c r="AL1290" s="10"/>
      <c r="AM1290" s="10"/>
      <c r="AN1290" s="10"/>
      <c r="AO1290" s="10"/>
      <c r="AP1290" s="10"/>
      <c r="AQ1290" s="10"/>
      <c r="AR1290" s="10"/>
      <c r="AS1290" s="10"/>
      <c r="AT1290" s="10"/>
      <c r="AU1290" s="10"/>
      <c r="AV1290" s="10"/>
      <c r="AW1290" s="10"/>
      <c r="AX1290" s="10"/>
      <c r="AY1290" s="10"/>
      <c r="AZ1290" s="10"/>
      <c r="BA1290" s="10"/>
      <c r="BB1290" s="10"/>
      <c r="BC1290" s="10"/>
      <c r="BD1290" s="10"/>
      <c r="BE1290" s="10"/>
      <c r="BF1290" s="10"/>
      <c r="BG1290" s="10"/>
      <c r="BH1290" s="10"/>
      <c r="BI1290" s="10"/>
      <c r="BJ1290" s="10"/>
      <c r="BK1290" s="10"/>
      <c r="BL1290" s="10"/>
      <c r="BM1290" s="10"/>
      <c r="BN1290" s="10"/>
      <c r="BO1290" s="10"/>
      <c r="BP1290" s="10"/>
      <c r="BQ1290" s="10"/>
      <c r="BR1290" s="10"/>
      <c r="BS1290" s="10"/>
      <c r="BT1290" s="10"/>
      <c r="BU1290" s="10"/>
      <c r="BV1290" s="10"/>
      <c r="BW1290" s="10"/>
      <c r="BX1290" s="10"/>
      <c r="BY1290" s="10"/>
      <c r="BZ1290" s="10"/>
      <c r="CA1290" s="10"/>
      <c r="CB1290" s="10"/>
      <c r="CC1290" s="10"/>
      <c r="CD1290" s="10"/>
      <c r="CE1290" s="10"/>
      <c r="CF1290" s="10"/>
      <c r="CG1290" s="10"/>
      <c r="CH1290" s="10"/>
      <c r="CI1290" s="10"/>
      <c r="CJ1290" s="10"/>
      <c r="CK1290" s="10"/>
      <c r="CL1290" s="10"/>
      <c r="CM1290" s="10"/>
      <c r="CN1290" s="10"/>
      <c r="CO1290" s="10"/>
    </row>
    <row r="1291" spans="1:93" ht="15.75" thickTop="1">
      <c r="A1291" s="10"/>
      <c r="B1291" s="10"/>
      <c r="C1291" s="49" t="s">
        <v>281</v>
      </c>
      <c r="D1291" s="49"/>
      <c r="E1291" s="186">
        <f ca="1">E1282+E1283*E1290+E1284</f>
        <v>0.17681464500000002</v>
      </c>
      <c r="F1291" s="11"/>
      <c r="G1291" s="11" t="s">
        <v>28</v>
      </c>
      <c r="H1291" s="11"/>
      <c r="I1291" s="11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0"/>
      <c r="AH1291" s="10"/>
      <c r="AI1291" s="10"/>
      <c r="AJ1291" s="10"/>
      <c r="AK1291" s="10"/>
      <c r="AL1291" s="10"/>
      <c r="AM1291" s="10"/>
      <c r="AN1291" s="10"/>
      <c r="AO1291" s="10"/>
      <c r="AP1291" s="10"/>
      <c r="AQ1291" s="10"/>
      <c r="AR1291" s="10"/>
      <c r="AS1291" s="10"/>
      <c r="AT1291" s="10"/>
      <c r="AU1291" s="10"/>
      <c r="AV1291" s="10"/>
      <c r="AW1291" s="10"/>
      <c r="AX1291" s="10"/>
      <c r="AY1291" s="10"/>
      <c r="AZ1291" s="10"/>
      <c r="BA1291" s="10"/>
      <c r="BB1291" s="10"/>
      <c r="BC1291" s="10"/>
      <c r="BD1291" s="10"/>
      <c r="BE1291" s="10"/>
      <c r="BF1291" s="10"/>
      <c r="BG1291" s="10"/>
      <c r="BH1291" s="10"/>
      <c r="BI1291" s="10"/>
      <c r="BJ1291" s="10"/>
      <c r="BK1291" s="10"/>
      <c r="BL1291" s="10"/>
      <c r="BM1291" s="10"/>
      <c r="BN1291" s="10"/>
      <c r="BO1291" s="10"/>
      <c r="BP1291" s="10"/>
      <c r="BQ1291" s="10"/>
      <c r="BR1291" s="10"/>
      <c r="BS1291" s="10"/>
      <c r="BT1291" s="10"/>
      <c r="BU1291" s="10"/>
      <c r="BV1291" s="10"/>
      <c r="BW1291" s="10"/>
      <c r="BX1291" s="10"/>
      <c r="BY1291" s="10"/>
      <c r="BZ1291" s="10"/>
      <c r="CA1291" s="10"/>
      <c r="CB1291" s="10"/>
      <c r="CC1291" s="10"/>
      <c r="CD1291" s="10"/>
      <c r="CE1291" s="10"/>
      <c r="CF1291" s="10"/>
      <c r="CG1291" s="10"/>
      <c r="CH1291" s="10"/>
      <c r="CI1291" s="10"/>
      <c r="CJ1291" s="10"/>
      <c r="CK1291" s="10"/>
      <c r="CL1291" s="10"/>
      <c r="CM1291" s="10"/>
      <c r="CN1291" s="10"/>
      <c r="CO1291" s="10"/>
    </row>
    <row r="1292" spans="1:93">
      <c r="A1292" s="10"/>
      <c r="B1292" s="10"/>
      <c r="C1292" s="17"/>
      <c r="D1292" s="10"/>
      <c r="E1292" s="62"/>
      <c r="F1292" s="11"/>
      <c r="G1292" s="11"/>
      <c r="H1292" s="11"/>
      <c r="I1292" s="11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0"/>
      <c r="AH1292" s="10"/>
      <c r="AI1292" s="10"/>
      <c r="AJ1292" s="10"/>
      <c r="AK1292" s="10"/>
      <c r="AL1292" s="10"/>
      <c r="AM1292" s="10"/>
      <c r="AN1292" s="10"/>
      <c r="AO1292" s="10"/>
      <c r="AP1292" s="10"/>
      <c r="AQ1292" s="10"/>
      <c r="AR1292" s="10"/>
      <c r="AS1292" s="10"/>
      <c r="AT1292" s="10"/>
      <c r="AU1292" s="10"/>
      <c r="AV1292" s="10"/>
      <c r="AW1292" s="10"/>
      <c r="AX1292" s="10"/>
      <c r="AY1292" s="10"/>
      <c r="AZ1292" s="10"/>
      <c r="BA1292" s="10"/>
      <c r="BB1292" s="10"/>
      <c r="BC1292" s="10"/>
      <c r="BD1292" s="10"/>
      <c r="BE1292" s="10"/>
      <c r="BF1292" s="10"/>
      <c r="BG1292" s="10"/>
      <c r="BH1292" s="10"/>
      <c r="BI1292" s="10"/>
      <c r="BJ1292" s="10"/>
      <c r="BK1292" s="10"/>
      <c r="BL1292" s="10"/>
      <c r="BM1292" s="10"/>
      <c r="BN1292" s="10"/>
      <c r="BO1292" s="10"/>
      <c r="BP1292" s="10"/>
      <c r="BQ1292" s="10"/>
      <c r="BR1292" s="10"/>
      <c r="BS1292" s="10"/>
      <c r="BT1292" s="10"/>
      <c r="BU1292" s="10"/>
      <c r="BV1292" s="10"/>
      <c r="BW1292" s="10"/>
      <c r="BX1292" s="10"/>
      <c r="BY1292" s="10"/>
      <c r="BZ1292" s="10"/>
      <c r="CA1292" s="10"/>
      <c r="CB1292" s="10"/>
      <c r="CC1292" s="10"/>
      <c r="CD1292" s="10"/>
      <c r="CE1292" s="10"/>
      <c r="CF1292" s="10"/>
      <c r="CG1292" s="10"/>
      <c r="CH1292" s="10"/>
      <c r="CI1292" s="10"/>
      <c r="CJ1292" s="10"/>
      <c r="CK1292" s="10"/>
      <c r="CL1292" s="10"/>
      <c r="CM1292" s="10"/>
      <c r="CN1292" s="10"/>
      <c r="CO1292" s="10"/>
    </row>
    <row r="1293" spans="1:93">
      <c r="A1293" s="10"/>
      <c r="B1293" s="10"/>
      <c r="C1293" s="17" t="s">
        <v>282</v>
      </c>
      <c r="D1293" s="10"/>
      <c r="E1293" s="188">
        <f>Предпосылки!E587</f>
        <v>8.5999999999999993E-2</v>
      </c>
      <c r="F1293" s="11"/>
      <c r="G1293" s="11" t="s">
        <v>28</v>
      </c>
      <c r="H1293" s="11"/>
      <c r="I1293" s="11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0"/>
      <c r="AH1293" s="10"/>
      <c r="AI1293" s="10"/>
      <c r="AJ1293" s="10"/>
      <c r="AK1293" s="10"/>
      <c r="AL1293" s="10"/>
      <c r="AM1293" s="10"/>
      <c r="AN1293" s="10"/>
      <c r="AO1293" s="10"/>
      <c r="AP1293" s="10"/>
      <c r="AQ1293" s="10"/>
      <c r="AR1293" s="10"/>
      <c r="AS1293" s="10"/>
      <c r="AT1293" s="10"/>
      <c r="AU1293" s="10"/>
      <c r="AV1293" s="10"/>
      <c r="AW1293" s="10"/>
      <c r="AX1293" s="10"/>
      <c r="AY1293" s="10"/>
      <c r="AZ1293" s="10"/>
      <c r="BA1293" s="10"/>
      <c r="BB1293" s="10"/>
      <c r="BC1293" s="10"/>
      <c r="BD1293" s="10"/>
      <c r="BE1293" s="10"/>
      <c r="BF1293" s="10"/>
      <c r="BG1293" s="10"/>
      <c r="BH1293" s="10"/>
      <c r="BI1293" s="10"/>
      <c r="BJ1293" s="10"/>
      <c r="BK1293" s="10"/>
      <c r="BL1293" s="10"/>
      <c r="BM1293" s="10"/>
      <c r="BN1293" s="10"/>
      <c r="BO1293" s="10"/>
      <c r="BP1293" s="10"/>
      <c r="BQ1293" s="10"/>
      <c r="BR1293" s="10"/>
      <c r="BS1293" s="10"/>
      <c r="BT1293" s="10"/>
      <c r="BU1293" s="10"/>
      <c r="BV1293" s="10"/>
      <c r="BW1293" s="10"/>
      <c r="BX1293" s="10"/>
      <c r="BY1293" s="10"/>
      <c r="BZ1293" s="10"/>
      <c r="CA1293" s="10"/>
      <c r="CB1293" s="10"/>
      <c r="CC1293" s="10"/>
      <c r="CD1293" s="10"/>
      <c r="CE1293" s="10"/>
      <c r="CF1293" s="10"/>
      <c r="CG1293" s="10"/>
      <c r="CH1293" s="10"/>
      <c r="CI1293" s="10"/>
      <c r="CJ1293" s="10"/>
      <c r="CK1293" s="10"/>
      <c r="CL1293" s="10"/>
      <c r="CM1293" s="10"/>
      <c r="CN1293" s="10"/>
      <c r="CO1293" s="10"/>
    </row>
    <row r="1294" spans="1:93" ht="15.75" thickBot="1">
      <c r="A1294" s="10"/>
      <c r="B1294" s="10"/>
      <c r="C1294" s="17" t="s">
        <v>283</v>
      </c>
      <c r="D1294" s="10"/>
      <c r="E1294" s="188">
        <f>Предпосылки!E588</f>
        <v>0.14099999999999999</v>
      </c>
      <c r="F1294" s="11"/>
      <c r="G1294" s="11" t="s">
        <v>28</v>
      </c>
      <c r="H1294" s="11"/>
      <c r="I1294" s="11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0"/>
      <c r="AH1294" s="10"/>
      <c r="AI1294" s="10"/>
      <c r="AJ1294" s="10"/>
      <c r="AK1294" s="10"/>
      <c r="AL1294" s="10"/>
      <c r="AM1294" s="10"/>
      <c r="AN1294" s="10"/>
      <c r="AO1294" s="10"/>
      <c r="AP1294" s="10"/>
      <c r="AQ1294" s="10"/>
      <c r="AR1294" s="10"/>
      <c r="AS1294" s="10"/>
      <c r="AT1294" s="10"/>
      <c r="AU1294" s="10"/>
      <c r="AV1294" s="10"/>
      <c r="AW1294" s="10"/>
      <c r="AX1294" s="10"/>
      <c r="AY1294" s="10"/>
      <c r="AZ1294" s="10"/>
      <c r="BA1294" s="10"/>
      <c r="BB1294" s="10"/>
      <c r="BC1294" s="10"/>
      <c r="BD1294" s="10"/>
      <c r="BE1294" s="10"/>
      <c r="BF1294" s="10"/>
      <c r="BG1294" s="10"/>
      <c r="BH1294" s="10"/>
      <c r="BI1294" s="10"/>
      <c r="BJ1294" s="10"/>
      <c r="BK1294" s="10"/>
      <c r="BL1294" s="10"/>
      <c r="BM1294" s="10"/>
      <c r="BN1294" s="10"/>
      <c r="BO1294" s="10"/>
      <c r="BP1294" s="10"/>
      <c r="BQ1294" s="10"/>
      <c r="BR1294" s="10"/>
      <c r="BS1294" s="10"/>
      <c r="BT1294" s="10"/>
      <c r="BU1294" s="10"/>
      <c r="BV1294" s="10"/>
      <c r="BW1294" s="10"/>
      <c r="BX1294" s="10"/>
      <c r="BY1294" s="10"/>
      <c r="BZ1294" s="10"/>
      <c r="CA1294" s="10"/>
      <c r="CB1294" s="10"/>
      <c r="CC1294" s="10"/>
      <c r="CD1294" s="10"/>
      <c r="CE1294" s="10"/>
      <c r="CF1294" s="10"/>
      <c r="CG1294" s="10"/>
      <c r="CH1294" s="10"/>
      <c r="CI1294" s="10"/>
      <c r="CJ1294" s="10"/>
      <c r="CK1294" s="10"/>
      <c r="CL1294" s="10"/>
      <c r="CM1294" s="10"/>
      <c r="CN1294" s="10"/>
      <c r="CO1294" s="10"/>
    </row>
    <row r="1295" spans="1:93" ht="15.75" thickTop="1">
      <c r="A1295" s="10"/>
      <c r="B1295" s="10"/>
      <c r="C1295" s="49" t="s">
        <v>284</v>
      </c>
      <c r="D1295" s="49"/>
      <c r="E1295" s="186">
        <f ca="1">((1+E1291)*((1+E1294)/(1+E1293))-1)</f>
        <v>0.23641391339318618</v>
      </c>
      <c r="F1295" s="11"/>
      <c r="G1295" s="11" t="s">
        <v>28</v>
      </c>
      <c r="H1295" s="11"/>
      <c r="I1295" s="11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0"/>
      <c r="AH1295" s="10"/>
      <c r="AI1295" s="10"/>
      <c r="AJ1295" s="10"/>
      <c r="AK1295" s="10"/>
      <c r="AL1295" s="10"/>
      <c r="AM1295" s="10"/>
      <c r="AN1295" s="10"/>
      <c r="AO1295" s="10"/>
      <c r="AP1295" s="10"/>
      <c r="AQ1295" s="10"/>
      <c r="AR1295" s="10"/>
      <c r="AS1295" s="10"/>
      <c r="AT1295" s="10"/>
      <c r="AU1295" s="10"/>
      <c r="AV1295" s="10"/>
      <c r="AW1295" s="10"/>
      <c r="AX1295" s="10"/>
      <c r="AY1295" s="10"/>
      <c r="AZ1295" s="10"/>
      <c r="BA1295" s="10"/>
      <c r="BB1295" s="10"/>
      <c r="BC1295" s="10"/>
      <c r="BD1295" s="10"/>
      <c r="BE1295" s="10"/>
      <c r="BF1295" s="10"/>
      <c r="BG1295" s="10"/>
      <c r="BH1295" s="10"/>
      <c r="BI1295" s="10"/>
      <c r="BJ1295" s="10"/>
      <c r="BK1295" s="10"/>
      <c r="BL1295" s="10"/>
      <c r="BM1295" s="10"/>
      <c r="BN1295" s="10"/>
      <c r="BO1295" s="10"/>
      <c r="BP1295" s="10"/>
      <c r="BQ1295" s="10"/>
      <c r="BR1295" s="10"/>
      <c r="BS1295" s="10"/>
      <c r="BT1295" s="10"/>
      <c r="BU1295" s="10"/>
      <c r="BV1295" s="10"/>
      <c r="BW1295" s="10"/>
      <c r="BX1295" s="10"/>
      <c r="BY1295" s="10"/>
      <c r="BZ1295" s="10"/>
      <c r="CA1295" s="10"/>
      <c r="CB1295" s="10"/>
      <c r="CC1295" s="10"/>
      <c r="CD1295" s="10"/>
      <c r="CE1295" s="10"/>
      <c r="CF1295" s="10"/>
      <c r="CG1295" s="10"/>
      <c r="CH1295" s="10"/>
      <c r="CI1295" s="10"/>
      <c r="CJ1295" s="10"/>
      <c r="CK1295" s="10"/>
      <c r="CL1295" s="10"/>
      <c r="CM1295" s="10"/>
      <c r="CN1295" s="10"/>
      <c r="CO1295" s="10"/>
    </row>
    <row r="1296" spans="1:93">
      <c r="A1296" s="10"/>
      <c r="B1296" s="10"/>
      <c r="C1296" s="17"/>
      <c r="D1296" s="10"/>
      <c r="E1296" s="151"/>
      <c r="F1296" s="11"/>
      <c r="G1296" s="11"/>
      <c r="H1296" s="11"/>
      <c r="I1296" s="11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0"/>
      <c r="AH1296" s="10"/>
      <c r="AI1296" s="10"/>
      <c r="AJ1296" s="10"/>
      <c r="AK1296" s="10"/>
      <c r="AL1296" s="10"/>
      <c r="AM1296" s="10"/>
      <c r="AN1296" s="10"/>
      <c r="AO1296" s="10"/>
      <c r="AP1296" s="10"/>
      <c r="AQ1296" s="10"/>
      <c r="AR1296" s="10"/>
      <c r="AS1296" s="10"/>
      <c r="AT1296" s="10"/>
      <c r="AU1296" s="10"/>
      <c r="AV1296" s="10"/>
      <c r="AW1296" s="10"/>
      <c r="AX1296" s="10"/>
      <c r="AY1296" s="10"/>
      <c r="AZ1296" s="10"/>
      <c r="BA1296" s="10"/>
      <c r="BB1296" s="10"/>
      <c r="BC1296" s="10"/>
      <c r="BD1296" s="10"/>
      <c r="BE1296" s="10"/>
      <c r="BF1296" s="10"/>
      <c r="BG1296" s="10"/>
      <c r="BH1296" s="10"/>
      <c r="BI1296" s="10"/>
      <c r="BJ1296" s="10"/>
      <c r="BK1296" s="10"/>
      <c r="BL1296" s="10"/>
      <c r="BM1296" s="10"/>
      <c r="BN1296" s="10"/>
      <c r="BO1296" s="10"/>
      <c r="BP1296" s="10"/>
      <c r="BQ1296" s="10"/>
      <c r="BR1296" s="10"/>
      <c r="BS1296" s="10"/>
      <c r="BT1296" s="10"/>
      <c r="BU1296" s="10"/>
      <c r="BV1296" s="10"/>
      <c r="BW1296" s="10"/>
      <c r="BX1296" s="10"/>
      <c r="BY1296" s="10"/>
      <c r="BZ1296" s="10"/>
      <c r="CA1296" s="10"/>
      <c r="CB1296" s="10"/>
      <c r="CC1296" s="10"/>
      <c r="CD1296" s="10"/>
      <c r="CE1296" s="10"/>
      <c r="CF1296" s="10"/>
      <c r="CG1296" s="10"/>
      <c r="CH1296" s="10"/>
      <c r="CI1296" s="10"/>
      <c r="CJ1296" s="10"/>
      <c r="CK1296" s="10"/>
      <c r="CL1296" s="10"/>
      <c r="CM1296" s="10"/>
      <c r="CN1296" s="10"/>
      <c r="CO1296" s="10"/>
    </row>
    <row r="1297" spans="1:93">
      <c r="A1297" s="10"/>
      <c r="B1297" s="10"/>
      <c r="C1297" s="41" t="s">
        <v>285</v>
      </c>
      <c r="D1297" s="10"/>
      <c r="E1297" s="10"/>
      <c r="F1297" s="11"/>
      <c r="G1297" s="11"/>
      <c r="H1297" s="11"/>
      <c r="I1297" s="11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0"/>
      <c r="AH1297" s="10"/>
      <c r="AI1297" s="10"/>
      <c r="AJ1297" s="10"/>
      <c r="AK1297" s="10"/>
      <c r="AL1297" s="10"/>
      <c r="AM1297" s="10"/>
      <c r="AN1297" s="10"/>
      <c r="AO1297" s="10"/>
      <c r="AP1297" s="10"/>
      <c r="AQ1297" s="10"/>
      <c r="AR1297" s="10"/>
      <c r="AS1297" s="10"/>
      <c r="AT1297" s="10"/>
      <c r="AU1297" s="10"/>
      <c r="AV1297" s="10"/>
      <c r="AW1297" s="10"/>
      <c r="AX1297" s="10"/>
      <c r="AY1297" s="10"/>
      <c r="AZ1297" s="10"/>
      <c r="BA1297" s="10"/>
      <c r="BB1297" s="10"/>
      <c r="BC1297" s="10"/>
      <c r="BD1297" s="10"/>
      <c r="BE1297" s="10"/>
      <c r="BF1297" s="10"/>
      <c r="BG1297" s="10"/>
      <c r="BH1297" s="10"/>
      <c r="BI1297" s="10"/>
      <c r="BJ1297" s="10"/>
      <c r="BK1297" s="10"/>
      <c r="BL1297" s="10"/>
      <c r="BM1297" s="10"/>
      <c r="BN1297" s="10"/>
      <c r="BO1297" s="10"/>
      <c r="BP1297" s="10"/>
      <c r="BQ1297" s="10"/>
      <c r="BR1297" s="10"/>
      <c r="BS1297" s="10"/>
      <c r="BT1297" s="10"/>
      <c r="BU1297" s="10"/>
      <c r="BV1297" s="10"/>
      <c r="BW1297" s="10"/>
      <c r="BX1297" s="10"/>
      <c r="BY1297" s="10"/>
      <c r="BZ1297" s="10"/>
      <c r="CA1297" s="10"/>
      <c r="CB1297" s="10"/>
      <c r="CC1297" s="10"/>
      <c r="CD1297" s="10"/>
      <c r="CE1297" s="10"/>
      <c r="CF1297" s="10"/>
      <c r="CG1297" s="10"/>
      <c r="CH1297" s="10"/>
      <c r="CI1297" s="10"/>
      <c r="CJ1297" s="10"/>
      <c r="CK1297" s="10"/>
      <c r="CL1297" s="10"/>
      <c r="CM1297" s="10"/>
      <c r="CN1297" s="10"/>
      <c r="CO1297" s="10"/>
    </row>
    <row r="1298" spans="1:93">
      <c r="A1298" s="10"/>
      <c r="B1298" s="10"/>
      <c r="C1298" s="17" t="s">
        <v>271</v>
      </c>
      <c r="D1298" s="10"/>
      <c r="E1298" s="186">
        <f ca="1">E1295</f>
        <v>0.23641391339318618</v>
      </c>
      <c r="F1298" s="11"/>
      <c r="G1298" s="11" t="s">
        <v>28</v>
      </c>
      <c r="H1298" s="11"/>
      <c r="I1298" s="11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0"/>
      <c r="AH1298" s="10"/>
      <c r="AI1298" s="10"/>
      <c r="AJ1298" s="10"/>
      <c r="AK1298" s="10"/>
      <c r="AL1298" s="10"/>
      <c r="AM1298" s="10"/>
      <c r="AN1298" s="10"/>
      <c r="AO1298" s="10"/>
      <c r="AP1298" s="10"/>
      <c r="AQ1298" s="10"/>
      <c r="AR1298" s="10"/>
      <c r="AS1298" s="10"/>
      <c r="AT1298" s="10"/>
      <c r="AU1298" s="10"/>
      <c r="AV1298" s="10"/>
      <c r="AW1298" s="10"/>
      <c r="AX1298" s="10"/>
      <c r="AY1298" s="10"/>
      <c r="AZ1298" s="10"/>
      <c r="BA1298" s="10"/>
      <c r="BB1298" s="10"/>
      <c r="BC1298" s="10"/>
      <c r="BD1298" s="10"/>
      <c r="BE1298" s="10"/>
      <c r="BF1298" s="10"/>
      <c r="BG1298" s="10"/>
      <c r="BH1298" s="10"/>
      <c r="BI1298" s="10"/>
      <c r="BJ1298" s="10"/>
      <c r="BK1298" s="10"/>
      <c r="BL1298" s="10"/>
      <c r="BM1298" s="10"/>
      <c r="BN1298" s="10"/>
      <c r="BO1298" s="10"/>
      <c r="BP1298" s="10"/>
      <c r="BQ1298" s="10"/>
      <c r="BR1298" s="10"/>
      <c r="BS1298" s="10"/>
      <c r="BT1298" s="10"/>
      <c r="BU1298" s="10"/>
      <c r="BV1298" s="10"/>
      <c r="BW1298" s="10"/>
      <c r="BX1298" s="10"/>
      <c r="BY1298" s="10"/>
      <c r="BZ1298" s="10"/>
      <c r="CA1298" s="10"/>
      <c r="CB1298" s="10"/>
      <c r="CC1298" s="10"/>
      <c r="CD1298" s="10"/>
      <c r="CE1298" s="10"/>
      <c r="CF1298" s="10"/>
      <c r="CG1298" s="10"/>
      <c r="CH1298" s="10"/>
      <c r="CI1298" s="10"/>
      <c r="CJ1298" s="10"/>
      <c r="CK1298" s="10"/>
      <c r="CL1298" s="10"/>
      <c r="CM1298" s="10"/>
      <c r="CN1298" s="10"/>
      <c r="CO1298" s="10"/>
    </row>
    <row r="1299" spans="1:93">
      <c r="A1299" s="10"/>
      <c r="B1299" s="10"/>
      <c r="C1299" s="17" t="s">
        <v>360</v>
      </c>
      <c r="D1299" s="10"/>
      <c r="E1299" s="186">
        <f>Предпосылки!$E$577+AVERAGE(CBR_Rate_Forecast)*Periods_in_Year</f>
        <v>0.13986100902104903</v>
      </c>
      <c r="F1299" s="11"/>
      <c r="G1299" s="11" t="s">
        <v>28</v>
      </c>
      <c r="H1299" s="11"/>
      <c r="I1299" s="11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0"/>
      <c r="AH1299" s="10"/>
      <c r="AI1299" s="10"/>
      <c r="AJ1299" s="10"/>
      <c r="AK1299" s="10"/>
      <c r="AL1299" s="10"/>
      <c r="AM1299" s="10"/>
      <c r="AN1299" s="10"/>
      <c r="AO1299" s="10"/>
      <c r="AP1299" s="10"/>
      <c r="AQ1299" s="10"/>
      <c r="AR1299" s="10"/>
      <c r="AS1299" s="10"/>
      <c r="AT1299" s="10"/>
      <c r="AU1299" s="10"/>
      <c r="AV1299" s="10"/>
      <c r="AW1299" s="10"/>
      <c r="AX1299" s="10"/>
      <c r="AY1299" s="10"/>
      <c r="AZ1299" s="10"/>
      <c r="BA1299" s="10"/>
      <c r="BB1299" s="10"/>
      <c r="BC1299" s="10"/>
      <c r="BD1299" s="10"/>
      <c r="BE1299" s="10"/>
      <c r="BF1299" s="10"/>
      <c r="BG1299" s="10"/>
      <c r="BH1299" s="10"/>
      <c r="BI1299" s="10"/>
      <c r="BJ1299" s="10"/>
      <c r="BK1299" s="10"/>
      <c r="BL1299" s="10"/>
      <c r="BM1299" s="10"/>
      <c r="BN1299" s="10"/>
      <c r="BO1299" s="10"/>
      <c r="BP1299" s="10"/>
      <c r="BQ1299" s="10"/>
      <c r="BR1299" s="10"/>
      <c r="BS1299" s="10"/>
      <c r="BT1299" s="10"/>
      <c r="BU1299" s="10"/>
      <c r="BV1299" s="10"/>
      <c r="BW1299" s="10"/>
      <c r="BX1299" s="10"/>
      <c r="BY1299" s="10"/>
      <c r="BZ1299" s="10"/>
      <c r="CA1299" s="10"/>
      <c r="CB1299" s="10"/>
      <c r="CC1299" s="10"/>
      <c r="CD1299" s="10"/>
      <c r="CE1299" s="10"/>
      <c r="CF1299" s="10"/>
      <c r="CG1299" s="10"/>
      <c r="CH1299" s="10"/>
      <c r="CI1299" s="10"/>
      <c r="CJ1299" s="10"/>
      <c r="CK1299" s="10"/>
      <c r="CL1299" s="10"/>
      <c r="CM1299" s="10"/>
      <c r="CN1299" s="10"/>
      <c r="CO1299" s="10"/>
    </row>
    <row r="1300" spans="1:93" ht="15.75" thickBot="1">
      <c r="A1300" s="10"/>
      <c r="B1300" s="10"/>
      <c r="C1300" s="17" t="s">
        <v>162</v>
      </c>
      <c r="D1300" s="10"/>
      <c r="E1300" s="186">
        <f xml:space="preserve"> SUMPRODUCT(L1100:CO1100,L1106:CO1106)/SUM(L1106:CO1106)*Periods_in_Year</f>
        <v>5.7999999999999989E-2</v>
      </c>
      <c r="F1300" s="11"/>
      <c r="G1300" s="11" t="s">
        <v>28</v>
      </c>
      <c r="H1300" s="11"/>
      <c r="I1300" s="11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0"/>
      <c r="AH1300" s="10"/>
      <c r="AI1300" s="10"/>
      <c r="AJ1300" s="10"/>
      <c r="AK1300" s="10"/>
      <c r="AL1300" s="10"/>
      <c r="AM1300" s="10"/>
      <c r="AN1300" s="10"/>
      <c r="AO1300" s="10"/>
      <c r="AP1300" s="10"/>
      <c r="AQ1300" s="10"/>
      <c r="AR1300" s="10"/>
      <c r="AS1300" s="10"/>
      <c r="AT1300" s="10"/>
      <c r="AU1300" s="10"/>
      <c r="AV1300" s="10"/>
      <c r="AW1300" s="10"/>
      <c r="AX1300" s="10"/>
      <c r="AY1300" s="10"/>
      <c r="AZ1300" s="10"/>
      <c r="BA1300" s="10"/>
      <c r="BB1300" s="10"/>
      <c r="BC1300" s="10"/>
      <c r="BD1300" s="10"/>
      <c r="BE1300" s="10"/>
      <c r="BF1300" s="10"/>
      <c r="BG1300" s="10"/>
      <c r="BH1300" s="10"/>
      <c r="BI1300" s="10"/>
      <c r="BJ1300" s="10"/>
      <c r="BK1300" s="10"/>
      <c r="BL1300" s="10"/>
      <c r="BM1300" s="10"/>
      <c r="BN1300" s="10"/>
      <c r="BO1300" s="10"/>
      <c r="BP1300" s="10"/>
      <c r="BQ1300" s="10"/>
      <c r="BR1300" s="10"/>
      <c r="BS1300" s="10"/>
      <c r="BT1300" s="10"/>
      <c r="BU1300" s="10"/>
      <c r="BV1300" s="10"/>
      <c r="BW1300" s="10"/>
      <c r="BX1300" s="10"/>
      <c r="BY1300" s="10"/>
      <c r="BZ1300" s="10"/>
      <c r="CA1300" s="10"/>
      <c r="CB1300" s="10"/>
      <c r="CC1300" s="10"/>
      <c r="CD1300" s="10"/>
      <c r="CE1300" s="10"/>
      <c r="CF1300" s="10"/>
      <c r="CG1300" s="10"/>
      <c r="CH1300" s="10"/>
      <c r="CI1300" s="10"/>
      <c r="CJ1300" s="10"/>
      <c r="CK1300" s="10"/>
      <c r="CL1300" s="10"/>
      <c r="CM1300" s="10"/>
      <c r="CN1300" s="10"/>
      <c r="CO1300" s="10"/>
    </row>
    <row r="1301" spans="1:93" ht="15.75" thickTop="1">
      <c r="A1301" s="10"/>
      <c r="B1301" s="10"/>
      <c r="C1301" s="49" t="s">
        <v>260</v>
      </c>
      <c r="D1301" s="49"/>
      <c r="E1301" s="186">
        <f ca="1">E1276*E1298+(E1277*E1299+E1278*E1300)*(1-Profits_Tax_Rate)</f>
        <v>8.4676212409021526E-2</v>
      </c>
      <c r="F1301" s="11"/>
      <c r="G1301" s="11" t="s">
        <v>28</v>
      </c>
      <c r="H1301" s="11"/>
      <c r="I1301" s="11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0"/>
      <c r="AH1301" s="10"/>
      <c r="AI1301" s="10"/>
      <c r="AJ1301" s="10"/>
      <c r="AK1301" s="10"/>
      <c r="AL1301" s="10"/>
      <c r="AM1301" s="10"/>
      <c r="AN1301" s="10"/>
      <c r="AO1301" s="10"/>
      <c r="AP1301" s="10"/>
      <c r="AQ1301" s="10"/>
      <c r="AR1301" s="10"/>
      <c r="AS1301" s="10"/>
      <c r="AT1301" s="10"/>
      <c r="AU1301" s="10"/>
      <c r="AV1301" s="10"/>
      <c r="AW1301" s="10"/>
      <c r="AX1301" s="10"/>
      <c r="AY1301" s="10"/>
      <c r="AZ1301" s="10"/>
      <c r="BA1301" s="10"/>
      <c r="BB1301" s="10"/>
      <c r="BC1301" s="10"/>
      <c r="BD1301" s="10"/>
      <c r="BE1301" s="10"/>
      <c r="BF1301" s="10"/>
      <c r="BG1301" s="10"/>
      <c r="BH1301" s="10"/>
      <c r="BI1301" s="10"/>
      <c r="BJ1301" s="10"/>
      <c r="BK1301" s="10"/>
      <c r="BL1301" s="10"/>
      <c r="BM1301" s="10"/>
      <c r="BN1301" s="10"/>
      <c r="BO1301" s="10"/>
      <c r="BP1301" s="10"/>
      <c r="BQ1301" s="10"/>
      <c r="BR1301" s="10"/>
      <c r="BS1301" s="10"/>
      <c r="BT1301" s="10"/>
      <c r="BU1301" s="10"/>
      <c r="BV1301" s="10"/>
      <c r="BW1301" s="10"/>
      <c r="BX1301" s="10"/>
      <c r="BY1301" s="10"/>
      <c r="BZ1301" s="10"/>
      <c r="CA1301" s="10"/>
      <c r="CB1301" s="10"/>
      <c r="CC1301" s="10"/>
      <c r="CD1301" s="10"/>
      <c r="CE1301" s="10"/>
      <c r="CF1301" s="10"/>
      <c r="CG1301" s="10"/>
      <c r="CH1301" s="10"/>
      <c r="CI1301" s="10"/>
      <c r="CJ1301" s="10"/>
      <c r="CK1301" s="10"/>
      <c r="CL1301" s="10"/>
      <c r="CM1301" s="10"/>
      <c r="CN1301" s="10"/>
      <c r="CO1301" s="10"/>
    </row>
    <row r="1302" spans="1:93">
      <c r="A1302" s="10"/>
      <c r="B1302" s="10"/>
      <c r="C1302" s="10"/>
      <c r="D1302" s="10"/>
      <c r="E1302" s="62"/>
      <c r="F1302" s="10"/>
      <c r="G1302" s="11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0"/>
      <c r="AH1302" s="10"/>
      <c r="AI1302" s="10"/>
      <c r="AJ1302" s="10"/>
      <c r="AK1302" s="10"/>
      <c r="AL1302" s="10"/>
      <c r="AM1302" s="10"/>
      <c r="AN1302" s="10"/>
      <c r="AO1302" s="10"/>
      <c r="AP1302" s="10"/>
      <c r="AQ1302" s="10"/>
      <c r="AR1302" s="10"/>
      <c r="AS1302" s="10"/>
      <c r="AT1302" s="10"/>
      <c r="AU1302" s="10"/>
      <c r="AV1302" s="10"/>
      <c r="AW1302" s="10"/>
      <c r="AX1302" s="10"/>
      <c r="AY1302" s="10"/>
      <c r="AZ1302" s="10"/>
      <c r="BA1302" s="10"/>
      <c r="BB1302" s="10"/>
      <c r="BC1302" s="10"/>
      <c r="BD1302" s="10"/>
      <c r="BE1302" s="10"/>
      <c r="BF1302" s="10"/>
      <c r="BG1302" s="10"/>
      <c r="BH1302" s="10"/>
      <c r="BI1302" s="10"/>
      <c r="BJ1302" s="10"/>
      <c r="BK1302" s="10"/>
      <c r="BL1302" s="10"/>
      <c r="BM1302" s="10"/>
      <c r="BN1302" s="10"/>
      <c r="BO1302" s="10"/>
      <c r="BP1302" s="10"/>
      <c r="BQ1302" s="10"/>
      <c r="BR1302" s="10"/>
      <c r="BS1302" s="10"/>
      <c r="BT1302" s="10"/>
      <c r="BU1302" s="10"/>
      <c r="BV1302" s="10"/>
      <c r="BW1302" s="10"/>
      <c r="BX1302" s="10"/>
      <c r="BY1302" s="10"/>
      <c r="BZ1302" s="10"/>
      <c r="CA1302" s="10"/>
      <c r="CB1302" s="10"/>
      <c r="CC1302" s="10"/>
      <c r="CD1302" s="10"/>
      <c r="CE1302" s="10"/>
      <c r="CF1302" s="10"/>
      <c r="CG1302" s="10"/>
      <c r="CH1302" s="10"/>
      <c r="CI1302" s="10"/>
      <c r="CJ1302" s="10"/>
      <c r="CK1302" s="10"/>
      <c r="CL1302" s="10"/>
      <c r="CM1302" s="10"/>
      <c r="CN1302" s="10"/>
      <c r="CO1302" s="10"/>
    </row>
    <row r="1303" spans="1:93" ht="22.5" customHeight="1">
      <c r="A1303" s="10"/>
      <c r="B1303" s="5" t="s">
        <v>258</v>
      </c>
      <c r="C1303" s="5"/>
      <c r="D1303" s="15"/>
      <c r="E1303" s="5"/>
      <c r="F1303" s="5"/>
      <c r="G1303" s="6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5"/>
      <c r="BP1303" s="5"/>
      <c r="BQ1303" s="5"/>
      <c r="BR1303" s="5"/>
      <c r="BS1303" s="5"/>
      <c r="BT1303" s="5"/>
      <c r="BU1303" s="5"/>
      <c r="BV1303" s="5"/>
      <c r="BW1303" s="5"/>
      <c r="BX1303" s="5"/>
      <c r="BY1303" s="5"/>
      <c r="BZ1303" s="5"/>
      <c r="CA1303" s="5"/>
      <c r="CB1303" s="5"/>
      <c r="CC1303" s="5"/>
      <c r="CD1303" s="5"/>
      <c r="CE1303" s="5"/>
      <c r="CF1303" s="5"/>
      <c r="CG1303" s="5"/>
      <c r="CH1303" s="5"/>
      <c r="CI1303" s="5"/>
      <c r="CJ1303" s="5"/>
      <c r="CK1303" s="5"/>
      <c r="CL1303" s="5"/>
      <c r="CM1303" s="5"/>
      <c r="CN1303" s="5"/>
      <c r="CO1303" s="5"/>
    </row>
    <row r="1304" spans="1:93">
      <c r="A1304" s="10"/>
      <c r="B1304" s="10"/>
      <c r="C1304" s="10"/>
      <c r="D1304" s="10"/>
      <c r="E1304" s="62"/>
      <c r="F1304" s="10"/>
      <c r="G1304" s="11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0"/>
      <c r="AH1304" s="10"/>
      <c r="AI1304" s="10"/>
      <c r="AJ1304" s="10"/>
      <c r="AK1304" s="10"/>
      <c r="AL1304" s="10"/>
      <c r="AM1304" s="10"/>
      <c r="AN1304" s="10"/>
      <c r="AO1304" s="10"/>
      <c r="AP1304" s="10"/>
      <c r="AQ1304" s="10"/>
      <c r="AR1304" s="10"/>
      <c r="AS1304" s="10"/>
      <c r="AT1304" s="10"/>
      <c r="AU1304" s="10"/>
      <c r="AV1304" s="10"/>
      <c r="AW1304" s="10"/>
      <c r="AX1304" s="10"/>
      <c r="AY1304" s="10"/>
      <c r="AZ1304" s="10"/>
      <c r="BA1304" s="10"/>
      <c r="BB1304" s="10"/>
      <c r="BC1304" s="10"/>
      <c r="BD1304" s="10"/>
      <c r="BE1304" s="10"/>
      <c r="BF1304" s="10"/>
      <c r="BG1304" s="10"/>
      <c r="BH1304" s="10"/>
      <c r="BI1304" s="10"/>
      <c r="BJ1304" s="10"/>
      <c r="BK1304" s="10"/>
      <c r="BL1304" s="10"/>
      <c r="BM1304" s="10"/>
      <c r="BN1304" s="10"/>
      <c r="BO1304" s="10"/>
      <c r="BP1304" s="10"/>
      <c r="BQ1304" s="10"/>
      <c r="BR1304" s="10"/>
      <c r="BS1304" s="10"/>
      <c r="BT1304" s="10"/>
      <c r="BU1304" s="10"/>
      <c r="BV1304" s="10"/>
      <c r="BW1304" s="10"/>
      <c r="BX1304" s="10"/>
      <c r="BY1304" s="10"/>
      <c r="BZ1304" s="10"/>
      <c r="CA1304" s="10"/>
      <c r="CB1304" s="10"/>
      <c r="CC1304" s="10"/>
      <c r="CD1304" s="10"/>
      <c r="CE1304" s="10"/>
      <c r="CF1304" s="10"/>
      <c r="CG1304" s="10"/>
      <c r="CH1304" s="10"/>
      <c r="CI1304" s="10"/>
      <c r="CJ1304" s="10"/>
      <c r="CK1304" s="10"/>
      <c r="CL1304" s="10"/>
      <c r="CM1304" s="10"/>
      <c r="CN1304" s="10"/>
      <c r="CO1304" s="10"/>
    </row>
    <row r="1305" spans="1:93">
      <c r="A1305" s="10"/>
      <c r="B1305" s="10"/>
      <c r="C1305" s="153" t="s">
        <v>934</v>
      </c>
      <c r="D1305" s="10"/>
      <c r="E1305" s="374">
        <f>Инвестор!I19</f>
        <v>4.0300646272306576E-2</v>
      </c>
      <c r="F1305" s="10"/>
      <c r="G1305" s="11" t="s">
        <v>28</v>
      </c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0"/>
      <c r="AH1305" s="10"/>
      <c r="AI1305" s="10"/>
      <c r="AJ1305" s="10"/>
      <c r="AK1305" s="10"/>
      <c r="AL1305" s="10"/>
      <c r="AM1305" s="10"/>
      <c r="AN1305" s="10"/>
      <c r="AO1305" s="10"/>
      <c r="AP1305" s="10"/>
      <c r="AQ1305" s="10"/>
      <c r="AR1305" s="10"/>
      <c r="AS1305" s="10"/>
      <c r="AT1305" s="10"/>
      <c r="AU1305" s="10"/>
      <c r="AV1305" s="10"/>
      <c r="AW1305" s="10"/>
      <c r="AX1305" s="10"/>
      <c r="AY1305" s="10"/>
      <c r="AZ1305" s="10"/>
      <c r="BA1305" s="10"/>
      <c r="BB1305" s="10"/>
      <c r="BC1305" s="10"/>
      <c r="BD1305" s="10"/>
      <c r="BE1305" s="10"/>
      <c r="BF1305" s="10"/>
      <c r="BG1305" s="10"/>
      <c r="BH1305" s="10"/>
      <c r="BI1305" s="10"/>
      <c r="BJ1305" s="10"/>
      <c r="BK1305" s="10"/>
      <c r="BL1305" s="10"/>
      <c r="BM1305" s="10"/>
      <c r="BN1305" s="10"/>
      <c r="BO1305" s="10"/>
      <c r="BP1305" s="10"/>
      <c r="BQ1305" s="10"/>
      <c r="BR1305" s="10"/>
      <c r="BS1305" s="10"/>
      <c r="BT1305" s="10"/>
      <c r="BU1305" s="10"/>
      <c r="BV1305" s="10"/>
      <c r="BW1305" s="10"/>
      <c r="BX1305" s="10"/>
      <c r="BY1305" s="10"/>
      <c r="BZ1305" s="10"/>
      <c r="CA1305" s="10"/>
      <c r="CB1305" s="10"/>
      <c r="CC1305" s="10"/>
      <c r="CD1305" s="10"/>
      <c r="CE1305" s="10"/>
      <c r="CF1305" s="10"/>
      <c r="CG1305" s="10"/>
      <c r="CH1305" s="10"/>
      <c r="CI1305" s="10"/>
      <c r="CJ1305" s="10"/>
      <c r="CK1305" s="10"/>
      <c r="CL1305" s="10"/>
      <c r="CM1305" s="10"/>
      <c r="CN1305" s="10"/>
      <c r="CO1305" s="10"/>
    </row>
    <row r="1306" spans="1:93">
      <c r="A1306" s="10"/>
      <c r="B1306" s="10"/>
      <c r="C1306" s="10"/>
      <c r="D1306" s="10"/>
      <c r="E1306" s="62"/>
      <c r="F1306" s="10"/>
      <c r="G1306" s="11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410"/>
      <c r="AE1306" s="410"/>
      <c r="AF1306" s="410"/>
      <c r="AG1306" s="410"/>
      <c r="AH1306" s="410"/>
      <c r="AI1306" s="410"/>
      <c r="AJ1306" s="410"/>
      <c r="AK1306" s="410"/>
      <c r="AL1306" s="410"/>
      <c r="AM1306" s="410"/>
      <c r="AN1306" s="410"/>
      <c r="AO1306" s="410"/>
      <c r="AP1306" s="410"/>
      <c r="AQ1306" s="410"/>
      <c r="AR1306" s="410"/>
      <c r="AS1306" s="410"/>
      <c r="AT1306" s="410"/>
      <c r="AU1306" s="410"/>
      <c r="AV1306" s="10"/>
      <c r="AW1306" s="10"/>
      <c r="AX1306" s="10"/>
      <c r="AY1306" s="10"/>
      <c r="AZ1306" s="10"/>
      <c r="BA1306" s="10"/>
      <c r="BB1306" s="10"/>
      <c r="BC1306" s="10"/>
      <c r="BD1306" s="10"/>
      <c r="BE1306" s="10"/>
      <c r="BF1306" s="10"/>
      <c r="BG1306" s="10"/>
      <c r="BH1306" s="10"/>
      <c r="BI1306" s="10"/>
      <c r="BJ1306" s="10"/>
      <c r="BK1306" s="10"/>
      <c r="BL1306" s="10"/>
      <c r="BM1306" s="10"/>
      <c r="BN1306" s="10"/>
      <c r="BO1306" s="10"/>
      <c r="BP1306" s="10"/>
      <c r="BQ1306" s="10"/>
      <c r="BR1306" s="10"/>
      <c r="BS1306" s="10"/>
      <c r="BT1306" s="10"/>
      <c r="BU1306" s="10"/>
      <c r="BV1306" s="10"/>
      <c r="BW1306" s="10"/>
      <c r="BX1306" s="10"/>
      <c r="BY1306" s="10"/>
      <c r="BZ1306" s="10"/>
      <c r="CA1306" s="10"/>
      <c r="CB1306" s="10"/>
      <c r="CC1306" s="10"/>
      <c r="CD1306" s="10"/>
      <c r="CE1306" s="10"/>
      <c r="CF1306" s="10"/>
      <c r="CG1306" s="10"/>
      <c r="CH1306" s="10"/>
      <c r="CI1306" s="10"/>
      <c r="CJ1306" s="10"/>
      <c r="CK1306" s="10"/>
      <c r="CL1306" s="10"/>
      <c r="CM1306" s="10"/>
      <c r="CN1306" s="10"/>
      <c r="CO1306" s="10"/>
    </row>
    <row r="1307" spans="1:93">
      <c r="A1307" s="10"/>
      <c r="B1307" s="10"/>
      <c r="C1307" s="16" t="s">
        <v>1037</v>
      </c>
      <c r="D1307" s="10"/>
      <c r="E1307" s="62"/>
      <c r="F1307" s="10"/>
      <c r="G1307" s="11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0"/>
      <c r="AH1307" s="10"/>
      <c r="AI1307" s="10"/>
      <c r="AJ1307" s="10"/>
      <c r="AK1307" s="10"/>
      <c r="AL1307" s="10"/>
      <c r="AM1307" s="10"/>
      <c r="AN1307" s="10"/>
      <c r="AO1307" s="10"/>
      <c r="AP1307" s="10"/>
      <c r="AQ1307" s="10"/>
      <c r="AR1307" s="10"/>
      <c r="AS1307" s="10"/>
      <c r="AT1307" s="10"/>
      <c r="AU1307" s="10"/>
      <c r="AV1307" s="10"/>
      <c r="AW1307" s="10"/>
      <c r="AX1307" s="10"/>
      <c r="AY1307" s="10"/>
      <c r="AZ1307" s="10"/>
      <c r="BA1307" s="10"/>
      <c r="BB1307" s="10"/>
      <c r="BC1307" s="10"/>
      <c r="BD1307" s="10"/>
      <c r="BE1307" s="10"/>
      <c r="BF1307" s="10"/>
      <c r="BG1307" s="10"/>
      <c r="BH1307" s="10"/>
      <c r="BI1307" s="10"/>
      <c r="BJ1307" s="10"/>
      <c r="BK1307" s="10"/>
      <c r="BL1307" s="10"/>
      <c r="BM1307" s="10"/>
      <c r="BN1307" s="10"/>
      <c r="BO1307" s="10"/>
      <c r="BP1307" s="10"/>
      <c r="BQ1307" s="10"/>
      <c r="BR1307" s="10"/>
      <c r="BS1307" s="10"/>
      <c r="BT1307" s="10"/>
      <c r="BU1307" s="10"/>
      <c r="BV1307" s="10"/>
      <c r="BW1307" s="10"/>
      <c r="BX1307" s="10"/>
      <c r="BY1307" s="10"/>
      <c r="BZ1307" s="10"/>
      <c r="CA1307" s="10"/>
      <c r="CB1307" s="10"/>
      <c r="CC1307" s="10"/>
      <c r="CD1307" s="10"/>
      <c r="CE1307" s="10"/>
      <c r="CF1307" s="10"/>
      <c r="CG1307" s="10"/>
      <c r="CH1307" s="10"/>
      <c r="CI1307" s="10"/>
      <c r="CJ1307" s="10"/>
      <c r="CK1307" s="10"/>
      <c r="CL1307" s="10"/>
      <c r="CM1307" s="10"/>
      <c r="CN1307" s="10"/>
      <c r="CO1307" s="10"/>
    </row>
    <row r="1308" spans="1:93">
      <c r="A1308" s="10"/>
      <c r="B1308" s="10"/>
      <c r="C1308" s="17" t="s">
        <v>1158</v>
      </c>
      <c r="D1308" s="10"/>
      <c r="E1308" s="62"/>
      <c r="F1308" s="10"/>
      <c r="G1308" s="11" t="str">
        <f>Monetary_Unit</f>
        <v>тыс. руб.</v>
      </c>
      <c r="H1308" s="10"/>
      <c r="I1308" s="23">
        <f t="shared" ref="I1308:I1313" ca="1" si="1562">SUM(L1308:CO1308)</f>
        <v>11059495.519772714</v>
      </c>
      <c r="J1308" s="10"/>
      <c r="K1308" s="10"/>
      <c r="L1308" s="10">
        <f t="shared" ref="L1308:AQ1308" ca="1" si="1563" xml:space="preserve"> OCF+L959</f>
        <v>-3371.9255688267931</v>
      </c>
      <c r="M1308" s="10">
        <f t="shared" ca="1" si="1563"/>
        <v>-3419.7896726333838</v>
      </c>
      <c r="N1308" s="10">
        <f t="shared" ca="1" si="1563"/>
        <v>-3468.3332020045218</v>
      </c>
      <c r="O1308" s="10">
        <f t="shared" ca="1" si="1563"/>
        <v>-3517.5658013095981</v>
      </c>
      <c r="P1308" s="10">
        <f t="shared" ca="1" si="1563"/>
        <v>-29581.74843746073</v>
      </c>
      <c r="Q1308" s="10">
        <f t="shared" ca="1" si="1563"/>
        <v>-29873.229431244363</v>
      </c>
      <c r="R1308" s="10">
        <f t="shared" ca="1" si="1563"/>
        <v>-30167.582505761035</v>
      </c>
      <c r="S1308" s="10">
        <f t="shared" ca="1" si="1563"/>
        <v>-30464.835960789846</v>
      </c>
      <c r="T1308" s="10">
        <f t="shared" ca="1" si="1563"/>
        <v>-31140.847638293038</v>
      </c>
      <c r="U1308" s="10">
        <f t="shared" ca="1" si="1563"/>
        <v>-35149.976938140986</v>
      </c>
      <c r="V1308" s="10">
        <f t="shared" ca="1" si="1563"/>
        <v>-37980.533235228693</v>
      </c>
      <c r="W1308" s="10">
        <f t="shared" ca="1" si="1563"/>
        <v>-40793.683031797671</v>
      </c>
      <c r="X1308" s="10">
        <f t="shared" ca="1" si="1563"/>
        <v>-73955.129897533232</v>
      </c>
      <c r="Y1308" s="10">
        <f t="shared" ca="1" si="1563"/>
        <v>-79381.829752001096</v>
      </c>
      <c r="Z1308" s="10">
        <f t="shared" ca="1" si="1563"/>
        <v>-85108.003078038513</v>
      </c>
      <c r="AA1308" s="10">
        <f t="shared" ca="1" si="1563"/>
        <v>-90696.222988705616</v>
      </c>
      <c r="AB1308" s="10">
        <f t="shared" ca="1" si="1563"/>
        <v>-143910.24807324636</v>
      </c>
      <c r="AC1308" s="10">
        <f t="shared" ca="1" si="1563"/>
        <v>494490.91889906902</v>
      </c>
      <c r="AD1308" s="10">
        <f t="shared" ca="1" si="1563"/>
        <v>232907.14495567419</v>
      </c>
      <c r="AE1308" s="10">
        <f t="shared" ca="1" si="1563"/>
        <v>125871.9244712785</v>
      </c>
      <c r="AF1308" s="10">
        <f t="shared" ca="1" si="1563"/>
        <v>55399.233751181804</v>
      </c>
      <c r="AG1308" s="10">
        <f t="shared" ca="1" si="1563"/>
        <v>65484.432646601446</v>
      </c>
      <c r="AH1308" s="10">
        <f t="shared" ca="1" si="1563"/>
        <v>166460.46274704151</v>
      </c>
      <c r="AI1308" s="10">
        <f t="shared" ca="1" si="1563"/>
        <v>160906.32312522241</v>
      </c>
      <c r="AJ1308" s="10">
        <f t="shared" ca="1" si="1563"/>
        <v>74580.822310337593</v>
      </c>
      <c r="AK1308" s="10">
        <f t="shared" ca="1" si="1563"/>
        <v>86058.090179155028</v>
      </c>
      <c r="AL1308" s="10">
        <f t="shared" ca="1" si="1563"/>
        <v>206487.90763040734</v>
      </c>
      <c r="AM1308" s="10">
        <f t="shared" ca="1" si="1563"/>
        <v>200036.79864396682</v>
      </c>
      <c r="AN1308" s="10">
        <f t="shared" ca="1" si="1563"/>
        <v>98861.200722704409</v>
      </c>
      <c r="AO1308" s="10">
        <f t="shared" ca="1" si="1563"/>
        <v>113420.18812997578</v>
      </c>
      <c r="AP1308" s="10">
        <f t="shared" ca="1" si="1563"/>
        <v>247554.10205511542</v>
      </c>
      <c r="AQ1308" s="10">
        <f t="shared" ca="1" si="1563"/>
        <v>236810.80346179154</v>
      </c>
      <c r="AR1308" s="10">
        <f t="shared" ref="AR1308:BW1308" ca="1" si="1564" xml:space="preserve"> OCF+AR959</f>
        <v>119809.15417919432</v>
      </c>
      <c r="AS1308" s="10">
        <f t="shared" ca="1" si="1564"/>
        <v>130628.3164556589</v>
      </c>
      <c r="AT1308" s="10">
        <f t="shared" ca="1" si="1564"/>
        <v>266651.85953827796</v>
      </c>
      <c r="AU1308" s="10">
        <f t="shared" ca="1" si="1564"/>
        <v>255111.04623786383</v>
      </c>
      <c r="AV1308" s="10">
        <f t="shared" ca="1" si="1564"/>
        <v>138748.55957550349</v>
      </c>
      <c r="AW1308" s="10">
        <f t="shared" ca="1" si="1564"/>
        <v>180213.42024134423</v>
      </c>
      <c r="AX1308" s="10">
        <f t="shared" ca="1" si="1564"/>
        <v>273026.89898316731</v>
      </c>
      <c r="AY1308" s="10">
        <f t="shared" ca="1" si="1564"/>
        <v>160610.0942033137</v>
      </c>
      <c r="AZ1308" s="10">
        <f t="shared" ca="1" si="1564"/>
        <v>90746.681474151221</v>
      </c>
      <c r="BA1308" s="10">
        <f t="shared" ca="1" si="1564"/>
        <v>140327.30961439823</v>
      </c>
      <c r="BB1308" s="10">
        <f t="shared" ca="1" si="1564"/>
        <v>273441.40717452578</v>
      </c>
      <c r="BC1308" s="10">
        <f t="shared" ca="1" si="1564"/>
        <v>167027.39986984793</v>
      </c>
      <c r="BD1308" s="10">
        <f t="shared" ca="1" si="1564"/>
        <v>95677.102949824475</v>
      </c>
      <c r="BE1308" s="10">
        <f t="shared" ca="1" si="1564"/>
        <v>144587.40117527739</v>
      </c>
      <c r="BF1308" s="10">
        <f t="shared" ca="1" si="1564"/>
        <v>283339.07755339483</v>
      </c>
      <c r="BG1308" s="10">
        <f t="shared" ca="1" si="1564"/>
        <v>172668.51570028992</v>
      </c>
      <c r="BH1308" s="10">
        <f t="shared" ca="1" si="1564"/>
        <v>97093.665388560941</v>
      </c>
      <c r="BI1308" s="10">
        <f t="shared" ca="1" si="1564"/>
        <v>150722.0289987888</v>
      </c>
      <c r="BJ1308" s="10">
        <f t="shared" ca="1" si="1564"/>
        <v>294700.16257395281</v>
      </c>
      <c r="BK1308" s="10">
        <f t="shared" ca="1" si="1564"/>
        <v>179602.77227321346</v>
      </c>
      <c r="BL1308" s="10">
        <f t="shared" ca="1" si="1564"/>
        <v>101010.04112024038</v>
      </c>
      <c r="BM1308" s="10">
        <f t="shared" ca="1" si="1564"/>
        <v>156784.45144098948</v>
      </c>
      <c r="BN1308" s="10">
        <f t="shared" ca="1" si="1564"/>
        <v>306522.6543072628</v>
      </c>
      <c r="BO1308" s="10">
        <f t="shared" ca="1" si="1564"/>
        <v>177777.08616391147</v>
      </c>
      <c r="BP1308" s="10">
        <f t="shared" ca="1" si="1564"/>
        <v>97479.370084233102</v>
      </c>
      <c r="BQ1308" s="10">
        <f t="shared" ca="1" si="1564"/>
        <v>147496.84938078091</v>
      </c>
      <c r="BR1308" s="10">
        <f t="shared" ca="1" si="1564"/>
        <v>278245.88708535017</v>
      </c>
      <c r="BS1308" s="10">
        <f t="shared" ca="1" si="1564"/>
        <v>176430.29235447774</v>
      </c>
      <c r="BT1308" s="10">
        <f t="shared" ca="1" si="1564"/>
        <v>94568.477972540364</v>
      </c>
      <c r="BU1308" s="10">
        <f t="shared" ca="1" si="1564"/>
        <v>144907.78111575436</v>
      </c>
      <c r="BV1308" s="10">
        <f t="shared" ca="1" si="1564"/>
        <v>290142.81625441811</v>
      </c>
      <c r="BW1308" s="10">
        <f t="shared" ca="1" si="1564"/>
        <v>184249.96053286913</v>
      </c>
      <c r="BX1308" s="10">
        <f t="shared" ref="BX1308:CO1308" ca="1" si="1565" xml:space="preserve"> OCF+BX959</f>
        <v>97648.295518110244</v>
      </c>
      <c r="BY1308" s="10">
        <f t="shared" ca="1" si="1565"/>
        <v>151770.83585332028</v>
      </c>
      <c r="BZ1308" s="10">
        <f t="shared" ca="1" si="1565"/>
        <v>302440.46734145656</v>
      </c>
      <c r="CA1308" s="10">
        <f t="shared" ca="1" si="1565"/>
        <v>192307.85374290359</v>
      </c>
      <c r="CB1308" s="10">
        <f t="shared" ca="1" si="1565"/>
        <v>102248.94821865222</v>
      </c>
      <c r="CC1308" s="10">
        <f t="shared" ca="1" si="1565"/>
        <v>158541.06086534384</v>
      </c>
      <c r="CD1308" s="10">
        <f t="shared" ca="1" si="1565"/>
        <v>315242.09100794845</v>
      </c>
      <c r="CE1308" s="10">
        <f t="shared" ca="1" si="1565"/>
        <v>200699.82662151247</v>
      </c>
      <c r="CF1308" s="10">
        <f t="shared" ca="1" si="1565"/>
        <v>107016.58280527144</v>
      </c>
      <c r="CG1308" s="10">
        <f t="shared" ca="1" si="1565"/>
        <v>165564.89886920995</v>
      </c>
      <c r="CH1308" s="10">
        <f t="shared" ca="1" si="1565"/>
        <v>328538.39464533399</v>
      </c>
      <c r="CI1308" s="10">
        <f t="shared" ca="1" si="1565"/>
        <v>209410.09343949924</v>
      </c>
      <c r="CJ1308" s="10">
        <f t="shared" ca="1" si="1565"/>
        <v>113577.58786442541</v>
      </c>
      <c r="CK1308" s="10">
        <f t="shared" ca="1" si="1565"/>
        <v>172449.24687161582</v>
      </c>
      <c r="CL1308" s="10">
        <f t="shared" ca="1" si="1565"/>
        <v>342372.8721207974</v>
      </c>
      <c r="CM1308" s="10">
        <f t="shared" ca="1" si="1565"/>
        <v>218474.8026703553</v>
      </c>
      <c r="CN1308" s="10">
        <f t="shared" ca="1" si="1565"/>
        <v>117079.85311511871</v>
      </c>
      <c r="CO1308" s="10">
        <f t="shared" ca="1" si="1565"/>
        <v>180414.39771195172</v>
      </c>
    </row>
    <row r="1309" spans="1:93">
      <c r="A1309" s="10"/>
      <c r="B1309" s="10"/>
      <c r="C1309" s="17" t="s">
        <v>1159</v>
      </c>
      <c r="D1309" s="10"/>
      <c r="E1309" s="62"/>
      <c r="F1309" s="10"/>
      <c r="G1309" s="11" t="str">
        <f>Monetary_Unit</f>
        <v>тыс. руб.</v>
      </c>
      <c r="H1309" s="10"/>
      <c r="I1309" s="23">
        <f t="shared" ca="1" si="1562"/>
        <v>855548.90277981886</v>
      </c>
      <c r="J1309" s="10"/>
      <c r="K1309" s="10"/>
      <c r="L1309" s="450">
        <f t="shared" ref="L1309:AQ1309" ca="1" si="1566" xml:space="preserve"> - (Debt_Interest_Paid + Subord_Interest_Paid) * (1 - IFERROR(-Profits_Tax/PBT,0))</f>
        <v>0</v>
      </c>
      <c r="M1309" s="450">
        <f t="shared" ca="1" si="1566"/>
        <v>0</v>
      </c>
      <c r="N1309" s="450">
        <f t="shared" ca="1" si="1566"/>
        <v>0</v>
      </c>
      <c r="O1309" s="450">
        <f t="shared" ca="1" si="1566"/>
        <v>0</v>
      </c>
      <c r="P1309" s="450">
        <f t="shared" ca="1" si="1566"/>
        <v>0</v>
      </c>
      <c r="Q1309" s="450">
        <f t="shared" ca="1" si="1566"/>
        <v>0</v>
      </c>
      <c r="R1309" s="450">
        <f t="shared" ca="1" si="1566"/>
        <v>0</v>
      </c>
      <c r="S1309" s="450">
        <f t="shared" ca="1" si="1566"/>
        <v>0</v>
      </c>
      <c r="T1309" s="450">
        <f t="shared" ca="1" si="1566"/>
        <v>375.82926333388428</v>
      </c>
      <c r="U1309" s="450">
        <f t="shared" ca="1" si="1566"/>
        <v>2049.679343298747</v>
      </c>
      <c r="V1309" s="450">
        <f t="shared" ca="1" si="1566"/>
        <v>4692.73305525248</v>
      </c>
      <c r="W1309" s="450">
        <f t="shared" ca="1" si="1566"/>
        <v>7339.0839635085113</v>
      </c>
      <c r="X1309" s="450">
        <f t="shared" ca="1" si="1566"/>
        <v>11087.213428915877</v>
      </c>
      <c r="Y1309" s="450">
        <f t="shared" ca="1" si="1566"/>
        <v>16184.443320720929</v>
      </c>
      <c r="Z1309" s="450">
        <f t="shared" ca="1" si="1566"/>
        <v>21566.314755658917</v>
      </c>
      <c r="AA1309" s="450">
        <f t="shared" ca="1" si="1566"/>
        <v>26821.612493877776</v>
      </c>
      <c r="AB1309" s="450">
        <f t="shared" ca="1" si="1566"/>
        <v>33416.864118378056</v>
      </c>
      <c r="AC1309" s="450">
        <f t="shared" ca="1" si="1566"/>
        <v>63851.932321935747</v>
      </c>
      <c r="AD1309" s="450">
        <f t="shared" ca="1" si="1566"/>
        <v>55674.130215825557</v>
      </c>
      <c r="AE1309" s="450">
        <f t="shared" ca="1" si="1566"/>
        <v>52712.248946583226</v>
      </c>
      <c r="AF1309" s="450">
        <f t="shared" ca="1" si="1566"/>
        <v>44219.173884352713</v>
      </c>
      <c r="AG1309" s="450">
        <f t="shared" ca="1" si="1566"/>
        <v>45122.323361401039</v>
      </c>
      <c r="AH1309" s="450">
        <f t="shared" ca="1" si="1566"/>
        <v>48721.983037747777</v>
      </c>
      <c r="AI1309" s="450">
        <f t="shared" ca="1" si="1566"/>
        <v>45601.453102434039</v>
      </c>
      <c r="AJ1309" s="450">
        <f t="shared" ca="1" si="1566"/>
        <v>38154.28355407605</v>
      </c>
      <c r="AK1309" s="450">
        <f t="shared" ca="1" si="1566"/>
        <v>41974.068298859638</v>
      </c>
      <c r="AL1309" s="450">
        <f t="shared" ca="1" si="1566"/>
        <v>41544.056267806336</v>
      </c>
      <c r="AM1309" s="450">
        <f t="shared" ca="1" si="1566"/>
        <v>38167.904487810629</v>
      </c>
      <c r="AN1309" s="450">
        <f t="shared" ca="1" si="1566"/>
        <v>34516.893439609878</v>
      </c>
      <c r="AO1309" s="450">
        <f t="shared" ca="1" si="1566"/>
        <v>33276.971102902542</v>
      </c>
      <c r="AP1309" s="450">
        <f t="shared" ca="1" si="1566"/>
        <v>32015.753024624082</v>
      </c>
      <c r="AQ1309" s="450">
        <f t="shared" ca="1" si="1566"/>
        <v>27924.306040328574</v>
      </c>
      <c r="AR1309" s="450">
        <f t="shared" ref="AR1309:BW1309" ca="1" si="1567" xml:space="preserve"> - (Debt_Interest_Paid + Subord_Interest_Paid) * (1 - IFERROR(-Profits_Tax/PBT,0))</f>
        <v>23471.342311628381</v>
      </c>
      <c r="AS1309" s="450">
        <f t="shared" ca="1" si="1567"/>
        <v>22109.466491391519</v>
      </c>
      <c r="AT1309" s="450">
        <f t="shared" ca="1" si="1567"/>
        <v>20445.840737486429</v>
      </c>
      <c r="AU1309" s="450">
        <f t="shared" ca="1" si="1567"/>
        <v>14310.319585640495</v>
      </c>
      <c r="AV1309" s="450">
        <f t="shared" ca="1" si="1567"/>
        <v>6196.0613460068625</v>
      </c>
      <c r="AW1309" s="450">
        <f t="shared" ca="1" si="1567"/>
        <v>2004.6174784221469</v>
      </c>
      <c r="AX1309" s="450">
        <f t="shared" ca="1" si="1567"/>
        <v>0</v>
      </c>
      <c r="AY1309" s="450">
        <f t="shared" ca="1" si="1567"/>
        <v>0</v>
      </c>
      <c r="AZ1309" s="450">
        <f t="shared" ca="1" si="1567"/>
        <v>0</v>
      </c>
      <c r="BA1309" s="450">
        <f t="shared" ca="1" si="1567"/>
        <v>0</v>
      </c>
      <c r="BB1309" s="450">
        <f t="shared" ca="1" si="1567"/>
        <v>0</v>
      </c>
      <c r="BC1309" s="450">
        <f t="shared" ca="1" si="1567"/>
        <v>0</v>
      </c>
      <c r="BD1309" s="450">
        <f t="shared" ca="1" si="1567"/>
        <v>0</v>
      </c>
      <c r="BE1309" s="450">
        <f t="shared" ca="1" si="1567"/>
        <v>0</v>
      </c>
      <c r="BF1309" s="450">
        <f t="shared" ca="1" si="1567"/>
        <v>0</v>
      </c>
      <c r="BG1309" s="450">
        <f t="shared" ca="1" si="1567"/>
        <v>0</v>
      </c>
      <c r="BH1309" s="450">
        <f t="shared" ca="1" si="1567"/>
        <v>0</v>
      </c>
      <c r="BI1309" s="450">
        <f t="shared" ca="1" si="1567"/>
        <v>0</v>
      </c>
      <c r="BJ1309" s="450">
        <f t="shared" ca="1" si="1567"/>
        <v>0</v>
      </c>
      <c r="BK1309" s="450">
        <f t="shared" ca="1" si="1567"/>
        <v>0</v>
      </c>
      <c r="BL1309" s="450">
        <f t="shared" ca="1" si="1567"/>
        <v>0</v>
      </c>
      <c r="BM1309" s="450">
        <f t="shared" ca="1" si="1567"/>
        <v>0</v>
      </c>
      <c r="BN1309" s="450">
        <f t="shared" ca="1" si="1567"/>
        <v>0</v>
      </c>
      <c r="BO1309" s="450">
        <f t="shared" ca="1" si="1567"/>
        <v>0</v>
      </c>
      <c r="BP1309" s="450">
        <f t="shared" ca="1" si="1567"/>
        <v>0</v>
      </c>
      <c r="BQ1309" s="450">
        <f t="shared" ca="1" si="1567"/>
        <v>0</v>
      </c>
      <c r="BR1309" s="450">
        <f t="shared" ca="1" si="1567"/>
        <v>0</v>
      </c>
      <c r="BS1309" s="450">
        <f t="shared" ca="1" si="1567"/>
        <v>0</v>
      </c>
      <c r="BT1309" s="450">
        <f t="shared" ca="1" si="1567"/>
        <v>0</v>
      </c>
      <c r="BU1309" s="450">
        <f t="shared" ca="1" si="1567"/>
        <v>0</v>
      </c>
      <c r="BV1309" s="450">
        <f t="shared" ca="1" si="1567"/>
        <v>0</v>
      </c>
      <c r="BW1309" s="450">
        <f t="shared" ca="1" si="1567"/>
        <v>0</v>
      </c>
      <c r="BX1309" s="450">
        <f t="shared" ref="BX1309:CO1309" ca="1" si="1568" xml:space="preserve"> - (Debt_Interest_Paid + Subord_Interest_Paid) * (1 - IFERROR(-Profits_Tax/PBT,0))</f>
        <v>0</v>
      </c>
      <c r="BY1309" s="450">
        <f t="shared" ca="1" si="1568"/>
        <v>0</v>
      </c>
      <c r="BZ1309" s="450">
        <f t="shared" ca="1" si="1568"/>
        <v>0</v>
      </c>
      <c r="CA1309" s="450">
        <f t="shared" ca="1" si="1568"/>
        <v>0</v>
      </c>
      <c r="CB1309" s="450">
        <f t="shared" ca="1" si="1568"/>
        <v>0</v>
      </c>
      <c r="CC1309" s="450">
        <f t="shared" ca="1" si="1568"/>
        <v>0</v>
      </c>
      <c r="CD1309" s="450">
        <f t="shared" ca="1" si="1568"/>
        <v>0</v>
      </c>
      <c r="CE1309" s="450">
        <f t="shared" ca="1" si="1568"/>
        <v>0</v>
      </c>
      <c r="CF1309" s="450">
        <f t="shared" ca="1" si="1568"/>
        <v>0</v>
      </c>
      <c r="CG1309" s="450">
        <f t="shared" ca="1" si="1568"/>
        <v>0</v>
      </c>
      <c r="CH1309" s="450">
        <f t="shared" ca="1" si="1568"/>
        <v>0</v>
      </c>
      <c r="CI1309" s="450">
        <f t="shared" ca="1" si="1568"/>
        <v>0</v>
      </c>
      <c r="CJ1309" s="450">
        <f t="shared" ca="1" si="1568"/>
        <v>0</v>
      </c>
      <c r="CK1309" s="450">
        <f t="shared" ca="1" si="1568"/>
        <v>0</v>
      </c>
      <c r="CL1309" s="450">
        <f t="shared" ca="1" si="1568"/>
        <v>0</v>
      </c>
      <c r="CM1309" s="450">
        <f t="shared" ca="1" si="1568"/>
        <v>0</v>
      </c>
      <c r="CN1309" s="450">
        <f t="shared" ca="1" si="1568"/>
        <v>0</v>
      </c>
      <c r="CO1309" s="450">
        <f t="shared" ca="1" si="1568"/>
        <v>0</v>
      </c>
    </row>
    <row r="1310" spans="1:93" ht="15.75" thickBot="1">
      <c r="A1310" s="10"/>
      <c r="B1310" s="10"/>
      <c r="C1310" s="17" t="s">
        <v>1160</v>
      </c>
      <c r="D1310" s="10"/>
      <c r="E1310" s="62"/>
      <c r="F1310" s="10"/>
      <c r="G1310" s="11" t="str">
        <f>Monetary_Unit</f>
        <v>тыс. руб.</v>
      </c>
      <c r="H1310" s="10"/>
      <c r="I1310" s="23">
        <f t="shared" ca="1" si="1562"/>
        <v>-3087285.4622873445</v>
      </c>
      <c r="J1310" s="10"/>
      <c r="K1310" s="10"/>
      <c r="L1310" s="10">
        <f t="shared" ref="L1310:AQ1310" ca="1" si="1569">ICF-SUM(L273:L275)</f>
        <v>-16859.627844133964</v>
      </c>
      <c r="M1310" s="10">
        <f t="shared" ca="1" si="1569"/>
        <v>-17098.948363166921</v>
      </c>
      <c r="N1310" s="10">
        <f t="shared" ca="1" si="1569"/>
        <v>-17341.666010022611</v>
      </c>
      <c r="O1310" s="10">
        <f t="shared" ca="1" si="1569"/>
        <v>-17587.829006547992</v>
      </c>
      <c r="P1310" s="10">
        <f t="shared" ca="1" si="1569"/>
        <v>-147908.74218730364</v>
      </c>
      <c r="Q1310" s="10">
        <f t="shared" ca="1" si="1569"/>
        <v>-149366.14715622176</v>
      </c>
      <c r="R1310" s="10">
        <f t="shared" ca="1" si="1569"/>
        <v>-150837.91252880514</v>
      </c>
      <c r="S1310" s="10">
        <f t="shared" ca="1" si="1569"/>
        <v>-152324.1798039492</v>
      </c>
      <c r="T1310" s="10">
        <f t="shared" ca="1" si="1569"/>
        <v>-153825.09187479576</v>
      </c>
      <c r="U1310" s="10">
        <f t="shared" ca="1" si="1569"/>
        <v>-155340.79304247064</v>
      </c>
      <c r="V1310" s="10">
        <f t="shared" ca="1" si="1569"/>
        <v>-156871.42902995727</v>
      </c>
      <c r="W1310" s="10">
        <f t="shared" ca="1" si="1569"/>
        <v>-158417.14699610716</v>
      </c>
      <c r="X1310" s="10">
        <f t="shared" ca="1" si="1569"/>
        <v>-306312.90818037902</v>
      </c>
      <c r="Y1310" s="10">
        <f t="shared" ca="1" si="1569"/>
        <v>-309331.13379587734</v>
      </c>
      <c r="Z1310" s="10">
        <f t="shared" ca="1" si="1569"/>
        <v>-312379.09921542153</v>
      </c>
      <c r="AA1310" s="10">
        <f t="shared" ca="1" si="1569"/>
        <v>-315457.09747739154</v>
      </c>
      <c r="AB1310" s="10">
        <f t="shared" ca="1" si="1569"/>
        <v>-550025.70977479313</v>
      </c>
      <c r="AC1310" s="10">
        <f t="shared" ca="1" si="1569"/>
        <v>0</v>
      </c>
      <c r="AD1310" s="10">
        <f t="shared" ca="1" si="1569"/>
        <v>0</v>
      </c>
      <c r="AE1310" s="10">
        <f t="shared" ca="1" si="1569"/>
        <v>0</v>
      </c>
      <c r="AF1310" s="10">
        <f t="shared" ca="1" si="1569"/>
        <v>0</v>
      </c>
      <c r="AG1310" s="10">
        <f t="shared" ca="1" si="1569"/>
        <v>0</v>
      </c>
      <c r="AH1310" s="10">
        <f t="shared" ca="1" si="1569"/>
        <v>0</v>
      </c>
      <c r="AI1310" s="10">
        <f t="shared" ca="1" si="1569"/>
        <v>0</v>
      </c>
      <c r="AJ1310" s="10">
        <f t="shared" ca="1" si="1569"/>
        <v>0</v>
      </c>
      <c r="AK1310" s="10">
        <f t="shared" ca="1" si="1569"/>
        <v>0</v>
      </c>
      <c r="AL1310" s="10">
        <f t="shared" ca="1" si="1569"/>
        <v>0</v>
      </c>
      <c r="AM1310" s="10">
        <f t="shared" ca="1" si="1569"/>
        <v>0</v>
      </c>
      <c r="AN1310" s="10">
        <f t="shared" ca="1" si="1569"/>
        <v>0</v>
      </c>
      <c r="AO1310" s="10">
        <f t="shared" ca="1" si="1569"/>
        <v>0</v>
      </c>
      <c r="AP1310" s="10">
        <f t="shared" ca="1" si="1569"/>
        <v>0</v>
      </c>
      <c r="AQ1310" s="10">
        <f t="shared" ca="1" si="1569"/>
        <v>0</v>
      </c>
      <c r="AR1310" s="10">
        <f t="shared" ref="AR1310:BW1310" ca="1" si="1570">ICF-SUM(AR273:AR275)</f>
        <v>0</v>
      </c>
      <c r="AS1310" s="10">
        <f t="shared" ca="1" si="1570"/>
        <v>0</v>
      </c>
      <c r="AT1310" s="10">
        <f t="shared" ca="1" si="1570"/>
        <v>0</v>
      </c>
      <c r="AU1310" s="10">
        <f t="shared" ca="1" si="1570"/>
        <v>0</v>
      </c>
      <c r="AV1310" s="10">
        <f t="shared" ca="1" si="1570"/>
        <v>0</v>
      </c>
      <c r="AW1310" s="10">
        <f t="shared" ca="1" si="1570"/>
        <v>0</v>
      </c>
      <c r="AX1310" s="10">
        <f t="shared" ca="1" si="1570"/>
        <v>0</v>
      </c>
      <c r="AY1310" s="10">
        <f t="shared" ca="1" si="1570"/>
        <v>0</v>
      </c>
      <c r="AZ1310" s="10">
        <f t="shared" ca="1" si="1570"/>
        <v>0</v>
      </c>
      <c r="BA1310" s="10">
        <f t="shared" ca="1" si="1570"/>
        <v>0</v>
      </c>
      <c r="BB1310" s="10">
        <f t="shared" ca="1" si="1570"/>
        <v>0</v>
      </c>
      <c r="BC1310" s="10">
        <f t="shared" ca="1" si="1570"/>
        <v>0</v>
      </c>
      <c r="BD1310" s="10">
        <f t="shared" ca="1" si="1570"/>
        <v>0</v>
      </c>
      <c r="BE1310" s="10">
        <f t="shared" ca="1" si="1570"/>
        <v>0</v>
      </c>
      <c r="BF1310" s="10">
        <f t="shared" ca="1" si="1570"/>
        <v>0</v>
      </c>
      <c r="BG1310" s="10">
        <f t="shared" ca="1" si="1570"/>
        <v>0</v>
      </c>
      <c r="BH1310" s="10">
        <f t="shared" ca="1" si="1570"/>
        <v>0</v>
      </c>
      <c r="BI1310" s="10">
        <f t="shared" ca="1" si="1570"/>
        <v>0</v>
      </c>
      <c r="BJ1310" s="10">
        <f t="shared" ca="1" si="1570"/>
        <v>0</v>
      </c>
      <c r="BK1310" s="10">
        <f t="shared" ca="1" si="1570"/>
        <v>0</v>
      </c>
      <c r="BL1310" s="10">
        <f t="shared" ca="1" si="1570"/>
        <v>0</v>
      </c>
      <c r="BM1310" s="10">
        <f t="shared" ca="1" si="1570"/>
        <v>0</v>
      </c>
      <c r="BN1310" s="10">
        <f t="shared" ca="1" si="1570"/>
        <v>0</v>
      </c>
      <c r="BO1310" s="10">
        <f t="shared" ca="1" si="1570"/>
        <v>0</v>
      </c>
      <c r="BP1310" s="10">
        <f t="shared" ca="1" si="1570"/>
        <v>0</v>
      </c>
      <c r="BQ1310" s="10">
        <f t="shared" ca="1" si="1570"/>
        <v>0</v>
      </c>
      <c r="BR1310" s="10">
        <f t="shared" ca="1" si="1570"/>
        <v>0</v>
      </c>
      <c r="BS1310" s="10">
        <f t="shared" ca="1" si="1570"/>
        <v>0</v>
      </c>
      <c r="BT1310" s="10">
        <f t="shared" ca="1" si="1570"/>
        <v>0</v>
      </c>
      <c r="BU1310" s="10">
        <f t="shared" ca="1" si="1570"/>
        <v>0</v>
      </c>
      <c r="BV1310" s="10">
        <f t="shared" ca="1" si="1570"/>
        <v>0</v>
      </c>
      <c r="BW1310" s="10">
        <f t="shared" ca="1" si="1570"/>
        <v>0</v>
      </c>
      <c r="BX1310" s="10">
        <f t="shared" ref="BX1310:CO1310" ca="1" si="1571">ICF-SUM(BX273:BX275)</f>
        <v>0</v>
      </c>
      <c r="BY1310" s="10">
        <f t="shared" ca="1" si="1571"/>
        <v>0</v>
      </c>
      <c r="BZ1310" s="10">
        <f t="shared" ca="1" si="1571"/>
        <v>0</v>
      </c>
      <c r="CA1310" s="10">
        <f t="shared" ca="1" si="1571"/>
        <v>0</v>
      </c>
      <c r="CB1310" s="10">
        <f t="shared" ca="1" si="1571"/>
        <v>0</v>
      </c>
      <c r="CC1310" s="10">
        <f t="shared" ca="1" si="1571"/>
        <v>0</v>
      </c>
      <c r="CD1310" s="10">
        <f t="shared" ca="1" si="1571"/>
        <v>0</v>
      </c>
      <c r="CE1310" s="10">
        <f t="shared" ca="1" si="1571"/>
        <v>0</v>
      </c>
      <c r="CF1310" s="10">
        <f t="shared" ca="1" si="1571"/>
        <v>0</v>
      </c>
      <c r="CG1310" s="10">
        <f t="shared" ca="1" si="1571"/>
        <v>0</v>
      </c>
      <c r="CH1310" s="10">
        <f t="shared" ca="1" si="1571"/>
        <v>0</v>
      </c>
      <c r="CI1310" s="10">
        <f t="shared" ca="1" si="1571"/>
        <v>0</v>
      </c>
      <c r="CJ1310" s="10">
        <f t="shared" ca="1" si="1571"/>
        <v>0</v>
      </c>
      <c r="CK1310" s="10">
        <f t="shared" ca="1" si="1571"/>
        <v>0</v>
      </c>
      <c r="CL1310" s="10">
        <f t="shared" ca="1" si="1571"/>
        <v>0</v>
      </c>
      <c r="CM1310" s="10">
        <f t="shared" ca="1" si="1571"/>
        <v>0</v>
      </c>
      <c r="CN1310" s="10">
        <f t="shared" ca="1" si="1571"/>
        <v>0</v>
      </c>
      <c r="CO1310" s="10">
        <f t="shared" ca="1" si="1571"/>
        <v>0</v>
      </c>
    </row>
    <row r="1311" spans="1:93" ht="15.75" thickTop="1">
      <c r="A1311" s="35"/>
      <c r="B1311" s="35"/>
      <c r="C1311" s="49" t="s">
        <v>1037</v>
      </c>
      <c r="D1311" s="49"/>
      <c r="E1311" s="105"/>
      <c r="F1311" s="49"/>
      <c r="G1311" s="137" t="str">
        <f>Monetary_Unit</f>
        <v>тыс. руб.</v>
      </c>
      <c r="H1311" s="49"/>
      <c r="I1311" s="369">
        <f t="shared" ca="1" si="1562"/>
        <v>8827758.9602651875</v>
      </c>
      <c r="J1311" s="49"/>
      <c r="K1311" s="49"/>
      <c r="L1311" s="174">
        <f ca="1">SUM(L1308:L1310)</f>
        <v>-20231.553412960755</v>
      </c>
      <c r="M1311" s="174">
        <f t="shared" ref="M1311:BX1311" ca="1" si="1572">SUM(M1308:M1310)</f>
        <v>-20518.738035800307</v>
      </c>
      <c r="N1311" s="174">
        <f t="shared" ca="1" si="1572"/>
        <v>-20809.999212027134</v>
      </c>
      <c r="O1311" s="174">
        <f t="shared" ca="1" si="1572"/>
        <v>-21105.394807857592</v>
      </c>
      <c r="P1311" s="174">
        <f t="shared" ca="1" si="1572"/>
        <v>-177490.49062476435</v>
      </c>
      <c r="Q1311" s="174">
        <f t="shared" ca="1" si="1572"/>
        <v>-179239.37658746613</v>
      </c>
      <c r="R1311" s="174">
        <f t="shared" ca="1" si="1572"/>
        <v>-181005.49503456618</v>
      </c>
      <c r="S1311" s="174">
        <f t="shared" ca="1" si="1572"/>
        <v>-182789.01576473904</v>
      </c>
      <c r="T1311" s="174">
        <f t="shared" ca="1" si="1572"/>
        <v>-184590.11024975491</v>
      </c>
      <c r="U1311" s="174">
        <f t="shared" ca="1" si="1572"/>
        <v>-188441.09063731288</v>
      </c>
      <c r="V1311" s="174">
        <f t="shared" ca="1" si="1572"/>
        <v>-190159.22920993349</v>
      </c>
      <c r="W1311" s="174">
        <f t="shared" ca="1" si="1572"/>
        <v>-191871.74606439631</v>
      </c>
      <c r="X1311" s="174">
        <f t="shared" ca="1" si="1572"/>
        <v>-369180.82464899635</v>
      </c>
      <c r="Y1311" s="174">
        <f t="shared" ca="1" si="1572"/>
        <v>-372528.52022715751</v>
      </c>
      <c r="Z1311" s="174">
        <f t="shared" ca="1" si="1572"/>
        <v>-375920.78753780114</v>
      </c>
      <c r="AA1311" s="174">
        <f t="shared" ca="1" si="1572"/>
        <v>-379331.70797221939</v>
      </c>
      <c r="AB1311" s="174">
        <f t="shared" ca="1" si="1572"/>
        <v>-660519.09372966143</v>
      </c>
      <c r="AC1311" s="174">
        <f t="shared" ca="1" si="1572"/>
        <v>558342.85122100473</v>
      </c>
      <c r="AD1311" s="174">
        <f t="shared" ca="1" si="1572"/>
        <v>288581.27517149976</v>
      </c>
      <c r="AE1311" s="174">
        <f t="shared" ca="1" si="1572"/>
        <v>178584.17341786172</v>
      </c>
      <c r="AF1311" s="174">
        <f t="shared" ca="1" si="1572"/>
        <v>99618.407635534517</v>
      </c>
      <c r="AG1311" s="174">
        <f t="shared" ca="1" si="1572"/>
        <v>110606.75600800249</v>
      </c>
      <c r="AH1311" s="174">
        <f t="shared" ca="1" si="1572"/>
        <v>215182.44578478928</v>
      </c>
      <c r="AI1311" s="174">
        <f t="shared" ca="1" si="1572"/>
        <v>206507.77622765646</v>
      </c>
      <c r="AJ1311" s="174">
        <f t="shared" ca="1" si="1572"/>
        <v>112735.10586441364</v>
      </c>
      <c r="AK1311" s="174">
        <f t="shared" ca="1" si="1572"/>
        <v>128032.15847801467</v>
      </c>
      <c r="AL1311" s="174">
        <f t="shared" ca="1" si="1572"/>
        <v>248031.96389821367</v>
      </c>
      <c r="AM1311" s="174">
        <f t="shared" ca="1" si="1572"/>
        <v>238204.70313177744</v>
      </c>
      <c r="AN1311" s="174">
        <f t="shared" ca="1" si="1572"/>
        <v>133378.09416231429</v>
      </c>
      <c r="AO1311" s="174">
        <f t="shared" ca="1" si="1572"/>
        <v>146697.15923287833</v>
      </c>
      <c r="AP1311" s="174">
        <f t="shared" ca="1" si="1572"/>
        <v>279569.85507973953</v>
      </c>
      <c r="AQ1311" s="174">
        <f t="shared" ca="1" si="1572"/>
        <v>264735.10950212012</v>
      </c>
      <c r="AR1311" s="174">
        <f t="shared" ca="1" si="1572"/>
        <v>143280.4964908227</v>
      </c>
      <c r="AS1311" s="174">
        <f t="shared" ca="1" si="1572"/>
        <v>152737.78294705041</v>
      </c>
      <c r="AT1311" s="174">
        <f t="shared" ca="1" si="1572"/>
        <v>287097.70027576439</v>
      </c>
      <c r="AU1311" s="174">
        <f t="shared" ca="1" si="1572"/>
        <v>269421.36582350434</v>
      </c>
      <c r="AV1311" s="174">
        <f t="shared" ca="1" si="1572"/>
        <v>144944.62092151036</v>
      </c>
      <c r="AW1311" s="174">
        <f t="shared" ca="1" si="1572"/>
        <v>182218.03771976638</v>
      </c>
      <c r="AX1311" s="174">
        <f t="shared" ca="1" si="1572"/>
        <v>273026.89898316731</v>
      </c>
      <c r="AY1311" s="174">
        <f t="shared" ca="1" si="1572"/>
        <v>160610.0942033137</v>
      </c>
      <c r="AZ1311" s="174">
        <f t="shared" ca="1" si="1572"/>
        <v>90746.681474151221</v>
      </c>
      <c r="BA1311" s="174">
        <f t="shared" ca="1" si="1572"/>
        <v>140327.30961439823</v>
      </c>
      <c r="BB1311" s="174">
        <f t="shared" ca="1" si="1572"/>
        <v>273441.40717452578</v>
      </c>
      <c r="BC1311" s="174">
        <f t="shared" ca="1" si="1572"/>
        <v>167027.39986984793</v>
      </c>
      <c r="BD1311" s="174">
        <f t="shared" ca="1" si="1572"/>
        <v>95677.102949824475</v>
      </c>
      <c r="BE1311" s="174">
        <f t="shared" ca="1" si="1572"/>
        <v>144587.40117527739</v>
      </c>
      <c r="BF1311" s="174">
        <f t="shared" ca="1" si="1572"/>
        <v>283339.07755339483</v>
      </c>
      <c r="BG1311" s="174">
        <f t="shared" ca="1" si="1572"/>
        <v>172668.51570028992</v>
      </c>
      <c r="BH1311" s="174">
        <f t="shared" ca="1" si="1572"/>
        <v>97093.665388560941</v>
      </c>
      <c r="BI1311" s="174">
        <f t="shared" ca="1" si="1572"/>
        <v>150722.0289987888</v>
      </c>
      <c r="BJ1311" s="174">
        <f t="shared" ca="1" si="1572"/>
        <v>294700.16257395281</v>
      </c>
      <c r="BK1311" s="174">
        <f t="shared" ca="1" si="1572"/>
        <v>179602.77227321346</v>
      </c>
      <c r="BL1311" s="174">
        <f t="shared" ca="1" si="1572"/>
        <v>101010.04112024038</v>
      </c>
      <c r="BM1311" s="174">
        <f t="shared" ca="1" si="1572"/>
        <v>156784.45144098948</v>
      </c>
      <c r="BN1311" s="174">
        <f t="shared" ca="1" si="1572"/>
        <v>306522.6543072628</v>
      </c>
      <c r="BO1311" s="174">
        <f t="shared" ca="1" si="1572"/>
        <v>177777.08616391147</v>
      </c>
      <c r="BP1311" s="174">
        <f t="shared" ca="1" si="1572"/>
        <v>97479.370084233102</v>
      </c>
      <c r="BQ1311" s="174">
        <f t="shared" ca="1" si="1572"/>
        <v>147496.84938078091</v>
      </c>
      <c r="BR1311" s="174">
        <f t="shared" ca="1" si="1572"/>
        <v>278245.88708535017</v>
      </c>
      <c r="BS1311" s="174">
        <f t="shared" ca="1" si="1572"/>
        <v>176430.29235447774</v>
      </c>
      <c r="BT1311" s="174">
        <f t="shared" ca="1" si="1572"/>
        <v>94568.477972540364</v>
      </c>
      <c r="BU1311" s="174">
        <f t="shared" ca="1" si="1572"/>
        <v>144907.78111575436</v>
      </c>
      <c r="BV1311" s="174">
        <f t="shared" ca="1" si="1572"/>
        <v>290142.81625441811</v>
      </c>
      <c r="BW1311" s="174">
        <f t="shared" ca="1" si="1572"/>
        <v>184249.96053286913</v>
      </c>
      <c r="BX1311" s="174">
        <f t="shared" ca="1" si="1572"/>
        <v>97648.295518110244</v>
      </c>
      <c r="BY1311" s="174">
        <f t="shared" ref="BY1311:CO1311" ca="1" si="1573">SUM(BY1308:BY1310)</f>
        <v>151770.83585332028</v>
      </c>
      <c r="BZ1311" s="174">
        <f t="shared" ca="1" si="1573"/>
        <v>302440.46734145656</v>
      </c>
      <c r="CA1311" s="174">
        <f t="shared" ca="1" si="1573"/>
        <v>192307.85374290359</v>
      </c>
      <c r="CB1311" s="174">
        <f t="shared" ca="1" si="1573"/>
        <v>102248.94821865222</v>
      </c>
      <c r="CC1311" s="174">
        <f t="shared" ca="1" si="1573"/>
        <v>158541.06086534384</v>
      </c>
      <c r="CD1311" s="174">
        <f t="shared" ca="1" si="1573"/>
        <v>315242.09100794845</v>
      </c>
      <c r="CE1311" s="174">
        <f t="shared" ca="1" si="1573"/>
        <v>200699.82662151247</v>
      </c>
      <c r="CF1311" s="174">
        <f t="shared" ca="1" si="1573"/>
        <v>107016.58280527144</v>
      </c>
      <c r="CG1311" s="174">
        <f t="shared" ca="1" si="1573"/>
        <v>165564.89886920995</v>
      </c>
      <c r="CH1311" s="174">
        <f t="shared" ca="1" si="1573"/>
        <v>328538.39464533399</v>
      </c>
      <c r="CI1311" s="174">
        <f t="shared" ca="1" si="1573"/>
        <v>209410.09343949924</v>
      </c>
      <c r="CJ1311" s="174">
        <f t="shared" ca="1" si="1573"/>
        <v>113577.58786442541</v>
      </c>
      <c r="CK1311" s="174">
        <f t="shared" ca="1" si="1573"/>
        <v>172449.24687161582</v>
      </c>
      <c r="CL1311" s="174">
        <f t="shared" ca="1" si="1573"/>
        <v>342372.8721207974</v>
      </c>
      <c r="CM1311" s="174">
        <f t="shared" ca="1" si="1573"/>
        <v>218474.8026703553</v>
      </c>
      <c r="CN1311" s="174">
        <f t="shared" ca="1" si="1573"/>
        <v>117079.85311511871</v>
      </c>
      <c r="CO1311" s="174">
        <f t="shared" ca="1" si="1573"/>
        <v>180414.39771195172</v>
      </c>
    </row>
    <row r="1312" spans="1:93" ht="15.75" thickBot="1">
      <c r="A1312" s="35"/>
      <c r="B1312" s="35"/>
      <c r="C1312" s="367" t="s">
        <v>1036</v>
      </c>
      <c r="D1312" s="370"/>
      <c r="E1312" s="188" t="str">
        <f>Предпосылки!E593</f>
        <v>да</v>
      </c>
      <c r="F1312" s="370"/>
      <c r="G1312" s="371" t="s">
        <v>26</v>
      </c>
      <c r="H1312" s="370"/>
      <c r="I1312" s="372">
        <f t="shared" ca="1" si="1562"/>
        <v>4553152.7420471264</v>
      </c>
      <c r="J1312" s="370"/>
      <c r="K1312" s="370"/>
      <c r="L1312" s="373">
        <f t="shared" ref="L1312:AQ1312" si="1574" xml:space="preserve"> IF( AND( Flag_Last_Operations = 1, ($E$1312="да")), SUM(I1311:L1311) * (1 + $E$1305) / (Required_Rate_of_Return - $E$1305), 0)</f>
        <v>0</v>
      </c>
      <c r="M1312" s="373">
        <f t="shared" si="1574"/>
        <v>0</v>
      </c>
      <c r="N1312" s="373">
        <f t="shared" si="1574"/>
        <v>0</v>
      </c>
      <c r="O1312" s="373">
        <f t="shared" si="1574"/>
        <v>0</v>
      </c>
      <c r="P1312" s="373">
        <f t="shared" si="1574"/>
        <v>0</v>
      </c>
      <c r="Q1312" s="373">
        <f t="shared" si="1574"/>
        <v>0</v>
      </c>
      <c r="R1312" s="373">
        <f t="shared" si="1574"/>
        <v>0</v>
      </c>
      <c r="S1312" s="373">
        <f t="shared" si="1574"/>
        <v>0</v>
      </c>
      <c r="T1312" s="373">
        <f t="shared" si="1574"/>
        <v>0</v>
      </c>
      <c r="U1312" s="373">
        <f t="shared" si="1574"/>
        <v>0</v>
      </c>
      <c r="V1312" s="373">
        <f t="shared" si="1574"/>
        <v>0</v>
      </c>
      <c r="W1312" s="373">
        <f t="shared" si="1574"/>
        <v>0</v>
      </c>
      <c r="X1312" s="373">
        <f t="shared" si="1574"/>
        <v>0</v>
      </c>
      <c r="Y1312" s="373">
        <f t="shared" si="1574"/>
        <v>0</v>
      </c>
      <c r="Z1312" s="373">
        <f t="shared" si="1574"/>
        <v>0</v>
      </c>
      <c r="AA1312" s="373">
        <f t="shared" si="1574"/>
        <v>0</v>
      </c>
      <c r="AB1312" s="373">
        <f t="shared" si="1574"/>
        <v>0</v>
      </c>
      <c r="AC1312" s="373">
        <f t="shared" si="1574"/>
        <v>0</v>
      </c>
      <c r="AD1312" s="373">
        <f t="shared" si="1574"/>
        <v>0</v>
      </c>
      <c r="AE1312" s="373">
        <f t="shared" si="1574"/>
        <v>0</v>
      </c>
      <c r="AF1312" s="373">
        <f t="shared" si="1574"/>
        <v>0</v>
      </c>
      <c r="AG1312" s="373">
        <f t="shared" si="1574"/>
        <v>0</v>
      </c>
      <c r="AH1312" s="373">
        <f t="shared" si="1574"/>
        <v>0</v>
      </c>
      <c r="AI1312" s="373">
        <f t="shared" si="1574"/>
        <v>0</v>
      </c>
      <c r="AJ1312" s="373">
        <f t="shared" si="1574"/>
        <v>0</v>
      </c>
      <c r="AK1312" s="373">
        <f t="shared" si="1574"/>
        <v>0</v>
      </c>
      <c r="AL1312" s="373">
        <f t="shared" si="1574"/>
        <v>0</v>
      </c>
      <c r="AM1312" s="373">
        <f t="shared" si="1574"/>
        <v>0</v>
      </c>
      <c r="AN1312" s="373">
        <f t="shared" si="1574"/>
        <v>0</v>
      </c>
      <c r="AO1312" s="373">
        <f t="shared" si="1574"/>
        <v>0</v>
      </c>
      <c r="AP1312" s="373">
        <f t="shared" si="1574"/>
        <v>0</v>
      </c>
      <c r="AQ1312" s="373">
        <f t="shared" si="1574"/>
        <v>0</v>
      </c>
      <c r="AR1312" s="373">
        <f t="shared" ref="AR1312:BW1312" si="1575" xml:space="preserve"> IF( AND( Flag_Last_Operations = 1, ($E$1312="да")), SUM(AO1311:AR1311) * (1 + $E$1305) / (Required_Rate_of_Return - $E$1305), 0)</f>
        <v>0</v>
      </c>
      <c r="AS1312" s="373">
        <f t="shared" si="1575"/>
        <v>0</v>
      </c>
      <c r="AT1312" s="373">
        <f t="shared" si="1575"/>
        <v>0</v>
      </c>
      <c r="AU1312" s="373">
        <f t="shared" si="1575"/>
        <v>0</v>
      </c>
      <c r="AV1312" s="373">
        <f t="shared" si="1575"/>
        <v>0</v>
      </c>
      <c r="AW1312" s="373">
        <f t="shared" si="1575"/>
        <v>0</v>
      </c>
      <c r="AX1312" s="373">
        <f t="shared" si="1575"/>
        <v>0</v>
      </c>
      <c r="AY1312" s="373">
        <f t="shared" si="1575"/>
        <v>0</v>
      </c>
      <c r="AZ1312" s="373">
        <f t="shared" si="1575"/>
        <v>0</v>
      </c>
      <c r="BA1312" s="373">
        <f t="shared" si="1575"/>
        <v>0</v>
      </c>
      <c r="BB1312" s="373">
        <f t="shared" si="1575"/>
        <v>0</v>
      </c>
      <c r="BC1312" s="373">
        <f t="shared" si="1575"/>
        <v>0</v>
      </c>
      <c r="BD1312" s="373">
        <f t="shared" si="1575"/>
        <v>0</v>
      </c>
      <c r="BE1312" s="373">
        <f t="shared" si="1575"/>
        <v>0</v>
      </c>
      <c r="BF1312" s="373">
        <f t="shared" si="1575"/>
        <v>0</v>
      </c>
      <c r="BG1312" s="373">
        <f t="shared" si="1575"/>
        <v>0</v>
      </c>
      <c r="BH1312" s="373">
        <f t="shared" si="1575"/>
        <v>0</v>
      </c>
      <c r="BI1312" s="373">
        <f t="shared" si="1575"/>
        <v>0</v>
      </c>
      <c r="BJ1312" s="373">
        <f t="shared" si="1575"/>
        <v>0</v>
      </c>
      <c r="BK1312" s="373">
        <f t="shared" si="1575"/>
        <v>0</v>
      </c>
      <c r="BL1312" s="373">
        <f t="shared" si="1575"/>
        <v>0</v>
      </c>
      <c r="BM1312" s="373">
        <f t="shared" si="1575"/>
        <v>0</v>
      </c>
      <c r="BN1312" s="373">
        <f t="shared" si="1575"/>
        <v>0</v>
      </c>
      <c r="BO1312" s="373">
        <f t="shared" si="1575"/>
        <v>0</v>
      </c>
      <c r="BP1312" s="373">
        <f t="shared" si="1575"/>
        <v>0</v>
      </c>
      <c r="BQ1312" s="373">
        <f t="shared" si="1575"/>
        <v>0</v>
      </c>
      <c r="BR1312" s="373">
        <f t="shared" si="1575"/>
        <v>0</v>
      </c>
      <c r="BS1312" s="373">
        <f t="shared" si="1575"/>
        <v>0</v>
      </c>
      <c r="BT1312" s="373">
        <f t="shared" si="1575"/>
        <v>0</v>
      </c>
      <c r="BU1312" s="373">
        <f t="shared" si="1575"/>
        <v>0</v>
      </c>
      <c r="BV1312" s="373">
        <f t="shared" si="1575"/>
        <v>0</v>
      </c>
      <c r="BW1312" s="373">
        <f t="shared" si="1575"/>
        <v>0</v>
      </c>
      <c r="BX1312" s="373">
        <f t="shared" ref="BX1312:CO1312" si="1576" xml:space="preserve"> IF( AND( Flag_Last_Operations = 1, ($E$1312="да")), SUM(BU1311:BX1311) * (1 + $E$1305) / (Required_Rate_of_Return - $E$1305), 0)</f>
        <v>0</v>
      </c>
      <c r="BY1312" s="373">
        <f t="shared" si="1576"/>
        <v>0</v>
      </c>
      <c r="BZ1312" s="373">
        <f t="shared" si="1576"/>
        <v>0</v>
      </c>
      <c r="CA1312" s="373">
        <f t="shared" si="1576"/>
        <v>0</v>
      </c>
      <c r="CB1312" s="373">
        <f t="shared" si="1576"/>
        <v>0</v>
      </c>
      <c r="CC1312" s="373">
        <f t="shared" si="1576"/>
        <v>0</v>
      </c>
      <c r="CD1312" s="373">
        <f t="shared" si="1576"/>
        <v>0</v>
      </c>
      <c r="CE1312" s="373">
        <f t="shared" si="1576"/>
        <v>0</v>
      </c>
      <c r="CF1312" s="373">
        <f t="shared" si="1576"/>
        <v>0</v>
      </c>
      <c r="CG1312" s="373">
        <f t="shared" si="1576"/>
        <v>0</v>
      </c>
      <c r="CH1312" s="373">
        <f t="shared" si="1576"/>
        <v>0</v>
      </c>
      <c r="CI1312" s="373">
        <f t="shared" si="1576"/>
        <v>0</v>
      </c>
      <c r="CJ1312" s="373">
        <f t="shared" si="1576"/>
        <v>0</v>
      </c>
      <c r="CK1312" s="373">
        <f t="shared" si="1576"/>
        <v>0</v>
      </c>
      <c r="CL1312" s="373">
        <f t="shared" si="1576"/>
        <v>0</v>
      </c>
      <c r="CM1312" s="373">
        <f t="shared" si="1576"/>
        <v>0</v>
      </c>
      <c r="CN1312" s="373">
        <f t="shared" si="1576"/>
        <v>0</v>
      </c>
      <c r="CO1312" s="373">
        <f t="shared" ca="1" si="1576"/>
        <v>4553152.7420471264</v>
      </c>
    </row>
    <row r="1313" spans="1:93" ht="15.75" thickTop="1">
      <c r="A1313" s="35"/>
      <c r="B1313" s="35"/>
      <c r="C1313" s="49" t="s">
        <v>259</v>
      </c>
      <c r="D1313" s="49"/>
      <c r="E1313" s="105"/>
      <c r="F1313" s="49"/>
      <c r="G1313" s="137"/>
      <c r="H1313" s="49"/>
      <c r="I1313" s="176">
        <f t="shared" ca="1" si="1562"/>
        <v>13380911.702312313</v>
      </c>
      <c r="J1313" s="49"/>
      <c r="K1313" s="49"/>
      <c r="L1313" s="174">
        <f ca="1">SUM(L1311:L1312)</f>
        <v>-20231.553412960755</v>
      </c>
      <c r="M1313" s="174">
        <f t="shared" ref="M1313:BX1313" ca="1" si="1577">SUM(M1311:M1312)</f>
        <v>-20518.738035800307</v>
      </c>
      <c r="N1313" s="174">
        <f t="shared" ca="1" si="1577"/>
        <v>-20809.999212027134</v>
      </c>
      <c r="O1313" s="174">
        <f t="shared" ca="1" si="1577"/>
        <v>-21105.394807857592</v>
      </c>
      <c r="P1313" s="174">
        <f t="shared" ca="1" si="1577"/>
        <v>-177490.49062476435</v>
      </c>
      <c r="Q1313" s="174">
        <f t="shared" ca="1" si="1577"/>
        <v>-179239.37658746613</v>
      </c>
      <c r="R1313" s="174">
        <f t="shared" ca="1" si="1577"/>
        <v>-181005.49503456618</v>
      </c>
      <c r="S1313" s="174">
        <f t="shared" ca="1" si="1577"/>
        <v>-182789.01576473904</v>
      </c>
      <c r="T1313" s="174">
        <f t="shared" ca="1" si="1577"/>
        <v>-184590.11024975491</v>
      </c>
      <c r="U1313" s="174">
        <f t="shared" ca="1" si="1577"/>
        <v>-188441.09063731288</v>
      </c>
      <c r="V1313" s="174">
        <f t="shared" ca="1" si="1577"/>
        <v>-190159.22920993349</v>
      </c>
      <c r="W1313" s="174">
        <f t="shared" ca="1" si="1577"/>
        <v>-191871.74606439631</v>
      </c>
      <c r="X1313" s="174">
        <f t="shared" ca="1" si="1577"/>
        <v>-369180.82464899635</v>
      </c>
      <c r="Y1313" s="174">
        <f t="shared" ca="1" si="1577"/>
        <v>-372528.52022715751</v>
      </c>
      <c r="Z1313" s="174">
        <f t="shared" ca="1" si="1577"/>
        <v>-375920.78753780114</v>
      </c>
      <c r="AA1313" s="174">
        <f t="shared" ca="1" si="1577"/>
        <v>-379331.70797221939</v>
      </c>
      <c r="AB1313" s="174">
        <f t="shared" ca="1" si="1577"/>
        <v>-660519.09372966143</v>
      </c>
      <c r="AC1313" s="174">
        <f t="shared" ca="1" si="1577"/>
        <v>558342.85122100473</v>
      </c>
      <c r="AD1313" s="174">
        <f t="shared" ca="1" si="1577"/>
        <v>288581.27517149976</v>
      </c>
      <c r="AE1313" s="174">
        <f t="shared" ca="1" si="1577"/>
        <v>178584.17341786172</v>
      </c>
      <c r="AF1313" s="174">
        <f t="shared" ca="1" si="1577"/>
        <v>99618.407635534517</v>
      </c>
      <c r="AG1313" s="174">
        <f t="shared" ca="1" si="1577"/>
        <v>110606.75600800249</v>
      </c>
      <c r="AH1313" s="174">
        <f t="shared" ca="1" si="1577"/>
        <v>215182.44578478928</v>
      </c>
      <c r="AI1313" s="174">
        <f t="shared" ca="1" si="1577"/>
        <v>206507.77622765646</v>
      </c>
      <c r="AJ1313" s="174">
        <f t="shared" ca="1" si="1577"/>
        <v>112735.10586441364</v>
      </c>
      <c r="AK1313" s="174">
        <f t="shared" ca="1" si="1577"/>
        <v>128032.15847801467</v>
      </c>
      <c r="AL1313" s="174">
        <f t="shared" ca="1" si="1577"/>
        <v>248031.96389821367</v>
      </c>
      <c r="AM1313" s="174">
        <f t="shared" ca="1" si="1577"/>
        <v>238204.70313177744</v>
      </c>
      <c r="AN1313" s="174">
        <f t="shared" ca="1" si="1577"/>
        <v>133378.09416231429</v>
      </c>
      <c r="AO1313" s="174">
        <f t="shared" ca="1" si="1577"/>
        <v>146697.15923287833</v>
      </c>
      <c r="AP1313" s="174">
        <f t="shared" ca="1" si="1577"/>
        <v>279569.85507973953</v>
      </c>
      <c r="AQ1313" s="174">
        <f t="shared" ca="1" si="1577"/>
        <v>264735.10950212012</v>
      </c>
      <c r="AR1313" s="174">
        <f t="shared" ca="1" si="1577"/>
        <v>143280.4964908227</v>
      </c>
      <c r="AS1313" s="174">
        <f t="shared" ca="1" si="1577"/>
        <v>152737.78294705041</v>
      </c>
      <c r="AT1313" s="174">
        <f t="shared" ca="1" si="1577"/>
        <v>287097.70027576439</v>
      </c>
      <c r="AU1313" s="174">
        <f t="shared" ca="1" si="1577"/>
        <v>269421.36582350434</v>
      </c>
      <c r="AV1313" s="174">
        <f t="shared" ca="1" si="1577"/>
        <v>144944.62092151036</v>
      </c>
      <c r="AW1313" s="174">
        <f t="shared" ca="1" si="1577"/>
        <v>182218.03771976638</v>
      </c>
      <c r="AX1313" s="174">
        <f t="shared" ca="1" si="1577"/>
        <v>273026.89898316731</v>
      </c>
      <c r="AY1313" s="174">
        <f t="shared" ca="1" si="1577"/>
        <v>160610.0942033137</v>
      </c>
      <c r="AZ1313" s="174">
        <f t="shared" ca="1" si="1577"/>
        <v>90746.681474151221</v>
      </c>
      <c r="BA1313" s="174">
        <f t="shared" ca="1" si="1577"/>
        <v>140327.30961439823</v>
      </c>
      <c r="BB1313" s="174">
        <f t="shared" ca="1" si="1577"/>
        <v>273441.40717452578</v>
      </c>
      <c r="BC1313" s="174">
        <f t="shared" ca="1" si="1577"/>
        <v>167027.39986984793</v>
      </c>
      <c r="BD1313" s="174">
        <f t="shared" ca="1" si="1577"/>
        <v>95677.102949824475</v>
      </c>
      <c r="BE1313" s="174">
        <f t="shared" ca="1" si="1577"/>
        <v>144587.40117527739</v>
      </c>
      <c r="BF1313" s="174">
        <f t="shared" ca="1" si="1577"/>
        <v>283339.07755339483</v>
      </c>
      <c r="BG1313" s="174">
        <f t="shared" ca="1" si="1577"/>
        <v>172668.51570028992</v>
      </c>
      <c r="BH1313" s="174">
        <f t="shared" ca="1" si="1577"/>
        <v>97093.665388560941</v>
      </c>
      <c r="BI1313" s="174">
        <f t="shared" ca="1" si="1577"/>
        <v>150722.0289987888</v>
      </c>
      <c r="BJ1313" s="174">
        <f t="shared" ca="1" si="1577"/>
        <v>294700.16257395281</v>
      </c>
      <c r="BK1313" s="174">
        <f t="shared" ca="1" si="1577"/>
        <v>179602.77227321346</v>
      </c>
      <c r="BL1313" s="174">
        <f t="shared" ca="1" si="1577"/>
        <v>101010.04112024038</v>
      </c>
      <c r="BM1313" s="174">
        <f t="shared" ca="1" si="1577"/>
        <v>156784.45144098948</v>
      </c>
      <c r="BN1313" s="174">
        <f t="shared" ca="1" si="1577"/>
        <v>306522.6543072628</v>
      </c>
      <c r="BO1313" s="174">
        <f t="shared" ca="1" si="1577"/>
        <v>177777.08616391147</v>
      </c>
      <c r="BP1313" s="174">
        <f t="shared" ca="1" si="1577"/>
        <v>97479.370084233102</v>
      </c>
      <c r="BQ1313" s="174">
        <f t="shared" ca="1" si="1577"/>
        <v>147496.84938078091</v>
      </c>
      <c r="BR1313" s="174">
        <f t="shared" ca="1" si="1577"/>
        <v>278245.88708535017</v>
      </c>
      <c r="BS1313" s="174">
        <f t="shared" ca="1" si="1577"/>
        <v>176430.29235447774</v>
      </c>
      <c r="BT1313" s="174">
        <f t="shared" ca="1" si="1577"/>
        <v>94568.477972540364</v>
      </c>
      <c r="BU1313" s="174">
        <f t="shared" ca="1" si="1577"/>
        <v>144907.78111575436</v>
      </c>
      <c r="BV1313" s="174">
        <f t="shared" ca="1" si="1577"/>
        <v>290142.81625441811</v>
      </c>
      <c r="BW1313" s="174">
        <f t="shared" ca="1" si="1577"/>
        <v>184249.96053286913</v>
      </c>
      <c r="BX1313" s="174">
        <f t="shared" ca="1" si="1577"/>
        <v>97648.295518110244</v>
      </c>
      <c r="BY1313" s="174">
        <f t="shared" ref="BY1313:CO1313" ca="1" si="1578">SUM(BY1311:BY1312)</f>
        <v>151770.83585332028</v>
      </c>
      <c r="BZ1313" s="174">
        <f t="shared" ca="1" si="1578"/>
        <v>302440.46734145656</v>
      </c>
      <c r="CA1313" s="174">
        <f t="shared" ca="1" si="1578"/>
        <v>192307.85374290359</v>
      </c>
      <c r="CB1313" s="174">
        <f t="shared" ca="1" si="1578"/>
        <v>102248.94821865222</v>
      </c>
      <c r="CC1313" s="174">
        <f t="shared" ca="1" si="1578"/>
        <v>158541.06086534384</v>
      </c>
      <c r="CD1313" s="174">
        <f t="shared" ca="1" si="1578"/>
        <v>315242.09100794845</v>
      </c>
      <c r="CE1313" s="174">
        <f t="shared" ca="1" si="1578"/>
        <v>200699.82662151247</v>
      </c>
      <c r="CF1313" s="174">
        <f t="shared" ca="1" si="1578"/>
        <v>107016.58280527144</v>
      </c>
      <c r="CG1313" s="174">
        <f t="shared" ca="1" si="1578"/>
        <v>165564.89886920995</v>
      </c>
      <c r="CH1313" s="174">
        <f t="shared" ca="1" si="1578"/>
        <v>328538.39464533399</v>
      </c>
      <c r="CI1313" s="174">
        <f t="shared" ca="1" si="1578"/>
        <v>209410.09343949924</v>
      </c>
      <c r="CJ1313" s="174">
        <f t="shared" ca="1" si="1578"/>
        <v>113577.58786442541</v>
      </c>
      <c r="CK1313" s="174">
        <f t="shared" ca="1" si="1578"/>
        <v>172449.24687161582</v>
      </c>
      <c r="CL1313" s="174">
        <f t="shared" ca="1" si="1578"/>
        <v>342372.8721207974</v>
      </c>
      <c r="CM1313" s="174">
        <f t="shared" ca="1" si="1578"/>
        <v>218474.8026703553</v>
      </c>
      <c r="CN1313" s="174">
        <f t="shared" ca="1" si="1578"/>
        <v>117079.85311511871</v>
      </c>
      <c r="CO1313" s="174">
        <f t="shared" ca="1" si="1578"/>
        <v>4733567.1397590777</v>
      </c>
    </row>
    <row r="1314" spans="1:93">
      <c r="A1314" s="10"/>
      <c r="B1314" s="10"/>
      <c r="C1314" s="17"/>
      <c r="D1314" s="10"/>
      <c r="E1314" s="62"/>
      <c r="F1314" s="10"/>
      <c r="G1314" s="11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0"/>
      <c r="AH1314" s="10"/>
      <c r="AI1314" s="10"/>
      <c r="AJ1314" s="10"/>
      <c r="AK1314" s="10"/>
      <c r="AL1314" s="10"/>
      <c r="AM1314" s="10"/>
      <c r="AN1314" s="10"/>
      <c r="AO1314" s="10"/>
      <c r="AP1314" s="10"/>
      <c r="AQ1314" s="10"/>
      <c r="AR1314" s="10"/>
      <c r="AS1314" s="10"/>
      <c r="AT1314" s="10"/>
      <c r="AU1314" s="10"/>
      <c r="AV1314" s="10"/>
      <c r="AW1314" s="10"/>
      <c r="AX1314" s="10"/>
      <c r="AY1314" s="10"/>
      <c r="AZ1314" s="10"/>
      <c r="BA1314" s="10"/>
      <c r="BB1314" s="10"/>
      <c r="BC1314" s="10"/>
      <c r="BD1314" s="10"/>
      <c r="BE1314" s="10"/>
      <c r="BF1314" s="10"/>
      <c r="BG1314" s="10"/>
      <c r="BH1314" s="10"/>
      <c r="BI1314" s="10"/>
      <c r="BJ1314" s="10"/>
      <c r="BK1314" s="10"/>
      <c r="BL1314" s="10"/>
      <c r="BM1314" s="10"/>
      <c r="BN1314" s="10"/>
      <c r="BO1314" s="10"/>
      <c r="BP1314" s="10"/>
      <c r="BQ1314" s="10"/>
      <c r="BR1314" s="10"/>
      <c r="BS1314" s="10"/>
      <c r="BT1314" s="10"/>
      <c r="BU1314" s="10"/>
      <c r="BV1314" s="10"/>
      <c r="BW1314" s="10"/>
      <c r="BX1314" s="10"/>
      <c r="BY1314" s="10"/>
      <c r="BZ1314" s="10"/>
      <c r="CA1314" s="10"/>
      <c r="CB1314" s="10"/>
      <c r="CC1314" s="10"/>
      <c r="CD1314" s="10"/>
      <c r="CE1314" s="10"/>
      <c r="CF1314" s="10"/>
      <c r="CG1314" s="10"/>
      <c r="CH1314" s="10"/>
      <c r="CI1314" s="10"/>
      <c r="CJ1314" s="10"/>
      <c r="CK1314" s="10"/>
      <c r="CL1314" s="10"/>
      <c r="CM1314" s="10"/>
      <c r="CN1314" s="10"/>
      <c r="CO1314" s="10"/>
    </row>
    <row r="1315" spans="1:93" s="133" customFormat="1" ht="14.25">
      <c r="A1315" s="10"/>
      <c r="B1315" s="10"/>
      <c r="C1315" s="17" t="s">
        <v>217</v>
      </c>
      <c r="D1315" s="10"/>
      <c r="E1315" s="62"/>
      <c r="F1315" s="10"/>
      <c r="G1315" s="11"/>
      <c r="H1315" s="10"/>
      <c r="I1315" s="10"/>
      <c r="J1315" s="10"/>
      <c r="K1315" s="10"/>
      <c r="L1315" s="35">
        <f>IF(K1315 = "", YEAR(Beginning_of_period), IF(MAX($K1315:K1315) &lt; YEAR(Date_Operations_End), K1315+1, 0))</f>
        <v>2025</v>
      </c>
      <c r="M1315" s="35">
        <f>IF(L1315 = "", YEAR(Beginning_of_period), IF(MAX($K1315:L1315) &lt; YEAR(Date_Operations_End), L1315+1, 0))</f>
        <v>2026</v>
      </c>
      <c r="N1315" s="35">
        <f>IF(M1315 = "", YEAR(Beginning_of_period), IF(MAX($K1315:M1315) &lt; YEAR(Date_Operations_End), M1315+1, 0))</f>
        <v>2027</v>
      </c>
      <c r="O1315" s="35">
        <f>IF(N1315 = "", YEAR(Beginning_of_period), IF(MAX($K1315:N1315) &lt; YEAR(Date_Operations_End), N1315+1, 0))</f>
        <v>2028</v>
      </c>
      <c r="P1315" s="35">
        <f>IF(O1315 = "", YEAR(Beginning_of_period), IF(MAX($K1315:O1315) &lt; YEAR(Date_Operations_End), O1315+1, 0))</f>
        <v>2029</v>
      </c>
      <c r="Q1315" s="35">
        <f>IF(P1315 = "", YEAR(Beginning_of_period), IF(MAX($K1315:P1315) &lt; YEAR(Date_Operations_End), P1315+1, 0))</f>
        <v>2030</v>
      </c>
      <c r="R1315" s="35">
        <f>IF(Q1315 = "", YEAR(Beginning_of_period), IF(MAX($K1315:Q1315) &lt; YEAR(Date_Operations_End), Q1315+1, 0))</f>
        <v>2031</v>
      </c>
      <c r="S1315" s="35">
        <f>IF(R1315 = "", YEAR(Beginning_of_period), IF(MAX($K1315:R1315) &lt; YEAR(Date_Operations_End), R1315+1, 0))</f>
        <v>2032</v>
      </c>
      <c r="T1315" s="35">
        <f>IF(S1315 = "", YEAR(Beginning_of_period), IF(MAX($K1315:S1315) &lt; YEAR(Date_Operations_End), S1315+1, 0))</f>
        <v>2033</v>
      </c>
      <c r="U1315" s="35">
        <f>IF(T1315 = "", YEAR(Beginning_of_period), IF(MAX($K1315:T1315) &lt; YEAR(Date_Operations_End), T1315+1, 0))</f>
        <v>2034</v>
      </c>
      <c r="V1315" s="35">
        <f>IF(U1315 = "", YEAR(Beginning_of_period), IF(MAX($K1315:U1315) &lt; YEAR(Date_Operations_End), U1315+1, 0))</f>
        <v>2035</v>
      </c>
      <c r="W1315" s="35">
        <f>IF(V1315 = "", YEAR(Beginning_of_period), IF(MAX($K1315:V1315) &lt; YEAR(Date_Operations_End), V1315+1, 0))</f>
        <v>2036</v>
      </c>
      <c r="X1315" s="35">
        <f>IF(W1315 = "", YEAR(Beginning_of_period), IF(MAX($K1315:W1315) &lt; YEAR(Date_Operations_End), W1315+1, 0))</f>
        <v>2037</v>
      </c>
      <c r="Y1315" s="35">
        <f>IF(X1315 = "", YEAR(Beginning_of_period), IF(MAX($K1315:X1315) &lt; YEAR(Date_Operations_End), X1315+1, 0))</f>
        <v>2038</v>
      </c>
      <c r="Z1315" s="35">
        <f>IF(Y1315 = "", YEAR(Beginning_of_period), IF(MAX($K1315:Y1315) &lt; YEAR(Date_Operations_End), Y1315+1, 0))</f>
        <v>2039</v>
      </c>
      <c r="AA1315" s="35">
        <f>IF(Z1315 = "", YEAR(Beginning_of_period), IF(MAX($K1315:Z1315) &lt; YEAR(Date_Operations_End), Z1315+1, 0))</f>
        <v>2040</v>
      </c>
      <c r="AB1315" s="35">
        <f>IF(AA1315 = "", YEAR(Beginning_of_period), IF(MAX($K1315:AA1315) &lt; YEAR(Date_Operations_End), AA1315+1, 0))</f>
        <v>2041</v>
      </c>
      <c r="AC1315" s="35">
        <f>IF(AB1315 = "", YEAR(Beginning_of_period), IF(MAX($K1315:AB1315) &lt; YEAR(Date_Operations_End), AB1315+1, 0))</f>
        <v>2042</v>
      </c>
      <c r="AD1315" s="35">
        <f>IF(AC1315 = "", YEAR(Beginning_of_period), IF(MAX($K1315:AC1315) &lt; YEAR(Date_Operations_End), AC1315+1, 0))</f>
        <v>2043</v>
      </c>
      <c r="AE1315" s="35">
        <f>IF(AD1315 = "", YEAR(Beginning_of_period), IF(MAX($K1315:AD1315) &lt; YEAR(Date_Operations_End), AD1315+1, 0))</f>
        <v>2044</v>
      </c>
      <c r="AF1315" s="35">
        <f>IF(AE1315 = "", YEAR(Beginning_of_period), IF(MAX($K1315:AE1315) &lt; YEAR(Date_Operations_End), AE1315+1, 0))</f>
        <v>2045</v>
      </c>
      <c r="AG1315" s="35">
        <f>IF(AF1315 = "", YEAR(Beginning_of_period), IF(MAX($K1315:AF1315) &lt; YEAR(Date_Operations_End), AF1315+1, 0))</f>
        <v>2046</v>
      </c>
      <c r="AH1315" s="35">
        <f>IF(AG1315 = "", YEAR(Beginning_of_period), IF(MAX($K1315:AG1315) &lt; YEAR(Date_Operations_End), AG1315+1, 0))</f>
        <v>2047</v>
      </c>
      <c r="AI1315" s="35">
        <f>IF(AH1315 = "", YEAR(Beginning_of_period), IF(MAX($K1315:AH1315) &lt; YEAR(Date_Operations_End), AH1315+1, 0))</f>
        <v>2048</v>
      </c>
      <c r="AJ1315" s="35">
        <f>IF(AI1315 = "", YEAR(Beginning_of_period), IF(MAX($K1315:AI1315) &lt; YEAR(Date_Operations_End), AI1315+1, 0))</f>
        <v>2049</v>
      </c>
      <c r="AK1315" s="35">
        <f>IF(AJ1315 = "", YEAR(Beginning_of_period), IF(MAX($K1315:AJ1315) &lt; YEAR(Date_Operations_End), AJ1315+1, 0))</f>
        <v>0</v>
      </c>
      <c r="AL1315" s="35">
        <f>IF(AK1315 = "", YEAR(Beginning_of_period), IF(MAX($K1315:AK1315) &lt; YEAR(Date_Operations_End), AK1315+1, 0))</f>
        <v>0</v>
      </c>
      <c r="AM1315" s="35">
        <f>IF(AL1315 = "", YEAR(Beginning_of_period), IF(MAX($K1315:AL1315) &lt; YEAR(Date_Operations_End), AL1315+1, 0))</f>
        <v>0</v>
      </c>
      <c r="AN1315" s="35">
        <f>IF(AM1315 = "", YEAR(Beginning_of_period), IF(MAX($K1315:AM1315) &lt; YEAR(Date_Operations_End), AM1315+1, 0))</f>
        <v>0</v>
      </c>
      <c r="AO1315" s="35">
        <f>IF(AN1315 = "", YEAR(Beginning_of_period), IF(MAX($K1315:AN1315) &lt; YEAR(Date_Operations_End), AN1315+1, 0))</f>
        <v>0</v>
      </c>
      <c r="AP1315" s="35">
        <f>IF(AO1315 = "", YEAR(Beginning_of_period), IF(MAX($K1315:AO1315) &lt; YEAR(Date_Operations_End), AO1315+1, 0))</f>
        <v>0</v>
      </c>
      <c r="AQ1315" s="35">
        <f>IF(AP1315 = "", YEAR(Beginning_of_period), IF(MAX($K1315:AP1315) &lt; YEAR(Date_Operations_End), AP1315+1, 0))</f>
        <v>0</v>
      </c>
      <c r="AR1315" s="35">
        <f>IF(AQ1315 = "", YEAR(Beginning_of_period), IF(MAX($K1315:AQ1315) &lt; YEAR(Date_Operations_End), AQ1315+1, 0))</f>
        <v>0</v>
      </c>
      <c r="AS1315" s="35">
        <f>IF(AR1315 = "", YEAR(Beginning_of_period), IF(MAX($K1315:AR1315) &lt; YEAR(Date_Operations_End), AR1315+1, 0))</f>
        <v>0</v>
      </c>
      <c r="AT1315" s="35">
        <f>IF(AS1315 = "", YEAR(Beginning_of_period), IF(MAX($K1315:AS1315) &lt; YEAR(Date_Operations_End), AS1315+1, 0))</f>
        <v>0</v>
      </c>
      <c r="AU1315" s="35">
        <f>IF(AT1315 = "", YEAR(Beginning_of_period), IF(MAX($K1315:AT1315) &lt; YEAR(Date_Operations_End), AT1315+1, 0))</f>
        <v>0</v>
      </c>
      <c r="AV1315" s="35">
        <f>IF(AU1315 = "", YEAR(Beginning_of_period), IF(MAX($K1315:AU1315) &lt; YEAR(Date_Operations_End), AU1315+1, 0))</f>
        <v>0</v>
      </c>
      <c r="AW1315" s="35">
        <f>IF(AV1315 = "", YEAR(Beginning_of_period), IF(MAX($K1315:AV1315) &lt; YEAR(Date_Operations_End), AV1315+1, 0))</f>
        <v>0</v>
      </c>
      <c r="AX1315" s="35">
        <f>IF(AW1315 = "", YEAR(Beginning_of_period), IF(MAX($K1315:AW1315) &lt; YEAR(Date_Operations_End), AW1315+1, 0))</f>
        <v>0</v>
      </c>
      <c r="AY1315" s="35">
        <f>IF(AX1315 = "", YEAR(Beginning_of_period), IF(MAX($K1315:AX1315) &lt; YEAR(Date_Operations_End), AX1315+1, 0))</f>
        <v>0</v>
      </c>
      <c r="AZ1315" s="35">
        <f>IF(AY1315 = "", YEAR(Beginning_of_period), IF(MAX($K1315:AY1315) &lt; YEAR(Date_Operations_End), AY1315+1, 0))</f>
        <v>0</v>
      </c>
      <c r="BA1315" s="35">
        <f>IF(AZ1315 = "", YEAR(Beginning_of_period), IF(MAX($K1315:AZ1315) &lt; YEAR(Date_Operations_End), AZ1315+1, 0))</f>
        <v>0</v>
      </c>
      <c r="BB1315" s="35">
        <f>IF(BA1315 = "", YEAR(Beginning_of_period), IF(MAX($K1315:BA1315) &lt; YEAR(Date_Operations_End), BA1315+1, 0))</f>
        <v>0</v>
      </c>
      <c r="BC1315" s="35">
        <f>IF(BB1315 = "", YEAR(Beginning_of_period), IF(MAX($K1315:BB1315) &lt; YEAR(Date_Operations_End), BB1315+1, 0))</f>
        <v>0</v>
      </c>
      <c r="BD1315" s="35">
        <f>IF(BC1315 = "", YEAR(Beginning_of_period), IF(MAX($K1315:BC1315) &lt; YEAR(Date_Operations_End), BC1315+1, 0))</f>
        <v>0</v>
      </c>
      <c r="BE1315" s="35">
        <f>IF(BD1315 = "", YEAR(Beginning_of_period), IF(MAX($K1315:BD1315) &lt; YEAR(Date_Operations_End), BD1315+1, 0))</f>
        <v>0</v>
      </c>
      <c r="BF1315" s="35">
        <f>IF(BE1315 = "", YEAR(Beginning_of_period), IF(MAX($K1315:BE1315) &lt; YEAR(Date_Operations_End), BE1315+1, 0))</f>
        <v>0</v>
      </c>
      <c r="BG1315" s="35">
        <f>IF(BF1315 = "", YEAR(Beginning_of_period), IF(MAX($K1315:BF1315) &lt; YEAR(Date_Operations_End), BF1315+1, 0))</f>
        <v>0</v>
      </c>
      <c r="BH1315" s="35">
        <f>IF(BG1315 = "", YEAR(Beginning_of_period), IF(MAX($K1315:BG1315) &lt; YEAR(Date_Operations_End), BG1315+1, 0))</f>
        <v>0</v>
      </c>
      <c r="BI1315" s="35">
        <f>IF(BH1315 = "", YEAR(Beginning_of_period), IF(MAX($K1315:BH1315) &lt; YEAR(Date_Operations_End), BH1315+1, 0))</f>
        <v>0</v>
      </c>
      <c r="BJ1315" s="35">
        <f>IF(BI1315 = "", YEAR(Beginning_of_period), IF(MAX($K1315:BI1315) &lt; YEAR(Date_Operations_End), BI1315+1, 0))</f>
        <v>0</v>
      </c>
      <c r="BK1315" s="35">
        <f>IF(BJ1315 = "", YEAR(Beginning_of_period), IF(MAX($K1315:BJ1315) &lt; YEAR(Date_Operations_End), BJ1315+1, 0))</f>
        <v>0</v>
      </c>
      <c r="BL1315" s="35">
        <f>IF(BK1315 = "", YEAR(Beginning_of_period), IF(MAX($K1315:BK1315) &lt; YEAR(Date_Operations_End), BK1315+1, 0))</f>
        <v>0</v>
      </c>
      <c r="BM1315" s="35">
        <f>IF(BL1315 = "", YEAR(Beginning_of_period), IF(MAX($K1315:BL1315) &lt; YEAR(Date_Operations_End), BL1315+1, 0))</f>
        <v>0</v>
      </c>
      <c r="BN1315" s="35">
        <f>IF(BM1315 = "", YEAR(Beginning_of_period), IF(MAX($K1315:BM1315) &lt; YEAR(Date_Operations_End), BM1315+1, 0))</f>
        <v>0</v>
      </c>
      <c r="BO1315" s="35">
        <f>IF(BN1315 = "", YEAR(Beginning_of_period), IF(MAX($K1315:BN1315) &lt; YEAR(Date_Operations_End), BN1315+1, 0))</f>
        <v>0</v>
      </c>
      <c r="BP1315" s="35">
        <f>IF(BO1315 = "", YEAR(Beginning_of_period), IF(MAX($K1315:BO1315) &lt; YEAR(Date_Operations_End), BO1315+1, 0))</f>
        <v>0</v>
      </c>
      <c r="BQ1315" s="35">
        <f>IF(BP1315 = "", YEAR(Beginning_of_period), IF(MAX($K1315:BP1315) &lt; YEAR(Date_Operations_End), BP1315+1, 0))</f>
        <v>0</v>
      </c>
      <c r="BR1315" s="35">
        <f>IF(BQ1315 = "", YEAR(Beginning_of_period), IF(MAX($K1315:BQ1315) &lt; YEAR(Date_Operations_End), BQ1315+1, 0))</f>
        <v>0</v>
      </c>
      <c r="BS1315" s="35">
        <f>IF(BR1315 = "", YEAR(Beginning_of_period), IF(MAX($K1315:BR1315) &lt; YEAR(Date_Operations_End), BR1315+1, 0))</f>
        <v>0</v>
      </c>
      <c r="BT1315" s="35">
        <f>IF(BS1315 = "", YEAR(Beginning_of_period), IF(MAX($K1315:BS1315) &lt; YEAR(Date_Operations_End), BS1315+1, 0))</f>
        <v>0</v>
      </c>
      <c r="BU1315" s="35">
        <f>IF(BT1315 = "", YEAR(Beginning_of_period), IF(MAX($K1315:BT1315) &lt; YEAR(Date_Operations_End), BT1315+1, 0))</f>
        <v>0</v>
      </c>
      <c r="BV1315" s="35">
        <f>IF(BU1315 = "", YEAR(Beginning_of_period), IF(MAX($K1315:BU1315) &lt; YEAR(Date_Operations_End), BU1315+1, 0))</f>
        <v>0</v>
      </c>
      <c r="BW1315" s="35">
        <f>IF(BV1315 = "", YEAR(Beginning_of_period), IF(MAX($K1315:BV1315) &lt; YEAR(Date_Operations_End), BV1315+1, 0))</f>
        <v>0</v>
      </c>
      <c r="BX1315" s="35">
        <f>IF(BW1315 = "", YEAR(Beginning_of_period), IF(MAX($K1315:BW1315) &lt; YEAR(Date_Operations_End), BW1315+1, 0))</f>
        <v>0</v>
      </c>
      <c r="BY1315" s="35">
        <f>IF(BX1315 = "", YEAR(Beginning_of_period), IF(MAX($K1315:BX1315) &lt; YEAR(Date_Operations_End), BX1315+1, 0))</f>
        <v>0</v>
      </c>
      <c r="BZ1315" s="35">
        <f>IF(BY1315 = "", YEAR(Beginning_of_period), IF(MAX($K1315:BY1315) &lt; YEAR(Date_Operations_End), BY1315+1, 0))</f>
        <v>0</v>
      </c>
      <c r="CA1315" s="35">
        <f>IF(BZ1315 = "", YEAR(Beginning_of_period), IF(MAX($K1315:BZ1315) &lt; YEAR(Date_Operations_End), BZ1315+1, 0))</f>
        <v>0</v>
      </c>
      <c r="CB1315" s="35">
        <f>IF(CA1315 = "", YEAR(Beginning_of_period), IF(MAX($K1315:CA1315) &lt; YEAR(Date_Operations_End), CA1315+1, 0))</f>
        <v>0</v>
      </c>
      <c r="CC1315" s="35">
        <f>IF(CB1315 = "", YEAR(Beginning_of_period), IF(MAX($K1315:CB1315) &lt; YEAR(Date_Operations_End), CB1315+1, 0))</f>
        <v>0</v>
      </c>
      <c r="CD1315" s="35">
        <f>IF(CC1315 = "", YEAR(Beginning_of_period), IF(MAX($K1315:CC1315) &lt; YEAR(Date_Operations_End), CC1315+1, 0))</f>
        <v>0</v>
      </c>
      <c r="CE1315" s="35">
        <f>IF(CD1315 = "", YEAR(Beginning_of_period), IF(MAX($K1315:CD1315) &lt; YEAR(Date_Operations_End), CD1315+1, 0))</f>
        <v>0</v>
      </c>
      <c r="CF1315" s="35">
        <f>IF(CE1315 = "", YEAR(Beginning_of_period), IF(MAX($K1315:CE1315) &lt; YEAR(Date_Operations_End), CE1315+1, 0))</f>
        <v>0</v>
      </c>
      <c r="CG1315" s="35">
        <f>IF(CF1315 = "", YEAR(Beginning_of_period), IF(MAX($K1315:CF1315) &lt; YEAR(Date_Operations_End), CF1315+1, 0))</f>
        <v>0</v>
      </c>
      <c r="CH1315" s="35">
        <f>IF(CG1315 = "", YEAR(Beginning_of_period), IF(MAX($K1315:CG1315) &lt; YEAR(Date_Operations_End), CG1315+1, 0))</f>
        <v>0</v>
      </c>
      <c r="CI1315" s="35">
        <f>IF(CH1315 = "", YEAR(Beginning_of_period), IF(MAX($K1315:CH1315) &lt; YEAR(Date_Operations_End), CH1315+1, 0))</f>
        <v>0</v>
      </c>
      <c r="CJ1315" s="35">
        <f>IF(CI1315 = "", YEAR(Beginning_of_period), IF(MAX($K1315:CI1315) &lt; YEAR(Date_Operations_End), CI1315+1, 0))</f>
        <v>0</v>
      </c>
      <c r="CK1315" s="35">
        <f>IF(CJ1315 = "", YEAR(Beginning_of_period), IF(MAX($K1315:CJ1315) &lt; YEAR(Date_Operations_End), CJ1315+1, 0))</f>
        <v>0</v>
      </c>
      <c r="CL1315" s="35">
        <f>IF(CK1315 = "", YEAR(Beginning_of_period), IF(MAX($K1315:CK1315) &lt; YEAR(Date_Operations_End), CK1315+1, 0))</f>
        <v>0</v>
      </c>
      <c r="CM1315" s="35">
        <f>IF(CL1315 = "", YEAR(Beginning_of_period), IF(MAX($K1315:CL1315) &lt; YEAR(Date_Operations_End), CL1315+1, 0))</f>
        <v>0</v>
      </c>
      <c r="CN1315" s="35">
        <f>IF(CM1315 = "", YEAR(Beginning_of_period), IF(MAX($K1315:CM1315) &lt; YEAR(Date_Operations_End), CM1315+1, 0))</f>
        <v>0</v>
      </c>
      <c r="CO1315" s="35">
        <f>IF(CN1315 = "", YEAR(Beginning_of_period), IF(MAX($K1315:CN1315) &lt; YEAR(Date_Operations_End), CN1315+1, 0))</f>
        <v>0</v>
      </c>
    </row>
    <row r="1316" spans="1:93">
      <c r="A1316" s="10"/>
      <c r="B1316" s="10"/>
      <c r="C1316" s="17" t="s">
        <v>218</v>
      </c>
      <c r="D1316" s="10"/>
      <c r="E1316" s="106"/>
      <c r="F1316" s="10"/>
      <c r="G1316" s="134" t="str">
        <f>Monetary_Unit</f>
        <v>тыс. руб.</v>
      </c>
      <c r="H1316" s="10"/>
      <c r="I1316" s="23">
        <f ca="1">SUM(L1316:CO1316)</f>
        <v>13380911.702312313</v>
      </c>
      <c r="J1316" s="10"/>
      <c r="K1316" s="10"/>
      <c r="L1316" s="52">
        <f ca="1">SUMIF(Year,L$1315,$L1313:$CO1313)</f>
        <v>-82665.685468645795</v>
      </c>
      <c r="M1316" s="52">
        <f t="shared" ref="M1316:BX1316" ca="1" si="1579">SUMIF(Year,M$1315,$L1313:$CO1313)</f>
        <v>-720524.37801153562</v>
      </c>
      <c r="N1316" s="52">
        <f t="shared" ca="1" si="1579"/>
        <v>-755062.17616139771</v>
      </c>
      <c r="O1316" s="52">
        <f t="shared" ca="1" si="1579"/>
        <v>-1496961.8403861744</v>
      </c>
      <c r="P1316" s="52">
        <f t="shared" ca="1" si="1579"/>
        <v>364989.20608070481</v>
      </c>
      <c r="Q1316" s="52">
        <f t="shared" ca="1" si="1579"/>
        <v>631915.38565598265</v>
      </c>
      <c r="R1316" s="52">
        <f t="shared" ca="1" si="1579"/>
        <v>727003.93137241947</v>
      </c>
      <c r="S1316" s="52">
        <f t="shared" ca="1" si="1579"/>
        <v>824380.21797705232</v>
      </c>
      <c r="T1316" s="52">
        <f t="shared" ca="1" si="1579"/>
        <v>852537.3455371419</v>
      </c>
      <c r="U1316" s="52">
        <f t="shared" ca="1" si="1579"/>
        <v>760799.65182775783</v>
      </c>
      <c r="V1316" s="52">
        <f t="shared" ca="1" si="1579"/>
        <v>671542.7981329232</v>
      </c>
      <c r="W1316" s="52">
        <f t="shared" ca="1" si="1579"/>
        <v>696272.09737878665</v>
      </c>
      <c r="X1316" s="52">
        <f t="shared" ca="1" si="1579"/>
        <v>722118.62923451606</v>
      </c>
      <c r="Y1316" s="52">
        <f t="shared" ca="1" si="1579"/>
        <v>742094.23303240421</v>
      </c>
      <c r="Z1316" s="52">
        <f t="shared" ca="1" si="1579"/>
        <v>699652.39890484186</v>
      </c>
      <c r="AA1316" s="52">
        <f t="shared" ca="1" si="1579"/>
        <v>713869.0358755819</v>
      </c>
      <c r="AB1316" s="52">
        <f t="shared" ca="1" si="1579"/>
        <v>744167.45245579071</v>
      </c>
      <c r="AC1316" s="52">
        <f t="shared" ca="1" si="1579"/>
        <v>776731.92671345687</v>
      </c>
      <c r="AD1316" s="52">
        <f t="shared" ca="1" si="1579"/>
        <v>810529.96975931467</v>
      </c>
      <c r="AE1316" s="52">
        <f t="shared" ca="1" si="1579"/>
        <v>846874.50952719396</v>
      </c>
      <c r="AF1316" s="52">
        <f t="shared" ca="1" si="1579"/>
        <v>4850646.9928741967</v>
      </c>
      <c r="AG1316" s="52">
        <f t="shared" si="1579"/>
        <v>0</v>
      </c>
      <c r="AH1316" s="52">
        <f t="shared" si="1579"/>
        <v>0</v>
      </c>
      <c r="AI1316" s="52">
        <f t="shared" si="1579"/>
        <v>0</v>
      </c>
      <c r="AJ1316" s="52">
        <f t="shared" si="1579"/>
        <v>0</v>
      </c>
      <c r="AK1316" s="52">
        <f t="shared" si="1579"/>
        <v>0</v>
      </c>
      <c r="AL1316" s="52">
        <f t="shared" si="1579"/>
        <v>0</v>
      </c>
      <c r="AM1316" s="52">
        <f t="shared" si="1579"/>
        <v>0</v>
      </c>
      <c r="AN1316" s="52">
        <f t="shared" si="1579"/>
        <v>0</v>
      </c>
      <c r="AO1316" s="52">
        <f t="shared" si="1579"/>
        <v>0</v>
      </c>
      <c r="AP1316" s="52">
        <f t="shared" si="1579"/>
        <v>0</v>
      </c>
      <c r="AQ1316" s="52">
        <f t="shared" si="1579"/>
        <v>0</v>
      </c>
      <c r="AR1316" s="52">
        <f t="shared" si="1579"/>
        <v>0</v>
      </c>
      <c r="AS1316" s="52">
        <f t="shared" si="1579"/>
        <v>0</v>
      </c>
      <c r="AT1316" s="52">
        <f t="shared" si="1579"/>
        <v>0</v>
      </c>
      <c r="AU1316" s="52">
        <f t="shared" si="1579"/>
        <v>0</v>
      </c>
      <c r="AV1316" s="52">
        <f t="shared" si="1579"/>
        <v>0</v>
      </c>
      <c r="AW1316" s="52">
        <f t="shared" si="1579"/>
        <v>0</v>
      </c>
      <c r="AX1316" s="52">
        <f t="shared" si="1579"/>
        <v>0</v>
      </c>
      <c r="AY1316" s="52">
        <f t="shared" si="1579"/>
        <v>0</v>
      </c>
      <c r="AZ1316" s="52">
        <f t="shared" si="1579"/>
        <v>0</v>
      </c>
      <c r="BA1316" s="52">
        <f t="shared" si="1579"/>
        <v>0</v>
      </c>
      <c r="BB1316" s="52">
        <f t="shared" si="1579"/>
        <v>0</v>
      </c>
      <c r="BC1316" s="52">
        <f t="shared" si="1579"/>
        <v>0</v>
      </c>
      <c r="BD1316" s="52">
        <f t="shared" si="1579"/>
        <v>0</v>
      </c>
      <c r="BE1316" s="52">
        <f t="shared" si="1579"/>
        <v>0</v>
      </c>
      <c r="BF1316" s="52">
        <f t="shared" si="1579"/>
        <v>0</v>
      </c>
      <c r="BG1316" s="52">
        <f t="shared" si="1579"/>
        <v>0</v>
      </c>
      <c r="BH1316" s="52">
        <f t="shared" si="1579"/>
        <v>0</v>
      </c>
      <c r="BI1316" s="52">
        <f t="shared" si="1579"/>
        <v>0</v>
      </c>
      <c r="BJ1316" s="52">
        <f t="shared" si="1579"/>
        <v>0</v>
      </c>
      <c r="BK1316" s="52">
        <f t="shared" si="1579"/>
        <v>0</v>
      </c>
      <c r="BL1316" s="52">
        <f t="shared" si="1579"/>
        <v>0</v>
      </c>
      <c r="BM1316" s="52">
        <f t="shared" si="1579"/>
        <v>0</v>
      </c>
      <c r="BN1316" s="52">
        <f t="shared" si="1579"/>
        <v>0</v>
      </c>
      <c r="BO1316" s="52">
        <f t="shared" si="1579"/>
        <v>0</v>
      </c>
      <c r="BP1316" s="52">
        <f t="shared" si="1579"/>
        <v>0</v>
      </c>
      <c r="BQ1316" s="52">
        <f t="shared" si="1579"/>
        <v>0</v>
      </c>
      <c r="BR1316" s="52">
        <f t="shared" si="1579"/>
        <v>0</v>
      </c>
      <c r="BS1316" s="52">
        <f t="shared" si="1579"/>
        <v>0</v>
      </c>
      <c r="BT1316" s="52">
        <f t="shared" si="1579"/>
        <v>0</v>
      </c>
      <c r="BU1316" s="52">
        <f t="shared" si="1579"/>
        <v>0</v>
      </c>
      <c r="BV1316" s="52">
        <f t="shared" si="1579"/>
        <v>0</v>
      </c>
      <c r="BW1316" s="52">
        <f t="shared" si="1579"/>
        <v>0</v>
      </c>
      <c r="BX1316" s="52">
        <f t="shared" si="1579"/>
        <v>0</v>
      </c>
      <c r="BY1316" s="52">
        <f t="shared" ref="BY1316:CO1316" si="1580">SUMIF(Year,BY$1315,$L1313:$CO1313)</f>
        <v>0</v>
      </c>
      <c r="BZ1316" s="52">
        <f t="shared" si="1580"/>
        <v>0</v>
      </c>
      <c r="CA1316" s="52">
        <f t="shared" si="1580"/>
        <v>0</v>
      </c>
      <c r="CB1316" s="52">
        <f t="shared" si="1580"/>
        <v>0</v>
      </c>
      <c r="CC1316" s="52">
        <f t="shared" si="1580"/>
        <v>0</v>
      </c>
      <c r="CD1316" s="52">
        <f t="shared" si="1580"/>
        <v>0</v>
      </c>
      <c r="CE1316" s="52">
        <f t="shared" si="1580"/>
        <v>0</v>
      </c>
      <c r="CF1316" s="52">
        <f t="shared" si="1580"/>
        <v>0</v>
      </c>
      <c r="CG1316" s="52">
        <f t="shared" si="1580"/>
        <v>0</v>
      </c>
      <c r="CH1316" s="52">
        <f t="shared" si="1580"/>
        <v>0</v>
      </c>
      <c r="CI1316" s="52">
        <f t="shared" si="1580"/>
        <v>0</v>
      </c>
      <c r="CJ1316" s="52">
        <f t="shared" si="1580"/>
        <v>0</v>
      </c>
      <c r="CK1316" s="52">
        <f t="shared" si="1580"/>
        <v>0</v>
      </c>
      <c r="CL1316" s="52">
        <f t="shared" si="1580"/>
        <v>0</v>
      </c>
      <c r="CM1316" s="52">
        <f t="shared" si="1580"/>
        <v>0</v>
      </c>
      <c r="CN1316" s="52">
        <f t="shared" si="1580"/>
        <v>0</v>
      </c>
      <c r="CO1316" s="52">
        <f t="shared" si="1580"/>
        <v>0</v>
      </c>
    </row>
    <row r="1317" spans="1:93">
      <c r="A1317" s="10"/>
      <c r="B1317" s="10"/>
      <c r="C1317" s="17"/>
      <c r="D1317" s="10"/>
      <c r="E1317" s="62"/>
      <c r="F1317" s="10"/>
      <c r="G1317" s="11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0"/>
      <c r="AH1317" s="10"/>
      <c r="AI1317" s="10"/>
      <c r="AJ1317" s="10"/>
      <c r="AK1317" s="10"/>
      <c r="AL1317" s="10"/>
      <c r="AM1317" s="10"/>
      <c r="AN1317" s="10"/>
      <c r="AO1317" s="10"/>
      <c r="AP1317" s="10"/>
      <c r="AQ1317" s="10"/>
      <c r="AR1317" s="10"/>
      <c r="AS1317" s="10"/>
      <c r="AT1317" s="10"/>
      <c r="AU1317" s="10"/>
      <c r="AV1317" s="10"/>
      <c r="AW1317" s="10"/>
      <c r="AX1317" s="10"/>
      <c r="AY1317" s="10"/>
      <c r="AZ1317" s="10"/>
      <c r="BA1317" s="10"/>
      <c r="BB1317" s="10"/>
      <c r="BC1317" s="10"/>
      <c r="BD1317" s="10"/>
      <c r="BE1317" s="10"/>
      <c r="BF1317" s="10"/>
      <c r="BG1317" s="10"/>
      <c r="BH1317" s="10"/>
      <c r="BI1317" s="10"/>
      <c r="BJ1317" s="10"/>
      <c r="BK1317" s="10"/>
      <c r="BL1317" s="10"/>
      <c r="BM1317" s="10"/>
      <c r="BN1317" s="10"/>
      <c r="BO1317" s="10"/>
      <c r="BP1317" s="10"/>
      <c r="BQ1317" s="10"/>
      <c r="BR1317" s="10"/>
      <c r="BS1317" s="10"/>
      <c r="BT1317" s="10"/>
      <c r="BU1317" s="10"/>
      <c r="BV1317" s="10"/>
      <c r="BW1317" s="10"/>
      <c r="BX1317" s="10"/>
      <c r="BY1317" s="10"/>
      <c r="BZ1317" s="10"/>
      <c r="CA1317" s="10"/>
      <c r="CB1317" s="10"/>
      <c r="CC1317" s="10"/>
      <c r="CD1317" s="10"/>
      <c r="CE1317" s="10"/>
      <c r="CF1317" s="10"/>
      <c r="CG1317" s="10"/>
      <c r="CH1317" s="10"/>
      <c r="CI1317" s="10"/>
      <c r="CJ1317" s="10"/>
      <c r="CK1317" s="10"/>
      <c r="CL1317" s="10"/>
      <c r="CM1317" s="10"/>
      <c r="CN1317" s="10"/>
      <c r="CO1317" s="10"/>
    </row>
    <row r="1318" spans="1:93">
      <c r="A1318" s="10"/>
      <c r="B1318" s="10"/>
      <c r="C1318" s="17" t="s">
        <v>523</v>
      </c>
      <c r="D1318" s="10"/>
      <c r="E1318" s="62"/>
      <c r="F1318" s="10"/>
      <c r="G1318" s="134" t="str">
        <f>Monetary_Unit</f>
        <v>тыс. руб.</v>
      </c>
      <c r="H1318" s="10"/>
      <c r="I1318" s="10"/>
      <c r="J1318" s="10"/>
      <c r="K1318" s="10"/>
      <c r="L1318" s="10">
        <f ca="1">NPV(WACC,$L1316:L1316)*(L1316&lt;&gt;0)</f>
        <v>-76212.31527245231</v>
      </c>
      <c r="M1318" s="10">
        <f ca="1">NPV(WACC,$L1316:M1316)*(M1316&lt;&gt;0)</f>
        <v>-688631.02101646946</v>
      </c>
      <c r="N1318" s="10">
        <f ca="1">NPV(WACC,$L1316:N1316)*(N1316&lt;&gt;0)</f>
        <v>-1280304.8605073045</v>
      </c>
      <c r="O1318" s="10">
        <f ca="1">NPV(WACC,$L1316:O1316)*(O1316&lt;&gt;0)</f>
        <v>-2361764.3754486344</v>
      </c>
      <c r="P1318" s="10">
        <f ca="1">NPV(WACC,$L1316:P1316)*(P1316&lt;&gt;0)</f>
        <v>-2118667.4638013844</v>
      </c>
      <c r="Q1318" s="10">
        <f ca="1">NPV(WACC,$L1316:Q1316)*(Q1316&lt;&gt;0)</f>
        <v>-1730643.7804017505</v>
      </c>
      <c r="R1318" s="10">
        <f ca="1">NPV(WACC,$L1316:R1316)*(R1316&lt;&gt;0)</f>
        <v>-1319081.1370727993</v>
      </c>
      <c r="S1318" s="10">
        <f ca="1">NPV(WACC,$L1316:S1316)*(S1316&lt;&gt;0)</f>
        <v>-888825.43524495617</v>
      </c>
      <c r="T1318" s="10">
        <f ca="1">NPV(WACC,$L1316:T1316)*(T1316&lt;&gt;0)</f>
        <v>-478609.64912232407</v>
      </c>
      <c r="U1318" s="10">
        <f ca="1">NPV(WACC,$L1316:U1316)*(U1316&lt;&gt;0)</f>
        <v>-141113.24815275197</v>
      </c>
      <c r="V1318" s="10">
        <f ca="1">NPV(WACC,$L1316:V1316)*(V1316&lt;&gt;0)</f>
        <v>133532.20956406285</v>
      </c>
      <c r="W1318" s="10">
        <f ca="1">NPV(WACC,$L1316:W1316)*(W1316&lt;&gt;0)</f>
        <v>396061.40062478103</v>
      </c>
      <c r="X1318" s="10">
        <f ca="1">NPV(WACC,$L1316:X1316)*(X1316&lt;&gt;0)</f>
        <v>647080.65894066414</v>
      </c>
      <c r="Y1318" s="10">
        <f ca="1">NPV(WACC,$L1316:Y1316)*(Y1316&lt;&gt;0)</f>
        <v>884905.61963432585</v>
      </c>
      <c r="Z1318" s="10">
        <f ca="1">NPV(WACC,$L1316:Z1316)*(Z1316&lt;&gt;0)</f>
        <v>1091624.7116039472</v>
      </c>
      <c r="AA1318" s="10">
        <f ca="1">NPV(WACC,$L1316:AA1316)*(AA1316&lt;&gt;0)</f>
        <v>1286078.6259924315</v>
      </c>
      <c r="AB1318" s="10">
        <f ca="1">NPV(WACC,$L1316:AB1316)*(AB1316&lt;&gt;0)</f>
        <v>1472961.154169546</v>
      </c>
      <c r="AC1318" s="10">
        <f ca="1">NPV(WACC,$L1316:AC1316)*(AC1316&lt;&gt;0)</f>
        <v>1652794.0219706737</v>
      </c>
      <c r="AD1318" s="10">
        <f ca="1">NPV(WACC,$L1316:AD1316)*(AD1316&lt;&gt;0)</f>
        <v>1825802.2966419172</v>
      </c>
      <c r="AE1318" s="10">
        <f ca="1">NPV(WACC,$L1316:AE1316)*(AE1316&lt;&gt;0)</f>
        <v>1992456.6805776367</v>
      </c>
      <c r="AF1318" s="10">
        <f ca="1">NPV(WACC,$L1316:AF1316)*(AF1316&lt;&gt;0)</f>
        <v>2872486.190273222</v>
      </c>
      <c r="AG1318" s="10">
        <f ca="1">NPV(WACC,$L1316:AG1316)*(AG1316&lt;&gt;0)</f>
        <v>0</v>
      </c>
      <c r="AH1318" s="10">
        <f ca="1">NPV(WACC,$L1316:AH1316)*(AH1316&lt;&gt;0)</f>
        <v>0</v>
      </c>
      <c r="AI1318" s="10">
        <f ca="1">NPV(WACC,$L1316:AI1316)*(AI1316&lt;&gt;0)</f>
        <v>0</v>
      </c>
      <c r="AJ1318" s="10">
        <f ca="1">NPV(WACC,$L1316:AJ1316)*(AJ1316&lt;&gt;0)</f>
        <v>0</v>
      </c>
      <c r="AK1318" s="10">
        <f ca="1">NPV(WACC,$L1316:AK1316)*(AK1316&lt;&gt;0)</f>
        <v>0</v>
      </c>
      <c r="AL1318" s="10">
        <f ca="1">NPV(WACC,$L1316:AL1316)*(AL1316&lt;&gt;0)</f>
        <v>0</v>
      </c>
      <c r="AM1318" s="10">
        <f ca="1">NPV(WACC,$L1316:AM1316)*(AM1316&lt;&gt;0)</f>
        <v>0</v>
      </c>
      <c r="AN1318" s="10">
        <f ca="1">NPV(WACC,$L1316:AN1316)*(AN1316&lt;&gt;0)</f>
        <v>0</v>
      </c>
      <c r="AO1318" s="10">
        <f ca="1">NPV(WACC,$L1316:AO1316)*(AO1316&lt;&gt;0)</f>
        <v>0</v>
      </c>
      <c r="AP1318" s="10">
        <f ca="1">NPV(WACC,$L1316:AP1316)*(AP1316&lt;&gt;0)</f>
        <v>0</v>
      </c>
      <c r="AQ1318" s="10">
        <f ca="1">NPV(WACC,$L1316:AQ1316)*(AQ1316&lt;&gt;0)</f>
        <v>0</v>
      </c>
      <c r="AR1318" s="10">
        <f ca="1">NPV(WACC,$L1316:AR1316)*(AR1316&lt;&gt;0)</f>
        <v>0</v>
      </c>
      <c r="AS1318" s="10">
        <f ca="1">NPV(WACC,$L1316:AS1316)*(AS1316&lt;&gt;0)</f>
        <v>0</v>
      </c>
      <c r="AT1318" s="10">
        <f ca="1">NPV(WACC,$L1316:AT1316)*(AT1316&lt;&gt;0)</f>
        <v>0</v>
      </c>
      <c r="AU1318" s="10">
        <f ca="1">NPV(WACC,$L1316:AU1316)*(AU1316&lt;&gt;0)</f>
        <v>0</v>
      </c>
      <c r="AV1318" s="10">
        <f ca="1">NPV(WACC,$L1316:AV1316)*(AV1316&lt;&gt;0)</f>
        <v>0</v>
      </c>
      <c r="AW1318" s="10">
        <f ca="1">NPV(WACC,$L1316:AW1316)*(AW1316&lt;&gt;0)</f>
        <v>0</v>
      </c>
      <c r="AX1318" s="10">
        <f ca="1">NPV(WACC,$L1316:AX1316)*(AX1316&lt;&gt;0)</f>
        <v>0</v>
      </c>
      <c r="AY1318" s="10">
        <f ca="1">NPV(WACC,$L1316:AY1316)*(AY1316&lt;&gt;0)</f>
        <v>0</v>
      </c>
      <c r="AZ1318" s="10">
        <f ca="1">NPV(WACC,$L1316:AZ1316)*(AZ1316&lt;&gt;0)</f>
        <v>0</v>
      </c>
      <c r="BA1318" s="10">
        <f ca="1">NPV(WACC,$L1316:BA1316)*(BA1316&lt;&gt;0)</f>
        <v>0</v>
      </c>
      <c r="BB1318" s="10">
        <f ca="1">NPV(WACC,$L1316:BB1316)*(BB1316&lt;&gt;0)</f>
        <v>0</v>
      </c>
      <c r="BC1318" s="10">
        <f ca="1">NPV(WACC,$L1316:BC1316)*(BC1316&lt;&gt;0)</f>
        <v>0</v>
      </c>
      <c r="BD1318" s="10">
        <f ca="1">NPV(WACC,$L1316:BD1316)*(BD1316&lt;&gt;0)</f>
        <v>0</v>
      </c>
      <c r="BE1318" s="10">
        <f ca="1">NPV(WACC,$L1316:BE1316)*(BE1316&lt;&gt;0)</f>
        <v>0</v>
      </c>
      <c r="BF1318" s="10">
        <f ca="1">NPV(WACC,$L1316:BF1316)*(BF1316&lt;&gt;0)</f>
        <v>0</v>
      </c>
      <c r="BG1318" s="10">
        <f ca="1">NPV(WACC,$L1316:BG1316)*(BG1316&lt;&gt;0)</f>
        <v>0</v>
      </c>
      <c r="BH1318" s="10">
        <f ca="1">NPV(WACC,$L1316:BH1316)*(BH1316&lt;&gt;0)</f>
        <v>0</v>
      </c>
      <c r="BI1318" s="10">
        <f ca="1">NPV(WACC,$L1316:BI1316)*(BI1316&lt;&gt;0)</f>
        <v>0</v>
      </c>
      <c r="BJ1318" s="10">
        <f ca="1">NPV(WACC,$L1316:BJ1316)*(BJ1316&lt;&gt;0)</f>
        <v>0</v>
      </c>
      <c r="BK1318" s="10">
        <f ca="1">NPV(WACC,$L1316:BK1316)*(BK1316&lt;&gt;0)</f>
        <v>0</v>
      </c>
      <c r="BL1318" s="10">
        <f ca="1">NPV(WACC,$L1316:BL1316)*(BL1316&lt;&gt;0)</f>
        <v>0</v>
      </c>
      <c r="BM1318" s="10">
        <f ca="1">NPV(WACC,$L1316:BM1316)*(BM1316&lt;&gt;0)</f>
        <v>0</v>
      </c>
      <c r="BN1318" s="10">
        <f ca="1">NPV(WACC,$L1316:BN1316)*(BN1316&lt;&gt;0)</f>
        <v>0</v>
      </c>
      <c r="BO1318" s="10">
        <f ca="1">NPV(WACC,$L1316:BO1316)*(BO1316&lt;&gt;0)</f>
        <v>0</v>
      </c>
      <c r="BP1318" s="10">
        <f ca="1">NPV(WACC,$L1316:BP1316)*(BP1316&lt;&gt;0)</f>
        <v>0</v>
      </c>
      <c r="BQ1318" s="10">
        <f ca="1">NPV(WACC,$L1316:BQ1316)*(BQ1316&lt;&gt;0)</f>
        <v>0</v>
      </c>
      <c r="BR1318" s="10">
        <f ca="1">NPV(WACC,$L1316:BR1316)*(BR1316&lt;&gt;0)</f>
        <v>0</v>
      </c>
      <c r="BS1318" s="10">
        <f ca="1">NPV(WACC,$L1316:BS1316)*(BS1316&lt;&gt;0)</f>
        <v>0</v>
      </c>
      <c r="BT1318" s="10">
        <f ca="1">NPV(WACC,$L1316:BT1316)*(BT1316&lt;&gt;0)</f>
        <v>0</v>
      </c>
      <c r="BU1318" s="10">
        <f ca="1">NPV(WACC,$L1316:BU1316)*(BU1316&lt;&gt;0)</f>
        <v>0</v>
      </c>
      <c r="BV1318" s="10">
        <f ca="1">NPV(WACC,$L1316:BV1316)*(BV1316&lt;&gt;0)</f>
        <v>0</v>
      </c>
      <c r="BW1318" s="10">
        <f ca="1">NPV(WACC,$L1316:BW1316)*(BW1316&lt;&gt;0)</f>
        <v>0</v>
      </c>
      <c r="BX1318" s="10">
        <f ca="1">NPV(WACC,$L1316:BX1316)*(BX1316&lt;&gt;0)</f>
        <v>0</v>
      </c>
      <c r="BY1318" s="10">
        <f ca="1">NPV(WACC,$L1316:BY1316)*(BY1316&lt;&gt;0)</f>
        <v>0</v>
      </c>
      <c r="BZ1318" s="10">
        <f ca="1">NPV(WACC,$L1316:BZ1316)*(BZ1316&lt;&gt;0)</f>
        <v>0</v>
      </c>
      <c r="CA1318" s="10">
        <f ca="1">NPV(WACC,$L1316:CA1316)*(CA1316&lt;&gt;0)</f>
        <v>0</v>
      </c>
      <c r="CB1318" s="10">
        <f ca="1">NPV(WACC,$L1316:CB1316)*(CB1316&lt;&gt;0)</f>
        <v>0</v>
      </c>
      <c r="CC1318" s="10">
        <f ca="1">NPV(WACC,$L1316:CC1316)*(CC1316&lt;&gt;0)</f>
        <v>0</v>
      </c>
      <c r="CD1318" s="10">
        <f ca="1">NPV(WACC,$L1316:CD1316)*(CD1316&lt;&gt;0)</f>
        <v>0</v>
      </c>
      <c r="CE1318" s="10">
        <f ca="1">NPV(WACC,$L1316:CE1316)*(CE1316&lt;&gt;0)</f>
        <v>0</v>
      </c>
      <c r="CF1318" s="10">
        <f ca="1">NPV(WACC,$L1316:CF1316)*(CF1316&lt;&gt;0)</f>
        <v>0</v>
      </c>
      <c r="CG1318" s="10">
        <f ca="1">NPV(WACC,$L1316:CG1316)*(CG1316&lt;&gt;0)</f>
        <v>0</v>
      </c>
      <c r="CH1318" s="10">
        <f ca="1">NPV(WACC,$L1316:CH1316)*(CH1316&lt;&gt;0)</f>
        <v>0</v>
      </c>
      <c r="CI1318" s="10">
        <f ca="1">NPV(WACC,$L1316:CI1316)*(CI1316&lt;&gt;0)</f>
        <v>0</v>
      </c>
      <c r="CJ1318" s="10">
        <f ca="1">NPV(WACC,$L1316:CJ1316)*(CJ1316&lt;&gt;0)</f>
        <v>0</v>
      </c>
      <c r="CK1318" s="10">
        <f ca="1">NPV(WACC,$L1316:CK1316)*(CK1316&lt;&gt;0)</f>
        <v>0</v>
      </c>
      <c r="CL1318" s="10">
        <f ca="1">NPV(WACC,$L1316:CL1316)*(CL1316&lt;&gt;0)</f>
        <v>0</v>
      </c>
      <c r="CM1318" s="10">
        <f ca="1">NPV(WACC,$L1316:CM1316)*(CM1316&lt;&gt;0)</f>
        <v>0</v>
      </c>
      <c r="CN1318" s="10">
        <f ca="1">NPV(WACC,$L1316:CN1316)*(CN1316&lt;&gt;0)</f>
        <v>0</v>
      </c>
      <c r="CO1318" s="10">
        <f ca="1">NPV(WACC,$L1316:CO1316)*(CO1316&lt;&gt;0)</f>
        <v>0</v>
      </c>
    </row>
    <row r="1319" spans="1:93">
      <c r="A1319" s="10"/>
      <c r="B1319" s="10"/>
      <c r="C1319" s="17" t="s">
        <v>524</v>
      </c>
      <c r="D1319" s="10"/>
      <c r="E1319" s="62"/>
      <c r="F1319" s="10"/>
      <c r="G1319" s="11" t="s">
        <v>28</v>
      </c>
      <c r="H1319" s="10"/>
      <c r="I1319" s="10"/>
      <c r="J1319" s="10"/>
      <c r="K1319" s="10"/>
      <c r="L1319" s="58">
        <f ca="1">IFERROR(IRR($L1316:L1316),0)*(L1316&lt;&gt;0)</f>
        <v>0</v>
      </c>
      <c r="M1319" s="58">
        <f ca="1">IFERROR(IRR($L1316:M1316),0)*(M1316&lt;&gt;0)</f>
        <v>0</v>
      </c>
      <c r="N1319" s="58">
        <f ca="1">IFERROR(IRR($L1316:N1316),0)*(N1316&lt;&gt;0)</f>
        <v>0</v>
      </c>
      <c r="O1319" s="58">
        <f ca="1">IFERROR(IRR($L1316:O1316),0)*(O1316&lt;&gt;0)</f>
        <v>0</v>
      </c>
      <c r="P1319" s="58">
        <f ca="1">IFERROR(IRR($L1316:P1316),0)*(P1316&lt;&gt;0)</f>
        <v>0</v>
      </c>
      <c r="Q1319" s="58">
        <f ca="1">IFERROR(IRR($L1316:Q1316),0)*(Q1316&lt;&gt;0)</f>
        <v>0</v>
      </c>
      <c r="R1319" s="58">
        <f ca="1">IFERROR(IRR($L1316:R1316),0)*(R1316&lt;&gt;0)</f>
        <v>-0.17407760670126449</v>
      </c>
      <c r="S1319" s="58">
        <f ca="1">IFERROR(IRR($L1316:S1316),0)*(S1316&lt;&gt;0)</f>
        <v>-4.919044416545304E-2</v>
      </c>
      <c r="T1319" s="58">
        <f ca="1">IFERROR(IRR($L1316:T1316),0)*(T1316&lt;&gt;0)</f>
        <v>2.6282149185164361E-2</v>
      </c>
      <c r="U1319" s="58">
        <f ca="1">IFERROR(IRR($L1316:U1316),0)*(U1316&lt;&gt;0)</f>
        <v>6.993711415722359E-2</v>
      </c>
      <c r="V1319" s="58">
        <f ca="1">IFERROR(IRR($L1316:V1316),0)*(V1316&lt;&gt;0)</f>
        <v>9.7050242706608225E-2</v>
      </c>
      <c r="W1319" s="58">
        <f ca="1">IFERROR(IRR($L1316:W1316),0)*(W1316&lt;&gt;0)</f>
        <v>0.11756267769483486</v>
      </c>
      <c r="X1319" s="58">
        <f ca="1">IFERROR(IRR($L1316:X1316),0)*(X1316&lt;&gt;0)</f>
        <v>0.13327960000885075</v>
      </c>
      <c r="Y1319" s="58">
        <f ca="1">IFERROR(IRR($L1316:Y1316),0)*(Y1316&lt;&gt;0)</f>
        <v>0.14537304789334438</v>
      </c>
      <c r="Z1319" s="58">
        <f ca="1">IFERROR(IRR($L1316:Z1316),0)*(Z1316&lt;&gt;0)</f>
        <v>0.15406639828895941</v>
      </c>
      <c r="AA1319" s="58">
        <f ca="1">IFERROR(IRR($L1316:AA1316),0)*(AA1316&lt;&gt;0)</f>
        <v>0.16093830908548656</v>
      </c>
      <c r="AB1319" s="58">
        <f ca="1">IFERROR(IRR($L1316:AB1316),0)*(AB1316&lt;&gt;0)</f>
        <v>0.16653288128117971</v>
      </c>
      <c r="AC1319" s="58">
        <f ca="1">IFERROR(IRR($L1316:AC1316),0)*(AC1316&lt;&gt;0)</f>
        <v>0.17112224097720752</v>
      </c>
      <c r="AD1319" s="58">
        <f ca="1">IFERROR(IRR($L1316:AD1316),0)*(AD1316&lt;&gt;0)</f>
        <v>0.17490820975254806</v>
      </c>
      <c r="AE1319" s="58">
        <f ca="1">IFERROR(IRR($L1316:AE1316),0)*(AE1316&lt;&gt;0)</f>
        <v>0.178052190974058</v>
      </c>
      <c r="AF1319" s="58">
        <f ca="1">IFERROR(IRR($L1316:AF1316),0)*(AF1316&lt;&gt;0)</f>
        <v>0.19090007845891566</v>
      </c>
      <c r="AG1319" s="58">
        <f ca="1">IFERROR(IRR($L1316:AG1316),0)*(AG1316&lt;&gt;0)</f>
        <v>0</v>
      </c>
      <c r="AH1319" s="58">
        <f ca="1">IFERROR(IRR($L1316:AH1316),0)*(AH1316&lt;&gt;0)</f>
        <v>0</v>
      </c>
      <c r="AI1319" s="58">
        <f ca="1">IFERROR(IRR($L1316:AI1316),0)*(AI1316&lt;&gt;0)</f>
        <v>0</v>
      </c>
      <c r="AJ1319" s="58">
        <f ca="1">IFERROR(IRR($L1316:AJ1316),0)*(AJ1316&lt;&gt;0)</f>
        <v>0</v>
      </c>
      <c r="AK1319" s="58">
        <f ca="1">IFERROR(IRR($L1316:AK1316),0)*(AK1316&lt;&gt;0)</f>
        <v>0</v>
      </c>
      <c r="AL1319" s="58">
        <f ca="1">IFERROR(IRR($L1316:AL1316),0)*(AL1316&lt;&gt;0)</f>
        <v>0</v>
      </c>
      <c r="AM1319" s="58">
        <f ca="1">IFERROR(IRR($L1316:AM1316),0)*(AM1316&lt;&gt;0)</f>
        <v>0</v>
      </c>
      <c r="AN1319" s="58">
        <f ca="1">IFERROR(IRR($L1316:AN1316),0)*(AN1316&lt;&gt;0)</f>
        <v>0</v>
      </c>
      <c r="AO1319" s="58">
        <f ca="1">IFERROR(IRR($L1316:AO1316),0)*(AO1316&lt;&gt;0)</f>
        <v>0</v>
      </c>
      <c r="AP1319" s="58">
        <f ca="1">IFERROR(IRR($L1316:AP1316),0)*(AP1316&lt;&gt;0)</f>
        <v>0</v>
      </c>
      <c r="AQ1319" s="58">
        <f ca="1">IFERROR(IRR($L1316:AQ1316),0)*(AQ1316&lt;&gt;0)</f>
        <v>0</v>
      </c>
      <c r="AR1319" s="58">
        <f ca="1">IFERROR(IRR($L1316:AR1316),0)*(AR1316&lt;&gt;0)</f>
        <v>0</v>
      </c>
      <c r="AS1319" s="58">
        <f ca="1">IFERROR(IRR($L1316:AS1316),0)*(AS1316&lt;&gt;0)</f>
        <v>0</v>
      </c>
      <c r="AT1319" s="58">
        <f ca="1">IFERROR(IRR($L1316:AT1316),0)*(AT1316&lt;&gt;0)</f>
        <v>0</v>
      </c>
      <c r="AU1319" s="58">
        <f ca="1">IFERROR(IRR($L1316:AU1316),0)*(AU1316&lt;&gt;0)</f>
        <v>0</v>
      </c>
      <c r="AV1319" s="58">
        <f ca="1">IFERROR(IRR($L1316:AV1316),0)*(AV1316&lt;&gt;0)</f>
        <v>0</v>
      </c>
      <c r="AW1319" s="58">
        <f ca="1">IFERROR(IRR($L1316:AW1316),0)*(AW1316&lt;&gt;0)</f>
        <v>0</v>
      </c>
      <c r="AX1319" s="58">
        <f ca="1">IFERROR(IRR($L1316:AX1316),0)*(AX1316&lt;&gt;0)</f>
        <v>0</v>
      </c>
      <c r="AY1319" s="58">
        <f ca="1">IFERROR(IRR($L1316:AY1316),0)*(AY1316&lt;&gt;0)</f>
        <v>0</v>
      </c>
      <c r="AZ1319" s="58">
        <f ca="1">IFERROR(IRR($L1316:AZ1316),0)*(AZ1316&lt;&gt;0)</f>
        <v>0</v>
      </c>
      <c r="BA1319" s="58">
        <f ca="1">IFERROR(IRR($L1316:BA1316),0)*(BA1316&lt;&gt;0)</f>
        <v>0</v>
      </c>
      <c r="BB1319" s="58">
        <f ca="1">IFERROR(IRR($L1316:BB1316),0)*(BB1316&lt;&gt;0)</f>
        <v>0</v>
      </c>
      <c r="BC1319" s="58">
        <f ca="1">IFERROR(IRR($L1316:BC1316),0)*(BC1316&lt;&gt;0)</f>
        <v>0</v>
      </c>
      <c r="BD1319" s="58">
        <f ca="1">IFERROR(IRR($L1316:BD1316),0)*(BD1316&lt;&gt;0)</f>
        <v>0</v>
      </c>
      <c r="BE1319" s="58">
        <f ca="1">IFERROR(IRR($L1316:BE1316),0)*(BE1316&lt;&gt;0)</f>
        <v>0</v>
      </c>
      <c r="BF1319" s="58">
        <f ca="1">IFERROR(IRR($L1316:BF1316),0)*(BF1316&lt;&gt;0)</f>
        <v>0</v>
      </c>
      <c r="BG1319" s="58">
        <f ca="1">IFERROR(IRR($L1316:BG1316),0)*(BG1316&lt;&gt;0)</f>
        <v>0</v>
      </c>
      <c r="BH1319" s="58">
        <f ca="1">IFERROR(IRR($L1316:BH1316),0)*(BH1316&lt;&gt;0)</f>
        <v>0</v>
      </c>
      <c r="BI1319" s="58">
        <f ca="1">IFERROR(IRR($L1316:BI1316),0)*(BI1316&lt;&gt;0)</f>
        <v>0</v>
      </c>
      <c r="BJ1319" s="58">
        <f ca="1">IFERROR(IRR($L1316:BJ1316),0)*(BJ1316&lt;&gt;0)</f>
        <v>0</v>
      </c>
      <c r="BK1319" s="58">
        <f ca="1">IFERROR(IRR($L1316:BK1316),0)*(BK1316&lt;&gt;0)</f>
        <v>0</v>
      </c>
      <c r="BL1319" s="58">
        <f ca="1">IFERROR(IRR($L1316:BL1316),0)*(BL1316&lt;&gt;0)</f>
        <v>0</v>
      </c>
      <c r="BM1319" s="58">
        <f ca="1">IFERROR(IRR($L1316:BM1316),0)*(BM1316&lt;&gt;0)</f>
        <v>0</v>
      </c>
      <c r="BN1319" s="58">
        <f ca="1">IFERROR(IRR($L1316:BN1316),0)*(BN1316&lt;&gt;0)</f>
        <v>0</v>
      </c>
      <c r="BO1319" s="58">
        <f ca="1">IFERROR(IRR($L1316:BO1316),0)*(BO1316&lt;&gt;0)</f>
        <v>0</v>
      </c>
      <c r="BP1319" s="58">
        <f ca="1">IFERROR(IRR($L1316:BP1316),0)*(BP1316&lt;&gt;0)</f>
        <v>0</v>
      </c>
      <c r="BQ1319" s="58">
        <f ca="1">IFERROR(IRR($L1316:BQ1316),0)*(BQ1316&lt;&gt;0)</f>
        <v>0</v>
      </c>
      <c r="BR1319" s="58">
        <f ca="1">IFERROR(IRR($L1316:BR1316),0)*(BR1316&lt;&gt;0)</f>
        <v>0</v>
      </c>
      <c r="BS1319" s="58">
        <f ca="1">IFERROR(IRR($L1316:BS1316),0)*(BS1316&lt;&gt;0)</f>
        <v>0</v>
      </c>
      <c r="BT1319" s="58">
        <f ca="1">IFERROR(IRR($L1316:BT1316),0)*(BT1316&lt;&gt;0)</f>
        <v>0</v>
      </c>
      <c r="BU1319" s="58">
        <f ca="1">IFERROR(IRR($L1316:BU1316),0)*(BU1316&lt;&gt;0)</f>
        <v>0</v>
      </c>
      <c r="BV1319" s="58">
        <f ca="1">IFERROR(IRR($L1316:BV1316),0)*(BV1316&lt;&gt;0)</f>
        <v>0</v>
      </c>
      <c r="BW1319" s="58">
        <f ca="1">IFERROR(IRR($L1316:BW1316),0)*(BW1316&lt;&gt;0)</f>
        <v>0</v>
      </c>
      <c r="BX1319" s="58">
        <f ca="1">IFERROR(IRR($L1316:BX1316),0)*(BX1316&lt;&gt;0)</f>
        <v>0</v>
      </c>
      <c r="BY1319" s="58">
        <f ca="1">IFERROR(IRR($L1316:BY1316),0)*(BY1316&lt;&gt;0)</f>
        <v>0</v>
      </c>
      <c r="BZ1319" s="58">
        <f ca="1">IFERROR(IRR($L1316:BZ1316),0)*(BZ1316&lt;&gt;0)</f>
        <v>0</v>
      </c>
      <c r="CA1319" s="58">
        <f ca="1">IFERROR(IRR($L1316:CA1316),0)*(CA1316&lt;&gt;0)</f>
        <v>0</v>
      </c>
      <c r="CB1319" s="58">
        <f ca="1">IFERROR(IRR($L1316:CB1316),0)*(CB1316&lt;&gt;0)</f>
        <v>0</v>
      </c>
      <c r="CC1319" s="58">
        <f ca="1">IFERROR(IRR($L1316:CC1316),0)*(CC1316&lt;&gt;0)</f>
        <v>0</v>
      </c>
      <c r="CD1319" s="58">
        <f ca="1">IFERROR(IRR($L1316:CD1316),0)*(CD1316&lt;&gt;0)</f>
        <v>0</v>
      </c>
      <c r="CE1319" s="58">
        <f ca="1">IFERROR(IRR($L1316:CE1316),0)*(CE1316&lt;&gt;0)</f>
        <v>0</v>
      </c>
      <c r="CF1319" s="58">
        <f ca="1">IFERROR(IRR($L1316:CF1316),0)*(CF1316&lt;&gt;0)</f>
        <v>0</v>
      </c>
      <c r="CG1319" s="58">
        <f ca="1">IFERROR(IRR($L1316:CG1316),0)*(CG1316&lt;&gt;0)</f>
        <v>0</v>
      </c>
      <c r="CH1319" s="58">
        <f ca="1">IFERROR(IRR($L1316:CH1316),0)*(CH1316&lt;&gt;0)</f>
        <v>0</v>
      </c>
      <c r="CI1319" s="58">
        <f ca="1">IFERROR(IRR($L1316:CI1316),0)*(CI1316&lt;&gt;0)</f>
        <v>0</v>
      </c>
      <c r="CJ1319" s="58">
        <f ca="1">IFERROR(IRR($L1316:CJ1316),0)*(CJ1316&lt;&gt;0)</f>
        <v>0</v>
      </c>
      <c r="CK1319" s="58">
        <f ca="1">IFERROR(IRR($L1316:CK1316),0)*(CK1316&lt;&gt;0)</f>
        <v>0</v>
      </c>
      <c r="CL1319" s="58">
        <f ca="1">IFERROR(IRR($L1316:CL1316),0)*(CL1316&lt;&gt;0)</f>
        <v>0</v>
      </c>
      <c r="CM1319" s="58">
        <f ca="1">IFERROR(IRR($L1316:CM1316),0)*(CM1316&lt;&gt;0)</f>
        <v>0</v>
      </c>
      <c r="CN1319" s="58">
        <f ca="1">IFERROR(IRR($L1316:CN1316),0)*(CN1316&lt;&gt;0)</f>
        <v>0</v>
      </c>
      <c r="CO1319" s="58">
        <f ca="1">IFERROR(IRR($L1316:CO1316),0)*(CO1316&lt;&gt;0)</f>
        <v>0</v>
      </c>
    </row>
    <row r="1320" spans="1:93">
      <c r="A1320" s="10"/>
      <c r="B1320" s="10"/>
      <c r="C1320" s="17"/>
      <c r="D1320" s="10"/>
      <c r="E1320" s="62"/>
      <c r="F1320" s="10"/>
      <c r="G1320" s="11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0"/>
      <c r="AH1320" s="10"/>
      <c r="AI1320" s="10"/>
      <c r="AJ1320" s="10"/>
      <c r="AK1320" s="10"/>
      <c r="AL1320" s="10"/>
      <c r="AM1320" s="10"/>
      <c r="AN1320" s="10"/>
      <c r="AO1320" s="10"/>
      <c r="AP1320" s="10"/>
      <c r="AQ1320" s="10"/>
      <c r="AR1320" s="10"/>
      <c r="AS1320" s="10"/>
      <c r="AT1320" s="10"/>
      <c r="AU1320" s="10"/>
      <c r="AV1320" s="10"/>
      <c r="AW1320" s="10"/>
      <c r="AX1320" s="10"/>
      <c r="AY1320" s="10"/>
      <c r="AZ1320" s="10"/>
      <c r="BA1320" s="10"/>
      <c r="BB1320" s="10"/>
      <c r="BC1320" s="10"/>
      <c r="BD1320" s="10"/>
      <c r="BE1320" s="10"/>
      <c r="BF1320" s="10"/>
      <c r="BG1320" s="10"/>
      <c r="BH1320" s="10"/>
      <c r="BI1320" s="10"/>
      <c r="BJ1320" s="10"/>
      <c r="BK1320" s="10"/>
      <c r="BL1320" s="10"/>
      <c r="BM1320" s="10"/>
      <c r="BN1320" s="10"/>
      <c r="BO1320" s="10"/>
      <c r="BP1320" s="10"/>
      <c r="BQ1320" s="10"/>
      <c r="BR1320" s="10"/>
      <c r="BS1320" s="10"/>
      <c r="BT1320" s="10"/>
      <c r="BU1320" s="10"/>
      <c r="BV1320" s="10"/>
      <c r="BW1320" s="10"/>
      <c r="BX1320" s="10"/>
      <c r="BY1320" s="10"/>
      <c r="BZ1320" s="10"/>
      <c r="CA1320" s="10"/>
      <c r="CB1320" s="10"/>
      <c r="CC1320" s="10"/>
      <c r="CD1320" s="10"/>
      <c r="CE1320" s="10"/>
      <c r="CF1320" s="10"/>
      <c r="CG1320" s="10"/>
      <c r="CH1320" s="10"/>
      <c r="CI1320" s="10"/>
      <c r="CJ1320" s="10"/>
      <c r="CK1320" s="10"/>
      <c r="CL1320" s="10"/>
      <c r="CM1320" s="10"/>
      <c r="CN1320" s="10"/>
      <c r="CO1320" s="10"/>
    </row>
    <row r="1321" spans="1:93">
      <c r="A1321" s="10"/>
      <c r="B1321" s="10"/>
      <c r="C1321" s="16" t="s">
        <v>219</v>
      </c>
      <c r="D1321" s="10"/>
      <c r="E1321" s="405">
        <f ca="1">NPV(WACC,L1316:CO1316)</f>
        <v>2872486.190273222</v>
      </c>
      <c r="F1321" s="51"/>
      <c r="G1321" s="134" t="str">
        <f>Monetary_Unit</f>
        <v>тыс. руб.</v>
      </c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0"/>
      <c r="AH1321" s="10"/>
      <c r="AI1321" s="10"/>
      <c r="AJ1321" s="10"/>
      <c r="AK1321" s="10"/>
      <c r="AL1321" s="10"/>
      <c r="AM1321" s="10"/>
      <c r="AN1321" s="10"/>
      <c r="AO1321" s="10"/>
      <c r="AP1321" s="10"/>
      <c r="AQ1321" s="10"/>
      <c r="AR1321" s="10"/>
      <c r="AS1321" s="10"/>
      <c r="AT1321" s="10"/>
      <c r="AU1321" s="10"/>
      <c r="AV1321" s="10"/>
      <c r="AW1321" s="10"/>
      <c r="AX1321" s="10"/>
      <c r="AY1321" s="10"/>
      <c r="AZ1321" s="10"/>
      <c r="BA1321" s="10"/>
      <c r="BB1321" s="10"/>
      <c r="BC1321" s="10"/>
      <c r="BD1321" s="10"/>
      <c r="BE1321" s="10"/>
      <c r="BF1321" s="10"/>
      <c r="BG1321" s="10"/>
      <c r="BH1321" s="10"/>
      <c r="BI1321" s="10"/>
      <c r="BJ1321" s="10"/>
      <c r="BK1321" s="10"/>
      <c r="BL1321" s="10"/>
      <c r="BM1321" s="10"/>
      <c r="BN1321" s="10"/>
      <c r="BO1321" s="10"/>
      <c r="BP1321" s="10"/>
      <c r="BQ1321" s="10"/>
      <c r="BR1321" s="10"/>
      <c r="BS1321" s="10"/>
      <c r="BT1321" s="10"/>
      <c r="BU1321" s="10"/>
      <c r="BV1321" s="10"/>
      <c r="BW1321" s="10"/>
      <c r="BX1321" s="10"/>
      <c r="BY1321" s="10"/>
      <c r="BZ1321" s="10"/>
      <c r="CA1321" s="10"/>
      <c r="CB1321" s="10"/>
      <c r="CC1321" s="10"/>
      <c r="CD1321" s="10"/>
      <c r="CE1321" s="10"/>
      <c r="CF1321" s="10"/>
      <c r="CG1321" s="10"/>
      <c r="CH1321" s="10"/>
      <c r="CI1321" s="10"/>
      <c r="CJ1321" s="10"/>
      <c r="CK1321" s="10"/>
      <c r="CL1321" s="10"/>
      <c r="CM1321" s="10"/>
      <c r="CN1321" s="10"/>
      <c r="CO1321" s="10"/>
    </row>
    <row r="1322" spans="1:93">
      <c r="A1322" s="10"/>
      <c r="B1322" s="10"/>
      <c r="C1322" s="16" t="s">
        <v>293</v>
      </c>
      <c r="D1322" s="10"/>
      <c r="E1322" s="191">
        <f ca="1">IFERROR(IRR(L1316:AY1316),0)</f>
        <v>0.19090007845891566</v>
      </c>
      <c r="F1322" s="51"/>
      <c r="G1322" s="11" t="s">
        <v>28</v>
      </c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0"/>
      <c r="AH1322" s="10"/>
      <c r="AI1322" s="10"/>
      <c r="AJ1322" s="10"/>
      <c r="AK1322" s="10"/>
      <c r="AL1322" s="10"/>
      <c r="AM1322" s="10"/>
      <c r="AN1322" s="10"/>
      <c r="AO1322" s="10"/>
      <c r="AP1322" s="10"/>
      <c r="AQ1322" s="10"/>
      <c r="AR1322" s="10"/>
      <c r="AS1322" s="10"/>
      <c r="AT1322" s="10"/>
      <c r="AU1322" s="10"/>
      <c r="AV1322" s="10"/>
      <c r="AW1322" s="10"/>
      <c r="AX1322" s="10"/>
      <c r="AY1322" s="10"/>
      <c r="AZ1322" s="10"/>
      <c r="BA1322" s="10"/>
      <c r="BB1322" s="10"/>
      <c r="BC1322" s="10"/>
      <c r="BD1322" s="10"/>
      <c r="BE1322" s="10"/>
      <c r="BF1322" s="10"/>
      <c r="BG1322" s="10"/>
      <c r="BH1322" s="10"/>
      <c r="BI1322" s="10"/>
      <c r="BJ1322" s="10"/>
      <c r="BK1322" s="10"/>
      <c r="BL1322" s="10"/>
      <c r="BM1322" s="10"/>
      <c r="BN1322" s="10"/>
      <c r="BO1322" s="10"/>
      <c r="BP1322" s="10"/>
      <c r="BQ1322" s="10"/>
      <c r="BR1322" s="10"/>
      <c r="BS1322" s="10"/>
      <c r="BT1322" s="10"/>
      <c r="BU1322" s="10"/>
      <c r="BV1322" s="10"/>
      <c r="BW1322" s="10"/>
      <c r="BX1322" s="10"/>
      <c r="BY1322" s="10"/>
      <c r="BZ1322" s="10"/>
      <c r="CA1322" s="10"/>
      <c r="CB1322" s="10"/>
      <c r="CC1322" s="10"/>
      <c r="CD1322" s="10"/>
      <c r="CE1322" s="10"/>
      <c r="CF1322" s="10"/>
      <c r="CG1322" s="10"/>
      <c r="CH1322" s="10"/>
      <c r="CI1322" s="10"/>
      <c r="CJ1322" s="10"/>
      <c r="CK1322" s="10"/>
      <c r="CL1322" s="10"/>
      <c r="CM1322" s="10"/>
      <c r="CN1322" s="10"/>
      <c r="CO1322" s="10"/>
    </row>
    <row r="1323" spans="1:93">
      <c r="A1323" s="10"/>
      <c r="B1323" s="10"/>
      <c r="C1323" s="10"/>
      <c r="D1323" s="10"/>
      <c r="E1323" s="107"/>
      <c r="F1323" s="10"/>
      <c r="G1323" s="11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0"/>
      <c r="AH1323" s="10"/>
      <c r="AI1323" s="10"/>
      <c r="AJ1323" s="10"/>
      <c r="AK1323" s="10"/>
      <c r="AL1323" s="10"/>
      <c r="AM1323" s="10"/>
      <c r="AN1323" s="10"/>
      <c r="AO1323" s="10"/>
      <c r="AP1323" s="10"/>
      <c r="AQ1323" s="10"/>
      <c r="AR1323" s="10"/>
      <c r="AS1323" s="10"/>
      <c r="AT1323" s="10"/>
      <c r="AU1323" s="10"/>
      <c r="AV1323" s="10"/>
      <c r="AW1323" s="10"/>
      <c r="AX1323" s="10"/>
      <c r="AY1323" s="10"/>
      <c r="AZ1323" s="10"/>
      <c r="BA1323" s="10"/>
      <c r="BB1323" s="10"/>
      <c r="BC1323" s="10"/>
      <c r="BD1323" s="10"/>
      <c r="BE1323" s="10"/>
      <c r="BF1323" s="10"/>
      <c r="BG1323" s="10"/>
      <c r="BH1323" s="10"/>
      <c r="BI1323" s="10"/>
      <c r="BJ1323" s="10"/>
      <c r="BK1323" s="10"/>
      <c r="BL1323" s="10"/>
      <c r="BM1323" s="10"/>
      <c r="BN1323" s="10"/>
      <c r="BO1323" s="10"/>
      <c r="BP1323" s="10"/>
      <c r="BQ1323" s="10"/>
      <c r="BR1323" s="10"/>
      <c r="BS1323" s="10"/>
      <c r="BT1323" s="10"/>
      <c r="BU1323" s="10"/>
      <c r="BV1323" s="10"/>
      <c r="BW1323" s="10"/>
      <c r="BX1323" s="10"/>
      <c r="BY1323" s="10"/>
      <c r="BZ1323" s="10"/>
      <c r="CA1323" s="10"/>
      <c r="CB1323" s="10"/>
      <c r="CC1323" s="10"/>
      <c r="CD1323" s="10"/>
      <c r="CE1323" s="10"/>
      <c r="CF1323" s="10"/>
      <c r="CG1323" s="10"/>
      <c r="CH1323" s="10"/>
      <c r="CI1323" s="10"/>
      <c r="CJ1323" s="10"/>
      <c r="CK1323" s="10"/>
      <c r="CL1323" s="10"/>
      <c r="CM1323" s="10"/>
      <c r="CN1323" s="10"/>
      <c r="CO1323" s="10"/>
    </row>
    <row r="1324" spans="1:93">
      <c r="A1324" s="10"/>
      <c r="B1324" s="10"/>
      <c r="C1324" s="16" t="s">
        <v>220</v>
      </c>
      <c r="D1324" s="10"/>
      <c r="E1324" s="62"/>
      <c r="F1324" s="10"/>
      <c r="G1324" s="11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0"/>
      <c r="AH1324" s="10"/>
      <c r="AI1324" s="10"/>
      <c r="AJ1324" s="10"/>
      <c r="AK1324" s="10"/>
      <c r="AL1324" s="10"/>
      <c r="AM1324" s="10"/>
      <c r="AN1324" s="10"/>
      <c r="AO1324" s="10"/>
      <c r="AP1324" s="10"/>
      <c r="AQ1324" s="10"/>
      <c r="AR1324" s="10"/>
      <c r="AS1324" s="10"/>
      <c r="AT1324" s="10"/>
      <c r="AU1324" s="10"/>
      <c r="AV1324" s="10"/>
      <c r="AW1324" s="10"/>
      <c r="AX1324" s="10"/>
      <c r="AY1324" s="10"/>
      <c r="AZ1324" s="10"/>
      <c r="BA1324" s="10"/>
      <c r="BB1324" s="10"/>
      <c r="BC1324" s="10"/>
      <c r="BD1324" s="10"/>
      <c r="BE1324" s="10"/>
      <c r="BF1324" s="10"/>
      <c r="BG1324" s="10"/>
      <c r="BH1324" s="10"/>
      <c r="BI1324" s="10"/>
      <c r="BJ1324" s="10"/>
      <c r="BK1324" s="10"/>
      <c r="BL1324" s="10"/>
      <c r="BM1324" s="10"/>
      <c r="BN1324" s="10"/>
      <c r="BO1324" s="10"/>
      <c r="BP1324" s="10"/>
      <c r="BQ1324" s="10"/>
      <c r="BR1324" s="10"/>
      <c r="BS1324" s="10"/>
      <c r="BT1324" s="10"/>
      <c r="BU1324" s="10"/>
      <c r="BV1324" s="10"/>
      <c r="BW1324" s="10"/>
      <c r="BX1324" s="10"/>
      <c r="BY1324" s="10"/>
      <c r="BZ1324" s="10"/>
      <c r="CA1324" s="10"/>
      <c r="CB1324" s="10"/>
      <c r="CC1324" s="10"/>
      <c r="CD1324" s="10"/>
      <c r="CE1324" s="10"/>
      <c r="CF1324" s="10"/>
      <c r="CG1324" s="10"/>
      <c r="CH1324" s="10"/>
      <c r="CI1324" s="10"/>
      <c r="CJ1324" s="10"/>
      <c r="CK1324" s="10"/>
      <c r="CL1324" s="10"/>
      <c r="CM1324" s="10"/>
      <c r="CN1324" s="10"/>
      <c r="CO1324" s="10"/>
    </row>
    <row r="1325" spans="1:93">
      <c r="A1325" s="10"/>
      <c r="B1325" s="10"/>
      <c r="C1325" s="17" t="s">
        <v>221</v>
      </c>
      <c r="D1325" s="10"/>
      <c r="E1325" s="62"/>
      <c r="F1325" s="10"/>
      <c r="G1325" s="134" t="str">
        <f>Monetary_Unit</f>
        <v>тыс. руб.</v>
      </c>
      <c r="H1325" s="10"/>
      <c r="I1325" s="10"/>
      <c r="J1325" s="10"/>
      <c r="K1325" s="10"/>
      <c r="L1325" s="52">
        <f t="shared" ref="L1325:AQ1325" ca="1" si="1581">K1325+L1311</f>
        <v>-20231.553412960755</v>
      </c>
      <c r="M1325" s="52">
        <f t="shared" ca="1" si="1581"/>
        <v>-40750.291448761061</v>
      </c>
      <c r="N1325" s="52">
        <f t="shared" ca="1" si="1581"/>
        <v>-61560.290660788196</v>
      </c>
      <c r="O1325" s="52">
        <f t="shared" ca="1" si="1581"/>
        <v>-82665.685468645795</v>
      </c>
      <c r="P1325" s="52">
        <f t="shared" ca="1" si="1581"/>
        <v>-260156.17609341015</v>
      </c>
      <c r="Q1325" s="52">
        <f t="shared" ca="1" si="1581"/>
        <v>-439395.55268087628</v>
      </c>
      <c r="R1325" s="52">
        <f t="shared" ca="1" si="1581"/>
        <v>-620401.04771544249</v>
      </c>
      <c r="S1325" s="52">
        <f t="shared" ca="1" si="1581"/>
        <v>-803190.0634801815</v>
      </c>
      <c r="T1325" s="52">
        <f t="shared" ca="1" si="1581"/>
        <v>-987780.17372993636</v>
      </c>
      <c r="U1325" s="52">
        <f t="shared" ca="1" si="1581"/>
        <v>-1176221.2643672493</v>
      </c>
      <c r="V1325" s="52">
        <f t="shared" ca="1" si="1581"/>
        <v>-1366380.4935771828</v>
      </c>
      <c r="W1325" s="52">
        <f t="shared" ca="1" si="1581"/>
        <v>-1558252.2396415791</v>
      </c>
      <c r="X1325" s="52">
        <f t="shared" ca="1" si="1581"/>
        <v>-1927433.0642905755</v>
      </c>
      <c r="Y1325" s="52">
        <f t="shared" ca="1" si="1581"/>
        <v>-2299961.5845177332</v>
      </c>
      <c r="Z1325" s="52">
        <f t="shared" ca="1" si="1581"/>
        <v>-2675882.3720555343</v>
      </c>
      <c r="AA1325" s="52">
        <f t="shared" ca="1" si="1581"/>
        <v>-3055214.0800277535</v>
      </c>
      <c r="AB1325" s="52">
        <f t="shared" ca="1" si="1581"/>
        <v>-3715733.1737574148</v>
      </c>
      <c r="AC1325" s="52">
        <f t="shared" ca="1" si="1581"/>
        <v>-3157390.3225364098</v>
      </c>
      <c r="AD1325" s="52">
        <f t="shared" ca="1" si="1581"/>
        <v>-2868809.0473649101</v>
      </c>
      <c r="AE1325" s="52">
        <f t="shared" ca="1" si="1581"/>
        <v>-2690224.8739470486</v>
      </c>
      <c r="AF1325" s="52">
        <f t="shared" ca="1" si="1581"/>
        <v>-2590606.4663115139</v>
      </c>
      <c r="AG1325" s="52">
        <f t="shared" ca="1" si="1581"/>
        <v>-2479999.7103035115</v>
      </c>
      <c r="AH1325" s="52">
        <f t="shared" ca="1" si="1581"/>
        <v>-2264817.264518722</v>
      </c>
      <c r="AI1325" s="52">
        <f t="shared" ca="1" si="1581"/>
        <v>-2058309.4882910654</v>
      </c>
      <c r="AJ1325" s="52">
        <f t="shared" ca="1" si="1581"/>
        <v>-1945574.3824266519</v>
      </c>
      <c r="AK1325" s="52">
        <f t="shared" ca="1" si="1581"/>
        <v>-1817542.2239486373</v>
      </c>
      <c r="AL1325" s="52">
        <f t="shared" ca="1" si="1581"/>
        <v>-1569510.2600504237</v>
      </c>
      <c r="AM1325" s="52">
        <f t="shared" ca="1" si="1581"/>
        <v>-1331305.5569186462</v>
      </c>
      <c r="AN1325" s="52">
        <f t="shared" ca="1" si="1581"/>
        <v>-1197927.462756332</v>
      </c>
      <c r="AO1325" s="52">
        <f t="shared" ca="1" si="1581"/>
        <v>-1051230.3035234537</v>
      </c>
      <c r="AP1325" s="52">
        <f t="shared" ca="1" si="1581"/>
        <v>-771660.44844371406</v>
      </c>
      <c r="AQ1325" s="52">
        <f t="shared" ca="1" si="1581"/>
        <v>-506925.33894159395</v>
      </c>
      <c r="AR1325" s="52">
        <f t="shared" ref="AR1325:BW1325" ca="1" si="1582">AQ1325+AR1311</f>
        <v>-363644.84245077125</v>
      </c>
      <c r="AS1325" s="52">
        <f t="shared" ca="1" si="1582"/>
        <v>-210907.05950372084</v>
      </c>
      <c r="AT1325" s="52">
        <f t="shared" ca="1" si="1582"/>
        <v>76190.640772043553</v>
      </c>
      <c r="AU1325" s="52">
        <f t="shared" ca="1" si="1582"/>
        <v>345612.00659554789</v>
      </c>
      <c r="AV1325" s="52">
        <f t="shared" ca="1" si="1582"/>
        <v>490556.62751705828</v>
      </c>
      <c r="AW1325" s="52">
        <f t="shared" ca="1" si="1582"/>
        <v>672774.66523682466</v>
      </c>
      <c r="AX1325" s="52">
        <f t="shared" ca="1" si="1582"/>
        <v>945801.56421999191</v>
      </c>
      <c r="AY1325" s="52">
        <f t="shared" ca="1" si="1582"/>
        <v>1106411.6584233055</v>
      </c>
      <c r="AZ1325" s="52">
        <f t="shared" ca="1" si="1582"/>
        <v>1197158.3398974568</v>
      </c>
      <c r="BA1325" s="52">
        <f t="shared" ca="1" si="1582"/>
        <v>1337485.6495118551</v>
      </c>
      <c r="BB1325" s="52">
        <f t="shared" ca="1" si="1582"/>
        <v>1610927.0566863809</v>
      </c>
      <c r="BC1325" s="52">
        <f t="shared" ca="1" si="1582"/>
        <v>1777954.4565562289</v>
      </c>
      <c r="BD1325" s="52">
        <f t="shared" ca="1" si="1582"/>
        <v>1873631.5595060533</v>
      </c>
      <c r="BE1325" s="52">
        <f t="shared" ca="1" si="1582"/>
        <v>2018218.9606813306</v>
      </c>
      <c r="BF1325" s="52">
        <f t="shared" ca="1" si="1582"/>
        <v>2301558.0382347256</v>
      </c>
      <c r="BG1325" s="52">
        <f t="shared" ca="1" si="1582"/>
        <v>2474226.5539350156</v>
      </c>
      <c r="BH1325" s="52">
        <f t="shared" ca="1" si="1582"/>
        <v>2571320.2193235764</v>
      </c>
      <c r="BI1325" s="52">
        <f t="shared" ca="1" si="1582"/>
        <v>2722042.2483223653</v>
      </c>
      <c r="BJ1325" s="52">
        <f t="shared" ca="1" si="1582"/>
        <v>3016742.410896318</v>
      </c>
      <c r="BK1325" s="52">
        <f t="shared" ca="1" si="1582"/>
        <v>3196345.1831695316</v>
      </c>
      <c r="BL1325" s="52">
        <f t="shared" ca="1" si="1582"/>
        <v>3297355.2242897721</v>
      </c>
      <c r="BM1325" s="52">
        <f t="shared" ca="1" si="1582"/>
        <v>3454139.6757307616</v>
      </c>
      <c r="BN1325" s="52">
        <f t="shared" ca="1" si="1582"/>
        <v>3760662.3300380246</v>
      </c>
      <c r="BO1325" s="52">
        <f t="shared" ca="1" si="1582"/>
        <v>3938439.4162019361</v>
      </c>
      <c r="BP1325" s="52">
        <f t="shared" ca="1" si="1582"/>
        <v>4035918.7862861692</v>
      </c>
      <c r="BQ1325" s="52">
        <f t="shared" ca="1" si="1582"/>
        <v>4183415.6356669501</v>
      </c>
      <c r="BR1325" s="52">
        <f t="shared" ca="1" si="1582"/>
        <v>4461661.5227522999</v>
      </c>
      <c r="BS1325" s="52">
        <f t="shared" ca="1" si="1582"/>
        <v>4638091.8151067775</v>
      </c>
      <c r="BT1325" s="52">
        <f t="shared" ca="1" si="1582"/>
        <v>4732660.2930793175</v>
      </c>
      <c r="BU1325" s="52">
        <f t="shared" ca="1" si="1582"/>
        <v>4877568.0741950721</v>
      </c>
      <c r="BV1325" s="52">
        <f t="shared" ca="1" si="1582"/>
        <v>5167710.8904494904</v>
      </c>
      <c r="BW1325" s="52">
        <f t="shared" ca="1" si="1582"/>
        <v>5351960.8509823596</v>
      </c>
      <c r="BX1325" s="52">
        <f t="shared" ref="BX1325:CO1325" ca="1" si="1583">BW1325+BX1311</f>
        <v>5449609.1465004701</v>
      </c>
      <c r="BY1325" s="52">
        <f t="shared" ca="1" si="1583"/>
        <v>5601379.9823537907</v>
      </c>
      <c r="BZ1325" s="52">
        <f t="shared" ca="1" si="1583"/>
        <v>5903820.4496952472</v>
      </c>
      <c r="CA1325" s="52">
        <f t="shared" ca="1" si="1583"/>
        <v>6096128.3034381513</v>
      </c>
      <c r="CB1325" s="52">
        <f t="shared" ca="1" si="1583"/>
        <v>6198377.2516568033</v>
      </c>
      <c r="CC1325" s="52">
        <f t="shared" ca="1" si="1583"/>
        <v>6356918.3125221469</v>
      </c>
      <c r="CD1325" s="52">
        <f t="shared" ca="1" si="1583"/>
        <v>6672160.4035300957</v>
      </c>
      <c r="CE1325" s="52">
        <f t="shared" ca="1" si="1583"/>
        <v>6872860.2301516086</v>
      </c>
      <c r="CF1325" s="52">
        <f t="shared" ca="1" si="1583"/>
        <v>6979876.8129568798</v>
      </c>
      <c r="CG1325" s="52">
        <f t="shared" ca="1" si="1583"/>
        <v>7145441.7118260898</v>
      </c>
      <c r="CH1325" s="52">
        <f t="shared" ca="1" si="1583"/>
        <v>7473980.106471424</v>
      </c>
      <c r="CI1325" s="52">
        <f t="shared" ca="1" si="1583"/>
        <v>7683390.1999109229</v>
      </c>
      <c r="CJ1325" s="52">
        <f t="shared" ca="1" si="1583"/>
        <v>7796967.7877753479</v>
      </c>
      <c r="CK1325" s="52">
        <f t="shared" ca="1" si="1583"/>
        <v>7969417.0346469637</v>
      </c>
      <c r="CL1325" s="52">
        <f t="shared" ca="1" si="1583"/>
        <v>8311789.9067677613</v>
      </c>
      <c r="CM1325" s="52">
        <f t="shared" ca="1" si="1583"/>
        <v>8530264.7094381172</v>
      </c>
      <c r="CN1325" s="52">
        <f t="shared" ca="1" si="1583"/>
        <v>8647344.5625532363</v>
      </c>
      <c r="CO1325" s="52">
        <f t="shared" ca="1" si="1583"/>
        <v>8827758.9602651875</v>
      </c>
    </row>
    <row r="1326" spans="1:93">
      <c r="A1326" s="10"/>
      <c r="B1326" s="10"/>
      <c r="C1326" s="17" t="s">
        <v>222</v>
      </c>
      <c r="D1326" s="10"/>
      <c r="E1326" s="10">
        <f ca="1">SUM(L1326:CO1326)</f>
        <v>1</v>
      </c>
      <c r="F1326" s="10"/>
      <c r="G1326" s="11"/>
      <c r="H1326" s="10"/>
      <c r="I1326" s="10"/>
      <c r="J1326" s="10"/>
      <c r="K1326" s="10"/>
      <c r="L1326" s="52">
        <f ca="1">1*(L1325&gt;0)*(K1325&lt;0)*(SUM($K1326:K1326)=0)</f>
        <v>0</v>
      </c>
      <c r="M1326" s="52">
        <f ca="1">1*(M1325&gt;0)*(L1325&lt;0)*(SUM($K1326:L1326)=0)</f>
        <v>0</v>
      </c>
      <c r="N1326" s="52">
        <f ca="1">1*(N1325&gt;0)*(M1325&lt;0)*(SUM($K1326:M1326)=0)</f>
        <v>0</v>
      </c>
      <c r="O1326" s="52">
        <f ca="1">1*(O1325&gt;0)*(N1325&lt;0)*(SUM($K1326:N1326)=0)</f>
        <v>0</v>
      </c>
      <c r="P1326" s="52">
        <f ca="1">1*(P1325&gt;0)*(O1325&lt;0)*(SUM($K1326:O1326)=0)</f>
        <v>0</v>
      </c>
      <c r="Q1326" s="52">
        <f ca="1">1*(Q1325&gt;0)*(P1325&lt;0)*(SUM($K1326:P1326)=0)</f>
        <v>0</v>
      </c>
      <c r="R1326" s="52">
        <f ca="1">1*(R1325&gt;0)*(Q1325&lt;0)*(SUM($K1326:Q1326)=0)</f>
        <v>0</v>
      </c>
      <c r="S1326" s="52">
        <f ca="1">1*(S1325&gt;0)*(R1325&lt;0)*(SUM($K1326:R1326)=0)</f>
        <v>0</v>
      </c>
      <c r="T1326" s="52">
        <f ca="1">1*(T1325&gt;0)*(S1325&lt;0)*(SUM($K1326:S1326)=0)</f>
        <v>0</v>
      </c>
      <c r="U1326" s="52">
        <f ca="1">1*(U1325&gt;0)*(T1325&lt;0)*(SUM($K1326:T1326)=0)</f>
        <v>0</v>
      </c>
      <c r="V1326" s="52">
        <f ca="1">1*(V1325&gt;0)*(U1325&lt;0)*(SUM($K1326:U1326)=0)</f>
        <v>0</v>
      </c>
      <c r="W1326" s="52">
        <f ca="1">1*(W1325&gt;0)*(V1325&lt;0)*(SUM($K1326:V1326)=0)</f>
        <v>0</v>
      </c>
      <c r="X1326" s="52">
        <f ca="1">1*(X1325&gt;0)*(W1325&lt;0)*(SUM($K1326:W1326)=0)</f>
        <v>0</v>
      </c>
      <c r="Y1326" s="52">
        <f ca="1">1*(Y1325&gt;0)*(X1325&lt;0)*(SUM($K1326:X1326)=0)</f>
        <v>0</v>
      </c>
      <c r="Z1326" s="52">
        <f ca="1">1*(Z1325&gt;0)*(Y1325&lt;0)*(SUM($K1326:Y1326)=0)</f>
        <v>0</v>
      </c>
      <c r="AA1326" s="52">
        <f ca="1">1*(AA1325&gt;0)*(Z1325&lt;0)*(SUM($K1326:Z1326)=0)</f>
        <v>0</v>
      </c>
      <c r="AB1326" s="52">
        <f ca="1">1*(AB1325&gt;0)*(AA1325&lt;0)*(SUM($K1326:AA1326)=0)</f>
        <v>0</v>
      </c>
      <c r="AC1326" s="52">
        <f ca="1">1*(AC1325&gt;0)*(AB1325&lt;0)*(SUM($K1326:AB1326)=0)</f>
        <v>0</v>
      </c>
      <c r="AD1326" s="52">
        <f ca="1">1*(AD1325&gt;0)*(AC1325&lt;0)*(SUM($K1326:AC1326)=0)</f>
        <v>0</v>
      </c>
      <c r="AE1326" s="52">
        <f ca="1">1*(AE1325&gt;0)*(AD1325&lt;0)*(SUM($K1326:AD1326)=0)</f>
        <v>0</v>
      </c>
      <c r="AF1326" s="52">
        <f ca="1">1*(AF1325&gt;0)*(AE1325&lt;0)*(SUM($K1326:AE1326)=0)</f>
        <v>0</v>
      </c>
      <c r="AG1326" s="52">
        <f ca="1">1*(AG1325&gt;0)*(AF1325&lt;0)*(SUM($K1326:AF1326)=0)</f>
        <v>0</v>
      </c>
      <c r="AH1326" s="52">
        <f ca="1">1*(AH1325&gt;0)*(AG1325&lt;0)*(SUM($K1326:AG1326)=0)</f>
        <v>0</v>
      </c>
      <c r="AI1326" s="52">
        <f ca="1">1*(AI1325&gt;0)*(AH1325&lt;0)*(SUM($K1326:AH1326)=0)</f>
        <v>0</v>
      </c>
      <c r="AJ1326" s="52">
        <f ca="1">1*(AJ1325&gt;0)*(AI1325&lt;0)*(SUM($K1326:AI1326)=0)</f>
        <v>0</v>
      </c>
      <c r="AK1326" s="52">
        <f ca="1">1*(AK1325&gt;0)*(AJ1325&lt;0)*(SUM($K1326:AJ1326)=0)</f>
        <v>0</v>
      </c>
      <c r="AL1326" s="52">
        <f ca="1">1*(AL1325&gt;0)*(AK1325&lt;0)*(SUM($K1326:AK1326)=0)</f>
        <v>0</v>
      </c>
      <c r="AM1326" s="52">
        <f ca="1">1*(AM1325&gt;0)*(AL1325&lt;0)*(SUM($K1326:AL1326)=0)</f>
        <v>0</v>
      </c>
      <c r="AN1326" s="52">
        <f ca="1">1*(AN1325&gt;0)*(AM1325&lt;0)*(SUM($K1326:AM1326)=0)</f>
        <v>0</v>
      </c>
      <c r="AO1326" s="52">
        <f ca="1">1*(AO1325&gt;0)*(AN1325&lt;0)*(SUM($K1326:AN1326)=0)</f>
        <v>0</v>
      </c>
      <c r="AP1326" s="52">
        <f ca="1">1*(AP1325&gt;0)*(AO1325&lt;0)*(SUM($K1326:AO1326)=0)</f>
        <v>0</v>
      </c>
      <c r="AQ1326" s="52">
        <f ca="1">1*(AQ1325&gt;0)*(AP1325&lt;0)*(SUM($K1326:AP1326)=0)</f>
        <v>0</v>
      </c>
      <c r="AR1326" s="52">
        <f ca="1">1*(AR1325&gt;0)*(AQ1325&lt;0)*(SUM($K1326:AQ1326)=0)</f>
        <v>0</v>
      </c>
      <c r="AS1326" s="52">
        <f ca="1">1*(AS1325&gt;0)*(AR1325&lt;0)*(SUM($K1326:AR1326)=0)</f>
        <v>0</v>
      </c>
      <c r="AT1326" s="52">
        <f ca="1">1*(AT1325&gt;0)*(AS1325&lt;0)*(SUM($K1326:AS1326)=0)</f>
        <v>1</v>
      </c>
      <c r="AU1326" s="52">
        <f ca="1">1*(AU1325&gt;0)*(AT1325&lt;0)*(SUM($K1326:AT1326)=0)</f>
        <v>0</v>
      </c>
      <c r="AV1326" s="52">
        <f ca="1">1*(AV1325&gt;0)*(AU1325&lt;0)*(SUM($K1326:AU1326)=0)</f>
        <v>0</v>
      </c>
      <c r="AW1326" s="52">
        <f ca="1">1*(AW1325&gt;0)*(AV1325&lt;0)*(SUM($K1326:AV1326)=0)</f>
        <v>0</v>
      </c>
      <c r="AX1326" s="52">
        <f ca="1">1*(AX1325&gt;0)*(AW1325&lt;0)*(SUM($K1326:AW1326)=0)</f>
        <v>0</v>
      </c>
      <c r="AY1326" s="52">
        <f ca="1">1*(AY1325&gt;0)*(AX1325&lt;0)*(SUM($K1326:AX1326)=0)</f>
        <v>0</v>
      </c>
      <c r="AZ1326" s="52">
        <f ca="1">1*(AZ1325&gt;0)*(AY1325&lt;0)*(SUM($K1326:AY1326)=0)</f>
        <v>0</v>
      </c>
      <c r="BA1326" s="52">
        <f ca="1">1*(BA1325&gt;0)*(AZ1325&lt;0)*(SUM($K1326:AZ1326)=0)</f>
        <v>0</v>
      </c>
      <c r="BB1326" s="52">
        <f ca="1">1*(BB1325&gt;0)*(BA1325&lt;0)*(SUM($K1326:BA1326)=0)</f>
        <v>0</v>
      </c>
      <c r="BC1326" s="52">
        <f ca="1">1*(BC1325&gt;0)*(BB1325&lt;0)*(SUM($K1326:BB1326)=0)</f>
        <v>0</v>
      </c>
      <c r="BD1326" s="52">
        <f ca="1">1*(BD1325&gt;0)*(BC1325&lt;0)*(SUM($K1326:BC1326)=0)</f>
        <v>0</v>
      </c>
      <c r="BE1326" s="52">
        <f ca="1">1*(BE1325&gt;0)*(BD1325&lt;0)*(SUM($K1326:BD1326)=0)</f>
        <v>0</v>
      </c>
      <c r="BF1326" s="52">
        <f ca="1">1*(BF1325&gt;0)*(BE1325&lt;0)*(SUM($K1326:BE1326)=0)</f>
        <v>0</v>
      </c>
      <c r="BG1326" s="52">
        <f ca="1">1*(BG1325&gt;0)*(BF1325&lt;0)*(SUM($K1326:BF1326)=0)</f>
        <v>0</v>
      </c>
      <c r="BH1326" s="52">
        <f ca="1">1*(BH1325&gt;0)*(BG1325&lt;0)*(SUM($K1326:BG1326)=0)</f>
        <v>0</v>
      </c>
      <c r="BI1326" s="52">
        <f ca="1">1*(BI1325&gt;0)*(BH1325&lt;0)*(SUM($K1326:BH1326)=0)</f>
        <v>0</v>
      </c>
      <c r="BJ1326" s="52">
        <f ca="1">1*(BJ1325&gt;0)*(BI1325&lt;0)*(SUM($K1326:BI1326)=0)</f>
        <v>0</v>
      </c>
      <c r="BK1326" s="52">
        <f ca="1">1*(BK1325&gt;0)*(BJ1325&lt;0)*(SUM($K1326:BJ1326)=0)</f>
        <v>0</v>
      </c>
      <c r="BL1326" s="52">
        <f ca="1">1*(BL1325&gt;0)*(BK1325&lt;0)*(SUM($K1326:BK1326)=0)</f>
        <v>0</v>
      </c>
      <c r="BM1326" s="52">
        <f ca="1">1*(BM1325&gt;0)*(BL1325&lt;0)*(SUM($K1326:BL1326)=0)</f>
        <v>0</v>
      </c>
      <c r="BN1326" s="52">
        <f ca="1">1*(BN1325&gt;0)*(BM1325&lt;0)*(SUM($K1326:BM1326)=0)</f>
        <v>0</v>
      </c>
      <c r="BO1326" s="52">
        <f ca="1">1*(BO1325&gt;0)*(BN1325&lt;0)*(SUM($K1326:BN1326)=0)</f>
        <v>0</v>
      </c>
      <c r="BP1326" s="52">
        <f ca="1">1*(BP1325&gt;0)*(BO1325&lt;0)*(SUM($K1326:BO1326)=0)</f>
        <v>0</v>
      </c>
      <c r="BQ1326" s="52">
        <f ca="1">1*(BQ1325&gt;0)*(BP1325&lt;0)*(SUM($K1326:BP1326)=0)</f>
        <v>0</v>
      </c>
      <c r="BR1326" s="52">
        <f ca="1">1*(BR1325&gt;0)*(BQ1325&lt;0)*(SUM($K1326:BQ1326)=0)</f>
        <v>0</v>
      </c>
      <c r="BS1326" s="52">
        <f ca="1">1*(BS1325&gt;0)*(BR1325&lt;0)*(SUM($K1326:BR1326)=0)</f>
        <v>0</v>
      </c>
      <c r="BT1326" s="52">
        <f ca="1">1*(BT1325&gt;0)*(BS1325&lt;0)*(SUM($K1326:BS1326)=0)</f>
        <v>0</v>
      </c>
      <c r="BU1326" s="52">
        <f ca="1">1*(BU1325&gt;0)*(BT1325&lt;0)*(SUM($K1326:BT1326)=0)</f>
        <v>0</v>
      </c>
      <c r="BV1326" s="52">
        <f ca="1">1*(BV1325&gt;0)*(BU1325&lt;0)*(SUM($K1326:BU1326)=0)</f>
        <v>0</v>
      </c>
      <c r="BW1326" s="52">
        <f ca="1">1*(BW1325&gt;0)*(BV1325&lt;0)*(SUM($K1326:BV1326)=0)</f>
        <v>0</v>
      </c>
      <c r="BX1326" s="52">
        <f ca="1">1*(BX1325&gt;0)*(BW1325&lt;0)*(SUM($K1326:BW1326)=0)</f>
        <v>0</v>
      </c>
      <c r="BY1326" s="52">
        <f ca="1">1*(BY1325&gt;0)*(BX1325&lt;0)*(SUM($K1326:BX1326)=0)</f>
        <v>0</v>
      </c>
      <c r="BZ1326" s="52">
        <f ca="1">1*(BZ1325&gt;0)*(BY1325&lt;0)*(SUM($K1326:BY1326)=0)</f>
        <v>0</v>
      </c>
      <c r="CA1326" s="52">
        <f ca="1">1*(CA1325&gt;0)*(BZ1325&lt;0)*(SUM($K1326:BZ1326)=0)</f>
        <v>0</v>
      </c>
      <c r="CB1326" s="52">
        <f ca="1">1*(CB1325&gt;0)*(CA1325&lt;0)*(SUM($K1326:CA1326)=0)</f>
        <v>0</v>
      </c>
      <c r="CC1326" s="52">
        <f ca="1">1*(CC1325&gt;0)*(CB1325&lt;0)*(SUM($K1326:CB1326)=0)</f>
        <v>0</v>
      </c>
      <c r="CD1326" s="52">
        <f ca="1">1*(CD1325&gt;0)*(CC1325&lt;0)*(SUM($K1326:CC1326)=0)</f>
        <v>0</v>
      </c>
      <c r="CE1326" s="52">
        <f ca="1">1*(CE1325&gt;0)*(CD1325&lt;0)*(SUM($K1326:CD1326)=0)</f>
        <v>0</v>
      </c>
      <c r="CF1326" s="52">
        <f ca="1">1*(CF1325&gt;0)*(CE1325&lt;0)*(SUM($K1326:CE1326)=0)</f>
        <v>0</v>
      </c>
      <c r="CG1326" s="52">
        <f ca="1">1*(CG1325&gt;0)*(CF1325&lt;0)*(SUM($K1326:CF1326)=0)</f>
        <v>0</v>
      </c>
      <c r="CH1326" s="52">
        <f ca="1">1*(CH1325&gt;0)*(CG1325&lt;0)*(SUM($K1326:CG1326)=0)</f>
        <v>0</v>
      </c>
      <c r="CI1326" s="52">
        <f ca="1">1*(CI1325&gt;0)*(CH1325&lt;0)*(SUM($K1326:CH1326)=0)</f>
        <v>0</v>
      </c>
      <c r="CJ1326" s="52">
        <f ca="1">1*(CJ1325&gt;0)*(CI1325&lt;0)*(SUM($K1326:CI1326)=0)</f>
        <v>0</v>
      </c>
      <c r="CK1326" s="52">
        <f ca="1">1*(CK1325&gt;0)*(CJ1325&lt;0)*(SUM($K1326:CJ1326)=0)</f>
        <v>0</v>
      </c>
      <c r="CL1326" s="52">
        <f ca="1">1*(CL1325&gt;0)*(CK1325&lt;0)*(SUM($K1326:CK1326)=0)</f>
        <v>0</v>
      </c>
      <c r="CM1326" s="52">
        <f ca="1">1*(CM1325&gt;0)*(CL1325&lt;0)*(SUM($K1326:CL1326)=0)</f>
        <v>0</v>
      </c>
      <c r="CN1326" s="52">
        <f ca="1">1*(CN1325&gt;0)*(CM1325&lt;0)*(SUM($K1326:CM1326)=0)</f>
        <v>0</v>
      </c>
      <c r="CO1326" s="52">
        <f ca="1">1*(CO1325&gt;0)*(CN1325&lt;0)*(SUM($K1326:CN1326)=0)</f>
        <v>0</v>
      </c>
    </row>
    <row r="1327" spans="1:93">
      <c r="A1327" s="10"/>
      <c r="B1327" s="10"/>
      <c r="C1327" s="17" t="s">
        <v>223</v>
      </c>
      <c r="D1327" s="10"/>
      <c r="E1327" s="10">
        <f ca="1">SUM(L1327:CO1327)</f>
        <v>67.584830723843581</v>
      </c>
      <c r="F1327" s="10"/>
      <c r="G1327" s="11"/>
      <c r="H1327" s="10"/>
      <c r="I1327" s="10"/>
      <c r="J1327" s="10"/>
      <c r="K1327" s="10"/>
      <c r="L1327" s="52">
        <f t="shared" ref="L1327:AQ1327" ca="1" si="1584">-IFERROR(K1325/L1311,0)*Days_In_Period*L1326</f>
        <v>0</v>
      </c>
      <c r="M1327" s="52">
        <f t="shared" ca="1" si="1584"/>
        <v>0</v>
      </c>
      <c r="N1327" s="52">
        <f t="shared" ca="1" si="1584"/>
        <v>0</v>
      </c>
      <c r="O1327" s="52">
        <f t="shared" ca="1" si="1584"/>
        <v>0</v>
      </c>
      <c r="P1327" s="52">
        <f t="shared" ca="1" si="1584"/>
        <v>0</v>
      </c>
      <c r="Q1327" s="52">
        <f t="shared" ca="1" si="1584"/>
        <v>0</v>
      </c>
      <c r="R1327" s="52">
        <f t="shared" ca="1" si="1584"/>
        <v>0</v>
      </c>
      <c r="S1327" s="52">
        <f t="shared" ca="1" si="1584"/>
        <v>0</v>
      </c>
      <c r="T1327" s="52">
        <f t="shared" ca="1" si="1584"/>
        <v>0</v>
      </c>
      <c r="U1327" s="52">
        <f t="shared" ca="1" si="1584"/>
        <v>0</v>
      </c>
      <c r="V1327" s="52">
        <f t="shared" ca="1" si="1584"/>
        <v>0</v>
      </c>
      <c r="W1327" s="52">
        <f t="shared" ca="1" si="1584"/>
        <v>0</v>
      </c>
      <c r="X1327" s="52">
        <f t="shared" ca="1" si="1584"/>
        <v>0</v>
      </c>
      <c r="Y1327" s="52">
        <f t="shared" ca="1" si="1584"/>
        <v>0</v>
      </c>
      <c r="Z1327" s="52">
        <f t="shared" ca="1" si="1584"/>
        <v>0</v>
      </c>
      <c r="AA1327" s="52">
        <f t="shared" ca="1" si="1584"/>
        <v>0</v>
      </c>
      <c r="AB1327" s="52">
        <f t="shared" ca="1" si="1584"/>
        <v>0</v>
      </c>
      <c r="AC1327" s="52">
        <f t="shared" ca="1" si="1584"/>
        <v>0</v>
      </c>
      <c r="AD1327" s="52">
        <f t="shared" ca="1" si="1584"/>
        <v>0</v>
      </c>
      <c r="AE1327" s="52">
        <f t="shared" ca="1" si="1584"/>
        <v>0</v>
      </c>
      <c r="AF1327" s="52">
        <f t="shared" ca="1" si="1584"/>
        <v>0</v>
      </c>
      <c r="AG1327" s="52">
        <f t="shared" ca="1" si="1584"/>
        <v>0</v>
      </c>
      <c r="AH1327" s="52">
        <f t="shared" ca="1" si="1584"/>
        <v>0</v>
      </c>
      <c r="AI1327" s="52">
        <f t="shared" ca="1" si="1584"/>
        <v>0</v>
      </c>
      <c r="AJ1327" s="52">
        <f t="shared" ca="1" si="1584"/>
        <v>0</v>
      </c>
      <c r="AK1327" s="52">
        <f t="shared" ca="1" si="1584"/>
        <v>0</v>
      </c>
      <c r="AL1327" s="52">
        <f t="shared" ca="1" si="1584"/>
        <v>0</v>
      </c>
      <c r="AM1327" s="52">
        <f t="shared" ca="1" si="1584"/>
        <v>0</v>
      </c>
      <c r="AN1327" s="52">
        <f t="shared" ca="1" si="1584"/>
        <v>0</v>
      </c>
      <c r="AO1327" s="52">
        <f t="shared" ca="1" si="1584"/>
        <v>0</v>
      </c>
      <c r="AP1327" s="52">
        <f t="shared" ca="1" si="1584"/>
        <v>0</v>
      </c>
      <c r="AQ1327" s="52">
        <f t="shared" ca="1" si="1584"/>
        <v>0</v>
      </c>
      <c r="AR1327" s="52">
        <f t="shared" ref="AR1327:BW1327" ca="1" si="1585">-IFERROR(AQ1325/AR1311,0)*Days_In_Period*AR1326</f>
        <v>0</v>
      </c>
      <c r="AS1327" s="52">
        <f t="shared" ca="1" si="1585"/>
        <v>0</v>
      </c>
      <c r="AT1327" s="52">
        <f t="shared" ca="1" si="1585"/>
        <v>67.584830723843581</v>
      </c>
      <c r="AU1327" s="52">
        <f t="shared" ca="1" si="1585"/>
        <v>0</v>
      </c>
      <c r="AV1327" s="52">
        <f t="shared" ca="1" si="1585"/>
        <v>0</v>
      </c>
      <c r="AW1327" s="52">
        <f t="shared" ca="1" si="1585"/>
        <v>0</v>
      </c>
      <c r="AX1327" s="52">
        <f t="shared" ca="1" si="1585"/>
        <v>0</v>
      </c>
      <c r="AY1327" s="52">
        <f t="shared" ca="1" si="1585"/>
        <v>0</v>
      </c>
      <c r="AZ1327" s="52">
        <f t="shared" ca="1" si="1585"/>
        <v>0</v>
      </c>
      <c r="BA1327" s="52">
        <f t="shared" ca="1" si="1585"/>
        <v>0</v>
      </c>
      <c r="BB1327" s="52">
        <f t="shared" ca="1" si="1585"/>
        <v>0</v>
      </c>
      <c r="BC1327" s="52">
        <f t="shared" ca="1" si="1585"/>
        <v>0</v>
      </c>
      <c r="BD1327" s="52">
        <f t="shared" ca="1" si="1585"/>
        <v>0</v>
      </c>
      <c r="BE1327" s="52">
        <f t="shared" ca="1" si="1585"/>
        <v>0</v>
      </c>
      <c r="BF1327" s="52">
        <f t="shared" ca="1" si="1585"/>
        <v>0</v>
      </c>
      <c r="BG1327" s="52">
        <f t="shared" ca="1" si="1585"/>
        <v>0</v>
      </c>
      <c r="BH1327" s="52">
        <f t="shared" ca="1" si="1585"/>
        <v>0</v>
      </c>
      <c r="BI1327" s="52">
        <f t="shared" ca="1" si="1585"/>
        <v>0</v>
      </c>
      <c r="BJ1327" s="52">
        <f t="shared" ca="1" si="1585"/>
        <v>0</v>
      </c>
      <c r="BK1327" s="52">
        <f t="shared" ca="1" si="1585"/>
        <v>0</v>
      </c>
      <c r="BL1327" s="52">
        <f t="shared" ca="1" si="1585"/>
        <v>0</v>
      </c>
      <c r="BM1327" s="52">
        <f t="shared" ca="1" si="1585"/>
        <v>0</v>
      </c>
      <c r="BN1327" s="52">
        <f t="shared" ca="1" si="1585"/>
        <v>0</v>
      </c>
      <c r="BO1327" s="52">
        <f t="shared" ca="1" si="1585"/>
        <v>0</v>
      </c>
      <c r="BP1327" s="52">
        <f t="shared" ca="1" si="1585"/>
        <v>0</v>
      </c>
      <c r="BQ1327" s="52">
        <f t="shared" ca="1" si="1585"/>
        <v>0</v>
      </c>
      <c r="BR1327" s="52">
        <f t="shared" ca="1" si="1585"/>
        <v>0</v>
      </c>
      <c r="BS1327" s="52">
        <f t="shared" ca="1" si="1585"/>
        <v>0</v>
      </c>
      <c r="BT1327" s="52">
        <f t="shared" ca="1" si="1585"/>
        <v>0</v>
      </c>
      <c r="BU1327" s="52">
        <f t="shared" ca="1" si="1585"/>
        <v>0</v>
      </c>
      <c r="BV1327" s="52">
        <f t="shared" ca="1" si="1585"/>
        <v>0</v>
      </c>
      <c r="BW1327" s="52">
        <f t="shared" ca="1" si="1585"/>
        <v>0</v>
      </c>
      <c r="BX1327" s="52">
        <f t="shared" ref="BX1327:CO1327" ca="1" si="1586">-IFERROR(BW1325/BX1311,0)*Days_In_Period*BX1326</f>
        <v>0</v>
      </c>
      <c r="BY1327" s="52">
        <f t="shared" ca="1" si="1586"/>
        <v>0</v>
      </c>
      <c r="BZ1327" s="52">
        <f t="shared" ca="1" si="1586"/>
        <v>0</v>
      </c>
      <c r="CA1327" s="52">
        <f t="shared" ca="1" si="1586"/>
        <v>0</v>
      </c>
      <c r="CB1327" s="52">
        <f t="shared" ca="1" si="1586"/>
        <v>0</v>
      </c>
      <c r="CC1327" s="52">
        <f t="shared" ca="1" si="1586"/>
        <v>0</v>
      </c>
      <c r="CD1327" s="52">
        <f t="shared" ca="1" si="1586"/>
        <v>0</v>
      </c>
      <c r="CE1327" s="52">
        <f t="shared" ca="1" si="1586"/>
        <v>0</v>
      </c>
      <c r="CF1327" s="52">
        <f t="shared" ca="1" si="1586"/>
        <v>0</v>
      </c>
      <c r="CG1327" s="52">
        <f t="shared" ca="1" si="1586"/>
        <v>0</v>
      </c>
      <c r="CH1327" s="52">
        <f t="shared" ca="1" si="1586"/>
        <v>0</v>
      </c>
      <c r="CI1327" s="52">
        <f t="shared" ca="1" si="1586"/>
        <v>0</v>
      </c>
      <c r="CJ1327" s="52">
        <f t="shared" ca="1" si="1586"/>
        <v>0</v>
      </c>
      <c r="CK1327" s="52">
        <f t="shared" ca="1" si="1586"/>
        <v>0</v>
      </c>
      <c r="CL1327" s="52">
        <f t="shared" ca="1" si="1586"/>
        <v>0</v>
      </c>
      <c r="CM1327" s="52">
        <f t="shared" ca="1" si="1586"/>
        <v>0</v>
      </c>
      <c r="CN1327" s="52">
        <f t="shared" ca="1" si="1586"/>
        <v>0</v>
      </c>
      <c r="CO1327" s="52">
        <f t="shared" ca="1" si="1586"/>
        <v>0</v>
      </c>
    </row>
    <row r="1328" spans="1:93">
      <c r="A1328" s="10"/>
      <c r="B1328" s="10"/>
      <c r="C1328" s="17" t="s">
        <v>94</v>
      </c>
      <c r="D1328" s="10"/>
      <c r="E1328" s="192">
        <f ca="1">SUMPRODUCT(Beginning_of_period,L1326:CO1326)+E1327</f>
        <v>48828.584830723841</v>
      </c>
      <c r="F1328" s="10"/>
      <c r="G1328" s="11" t="s">
        <v>31</v>
      </c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0"/>
      <c r="AH1328" s="10"/>
      <c r="AI1328" s="10"/>
      <c r="AJ1328" s="10"/>
      <c r="AK1328" s="10"/>
      <c r="AL1328" s="10"/>
      <c r="AM1328" s="10"/>
      <c r="AN1328" s="10"/>
      <c r="AO1328" s="10"/>
      <c r="AP1328" s="10"/>
      <c r="AQ1328" s="10"/>
      <c r="AR1328" s="10"/>
      <c r="AS1328" s="10"/>
      <c r="AT1328" s="10"/>
      <c r="AU1328" s="10"/>
      <c r="AV1328" s="10"/>
      <c r="AW1328" s="10"/>
      <c r="AX1328" s="10"/>
      <c r="AY1328" s="10"/>
      <c r="AZ1328" s="10"/>
      <c r="BA1328" s="10"/>
      <c r="BB1328" s="10"/>
      <c r="BC1328" s="10"/>
      <c r="BD1328" s="10"/>
      <c r="BE1328" s="10"/>
      <c r="BF1328" s="10"/>
      <c r="BG1328" s="10"/>
      <c r="BH1328" s="10"/>
      <c r="BI1328" s="10"/>
      <c r="BJ1328" s="10"/>
      <c r="BK1328" s="10"/>
      <c r="BL1328" s="10"/>
      <c r="BM1328" s="10"/>
      <c r="BN1328" s="10"/>
      <c r="BO1328" s="10"/>
      <c r="BP1328" s="10"/>
      <c r="BQ1328" s="10"/>
      <c r="BR1328" s="10"/>
      <c r="BS1328" s="10"/>
      <c r="BT1328" s="10"/>
      <c r="BU1328" s="10"/>
      <c r="BV1328" s="10"/>
      <c r="BW1328" s="10"/>
      <c r="BX1328" s="10"/>
      <c r="BY1328" s="10"/>
      <c r="BZ1328" s="10"/>
      <c r="CA1328" s="10"/>
      <c r="CB1328" s="10"/>
      <c r="CC1328" s="10"/>
      <c r="CD1328" s="10"/>
      <c r="CE1328" s="10"/>
      <c r="CF1328" s="10"/>
      <c r="CG1328" s="10"/>
      <c r="CH1328" s="10"/>
      <c r="CI1328" s="10"/>
      <c r="CJ1328" s="10"/>
      <c r="CK1328" s="10"/>
      <c r="CL1328" s="10"/>
      <c r="CM1328" s="10"/>
      <c r="CN1328" s="10"/>
      <c r="CO1328" s="10"/>
    </row>
    <row r="1329" spans="1:93">
      <c r="A1329" s="10"/>
      <c r="B1329" s="10"/>
      <c r="C1329" s="17" t="s">
        <v>224</v>
      </c>
      <c r="D1329" s="10"/>
      <c r="E1329" s="193">
        <f ca="1">IF(E1328=0,"н.пр.",IFERROR((E1328-Date_Forecast_Start)/Предпосылки!$E$27,"н.пр."))</f>
        <v>8.6865337828050446</v>
      </c>
      <c r="F1329" s="51"/>
      <c r="G1329" s="11" t="s">
        <v>123</v>
      </c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0"/>
      <c r="AH1329" s="10"/>
      <c r="AI1329" s="10"/>
      <c r="AJ1329" s="10"/>
      <c r="AK1329" s="10"/>
      <c r="AL1329" s="10"/>
      <c r="AM1329" s="10"/>
      <c r="AN1329" s="10"/>
      <c r="AO1329" s="10"/>
      <c r="AP1329" s="10"/>
      <c r="AQ1329" s="10"/>
      <c r="AR1329" s="10"/>
      <c r="AS1329" s="10"/>
      <c r="AT1329" s="10"/>
      <c r="AU1329" s="10"/>
      <c r="AV1329" s="10"/>
      <c r="AW1329" s="10"/>
      <c r="AX1329" s="10"/>
      <c r="AY1329" s="10"/>
      <c r="AZ1329" s="10"/>
      <c r="BA1329" s="10"/>
      <c r="BB1329" s="10"/>
      <c r="BC1329" s="10"/>
      <c r="BD1329" s="10"/>
      <c r="BE1329" s="10"/>
      <c r="BF1329" s="10"/>
      <c r="BG1329" s="10"/>
      <c r="BH1329" s="10"/>
      <c r="BI1329" s="10"/>
      <c r="BJ1329" s="10"/>
      <c r="BK1329" s="10"/>
      <c r="BL1329" s="10"/>
      <c r="BM1329" s="10"/>
      <c r="BN1329" s="10"/>
      <c r="BO1329" s="10"/>
      <c r="BP1329" s="10"/>
      <c r="BQ1329" s="10"/>
      <c r="BR1329" s="10"/>
      <c r="BS1329" s="10"/>
      <c r="BT1329" s="10"/>
      <c r="BU1329" s="10"/>
      <c r="BV1329" s="10"/>
      <c r="BW1329" s="10"/>
      <c r="BX1329" s="10"/>
      <c r="BY1329" s="10"/>
      <c r="BZ1329" s="10"/>
      <c r="CA1329" s="10"/>
      <c r="CB1329" s="10"/>
      <c r="CC1329" s="10"/>
      <c r="CD1329" s="10"/>
      <c r="CE1329" s="10"/>
      <c r="CF1329" s="10"/>
      <c r="CG1329" s="10"/>
      <c r="CH1329" s="10"/>
      <c r="CI1329" s="10"/>
      <c r="CJ1329" s="10"/>
      <c r="CK1329" s="10"/>
      <c r="CL1329" s="10"/>
      <c r="CM1329" s="10"/>
      <c r="CN1329" s="10"/>
      <c r="CO1329" s="10"/>
    </row>
    <row r="1330" spans="1:93">
      <c r="A1330" s="10"/>
      <c r="B1330" s="10"/>
      <c r="C1330" s="10"/>
      <c r="D1330" s="10"/>
      <c r="E1330" s="62"/>
      <c r="F1330" s="10"/>
      <c r="G1330" s="11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0"/>
      <c r="AH1330" s="10"/>
      <c r="AI1330" s="10"/>
      <c r="AJ1330" s="10"/>
      <c r="AK1330" s="10"/>
      <c r="AL1330" s="10"/>
      <c r="AM1330" s="10"/>
      <c r="AN1330" s="10"/>
      <c r="AO1330" s="10"/>
      <c r="AP1330" s="10"/>
      <c r="AQ1330" s="10"/>
      <c r="AR1330" s="10"/>
      <c r="AS1330" s="10"/>
      <c r="AT1330" s="10"/>
      <c r="AU1330" s="10"/>
      <c r="AV1330" s="10"/>
      <c r="AW1330" s="10"/>
      <c r="AX1330" s="10"/>
      <c r="AY1330" s="10"/>
      <c r="AZ1330" s="10"/>
      <c r="BA1330" s="10"/>
      <c r="BB1330" s="10"/>
      <c r="BC1330" s="10"/>
      <c r="BD1330" s="10"/>
      <c r="BE1330" s="10"/>
      <c r="BF1330" s="10"/>
      <c r="BG1330" s="10"/>
      <c r="BH1330" s="10"/>
      <c r="BI1330" s="10"/>
      <c r="BJ1330" s="10"/>
      <c r="BK1330" s="10"/>
      <c r="BL1330" s="10"/>
      <c r="BM1330" s="10"/>
      <c r="BN1330" s="10"/>
      <c r="BO1330" s="10"/>
      <c r="BP1330" s="10"/>
      <c r="BQ1330" s="10"/>
      <c r="BR1330" s="10"/>
      <c r="BS1330" s="10"/>
      <c r="BT1330" s="10"/>
      <c r="BU1330" s="10"/>
      <c r="BV1330" s="10"/>
      <c r="BW1330" s="10"/>
      <c r="BX1330" s="10"/>
      <c r="BY1330" s="10"/>
      <c r="BZ1330" s="10"/>
      <c r="CA1330" s="10"/>
      <c r="CB1330" s="10"/>
      <c r="CC1330" s="10"/>
      <c r="CD1330" s="10"/>
      <c r="CE1330" s="10"/>
      <c r="CF1330" s="10"/>
      <c r="CG1330" s="10"/>
      <c r="CH1330" s="10"/>
      <c r="CI1330" s="10"/>
      <c r="CJ1330" s="10"/>
      <c r="CK1330" s="10"/>
      <c r="CL1330" s="10"/>
      <c r="CM1330" s="10"/>
      <c r="CN1330" s="10"/>
      <c r="CO1330" s="10"/>
    </row>
    <row r="1331" spans="1:93">
      <c r="A1331" s="10"/>
      <c r="B1331" s="10"/>
      <c r="C1331" s="16" t="s">
        <v>225</v>
      </c>
      <c r="D1331" s="10"/>
      <c r="E1331" s="62"/>
      <c r="F1331" s="10"/>
      <c r="G1331" s="11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0"/>
      <c r="AH1331" s="10"/>
      <c r="AI1331" s="10"/>
      <c r="AJ1331" s="10"/>
      <c r="AK1331" s="10"/>
      <c r="AL1331" s="10"/>
      <c r="AM1331" s="10"/>
      <c r="AN1331" s="10"/>
      <c r="AO1331" s="10"/>
      <c r="AP1331" s="10"/>
      <c r="AQ1331" s="10"/>
      <c r="AR1331" s="10"/>
      <c r="AS1331" s="10"/>
      <c r="AT1331" s="10"/>
      <c r="AU1331" s="10"/>
      <c r="AV1331" s="10"/>
      <c r="AW1331" s="10"/>
      <c r="AX1331" s="10"/>
      <c r="AY1331" s="10"/>
      <c r="AZ1331" s="10"/>
      <c r="BA1331" s="10"/>
      <c r="BB1331" s="10"/>
      <c r="BC1331" s="10"/>
      <c r="BD1331" s="10"/>
      <c r="BE1331" s="10"/>
      <c r="BF1331" s="10"/>
      <c r="BG1331" s="10"/>
      <c r="BH1331" s="10"/>
      <c r="BI1331" s="10"/>
      <c r="BJ1331" s="10"/>
      <c r="BK1331" s="10"/>
      <c r="BL1331" s="10"/>
      <c r="BM1331" s="10"/>
      <c r="BN1331" s="10"/>
      <c r="BO1331" s="10"/>
      <c r="BP1331" s="10"/>
      <c r="BQ1331" s="10"/>
      <c r="BR1331" s="10"/>
      <c r="BS1331" s="10"/>
      <c r="BT1331" s="10"/>
      <c r="BU1331" s="10"/>
      <c r="BV1331" s="10"/>
      <c r="BW1331" s="10"/>
      <c r="BX1331" s="10"/>
      <c r="BY1331" s="10"/>
      <c r="BZ1331" s="10"/>
      <c r="CA1331" s="10"/>
      <c r="CB1331" s="10"/>
      <c r="CC1331" s="10"/>
      <c r="CD1331" s="10"/>
      <c r="CE1331" s="10"/>
      <c r="CF1331" s="10"/>
      <c r="CG1331" s="10"/>
      <c r="CH1331" s="10"/>
      <c r="CI1331" s="10"/>
      <c r="CJ1331" s="10"/>
      <c r="CK1331" s="10"/>
      <c r="CL1331" s="10"/>
      <c r="CM1331" s="10"/>
      <c r="CN1331" s="10"/>
      <c r="CO1331" s="10"/>
    </row>
    <row r="1332" spans="1:93">
      <c r="A1332" s="10"/>
      <c r="B1332" s="10"/>
      <c r="C1332" s="17" t="s">
        <v>226</v>
      </c>
      <c r="D1332" s="10"/>
      <c r="E1332" s="62"/>
      <c r="F1332" s="10"/>
      <c r="G1332" s="11" t="s">
        <v>378</v>
      </c>
      <c r="H1332" s="10"/>
      <c r="I1332" s="10"/>
      <c r="J1332" s="10"/>
      <c r="K1332" s="10"/>
      <c r="L1332" s="151">
        <f t="shared" ref="L1332:AQ1332" si="1587">IF(End_of_period&gt;Date_Forecast_Start,K1332+0.25,0)</f>
        <v>0.25</v>
      </c>
      <c r="M1332" s="151">
        <f t="shared" si="1587"/>
        <v>0.5</v>
      </c>
      <c r="N1332" s="151">
        <f t="shared" si="1587"/>
        <v>0.75</v>
      </c>
      <c r="O1332" s="151">
        <f t="shared" si="1587"/>
        <v>1</v>
      </c>
      <c r="P1332" s="151">
        <f t="shared" si="1587"/>
        <v>1.25</v>
      </c>
      <c r="Q1332" s="151">
        <f t="shared" si="1587"/>
        <v>1.5</v>
      </c>
      <c r="R1332" s="151">
        <f t="shared" si="1587"/>
        <v>1.75</v>
      </c>
      <c r="S1332" s="151">
        <f t="shared" si="1587"/>
        <v>2</v>
      </c>
      <c r="T1332" s="151">
        <f t="shared" si="1587"/>
        <v>2.25</v>
      </c>
      <c r="U1332" s="151">
        <f t="shared" si="1587"/>
        <v>2.5</v>
      </c>
      <c r="V1332" s="151">
        <f t="shared" si="1587"/>
        <v>2.75</v>
      </c>
      <c r="W1332" s="151">
        <f t="shared" si="1587"/>
        <v>3</v>
      </c>
      <c r="X1332" s="151">
        <f t="shared" si="1587"/>
        <v>3.25</v>
      </c>
      <c r="Y1332" s="151">
        <f t="shared" si="1587"/>
        <v>3.5</v>
      </c>
      <c r="Z1332" s="151">
        <f t="shared" si="1587"/>
        <v>3.75</v>
      </c>
      <c r="AA1332" s="151">
        <f t="shared" si="1587"/>
        <v>4</v>
      </c>
      <c r="AB1332" s="151">
        <f t="shared" si="1587"/>
        <v>4.25</v>
      </c>
      <c r="AC1332" s="151">
        <f t="shared" si="1587"/>
        <v>4.5</v>
      </c>
      <c r="AD1332" s="151">
        <f t="shared" si="1587"/>
        <v>4.75</v>
      </c>
      <c r="AE1332" s="151">
        <f t="shared" si="1587"/>
        <v>5</v>
      </c>
      <c r="AF1332" s="151">
        <f t="shared" si="1587"/>
        <v>5.25</v>
      </c>
      <c r="AG1332" s="151">
        <f t="shared" si="1587"/>
        <v>5.5</v>
      </c>
      <c r="AH1332" s="151">
        <f t="shared" si="1587"/>
        <v>5.75</v>
      </c>
      <c r="AI1332" s="151">
        <f t="shared" si="1587"/>
        <v>6</v>
      </c>
      <c r="AJ1332" s="151">
        <f t="shared" si="1587"/>
        <v>6.25</v>
      </c>
      <c r="AK1332" s="151">
        <f t="shared" si="1587"/>
        <v>6.5</v>
      </c>
      <c r="AL1332" s="151">
        <f t="shared" si="1587"/>
        <v>6.75</v>
      </c>
      <c r="AM1332" s="151">
        <f t="shared" si="1587"/>
        <v>7</v>
      </c>
      <c r="AN1332" s="151">
        <f t="shared" si="1587"/>
        <v>7.25</v>
      </c>
      <c r="AO1332" s="151">
        <f t="shared" si="1587"/>
        <v>7.5</v>
      </c>
      <c r="AP1332" s="151">
        <f t="shared" si="1587"/>
        <v>7.75</v>
      </c>
      <c r="AQ1332" s="151">
        <f t="shared" si="1587"/>
        <v>8</v>
      </c>
      <c r="AR1332" s="151">
        <f t="shared" ref="AR1332:BW1332" si="1588">IF(End_of_period&gt;Date_Forecast_Start,AQ1332+0.25,0)</f>
        <v>8.25</v>
      </c>
      <c r="AS1332" s="151">
        <f t="shared" si="1588"/>
        <v>8.5</v>
      </c>
      <c r="AT1332" s="151">
        <f t="shared" si="1588"/>
        <v>8.75</v>
      </c>
      <c r="AU1332" s="151">
        <f t="shared" si="1588"/>
        <v>9</v>
      </c>
      <c r="AV1332" s="151">
        <f t="shared" si="1588"/>
        <v>9.25</v>
      </c>
      <c r="AW1332" s="151">
        <f t="shared" si="1588"/>
        <v>9.5</v>
      </c>
      <c r="AX1332" s="151">
        <f t="shared" si="1588"/>
        <v>9.75</v>
      </c>
      <c r="AY1332" s="151">
        <f t="shared" si="1588"/>
        <v>10</v>
      </c>
      <c r="AZ1332" s="151">
        <f t="shared" si="1588"/>
        <v>10.25</v>
      </c>
      <c r="BA1332" s="151">
        <f t="shared" si="1588"/>
        <v>10.5</v>
      </c>
      <c r="BB1332" s="151">
        <f t="shared" si="1588"/>
        <v>10.75</v>
      </c>
      <c r="BC1332" s="151">
        <f t="shared" si="1588"/>
        <v>11</v>
      </c>
      <c r="BD1332" s="151">
        <f t="shared" si="1588"/>
        <v>11.25</v>
      </c>
      <c r="BE1332" s="151">
        <f t="shared" si="1588"/>
        <v>11.5</v>
      </c>
      <c r="BF1332" s="151">
        <f t="shared" si="1588"/>
        <v>11.75</v>
      </c>
      <c r="BG1332" s="151">
        <f t="shared" si="1588"/>
        <v>12</v>
      </c>
      <c r="BH1332" s="151">
        <f t="shared" si="1588"/>
        <v>12.25</v>
      </c>
      <c r="BI1332" s="151">
        <f t="shared" si="1588"/>
        <v>12.5</v>
      </c>
      <c r="BJ1332" s="151">
        <f t="shared" si="1588"/>
        <v>12.75</v>
      </c>
      <c r="BK1332" s="151">
        <f t="shared" si="1588"/>
        <v>13</v>
      </c>
      <c r="BL1332" s="151">
        <f t="shared" si="1588"/>
        <v>13.25</v>
      </c>
      <c r="BM1332" s="151">
        <f t="shared" si="1588"/>
        <v>13.5</v>
      </c>
      <c r="BN1332" s="151">
        <f t="shared" si="1588"/>
        <v>13.75</v>
      </c>
      <c r="BO1332" s="151">
        <f t="shared" si="1588"/>
        <v>14</v>
      </c>
      <c r="BP1332" s="151">
        <f t="shared" si="1588"/>
        <v>14.25</v>
      </c>
      <c r="BQ1332" s="151">
        <f t="shared" si="1588"/>
        <v>14.5</v>
      </c>
      <c r="BR1332" s="151">
        <f t="shared" si="1588"/>
        <v>14.75</v>
      </c>
      <c r="BS1332" s="151">
        <f t="shared" si="1588"/>
        <v>15</v>
      </c>
      <c r="BT1332" s="151">
        <f t="shared" si="1588"/>
        <v>15.25</v>
      </c>
      <c r="BU1332" s="151">
        <f t="shared" si="1588"/>
        <v>15.5</v>
      </c>
      <c r="BV1332" s="151">
        <f t="shared" si="1588"/>
        <v>15.75</v>
      </c>
      <c r="BW1332" s="151">
        <f t="shared" si="1588"/>
        <v>16</v>
      </c>
      <c r="BX1332" s="151">
        <f t="shared" ref="BX1332:CO1332" si="1589">IF(End_of_period&gt;Date_Forecast_Start,BW1332+0.25,0)</f>
        <v>16.25</v>
      </c>
      <c r="BY1332" s="151">
        <f t="shared" si="1589"/>
        <v>16.5</v>
      </c>
      <c r="BZ1332" s="151">
        <f t="shared" si="1589"/>
        <v>16.75</v>
      </c>
      <c r="CA1332" s="151">
        <f t="shared" si="1589"/>
        <v>17</v>
      </c>
      <c r="CB1332" s="151">
        <f t="shared" si="1589"/>
        <v>17.25</v>
      </c>
      <c r="CC1332" s="151">
        <f t="shared" si="1589"/>
        <v>17.5</v>
      </c>
      <c r="CD1332" s="151">
        <f t="shared" si="1589"/>
        <v>17.75</v>
      </c>
      <c r="CE1332" s="151">
        <f t="shared" si="1589"/>
        <v>18</v>
      </c>
      <c r="CF1332" s="151">
        <f t="shared" si="1589"/>
        <v>18.25</v>
      </c>
      <c r="CG1332" s="151">
        <f t="shared" si="1589"/>
        <v>18.5</v>
      </c>
      <c r="CH1332" s="151">
        <f t="shared" si="1589"/>
        <v>18.75</v>
      </c>
      <c r="CI1332" s="151">
        <f t="shared" si="1589"/>
        <v>19</v>
      </c>
      <c r="CJ1332" s="151">
        <f t="shared" si="1589"/>
        <v>19.25</v>
      </c>
      <c r="CK1332" s="151">
        <f t="shared" si="1589"/>
        <v>19.5</v>
      </c>
      <c r="CL1332" s="151">
        <f t="shared" si="1589"/>
        <v>19.75</v>
      </c>
      <c r="CM1332" s="151">
        <f t="shared" si="1589"/>
        <v>20</v>
      </c>
      <c r="CN1332" s="151">
        <f t="shared" si="1589"/>
        <v>20.25</v>
      </c>
      <c r="CO1332" s="151">
        <f t="shared" si="1589"/>
        <v>20.5</v>
      </c>
    </row>
    <row r="1333" spans="1:93">
      <c r="A1333" s="10"/>
      <c r="B1333" s="10"/>
      <c r="C1333" s="17" t="s">
        <v>227</v>
      </c>
      <c r="D1333" s="10"/>
      <c r="E1333" s="62"/>
      <c r="F1333" s="10"/>
      <c r="G1333" s="11" t="s">
        <v>378</v>
      </c>
      <c r="H1333" s="10"/>
      <c r="I1333" s="10"/>
      <c r="J1333" s="10"/>
      <c r="K1333" s="10"/>
      <c r="L1333" s="151">
        <f ca="1">1/(1+WACC)^L1332</f>
        <v>0.9798846873812106</v>
      </c>
      <c r="M1333" s="151">
        <f t="shared" ref="M1333:BX1333" ca="1" si="1590">1/(1+WACC)^M1332</f>
        <v>0.96017400056417279</v>
      </c>
      <c r="N1333" s="151">
        <f t="shared" ca="1" si="1590"/>
        <v>0.94085980037439099</v>
      </c>
      <c r="O1333" s="151">
        <f t="shared" ca="1" si="1590"/>
        <v>0.92193411135940828</v>
      </c>
      <c r="P1333" s="151">
        <f t="shared" ca="1" si="1590"/>
        <v>0.90338911849548809</v>
      </c>
      <c r="Q1333" s="151">
        <f t="shared" ca="1" si="1590"/>
        <v>0.88521716396053873</v>
      </c>
      <c r="R1333" s="151">
        <f t="shared" ca="1" si="1590"/>
        <v>0.86741074397195439</v>
      </c>
      <c r="S1333" s="151">
        <f t="shared" ca="1" si="1590"/>
        <v>0.84996250568806186</v>
      </c>
      <c r="T1333" s="151">
        <f t="shared" ca="1" si="1590"/>
        <v>0.832865244171897</v>
      </c>
      <c r="U1333" s="151">
        <f t="shared" ca="1" si="1590"/>
        <v>0.81611189941605489</v>
      </c>
      <c r="V1333" s="151">
        <f t="shared" ca="1" si="1590"/>
        <v>0.79969555342738696</v>
      </c>
      <c r="W1333" s="151">
        <f t="shared" ca="1" si="1590"/>
        <v>0.78360942737033945</v>
      </c>
      <c r="X1333" s="151">
        <f t="shared" ca="1" si="1590"/>
        <v>0.76784687876775448</v>
      </c>
      <c r="Y1333" s="151">
        <f t="shared" ca="1" si="1590"/>
        <v>0.7524013987579794</v>
      </c>
      <c r="Z1333" s="151">
        <f t="shared" ca="1" si="1590"/>
        <v>0.73726660940714828</v>
      </c>
      <c r="AA1333" s="151">
        <f t="shared" ca="1" si="1590"/>
        <v>0.72243626107552861</v>
      </c>
      <c r="AB1333" s="151">
        <f t="shared" ca="1" si="1590"/>
        <v>0.70790422983684498</v>
      </c>
      <c r="AC1333" s="151">
        <f t="shared" ca="1" si="1590"/>
        <v>0.69366451494951364</v>
      </c>
      <c r="AD1333" s="151">
        <f t="shared" ca="1" si="1590"/>
        <v>0.67971123637874309</v>
      </c>
      <c r="AE1333" s="151">
        <f t="shared" ca="1" si="1590"/>
        <v>0.66603863236848104</v>
      </c>
      <c r="AF1333" s="151">
        <f t="shared" ca="1" si="1590"/>
        <v>0.6526410570621981</v>
      </c>
      <c r="AG1333" s="151">
        <f t="shared" ca="1" si="1590"/>
        <v>0.63951297817153474</v>
      </c>
      <c r="AH1333" s="151">
        <f t="shared" ca="1" si="1590"/>
        <v>0.62664897469184133</v>
      </c>
      <c r="AI1333" s="151">
        <f t="shared" ca="1" si="1590"/>
        <v>0.61404373466367113</v>
      </c>
      <c r="AJ1333" s="151">
        <f t="shared" ca="1" si="1590"/>
        <v>0.60169205297930239</v>
      </c>
      <c r="AK1333" s="151">
        <f t="shared" ca="1" si="1590"/>
        <v>0.58958882923338263</v>
      </c>
      <c r="AL1333" s="151">
        <f t="shared" ca="1" si="1590"/>
        <v>0.57772906561680715</v>
      </c>
      <c r="AM1333" s="151">
        <f t="shared" ca="1" si="1590"/>
        <v>0.56610786485296394</v>
      </c>
      <c r="AN1333" s="151">
        <f t="shared" ca="1" si="1590"/>
        <v>0.55472042817549116</v>
      </c>
      <c r="AO1333" s="151">
        <f t="shared" ca="1" si="1590"/>
        <v>0.54356205334671248</v>
      </c>
      <c r="AP1333" s="151">
        <f t="shared" ca="1" si="1590"/>
        <v>0.53262813271593235</v>
      </c>
      <c r="AQ1333" s="151">
        <f t="shared" ca="1" si="1590"/>
        <v>0.52191415131678931</v>
      </c>
      <c r="AR1333" s="151">
        <f t="shared" ca="1" si="1590"/>
        <v>0.51141568500288193</v>
      </c>
      <c r="AS1333" s="151">
        <f t="shared" ca="1" si="1590"/>
        <v>0.50112839862089675</v>
      </c>
      <c r="AT1333" s="151">
        <f t="shared" ca="1" si="1590"/>
        <v>0.49104804422048409</v>
      </c>
      <c r="AU1333" s="151">
        <f t="shared" ca="1" si="1590"/>
        <v>0.4811704593001439</v>
      </c>
      <c r="AV1333" s="151">
        <f t="shared" ca="1" si="1590"/>
        <v>0.47149156508839496</v>
      </c>
      <c r="AW1333" s="151">
        <f t="shared" ca="1" si="1590"/>
        <v>0.46200736485951971</v>
      </c>
      <c r="AX1333" s="151">
        <f t="shared" ca="1" si="1590"/>
        <v>0.45271394228318734</v>
      </c>
      <c r="AY1333" s="151">
        <f t="shared" ca="1" si="1590"/>
        <v>0.44360745980727651</v>
      </c>
      <c r="AZ1333" s="151">
        <f t="shared" ca="1" si="1590"/>
        <v>0.43468415707322611</v>
      </c>
      <c r="BA1333" s="151">
        <f t="shared" ca="1" si="1590"/>
        <v>0.42594034936326325</v>
      </c>
      <c r="BB1333" s="151">
        <f t="shared" ca="1" si="1590"/>
        <v>0.41737242607886482</v>
      </c>
      <c r="BC1333" s="151">
        <f t="shared" ca="1" si="1590"/>
        <v>0.40897684924982591</v>
      </c>
      <c r="BD1333" s="151">
        <f t="shared" ca="1" si="1590"/>
        <v>0.40075015207331816</v>
      </c>
      <c r="BE1333" s="151">
        <f t="shared" ca="1" si="1590"/>
        <v>0.39268893748233596</v>
      </c>
      <c r="BF1333" s="151">
        <f t="shared" ca="1" si="1590"/>
        <v>0.38478987674293857</v>
      </c>
      <c r="BG1333" s="151">
        <f t="shared" ca="1" si="1590"/>
        <v>0.37704970807970895</v>
      </c>
      <c r="BH1333" s="151">
        <f t="shared" ca="1" si="1590"/>
        <v>0.36946523532886233</v>
      </c>
      <c r="BI1333" s="151">
        <f t="shared" ca="1" si="1590"/>
        <v>0.36203332661844767</v>
      </c>
      <c r="BJ1333" s="151">
        <f t="shared" ca="1" si="1590"/>
        <v>0.35475091307509732</v>
      </c>
      <c r="BK1333" s="151">
        <f t="shared" ca="1" si="1590"/>
        <v>0.34761498755679082</v>
      </c>
      <c r="BL1333" s="151">
        <f t="shared" ca="1" si="1590"/>
        <v>0.34062260341110934</v>
      </c>
      <c r="BM1333" s="151">
        <f t="shared" ca="1" si="1590"/>
        <v>0.33377087325846905</v>
      </c>
      <c r="BN1333" s="151">
        <f t="shared" ca="1" si="1590"/>
        <v>0.32705696779982851</v>
      </c>
      <c r="BO1333" s="151">
        <f t="shared" ca="1" si="1590"/>
        <v>0.32047811464838172</v>
      </c>
      <c r="BP1333" s="151">
        <f t="shared" ca="1" si="1590"/>
        <v>0.31403159718474927</v>
      </c>
      <c r="BQ1333" s="151">
        <f t="shared" ca="1" si="1590"/>
        <v>0.30771475343520027</v>
      </c>
      <c r="BR1333" s="151">
        <f t="shared" ca="1" si="1590"/>
        <v>0.30152497497243758</v>
      </c>
      <c r="BS1333" s="151">
        <f t="shared" ca="1" si="1590"/>
        <v>0.29545970583849435</v>
      </c>
      <c r="BT1333" s="151">
        <f t="shared" ca="1" si="1590"/>
        <v>0.2895164414892975</v>
      </c>
      <c r="BU1333" s="151">
        <f t="shared" ca="1" si="1590"/>
        <v>0.28369272776046078</v>
      </c>
      <c r="BV1333" s="151">
        <f t="shared" ca="1" si="1590"/>
        <v>0.27798615985388209</v>
      </c>
      <c r="BW1333" s="151">
        <f t="shared" ca="1" si="1590"/>
        <v>0.27239438134472443</v>
      </c>
      <c r="BX1333" s="151">
        <f t="shared" ca="1" si="1590"/>
        <v>0.26691508320837359</v>
      </c>
      <c r="BY1333" s="151">
        <f t="shared" ref="BY1333:CO1333" ca="1" si="1591">1/(1+WACC)^BY1332</f>
        <v>0.261546002866967</v>
      </c>
      <c r="BZ1333" s="151">
        <f t="shared" ca="1" si="1591"/>
        <v>0.25628492325510316</v>
      </c>
      <c r="CA1333" s="151">
        <f t="shared" ca="1" si="1591"/>
        <v>0.25112967190434432</v>
      </c>
      <c r="CB1333" s="151">
        <f t="shared" ca="1" si="1591"/>
        <v>0.24607812004613444</v>
      </c>
      <c r="CC1333" s="151">
        <f t="shared" ca="1" si="1591"/>
        <v>0.24112818173276246</v>
      </c>
      <c r="CD1333" s="151">
        <f t="shared" ca="1" si="1591"/>
        <v>0.2362778129760077</v>
      </c>
      <c r="CE1333" s="151">
        <f t="shared" ca="1" si="1591"/>
        <v>0.23152501090311142</v>
      </c>
      <c r="CF1333" s="151">
        <f t="shared" ca="1" si="1591"/>
        <v>0.22686781292972674</v>
      </c>
      <c r="CG1333" s="151">
        <f t="shared" ca="1" si="1591"/>
        <v>0.22230429594950424</v>
      </c>
      <c r="CH1333" s="151">
        <f t="shared" ca="1" si="1591"/>
        <v>0.21783257553998014</v>
      </c>
      <c r="CI1333" s="151">
        <f t="shared" ca="1" si="1591"/>
        <v>0.2134508051844374</v>
      </c>
      <c r="CJ1333" s="151">
        <f t="shared" ca="1" si="1591"/>
        <v>0.20915717550942012</v>
      </c>
      <c r="CK1333" s="151">
        <f t="shared" ca="1" si="1591"/>
        <v>0.20494991353758513</v>
      </c>
      <c r="CL1333" s="151">
        <f t="shared" ca="1" si="1591"/>
        <v>0.20082728195558275</v>
      </c>
      <c r="CM1333" s="151">
        <f t="shared" ca="1" si="1591"/>
        <v>0.19678757839666444</v>
      </c>
      <c r="CN1333" s="151">
        <f t="shared" ca="1" si="1591"/>
        <v>0.19282913473772101</v>
      </c>
      <c r="CO1333" s="151">
        <f t="shared" ca="1" si="1591"/>
        <v>0.18895031641046112</v>
      </c>
    </row>
    <row r="1334" spans="1:93">
      <c r="A1334" s="10"/>
      <c r="B1334" s="10"/>
      <c r="C1334" s="17" t="s">
        <v>228</v>
      </c>
      <c r="D1334" s="10"/>
      <c r="E1334" s="62"/>
      <c r="F1334" s="10"/>
      <c r="G1334" s="134" t="str">
        <f>Monetary_Unit</f>
        <v>тыс. руб.</v>
      </c>
      <c r="H1334" s="10"/>
      <c r="I1334" s="10"/>
      <c r="J1334" s="10"/>
      <c r="K1334" s="10"/>
      <c r="L1334" s="52">
        <f t="shared" ref="L1334:AQ1334" ca="1" si="1592">L1311*L1333</f>
        <v>-19824.589391295314</v>
      </c>
      <c r="M1334" s="52">
        <f t="shared" ca="1" si="1592"/>
        <v>-19701.558786362639</v>
      </c>
      <c r="N1334" s="52">
        <f t="shared" ca="1" si="1592"/>
        <v>-19579.291704419084</v>
      </c>
      <c r="O1334" s="52">
        <f t="shared" ca="1" si="1592"/>
        <v>-19457.78340707166</v>
      </c>
      <c r="P1334" s="52">
        <f t="shared" ca="1" si="1592"/>
        <v>-160342.97786683755</v>
      </c>
      <c r="Q1334" s="52">
        <f t="shared" ca="1" si="1592"/>
        <v>-158665.77261281176</v>
      </c>
      <c r="R1334" s="52">
        <f t="shared" ca="1" si="1592"/>
        <v>-157006.11111094494</v>
      </c>
      <c r="S1334" s="52">
        <f t="shared" ca="1" si="1592"/>
        <v>-155363.80985165224</v>
      </c>
      <c r="T1334" s="52">
        <f t="shared" ca="1" si="1592"/>
        <v>-153738.68724487952</v>
      </c>
      <c r="U1334" s="52">
        <f t="shared" ca="1" si="1592"/>
        <v>-153789.01640805037</v>
      </c>
      <c r="V1334" s="52">
        <f t="shared" ca="1" si="1592"/>
        <v>-152069.49004236309</v>
      </c>
      <c r="W1334" s="52">
        <f t="shared" ca="1" si="1592"/>
        <v>-150352.50906206877</v>
      </c>
      <c r="X1334" s="52">
        <f t="shared" ca="1" si="1592"/>
        <v>-283474.34390763752</v>
      </c>
      <c r="Y1334" s="52">
        <f t="shared" ca="1" si="1592"/>
        <v>-280290.97969615355</v>
      </c>
      <c r="Z1334" s="52">
        <f t="shared" ca="1" si="1592"/>
        <v>-277153.84443365963</v>
      </c>
      <c r="AA1334" s="52">
        <f t="shared" ca="1" si="1592"/>
        <v>-274042.98081484449</v>
      </c>
      <c r="AB1334" s="52">
        <f t="shared" ca="1" si="1592"/>
        <v>-467584.26033922681</v>
      </c>
      <c r="AC1334" s="52">
        <f t="shared" ca="1" si="1592"/>
        <v>387302.6230677467</v>
      </c>
      <c r="AD1334" s="52">
        <f t="shared" ca="1" si="1592"/>
        <v>196151.93534257438</v>
      </c>
      <c r="AE1334" s="52">
        <f t="shared" ca="1" si="1592"/>
        <v>118943.95862588826</v>
      </c>
      <c r="AF1334" s="52">
        <f t="shared" ca="1" si="1592"/>
        <v>65015.062862108192</v>
      </c>
      <c r="AG1334" s="52">
        <f t="shared" ca="1" si="1592"/>
        <v>70734.455940569969</v>
      </c>
      <c r="AH1334" s="52">
        <f t="shared" ca="1" si="1592"/>
        <v>134843.85902272095</v>
      </c>
      <c r="AI1334" s="52">
        <f t="shared" ca="1" si="1592"/>
        <v>126804.80615191985</v>
      </c>
      <c r="AJ1334" s="52">
        <f t="shared" ca="1" si="1592"/>
        <v>67831.81729039803</v>
      </c>
      <c r="AK1334" s="52">
        <f t="shared" ca="1" si="1592"/>
        <v>75486.330421275576</v>
      </c>
      <c r="AL1334" s="52">
        <f t="shared" ca="1" si="1592"/>
        <v>143295.27474601663</v>
      </c>
      <c r="AM1334" s="52">
        <f t="shared" ca="1" si="1592"/>
        <v>134849.55588786467</v>
      </c>
      <c r="AN1334" s="52">
        <f t="shared" ca="1" si="1592"/>
        <v>73987.553502949959</v>
      </c>
      <c r="AO1334" s="52">
        <f t="shared" ca="1" si="1592"/>
        <v>79739.009092752982</v>
      </c>
      <c r="AP1334" s="52">
        <f t="shared" ca="1" si="1592"/>
        <v>148906.76987478547</v>
      </c>
      <c r="AQ1334" s="52">
        <f t="shared" ca="1" si="1592"/>
        <v>138168.99999955631</v>
      </c>
      <c r="AR1334" s="52">
        <f t="shared" ref="AR1334:BW1334" ca="1" si="1593">AR1311*AR1333</f>
        <v>73275.893260407116</v>
      </c>
      <c r="AS1334" s="52">
        <f t="shared" ca="1" si="1593"/>
        <v>76541.240577161487</v>
      </c>
      <c r="AT1334" s="52">
        <f t="shared" ca="1" si="1593"/>
        <v>140978.76422061285</v>
      </c>
      <c r="AU1334" s="52">
        <f t="shared" ca="1" si="1593"/>
        <v>129637.60233856768</v>
      </c>
      <c r="AV1334" s="52">
        <f t="shared" ca="1" si="1593"/>
        <v>68340.16616942703</v>
      </c>
      <c r="AW1334" s="52">
        <f t="shared" ca="1" si="1593"/>
        <v>84186.07543678183</v>
      </c>
      <c r="AX1334" s="52">
        <f t="shared" ca="1" si="1593"/>
        <v>123603.08378802323</v>
      </c>
      <c r="AY1334" s="52">
        <f t="shared" ca="1" si="1593"/>
        <v>71247.835908939378</v>
      </c>
      <c r="AZ1334" s="52">
        <f t="shared" ca="1" si="1593"/>
        <v>39446.144743783967</v>
      </c>
      <c r="BA1334" s="52">
        <f t="shared" ca="1" si="1593"/>
        <v>59771.06328236359</v>
      </c>
      <c r="BB1334" s="52">
        <f t="shared" ca="1" si="1593"/>
        <v>114126.90350285055</v>
      </c>
      <c r="BC1334" s="52">
        <f t="shared" ca="1" si="1593"/>
        <v>68310.339737161194</v>
      </c>
      <c r="BD1334" s="52">
        <f t="shared" ca="1" si="1593"/>
        <v>38342.613557076678</v>
      </c>
      <c r="BE1334" s="52">
        <f t="shared" ca="1" si="1593"/>
        <v>56777.872940851936</v>
      </c>
      <c r="BF1334" s="52">
        <f t="shared" ca="1" si="1593"/>
        <v>109026.00872822871</v>
      </c>
      <c r="BG1334" s="52">
        <f t="shared" ca="1" si="1593"/>
        <v>65104.613439350956</v>
      </c>
      <c r="BH1334" s="52">
        <f t="shared" ca="1" si="1593"/>
        <v>35872.733931726485</v>
      </c>
      <c r="BI1334" s="52">
        <f t="shared" ca="1" si="1593"/>
        <v>54566.397553113646</v>
      </c>
      <c r="BJ1334" s="52">
        <f t="shared" ca="1" si="1593"/>
        <v>104545.15175648939</v>
      </c>
      <c r="BK1334" s="52">
        <f t="shared" ca="1" si="1593"/>
        <v>62432.61544891823</v>
      </c>
      <c r="BL1334" s="52">
        <f t="shared" ca="1" si="1593"/>
        <v>34406.303177039481</v>
      </c>
      <c r="BM1334" s="52">
        <f t="shared" ca="1" si="1593"/>
        <v>52330.083270809097</v>
      </c>
      <c r="BN1334" s="52">
        <f t="shared" ca="1" si="1593"/>
        <v>100250.36987968841</v>
      </c>
      <c r="BO1334" s="52">
        <f t="shared" ca="1" si="1593"/>
        <v>56973.665401493257</v>
      </c>
      <c r="BP1334" s="52">
        <f t="shared" ca="1" si="1593"/>
        <v>30611.602280114988</v>
      </c>
      <c r="BQ1334" s="52">
        <f t="shared" ca="1" si="1593"/>
        <v>45386.956639675867</v>
      </c>
      <c r="BR1334" s="52">
        <f t="shared" ca="1" si="1593"/>
        <v>83898.084139593906</v>
      </c>
      <c r="BS1334" s="52">
        <f t="shared" ca="1" si="1593"/>
        <v>52128.042280053553</v>
      </c>
      <c r="BT1334" s="52">
        <f t="shared" ca="1" si="1593"/>
        <v>27379.129219668903</v>
      </c>
      <c r="BU1334" s="52">
        <f t="shared" ca="1" si="1593"/>
        <v>41109.283698444146</v>
      </c>
      <c r="BV1334" s="52">
        <f t="shared" ca="1" si="1593"/>
        <v>80655.687299756217</v>
      </c>
      <c r="BW1334" s="52">
        <f t="shared" ca="1" si="1593"/>
        <v>50188.654012140782</v>
      </c>
      <c r="BX1334" s="52">
        <f t="shared" ref="BX1334:CO1334" ca="1" si="1594">BX1311*BX1333</f>
        <v>26063.802923372252</v>
      </c>
      <c r="BY1334" s="52">
        <f t="shared" ca="1" si="1594"/>
        <v>39695.055469214487</v>
      </c>
      <c r="BZ1334" s="52">
        <f t="shared" ca="1" si="1594"/>
        <v>77510.931961842725</v>
      </c>
      <c r="CA1334" s="52">
        <f t="shared" ca="1" si="1594"/>
        <v>48294.208215084014</v>
      </c>
      <c r="CB1334" s="52">
        <f t="shared" ca="1" si="1594"/>
        <v>25161.228954340484</v>
      </c>
      <c r="CC1334" s="52">
        <f t="shared" ca="1" si="1594"/>
        <v>38228.717736443585</v>
      </c>
      <c r="CD1334" s="52">
        <f t="shared" ca="1" si="1594"/>
        <v>74484.71182134164</v>
      </c>
      <c r="CE1334" s="52">
        <f t="shared" ca="1" si="1594"/>
        <v>46467.029546798251</v>
      </c>
      <c r="CF1334" s="52">
        <f t="shared" ca="1" si="1594"/>
        <v>24278.61808824493</v>
      </c>
      <c r="CG1334" s="52">
        <f t="shared" ca="1" si="1594"/>
        <v>36805.788277070591</v>
      </c>
      <c r="CH1334" s="52">
        <f t="shared" ca="1" si="1594"/>
        <v>71566.364669363524</v>
      </c>
      <c r="CI1334" s="52">
        <f t="shared" ca="1" si="1594"/>
        <v>44698.753058409384</v>
      </c>
      <c r="CJ1334" s="52">
        <f t="shared" ca="1" si="1594"/>
        <v>23755.56747889621</v>
      </c>
      <c r="CK1334" s="52">
        <f t="shared" ca="1" si="1594"/>
        <v>35343.458235959333</v>
      </c>
      <c r="CL1334" s="52">
        <f t="shared" ca="1" si="1594"/>
        <v>68757.813323346054</v>
      </c>
      <c r="CM1334" s="52">
        <f t="shared" ca="1" si="1594"/>
        <v>42993.127358188336</v>
      </c>
      <c r="CN1334" s="52">
        <f t="shared" ca="1" si="1594"/>
        <v>22576.406771407808</v>
      </c>
      <c r="CO1334" s="52">
        <f t="shared" ca="1" si="1594"/>
        <v>34089.357532676047</v>
      </c>
    </row>
    <row r="1335" spans="1:93">
      <c r="A1335" s="10"/>
      <c r="B1335" s="10"/>
      <c r="C1335" s="17" t="s">
        <v>229</v>
      </c>
      <c r="D1335" s="10"/>
      <c r="E1335" s="10"/>
      <c r="F1335" s="10"/>
      <c r="G1335" s="134" t="str">
        <f>Monetary_Unit</f>
        <v>тыс. руб.</v>
      </c>
      <c r="H1335" s="10"/>
      <c r="I1335" s="10"/>
      <c r="J1335" s="10"/>
      <c r="K1335" s="10"/>
      <c r="L1335" s="52">
        <f t="shared" ref="L1335:AQ1335" ca="1" si="1595">K1335+L1334</f>
        <v>-19824.589391295314</v>
      </c>
      <c r="M1335" s="52">
        <f t="shared" ca="1" si="1595"/>
        <v>-39526.148177657953</v>
      </c>
      <c r="N1335" s="52">
        <f t="shared" ca="1" si="1595"/>
        <v>-59105.439882077037</v>
      </c>
      <c r="O1335" s="52">
        <f t="shared" ca="1" si="1595"/>
        <v>-78563.223289148693</v>
      </c>
      <c r="P1335" s="52">
        <f t="shared" ca="1" si="1595"/>
        <v>-238906.20115598623</v>
      </c>
      <c r="Q1335" s="52">
        <f t="shared" ca="1" si="1595"/>
        <v>-397571.97376879799</v>
      </c>
      <c r="R1335" s="52">
        <f t="shared" ca="1" si="1595"/>
        <v>-554578.08487974294</v>
      </c>
      <c r="S1335" s="52">
        <f t="shared" ca="1" si="1595"/>
        <v>-709941.89473139518</v>
      </c>
      <c r="T1335" s="52">
        <f t="shared" ca="1" si="1595"/>
        <v>-863680.58197627473</v>
      </c>
      <c r="U1335" s="52">
        <f t="shared" ca="1" si="1595"/>
        <v>-1017469.5983843252</v>
      </c>
      <c r="V1335" s="52">
        <f t="shared" ca="1" si="1595"/>
        <v>-1169539.0884266882</v>
      </c>
      <c r="W1335" s="52">
        <f t="shared" ca="1" si="1595"/>
        <v>-1319891.597488757</v>
      </c>
      <c r="X1335" s="52">
        <f t="shared" ca="1" si="1595"/>
        <v>-1603365.9413963945</v>
      </c>
      <c r="Y1335" s="52">
        <f t="shared" ca="1" si="1595"/>
        <v>-1883656.9210925479</v>
      </c>
      <c r="Z1335" s="52">
        <f t="shared" ca="1" si="1595"/>
        <v>-2160810.7655262076</v>
      </c>
      <c r="AA1335" s="52">
        <f t="shared" ca="1" si="1595"/>
        <v>-2434853.746341052</v>
      </c>
      <c r="AB1335" s="52">
        <f t="shared" ca="1" si="1595"/>
        <v>-2902438.006680279</v>
      </c>
      <c r="AC1335" s="52">
        <f t="shared" ca="1" si="1595"/>
        <v>-2515135.3836125322</v>
      </c>
      <c r="AD1335" s="52">
        <f t="shared" ca="1" si="1595"/>
        <v>-2318983.4482699577</v>
      </c>
      <c r="AE1335" s="52">
        <f t="shared" ca="1" si="1595"/>
        <v>-2200039.4896440692</v>
      </c>
      <c r="AF1335" s="52">
        <f t="shared" ca="1" si="1595"/>
        <v>-2135024.4267819612</v>
      </c>
      <c r="AG1335" s="52">
        <f t="shared" ca="1" si="1595"/>
        <v>-2064289.9708413912</v>
      </c>
      <c r="AH1335" s="52">
        <f t="shared" ca="1" si="1595"/>
        <v>-1929446.1118186703</v>
      </c>
      <c r="AI1335" s="52">
        <f t="shared" ca="1" si="1595"/>
        <v>-1802641.3056667505</v>
      </c>
      <c r="AJ1335" s="52">
        <f t="shared" ca="1" si="1595"/>
        <v>-1734809.4883763525</v>
      </c>
      <c r="AK1335" s="52">
        <f t="shared" ca="1" si="1595"/>
        <v>-1659323.157955077</v>
      </c>
      <c r="AL1335" s="52">
        <f t="shared" ca="1" si="1595"/>
        <v>-1516027.8832090604</v>
      </c>
      <c r="AM1335" s="52">
        <f t="shared" ca="1" si="1595"/>
        <v>-1381178.3273211957</v>
      </c>
      <c r="AN1335" s="52">
        <f t="shared" ca="1" si="1595"/>
        <v>-1307190.7738182459</v>
      </c>
      <c r="AO1335" s="52">
        <f t="shared" ca="1" si="1595"/>
        <v>-1227451.7647254928</v>
      </c>
      <c r="AP1335" s="52">
        <f t="shared" ca="1" si="1595"/>
        <v>-1078544.9948507072</v>
      </c>
      <c r="AQ1335" s="52">
        <f t="shared" ca="1" si="1595"/>
        <v>-940375.9948511509</v>
      </c>
      <c r="AR1335" s="52">
        <f t="shared" ref="AR1335:BW1335" ca="1" si="1596">AQ1335+AR1334</f>
        <v>-867100.10159074375</v>
      </c>
      <c r="AS1335" s="52">
        <f t="shared" ca="1" si="1596"/>
        <v>-790558.86101358221</v>
      </c>
      <c r="AT1335" s="52">
        <f t="shared" ca="1" si="1596"/>
        <v>-649580.09679296939</v>
      </c>
      <c r="AU1335" s="52">
        <f t="shared" ca="1" si="1596"/>
        <v>-519942.49445440172</v>
      </c>
      <c r="AV1335" s="52">
        <f t="shared" ca="1" si="1596"/>
        <v>-451602.32828497468</v>
      </c>
      <c r="AW1335" s="52">
        <f t="shared" ca="1" si="1596"/>
        <v>-367416.25284819282</v>
      </c>
      <c r="AX1335" s="52">
        <f t="shared" ca="1" si="1596"/>
        <v>-243813.1690601696</v>
      </c>
      <c r="AY1335" s="52">
        <f t="shared" ca="1" si="1596"/>
        <v>-172565.33315123024</v>
      </c>
      <c r="AZ1335" s="52">
        <f t="shared" ca="1" si="1596"/>
        <v>-133119.18840744626</v>
      </c>
      <c r="BA1335" s="52">
        <f t="shared" ca="1" si="1596"/>
        <v>-73348.125125082675</v>
      </c>
      <c r="BB1335" s="52">
        <f t="shared" ca="1" si="1596"/>
        <v>40778.778377767871</v>
      </c>
      <c r="BC1335" s="52">
        <f t="shared" ca="1" si="1596"/>
        <v>109089.11811492906</v>
      </c>
      <c r="BD1335" s="52">
        <f t="shared" ca="1" si="1596"/>
        <v>147431.73167200573</v>
      </c>
      <c r="BE1335" s="52">
        <f t="shared" ca="1" si="1596"/>
        <v>204209.60461285766</v>
      </c>
      <c r="BF1335" s="52">
        <f t="shared" ca="1" si="1596"/>
        <v>313235.61334108637</v>
      </c>
      <c r="BG1335" s="52">
        <f t="shared" ca="1" si="1596"/>
        <v>378340.22678043734</v>
      </c>
      <c r="BH1335" s="52">
        <f t="shared" ca="1" si="1596"/>
        <v>414212.96071216383</v>
      </c>
      <c r="BI1335" s="52">
        <f t="shared" ca="1" si="1596"/>
        <v>468779.35826527746</v>
      </c>
      <c r="BJ1335" s="52">
        <f t="shared" ca="1" si="1596"/>
        <v>573324.51002176688</v>
      </c>
      <c r="BK1335" s="52">
        <f t="shared" ca="1" si="1596"/>
        <v>635757.12547068507</v>
      </c>
      <c r="BL1335" s="52">
        <f t="shared" ca="1" si="1596"/>
        <v>670163.42864772456</v>
      </c>
      <c r="BM1335" s="52">
        <f t="shared" ca="1" si="1596"/>
        <v>722493.51191853371</v>
      </c>
      <c r="BN1335" s="52">
        <f t="shared" ca="1" si="1596"/>
        <v>822743.88179822208</v>
      </c>
      <c r="BO1335" s="52">
        <f t="shared" ca="1" si="1596"/>
        <v>879717.54719971539</v>
      </c>
      <c r="BP1335" s="52">
        <f t="shared" ca="1" si="1596"/>
        <v>910329.1494798304</v>
      </c>
      <c r="BQ1335" s="52">
        <f t="shared" ca="1" si="1596"/>
        <v>955716.10611950629</v>
      </c>
      <c r="BR1335" s="52">
        <f t="shared" ca="1" si="1596"/>
        <v>1039614.1902591002</v>
      </c>
      <c r="BS1335" s="52">
        <f t="shared" ca="1" si="1596"/>
        <v>1091742.2325391537</v>
      </c>
      <c r="BT1335" s="52">
        <f t="shared" ca="1" si="1596"/>
        <v>1119121.3617588226</v>
      </c>
      <c r="BU1335" s="52">
        <f t="shared" ca="1" si="1596"/>
        <v>1160230.6454572668</v>
      </c>
      <c r="BV1335" s="52">
        <f t="shared" ca="1" si="1596"/>
        <v>1240886.3327570232</v>
      </c>
      <c r="BW1335" s="52">
        <f t="shared" ca="1" si="1596"/>
        <v>1291074.986769164</v>
      </c>
      <c r="BX1335" s="52">
        <f t="shared" ref="BX1335:CO1335" ca="1" si="1597">BW1335+BX1334</f>
        <v>1317138.7896925362</v>
      </c>
      <c r="BY1335" s="52">
        <f t="shared" ca="1" si="1597"/>
        <v>1356833.8451617507</v>
      </c>
      <c r="BZ1335" s="52">
        <f t="shared" ca="1" si="1597"/>
        <v>1434344.7771235935</v>
      </c>
      <c r="CA1335" s="52">
        <f t="shared" ca="1" si="1597"/>
        <v>1482638.9853386774</v>
      </c>
      <c r="CB1335" s="52">
        <f t="shared" ca="1" si="1597"/>
        <v>1507800.214293018</v>
      </c>
      <c r="CC1335" s="52">
        <f t="shared" ca="1" si="1597"/>
        <v>1546028.9320294615</v>
      </c>
      <c r="CD1335" s="52">
        <f t="shared" ca="1" si="1597"/>
        <v>1620513.6438508031</v>
      </c>
      <c r="CE1335" s="52">
        <f t="shared" ca="1" si="1597"/>
        <v>1666980.6733976013</v>
      </c>
      <c r="CF1335" s="52">
        <f t="shared" ca="1" si="1597"/>
        <v>1691259.2914858463</v>
      </c>
      <c r="CG1335" s="52">
        <f t="shared" ca="1" si="1597"/>
        <v>1728065.0797629168</v>
      </c>
      <c r="CH1335" s="52">
        <f t="shared" ca="1" si="1597"/>
        <v>1799631.4444322803</v>
      </c>
      <c r="CI1335" s="52">
        <f t="shared" ca="1" si="1597"/>
        <v>1844330.1974906896</v>
      </c>
      <c r="CJ1335" s="52">
        <f t="shared" ca="1" si="1597"/>
        <v>1868085.7649695857</v>
      </c>
      <c r="CK1335" s="52">
        <f t="shared" ca="1" si="1597"/>
        <v>1903429.223205545</v>
      </c>
      <c r="CL1335" s="52">
        <f t="shared" ca="1" si="1597"/>
        <v>1972187.036528891</v>
      </c>
      <c r="CM1335" s="52">
        <f t="shared" ca="1" si="1597"/>
        <v>2015180.1638870793</v>
      </c>
      <c r="CN1335" s="52">
        <f t="shared" ca="1" si="1597"/>
        <v>2037756.570658487</v>
      </c>
      <c r="CO1335" s="52">
        <f t="shared" ca="1" si="1597"/>
        <v>2071845.9281911631</v>
      </c>
    </row>
    <row r="1336" spans="1:93">
      <c r="A1336" s="10"/>
      <c r="B1336" s="10"/>
      <c r="C1336" s="17" t="s">
        <v>222</v>
      </c>
      <c r="D1336" s="10"/>
      <c r="E1336" s="10">
        <f ca="1">SUM(L1336:CO1336)</f>
        <v>1</v>
      </c>
      <c r="F1336" s="10"/>
      <c r="G1336" s="11"/>
      <c r="H1336" s="10"/>
      <c r="I1336" s="10"/>
      <c r="J1336" s="10"/>
      <c r="K1336" s="10"/>
      <c r="L1336" s="52">
        <f ca="1">1*(L1335&gt;0)*(K1335&lt;0)*(SUM($K1336:K1336)=0)</f>
        <v>0</v>
      </c>
      <c r="M1336" s="52">
        <f ca="1">1*(M1335&gt;0)*(L1335&lt;0)*(SUM($K1336:L1336)=0)</f>
        <v>0</v>
      </c>
      <c r="N1336" s="52">
        <f ca="1">1*(N1335&gt;0)*(M1335&lt;0)*(SUM($K1336:M1336)=0)</f>
        <v>0</v>
      </c>
      <c r="O1336" s="52">
        <f ca="1">1*(O1335&gt;0)*(N1335&lt;0)*(SUM($K1336:N1336)=0)</f>
        <v>0</v>
      </c>
      <c r="P1336" s="52">
        <f ca="1">1*(P1335&gt;0)*(O1335&lt;0)*(SUM($K1336:O1336)=0)</f>
        <v>0</v>
      </c>
      <c r="Q1336" s="52">
        <f ca="1">1*(Q1335&gt;0)*(P1335&lt;0)*(SUM($K1336:P1336)=0)</f>
        <v>0</v>
      </c>
      <c r="R1336" s="52">
        <f ca="1">1*(R1335&gt;0)*(Q1335&lt;0)*(SUM($K1336:Q1336)=0)</f>
        <v>0</v>
      </c>
      <c r="S1336" s="52">
        <f ca="1">1*(S1335&gt;0)*(R1335&lt;0)*(SUM($K1336:R1336)=0)</f>
        <v>0</v>
      </c>
      <c r="T1336" s="52">
        <f ca="1">1*(T1335&gt;0)*(S1335&lt;0)*(SUM($K1336:S1336)=0)</f>
        <v>0</v>
      </c>
      <c r="U1336" s="52">
        <f ca="1">1*(U1335&gt;0)*(T1335&lt;0)*(SUM($K1336:T1336)=0)</f>
        <v>0</v>
      </c>
      <c r="V1336" s="52">
        <f ca="1">1*(V1335&gt;0)*(U1335&lt;0)*(SUM($K1336:U1336)=0)</f>
        <v>0</v>
      </c>
      <c r="W1336" s="52">
        <f ca="1">1*(W1335&gt;0)*(V1335&lt;0)*(SUM($K1336:V1336)=0)</f>
        <v>0</v>
      </c>
      <c r="X1336" s="52">
        <f ca="1">1*(X1335&gt;0)*(W1335&lt;0)*(SUM($K1336:W1336)=0)</f>
        <v>0</v>
      </c>
      <c r="Y1336" s="52">
        <f ca="1">1*(Y1335&gt;0)*(X1335&lt;0)*(SUM($K1336:X1336)=0)</f>
        <v>0</v>
      </c>
      <c r="Z1336" s="52">
        <f ca="1">1*(Z1335&gt;0)*(Y1335&lt;0)*(SUM($K1336:Y1336)=0)</f>
        <v>0</v>
      </c>
      <c r="AA1336" s="52">
        <f ca="1">1*(AA1335&gt;0)*(Z1335&lt;0)*(SUM($K1336:Z1336)=0)</f>
        <v>0</v>
      </c>
      <c r="AB1336" s="52">
        <f ca="1">1*(AB1335&gt;0)*(AA1335&lt;0)*(SUM($K1336:AA1336)=0)</f>
        <v>0</v>
      </c>
      <c r="AC1336" s="52">
        <f ca="1">1*(AC1335&gt;0)*(AB1335&lt;0)*(SUM($K1336:AB1336)=0)</f>
        <v>0</v>
      </c>
      <c r="AD1336" s="52">
        <f ca="1">1*(AD1335&gt;0)*(AC1335&lt;0)*(SUM($K1336:AC1336)=0)</f>
        <v>0</v>
      </c>
      <c r="AE1336" s="52">
        <f ca="1">1*(AE1335&gt;0)*(AD1335&lt;0)*(SUM($K1336:AD1336)=0)</f>
        <v>0</v>
      </c>
      <c r="AF1336" s="52">
        <f ca="1">1*(AF1335&gt;0)*(AE1335&lt;0)*(SUM($K1336:AE1336)=0)</f>
        <v>0</v>
      </c>
      <c r="AG1336" s="52">
        <f ca="1">1*(AG1335&gt;0)*(AF1335&lt;0)*(SUM($K1336:AF1336)=0)</f>
        <v>0</v>
      </c>
      <c r="AH1336" s="52">
        <f ca="1">1*(AH1335&gt;0)*(AG1335&lt;0)*(SUM($K1336:AG1336)=0)</f>
        <v>0</v>
      </c>
      <c r="AI1336" s="52">
        <f ca="1">1*(AI1335&gt;0)*(AH1335&lt;0)*(SUM($K1336:AH1336)=0)</f>
        <v>0</v>
      </c>
      <c r="AJ1336" s="52">
        <f ca="1">1*(AJ1335&gt;0)*(AI1335&lt;0)*(SUM($K1336:AI1336)=0)</f>
        <v>0</v>
      </c>
      <c r="AK1336" s="52">
        <f ca="1">1*(AK1335&gt;0)*(AJ1335&lt;0)*(SUM($K1336:AJ1336)=0)</f>
        <v>0</v>
      </c>
      <c r="AL1336" s="52">
        <f ca="1">1*(AL1335&gt;0)*(AK1335&lt;0)*(SUM($K1336:AK1336)=0)</f>
        <v>0</v>
      </c>
      <c r="AM1336" s="52">
        <f ca="1">1*(AM1335&gt;0)*(AL1335&lt;0)*(SUM($K1336:AL1336)=0)</f>
        <v>0</v>
      </c>
      <c r="AN1336" s="52">
        <f ca="1">1*(AN1335&gt;0)*(AM1335&lt;0)*(SUM($K1336:AM1336)=0)</f>
        <v>0</v>
      </c>
      <c r="AO1336" s="52">
        <f ca="1">1*(AO1335&gt;0)*(AN1335&lt;0)*(SUM($K1336:AN1336)=0)</f>
        <v>0</v>
      </c>
      <c r="AP1336" s="52">
        <f ca="1">1*(AP1335&gt;0)*(AO1335&lt;0)*(SUM($K1336:AO1336)=0)</f>
        <v>0</v>
      </c>
      <c r="AQ1336" s="52">
        <f ca="1">1*(AQ1335&gt;0)*(AP1335&lt;0)*(SUM($K1336:AP1336)=0)</f>
        <v>0</v>
      </c>
      <c r="AR1336" s="52">
        <f ca="1">1*(AR1335&gt;0)*(AQ1335&lt;0)*(SUM($K1336:AQ1336)=0)</f>
        <v>0</v>
      </c>
      <c r="AS1336" s="52">
        <f ca="1">1*(AS1335&gt;0)*(AR1335&lt;0)*(SUM($K1336:AR1336)=0)</f>
        <v>0</v>
      </c>
      <c r="AT1336" s="52">
        <f ca="1">1*(AT1335&gt;0)*(AS1335&lt;0)*(SUM($K1336:AS1336)=0)</f>
        <v>0</v>
      </c>
      <c r="AU1336" s="52">
        <f ca="1">1*(AU1335&gt;0)*(AT1335&lt;0)*(SUM($K1336:AT1336)=0)</f>
        <v>0</v>
      </c>
      <c r="AV1336" s="52">
        <f ca="1">1*(AV1335&gt;0)*(AU1335&lt;0)*(SUM($K1336:AU1336)=0)</f>
        <v>0</v>
      </c>
      <c r="AW1336" s="52">
        <f ca="1">1*(AW1335&gt;0)*(AV1335&lt;0)*(SUM($K1336:AV1336)=0)</f>
        <v>0</v>
      </c>
      <c r="AX1336" s="52">
        <f ca="1">1*(AX1335&gt;0)*(AW1335&lt;0)*(SUM($K1336:AW1336)=0)</f>
        <v>0</v>
      </c>
      <c r="AY1336" s="52">
        <f ca="1">1*(AY1335&gt;0)*(AX1335&lt;0)*(SUM($K1336:AX1336)=0)</f>
        <v>0</v>
      </c>
      <c r="AZ1336" s="52">
        <f ca="1">1*(AZ1335&gt;0)*(AY1335&lt;0)*(SUM($K1336:AY1336)=0)</f>
        <v>0</v>
      </c>
      <c r="BA1336" s="52">
        <f ca="1">1*(BA1335&gt;0)*(AZ1335&lt;0)*(SUM($K1336:AZ1336)=0)</f>
        <v>0</v>
      </c>
      <c r="BB1336" s="52">
        <f ca="1">1*(BB1335&gt;0)*(BA1335&lt;0)*(SUM($K1336:BA1336)=0)</f>
        <v>1</v>
      </c>
      <c r="BC1336" s="52">
        <f ca="1">1*(BC1335&gt;0)*(BB1335&lt;0)*(SUM($K1336:BB1336)=0)</f>
        <v>0</v>
      </c>
      <c r="BD1336" s="52">
        <f ca="1">1*(BD1335&gt;0)*(BC1335&lt;0)*(SUM($K1336:BC1336)=0)</f>
        <v>0</v>
      </c>
      <c r="BE1336" s="52">
        <f ca="1">1*(BE1335&gt;0)*(BD1335&lt;0)*(SUM($K1336:BD1336)=0)</f>
        <v>0</v>
      </c>
      <c r="BF1336" s="52">
        <f ca="1">1*(BF1335&gt;0)*(BE1335&lt;0)*(SUM($K1336:BE1336)=0)</f>
        <v>0</v>
      </c>
      <c r="BG1336" s="52">
        <f ca="1">1*(BG1335&gt;0)*(BF1335&lt;0)*(SUM($K1336:BF1336)=0)</f>
        <v>0</v>
      </c>
      <c r="BH1336" s="52">
        <f ca="1">1*(BH1335&gt;0)*(BG1335&lt;0)*(SUM($K1336:BG1336)=0)</f>
        <v>0</v>
      </c>
      <c r="BI1336" s="52">
        <f ca="1">1*(BI1335&gt;0)*(BH1335&lt;0)*(SUM($K1336:BH1336)=0)</f>
        <v>0</v>
      </c>
      <c r="BJ1336" s="52">
        <f ca="1">1*(BJ1335&gt;0)*(BI1335&lt;0)*(SUM($K1336:BI1336)=0)</f>
        <v>0</v>
      </c>
      <c r="BK1336" s="52">
        <f ca="1">1*(BK1335&gt;0)*(BJ1335&lt;0)*(SUM($K1336:BJ1336)=0)</f>
        <v>0</v>
      </c>
      <c r="BL1336" s="52">
        <f ca="1">1*(BL1335&gt;0)*(BK1335&lt;0)*(SUM($K1336:BK1336)=0)</f>
        <v>0</v>
      </c>
      <c r="BM1336" s="52">
        <f ca="1">1*(BM1335&gt;0)*(BL1335&lt;0)*(SUM($K1336:BL1336)=0)</f>
        <v>0</v>
      </c>
      <c r="BN1336" s="52">
        <f ca="1">1*(BN1335&gt;0)*(BM1335&lt;0)*(SUM($K1336:BM1336)=0)</f>
        <v>0</v>
      </c>
      <c r="BO1336" s="52">
        <f ca="1">1*(BO1335&gt;0)*(BN1335&lt;0)*(SUM($K1336:BN1336)=0)</f>
        <v>0</v>
      </c>
      <c r="BP1336" s="52">
        <f ca="1">1*(BP1335&gt;0)*(BO1335&lt;0)*(SUM($K1336:BO1336)=0)</f>
        <v>0</v>
      </c>
      <c r="BQ1336" s="52">
        <f ca="1">1*(BQ1335&gt;0)*(BP1335&lt;0)*(SUM($K1336:BP1336)=0)</f>
        <v>0</v>
      </c>
      <c r="BR1336" s="52">
        <f ca="1">1*(BR1335&gt;0)*(BQ1335&lt;0)*(SUM($K1336:BQ1336)=0)</f>
        <v>0</v>
      </c>
      <c r="BS1336" s="52">
        <f ca="1">1*(BS1335&gt;0)*(BR1335&lt;0)*(SUM($K1336:BR1336)=0)</f>
        <v>0</v>
      </c>
      <c r="BT1336" s="52">
        <f ca="1">1*(BT1335&gt;0)*(BS1335&lt;0)*(SUM($K1336:BS1336)=0)</f>
        <v>0</v>
      </c>
      <c r="BU1336" s="52">
        <f ca="1">1*(BU1335&gt;0)*(BT1335&lt;0)*(SUM($K1336:BT1336)=0)</f>
        <v>0</v>
      </c>
      <c r="BV1336" s="52">
        <f ca="1">1*(BV1335&gt;0)*(BU1335&lt;0)*(SUM($K1336:BU1336)=0)</f>
        <v>0</v>
      </c>
      <c r="BW1336" s="52">
        <f ca="1">1*(BW1335&gt;0)*(BV1335&lt;0)*(SUM($K1336:BV1336)=0)</f>
        <v>0</v>
      </c>
      <c r="BX1336" s="52">
        <f ca="1">1*(BX1335&gt;0)*(BW1335&lt;0)*(SUM($K1336:BW1336)=0)</f>
        <v>0</v>
      </c>
      <c r="BY1336" s="52">
        <f ca="1">1*(BY1335&gt;0)*(BX1335&lt;0)*(SUM($K1336:BX1336)=0)</f>
        <v>0</v>
      </c>
      <c r="BZ1336" s="52">
        <f ca="1">1*(BZ1335&gt;0)*(BY1335&lt;0)*(SUM($K1336:BY1336)=0)</f>
        <v>0</v>
      </c>
      <c r="CA1336" s="52">
        <f ca="1">1*(CA1335&gt;0)*(BZ1335&lt;0)*(SUM($K1336:BZ1336)=0)</f>
        <v>0</v>
      </c>
      <c r="CB1336" s="52">
        <f ca="1">1*(CB1335&gt;0)*(CA1335&lt;0)*(SUM($K1336:CA1336)=0)</f>
        <v>0</v>
      </c>
      <c r="CC1336" s="52">
        <f ca="1">1*(CC1335&gt;0)*(CB1335&lt;0)*(SUM($K1336:CB1336)=0)</f>
        <v>0</v>
      </c>
      <c r="CD1336" s="52">
        <f ca="1">1*(CD1335&gt;0)*(CC1335&lt;0)*(SUM($K1336:CC1336)=0)</f>
        <v>0</v>
      </c>
      <c r="CE1336" s="52">
        <f ca="1">1*(CE1335&gt;0)*(CD1335&lt;0)*(SUM($K1336:CD1336)=0)</f>
        <v>0</v>
      </c>
      <c r="CF1336" s="52">
        <f ca="1">1*(CF1335&gt;0)*(CE1335&lt;0)*(SUM($K1336:CE1336)=0)</f>
        <v>0</v>
      </c>
      <c r="CG1336" s="52">
        <f ca="1">1*(CG1335&gt;0)*(CF1335&lt;0)*(SUM($K1336:CF1336)=0)</f>
        <v>0</v>
      </c>
      <c r="CH1336" s="52">
        <f ca="1">1*(CH1335&gt;0)*(CG1335&lt;0)*(SUM($K1336:CG1336)=0)</f>
        <v>0</v>
      </c>
      <c r="CI1336" s="52">
        <f ca="1">1*(CI1335&gt;0)*(CH1335&lt;0)*(SUM($K1336:CH1336)=0)</f>
        <v>0</v>
      </c>
      <c r="CJ1336" s="52">
        <f ca="1">1*(CJ1335&gt;0)*(CI1335&lt;0)*(SUM($K1336:CI1336)=0)</f>
        <v>0</v>
      </c>
      <c r="CK1336" s="52">
        <f ca="1">1*(CK1335&gt;0)*(CJ1335&lt;0)*(SUM($K1336:CJ1336)=0)</f>
        <v>0</v>
      </c>
      <c r="CL1336" s="52">
        <f ca="1">1*(CL1335&gt;0)*(CK1335&lt;0)*(SUM($K1336:CK1336)=0)</f>
        <v>0</v>
      </c>
      <c r="CM1336" s="52">
        <f ca="1">1*(CM1335&gt;0)*(CL1335&lt;0)*(SUM($K1336:CL1336)=0)</f>
        <v>0</v>
      </c>
      <c r="CN1336" s="52">
        <f ca="1">1*(CN1335&gt;0)*(CM1335&lt;0)*(SUM($K1336:CM1336)=0)</f>
        <v>0</v>
      </c>
      <c r="CO1336" s="52">
        <f ca="1">1*(CO1335&gt;0)*(CN1335&lt;0)*(SUM($K1336:CN1336)=0)</f>
        <v>0</v>
      </c>
    </row>
    <row r="1337" spans="1:93">
      <c r="A1337" s="10"/>
      <c r="B1337" s="10"/>
      <c r="C1337" s="17" t="s">
        <v>223</v>
      </c>
      <c r="D1337" s="10"/>
      <c r="E1337" s="10">
        <f ca="1">SUM(L1337:CO1337)</f>
        <v>59.127403831990073</v>
      </c>
      <c r="F1337" s="10"/>
      <c r="G1337" s="11"/>
      <c r="H1337" s="10"/>
      <c r="I1337" s="10"/>
      <c r="J1337" s="10"/>
      <c r="K1337" s="10"/>
      <c r="L1337" s="52">
        <f t="shared" ref="L1337:AQ1337" ca="1" si="1598">-IFERROR(K1335/L1334,0)*Days_In_Period*L1336</f>
        <v>0</v>
      </c>
      <c r="M1337" s="52">
        <f t="shared" ca="1" si="1598"/>
        <v>0</v>
      </c>
      <c r="N1337" s="52">
        <f t="shared" ca="1" si="1598"/>
        <v>0</v>
      </c>
      <c r="O1337" s="52">
        <f t="shared" ca="1" si="1598"/>
        <v>0</v>
      </c>
      <c r="P1337" s="52">
        <f t="shared" ca="1" si="1598"/>
        <v>0</v>
      </c>
      <c r="Q1337" s="52">
        <f t="shared" ca="1" si="1598"/>
        <v>0</v>
      </c>
      <c r="R1337" s="52">
        <f t="shared" ca="1" si="1598"/>
        <v>0</v>
      </c>
      <c r="S1337" s="52">
        <f t="shared" ca="1" si="1598"/>
        <v>0</v>
      </c>
      <c r="T1337" s="52">
        <f t="shared" ca="1" si="1598"/>
        <v>0</v>
      </c>
      <c r="U1337" s="52">
        <f t="shared" ca="1" si="1598"/>
        <v>0</v>
      </c>
      <c r="V1337" s="52">
        <f t="shared" ca="1" si="1598"/>
        <v>0</v>
      </c>
      <c r="W1337" s="52">
        <f t="shared" ca="1" si="1598"/>
        <v>0</v>
      </c>
      <c r="X1337" s="52">
        <f t="shared" ca="1" si="1598"/>
        <v>0</v>
      </c>
      <c r="Y1337" s="52">
        <f t="shared" ca="1" si="1598"/>
        <v>0</v>
      </c>
      <c r="Z1337" s="52">
        <f t="shared" ca="1" si="1598"/>
        <v>0</v>
      </c>
      <c r="AA1337" s="52">
        <f t="shared" ca="1" si="1598"/>
        <v>0</v>
      </c>
      <c r="AB1337" s="52">
        <f t="shared" ca="1" si="1598"/>
        <v>0</v>
      </c>
      <c r="AC1337" s="52">
        <f t="shared" ca="1" si="1598"/>
        <v>0</v>
      </c>
      <c r="AD1337" s="52">
        <f t="shared" ca="1" si="1598"/>
        <v>0</v>
      </c>
      <c r="AE1337" s="52">
        <f t="shared" ca="1" si="1598"/>
        <v>0</v>
      </c>
      <c r="AF1337" s="52">
        <f t="shared" ca="1" si="1598"/>
        <v>0</v>
      </c>
      <c r="AG1337" s="52">
        <f t="shared" ca="1" si="1598"/>
        <v>0</v>
      </c>
      <c r="AH1337" s="52">
        <f t="shared" ca="1" si="1598"/>
        <v>0</v>
      </c>
      <c r="AI1337" s="52">
        <f t="shared" ca="1" si="1598"/>
        <v>0</v>
      </c>
      <c r="AJ1337" s="52">
        <f t="shared" ca="1" si="1598"/>
        <v>0</v>
      </c>
      <c r="AK1337" s="52">
        <f t="shared" ca="1" si="1598"/>
        <v>0</v>
      </c>
      <c r="AL1337" s="52">
        <f t="shared" ca="1" si="1598"/>
        <v>0</v>
      </c>
      <c r="AM1337" s="52">
        <f t="shared" ca="1" si="1598"/>
        <v>0</v>
      </c>
      <c r="AN1337" s="52">
        <f t="shared" ca="1" si="1598"/>
        <v>0</v>
      </c>
      <c r="AO1337" s="52">
        <f t="shared" ca="1" si="1598"/>
        <v>0</v>
      </c>
      <c r="AP1337" s="52">
        <f t="shared" ca="1" si="1598"/>
        <v>0</v>
      </c>
      <c r="AQ1337" s="52">
        <f t="shared" ca="1" si="1598"/>
        <v>0</v>
      </c>
      <c r="AR1337" s="52">
        <f t="shared" ref="AR1337:BW1337" ca="1" si="1599">-IFERROR(AQ1335/AR1334,0)*Days_In_Period*AR1336</f>
        <v>0</v>
      </c>
      <c r="AS1337" s="52">
        <f t="shared" ca="1" si="1599"/>
        <v>0</v>
      </c>
      <c r="AT1337" s="52">
        <f t="shared" ca="1" si="1599"/>
        <v>0</v>
      </c>
      <c r="AU1337" s="52">
        <f t="shared" ca="1" si="1599"/>
        <v>0</v>
      </c>
      <c r="AV1337" s="52">
        <f t="shared" ca="1" si="1599"/>
        <v>0</v>
      </c>
      <c r="AW1337" s="52">
        <f t="shared" ca="1" si="1599"/>
        <v>0</v>
      </c>
      <c r="AX1337" s="52">
        <f t="shared" ca="1" si="1599"/>
        <v>0</v>
      </c>
      <c r="AY1337" s="52">
        <f t="shared" ca="1" si="1599"/>
        <v>0</v>
      </c>
      <c r="AZ1337" s="52">
        <f t="shared" ca="1" si="1599"/>
        <v>0</v>
      </c>
      <c r="BA1337" s="52">
        <f t="shared" ca="1" si="1599"/>
        <v>0</v>
      </c>
      <c r="BB1337" s="52">
        <f t="shared" ca="1" si="1599"/>
        <v>59.127403831990073</v>
      </c>
      <c r="BC1337" s="52">
        <f t="shared" ca="1" si="1599"/>
        <v>0</v>
      </c>
      <c r="BD1337" s="52">
        <f t="shared" ca="1" si="1599"/>
        <v>0</v>
      </c>
      <c r="BE1337" s="52">
        <f t="shared" ca="1" si="1599"/>
        <v>0</v>
      </c>
      <c r="BF1337" s="52">
        <f t="shared" ca="1" si="1599"/>
        <v>0</v>
      </c>
      <c r="BG1337" s="52">
        <f t="shared" ca="1" si="1599"/>
        <v>0</v>
      </c>
      <c r="BH1337" s="52">
        <f t="shared" ca="1" si="1599"/>
        <v>0</v>
      </c>
      <c r="BI1337" s="52">
        <f t="shared" ca="1" si="1599"/>
        <v>0</v>
      </c>
      <c r="BJ1337" s="52">
        <f t="shared" ca="1" si="1599"/>
        <v>0</v>
      </c>
      <c r="BK1337" s="52">
        <f t="shared" ca="1" si="1599"/>
        <v>0</v>
      </c>
      <c r="BL1337" s="52">
        <f t="shared" ca="1" si="1599"/>
        <v>0</v>
      </c>
      <c r="BM1337" s="52">
        <f t="shared" ca="1" si="1599"/>
        <v>0</v>
      </c>
      <c r="BN1337" s="52">
        <f t="shared" ca="1" si="1599"/>
        <v>0</v>
      </c>
      <c r="BO1337" s="52">
        <f t="shared" ca="1" si="1599"/>
        <v>0</v>
      </c>
      <c r="BP1337" s="52">
        <f t="shared" ca="1" si="1599"/>
        <v>0</v>
      </c>
      <c r="BQ1337" s="52">
        <f t="shared" ca="1" si="1599"/>
        <v>0</v>
      </c>
      <c r="BR1337" s="52">
        <f t="shared" ca="1" si="1599"/>
        <v>0</v>
      </c>
      <c r="BS1337" s="52">
        <f t="shared" ca="1" si="1599"/>
        <v>0</v>
      </c>
      <c r="BT1337" s="52">
        <f t="shared" ca="1" si="1599"/>
        <v>0</v>
      </c>
      <c r="BU1337" s="52">
        <f t="shared" ca="1" si="1599"/>
        <v>0</v>
      </c>
      <c r="BV1337" s="52">
        <f t="shared" ca="1" si="1599"/>
        <v>0</v>
      </c>
      <c r="BW1337" s="52">
        <f t="shared" ca="1" si="1599"/>
        <v>0</v>
      </c>
      <c r="BX1337" s="52">
        <f t="shared" ref="BX1337:CO1337" ca="1" si="1600">-IFERROR(BW1335/BX1334,0)*Days_In_Period*BX1336</f>
        <v>0</v>
      </c>
      <c r="BY1337" s="52">
        <f t="shared" ca="1" si="1600"/>
        <v>0</v>
      </c>
      <c r="BZ1337" s="52">
        <f t="shared" ca="1" si="1600"/>
        <v>0</v>
      </c>
      <c r="CA1337" s="52">
        <f t="shared" ca="1" si="1600"/>
        <v>0</v>
      </c>
      <c r="CB1337" s="52">
        <f t="shared" ca="1" si="1600"/>
        <v>0</v>
      </c>
      <c r="CC1337" s="52">
        <f t="shared" ca="1" si="1600"/>
        <v>0</v>
      </c>
      <c r="CD1337" s="52">
        <f t="shared" ca="1" si="1600"/>
        <v>0</v>
      </c>
      <c r="CE1337" s="52">
        <f t="shared" ca="1" si="1600"/>
        <v>0</v>
      </c>
      <c r="CF1337" s="52">
        <f t="shared" ca="1" si="1600"/>
        <v>0</v>
      </c>
      <c r="CG1337" s="52">
        <f t="shared" ca="1" si="1600"/>
        <v>0</v>
      </c>
      <c r="CH1337" s="52">
        <f t="shared" ca="1" si="1600"/>
        <v>0</v>
      </c>
      <c r="CI1337" s="52">
        <f t="shared" ca="1" si="1600"/>
        <v>0</v>
      </c>
      <c r="CJ1337" s="52">
        <f t="shared" ca="1" si="1600"/>
        <v>0</v>
      </c>
      <c r="CK1337" s="52">
        <f t="shared" ca="1" si="1600"/>
        <v>0</v>
      </c>
      <c r="CL1337" s="52">
        <f t="shared" ca="1" si="1600"/>
        <v>0</v>
      </c>
      <c r="CM1337" s="52">
        <f t="shared" ca="1" si="1600"/>
        <v>0</v>
      </c>
      <c r="CN1337" s="52">
        <f t="shared" ca="1" si="1600"/>
        <v>0</v>
      </c>
      <c r="CO1337" s="52">
        <f t="shared" ca="1" si="1600"/>
        <v>0</v>
      </c>
    </row>
    <row r="1338" spans="1:93">
      <c r="A1338" s="10"/>
      <c r="B1338" s="10"/>
      <c r="C1338" s="17" t="s">
        <v>94</v>
      </c>
      <c r="D1338" s="10"/>
      <c r="E1338" s="192">
        <f ca="1">SUMPRODUCT(Beginning_of_period,L1336:CO1336)+E1337</f>
        <v>49550.12740383199</v>
      </c>
      <c r="F1338" s="10"/>
      <c r="G1338" s="11" t="s">
        <v>31</v>
      </c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0"/>
      <c r="AH1338" s="10"/>
      <c r="AI1338" s="10"/>
      <c r="AJ1338" s="10"/>
      <c r="AK1338" s="10"/>
      <c r="AL1338" s="10"/>
      <c r="AM1338" s="10"/>
      <c r="AN1338" s="10"/>
      <c r="AO1338" s="10"/>
      <c r="AP1338" s="10"/>
      <c r="AQ1338" s="10"/>
      <c r="AR1338" s="10"/>
      <c r="AS1338" s="10"/>
      <c r="AT1338" s="10"/>
      <c r="AU1338" s="10"/>
      <c r="AV1338" s="10"/>
      <c r="AW1338" s="10"/>
      <c r="AX1338" s="10"/>
      <c r="AY1338" s="10"/>
      <c r="AZ1338" s="10"/>
      <c r="BA1338" s="10"/>
      <c r="BB1338" s="10"/>
      <c r="BC1338" s="10"/>
      <c r="BD1338" s="10"/>
      <c r="BE1338" s="10"/>
      <c r="BF1338" s="10"/>
      <c r="BG1338" s="10"/>
      <c r="BH1338" s="10"/>
      <c r="BI1338" s="10"/>
      <c r="BJ1338" s="10"/>
      <c r="BK1338" s="10"/>
      <c r="BL1338" s="10"/>
      <c r="BM1338" s="10"/>
      <c r="BN1338" s="10"/>
      <c r="BO1338" s="10"/>
      <c r="BP1338" s="10"/>
      <c r="BQ1338" s="10"/>
      <c r="BR1338" s="10"/>
      <c r="BS1338" s="10"/>
      <c r="BT1338" s="10"/>
      <c r="BU1338" s="10"/>
      <c r="BV1338" s="10"/>
      <c r="BW1338" s="10"/>
      <c r="BX1338" s="10"/>
      <c r="BY1338" s="10"/>
      <c r="BZ1338" s="10"/>
      <c r="CA1338" s="10"/>
      <c r="CB1338" s="10"/>
      <c r="CC1338" s="10"/>
      <c r="CD1338" s="10"/>
      <c r="CE1338" s="10"/>
      <c r="CF1338" s="10"/>
      <c r="CG1338" s="10"/>
      <c r="CH1338" s="10"/>
      <c r="CI1338" s="10"/>
      <c r="CJ1338" s="10"/>
      <c r="CK1338" s="10"/>
      <c r="CL1338" s="10"/>
      <c r="CM1338" s="10"/>
      <c r="CN1338" s="10"/>
      <c r="CO1338" s="10"/>
    </row>
    <row r="1339" spans="1:93">
      <c r="A1339" s="10"/>
      <c r="B1339" s="10"/>
      <c r="C1339" s="17" t="s">
        <v>224</v>
      </c>
      <c r="D1339" s="10"/>
      <c r="E1339" s="193">
        <f ca="1">IF(E1338=0,"н.пр.",IFERROR((E1338-Date_Forecast_Start)/Предпосылки!$E$27,"н.пр."))</f>
        <v>10.66336275022463</v>
      </c>
      <c r="F1339" s="10"/>
      <c r="G1339" s="11" t="s">
        <v>123</v>
      </c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0"/>
      <c r="AH1339" s="10"/>
      <c r="AI1339" s="10"/>
      <c r="AJ1339" s="10"/>
      <c r="AK1339" s="10"/>
      <c r="AL1339" s="10"/>
      <c r="AM1339" s="10"/>
      <c r="AN1339" s="10"/>
      <c r="AO1339" s="10"/>
      <c r="AP1339" s="10"/>
      <c r="AQ1339" s="10"/>
      <c r="AR1339" s="10"/>
      <c r="AS1339" s="10"/>
      <c r="AT1339" s="10"/>
      <c r="AU1339" s="10"/>
      <c r="AV1339" s="10"/>
      <c r="AW1339" s="10"/>
      <c r="AX1339" s="10"/>
      <c r="AY1339" s="10"/>
      <c r="AZ1339" s="10"/>
      <c r="BA1339" s="10"/>
      <c r="BB1339" s="10"/>
      <c r="BC1339" s="10"/>
      <c r="BD1339" s="10"/>
      <c r="BE1339" s="10"/>
      <c r="BF1339" s="10"/>
      <c r="BG1339" s="10"/>
      <c r="BH1339" s="10"/>
      <c r="BI1339" s="10"/>
      <c r="BJ1339" s="10"/>
      <c r="BK1339" s="10"/>
      <c r="BL1339" s="10"/>
      <c r="BM1339" s="10"/>
      <c r="BN1339" s="10"/>
      <c r="BO1339" s="10"/>
      <c r="BP1339" s="10"/>
      <c r="BQ1339" s="10"/>
      <c r="BR1339" s="10"/>
      <c r="BS1339" s="10"/>
      <c r="BT1339" s="10"/>
      <c r="BU1339" s="10"/>
      <c r="BV1339" s="10"/>
      <c r="BW1339" s="10"/>
      <c r="BX1339" s="10"/>
      <c r="BY1339" s="10"/>
      <c r="BZ1339" s="10"/>
      <c r="CA1339" s="10"/>
      <c r="CB1339" s="10"/>
      <c r="CC1339" s="10"/>
      <c r="CD1339" s="10"/>
      <c r="CE1339" s="10"/>
      <c r="CF1339" s="10"/>
      <c r="CG1339" s="10"/>
      <c r="CH1339" s="10"/>
      <c r="CI1339" s="10"/>
      <c r="CJ1339" s="10"/>
      <c r="CK1339" s="10"/>
      <c r="CL1339" s="10"/>
      <c r="CM1339" s="10"/>
      <c r="CN1339" s="10"/>
      <c r="CO1339" s="10"/>
    </row>
    <row r="1340" spans="1:93">
      <c r="A1340" s="10"/>
      <c r="B1340" s="10"/>
      <c r="C1340" s="17"/>
      <c r="D1340" s="10"/>
      <c r="E1340" s="108"/>
      <c r="F1340" s="10"/>
      <c r="G1340" s="11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0"/>
      <c r="AH1340" s="10"/>
      <c r="AI1340" s="10"/>
      <c r="AJ1340" s="10"/>
      <c r="AK1340" s="10"/>
      <c r="AL1340" s="10"/>
      <c r="AM1340" s="10"/>
      <c r="AN1340" s="10"/>
      <c r="AO1340" s="10"/>
      <c r="AP1340" s="10"/>
      <c r="AQ1340" s="10"/>
      <c r="AR1340" s="10"/>
      <c r="AS1340" s="10"/>
      <c r="AT1340" s="10"/>
      <c r="AU1340" s="10"/>
      <c r="AV1340" s="10"/>
      <c r="AW1340" s="10"/>
      <c r="AX1340" s="10"/>
      <c r="AY1340" s="10"/>
      <c r="AZ1340" s="10"/>
      <c r="BA1340" s="10"/>
      <c r="BB1340" s="10"/>
      <c r="BC1340" s="10"/>
      <c r="BD1340" s="10"/>
      <c r="BE1340" s="10"/>
      <c r="BF1340" s="10"/>
      <c r="BG1340" s="10"/>
      <c r="BH1340" s="10"/>
      <c r="BI1340" s="10"/>
      <c r="BJ1340" s="10"/>
      <c r="BK1340" s="10"/>
      <c r="BL1340" s="10"/>
      <c r="BM1340" s="10"/>
      <c r="BN1340" s="10"/>
      <c r="BO1340" s="10"/>
      <c r="BP1340" s="10"/>
      <c r="BQ1340" s="10"/>
      <c r="BR1340" s="10"/>
      <c r="BS1340" s="10"/>
      <c r="BT1340" s="10"/>
      <c r="BU1340" s="10"/>
      <c r="BV1340" s="10"/>
      <c r="BW1340" s="10"/>
      <c r="BX1340" s="10"/>
      <c r="BY1340" s="10"/>
      <c r="BZ1340" s="10"/>
      <c r="CA1340" s="10"/>
      <c r="CB1340" s="10"/>
      <c r="CC1340" s="10"/>
      <c r="CD1340" s="10"/>
      <c r="CE1340" s="10"/>
      <c r="CF1340" s="10"/>
      <c r="CG1340" s="10"/>
      <c r="CH1340" s="10"/>
      <c r="CI1340" s="10"/>
      <c r="CJ1340" s="10"/>
      <c r="CK1340" s="10"/>
      <c r="CL1340" s="10"/>
      <c r="CM1340" s="10"/>
      <c r="CN1340" s="10"/>
      <c r="CO1340" s="10"/>
    </row>
    <row r="1341" spans="1:93" ht="22.5" customHeight="1">
      <c r="A1341" s="10"/>
      <c r="B1341" s="5" t="s">
        <v>296</v>
      </c>
      <c r="C1341" s="5"/>
      <c r="D1341" s="15"/>
      <c r="E1341" s="5"/>
      <c r="F1341" s="5"/>
      <c r="G1341" s="6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5"/>
      <c r="BP1341" s="5"/>
      <c r="BQ1341" s="5"/>
      <c r="BR1341" s="5"/>
      <c r="BS1341" s="5"/>
      <c r="BT1341" s="5"/>
      <c r="BU1341" s="5"/>
      <c r="BV1341" s="5"/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</row>
    <row r="1342" spans="1:93">
      <c r="A1342" s="10"/>
      <c r="B1342" s="10"/>
      <c r="C1342" s="10"/>
      <c r="D1342" s="10"/>
      <c r="E1342" s="62"/>
      <c r="F1342" s="10"/>
      <c r="G1342" s="11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0"/>
      <c r="AH1342" s="10"/>
      <c r="AI1342" s="10"/>
      <c r="AJ1342" s="10"/>
      <c r="AK1342" s="10"/>
      <c r="AL1342" s="10"/>
      <c r="AM1342" s="10"/>
      <c r="AN1342" s="10"/>
      <c r="AO1342" s="10"/>
      <c r="AP1342" s="10"/>
      <c r="AQ1342" s="10"/>
      <c r="AR1342" s="10"/>
      <c r="AS1342" s="10"/>
      <c r="AT1342" s="10"/>
      <c r="AU1342" s="10"/>
      <c r="AV1342" s="10"/>
      <c r="AW1342" s="10"/>
      <c r="AX1342" s="10"/>
      <c r="AY1342" s="10"/>
      <c r="AZ1342" s="10"/>
      <c r="BA1342" s="10"/>
      <c r="BB1342" s="10"/>
      <c r="BC1342" s="10"/>
      <c r="BD1342" s="10"/>
      <c r="BE1342" s="10"/>
      <c r="BF1342" s="10"/>
      <c r="BG1342" s="10"/>
      <c r="BH1342" s="10"/>
      <c r="BI1342" s="10"/>
      <c r="BJ1342" s="10"/>
      <c r="BK1342" s="10"/>
      <c r="BL1342" s="10"/>
      <c r="BM1342" s="10"/>
      <c r="BN1342" s="10"/>
      <c r="BO1342" s="10"/>
      <c r="BP1342" s="10"/>
      <c r="BQ1342" s="10"/>
      <c r="BR1342" s="10"/>
      <c r="BS1342" s="10"/>
      <c r="BT1342" s="10"/>
      <c r="BU1342" s="10"/>
      <c r="BV1342" s="10"/>
      <c r="BW1342" s="10"/>
      <c r="BX1342" s="10"/>
      <c r="BY1342" s="10"/>
      <c r="BZ1342" s="10"/>
      <c r="CA1342" s="10"/>
      <c r="CB1342" s="10"/>
      <c r="CC1342" s="10"/>
      <c r="CD1342" s="10"/>
      <c r="CE1342" s="10"/>
      <c r="CF1342" s="10"/>
      <c r="CG1342" s="10"/>
      <c r="CH1342" s="10"/>
      <c r="CI1342" s="10"/>
      <c r="CJ1342" s="10"/>
      <c r="CK1342" s="10"/>
      <c r="CL1342" s="10"/>
      <c r="CM1342" s="10"/>
      <c r="CN1342" s="10"/>
      <c r="CO1342" s="10"/>
    </row>
    <row r="1343" spans="1:93">
      <c r="A1343" s="10"/>
      <c r="B1343" s="10"/>
      <c r="C1343" s="16" t="s">
        <v>295</v>
      </c>
      <c r="D1343" s="10"/>
      <c r="E1343" s="407">
        <f>Предпосылки!E590</f>
        <v>2</v>
      </c>
      <c r="F1343" s="10"/>
      <c r="G1343" s="11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0"/>
      <c r="AH1343" s="10"/>
      <c r="AI1343" s="10"/>
      <c r="AJ1343" s="10"/>
      <c r="AK1343" s="10"/>
      <c r="AL1343" s="10"/>
      <c r="AM1343" s="10"/>
      <c r="AN1343" s="10"/>
      <c r="AO1343" s="10"/>
      <c r="AP1343" s="10"/>
      <c r="AQ1343" s="10"/>
      <c r="AR1343" s="10"/>
      <c r="AS1343" s="10"/>
      <c r="AT1343" s="10"/>
      <c r="AU1343" s="10"/>
      <c r="AV1343" s="10"/>
      <c r="AW1343" s="10"/>
      <c r="AX1343" s="10"/>
      <c r="AY1343" s="10"/>
      <c r="AZ1343" s="10"/>
      <c r="BA1343" s="10"/>
      <c r="BB1343" s="10"/>
      <c r="BC1343" s="10"/>
      <c r="BD1343" s="10"/>
      <c r="BE1343" s="10"/>
      <c r="BF1343" s="10"/>
      <c r="BG1343" s="10"/>
      <c r="BH1343" s="10"/>
      <c r="BI1343" s="10"/>
      <c r="BJ1343" s="10"/>
      <c r="BK1343" s="10"/>
      <c r="BL1343" s="10"/>
      <c r="BM1343" s="10"/>
      <c r="BN1343" s="10"/>
      <c r="BO1343" s="10"/>
      <c r="BP1343" s="10"/>
      <c r="BQ1343" s="10"/>
      <c r="BR1343" s="10"/>
      <c r="BS1343" s="10"/>
      <c r="BT1343" s="10"/>
      <c r="BU1343" s="10"/>
      <c r="BV1343" s="10"/>
      <c r="BW1343" s="10"/>
      <c r="BX1343" s="10"/>
      <c r="BY1343" s="10"/>
      <c r="BZ1343" s="10"/>
      <c r="CA1343" s="10"/>
      <c r="CB1343" s="10"/>
      <c r="CC1343" s="10"/>
      <c r="CD1343" s="10"/>
      <c r="CE1343" s="10"/>
      <c r="CF1343" s="10"/>
      <c r="CG1343" s="10"/>
      <c r="CH1343" s="10"/>
      <c r="CI1343" s="10"/>
      <c r="CJ1343" s="10"/>
      <c r="CK1343" s="10"/>
      <c r="CL1343" s="10"/>
      <c r="CM1343" s="10"/>
      <c r="CN1343" s="10"/>
      <c r="CO1343" s="10"/>
    </row>
    <row r="1344" spans="1:93">
      <c r="A1344" s="10"/>
      <c r="B1344" s="10"/>
      <c r="C1344" s="403" t="str">
        <f>CHOOSE(E1343,"Внесение акционерного займа","Операционный денежный поток")</f>
        <v>Операционный денежный поток</v>
      </c>
      <c r="D1344" s="10"/>
      <c r="E1344" s="62"/>
      <c r="F1344" s="10"/>
      <c r="G1344" s="134" t="str">
        <f>Monetary_Unit</f>
        <v>тыс. руб.</v>
      </c>
      <c r="H1344" s="10"/>
      <c r="I1344" s="23">
        <f t="shared" ref="I1344:I1350" ca="1" si="1601">SUM(L1344:CO1344)</f>
        <v>11454815.597131314</v>
      </c>
      <c r="J1344" s="10"/>
      <c r="K1344" s="10"/>
      <c r="L1344" s="450">
        <f t="shared" ref="L1344:AQ1344" ca="1" si="1602">CHOOSE($E$1343, -_xlfn.SINGLE(Subord_Drawdown),_xlfn.SINGLE( OCF)+L959 -_xlfn.SINGLE( Subord_Interest_Paid ))</f>
        <v>-3371.9255688267931</v>
      </c>
      <c r="M1344" s="450">
        <f t="shared" ca="1" si="1602"/>
        <v>-3419.7896726333838</v>
      </c>
      <c r="N1344" s="450">
        <f t="shared" ca="1" si="1602"/>
        <v>-3468.3332020045218</v>
      </c>
      <c r="O1344" s="450">
        <f t="shared" ca="1" si="1602"/>
        <v>-3517.5658013095981</v>
      </c>
      <c r="P1344" s="450">
        <f t="shared" ca="1" si="1602"/>
        <v>-29581.74843746073</v>
      </c>
      <c r="Q1344" s="450">
        <f t="shared" ca="1" si="1602"/>
        <v>-29873.229431244363</v>
      </c>
      <c r="R1344" s="450">
        <f t="shared" ca="1" si="1602"/>
        <v>-30167.582505761035</v>
      </c>
      <c r="S1344" s="450">
        <f t="shared" ca="1" si="1602"/>
        <v>-30464.835960789846</v>
      </c>
      <c r="T1344" s="450">
        <f t="shared" ca="1" si="1602"/>
        <v>-31140.847638293038</v>
      </c>
      <c r="U1344" s="450">
        <f t="shared" ca="1" si="1602"/>
        <v>-35149.976938140986</v>
      </c>
      <c r="V1344" s="450">
        <f t="shared" ca="1" si="1602"/>
        <v>-37980.533235228693</v>
      </c>
      <c r="W1344" s="450">
        <f t="shared" ca="1" si="1602"/>
        <v>-40793.683031797671</v>
      </c>
      <c r="X1344" s="450">
        <f t="shared" ca="1" si="1602"/>
        <v>-73955.129897533232</v>
      </c>
      <c r="Y1344" s="450">
        <f t="shared" ca="1" si="1602"/>
        <v>-79381.829752001096</v>
      </c>
      <c r="Z1344" s="450">
        <f t="shared" ca="1" si="1602"/>
        <v>-85108.003078038513</v>
      </c>
      <c r="AA1344" s="450">
        <f t="shared" ca="1" si="1602"/>
        <v>-90696.222988705616</v>
      </c>
      <c r="AB1344" s="450">
        <f t="shared" ca="1" si="1602"/>
        <v>-143910.24807324636</v>
      </c>
      <c r="AC1344" s="450">
        <f t="shared" ca="1" si="1602"/>
        <v>519988.26968548947</v>
      </c>
      <c r="AD1344" s="450">
        <f t="shared" ca="1" si="1602"/>
        <v>256385.80256004952</v>
      </c>
      <c r="AE1344" s="450">
        <f t="shared" ca="1" si="1602"/>
        <v>148509.43865151415</v>
      </c>
      <c r="AF1344" s="450">
        <f t="shared" ca="1" si="1602"/>
        <v>72002.301690437554</v>
      </c>
      <c r="AG1344" s="450">
        <f t="shared" ca="1" si="1602"/>
        <v>84012.597801559255</v>
      </c>
      <c r="AH1344" s="450">
        <f t="shared" ca="1" si="1602"/>
        <v>189166.48136778409</v>
      </c>
      <c r="AI1344" s="450">
        <f t="shared" ca="1" si="1602"/>
        <v>183161.65385849372</v>
      </c>
      <c r="AJ1344" s="450">
        <f t="shared" ca="1" si="1602"/>
        <v>93863.371201498085</v>
      </c>
      <c r="AK1344" s="450">
        <f t="shared" ca="1" si="1602"/>
        <v>107478.21326329387</v>
      </c>
      <c r="AL1344" s="450">
        <f t="shared" ca="1" si="1602"/>
        <v>228402.58230646333</v>
      </c>
      <c r="AM1344" s="450">
        <f t="shared" ca="1" si="1602"/>
        <v>221288.02739795062</v>
      </c>
      <c r="AN1344" s="450">
        <f t="shared" ca="1" si="1602"/>
        <v>119201.72926944002</v>
      </c>
      <c r="AO1344" s="450">
        <f t="shared" ca="1" si="1602"/>
        <v>133694.30593569324</v>
      </c>
      <c r="AP1344" s="450">
        <f t="shared" ca="1" si="1602"/>
        <v>267907.21317545825</v>
      </c>
      <c r="AQ1344" s="450">
        <f t="shared" ca="1" si="1602"/>
        <v>256271.50641655951</v>
      </c>
      <c r="AR1344" s="450">
        <f t="shared" ref="AR1344:BW1344" ca="1" si="1603">CHOOSE($E$1343, -_xlfn.SINGLE(Subord_Drawdown),_xlfn.SINGLE( OCF)+AR959 -_xlfn.SINGLE( Subord_Interest_Paid ))</f>
        <v>138075.52944964016</v>
      </c>
      <c r="AS1344" s="450">
        <f t="shared" ca="1" si="1603"/>
        <v>148905.14130251156</v>
      </c>
      <c r="AT1344" s="450">
        <f t="shared" ca="1" si="1603"/>
        <v>284882.42615946196</v>
      </c>
      <c r="AU1344" s="450">
        <f t="shared" ca="1" si="1603"/>
        <v>270711.13427012885</v>
      </c>
      <c r="AV1344" s="450">
        <f t="shared" ca="1" si="1603"/>
        <v>145517.4626241998</v>
      </c>
      <c r="AW1344" s="450">
        <f t="shared" ca="1" si="1603"/>
        <v>182387.59892833943</v>
      </c>
      <c r="AX1344" s="450">
        <f t="shared" ca="1" si="1603"/>
        <v>273026.89898316731</v>
      </c>
      <c r="AY1344" s="450">
        <f t="shared" ca="1" si="1603"/>
        <v>160610.0942033137</v>
      </c>
      <c r="AZ1344" s="450">
        <f t="shared" ca="1" si="1603"/>
        <v>90746.681474151221</v>
      </c>
      <c r="BA1344" s="450">
        <f t="shared" ca="1" si="1603"/>
        <v>140327.30961439823</v>
      </c>
      <c r="BB1344" s="450">
        <f t="shared" ca="1" si="1603"/>
        <v>273441.40717452578</v>
      </c>
      <c r="BC1344" s="450">
        <f t="shared" ca="1" si="1603"/>
        <v>167027.39986984793</v>
      </c>
      <c r="BD1344" s="450">
        <f t="shared" ca="1" si="1603"/>
        <v>95677.102949824475</v>
      </c>
      <c r="BE1344" s="450">
        <f t="shared" ca="1" si="1603"/>
        <v>144587.40117527739</v>
      </c>
      <c r="BF1344" s="450">
        <f t="shared" ca="1" si="1603"/>
        <v>283339.07755339483</v>
      </c>
      <c r="BG1344" s="450">
        <f t="shared" ca="1" si="1603"/>
        <v>172668.51570028992</v>
      </c>
      <c r="BH1344" s="450">
        <f t="shared" ca="1" si="1603"/>
        <v>97093.665388560941</v>
      </c>
      <c r="BI1344" s="450">
        <f t="shared" ca="1" si="1603"/>
        <v>150722.0289987888</v>
      </c>
      <c r="BJ1344" s="450">
        <f t="shared" ca="1" si="1603"/>
        <v>294700.16257395281</v>
      </c>
      <c r="BK1344" s="450">
        <f t="shared" ca="1" si="1603"/>
        <v>179602.77227321346</v>
      </c>
      <c r="BL1344" s="450">
        <f t="shared" ca="1" si="1603"/>
        <v>101010.04112024038</v>
      </c>
      <c r="BM1344" s="450">
        <f t="shared" ca="1" si="1603"/>
        <v>156784.45144098948</v>
      </c>
      <c r="BN1344" s="450">
        <f t="shared" ca="1" si="1603"/>
        <v>306522.6543072628</v>
      </c>
      <c r="BO1344" s="450">
        <f t="shared" ca="1" si="1603"/>
        <v>177777.08616391147</v>
      </c>
      <c r="BP1344" s="450">
        <f t="shared" ca="1" si="1603"/>
        <v>97479.370084233102</v>
      </c>
      <c r="BQ1344" s="450">
        <f t="shared" ca="1" si="1603"/>
        <v>147496.84938078091</v>
      </c>
      <c r="BR1344" s="450">
        <f t="shared" ca="1" si="1603"/>
        <v>278245.88708535017</v>
      </c>
      <c r="BS1344" s="450">
        <f t="shared" ca="1" si="1603"/>
        <v>176430.29235447774</v>
      </c>
      <c r="BT1344" s="450">
        <f t="shared" ca="1" si="1603"/>
        <v>94568.477972540364</v>
      </c>
      <c r="BU1344" s="450">
        <f t="shared" ca="1" si="1603"/>
        <v>144907.78111575436</v>
      </c>
      <c r="BV1344" s="450">
        <f t="shared" ca="1" si="1603"/>
        <v>290142.81625441811</v>
      </c>
      <c r="BW1344" s="450">
        <f t="shared" ca="1" si="1603"/>
        <v>184249.96053286913</v>
      </c>
      <c r="BX1344" s="450">
        <f t="shared" ref="BX1344:CO1344" ca="1" si="1604">CHOOSE($E$1343, -_xlfn.SINGLE(Subord_Drawdown),_xlfn.SINGLE( OCF)+BX959 -_xlfn.SINGLE( Subord_Interest_Paid ))</f>
        <v>97648.295518110244</v>
      </c>
      <c r="BY1344" s="450">
        <f t="shared" ca="1" si="1604"/>
        <v>151770.83585332028</v>
      </c>
      <c r="BZ1344" s="450">
        <f t="shared" ca="1" si="1604"/>
        <v>302440.46734145656</v>
      </c>
      <c r="CA1344" s="450">
        <f t="shared" ca="1" si="1604"/>
        <v>192307.85374290359</v>
      </c>
      <c r="CB1344" s="450">
        <f t="shared" ca="1" si="1604"/>
        <v>102248.94821865222</v>
      </c>
      <c r="CC1344" s="450">
        <f t="shared" ca="1" si="1604"/>
        <v>158541.06086534384</v>
      </c>
      <c r="CD1344" s="450">
        <f t="shared" ca="1" si="1604"/>
        <v>315242.09100794845</v>
      </c>
      <c r="CE1344" s="450">
        <f t="shared" ca="1" si="1604"/>
        <v>200699.82662151247</v>
      </c>
      <c r="CF1344" s="450">
        <f t="shared" ca="1" si="1604"/>
        <v>107016.58280527144</v>
      </c>
      <c r="CG1344" s="450">
        <f t="shared" ca="1" si="1604"/>
        <v>165564.89886920995</v>
      </c>
      <c r="CH1344" s="450">
        <f t="shared" ca="1" si="1604"/>
        <v>328538.39464533399</v>
      </c>
      <c r="CI1344" s="450">
        <f t="shared" ca="1" si="1604"/>
        <v>209410.09343949924</v>
      </c>
      <c r="CJ1344" s="450">
        <f t="shared" ca="1" si="1604"/>
        <v>113577.58786442541</v>
      </c>
      <c r="CK1344" s="450">
        <f t="shared" ca="1" si="1604"/>
        <v>172449.24687161582</v>
      </c>
      <c r="CL1344" s="450">
        <f t="shared" ca="1" si="1604"/>
        <v>342372.8721207974</v>
      </c>
      <c r="CM1344" s="450">
        <f t="shared" ca="1" si="1604"/>
        <v>218474.8026703553</v>
      </c>
      <c r="CN1344" s="450">
        <f t="shared" ca="1" si="1604"/>
        <v>117079.85311511871</v>
      </c>
      <c r="CO1344" s="450">
        <f t="shared" ca="1" si="1604"/>
        <v>180414.39771195172</v>
      </c>
    </row>
    <row r="1345" spans="1:94">
      <c r="A1345" s="10"/>
      <c r="B1345" s="10"/>
      <c r="C1345" s="403" t="str">
        <f>CHOOSE(E1343,"Внесение собственного капитала","Инвестиционный денежный поток")</f>
        <v>Инвестиционный денежный поток</v>
      </c>
      <c r="D1345" s="10"/>
      <c r="E1345" s="62"/>
      <c r="F1345" s="10"/>
      <c r="G1345" s="134" t="str">
        <f>Monetary_Unit</f>
        <v>тыс. руб.</v>
      </c>
      <c r="H1345" s="10"/>
      <c r="I1345" s="23">
        <f t="shared" ca="1" si="1601"/>
        <v>-3087285.4622873445</v>
      </c>
      <c r="J1345" s="10"/>
      <c r="K1345" s="10"/>
      <c r="L1345" s="450">
        <f t="shared" ref="L1345:AQ1345" ca="1" si="1605">CHOOSE($E$1343, -Equity_Drawdown -Equity_S_Drawdown_1 -Equity_S_Drawdown_2, ICF -SUM(L273:L275))</f>
        <v>-16859.627844133964</v>
      </c>
      <c r="M1345" s="450">
        <f t="shared" ca="1" si="1605"/>
        <v>-17098.948363166921</v>
      </c>
      <c r="N1345" s="450">
        <f t="shared" ca="1" si="1605"/>
        <v>-17341.666010022611</v>
      </c>
      <c r="O1345" s="450">
        <f t="shared" ca="1" si="1605"/>
        <v>-17587.829006547992</v>
      </c>
      <c r="P1345" s="450">
        <f t="shared" ca="1" si="1605"/>
        <v>-147908.74218730364</v>
      </c>
      <c r="Q1345" s="450">
        <f t="shared" ca="1" si="1605"/>
        <v>-149366.14715622176</v>
      </c>
      <c r="R1345" s="450">
        <f t="shared" ca="1" si="1605"/>
        <v>-150837.91252880514</v>
      </c>
      <c r="S1345" s="450">
        <f t="shared" ca="1" si="1605"/>
        <v>-152324.1798039492</v>
      </c>
      <c r="T1345" s="450">
        <f t="shared" ca="1" si="1605"/>
        <v>-153825.09187479576</v>
      </c>
      <c r="U1345" s="450">
        <f t="shared" ca="1" si="1605"/>
        <v>-155340.79304247064</v>
      </c>
      <c r="V1345" s="450">
        <f t="shared" ca="1" si="1605"/>
        <v>-156871.42902995727</v>
      </c>
      <c r="W1345" s="450">
        <f t="shared" ca="1" si="1605"/>
        <v>-158417.14699610716</v>
      </c>
      <c r="X1345" s="450">
        <f t="shared" ca="1" si="1605"/>
        <v>-306312.90818037902</v>
      </c>
      <c r="Y1345" s="450">
        <f t="shared" ca="1" si="1605"/>
        <v>-309331.13379587734</v>
      </c>
      <c r="Z1345" s="450">
        <f t="shared" ca="1" si="1605"/>
        <v>-312379.09921542153</v>
      </c>
      <c r="AA1345" s="450">
        <f t="shared" ca="1" si="1605"/>
        <v>-315457.09747739154</v>
      </c>
      <c r="AB1345" s="450">
        <f t="shared" ca="1" si="1605"/>
        <v>-550025.70977479313</v>
      </c>
      <c r="AC1345" s="450">
        <f t="shared" ca="1" si="1605"/>
        <v>0</v>
      </c>
      <c r="AD1345" s="450">
        <f t="shared" ca="1" si="1605"/>
        <v>0</v>
      </c>
      <c r="AE1345" s="450">
        <f t="shared" ca="1" si="1605"/>
        <v>0</v>
      </c>
      <c r="AF1345" s="450">
        <f t="shared" ca="1" si="1605"/>
        <v>0</v>
      </c>
      <c r="AG1345" s="450">
        <f t="shared" ca="1" si="1605"/>
        <v>0</v>
      </c>
      <c r="AH1345" s="450">
        <f t="shared" ca="1" si="1605"/>
        <v>0</v>
      </c>
      <c r="AI1345" s="450">
        <f t="shared" ca="1" si="1605"/>
        <v>0</v>
      </c>
      <c r="AJ1345" s="450">
        <f t="shared" ca="1" si="1605"/>
        <v>0</v>
      </c>
      <c r="AK1345" s="450">
        <f t="shared" ca="1" si="1605"/>
        <v>0</v>
      </c>
      <c r="AL1345" s="450">
        <f t="shared" ca="1" si="1605"/>
        <v>0</v>
      </c>
      <c r="AM1345" s="450">
        <f t="shared" ca="1" si="1605"/>
        <v>0</v>
      </c>
      <c r="AN1345" s="450">
        <f t="shared" ca="1" si="1605"/>
        <v>0</v>
      </c>
      <c r="AO1345" s="450">
        <f t="shared" ca="1" si="1605"/>
        <v>0</v>
      </c>
      <c r="AP1345" s="450">
        <f t="shared" ca="1" si="1605"/>
        <v>0</v>
      </c>
      <c r="AQ1345" s="450">
        <f t="shared" ca="1" si="1605"/>
        <v>0</v>
      </c>
      <c r="AR1345" s="450">
        <f t="shared" ref="AR1345:BW1345" ca="1" si="1606">CHOOSE($E$1343, -Equity_Drawdown -Equity_S_Drawdown_1 -Equity_S_Drawdown_2, ICF -SUM(AR273:AR275))</f>
        <v>0</v>
      </c>
      <c r="AS1345" s="450">
        <f t="shared" ca="1" si="1606"/>
        <v>0</v>
      </c>
      <c r="AT1345" s="450">
        <f t="shared" ca="1" si="1606"/>
        <v>0</v>
      </c>
      <c r="AU1345" s="450">
        <f t="shared" ca="1" si="1606"/>
        <v>0</v>
      </c>
      <c r="AV1345" s="450">
        <f t="shared" ca="1" si="1606"/>
        <v>0</v>
      </c>
      <c r="AW1345" s="450">
        <f t="shared" ca="1" si="1606"/>
        <v>0</v>
      </c>
      <c r="AX1345" s="450">
        <f t="shared" ca="1" si="1606"/>
        <v>0</v>
      </c>
      <c r="AY1345" s="450">
        <f t="shared" ca="1" si="1606"/>
        <v>0</v>
      </c>
      <c r="AZ1345" s="450">
        <f t="shared" ca="1" si="1606"/>
        <v>0</v>
      </c>
      <c r="BA1345" s="450">
        <f t="shared" ca="1" si="1606"/>
        <v>0</v>
      </c>
      <c r="BB1345" s="450">
        <f t="shared" ca="1" si="1606"/>
        <v>0</v>
      </c>
      <c r="BC1345" s="450">
        <f t="shared" ca="1" si="1606"/>
        <v>0</v>
      </c>
      <c r="BD1345" s="450">
        <f t="shared" ca="1" si="1606"/>
        <v>0</v>
      </c>
      <c r="BE1345" s="450">
        <f t="shared" ca="1" si="1606"/>
        <v>0</v>
      </c>
      <c r="BF1345" s="450">
        <f t="shared" ca="1" si="1606"/>
        <v>0</v>
      </c>
      <c r="BG1345" s="450">
        <f t="shared" ca="1" si="1606"/>
        <v>0</v>
      </c>
      <c r="BH1345" s="450">
        <f t="shared" ca="1" si="1606"/>
        <v>0</v>
      </c>
      <c r="BI1345" s="450">
        <f t="shared" ca="1" si="1606"/>
        <v>0</v>
      </c>
      <c r="BJ1345" s="450">
        <f t="shared" ca="1" si="1606"/>
        <v>0</v>
      </c>
      <c r="BK1345" s="450">
        <f t="shared" ca="1" si="1606"/>
        <v>0</v>
      </c>
      <c r="BL1345" s="450">
        <f t="shared" ca="1" si="1606"/>
        <v>0</v>
      </c>
      <c r="BM1345" s="450">
        <f t="shared" ca="1" si="1606"/>
        <v>0</v>
      </c>
      <c r="BN1345" s="450">
        <f t="shared" ca="1" si="1606"/>
        <v>0</v>
      </c>
      <c r="BO1345" s="450">
        <f t="shared" ca="1" si="1606"/>
        <v>0</v>
      </c>
      <c r="BP1345" s="450">
        <f t="shared" ca="1" si="1606"/>
        <v>0</v>
      </c>
      <c r="BQ1345" s="450">
        <f t="shared" ca="1" si="1606"/>
        <v>0</v>
      </c>
      <c r="BR1345" s="450">
        <f t="shared" ca="1" si="1606"/>
        <v>0</v>
      </c>
      <c r="BS1345" s="450">
        <f t="shared" ca="1" si="1606"/>
        <v>0</v>
      </c>
      <c r="BT1345" s="450">
        <f t="shared" ca="1" si="1606"/>
        <v>0</v>
      </c>
      <c r="BU1345" s="450">
        <f t="shared" ca="1" si="1606"/>
        <v>0</v>
      </c>
      <c r="BV1345" s="450">
        <f t="shared" ca="1" si="1606"/>
        <v>0</v>
      </c>
      <c r="BW1345" s="450">
        <f t="shared" ca="1" si="1606"/>
        <v>0</v>
      </c>
      <c r="BX1345" s="450">
        <f t="shared" ref="BX1345:CO1345" ca="1" si="1607">CHOOSE($E$1343, -Equity_Drawdown -Equity_S_Drawdown_1 -Equity_S_Drawdown_2, ICF -SUM(BX273:BX275))</f>
        <v>0</v>
      </c>
      <c r="BY1345" s="450">
        <f t="shared" ca="1" si="1607"/>
        <v>0</v>
      </c>
      <c r="BZ1345" s="450">
        <f t="shared" ca="1" si="1607"/>
        <v>0</v>
      </c>
      <c r="CA1345" s="450">
        <f t="shared" ca="1" si="1607"/>
        <v>0</v>
      </c>
      <c r="CB1345" s="450">
        <f t="shared" ca="1" si="1607"/>
        <v>0</v>
      </c>
      <c r="CC1345" s="450">
        <f t="shared" ca="1" si="1607"/>
        <v>0</v>
      </c>
      <c r="CD1345" s="450">
        <f t="shared" ca="1" si="1607"/>
        <v>0</v>
      </c>
      <c r="CE1345" s="450">
        <f t="shared" ca="1" si="1607"/>
        <v>0</v>
      </c>
      <c r="CF1345" s="450">
        <f t="shared" ca="1" si="1607"/>
        <v>0</v>
      </c>
      <c r="CG1345" s="450">
        <f t="shared" ca="1" si="1607"/>
        <v>0</v>
      </c>
      <c r="CH1345" s="450">
        <f t="shared" ca="1" si="1607"/>
        <v>0</v>
      </c>
      <c r="CI1345" s="450">
        <f t="shared" ca="1" si="1607"/>
        <v>0</v>
      </c>
      <c r="CJ1345" s="450">
        <f t="shared" ca="1" si="1607"/>
        <v>0</v>
      </c>
      <c r="CK1345" s="450">
        <f t="shared" ca="1" si="1607"/>
        <v>0</v>
      </c>
      <c r="CL1345" s="450">
        <f t="shared" ca="1" si="1607"/>
        <v>0</v>
      </c>
      <c r="CM1345" s="450">
        <f t="shared" ca="1" si="1607"/>
        <v>0</v>
      </c>
      <c r="CN1345" s="450">
        <f t="shared" ca="1" si="1607"/>
        <v>0</v>
      </c>
      <c r="CO1345" s="450">
        <f t="shared" ca="1" si="1607"/>
        <v>0</v>
      </c>
    </row>
    <row r="1346" spans="1:94">
      <c r="A1346" s="10"/>
      <c r="B1346" s="10"/>
      <c r="C1346" s="403" t="str">
        <f>CHOOSE(E1343,"Обслуживание акционерного займа","Выборка старшего долга")</f>
        <v>Выборка старшего долга</v>
      </c>
      <c r="D1346" s="10"/>
      <c r="E1346" s="62"/>
      <c r="F1346" s="10"/>
      <c r="G1346" s="134" t="str">
        <f>Monetary_Unit</f>
        <v>тыс. руб.</v>
      </c>
      <c r="H1346" s="10"/>
      <c r="I1346" s="23">
        <f t="shared" ca="1" si="1601"/>
        <v>2771888.3794600694</v>
      </c>
      <c r="J1346" s="10"/>
      <c r="K1346" s="10"/>
      <c r="L1346" s="450">
        <f t="shared" ref="L1346:AQ1346" si="1608">CHOOSE($E$1343,  - Subord_Repayment - Subord_Interest_Paid, Debt_Drawdown)</f>
        <v>0</v>
      </c>
      <c r="M1346" s="450">
        <f t="shared" ca="1" si="1608"/>
        <v>0</v>
      </c>
      <c r="N1346" s="450">
        <f t="shared" ca="1" si="1608"/>
        <v>0</v>
      </c>
      <c r="O1346" s="450">
        <f t="shared" ca="1" si="1608"/>
        <v>0</v>
      </c>
      <c r="P1346" s="450">
        <f t="shared" ca="1" si="1608"/>
        <v>0</v>
      </c>
      <c r="Q1346" s="450">
        <f t="shared" ca="1" si="1608"/>
        <v>0</v>
      </c>
      <c r="R1346" s="450">
        <f t="shared" ca="1" si="1608"/>
        <v>0</v>
      </c>
      <c r="S1346" s="450">
        <f t="shared" ca="1" si="1608"/>
        <v>0</v>
      </c>
      <c r="T1346" s="450">
        <f t="shared" ca="1" si="1608"/>
        <v>54925.998445192294</v>
      </c>
      <c r="U1346" s="450">
        <f t="shared" ca="1" si="1608"/>
        <v>186408.95165096477</v>
      </c>
      <c r="V1346" s="450">
        <f t="shared" ca="1" si="1608"/>
        <v>188245.71483594872</v>
      </c>
      <c r="W1346" s="450">
        <f t="shared" ca="1" si="1608"/>
        <v>190100.57639532859</v>
      </c>
      <c r="X1346" s="450">
        <f t="shared" ca="1" si="1608"/>
        <v>367575.48981645482</v>
      </c>
      <c r="Y1346" s="450">
        <f t="shared" ca="1" si="1608"/>
        <v>371197.36055505282</v>
      </c>
      <c r="Z1346" s="450">
        <f t="shared" ca="1" si="1608"/>
        <v>374854.91905850585</v>
      </c>
      <c r="AA1346" s="450">
        <f t="shared" ca="1" si="1608"/>
        <v>378548.51697286987</v>
      </c>
      <c r="AB1346" s="450">
        <f t="shared" ca="1" si="1608"/>
        <v>660030.85172975156</v>
      </c>
      <c r="AC1346" s="450">
        <f t="shared" ca="1" si="1608"/>
        <v>0</v>
      </c>
      <c r="AD1346" s="450">
        <f t="shared" ca="1" si="1608"/>
        <v>0</v>
      </c>
      <c r="AE1346" s="450">
        <f t="shared" ca="1" si="1608"/>
        <v>0</v>
      </c>
      <c r="AF1346" s="450">
        <f t="shared" ca="1" si="1608"/>
        <v>0</v>
      </c>
      <c r="AG1346" s="450">
        <f t="shared" ca="1" si="1608"/>
        <v>0</v>
      </c>
      <c r="AH1346" s="450">
        <f t="shared" ca="1" si="1608"/>
        <v>0</v>
      </c>
      <c r="AI1346" s="450">
        <f t="shared" ca="1" si="1608"/>
        <v>0</v>
      </c>
      <c r="AJ1346" s="450">
        <f t="shared" ca="1" si="1608"/>
        <v>0</v>
      </c>
      <c r="AK1346" s="450">
        <f t="shared" ca="1" si="1608"/>
        <v>0</v>
      </c>
      <c r="AL1346" s="450">
        <f t="shared" ca="1" si="1608"/>
        <v>0</v>
      </c>
      <c r="AM1346" s="450">
        <f t="shared" ca="1" si="1608"/>
        <v>0</v>
      </c>
      <c r="AN1346" s="450">
        <f t="shared" ca="1" si="1608"/>
        <v>0</v>
      </c>
      <c r="AO1346" s="450">
        <f t="shared" ca="1" si="1608"/>
        <v>0</v>
      </c>
      <c r="AP1346" s="450">
        <f t="shared" ca="1" si="1608"/>
        <v>0</v>
      </c>
      <c r="AQ1346" s="450">
        <f t="shared" ca="1" si="1608"/>
        <v>0</v>
      </c>
      <c r="AR1346" s="450">
        <f t="shared" ref="AR1346:BW1346" ca="1" si="1609">CHOOSE($E$1343,  - Subord_Repayment - Subord_Interest_Paid, Debt_Drawdown)</f>
        <v>0</v>
      </c>
      <c r="AS1346" s="450">
        <f t="shared" ca="1" si="1609"/>
        <v>0</v>
      </c>
      <c r="AT1346" s="450">
        <f t="shared" ca="1" si="1609"/>
        <v>0</v>
      </c>
      <c r="AU1346" s="450">
        <f t="shared" ca="1" si="1609"/>
        <v>0</v>
      </c>
      <c r="AV1346" s="450">
        <f t="shared" ca="1" si="1609"/>
        <v>0</v>
      </c>
      <c r="AW1346" s="450">
        <f t="shared" ca="1" si="1609"/>
        <v>0</v>
      </c>
      <c r="AX1346" s="450">
        <f t="shared" ca="1" si="1609"/>
        <v>0</v>
      </c>
      <c r="AY1346" s="450">
        <f t="shared" ca="1" si="1609"/>
        <v>0</v>
      </c>
      <c r="AZ1346" s="450">
        <f t="shared" ca="1" si="1609"/>
        <v>0</v>
      </c>
      <c r="BA1346" s="450">
        <f t="shared" ca="1" si="1609"/>
        <v>0</v>
      </c>
      <c r="BB1346" s="450">
        <f t="shared" ca="1" si="1609"/>
        <v>0</v>
      </c>
      <c r="BC1346" s="450">
        <f t="shared" ca="1" si="1609"/>
        <v>0</v>
      </c>
      <c r="BD1346" s="450">
        <f t="shared" ca="1" si="1609"/>
        <v>0</v>
      </c>
      <c r="BE1346" s="450">
        <f t="shared" ca="1" si="1609"/>
        <v>0</v>
      </c>
      <c r="BF1346" s="450">
        <f t="shared" ca="1" si="1609"/>
        <v>0</v>
      </c>
      <c r="BG1346" s="450">
        <f t="shared" ca="1" si="1609"/>
        <v>0</v>
      </c>
      <c r="BH1346" s="450">
        <f t="shared" ca="1" si="1609"/>
        <v>0</v>
      </c>
      <c r="BI1346" s="450">
        <f t="shared" ca="1" si="1609"/>
        <v>0</v>
      </c>
      <c r="BJ1346" s="450">
        <f t="shared" ca="1" si="1609"/>
        <v>0</v>
      </c>
      <c r="BK1346" s="450">
        <f t="shared" ca="1" si="1609"/>
        <v>0</v>
      </c>
      <c r="BL1346" s="450">
        <f t="shared" ca="1" si="1609"/>
        <v>0</v>
      </c>
      <c r="BM1346" s="450">
        <f t="shared" ca="1" si="1609"/>
        <v>0</v>
      </c>
      <c r="BN1346" s="450">
        <f t="shared" ca="1" si="1609"/>
        <v>0</v>
      </c>
      <c r="BO1346" s="450">
        <f t="shared" ca="1" si="1609"/>
        <v>0</v>
      </c>
      <c r="BP1346" s="450">
        <f t="shared" ca="1" si="1609"/>
        <v>0</v>
      </c>
      <c r="BQ1346" s="450">
        <f t="shared" ca="1" si="1609"/>
        <v>0</v>
      </c>
      <c r="BR1346" s="450">
        <f t="shared" ca="1" si="1609"/>
        <v>0</v>
      </c>
      <c r="BS1346" s="450">
        <f t="shared" ca="1" si="1609"/>
        <v>0</v>
      </c>
      <c r="BT1346" s="450">
        <f t="shared" ca="1" si="1609"/>
        <v>0</v>
      </c>
      <c r="BU1346" s="450">
        <f t="shared" ca="1" si="1609"/>
        <v>0</v>
      </c>
      <c r="BV1346" s="450">
        <f t="shared" ca="1" si="1609"/>
        <v>0</v>
      </c>
      <c r="BW1346" s="450">
        <f t="shared" ca="1" si="1609"/>
        <v>0</v>
      </c>
      <c r="BX1346" s="450">
        <f t="shared" ref="BX1346:CO1346" ca="1" si="1610">CHOOSE($E$1343,  - Subord_Repayment - Subord_Interest_Paid, Debt_Drawdown)</f>
        <v>0</v>
      </c>
      <c r="BY1346" s="450">
        <f t="shared" ca="1" si="1610"/>
        <v>0</v>
      </c>
      <c r="BZ1346" s="450">
        <f t="shared" ca="1" si="1610"/>
        <v>0</v>
      </c>
      <c r="CA1346" s="450">
        <f t="shared" ca="1" si="1610"/>
        <v>0</v>
      </c>
      <c r="CB1346" s="450">
        <f t="shared" ca="1" si="1610"/>
        <v>0</v>
      </c>
      <c r="CC1346" s="450">
        <f t="shared" ca="1" si="1610"/>
        <v>0</v>
      </c>
      <c r="CD1346" s="450">
        <f t="shared" ca="1" si="1610"/>
        <v>0</v>
      </c>
      <c r="CE1346" s="450">
        <f t="shared" ca="1" si="1610"/>
        <v>0</v>
      </c>
      <c r="CF1346" s="450">
        <f t="shared" ca="1" si="1610"/>
        <v>0</v>
      </c>
      <c r="CG1346" s="450">
        <f t="shared" ca="1" si="1610"/>
        <v>0</v>
      </c>
      <c r="CH1346" s="450">
        <f t="shared" ca="1" si="1610"/>
        <v>0</v>
      </c>
      <c r="CI1346" s="450">
        <f t="shared" ca="1" si="1610"/>
        <v>0</v>
      </c>
      <c r="CJ1346" s="450">
        <f t="shared" ca="1" si="1610"/>
        <v>0</v>
      </c>
      <c r="CK1346" s="450">
        <f t="shared" ca="1" si="1610"/>
        <v>0</v>
      </c>
      <c r="CL1346" s="450">
        <f t="shared" ca="1" si="1610"/>
        <v>0</v>
      </c>
      <c r="CM1346" s="450">
        <f t="shared" ca="1" si="1610"/>
        <v>0</v>
      </c>
      <c r="CN1346" s="450">
        <f t="shared" ca="1" si="1610"/>
        <v>0</v>
      </c>
      <c r="CO1346" s="450">
        <f t="shared" ca="1" si="1610"/>
        <v>0</v>
      </c>
    </row>
    <row r="1347" spans="1:94" ht="15.75" thickBot="1">
      <c r="A1347" s="10"/>
      <c r="B1347" s="10"/>
      <c r="C1347" s="403" t="str">
        <f>CHOOSE(E1343,"Дивиденды","Обслуживание старшего долга")</f>
        <v>Обслуживание старшего долга</v>
      </c>
      <c r="D1347" s="10"/>
      <c r="E1347" s="62"/>
      <c r="F1347" s="10"/>
      <c r="G1347" s="134" t="str">
        <f>Monetary_Unit</f>
        <v>тыс. руб.</v>
      </c>
      <c r="H1347" s="10"/>
      <c r="I1347" s="376">
        <f t="shared" ca="1" si="1601"/>
        <v>-2771888.3794600698</v>
      </c>
      <c r="J1347" s="10"/>
      <c r="K1347" s="10"/>
      <c r="L1347" s="450">
        <f t="shared" ref="L1347:AQ1347" ca="1" si="1611">CHOOSE($E$1343, -Dividends, Debt_Repaiment)</f>
        <v>0</v>
      </c>
      <c r="M1347" s="450">
        <f t="shared" ca="1" si="1611"/>
        <v>0</v>
      </c>
      <c r="N1347" s="450">
        <f t="shared" ca="1" si="1611"/>
        <v>0</v>
      </c>
      <c r="O1347" s="450">
        <f t="shared" ca="1" si="1611"/>
        <v>0</v>
      </c>
      <c r="P1347" s="450">
        <f t="shared" ca="1" si="1611"/>
        <v>0</v>
      </c>
      <c r="Q1347" s="450">
        <f t="shared" ca="1" si="1611"/>
        <v>0</v>
      </c>
      <c r="R1347" s="450">
        <f t="shared" ca="1" si="1611"/>
        <v>0</v>
      </c>
      <c r="S1347" s="450">
        <f t="shared" ca="1" si="1611"/>
        <v>0</v>
      </c>
      <c r="T1347" s="450">
        <f t="shared" ca="1" si="1611"/>
        <v>0</v>
      </c>
      <c r="U1347" s="450">
        <f t="shared" ca="1" si="1611"/>
        <v>0</v>
      </c>
      <c r="V1347" s="450">
        <f t="shared" ca="1" si="1611"/>
        <v>0</v>
      </c>
      <c r="W1347" s="450">
        <f t="shared" ca="1" si="1611"/>
        <v>0</v>
      </c>
      <c r="X1347" s="450">
        <f t="shared" ca="1" si="1611"/>
        <v>0</v>
      </c>
      <c r="Y1347" s="450">
        <f t="shared" ca="1" si="1611"/>
        <v>0</v>
      </c>
      <c r="Z1347" s="450">
        <f t="shared" ca="1" si="1611"/>
        <v>0</v>
      </c>
      <c r="AA1347" s="450">
        <f t="shared" ca="1" si="1611"/>
        <v>0</v>
      </c>
      <c r="AB1347" s="450">
        <f t="shared" ca="1" si="1611"/>
        <v>0</v>
      </c>
      <c r="AC1347" s="450">
        <f t="shared" ca="1" si="1611"/>
        <v>-426931.12781532214</v>
      </c>
      <c r="AD1347" s="450">
        <f t="shared" ca="1" si="1611"/>
        <v>-208187.55157314718</v>
      </c>
      <c r="AE1347" s="450">
        <f t="shared" ca="1" si="1611"/>
        <v>-118775.97235180263</v>
      </c>
      <c r="AF1347" s="450">
        <f t="shared" ca="1" si="1611"/>
        <v>-55399.233751181804</v>
      </c>
      <c r="AG1347" s="450">
        <f t="shared" ca="1" si="1611"/>
        <v>-65484.432646601446</v>
      </c>
      <c r="AH1347" s="450">
        <f t="shared" ca="1" si="1611"/>
        <v>-153215.60937127657</v>
      </c>
      <c r="AI1347" s="450">
        <f t="shared" ca="1" si="1611"/>
        <v>-148568.80968953908</v>
      </c>
      <c r="AJ1347" s="450">
        <f t="shared" ca="1" si="1611"/>
        <v>-74580.822310337593</v>
      </c>
      <c r="AK1347" s="450">
        <f t="shared" ca="1" si="1611"/>
        <v>-86058.090179155028</v>
      </c>
      <c r="AL1347" s="450">
        <f t="shared" ca="1" si="1611"/>
        <v>-186990.50331830193</v>
      </c>
      <c r="AM1347" s="450">
        <f t="shared" ca="1" si="1611"/>
        <v>-181497.67720045152</v>
      </c>
      <c r="AN1347" s="450">
        <f t="shared" ca="1" si="1611"/>
        <v>-96882.663383457737</v>
      </c>
      <c r="AO1347" s="450">
        <f t="shared" ca="1" si="1611"/>
        <v>-109182.62749578085</v>
      </c>
      <c r="AP1347" s="450">
        <f t="shared" ca="1" si="1611"/>
        <v>-221256.08364928619</v>
      </c>
      <c r="AQ1347" s="450">
        <f t="shared" ca="1" si="1611"/>
        <v>-212074.11197092943</v>
      </c>
      <c r="AR1347" s="450">
        <f t="shared" ref="AR1347:BW1347" ca="1" si="1612">CHOOSE($E$1343, -Dividends, Debt_Repaiment)</f>
        <v>-114089.47942791763</v>
      </c>
      <c r="AS1347" s="450">
        <f t="shared" ca="1" si="1612"/>
        <v>-123366.4488239716</v>
      </c>
      <c r="AT1347" s="450">
        <f t="shared" ca="1" si="1612"/>
        <v>-189347.13450160954</v>
      </c>
      <c r="AU1347" s="450">
        <f t="shared" ca="1" si="1612"/>
        <v>0</v>
      </c>
      <c r="AV1347" s="450">
        <f t="shared" ca="1" si="1612"/>
        <v>0</v>
      </c>
      <c r="AW1347" s="450">
        <f t="shared" ca="1" si="1612"/>
        <v>0</v>
      </c>
      <c r="AX1347" s="450">
        <f t="shared" ca="1" si="1612"/>
        <v>0</v>
      </c>
      <c r="AY1347" s="450">
        <f t="shared" ca="1" si="1612"/>
        <v>0</v>
      </c>
      <c r="AZ1347" s="450">
        <f t="shared" ca="1" si="1612"/>
        <v>0</v>
      </c>
      <c r="BA1347" s="450">
        <f t="shared" ca="1" si="1612"/>
        <v>0</v>
      </c>
      <c r="BB1347" s="450">
        <f t="shared" ca="1" si="1612"/>
        <v>0</v>
      </c>
      <c r="BC1347" s="450">
        <f t="shared" ca="1" si="1612"/>
        <v>0</v>
      </c>
      <c r="BD1347" s="450">
        <f t="shared" ca="1" si="1612"/>
        <v>0</v>
      </c>
      <c r="BE1347" s="450">
        <f t="shared" ca="1" si="1612"/>
        <v>0</v>
      </c>
      <c r="BF1347" s="450">
        <f t="shared" ca="1" si="1612"/>
        <v>0</v>
      </c>
      <c r="BG1347" s="450">
        <f t="shared" ca="1" si="1612"/>
        <v>0</v>
      </c>
      <c r="BH1347" s="450">
        <f t="shared" ca="1" si="1612"/>
        <v>0</v>
      </c>
      <c r="BI1347" s="450">
        <f t="shared" ca="1" si="1612"/>
        <v>0</v>
      </c>
      <c r="BJ1347" s="450">
        <f t="shared" ca="1" si="1612"/>
        <v>0</v>
      </c>
      <c r="BK1347" s="450">
        <f t="shared" ca="1" si="1612"/>
        <v>0</v>
      </c>
      <c r="BL1347" s="450">
        <f t="shared" ca="1" si="1612"/>
        <v>0</v>
      </c>
      <c r="BM1347" s="450">
        <f t="shared" ca="1" si="1612"/>
        <v>0</v>
      </c>
      <c r="BN1347" s="450">
        <f t="shared" ca="1" si="1612"/>
        <v>0</v>
      </c>
      <c r="BO1347" s="450">
        <f t="shared" ca="1" si="1612"/>
        <v>0</v>
      </c>
      <c r="BP1347" s="450">
        <f t="shared" ca="1" si="1612"/>
        <v>0</v>
      </c>
      <c r="BQ1347" s="450">
        <f t="shared" ca="1" si="1612"/>
        <v>0</v>
      </c>
      <c r="BR1347" s="450">
        <f t="shared" ca="1" si="1612"/>
        <v>0</v>
      </c>
      <c r="BS1347" s="450">
        <f t="shared" ca="1" si="1612"/>
        <v>0</v>
      </c>
      <c r="BT1347" s="450">
        <f t="shared" ca="1" si="1612"/>
        <v>0</v>
      </c>
      <c r="BU1347" s="450">
        <f t="shared" ca="1" si="1612"/>
        <v>0</v>
      </c>
      <c r="BV1347" s="450">
        <f t="shared" ca="1" si="1612"/>
        <v>0</v>
      </c>
      <c r="BW1347" s="450">
        <f t="shared" ca="1" si="1612"/>
        <v>0</v>
      </c>
      <c r="BX1347" s="450">
        <f t="shared" ref="BX1347:CO1347" ca="1" si="1613">CHOOSE($E$1343, -Dividends, Debt_Repaiment)</f>
        <v>0</v>
      </c>
      <c r="BY1347" s="450">
        <f t="shared" ca="1" si="1613"/>
        <v>0</v>
      </c>
      <c r="BZ1347" s="450">
        <f t="shared" ca="1" si="1613"/>
        <v>0</v>
      </c>
      <c r="CA1347" s="450">
        <f t="shared" ca="1" si="1613"/>
        <v>0</v>
      </c>
      <c r="CB1347" s="450">
        <f t="shared" ca="1" si="1613"/>
        <v>0</v>
      </c>
      <c r="CC1347" s="450">
        <f t="shared" ca="1" si="1613"/>
        <v>0</v>
      </c>
      <c r="CD1347" s="450">
        <f t="shared" ca="1" si="1613"/>
        <v>0</v>
      </c>
      <c r="CE1347" s="450">
        <f t="shared" ca="1" si="1613"/>
        <v>0</v>
      </c>
      <c r="CF1347" s="450">
        <f t="shared" ca="1" si="1613"/>
        <v>0</v>
      </c>
      <c r="CG1347" s="450">
        <f t="shared" ca="1" si="1613"/>
        <v>0</v>
      </c>
      <c r="CH1347" s="450">
        <f t="shared" ca="1" si="1613"/>
        <v>0</v>
      </c>
      <c r="CI1347" s="450">
        <f t="shared" ca="1" si="1613"/>
        <v>0</v>
      </c>
      <c r="CJ1347" s="450">
        <f t="shared" ca="1" si="1613"/>
        <v>0</v>
      </c>
      <c r="CK1347" s="450">
        <f t="shared" ca="1" si="1613"/>
        <v>0</v>
      </c>
      <c r="CL1347" s="450">
        <f t="shared" ca="1" si="1613"/>
        <v>0</v>
      </c>
      <c r="CM1347" s="450">
        <f t="shared" ca="1" si="1613"/>
        <v>0</v>
      </c>
      <c r="CN1347" s="450">
        <f t="shared" ca="1" si="1613"/>
        <v>0</v>
      </c>
      <c r="CO1347" s="450">
        <f t="shared" ca="1" si="1613"/>
        <v>0</v>
      </c>
    </row>
    <row r="1348" spans="1:94" ht="15.75" thickTop="1">
      <c r="A1348" s="35"/>
      <c r="B1348" s="35"/>
      <c r="C1348" s="49" t="s">
        <v>424</v>
      </c>
      <c r="D1348" s="49"/>
      <c r="E1348" s="105"/>
      <c r="F1348" s="49"/>
      <c r="G1348" s="137" t="str">
        <f>Monetary_Unit</f>
        <v>тыс. руб.</v>
      </c>
      <c r="H1348" s="49"/>
      <c r="I1348" s="372">
        <f t="shared" ca="1" si="1601"/>
        <v>8367530.1348439679</v>
      </c>
      <c r="J1348" s="49"/>
      <c r="K1348" s="49"/>
      <c r="L1348" s="174">
        <f ca="1">SUM(L1344:L1347)</f>
        <v>-20231.553412960755</v>
      </c>
      <c r="M1348" s="174">
        <f t="shared" ref="M1348:BX1348" ca="1" si="1614">SUM(M1344:M1347)</f>
        <v>-20518.738035800307</v>
      </c>
      <c r="N1348" s="174">
        <f t="shared" ca="1" si="1614"/>
        <v>-20809.999212027134</v>
      </c>
      <c r="O1348" s="174">
        <f t="shared" ca="1" si="1614"/>
        <v>-21105.394807857592</v>
      </c>
      <c r="P1348" s="174">
        <f t="shared" ca="1" si="1614"/>
        <v>-177490.49062476435</v>
      </c>
      <c r="Q1348" s="174">
        <f t="shared" ca="1" si="1614"/>
        <v>-179239.37658746613</v>
      </c>
      <c r="R1348" s="174">
        <f t="shared" ca="1" si="1614"/>
        <v>-181005.49503456618</v>
      </c>
      <c r="S1348" s="174">
        <f t="shared" ca="1" si="1614"/>
        <v>-182789.01576473904</v>
      </c>
      <c r="T1348" s="174">
        <f t="shared" ca="1" si="1614"/>
        <v>-130039.94106789649</v>
      </c>
      <c r="U1348" s="174">
        <f t="shared" ca="1" si="1614"/>
        <v>-4081.8183296468633</v>
      </c>
      <c r="V1348" s="174">
        <f t="shared" ca="1" si="1614"/>
        <v>-6606.2474292372353</v>
      </c>
      <c r="W1348" s="174">
        <f t="shared" ca="1" si="1614"/>
        <v>-9110.2536325762339</v>
      </c>
      <c r="X1348" s="174">
        <f t="shared" ca="1" si="1614"/>
        <v>-12692.548261457414</v>
      </c>
      <c r="Y1348" s="174">
        <f t="shared" ca="1" si="1614"/>
        <v>-17515.602992825618</v>
      </c>
      <c r="Z1348" s="174">
        <f t="shared" ca="1" si="1614"/>
        <v>-22632.183234954195</v>
      </c>
      <c r="AA1348" s="174">
        <f t="shared" ca="1" si="1614"/>
        <v>-27604.803493227286</v>
      </c>
      <c r="AB1348" s="174">
        <f t="shared" ca="1" si="1614"/>
        <v>-33905.106118287891</v>
      </c>
      <c r="AC1348" s="174">
        <f t="shared" ca="1" si="1614"/>
        <v>93057.141870167339</v>
      </c>
      <c r="AD1348" s="174">
        <f t="shared" ca="1" si="1614"/>
        <v>48198.250986902334</v>
      </c>
      <c r="AE1348" s="174">
        <f t="shared" ca="1" si="1614"/>
        <v>29733.466299711523</v>
      </c>
      <c r="AF1348" s="174">
        <f t="shared" ca="1" si="1614"/>
        <v>16603.06793925575</v>
      </c>
      <c r="AG1348" s="174">
        <f t="shared" ca="1" si="1614"/>
        <v>18528.165154957809</v>
      </c>
      <c r="AH1348" s="174">
        <f t="shared" ca="1" si="1614"/>
        <v>35950.871996507514</v>
      </c>
      <c r="AI1348" s="174">
        <f t="shared" ca="1" si="1614"/>
        <v>34592.844168954645</v>
      </c>
      <c r="AJ1348" s="174">
        <f t="shared" ca="1" si="1614"/>
        <v>19282.548891160492</v>
      </c>
      <c r="AK1348" s="174">
        <f t="shared" ca="1" si="1614"/>
        <v>21420.123084138846</v>
      </c>
      <c r="AL1348" s="174">
        <f t="shared" ca="1" si="1614"/>
        <v>41412.078988161404</v>
      </c>
      <c r="AM1348" s="174">
        <f t="shared" ca="1" si="1614"/>
        <v>39790.350197499094</v>
      </c>
      <c r="AN1348" s="174">
        <f t="shared" ca="1" si="1614"/>
        <v>22319.065885982287</v>
      </c>
      <c r="AO1348" s="174">
        <f t="shared" ca="1" si="1614"/>
        <v>24511.678439912386</v>
      </c>
      <c r="AP1348" s="174">
        <f t="shared" ca="1" si="1614"/>
        <v>46651.129526172066</v>
      </c>
      <c r="AQ1348" s="174">
        <f t="shared" ca="1" si="1614"/>
        <v>44197.394445630081</v>
      </c>
      <c r="AR1348" s="174">
        <f t="shared" ca="1" si="1614"/>
        <v>23986.050021722534</v>
      </c>
      <c r="AS1348" s="174">
        <f t="shared" ca="1" si="1614"/>
        <v>25538.692478539961</v>
      </c>
      <c r="AT1348" s="174">
        <f t="shared" ca="1" si="1614"/>
        <v>95535.291657852416</v>
      </c>
      <c r="AU1348" s="174">
        <f t="shared" ca="1" si="1614"/>
        <v>270711.13427012885</v>
      </c>
      <c r="AV1348" s="174">
        <f t="shared" ca="1" si="1614"/>
        <v>145517.4626241998</v>
      </c>
      <c r="AW1348" s="174">
        <f t="shared" ca="1" si="1614"/>
        <v>182387.59892833943</v>
      </c>
      <c r="AX1348" s="174">
        <f t="shared" ca="1" si="1614"/>
        <v>273026.89898316731</v>
      </c>
      <c r="AY1348" s="174">
        <f t="shared" ca="1" si="1614"/>
        <v>160610.0942033137</v>
      </c>
      <c r="AZ1348" s="174">
        <f t="shared" ca="1" si="1614"/>
        <v>90746.681474151221</v>
      </c>
      <c r="BA1348" s="174">
        <f t="shared" ca="1" si="1614"/>
        <v>140327.30961439823</v>
      </c>
      <c r="BB1348" s="174">
        <f t="shared" ca="1" si="1614"/>
        <v>273441.40717452578</v>
      </c>
      <c r="BC1348" s="174">
        <f t="shared" ca="1" si="1614"/>
        <v>167027.39986984793</v>
      </c>
      <c r="BD1348" s="174">
        <f t="shared" ca="1" si="1614"/>
        <v>95677.102949824475</v>
      </c>
      <c r="BE1348" s="174">
        <f t="shared" ca="1" si="1614"/>
        <v>144587.40117527739</v>
      </c>
      <c r="BF1348" s="174">
        <f t="shared" ca="1" si="1614"/>
        <v>283339.07755339483</v>
      </c>
      <c r="BG1348" s="174">
        <f t="shared" ca="1" si="1614"/>
        <v>172668.51570028992</v>
      </c>
      <c r="BH1348" s="174">
        <f t="shared" ca="1" si="1614"/>
        <v>97093.665388560941</v>
      </c>
      <c r="BI1348" s="174">
        <f t="shared" ca="1" si="1614"/>
        <v>150722.0289987888</v>
      </c>
      <c r="BJ1348" s="174">
        <f t="shared" ca="1" si="1614"/>
        <v>294700.16257395281</v>
      </c>
      <c r="BK1348" s="174">
        <f t="shared" ca="1" si="1614"/>
        <v>179602.77227321346</v>
      </c>
      <c r="BL1348" s="174">
        <f t="shared" ca="1" si="1614"/>
        <v>101010.04112024038</v>
      </c>
      <c r="BM1348" s="174">
        <f t="shared" ca="1" si="1614"/>
        <v>156784.45144098948</v>
      </c>
      <c r="BN1348" s="174">
        <f t="shared" ca="1" si="1614"/>
        <v>306522.6543072628</v>
      </c>
      <c r="BO1348" s="174">
        <f t="shared" ca="1" si="1614"/>
        <v>177777.08616391147</v>
      </c>
      <c r="BP1348" s="174">
        <f t="shared" ca="1" si="1614"/>
        <v>97479.370084233102</v>
      </c>
      <c r="BQ1348" s="174">
        <f t="shared" ca="1" si="1614"/>
        <v>147496.84938078091</v>
      </c>
      <c r="BR1348" s="174">
        <f t="shared" ca="1" si="1614"/>
        <v>278245.88708535017</v>
      </c>
      <c r="BS1348" s="174">
        <f t="shared" ca="1" si="1614"/>
        <v>176430.29235447774</v>
      </c>
      <c r="BT1348" s="174">
        <f t="shared" ca="1" si="1614"/>
        <v>94568.477972540364</v>
      </c>
      <c r="BU1348" s="174">
        <f t="shared" ca="1" si="1614"/>
        <v>144907.78111575436</v>
      </c>
      <c r="BV1348" s="174">
        <f t="shared" ca="1" si="1614"/>
        <v>290142.81625441811</v>
      </c>
      <c r="BW1348" s="174">
        <f t="shared" ca="1" si="1614"/>
        <v>184249.96053286913</v>
      </c>
      <c r="BX1348" s="174">
        <f t="shared" ca="1" si="1614"/>
        <v>97648.295518110244</v>
      </c>
      <c r="BY1348" s="174">
        <f t="shared" ref="BY1348:CO1348" ca="1" si="1615">SUM(BY1344:BY1347)</f>
        <v>151770.83585332028</v>
      </c>
      <c r="BZ1348" s="174">
        <f t="shared" ca="1" si="1615"/>
        <v>302440.46734145656</v>
      </c>
      <c r="CA1348" s="174">
        <f t="shared" ca="1" si="1615"/>
        <v>192307.85374290359</v>
      </c>
      <c r="CB1348" s="174">
        <f t="shared" ca="1" si="1615"/>
        <v>102248.94821865222</v>
      </c>
      <c r="CC1348" s="174">
        <f t="shared" ca="1" si="1615"/>
        <v>158541.06086534384</v>
      </c>
      <c r="CD1348" s="174">
        <f t="shared" ca="1" si="1615"/>
        <v>315242.09100794845</v>
      </c>
      <c r="CE1348" s="174">
        <f t="shared" ca="1" si="1615"/>
        <v>200699.82662151247</v>
      </c>
      <c r="CF1348" s="174">
        <f t="shared" ca="1" si="1615"/>
        <v>107016.58280527144</v>
      </c>
      <c r="CG1348" s="174">
        <f t="shared" ca="1" si="1615"/>
        <v>165564.89886920995</v>
      </c>
      <c r="CH1348" s="174">
        <f t="shared" ca="1" si="1615"/>
        <v>328538.39464533399</v>
      </c>
      <c r="CI1348" s="174">
        <f t="shared" ca="1" si="1615"/>
        <v>209410.09343949924</v>
      </c>
      <c r="CJ1348" s="174">
        <f t="shared" ca="1" si="1615"/>
        <v>113577.58786442541</v>
      </c>
      <c r="CK1348" s="174">
        <f t="shared" ca="1" si="1615"/>
        <v>172449.24687161582</v>
      </c>
      <c r="CL1348" s="174">
        <f t="shared" ca="1" si="1615"/>
        <v>342372.8721207974</v>
      </c>
      <c r="CM1348" s="174">
        <f t="shared" ca="1" si="1615"/>
        <v>218474.8026703553</v>
      </c>
      <c r="CN1348" s="174">
        <f t="shared" ca="1" si="1615"/>
        <v>117079.85311511871</v>
      </c>
      <c r="CO1348" s="174">
        <f t="shared" ca="1" si="1615"/>
        <v>180414.39771195172</v>
      </c>
    </row>
    <row r="1349" spans="1:94" ht="15.75" thickBot="1">
      <c r="A1349" s="35"/>
      <c r="B1349" s="35"/>
      <c r="C1349" s="367" t="s">
        <v>1036</v>
      </c>
      <c r="D1349" s="370"/>
      <c r="E1349" s="188" t="str">
        <f>Предпосылки!E593</f>
        <v>да</v>
      </c>
      <c r="F1349" s="370"/>
      <c r="G1349" s="371" t="s">
        <v>26</v>
      </c>
      <c r="H1349" s="370"/>
      <c r="I1349" s="368">
        <f t="shared" ca="1" si="1601"/>
        <v>4553152.7420471264</v>
      </c>
      <c r="J1349" s="370"/>
      <c r="K1349" s="370"/>
      <c r="L1349" s="452">
        <f t="shared" ref="L1349:AQ1349" ca="1" si="1616">($E$1349="да")* (SUM(I1348:L1348) * (1 + $E$1305) / (Required_Rate_of_Return- $E$1305)+Cash_EoP*($E$1343=1))  * Flag_Last_Operations</f>
        <v>0</v>
      </c>
      <c r="M1349" s="452">
        <f t="shared" ca="1" si="1616"/>
        <v>0</v>
      </c>
      <c r="N1349" s="452">
        <f t="shared" ca="1" si="1616"/>
        <v>0</v>
      </c>
      <c r="O1349" s="452">
        <f t="shared" ca="1" si="1616"/>
        <v>0</v>
      </c>
      <c r="P1349" s="452">
        <f t="shared" ca="1" si="1616"/>
        <v>0</v>
      </c>
      <c r="Q1349" s="452">
        <f t="shared" ca="1" si="1616"/>
        <v>0</v>
      </c>
      <c r="R1349" s="452">
        <f t="shared" ca="1" si="1616"/>
        <v>0</v>
      </c>
      <c r="S1349" s="452">
        <f t="shared" ca="1" si="1616"/>
        <v>0</v>
      </c>
      <c r="T1349" s="452">
        <f t="shared" ca="1" si="1616"/>
        <v>0</v>
      </c>
      <c r="U1349" s="452">
        <f t="shared" ca="1" si="1616"/>
        <v>0</v>
      </c>
      <c r="V1349" s="452">
        <f t="shared" ca="1" si="1616"/>
        <v>0</v>
      </c>
      <c r="W1349" s="452">
        <f t="shared" ca="1" si="1616"/>
        <v>0</v>
      </c>
      <c r="X1349" s="452">
        <f t="shared" ca="1" si="1616"/>
        <v>0</v>
      </c>
      <c r="Y1349" s="452">
        <f t="shared" ca="1" si="1616"/>
        <v>0</v>
      </c>
      <c r="Z1349" s="452">
        <f t="shared" ca="1" si="1616"/>
        <v>0</v>
      </c>
      <c r="AA1349" s="452">
        <f t="shared" ca="1" si="1616"/>
        <v>0</v>
      </c>
      <c r="AB1349" s="452">
        <f t="shared" ca="1" si="1616"/>
        <v>0</v>
      </c>
      <c r="AC1349" s="452">
        <f t="shared" ca="1" si="1616"/>
        <v>0</v>
      </c>
      <c r="AD1349" s="452">
        <f t="shared" ca="1" si="1616"/>
        <v>0</v>
      </c>
      <c r="AE1349" s="452">
        <f t="shared" ca="1" si="1616"/>
        <v>0</v>
      </c>
      <c r="AF1349" s="452">
        <f t="shared" ca="1" si="1616"/>
        <v>0</v>
      </c>
      <c r="AG1349" s="452">
        <f t="shared" ca="1" si="1616"/>
        <v>0</v>
      </c>
      <c r="AH1349" s="452">
        <f t="shared" ca="1" si="1616"/>
        <v>0</v>
      </c>
      <c r="AI1349" s="452">
        <f t="shared" ca="1" si="1616"/>
        <v>0</v>
      </c>
      <c r="AJ1349" s="452">
        <f t="shared" ca="1" si="1616"/>
        <v>0</v>
      </c>
      <c r="AK1349" s="452">
        <f t="shared" ca="1" si="1616"/>
        <v>0</v>
      </c>
      <c r="AL1349" s="452">
        <f t="shared" ca="1" si="1616"/>
        <v>0</v>
      </c>
      <c r="AM1349" s="452">
        <f t="shared" ca="1" si="1616"/>
        <v>0</v>
      </c>
      <c r="AN1349" s="452">
        <f t="shared" ca="1" si="1616"/>
        <v>0</v>
      </c>
      <c r="AO1349" s="452">
        <f t="shared" ca="1" si="1616"/>
        <v>0</v>
      </c>
      <c r="AP1349" s="452">
        <f t="shared" ca="1" si="1616"/>
        <v>0</v>
      </c>
      <c r="AQ1349" s="452">
        <f t="shared" ca="1" si="1616"/>
        <v>0</v>
      </c>
      <c r="AR1349" s="452">
        <f t="shared" ref="AR1349:BW1349" ca="1" si="1617">($E$1349="да")* (SUM(AO1348:AR1348) * (1 + $E$1305) / (Required_Rate_of_Return- $E$1305)+Cash_EoP*($E$1343=1))  * Flag_Last_Operations</f>
        <v>0</v>
      </c>
      <c r="AS1349" s="452">
        <f t="shared" ca="1" si="1617"/>
        <v>0</v>
      </c>
      <c r="AT1349" s="452">
        <f t="shared" ca="1" si="1617"/>
        <v>0</v>
      </c>
      <c r="AU1349" s="452">
        <f t="shared" ca="1" si="1617"/>
        <v>0</v>
      </c>
      <c r="AV1349" s="452">
        <f t="shared" ca="1" si="1617"/>
        <v>0</v>
      </c>
      <c r="AW1349" s="452">
        <f t="shared" ca="1" si="1617"/>
        <v>0</v>
      </c>
      <c r="AX1349" s="452">
        <f t="shared" ca="1" si="1617"/>
        <v>0</v>
      </c>
      <c r="AY1349" s="452">
        <f t="shared" ca="1" si="1617"/>
        <v>0</v>
      </c>
      <c r="AZ1349" s="452">
        <f t="shared" ca="1" si="1617"/>
        <v>0</v>
      </c>
      <c r="BA1349" s="452">
        <f t="shared" ca="1" si="1617"/>
        <v>0</v>
      </c>
      <c r="BB1349" s="452">
        <f t="shared" ca="1" si="1617"/>
        <v>0</v>
      </c>
      <c r="BC1349" s="452">
        <f t="shared" ca="1" si="1617"/>
        <v>0</v>
      </c>
      <c r="BD1349" s="452">
        <f t="shared" ca="1" si="1617"/>
        <v>0</v>
      </c>
      <c r="BE1349" s="452">
        <f t="shared" ca="1" si="1617"/>
        <v>0</v>
      </c>
      <c r="BF1349" s="452">
        <f t="shared" ca="1" si="1617"/>
        <v>0</v>
      </c>
      <c r="BG1349" s="452">
        <f t="shared" ca="1" si="1617"/>
        <v>0</v>
      </c>
      <c r="BH1349" s="452">
        <f t="shared" ca="1" si="1617"/>
        <v>0</v>
      </c>
      <c r="BI1349" s="452">
        <f t="shared" ca="1" si="1617"/>
        <v>0</v>
      </c>
      <c r="BJ1349" s="452">
        <f t="shared" ca="1" si="1617"/>
        <v>0</v>
      </c>
      <c r="BK1349" s="452">
        <f t="shared" ca="1" si="1617"/>
        <v>0</v>
      </c>
      <c r="BL1349" s="452">
        <f t="shared" ca="1" si="1617"/>
        <v>0</v>
      </c>
      <c r="BM1349" s="452">
        <f t="shared" ca="1" si="1617"/>
        <v>0</v>
      </c>
      <c r="BN1349" s="452">
        <f t="shared" ca="1" si="1617"/>
        <v>0</v>
      </c>
      <c r="BO1349" s="452">
        <f t="shared" ca="1" si="1617"/>
        <v>0</v>
      </c>
      <c r="BP1349" s="452">
        <f t="shared" ca="1" si="1617"/>
        <v>0</v>
      </c>
      <c r="BQ1349" s="452">
        <f t="shared" ca="1" si="1617"/>
        <v>0</v>
      </c>
      <c r="BR1349" s="452">
        <f t="shared" ca="1" si="1617"/>
        <v>0</v>
      </c>
      <c r="BS1349" s="452">
        <f t="shared" ca="1" si="1617"/>
        <v>0</v>
      </c>
      <c r="BT1349" s="452">
        <f t="shared" ca="1" si="1617"/>
        <v>0</v>
      </c>
      <c r="BU1349" s="452">
        <f t="shared" ca="1" si="1617"/>
        <v>0</v>
      </c>
      <c r="BV1349" s="452">
        <f t="shared" ca="1" si="1617"/>
        <v>0</v>
      </c>
      <c r="BW1349" s="452">
        <f t="shared" ca="1" si="1617"/>
        <v>0</v>
      </c>
      <c r="BX1349" s="452">
        <f t="shared" ref="BX1349:CO1349" ca="1" si="1618">($E$1349="да")* (SUM(BU1348:BX1348) * (1 + $E$1305) / (Required_Rate_of_Return- $E$1305)+Cash_EoP*($E$1343=1))  * Flag_Last_Operations</f>
        <v>0</v>
      </c>
      <c r="BY1349" s="452">
        <f t="shared" ca="1" si="1618"/>
        <v>0</v>
      </c>
      <c r="BZ1349" s="452">
        <f t="shared" ca="1" si="1618"/>
        <v>0</v>
      </c>
      <c r="CA1349" s="452">
        <f t="shared" ca="1" si="1618"/>
        <v>0</v>
      </c>
      <c r="CB1349" s="452">
        <f t="shared" ca="1" si="1618"/>
        <v>0</v>
      </c>
      <c r="CC1349" s="452">
        <f t="shared" ca="1" si="1618"/>
        <v>0</v>
      </c>
      <c r="CD1349" s="452">
        <f t="shared" ca="1" si="1618"/>
        <v>0</v>
      </c>
      <c r="CE1349" s="452">
        <f t="shared" ca="1" si="1618"/>
        <v>0</v>
      </c>
      <c r="CF1349" s="452">
        <f t="shared" ca="1" si="1618"/>
        <v>0</v>
      </c>
      <c r="CG1349" s="452">
        <f t="shared" ca="1" si="1618"/>
        <v>0</v>
      </c>
      <c r="CH1349" s="452">
        <f t="shared" ca="1" si="1618"/>
        <v>0</v>
      </c>
      <c r="CI1349" s="452">
        <f t="shared" ca="1" si="1618"/>
        <v>0</v>
      </c>
      <c r="CJ1349" s="452">
        <f t="shared" ca="1" si="1618"/>
        <v>0</v>
      </c>
      <c r="CK1349" s="452">
        <f t="shared" ca="1" si="1618"/>
        <v>0</v>
      </c>
      <c r="CL1349" s="452">
        <f t="shared" ca="1" si="1618"/>
        <v>0</v>
      </c>
      <c r="CM1349" s="452">
        <f t="shared" ca="1" si="1618"/>
        <v>0</v>
      </c>
      <c r="CN1349" s="452">
        <f t="shared" ca="1" si="1618"/>
        <v>0</v>
      </c>
      <c r="CO1349" s="452">
        <f t="shared" ca="1" si="1618"/>
        <v>4553152.7420471264</v>
      </c>
    </row>
    <row r="1350" spans="1:94" ht="15.75" thickTop="1">
      <c r="A1350" s="35"/>
      <c r="B1350" s="35"/>
      <c r="C1350" s="49" t="s">
        <v>424</v>
      </c>
      <c r="D1350" s="49"/>
      <c r="E1350" s="105"/>
      <c r="F1350" s="49"/>
      <c r="G1350" s="137"/>
      <c r="H1350" s="49"/>
      <c r="I1350" s="372">
        <f t="shared" ca="1" si="1601"/>
        <v>12920682.876891095</v>
      </c>
      <c r="J1350" s="49"/>
      <c r="K1350" s="49"/>
      <c r="L1350" s="174">
        <f ca="1">SUM(L1348:L1349)</f>
        <v>-20231.553412960755</v>
      </c>
      <c r="M1350" s="174">
        <f t="shared" ref="M1350:BX1350" ca="1" si="1619">SUM(M1348:M1349)</f>
        <v>-20518.738035800307</v>
      </c>
      <c r="N1350" s="174">
        <f t="shared" ca="1" si="1619"/>
        <v>-20809.999212027134</v>
      </c>
      <c r="O1350" s="174">
        <f t="shared" ca="1" si="1619"/>
        <v>-21105.394807857592</v>
      </c>
      <c r="P1350" s="174">
        <f t="shared" ca="1" si="1619"/>
        <v>-177490.49062476435</v>
      </c>
      <c r="Q1350" s="174">
        <f t="shared" ca="1" si="1619"/>
        <v>-179239.37658746613</v>
      </c>
      <c r="R1350" s="174">
        <f t="shared" ca="1" si="1619"/>
        <v>-181005.49503456618</v>
      </c>
      <c r="S1350" s="174">
        <f t="shared" ca="1" si="1619"/>
        <v>-182789.01576473904</v>
      </c>
      <c r="T1350" s="174">
        <f t="shared" ca="1" si="1619"/>
        <v>-130039.94106789649</v>
      </c>
      <c r="U1350" s="174">
        <f t="shared" ca="1" si="1619"/>
        <v>-4081.8183296468633</v>
      </c>
      <c r="V1350" s="174">
        <f t="shared" ca="1" si="1619"/>
        <v>-6606.2474292372353</v>
      </c>
      <c r="W1350" s="174">
        <f t="shared" ca="1" si="1619"/>
        <v>-9110.2536325762339</v>
      </c>
      <c r="X1350" s="174">
        <f t="shared" ca="1" si="1619"/>
        <v>-12692.548261457414</v>
      </c>
      <c r="Y1350" s="174">
        <f t="shared" ca="1" si="1619"/>
        <v>-17515.602992825618</v>
      </c>
      <c r="Z1350" s="174">
        <f t="shared" ca="1" si="1619"/>
        <v>-22632.183234954195</v>
      </c>
      <c r="AA1350" s="174">
        <f t="shared" ca="1" si="1619"/>
        <v>-27604.803493227286</v>
      </c>
      <c r="AB1350" s="174">
        <f t="shared" ca="1" si="1619"/>
        <v>-33905.106118287891</v>
      </c>
      <c r="AC1350" s="174">
        <f t="shared" ca="1" si="1619"/>
        <v>93057.141870167339</v>
      </c>
      <c r="AD1350" s="174">
        <f t="shared" ca="1" si="1619"/>
        <v>48198.250986902334</v>
      </c>
      <c r="AE1350" s="174">
        <f t="shared" ca="1" si="1619"/>
        <v>29733.466299711523</v>
      </c>
      <c r="AF1350" s="174">
        <f t="shared" ca="1" si="1619"/>
        <v>16603.06793925575</v>
      </c>
      <c r="AG1350" s="174">
        <f t="shared" ca="1" si="1619"/>
        <v>18528.165154957809</v>
      </c>
      <c r="AH1350" s="174">
        <f t="shared" ca="1" si="1619"/>
        <v>35950.871996507514</v>
      </c>
      <c r="AI1350" s="174">
        <f t="shared" ca="1" si="1619"/>
        <v>34592.844168954645</v>
      </c>
      <c r="AJ1350" s="174">
        <f t="shared" ca="1" si="1619"/>
        <v>19282.548891160492</v>
      </c>
      <c r="AK1350" s="174">
        <f t="shared" ca="1" si="1619"/>
        <v>21420.123084138846</v>
      </c>
      <c r="AL1350" s="174">
        <f t="shared" ca="1" si="1619"/>
        <v>41412.078988161404</v>
      </c>
      <c r="AM1350" s="174">
        <f t="shared" ca="1" si="1619"/>
        <v>39790.350197499094</v>
      </c>
      <c r="AN1350" s="174">
        <f t="shared" ca="1" si="1619"/>
        <v>22319.065885982287</v>
      </c>
      <c r="AO1350" s="174">
        <f t="shared" ca="1" si="1619"/>
        <v>24511.678439912386</v>
      </c>
      <c r="AP1350" s="174">
        <f t="shared" ca="1" si="1619"/>
        <v>46651.129526172066</v>
      </c>
      <c r="AQ1350" s="174">
        <f t="shared" ca="1" si="1619"/>
        <v>44197.394445630081</v>
      </c>
      <c r="AR1350" s="174">
        <f t="shared" ca="1" si="1619"/>
        <v>23986.050021722534</v>
      </c>
      <c r="AS1350" s="174">
        <f t="shared" ca="1" si="1619"/>
        <v>25538.692478539961</v>
      </c>
      <c r="AT1350" s="174">
        <f t="shared" ca="1" si="1619"/>
        <v>95535.291657852416</v>
      </c>
      <c r="AU1350" s="174">
        <f t="shared" ca="1" si="1619"/>
        <v>270711.13427012885</v>
      </c>
      <c r="AV1350" s="174">
        <f t="shared" ca="1" si="1619"/>
        <v>145517.4626241998</v>
      </c>
      <c r="AW1350" s="174">
        <f t="shared" ca="1" si="1619"/>
        <v>182387.59892833943</v>
      </c>
      <c r="AX1350" s="174">
        <f t="shared" ca="1" si="1619"/>
        <v>273026.89898316731</v>
      </c>
      <c r="AY1350" s="174">
        <f t="shared" ca="1" si="1619"/>
        <v>160610.0942033137</v>
      </c>
      <c r="AZ1350" s="174">
        <f t="shared" ca="1" si="1619"/>
        <v>90746.681474151221</v>
      </c>
      <c r="BA1350" s="174">
        <f t="shared" ca="1" si="1619"/>
        <v>140327.30961439823</v>
      </c>
      <c r="BB1350" s="174">
        <f t="shared" ca="1" si="1619"/>
        <v>273441.40717452578</v>
      </c>
      <c r="BC1350" s="174">
        <f t="shared" ca="1" si="1619"/>
        <v>167027.39986984793</v>
      </c>
      <c r="BD1350" s="174">
        <f t="shared" ca="1" si="1619"/>
        <v>95677.102949824475</v>
      </c>
      <c r="BE1350" s="174">
        <f t="shared" ca="1" si="1619"/>
        <v>144587.40117527739</v>
      </c>
      <c r="BF1350" s="174">
        <f t="shared" ca="1" si="1619"/>
        <v>283339.07755339483</v>
      </c>
      <c r="BG1350" s="174">
        <f t="shared" ca="1" si="1619"/>
        <v>172668.51570028992</v>
      </c>
      <c r="BH1350" s="174">
        <f t="shared" ca="1" si="1619"/>
        <v>97093.665388560941</v>
      </c>
      <c r="BI1350" s="174">
        <f t="shared" ca="1" si="1619"/>
        <v>150722.0289987888</v>
      </c>
      <c r="BJ1350" s="174">
        <f t="shared" ca="1" si="1619"/>
        <v>294700.16257395281</v>
      </c>
      <c r="BK1350" s="174">
        <f t="shared" ca="1" si="1619"/>
        <v>179602.77227321346</v>
      </c>
      <c r="BL1350" s="174">
        <f t="shared" ca="1" si="1619"/>
        <v>101010.04112024038</v>
      </c>
      <c r="BM1350" s="174">
        <f t="shared" ca="1" si="1619"/>
        <v>156784.45144098948</v>
      </c>
      <c r="BN1350" s="174">
        <f t="shared" ca="1" si="1619"/>
        <v>306522.6543072628</v>
      </c>
      <c r="BO1350" s="174">
        <f t="shared" ca="1" si="1619"/>
        <v>177777.08616391147</v>
      </c>
      <c r="BP1350" s="174">
        <f t="shared" ca="1" si="1619"/>
        <v>97479.370084233102</v>
      </c>
      <c r="BQ1350" s="174">
        <f t="shared" ca="1" si="1619"/>
        <v>147496.84938078091</v>
      </c>
      <c r="BR1350" s="174">
        <f t="shared" ca="1" si="1619"/>
        <v>278245.88708535017</v>
      </c>
      <c r="BS1350" s="174">
        <f t="shared" ca="1" si="1619"/>
        <v>176430.29235447774</v>
      </c>
      <c r="BT1350" s="174">
        <f t="shared" ca="1" si="1619"/>
        <v>94568.477972540364</v>
      </c>
      <c r="BU1350" s="174">
        <f t="shared" ca="1" si="1619"/>
        <v>144907.78111575436</v>
      </c>
      <c r="BV1350" s="174">
        <f t="shared" ca="1" si="1619"/>
        <v>290142.81625441811</v>
      </c>
      <c r="BW1350" s="174">
        <f t="shared" ca="1" si="1619"/>
        <v>184249.96053286913</v>
      </c>
      <c r="BX1350" s="174">
        <f t="shared" ca="1" si="1619"/>
        <v>97648.295518110244</v>
      </c>
      <c r="BY1350" s="174">
        <f t="shared" ref="BY1350:CO1350" ca="1" si="1620">SUM(BY1348:BY1349)</f>
        <v>151770.83585332028</v>
      </c>
      <c r="BZ1350" s="174">
        <f t="shared" ca="1" si="1620"/>
        <v>302440.46734145656</v>
      </c>
      <c r="CA1350" s="174">
        <f t="shared" ca="1" si="1620"/>
        <v>192307.85374290359</v>
      </c>
      <c r="CB1350" s="174">
        <f t="shared" ca="1" si="1620"/>
        <v>102248.94821865222</v>
      </c>
      <c r="CC1350" s="174">
        <f t="shared" ca="1" si="1620"/>
        <v>158541.06086534384</v>
      </c>
      <c r="CD1350" s="174">
        <f t="shared" ca="1" si="1620"/>
        <v>315242.09100794845</v>
      </c>
      <c r="CE1350" s="174">
        <f t="shared" ca="1" si="1620"/>
        <v>200699.82662151247</v>
      </c>
      <c r="CF1350" s="174">
        <f t="shared" ca="1" si="1620"/>
        <v>107016.58280527144</v>
      </c>
      <c r="CG1350" s="174">
        <f t="shared" ca="1" si="1620"/>
        <v>165564.89886920995</v>
      </c>
      <c r="CH1350" s="174">
        <f t="shared" ca="1" si="1620"/>
        <v>328538.39464533399</v>
      </c>
      <c r="CI1350" s="174">
        <f t="shared" ca="1" si="1620"/>
        <v>209410.09343949924</v>
      </c>
      <c r="CJ1350" s="174">
        <f t="shared" ca="1" si="1620"/>
        <v>113577.58786442541</v>
      </c>
      <c r="CK1350" s="174">
        <f t="shared" ca="1" si="1620"/>
        <v>172449.24687161582</v>
      </c>
      <c r="CL1350" s="174">
        <f t="shared" ca="1" si="1620"/>
        <v>342372.8721207974</v>
      </c>
      <c r="CM1350" s="174">
        <f t="shared" ca="1" si="1620"/>
        <v>218474.8026703553</v>
      </c>
      <c r="CN1350" s="174">
        <f t="shared" ca="1" si="1620"/>
        <v>117079.85311511871</v>
      </c>
      <c r="CO1350" s="174">
        <f t="shared" ca="1" si="1620"/>
        <v>4733567.1397590777</v>
      </c>
    </row>
    <row r="1351" spans="1:94">
      <c r="A1351" s="10"/>
      <c r="B1351" s="10"/>
      <c r="C1351" s="17"/>
      <c r="D1351" s="10"/>
      <c r="E1351" s="62"/>
      <c r="F1351" s="10"/>
      <c r="G1351" s="11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0"/>
      <c r="AH1351" s="10"/>
      <c r="AI1351" s="10"/>
      <c r="AJ1351" s="10"/>
      <c r="AK1351" s="10"/>
      <c r="AL1351" s="10"/>
      <c r="AM1351" s="10"/>
      <c r="AN1351" s="10"/>
      <c r="AO1351" s="10"/>
      <c r="AP1351" s="10"/>
      <c r="AQ1351" s="10"/>
      <c r="AR1351" s="10"/>
      <c r="AS1351" s="10"/>
      <c r="AT1351" s="10"/>
      <c r="AU1351" s="10"/>
      <c r="AV1351" s="10"/>
      <c r="AW1351" s="10"/>
      <c r="AX1351" s="10"/>
      <c r="AY1351" s="10"/>
      <c r="AZ1351" s="10"/>
      <c r="BA1351" s="10"/>
      <c r="BB1351" s="10"/>
      <c r="BC1351" s="10"/>
      <c r="BD1351" s="10"/>
      <c r="BE1351" s="10"/>
      <c r="BF1351" s="10"/>
      <c r="BG1351" s="10"/>
      <c r="BH1351" s="10"/>
      <c r="BI1351" s="10"/>
      <c r="BJ1351" s="10"/>
      <c r="BK1351" s="10"/>
      <c r="BL1351" s="10"/>
      <c r="BM1351" s="10"/>
      <c r="BN1351" s="10"/>
      <c r="BO1351" s="10"/>
      <c r="BP1351" s="10"/>
      <c r="BQ1351" s="10"/>
      <c r="BR1351" s="10"/>
      <c r="BS1351" s="10"/>
      <c r="BT1351" s="10"/>
      <c r="BU1351" s="10"/>
      <c r="BV1351" s="10"/>
      <c r="BW1351" s="10"/>
      <c r="BX1351" s="10"/>
      <c r="BY1351" s="10"/>
      <c r="BZ1351" s="10"/>
      <c r="CA1351" s="10"/>
      <c r="CB1351" s="10"/>
      <c r="CC1351" s="10"/>
      <c r="CD1351" s="10"/>
      <c r="CE1351" s="10"/>
      <c r="CF1351" s="10"/>
      <c r="CG1351" s="10"/>
      <c r="CH1351" s="10"/>
      <c r="CI1351" s="10"/>
      <c r="CJ1351" s="10"/>
      <c r="CK1351" s="10"/>
      <c r="CL1351" s="10"/>
      <c r="CM1351" s="10"/>
      <c r="CN1351" s="10"/>
      <c r="CO1351" s="10"/>
    </row>
    <row r="1352" spans="1:94">
      <c r="A1352" s="10"/>
      <c r="B1352" s="10"/>
      <c r="C1352" s="17" t="s">
        <v>425</v>
      </c>
      <c r="D1352" s="10"/>
      <c r="E1352" s="62"/>
      <c r="F1352" s="10"/>
      <c r="G1352" s="11"/>
      <c r="H1352" s="10"/>
      <c r="I1352" s="10"/>
      <c r="J1352" s="10"/>
      <c r="K1352" s="10"/>
      <c r="L1352" s="35">
        <f>L1315</f>
        <v>2025</v>
      </c>
      <c r="M1352" s="35">
        <f t="shared" ref="M1352:BX1352" si="1621">M1315</f>
        <v>2026</v>
      </c>
      <c r="N1352" s="35">
        <f t="shared" si="1621"/>
        <v>2027</v>
      </c>
      <c r="O1352" s="35">
        <f t="shared" si="1621"/>
        <v>2028</v>
      </c>
      <c r="P1352" s="35">
        <f t="shared" si="1621"/>
        <v>2029</v>
      </c>
      <c r="Q1352" s="35">
        <f t="shared" si="1621"/>
        <v>2030</v>
      </c>
      <c r="R1352" s="35">
        <f t="shared" si="1621"/>
        <v>2031</v>
      </c>
      <c r="S1352" s="35">
        <f t="shared" si="1621"/>
        <v>2032</v>
      </c>
      <c r="T1352" s="35">
        <f t="shared" si="1621"/>
        <v>2033</v>
      </c>
      <c r="U1352" s="35">
        <f t="shared" si="1621"/>
        <v>2034</v>
      </c>
      <c r="V1352" s="35">
        <f t="shared" si="1621"/>
        <v>2035</v>
      </c>
      <c r="W1352" s="35">
        <f t="shared" si="1621"/>
        <v>2036</v>
      </c>
      <c r="X1352" s="35">
        <f t="shared" si="1621"/>
        <v>2037</v>
      </c>
      <c r="Y1352" s="35">
        <f t="shared" si="1621"/>
        <v>2038</v>
      </c>
      <c r="Z1352" s="35">
        <f t="shared" si="1621"/>
        <v>2039</v>
      </c>
      <c r="AA1352" s="35">
        <f t="shared" si="1621"/>
        <v>2040</v>
      </c>
      <c r="AB1352" s="35">
        <f t="shared" si="1621"/>
        <v>2041</v>
      </c>
      <c r="AC1352" s="35">
        <f t="shared" si="1621"/>
        <v>2042</v>
      </c>
      <c r="AD1352" s="35">
        <f t="shared" si="1621"/>
        <v>2043</v>
      </c>
      <c r="AE1352" s="35">
        <f t="shared" si="1621"/>
        <v>2044</v>
      </c>
      <c r="AF1352" s="35">
        <f t="shared" si="1621"/>
        <v>2045</v>
      </c>
      <c r="AG1352" s="35">
        <f t="shared" si="1621"/>
        <v>2046</v>
      </c>
      <c r="AH1352" s="35">
        <f t="shared" si="1621"/>
        <v>2047</v>
      </c>
      <c r="AI1352" s="35">
        <f t="shared" si="1621"/>
        <v>2048</v>
      </c>
      <c r="AJ1352" s="35">
        <f t="shared" si="1621"/>
        <v>2049</v>
      </c>
      <c r="AK1352" s="35">
        <f t="shared" si="1621"/>
        <v>0</v>
      </c>
      <c r="AL1352" s="35">
        <f t="shared" si="1621"/>
        <v>0</v>
      </c>
      <c r="AM1352" s="35">
        <f t="shared" si="1621"/>
        <v>0</v>
      </c>
      <c r="AN1352" s="35">
        <f t="shared" si="1621"/>
        <v>0</v>
      </c>
      <c r="AO1352" s="35">
        <f t="shared" si="1621"/>
        <v>0</v>
      </c>
      <c r="AP1352" s="35">
        <f t="shared" si="1621"/>
        <v>0</v>
      </c>
      <c r="AQ1352" s="35">
        <f t="shared" si="1621"/>
        <v>0</v>
      </c>
      <c r="AR1352" s="35">
        <f t="shared" si="1621"/>
        <v>0</v>
      </c>
      <c r="AS1352" s="35">
        <f t="shared" si="1621"/>
        <v>0</v>
      </c>
      <c r="AT1352" s="35">
        <f t="shared" si="1621"/>
        <v>0</v>
      </c>
      <c r="AU1352" s="35">
        <f t="shared" si="1621"/>
        <v>0</v>
      </c>
      <c r="AV1352" s="35">
        <f t="shared" si="1621"/>
        <v>0</v>
      </c>
      <c r="AW1352" s="35">
        <f t="shared" si="1621"/>
        <v>0</v>
      </c>
      <c r="AX1352" s="35">
        <f t="shared" si="1621"/>
        <v>0</v>
      </c>
      <c r="AY1352" s="35">
        <f t="shared" si="1621"/>
        <v>0</v>
      </c>
      <c r="AZ1352" s="35">
        <f t="shared" si="1621"/>
        <v>0</v>
      </c>
      <c r="BA1352" s="35">
        <f t="shared" si="1621"/>
        <v>0</v>
      </c>
      <c r="BB1352" s="35">
        <f t="shared" si="1621"/>
        <v>0</v>
      </c>
      <c r="BC1352" s="35">
        <f t="shared" si="1621"/>
        <v>0</v>
      </c>
      <c r="BD1352" s="35">
        <f t="shared" si="1621"/>
        <v>0</v>
      </c>
      <c r="BE1352" s="35">
        <f t="shared" si="1621"/>
        <v>0</v>
      </c>
      <c r="BF1352" s="35">
        <f t="shared" si="1621"/>
        <v>0</v>
      </c>
      <c r="BG1352" s="35">
        <f t="shared" si="1621"/>
        <v>0</v>
      </c>
      <c r="BH1352" s="35">
        <f t="shared" si="1621"/>
        <v>0</v>
      </c>
      <c r="BI1352" s="35">
        <f t="shared" si="1621"/>
        <v>0</v>
      </c>
      <c r="BJ1352" s="35">
        <f t="shared" si="1621"/>
        <v>0</v>
      </c>
      <c r="BK1352" s="35">
        <f t="shared" si="1621"/>
        <v>0</v>
      </c>
      <c r="BL1352" s="35">
        <f t="shared" si="1621"/>
        <v>0</v>
      </c>
      <c r="BM1352" s="35">
        <f t="shared" si="1621"/>
        <v>0</v>
      </c>
      <c r="BN1352" s="35">
        <f t="shared" si="1621"/>
        <v>0</v>
      </c>
      <c r="BO1352" s="35">
        <f t="shared" si="1621"/>
        <v>0</v>
      </c>
      <c r="BP1352" s="35">
        <f t="shared" si="1621"/>
        <v>0</v>
      </c>
      <c r="BQ1352" s="35">
        <f t="shared" si="1621"/>
        <v>0</v>
      </c>
      <c r="BR1352" s="35">
        <f t="shared" si="1621"/>
        <v>0</v>
      </c>
      <c r="BS1352" s="35">
        <f t="shared" si="1621"/>
        <v>0</v>
      </c>
      <c r="BT1352" s="35">
        <f t="shared" si="1621"/>
        <v>0</v>
      </c>
      <c r="BU1352" s="35">
        <f t="shared" si="1621"/>
        <v>0</v>
      </c>
      <c r="BV1352" s="35">
        <f t="shared" si="1621"/>
        <v>0</v>
      </c>
      <c r="BW1352" s="35">
        <f t="shared" si="1621"/>
        <v>0</v>
      </c>
      <c r="BX1352" s="35">
        <f t="shared" si="1621"/>
        <v>0</v>
      </c>
      <c r="BY1352" s="35">
        <f t="shared" ref="BY1352:CO1352" si="1622">BY1315</f>
        <v>0</v>
      </c>
      <c r="BZ1352" s="35">
        <f t="shared" si="1622"/>
        <v>0</v>
      </c>
      <c r="CA1352" s="35">
        <f t="shared" si="1622"/>
        <v>0</v>
      </c>
      <c r="CB1352" s="35">
        <f t="shared" si="1622"/>
        <v>0</v>
      </c>
      <c r="CC1352" s="35">
        <f t="shared" si="1622"/>
        <v>0</v>
      </c>
      <c r="CD1352" s="35">
        <f t="shared" si="1622"/>
        <v>0</v>
      </c>
      <c r="CE1352" s="35">
        <f t="shared" si="1622"/>
        <v>0</v>
      </c>
      <c r="CF1352" s="35">
        <f t="shared" si="1622"/>
        <v>0</v>
      </c>
      <c r="CG1352" s="35">
        <f t="shared" si="1622"/>
        <v>0</v>
      </c>
      <c r="CH1352" s="35">
        <f t="shared" si="1622"/>
        <v>0</v>
      </c>
      <c r="CI1352" s="35">
        <f t="shared" si="1622"/>
        <v>0</v>
      </c>
      <c r="CJ1352" s="35">
        <f t="shared" si="1622"/>
        <v>0</v>
      </c>
      <c r="CK1352" s="35">
        <f t="shared" si="1622"/>
        <v>0</v>
      </c>
      <c r="CL1352" s="35">
        <f t="shared" si="1622"/>
        <v>0</v>
      </c>
      <c r="CM1352" s="35">
        <f t="shared" si="1622"/>
        <v>0</v>
      </c>
      <c r="CN1352" s="35">
        <f t="shared" si="1622"/>
        <v>0</v>
      </c>
      <c r="CO1352" s="35">
        <f t="shared" si="1622"/>
        <v>0</v>
      </c>
    </row>
    <row r="1353" spans="1:94">
      <c r="A1353" s="10"/>
      <c r="B1353" s="10"/>
      <c r="C1353" s="17" t="s">
        <v>218</v>
      </c>
      <c r="D1353" s="10"/>
      <c r="E1353" s="106"/>
      <c r="F1353" s="10"/>
      <c r="G1353" s="134" t="str">
        <f>Monetary_Unit</f>
        <v>тыс. руб.</v>
      </c>
      <c r="H1353" s="10"/>
      <c r="I1353" s="23">
        <f ca="1">SUM(L1353:CO1353)</f>
        <v>12920682.876891095</v>
      </c>
      <c r="J1353" s="10"/>
      <c r="K1353" s="10"/>
      <c r="L1353" s="52">
        <f ca="1">SUMIF(Year,L$1352,$L1350:$CO1350)</f>
        <v>-82665.685468645795</v>
      </c>
      <c r="M1353" s="52">
        <f t="shared" ref="M1353:BX1353" ca="1" si="1623">SUMIF(Year,M$1352,$L1350:$CO1350)</f>
        <v>-720524.37801153562</v>
      </c>
      <c r="N1353" s="52">
        <f t="shared" ca="1" si="1623"/>
        <v>-149838.26045935682</v>
      </c>
      <c r="O1353" s="52">
        <f t="shared" ca="1" si="1623"/>
        <v>-80445.137982464512</v>
      </c>
      <c r="P1353" s="52">
        <f t="shared" ca="1" si="1623"/>
        <v>137083.75303849331</v>
      </c>
      <c r="Q1353" s="52">
        <f t="shared" ca="1" si="1623"/>
        <v>105674.94925967572</v>
      </c>
      <c r="R1353" s="52">
        <f t="shared" ca="1" si="1623"/>
        <v>121905.10116095984</v>
      </c>
      <c r="S1353" s="52">
        <f t="shared" ca="1" si="1623"/>
        <v>137679.26829769684</v>
      </c>
      <c r="T1353" s="52">
        <f t="shared" ca="1" si="1623"/>
        <v>415771.16842824378</v>
      </c>
      <c r="U1353" s="52">
        <f t="shared" ca="1" si="1623"/>
        <v>761542.05473902018</v>
      </c>
      <c r="V1353" s="52">
        <f t="shared" ca="1" si="1623"/>
        <v>671542.7981329232</v>
      </c>
      <c r="W1353" s="52">
        <f t="shared" ca="1" si="1623"/>
        <v>696272.09737878665</v>
      </c>
      <c r="X1353" s="52">
        <f t="shared" ca="1" si="1623"/>
        <v>722118.62923451606</v>
      </c>
      <c r="Y1353" s="52">
        <f t="shared" ca="1" si="1623"/>
        <v>742094.23303240421</v>
      </c>
      <c r="Z1353" s="52">
        <f t="shared" ca="1" si="1623"/>
        <v>699652.39890484186</v>
      </c>
      <c r="AA1353" s="52">
        <f t="shared" ca="1" si="1623"/>
        <v>713869.0358755819</v>
      </c>
      <c r="AB1353" s="52">
        <f t="shared" ca="1" si="1623"/>
        <v>744167.45245579071</v>
      </c>
      <c r="AC1353" s="52">
        <f t="shared" ca="1" si="1623"/>
        <v>776731.92671345687</v>
      </c>
      <c r="AD1353" s="52">
        <f t="shared" ca="1" si="1623"/>
        <v>810529.96975931467</v>
      </c>
      <c r="AE1353" s="52">
        <f t="shared" ca="1" si="1623"/>
        <v>846874.50952719396</v>
      </c>
      <c r="AF1353" s="52">
        <f t="shared" ca="1" si="1623"/>
        <v>4850646.9928741967</v>
      </c>
      <c r="AG1353" s="52">
        <f t="shared" si="1623"/>
        <v>0</v>
      </c>
      <c r="AH1353" s="52">
        <f t="shared" si="1623"/>
        <v>0</v>
      </c>
      <c r="AI1353" s="52">
        <f t="shared" si="1623"/>
        <v>0</v>
      </c>
      <c r="AJ1353" s="52">
        <f t="shared" si="1623"/>
        <v>0</v>
      </c>
      <c r="AK1353" s="52">
        <f t="shared" si="1623"/>
        <v>0</v>
      </c>
      <c r="AL1353" s="52">
        <f t="shared" si="1623"/>
        <v>0</v>
      </c>
      <c r="AM1353" s="52">
        <f t="shared" si="1623"/>
        <v>0</v>
      </c>
      <c r="AN1353" s="52">
        <f t="shared" si="1623"/>
        <v>0</v>
      </c>
      <c r="AO1353" s="52">
        <f t="shared" si="1623"/>
        <v>0</v>
      </c>
      <c r="AP1353" s="52">
        <f t="shared" si="1623"/>
        <v>0</v>
      </c>
      <c r="AQ1353" s="52">
        <f t="shared" si="1623"/>
        <v>0</v>
      </c>
      <c r="AR1353" s="52">
        <f t="shared" si="1623"/>
        <v>0</v>
      </c>
      <c r="AS1353" s="52">
        <f t="shared" si="1623"/>
        <v>0</v>
      </c>
      <c r="AT1353" s="52">
        <f t="shared" si="1623"/>
        <v>0</v>
      </c>
      <c r="AU1353" s="52">
        <f t="shared" si="1623"/>
        <v>0</v>
      </c>
      <c r="AV1353" s="52">
        <f t="shared" si="1623"/>
        <v>0</v>
      </c>
      <c r="AW1353" s="52">
        <f t="shared" si="1623"/>
        <v>0</v>
      </c>
      <c r="AX1353" s="52">
        <f t="shared" si="1623"/>
        <v>0</v>
      </c>
      <c r="AY1353" s="52">
        <f t="shared" si="1623"/>
        <v>0</v>
      </c>
      <c r="AZ1353" s="52">
        <f t="shared" si="1623"/>
        <v>0</v>
      </c>
      <c r="BA1353" s="52">
        <f t="shared" si="1623"/>
        <v>0</v>
      </c>
      <c r="BB1353" s="52">
        <f t="shared" si="1623"/>
        <v>0</v>
      </c>
      <c r="BC1353" s="52">
        <f t="shared" si="1623"/>
        <v>0</v>
      </c>
      <c r="BD1353" s="52">
        <f t="shared" si="1623"/>
        <v>0</v>
      </c>
      <c r="BE1353" s="52">
        <f t="shared" si="1623"/>
        <v>0</v>
      </c>
      <c r="BF1353" s="52">
        <f t="shared" si="1623"/>
        <v>0</v>
      </c>
      <c r="BG1353" s="52">
        <f t="shared" si="1623"/>
        <v>0</v>
      </c>
      <c r="BH1353" s="52">
        <f t="shared" si="1623"/>
        <v>0</v>
      </c>
      <c r="BI1353" s="52">
        <f t="shared" si="1623"/>
        <v>0</v>
      </c>
      <c r="BJ1353" s="52">
        <f t="shared" si="1623"/>
        <v>0</v>
      </c>
      <c r="BK1353" s="52">
        <f t="shared" si="1623"/>
        <v>0</v>
      </c>
      <c r="BL1353" s="52">
        <f t="shared" si="1623"/>
        <v>0</v>
      </c>
      <c r="BM1353" s="52">
        <f t="shared" si="1623"/>
        <v>0</v>
      </c>
      <c r="BN1353" s="52">
        <f t="shared" si="1623"/>
        <v>0</v>
      </c>
      <c r="BO1353" s="52">
        <f t="shared" si="1623"/>
        <v>0</v>
      </c>
      <c r="BP1353" s="52">
        <f t="shared" si="1623"/>
        <v>0</v>
      </c>
      <c r="BQ1353" s="52">
        <f t="shared" si="1623"/>
        <v>0</v>
      </c>
      <c r="BR1353" s="52">
        <f t="shared" si="1623"/>
        <v>0</v>
      </c>
      <c r="BS1353" s="52">
        <f t="shared" si="1623"/>
        <v>0</v>
      </c>
      <c r="BT1353" s="52">
        <f t="shared" si="1623"/>
        <v>0</v>
      </c>
      <c r="BU1353" s="52">
        <f t="shared" si="1623"/>
        <v>0</v>
      </c>
      <c r="BV1353" s="52">
        <f t="shared" si="1623"/>
        <v>0</v>
      </c>
      <c r="BW1353" s="52">
        <f t="shared" si="1623"/>
        <v>0</v>
      </c>
      <c r="BX1353" s="52">
        <f t="shared" si="1623"/>
        <v>0</v>
      </c>
      <c r="BY1353" s="52">
        <f t="shared" ref="BY1353:CO1353" si="1624">SUMIF(Year,BY$1352,$L1350:$CO1350)</f>
        <v>0</v>
      </c>
      <c r="BZ1353" s="52">
        <f t="shared" si="1624"/>
        <v>0</v>
      </c>
      <c r="CA1353" s="52">
        <f t="shared" si="1624"/>
        <v>0</v>
      </c>
      <c r="CB1353" s="52">
        <f t="shared" si="1624"/>
        <v>0</v>
      </c>
      <c r="CC1353" s="52">
        <f t="shared" si="1624"/>
        <v>0</v>
      </c>
      <c r="CD1353" s="52">
        <f t="shared" si="1624"/>
        <v>0</v>
      </c>
      <c r="CE1353" s="52">
        <f t="shared" si="1624"/>
        <v>0</v>
      </c>
      <c r="CF1353" s="52">
        <f t="shared" si="1624"/>
        <v>0</v>
      </c>
      <c r="CG1353" s="52">
        <f t="shared" si="1624"/>
        <v>0</v>
      </c>
      <c r="CH1353" s="52">
        <f t="shared" si="1624"/>
        <v>0</v>
      </c>
      <c r="CI1353" s="52">
        <f t="shared" si="1624"/>
        <v>0</v>
      </c>
      <c r="CJ1353" s="52">
        <f t="shared" si="1624"/>
        <v>0</v>
      </c>
      <c r="CK1353" s="52">
        <f t="shared" si="1624"/>
        <v>0</v>
      </c>
      <c r="CL1353" s="52">
        <f t="shared" si="1624"/>
        <v>0</v>
      </c>
      <c r="CM1353" s="52">
        <f t="shared" si="1624"/>
        <v>0</v>
      </c>
      <c r="CN1353" s="52">
        <f t="shared" si="1624"/>
        <v>0</v>
      </c>
      <c r="CO1353" s="52">
        <f t="shared" si="1624"/>
        <v>0</v>
      </c>
    </row>
    <row r="1354" spans="1:94">
      <c r="A1354" s="10"/>
      <c r="B1354" s="10"/>
      <c r="C1354" s="17"/>
      <c r="D1354" s="10"/>
      <c r="E1354" s="62"/>
      <c r="F1354" s="10"/>
      <c r="G1354" s="11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0"/>
      <c r="AH1354" s="10"/>
      <c r="AI1354" s="10"/>
      <c r="AJ1354" s="10"/>
      <c r="AK1354" s="10"/>
      <c r="AL1354" s="10"/>
      <c r="AM1354" s="10"/>
      <c r="AN1354" s="10"/>
      <c r="AO1354" s="10"/>
      <c r="AP1354" s="10"/>
      <c r="AQ1354" s="10"/>
      <c r="AR1354" s="10"/>
      <c r="AS1354" s="10"/>
      <c r="AT1354" s="10"/>
      <c r="AU1354" s="10"/>
      <c r="AV1354" s="10"/>
      <c r="AW1354" s="10"/>
      <c r="AX1354" s="10"/>
      <c r="AY1354" s="10"/>
      <c r="AZ1354" s="10"/>
      <c r="BA1354" s="10"/>
      <c r="BB1354" s="10"/>
      <c r="BC1354" s="10"/>
      <c r="BD1354" s="10"/>
      <c r="BE1354" s="10"/>
      <c r="BF1354" s="10"/>
      <c r="BG1354" s="10"/>
      <c r="BH1354" s="10"/>
      <c r="BI1354" s="10"/>
      <c r="BJ1354" s="10"/>
      <c r="BK1354" s="10"/>
      <c r="BL1354" s="10"/>
      <c r="BM1354" s="10"/>
      <c r="BN1354" s="10"/>
      <c r="BO1354" s="10"/>
      <c r="BP1354" s="10"/>
      <c r="BQ1354" s="10"/>
      <c r="BR1354" s="10"/>
      <c r="BS1354" s="10"/>
      <c r="BT1354" s="10"/>
      <c r="BU1354" s="10"/>
      <c r="BV1354" s="10"/>
      <c r="BW1354" s="10"/>
      <c r="BX1354" s="10"/>
      <c r="BY1354" s="10"/>
      <c r="BZ1354" s="10"/>
      <c r="CA1354" s="10"/>
      <c r="CB1354" s="10"/>
      <c r="CC1354" s="10"/>
      <c r="CD1354" s="10"/>
      <c r="CE1354" s="10"/>
      <c r="CF1354" s="10"/>
      <c r="CG1354" s="10"/>
      <c r="CH1354" s="10"/>
      <c r="CI1354" s="10"/>
      <c r="CJ1354" s="10"/>
      <c r="CK1354" s="10"/>
      <c r="CL1354" s="10"/>
      <c r="CM1354" s="10"/>
      <c r="CN1354" s="10"/>
      <c r="CO1354" s="10"/>
    </row>
    <row r="1355" spans="1:94">
      <c r="A1355" s="10"/>
      <c r="B1355" s="10"/>
      <c r="C1355" s="17" t="s">
        <v>523</v>
      </c>
      <c r="D1355" s="10"/>
      <c r="E1355" s="62"/>
      <c r="F1355" s="10"/>
      <c r="G1355" s="134" t="str">
        <f>Monetary_Unit</f>
        <v>тыс. руб.</v>
      </c>
      <c r="H1355" s="10"/>
      <c r="I1355" s="10"/>
      <c r="J1355" s="10"/>
      <c r="K1355" s="10"/>
      <c r="L1355" s="10">
        <f ca="1">NPV(WACC,$L1353:L1353)*(L1353&lt;&gt;0)</f>
        <v>-76212.31527245231</v>
      </c>
      <c r="M1355" s="10">
        <f ca="1">NPV(WACC,$L1353:M1353)*(M1353&lt;&gt;0)</f>
        <v>-688631.02101646946</v>
      </c>
      <c r="N1355" s="10">
        <f ca="1">NPV(WACC,$L1353:N1353)*(N1353&lt;&gt;0)</f>
        <v>-806045.69449319376</v>
      </c>
      <c r="O1355" s="10">
        <f ca="1">NPV(WACC,$L1353:O1353)*(O1353&lt;&gt;0)</f>
        <v>-864162.17919895041</v>
      </c>
      <c r="P1355" s="10">
        <f ca="1">NPV(WACC,$L1353:P1353)*(P1353&lt;&gt;0)</f>
        <v>-772859.10380525375</v>
      </c>
      <c r="Q1355" s="10">
        <f ca="1">NPV(WACC,$L1353:Q1353)*(Q1353&lt;&gt;0)</f>
        <v>-707970.06330144859</v>
      </c>
      <c r="R1355" s="10">
        <f ca="1">NPV(WACC,$L1353:R1353)*(R1353&lt;&gt;0)</f>
        <v>-638958.62676853302</v>
      </c>
      <c r="S1355" s="10">
        <f ca="1">NPV(WACC,$L1353:S1353)*(S1353&lt;&gt;0)</f>
        <v>-567101.86830102396</v>
      </c>
      <c r="T1355" s="10">
        <f ca="1">NPV(WACC,$L1353:T1353)*(T1353&lt;&gt;0)</f>
        <v>-367045.06422464841</v>
      </c>
      <c r="U1355" s="10">
        <f ca="1">NPV(WACC,$L1353:U1353)*(U1353&lt;&gt;0)</f>
        <v>-29219.32778545763</v>
      </c>
      <c r="V1355" s="10">
        <f ca="1">NPV(WACC,$L1353:V1353)*(V1353&lt;&gt;0)</f>
        <v>245426.12993135722</v>
      </c>
      <c r="W1355" s="10">
        <f ca="1">NPV(WACC,$L1353:W1353)*(W1353&lt;&gt;0)</f>
        <v>507955.32099207537</v>
      </c>
      <c r="X1355" s="10">
        <f ca="1">NPV(WACC,$L1353:X1353)*(X1353&lt;&gt;0)</f>
        <v>758974.57930795848</v>
      </c>
      <c r="Y1355" s="10">
        <f ca="1">NPV(WACC,$L1353:Y1353)*(Y1353&lt;&gt;0)</f>
        <v>996799.54000162007</v>
      </c>
      <c r="Z1355" s="10">
        <f ca="1">NPV(WACC,$L1353:Z1353)*(Z1353&lt;&gt;0)</f>
        <v>1203518.6319712417</v>
      </c>
      <c r="AA1355" s="10">
        <f ca="1">NPV(WACC,$L1353:AA1353)*(AA1353&lt;&gt;0)</f>
        <v>1397972.5463597258</v>
      </c>
      <c r="AB1355" s="10">
        <f ca="1">NPV(WACC,$L1353:AB1353)*(AB1353&lt;&gt;0)</f>
        <v>1584855.0745368402</v>
      </c>
      <c r="AC1355" s="10">
        <f ca="1">NPV(WACC,$L1353:AC1353)*(AC1353&lt;&gt;0)</f>
        <v>1764687.9423379682</v>
      </c>
      <c r="AD1355" s="10">
        <f ca="1">NPV(WACC,$L1353:AD1353)*(AD1353&lt;&gt;0)</f>
        <v>1937696.2170092117</v>
      </c>
      <c r="AE1355" s="10">
        <f ca="1">NPV(WACC,$L1353:AE1353)*(AE1353&lt;&gt;0)</f>
        <v>2104350.6009449312</v>
      </c>
      <c r="AF1355" s="10">
        <f ca="1">NPV(WACC,$L1353:AF1353)*(AF1353&lt;&gt;0)</f>
        <v>2984380.1106405165</v>
      </c>
      <c r="AG1355" s="10">
        <f ca="1">NPV(WACC,$L1353:AG1353)*(AG1353&lt;&gt;0)</f>
        <v>0</v>
      </c>
      <c r="AH1355" s="10">
        <f ca="1">NPV(WACC,$L1353:AH1353)*(AH1353&lt;&gt;0)</f>
        <v>0</v>
      </c>
      <c r="AI1355" s="10">
        <f ca="1">NPV(WACC,$L1353:AI1353)*(AI1353&lt;&gt;0)</f>
        <v>0</v>
      </c>
      <c r="AJ1355" s="10">
        <f ca="1">NPV(WACC,$L1353:AJ1353)*(AJ1353&lt;&gt;0)</f>
        <v>0</v>
      </c>
      <c r="AK1355" s="10">
        <f ca="1">NPV(WACC,$L1353:AK1353)*(AK1353&lt;&gt;0)</f>
        <v>0</v>
      </c>
      <c r="AL1355" s="10">
        <f ca="1">NPV(WACC,$L1353:AL1353)*(AL1353&lt;&gt;0)</f>
        <v>0</v>
      </c>
      <c r="AM1355" s="10">
        <f ca="1">NPV(WACC,$L1353:AM1353)*(AM1353&lt;&gt;0)</f>
        <v>0</v>
      </c>
      <c r="AN1355" s="10">
        <f ca="1">NPV(WACC,$L1353:AN1353)*(AN1353&lt;&gt;0)</f>
        <v>0</v>
      </c>
      <c r="AO1355" s="10">
        <f ca="1">NPV(WACC,$L1353:AO1353)*(AO1353&lt;&gt;0)</f>
        <v>0</v>
      </c>
      <c r="AP1355" s="10">
        <f ca="1">NPV(WACC,$L1353:AP1353)*(AP1353&lt;&gt;0)</f>
        <v>0</v>
      </c>
      <c r="AQ1355" s="10">
        <f ca="1">NPV(WACC,$L1353:AQ1353)*(AQ1353&lt;&gt;0)</f>
        <v>0</v>
      </c>
      <c r="AR1355" s="10">
        <f ca="1">NPV(WACC,$L1353:AR1353)*(AR1353&lt;&gt;0)</f>
        <v>0</v>
      </c>
      <c r="AS1355" s="10">
        <f ca="1">NPV(WACC,$L1353:AS1353)*(AS1353&lt;&gt;0)</f>
        <v>0</v>
      </c>
      <c r="AT1355" s="10">
        <f ca="1">NPV(WACC,$L1353:AT1353)*(AT1353&lt;&gt;0)</f>
        <v>0</v>
      </c>
      <c r="AU1355" s="10">
        <f ca="1">NPV(WACC,$L1353:AU1353)*(AU1353&lt;&gt;0)</f>
        <v>0</v>
      </c>
      <c r="AV1355" s="10">
        <f ca="1">NPV(WACC,$L1353:AV1353)*(AV1353&lt;&gt;0)</f>
        <v>0</v>
      </c>
      <c r="AW1355" s="10">
        <f ca="1">NPV(WACC,$L1353:AW1353)*(AW1353&lt;&gt;0)</f>
        <v>0</v>
      </c>
      <c r="AX1355" s="10">
        <f ca="1">NPV(WACC,$L1353:AX1353)*(AX1353&lt;&gt;0)</f>
        <v>0</v>
      </c>
      <c r="AY1355" s="10">
        <f ca="1">NPV(WACC,$L1353:AY1353)*(AY1353&lt;&gt;0)</f>
        <v>0</v>
      </c>
      <c r="AZ1355" s="10">
        <f ca="1">NPV(WACC,$L1353:AZ1353)*(AZ1353&lt;&gt;0)</f>
        <v>0</v>
      </c>
      <c r="BA1355" s="10">
        <f ca="1">NPV(WACC,$L1353:BA1353)*(BA1353&lt;&gt;0)</f>
        <v>0</v>
      </c>
      <c r="BB1355" s="10">
        <f ca="1">NPV(WACC,$L1353:BB1353)*(BB1353&lt;&gt;0)</f>
        <v>0</v>
      </c>
      <c r="BC1355" s="10">
        <f ca="1">NPV(WACC,$L1353:BC1353)*(BC1353&lt;&gt;0)</f>
        <v>0</v>
      </c>
      <c r="BD1355" s="10">
        <f ca="1">NPV(WACC,$L1353:BD1353)*(BD1353&lt;&gt;0)</f>
        <v>0</v>
      </c>
      <c r="BE1355" s="10">
        <f ca="1">NPV(WACC,$L1353:BE1353)*(BE1353&lt;&gt;0)</f>
        <v>0</v>
      </c>
      <c r="BF1355" s="10">
        <f ca="1">NPV(WACC,$L1353:BF1353)*(BF1353&lt;&gt;0)</f>
        <v>0</v>
      </c>
      <c r="BG1355" s="10">
        <f ca="1">NPV(WACC,$L1353:BG1353)*(BG1353&lt;&gt;0)</f>
        <v>0</v>
      </c>
      <c r="BH1355" s="10">
        <f ca="1">NPV(WACC,$L1353:BH1353)*(BH1353&lt;&gt;0)</f>
        <v>0</v>
      </c>
      <c r="BI1355" s="10">
        <f ca="1">NPV(WACC,$L1353:BI1353)*(BI1353&lt;&gt;0)</f>
        <v>0</v>
      </c>
      <c r="BJ1355" s="10">
        <f ca="1">NPV(WACC,$L1353:BJ1353)*(BJ1353&lt;&gt;0)</f>
        <v>0</v>
      </c>
      <c r="BK1355" s="10">
        <f ca="1">NPV(WACC,$L1353:BK1353)*(BK1353&lt;&gt;0)</f>
        <v>0</v>
      </c>
      <c r="BL1355" s="10">
        <f ca="1">NPV(WACC,$L1353:BL1353)*(BL1353&lt;&gt;0)</f>
        <v>0</v>
      </c>
      <c r="BM1355" s="10">
        <f ca="1">NPV(WACC,$L1353:BM1353)*(BM1353&lt;&gt;0)</f>
        <v>0</v>
      </c>
      <c r="BN1355" s="10">
        <f ca="1">NPV(WACC,$L1353:BN1353)*(BN1353&lt;&gt;0)</f>
        <v>0</v>
      </c>
      <c r="BO1355" s="10">
        <f ca="1">NPV(WACC,$L1353:BO1353)*(BO1353&lt;&gt;0)</f>
        <v>0</v>
      </c>
      <c r="BP1355" s="10">
        <f ca="1">NPV(WACC,$L1353:BP1353)*(BP1353&lt;&gt;0)</f>
        <v>0</v>
      </c>
      <c r="BQ1355" s="10">
        <f ca="1">NPV(WACC,$L1353:BQ1353)*(BQ1353&lt;&gt;0)</f>
        <v>0</v>
      </c>
      <c r="BR1355" s="10">
        <f ca="1">NPV(WACC,$L1353:BR1353)*(BR1353&lt;&gt;0)</f>
        <v>0</v>
      </c>
      <c r="BS1355" s="10">
        <f ca="1">NPV(WACC,$L1353:BS1353)*(BS1353&lt;&gt;0)</f>
        <v>0</v>
      </c>
      <c r="BT1355" s="10">
        <f ca="1">NPV(WACC,$L1353:BT1353)*(BT1353&lt;&gt;0)</f>
        <v>0</v>
      </c>
      <c r="BU1355" s="10">
        <f ca="1">NPV(WACC,$L1353:BU1353)*(BU1353&lt;&gt;0)</f>
        <v>0</v>
      </c>
      <c r="BV1355" s="10">
        <f ca="1">NPV(WACC,$L1353:BV1353)*(BV1353&lt;&gt;0)</f>
        <v>0</v>
      </c>
      <c r="BW1355" s="10">
        <f ca="1">NPV(WACC,$L1353:BW1353)*(BW1353&lt;&gt;0)</f>
        <v>0</v>
      </c>
      <c r="BX1355" s="10">
        <f ca="1">NPV(WACC,$L1353:BX1353)*(BX1353&lt;&gt;0)</f>
        <v>0</v>
      </c>
      <c r="BY1355" s="10">
        <f ca="1">NPV(WACC,$L1353:BY1353)*(BY1353&lt;&gt;0)</f>
        <v>0</v>
      </c>
      <c r="BZ1355" s="10">
        <f ca="1">NPV(WACC,$L1353:BZ1353)*(BZ1353&lt;&gt;0)</f>
        <v>0</v>
      </c>
      <c r="CA1355" s="10">
        <f ca="1">NPV(WACC,$L1353:CA1353)*(CA1353&lt;&gt;0)</f>
        <v>0</v>
      </c>
      <c r="CB1355" s="10">
        <f ca="1">NPV(WACC,$L1353:CB1353)*(CB1353&lt;&gt;0)</f>
        <v>0</v>
      </c>
      <c r="CC1355" s="10">
        <f ca="1">NPV(WACC,$L1353:CC1353)*(CC1353&lt;&gt;0)</f>
        <v>0</v>
      </c>
      <c r="CD1355" s="10">
        <f ca="1">NPV(WACC,$L1353:CD1353)*(CD1353&lt;&gt;0)</f>
        <v>0</v>
      </c>
      <c r="CE1355" s="10">
        <f ca="1">NPV(WACC,$L1353:CE1353)*(CE1353&lt;&gt;0)</f>
        <v>0</v>
      </c>
      <c r="CF1355" s="10">
        <f ca="1">NPV(WACC,$L1353:CF1353)*(CF1353&lt;&gt;0)</f>
        <v>0</v>
      </c>
      <c r="CG1355" s="10">
        <f ca="1">NPV(WACC,$L1353:CG1353)*(CG1353&lt;&gt;0)</f>
        <v>0</v>
      </c>
      <c r="CH1355" s="10">
        <f ca="1">NPV(WACC,$L1353:CH1353)*(CH1353&lt;&gt;0)</f>
        <v>0</v>
      </c>
      <c r="CI1355" s="10">
        <f ca="1">NPV(WACC,$L1353:CI1353)*(CI1353&lt;&gt;0)</f>
        <v>0</v>
      </c>
      <c r="CJ1355" s="10">
        <f ca="1">NPV(WACC,$L1353:CJ1353)*(CJ1353&lt;&gt;0)</f>
        <v>0</v>
      </c>
      <c r="CK1355" s="10">
        <f ca="1">NPV(WACC,$L1353:CK1353)*(CK1353&lt;&gt;0)</f>
        <v>0</v>
      </c>
      <c r="CL1355" s="10">
        <f ca="1">NPV(WACC,$L1353:CL1353)*(CL1353&lt;&gt;0)</f>
        <v>0</v>
      </c>
      <c r="CM1355" s="10">
        <f ca="1">NPV(WACC,$L1353:CM1353)*(CM1353&lt;&gt;0)</f>
        <v>0</v>
      </c>
      <c r="CN1355" s="10">
        <f ca="1">NPV(WACC,$L1353:CN1353)*(CN1353&lt;&gt;0)</f>
        <v>0</v>
      </c>
      <c r="CO1355" s="10">
        <f ca="1">NPV(WACC,$L1353:CO1353)*(CO1353&lt;&gt;0)</f>
        <v>0</v>
      </c>
    </row>
    <row r="1356" spans="1:94">
      <c r="A1356" s="10"/>
      <c r="B1356" s="10"/>
      <c r="C1356" s="17" t="s">
        <v>524</v>
      </c>
      <c r="D1356" s="10"/>
      <c r="E1356" s="62"/>
      <c r="F1356" s="10"/>
      <c r="G1356" s="11" t="s">
        <v>28</v>
      </c>
      <c r="H1356" s="10"/>
      <c r="I1356" s="10"/>
      <c r="J1356" s="10"/>
      <c r="K1356" s="10"/>
      <c r="L1356" s="58">
        <f ca="1">IFERROR(IRR($L1353:L1353),0)*(L1353&lt;&gt;0)</f>
        <v>0</v>
      </c>
      <c r="M1356" s="58">
        <f ca="1">IFERROR(IRR($L1353:M1353),0)*(M1353&lt;&gt;0)</f>
        <v>0</v>
      </c>
      <c r="N1356" s="58">
        <f ca="1">IFERROR(IRR($L1353:N1353),0)*(N1353&lt;&gt;0)</f>
        <v>0</v>
      </c>
      <c r="O1356" s="58">
        <f ca="1">IFERROR(IRR($L1353:O1353),0)*(O1353&lt;&gt;0)</f>
        <v>0</v>
      </c>
      <c r="P1356" s="58">
        <f ca="1">IFERROR(IRR($L1353:P1353),0)*(P1353&lt;&gt;0)</f>
        <v>0</v>
      </c>
      <c r="Q1356" s="58">
        <f ca="1">IFERROR(IRR($L1353:Q1353),0)*(Q1353&lt;&gt;0)</f>
        <v>-0.36899602101729612</v>
      </c>
      <c r="R1356" s="58">
        <f ca="1">IFERROR(IRR($L1353:R1353),0)*(R1353&lt;&gt;0)</f>
        <v>-0.24179283886535174</v>
      </c>
      <c r="S1356" s="58">
        <f ca="1">IFERROR(IRR($L1353:S1353),0)*(S1353&lt;&gt;0)</f>
        <v>-0.15231669883081733</v>
      </c>
      <c r="T1356" s="58">
        <f ca="1">IFERROR(IRR($L1353:T1353),0)*(T1353&lt;&gt;0)</f>
        <v>-2.1520734882484849E-2</v>
      </c>
      <c r="U1356" s="58">
        <f ca="1">IFERROR(IRR($L1353:U1353),0)*(U1353&lt;&gt;0)</f>
        <v>7.8777075215981318E-2</v>
      </c>
      <c r="V1356" s="58">
        <f ca="1">IFERROR(IRR($L1353:V1353),0)*(V1353&lt;&gt;0)</f>
        <v>0.12488446597388547</v>
      </c>
      <c r="W1356" s="58">
        <f ca="1">IFERROR(IRR($L1353:W1353),0)*(W1353&lt;&gt;0)</f>
        <v>0.15501360234749195</v>
      </c>
      <c r="X1356" s="58">
        <f ca="1">IFERROR(IRR($L1353:X1353),0)*(X1353&lt;&gt;0)</f>
        <v>0.17590902781094075</v>
      </c>
      <c r="Y1356" s="58">
        <f ca="1">IFERROR(IRR($L1353:Y1353),0)*(Y1353&lt;&gt;0)</f>
        <v>0.1908330403318037</v>
      </c>
      <c r="Z1356" s="58">
        <f ca="1">IFERROR(IRR($L1353:Z1353),0)*(Z1353&lt;&gt;0)</f>
        <v>0.20094665219813268</v>
      </c>
      <c r="AA1356" s="58">
        <f ca="1">IFERROR(IRR($L1353:AA1353),0)*(AA1353&lt;&gt;0)</f>
        <v>0.20855553874972887</v>
      </c>
      <c r="AB1356" s="58">
        <f ca="1">IFERROR(IRR($L1353:AB1353),0)*(AB1353&lt;&gt;0)</f>
        <v>0.21448446442814917</v>
      </c>
      <c r="AC1356" s="58">
        <f ca="1">IFERROR(IRR($L1353:AC1353),0)*(AC1353&lt;&gt;0)</f>
        <v>0.21915779058863727</v>
      </c>
      <c r="AD1356" s="58">
        <f ca="1">IFERROR(IRR($L1353:AD1353),0)*(AD1353&lt;&gt;0)</f>
        <v>0.22287267072088102</v>
      </c>
      <c r="AE1356" s="58">
        <f ca="1">IFERROR(IRR($L1353:AE1353),0)*(AE1353&lt;&gt;0)</f>
        <v>0.22585143620950054</v>
      </c>
      <c r="AF1356" s="58">
        <f ca="1">IFERROR(IRR($L1353:AF1353),0)*(AF1353&lt;&gt;0)</f>
        <v>0.23776266093536091</v>
      </c>
      <c r="AG1356" s="58">
        <f ca="1">IFERROR(IRR($L1353:AG1353),0)*(AG1353&lt;&gt;0)</f>
        <v>0</v>
      </c>
      <c r="AH1356" s="58">
        <f ca="1">IFERROR(IRR($L1353:AH1353),0)*(AH1353&lt;&gt;0)</f>
        <v>0</v>
      </c>
      <c r="AI1356" s="58">
        <f ca="1">IFERROR(IRR($L1353:AI1353),0)*(AI1353&lt;&gt;0)</f>
        <v>0</v>
      </c>
      <c r="AJ1356" s="58">
        <f ca="1">IFERROR(IRR($L1353:AJ1353),0)*(AJ1353&lt;&gt;0)</f>
        <v>0</v>
      </c>
      <c r="AK1356" s="58">
        <f ca="1">IFERROR(IRR($L1353:AK1353),0)*(AK1353&lt;&gt;0)</f>
        <v>0</v>
      </c>
      <c r="AL1356" s="58">
        <f ca="1">IFERROR(IRR($L1353:AL1353),0)*(AL1353&lt;&gt;0)</f>
        <v>0</v>
      </c>
      <c r="AM1356" s="58">
        <f ca="1">IFERROR(IRR($L1353:AM1353),0)*(AM1353&lt;&gt;0)</f>
        <v>0</v>
      </c>
      <c r="AN1356" s="58">
        <f ca="1">IFERROR(IRR($L1353:AN1353),0)*(AN1353&lt;&gt;0)</f>
        <v>0</v>
      </c>
      <c r="AO1356" s="58">
        <f ca="1">IFERROR(IRR($L1353:AO1353),0)*(AO1353&lt;&gt;0)</f>
        <v>0</v>
      </c>
      <c r="AP1356" s="58">
        <f ca="1">IFERROR(IRR($L1353:AP1353),0)*(AP1353&lt;&gt;0)</f>
        <v>0</v>
      </c>
      <c r="AQ1356" s="58">
        <f ca="1">IFERROR(IRR($L1353:AQ1353),0)*(AQ1353&lt;&gt;0)</f>
        <v>0</v>
      </c>
      <c r="AR1356" s="58">
        <f ca="1">IFERROR(IRR($L1353:AR1353),0)*(AR1353&lt;&gt;0)</f>
        <v>0</v>
      </c>
      <c r="AS1356" s="58">
        <f ca="1">IFERROR(IRR($L1353:AS1353),0)*(AS1353&lt;&gt;0)</f>
        <v>0</v>
      </c>
      <c r="AT1356" s="58">
        <f ca="1">IFERROR(IRR($L1353:AT1353),0)*(AT1353&lt;&gt;0)</f>
        <v>0</v>
      </c>
      <c r="AU1356" s="58">
        <f ca="1">IFERROR(IRR($L1353:AU1353),0)*(AU1353&lt;&gt;0)</f>
        <v>0</v>
      </c>
      <c r="AV1356" s="58">
        <f ca="1">IFERROR(IRR($L1353:AV1353),0)*(AV1353&lt;&gt;0)</f>
        <v>0</v>
      </c>
      <c r="AW1356" s="58">
        <f ca="1">IFERROR(IRR($L1353:AW1353),0)*(AW1353&lt;&gt;0)</f>
        <v>0</v>
      </c>
      <c r="AX1356" s="58">
        <f ca="1">IFERROR(IRR($L1353:AX1353),0)*(AX1353&lt;&gt;0)</f>
        <v>0</v>
      </c>
      <c r="AY1356" s="58">
        <f ca="1">IFERROR(IRR($L1353:AY1353),0)*(AY1353&lt;&gt;0)</f>
        <v>0</v>
      </c>
      <c r="AZ1356" s="58">
        <f ca="1">IFERROR(IRR($L1353:AZ1353),0)*(AZ1353&lt;&gt;0)</f>
        <v>0</v>
      </c>
      <c r="BA1356" s="58">
        <f ca="1">IFERROR(IRR($L1353:BA1353),0)*(BA1353&lt;&gt;0)</f>
        <v>0</v>
      </c>
      <c r="BB1356" s="58">
        <f ca="1">IFERROR(IRR($L1353:BB1353),0)*(BB1353&lt;&gt;0)</f>
        <v>0</v>
      </c>
      <c r="BC1356" s="58">
        <f ca="1">IFERROR(IRR($L1353:BC1353),0)*(BC1353&lt;&gt;0)</f>
        <v>0</v>
      </c>
      <c r="BD1356" s="58">
        <f ca="1">IFERROR(IRR($L1353:BD1353),0)*(BD1353&lt;&gt;0)</f>
        <v>0</v>
      </c>
      <c r="BE1356" s="58">
        <f ca="1">IFERROR(IRR($L1353:BE1353),0)*(BE1353&lt;&gt;0)</f>
        <v>0</v>
      </c>
      <c r="BF1356" s="58">
        <f ca="1">IFERROR(IRR($L1353:BF1353),0)*(BF1353&lt;&gt;0)</f>
        <v>0</v>
      </c>
      <c r="BG1356" s="58">
        <f ca="1">IFERROR(IRR($L1353:BG1353),0)*(BG1353&lt;&gt;0)</f>
        <v>0</v>
      </c>
      <c r="BH1356" s="58">
        <f ca="1">IFERROR(IRR($L1353:BH1353),0)*(BH1353&lt;&gt;0)</f>
        <v>0</v>
      </c>
      <c r="BI1356" s="58">
        <f ca="1">IFERROR(IRR($L1353:BI1353),0)*(BI1353&lt;&gt;0)</f>
        <v>0</v>
      </c>
      <c r="BJ1356" s="58">
        <f ca="1">IFERROR(IRR($L1353:BJ1353),0)*(BJ1353&lt;&gt;0)</f>
        <v>0</v>
      </c>
      <c r="BK1356" s="58">
        <f ca="1">IFERROR(IRR($L1353:BK1353),0)*(BK1353&lt;&gt;0)</f>
        <v>0</v>
      </c>
      <c r="BL1356" s="58">
        <f ca="1">IFERROR(IRR($L1353:BL1353),0)*(BL1353&lt;&gt;0)</f>
        <v>0</v>
      </c>
      <c r="BM1356" s="58">
        <f ca="1">IFERROR(IRR($L1353:BM1353),0)*(BM1353&lt;&gt;0)</f>
        <v>0</v>
      </c>
      <c r="BN1356" s="58">
        <f ca="1">IFERROR(IRR($L1353:BN1353),0)*(BN1353&lt;&gt;0)</f>
        <v>0</v>
      </c>
      <c r="BO1356" s="58">
        <f ca="1">IFERROR(IRR($L1353:BO1353),0)*(BO1353&lt;&gt;0)</f>
        <v>0</v>
      </c>
      <c r="BP1356" s="58">
        <f ca="1">IFERROR(IRR($L1353:BP1353),0)*(BP1353&lt;&gt;0)</f>
        <v>0</v>
      </c>
      <c r="BQ1356" s="58">
        <f ca="1">IFERROR(IRR($L1353:BQ1353),0)*(BQ1353&lt;&gt;0)</f>
        <v>0</v>
      </c>
      <c r="BR1356" s="58">
        <f ca="1">IFERROR(IRR($L1353:BR1353),0)*(BR1353&lt;&gt;0)</f>
        <v>0</v>
      </c>
      <c r="BS1356" s="58">
        <f ca="1">IFERROR(IRR($L1353:BS1353),0)*(BS1353&lt;&gt;0)</f>
        <v>0</v>
      </c>
      <c r="BT1356" s="58">
        <f ca="1">IFERROR(IRR($L1353:BT1353),0)*(BT1353&lt;&gt;0)</f>
        <v>0</v>
      </c>
      <c r="BU1356" s="58">
        <f ca="1">IFERROR(IRR($L1353:BU1353),0)*(BU1353&lt;&gt;0)</f>
        <v>0</v>
      </c>
      <c r="BV1356" s="58">
        <f ca="1">IFERROR(IRR($L1353:BV1353),0)*(BV1353&lt;&gt;0)</f>
        <v>0</v>
      </c>
      <c r="BW1356" s="58">
        <f ca="1">IFERROR(IRR($L1353:BW1353),0)*(BW1353&lt;&gt;0)</f>
        <v>0</v>
      </c>
      <c r="BX1356" s="58">
        <f ca="1">IFERROR(IRR($L1353:BX1353),0)*(BX1353&lt;&gt;0)</f>
        <v>0</v>
      </c>
      <c r="BY1356" s="58">
        <f ca="1">IFERROR(IRR($L1353:BY1353),0)*(BY1353&lt;&gt;0)</f>
        <v>0</v>
      </c>
      <c r="BZ1356" s="58">
        <f ca="1">IFERROR(IRR($L1353:BZ1353),0)*(BZ1353&lt;&gt;0)</f>
        <v>0</v>
      </c>
      <c r="CA1356" s="58">
        <f ca="1">IFERROR(IRR($L1353:CA1353),0)*(CA1353&lt;&gt;0)</f>
        <v>0</v>
      </c>
      <c r="CB1356" s="58">
        <f ca="1">IFERROR(IRR($L1353:CB1353),0)*(CB1353&lt;&gt;0)</f>
        <v>0</v>
      </c>
      <c r="CC1356" s="58">
        <f ca="1">IFERROR(IRR($L1353:CC1353),0)*(CC1353&lt;&gt;0)</f>
        <v>0</v>
      </c>
      <c r="CD1356" s="58">
        <f ca="1">IFERROR(IRR($L1353:CD1353),0)*(CD1353&lt;&gt;0)</f>
        <v>0</v>
      </c>
      <c r="CE1356" s="58">
        <f ca="1">IFERROR(IRR($L1353:CE1353),0)*(CE1353&lt;&gt;0)</f>
        <v>0</v>
      </c>
      <c r="CF1356" s="58">
        <f ca="1">IFERROR(IRR($L1353:CF1353),0)*(CF1353&lt;&gt;0)</f>
        <v>0</v>
      </c>
      <c r="CG1356" s="58">
        <f ca="1">IFERROR(IRR($L1353:CG1353),0)*(CG1353&lt;&gt;0)</f>
        <v>0</v>
      </c>
      <c r="CH1356" s="58">
        <f ca="1">IFERROR(IRR($L1353:CH1353),0)*(CH1353&lt;&gt;0)</f>
        <v>0</v>
      </c>
      <c r="CI1356" s="58">
        <f ca="1">IFERROR(IRR($L1353:CI1353),0)*(CI1353&lt;&gt;0)</f>
        <v>0</v>
      </c>
      <c r="CJ1356" s="58">
        <f ca="1">IFERROR(IRR($L1353:CJ1353),0)*(CJ1353&lt;&gt;0)</f>
        <v>0</v>
      </c>
      <c r="CK1356" s="58">
        <f ca="1">IFERROR(IRR($L1353:CK1353),0)*(CK1353&lt;&gt;0)</f>
        <v>0</v>
      </c>
      <c r="CL1356" s="58">
        <f ca="1">IFERROR(IRR($L1353:CL1353),0)*(CL1353&lt;&gt;0)</f>
        <v>0</v>
      </c>
      <c r="CM1356" s="58">
        <f ca="1">IFERROR(IRR($L1353:CM1353),0)*(CM1353&lt;&gt;0)</f>
        <v>0</v>
      </c>
      <c r="CN1356" s="58">
        <f ca="1">IFERROR(IRR($L1353:CN1353),0)*(CN1353&lt;&gt;0)</f>
        <v>0</v>
      </c>
      <c r="CO1356" s="58">
        <f ca="1">IFERROR(IRR($L1353:CO1353),0)*(CO1353&lt;&gt;0)</f>
        <v>0</v>
      </c>
    </row>
    <row r="1357" spans="1:94">
      <c r="A1357" s="10"/>
      <c r="B1357" s="10"/>
      <c r="C1357" s="17"/>
      <c r="D1357" s="10"/>
      <c r="E1357" s="62"/>
      <c r="F1357" s="10"/>
      <c r="G1357" s="11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0"/>
      <c r="AH1357" s="10"/>
      <c r="AI1357" s="10"/>
      <c r="AJ1357" s="10"/>
      <c r="AK1357" s="10"/>
      <c r="AL1357" s="10"/>
      <c r="AM1357" s="10"/>
      <c r="AN1357" s="10"/>
      <c r="AO1357" s="10"/>
      <c r="AP1357" s="10"/>
      <c r="AQ1357" s="10"/>
      <c r="AR1357" s="10"/>
      <c r="AS1357" s="10"/>
      <c r="AT1357" s="10"/>
      <c r="AU1357" s="10"/>
      <c r="AV1357" s="10"/>
      <c r="AW1357" s="10"/>
      <c r="AX1357" s="10"/>
      <c r="AY1357" s="10"/>
      <c r="AZ1357" s="10"/>
      <c r="BA1357" s="10"/>
      <c r="BB1357" s="10"/>
      <c r="BC1357" s="10"/>
      <c r="BD1357" s="10"/>
      <c r="BE1357" s="10"/>
      <c r="BF1357" s="10"/>
      <c r="BG1357" s="10"/>
      <c r="BH1357" s="10"/>
      <c r="BI1357" s="10"/>
      <c r="BJ1357" s="10"/>
      <c r="BK1357" s="10"/>
      <c r="BL1357" s="10"/>
      <c r="BM1357" s="10"/>
      <c r="BN1357" s="10"/>
      <c r="BO1357" s="10"/>
      <c r="BP1357" s="10"/>
      <c r="BQ1357" s="10"/>
      <c r="BR1357" s="10"/>
      <c r="BS1357" s="10"/>
      <c r="BT1357" s="10"/>
      <c r="BU1357" s="10"/>
      <c r="BV1357" s="10"/>
      <c r="BW1357" s="10"/>
      <c r="BX1357" s="10"/>
      <c r="BY1357" s="10"/>
      <c r="BZ1357" s="10"/>
      <c r="CA1357" s="10"/>
      <c r="CB1357" s="10"/>
      <c r="CC1357" s="10"/>
      <c r="CD1357" s="10"/>
      <c r="CE1357" s="10"/>
      <c r="CF1357" s="10"/>
      <c r="CG1357" s="10"/>
      <c r="CH1357" s="10"/>
      <c r="CI1357" s="10"/>
      <c r="CJ1357" s="10"/>
      <c r="CK1357" s="10"/>
      <c r="CL1357" s="10"/>
      <c r="CM1357" s="10"/>
      <c r="CN1357" s="10"/>
      <c r="CO1357" s="10"/>
      <c r="CP1357" s="10"/>
    </row>
    <row r="1358" spans="1:94">
      <c r="A1358" s="10"/>
      <c r="B1358" s="10"/>
      <c r="C1358" s="16" t="s">
        <v>497</v>
      </c>
      <c r="D1358" s="10"/>
      <c r="E1358" s="62"/>
      <c r="F1358" s="10"/>
      <c r="G1358" s="11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0"/>
      <c r="AH1358" s="10"/>
      <c r="AI1358" s="10"/>
      <c r="AJ1358" s="10"/>
      <c r="AK1358" s="10"/>
      <c r="AL1358" s="10"/>
      <c r="AM1358" s="10"/>
      <c r="AN1358" s="10"/>
      <c r="AO1358" s="10"/>
      <c r="AP1358" s="10"/>
      <c r="AQ1358" s="10"/>
      <c r="AR1358" s="10"/>
      <c r="AS1358" s="10"/>
      <c r="AT1358" s="10"/>
      <c r="AU1358" s="10"/>
      <c r="AV1358" s="10"/>
      <c r="AW1358" s="10"/>
      <c r="AX1358" s="10"/>
      <c r="AY1358" s="10"/>
      <c r="AZ1358" s="10"/>
      <c r="BA1358" s="10"/>
      <c r="BB1358" s="10"/>
      <c r="BC1358" s="10"/>
      <c r="BD1358" s="10"/>
      <c r="BE1358" s="10"/>
      <c r="BF1358" s="10"/>
      <c r="BG1358" s="10"/>
      <c r="BH1358" s="10"/>
      <c r="BI1358" s="10"/>
      <c r="BJ1358" s="10"/>
      <c r="BK1358" s="10"/>
      <c r="BL1358" s="10"/>
      <c r="BM1358" s="10"/>
      <c r="BN1358" s="10"/>
      <c r="BO1358" s="10"/>
      <c r="BP1358" s="10"/>
      <c r="BQ1358" s="10"/>
      <c r="BR1358" s="10"/>
      <c r="BS1358" s="10"/>
      <c r="BT1358" s="10"/>
      <c r="BU1358" s="10"/>
      <c r="BV1358" s="10"/>
      <c r="BW1358" s="10"/>
      <c r="BX1358" s="10"/>
      <c r="BY1358" s="10"/>
      <c r="BZ1358" s="10"/>
      <c r="CA1358" s="10"/>
      <c r="CB1358" s="10"/>
      <c r="CC1358" s="10"/>
      <c r="CD1358" s="10"/>
      <c r="CE1358" s="10"/>
      <c r="CF1358" s="10"/>
      <c r="CG1358" s="10"/>
      <c r="CH1358" s="10"/>
      <c r="CI1358" s="10"/>
      <c r="CJ1358" s="10"/>
      <c r="CK1358" s="10"/>
      <c r="CL1358" s="10"/>
      <c r="CM1358" s="10"/>
      <c r="CN1358" s="10"/>
      <c r="CO1358" s="10"/>
    </row>
    <row r="1359" spans="1:94">
      <c r="A1359" s="10"/>
      <c r="B1359" s="10"/>
      <c r="C1359" s="17" t="s">
        <v>525</v>
      </c>
      <c r="D1359" s="10"/>
      <c r="E1359" s="405">
        <f ca="1">NPV(Required_Rate_of_Return,L1353:AY1353)</f>
        <v>7082.9500253420365</v>
      </c>
      <c r="F1359" s="51"/>
      <c r="G1359" s="134" t="str">
        <f>Monetary_Unit</f>
        <v>тыс. руб.</v>
      </c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0"/>
      <c r="AH1359" s="10"/>
      <c r="AI1359" s="10"/>
      <c r="AJ1359" s="10"/>
      <c r="AK1359" s="10"/>
      <c r="AL1359" s="10"/>
      <c r="AM1359" s="10"/>
      <c r="AN1359" s="10"/>
      <c r="AO1359" s="10"/>
      <c r="AP1359" s="10"/>
      <c r="AQ1359" s="10"/>
      <c r="AR1359" s="10"/>
      <c r="AS1359" s="10"/>
      <c r="AT1359" s="10"/>
      <c r="AU1359" s="10"/>
      <c r="AV1359" s="10"/>
      <c r="AW1359" s="10"/>
      <c r="AX1359" s="10"/>
      <c r="AY1359" s="10"/>
      <c r="AZ1359" s="10"/>
      <c r="BA1359" s="10"/>
      <c r="BB1359" s="10"/>
      <c r="BC1359" s="10"/>
      <c r="BD1359" s="10"/>
      <c r="BE1359" s="10"/>
      <c r="BF1359" s="10"/>
      <c r="BG1359" s="10"/>
      <c r="BH1359" s="10"/>
      <c r="BI1359" s="10"/>
      <c r="BJ1359" s="10"/>
      <c r="BK1359" s="10"/>
      <c r="BL1359" s="10"/>
      <c r="BM1359" s="10"/>
      <c r="BN1359" s="10"/>
      <c r="BO1359" s="10"/>
      <c r="BP1359" s="10"/>
      <c r="BQ1359" s="10"/>
      <c r="BR1359" s="10"/>
      <c r="BS1359" s="10"/>
      <c r="BT1359" s="10"/>
      <c r="BU1359" s="10"/>
      <c r="BV1359" s="10"/>
      <c r="BW1359" s="10"/>
      <c r="BX1359" s="10"/>
      <c r="BY1359" s="10"/>
      <c r="BZ1359" s="10"/>
      <c r="CA1359" s="10"/>
      <c r="CB1359" s="10"/>
      <c r="CC1359" s="10"/>
      <c r="CD1359" s="10"/>
      <c r="CE1359" s="10"/>
      <c r="CF1359" s="10"/>
      <c r="CG1359" s="10"/>
      <c r="CH1359" s="10"/>
      <c r="CI1359" s="10"/>
      <c r="CJ1359" s="10"/>
      <c r="CK1359" s="10"/>
      <c r="CL1359" s="10"/>
      <c r="CM1359" s="10"/>
      <c r="CN1359" s="10"/>
      <c r="CO1359" s="10"/>
    </row>
    <row r="1360" spans="1:94">
      <c r="A1360" s="10"/>
      <c r="B1360" s="10"/>
      <c r="C1360" s="17" t="s">
        <v>512</v>
      </c>
      <c r="D1360" s="10"/>
      <c r="E1360" s="191">
        <f ca="1">IFERROR(IRR(L1353:AY1353),0)</f>
        <v>0.23776266093536091</v>
      </c>
      <c r="F1360" s="51"/>
      <c r="G1360" s="11" t="s">
        <v>28</v>
      </c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0"/>
      <c r="AH1360" s="10"/>
      <c r="AI1360" s="10"/>
      <c r="AJ1360" s="10"/>
      <c r="AK1360" s="10"/>
      <c r="AL1360" s="10"/>
      <c r="AM1360" s="10"/>
      <c r="AN1360" s="10"/>
      <c r="AO1360" s="10"/>
      <c r="AP1360" s="10"/>
      <c r="AQ1360" s="10"/>
      <c r="AR1360" s="10"/>
      <c r="AS1360" s="10"/>
      <c r="AT1360" s="10"/>
      <c r="AU1360" s="10"/>
      <c r="AV1360" s="10"/>
      <c r="AW1360" s="10"/>
      <c r="AX1360" s="10"/>
      <c r="AY1360" s="10"/>
      <c r="AZ1360" s="10"/>
      <c r="BA1360" s="10"/>
      <c r="BB1360" s="10"/>
      <c r="BC1360" s="10"/>
      <c r="BD1360" s="10"/>
      <c r="BE1360" s="10"/>
      <c r="BF1360" s="10"/>
      <c r="BG1360" s="10"/>
      <c r="BH1360" s="10"/>
      <c r="BI1360" s="10"/>
      <c r="BJ1360" s="10"/>
      <c r="BK1360" s="10"/>
      <c r="BL1360" s="10"/>
      <c r="BM1360" s="10"/>
      <c r="BN1360" s="10"/>
      <c r="BO1360" s="10"/>
      <c r="BP1360" s="10"/>
      <c r="BQ1360" s="10"/>
      <c r="BR1360" s="10"/>
      <c r="BS1360" s="10"/>
      <c r="BT1360" s="10"/>
      <c r="BU1360" s="10"/>
      <c r="BV1360" s="10"/>
      <c r="BW1360" s="10"/>
      <c r="BX1360" s="10"/>
      <c r="BY1360" s="10"/>
      <c r="BZ1360" s="10"/>
      <c r="CA1360" s="10"/>
      <c r="CB1360" s="10"/>
      <c r="CC1360" s="10"/>
      <c r="CD1360" s="10"/>
      <c r="CE1360" s="10"/>
      <c r="CF1360" s="10"/>
      <c r="CG1360" s="10"/>
      <c r="CH1360" s="10"/>
      <c r="CI1360" s="10"/>
      <c r="CJ1360" s="10"/>
      <c r="CK1360" s="10"/>
      <c r="CL1360" s="10"/>
      <c r="CM1360" s="10"/>
      <c r="CN1360" s="10"/>
      <c r="CO1360" s="10"/>
    </row>
    <row r="1361" spans="1:93">
      <c r="A1361" s="10"/>
      <c r="B1361" s="10"/>
      <c r="C1361" s="13"/>
      <c r="D1361" s="10"/>
      <c r="E1361" s="62"/>
      <c r="F1361" s="10"/>
      <c r="G1361" s="11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0"/>
      <c r="AH1361" s="10"/>
      <c r="AI1361" s="10"/>
      <c r="AJ1361" s="10"/>
      <c r="AK1361" s="10"/>
      <c r="AL1361" s="10"/>
      <c r="AM1361" s="10"/>
      <c r="AN1361" s="10"/>
      <c r="AO1361" s="10"/>
      <c r="AP1361" s="10"/>
      <c r="AQ1361" s="10"/>
      <c r="AR1361" s="10"/>
      <c r="AS1361" s="10"/>
      <c r="AT1361" s="10"/>
      <c r="AU1361" s="10"/>
      <c r="AV1361" s="10"/>
      <c r="AW1361" s="10"/>
      <c r="AX1361" s="10"/>
      <c r="AY1361" s="10"/>
      <c r="AZ1361" s="10"/>
      <c r="BA1361" s="10"/>
      <c r="BB1361" s="10"/>
      <c r="BC1361" s="10"/>
      <c r="BD1361" s="10"/>
      <c r="BE1361" s="10"/>
      <c r="BF1361" s="10"/>
      <c r="BG1361" s="10"/>
      <c r="BH1361" s="10"/>
      <c r="BI1361" s="10"/>
      <c r="BJ1361" s="10"/>
      <c r="BK1361" s="10"/>
      <c r="BL1361" s="10"/>
      <c r="BM1361" s="10"/>
      <c r="BN1361" s="10"/>
      <c r="BO1361" s="10"/>
      <c r="BP1361" s="10"/>
      <c r="BQ1361" s="10"/>
      <c r="BR1361" s="10"/>
      <c r="BS1361" s="10"/>
      <c r="BT1361" s="10"/>
      <c r="BU1361" s="10"/>
      <c r="BV1361" s="10"/>
      <c r="BW1361" s="10"/>
      <c r="BX1361" s="10"/>
      <c r="BY1361" s="10"/>
      <c r="BZ1361" s="10"/>
      <c r="CA1361" s="10"/>
      <c r="CB1361" s="10"/>
      <c r="CC1361" s="10"/>
      <c r="CD1361" s="10"/>
      <c r="CE1361" s="10"/>
      <c r="CF1361" s="10"/>
      <c r="CG1361" s="10"/>
      <c r="CH1361" s="10"/>
      <c r="CI1361" s="10"/>
      <c r="CJ1361" s="10"/>
      <c r="CK1361" s="10"/>
      <c r="CL1361" s="10"/>
      <c r="CM1361" s="10"/>
      <c r="CN1361" s="10"/>
      <c r="CO1361" s="10"/>
    </row>
    <row r="1362" spans="1:93">
      <c r="A1362" s="10"/>
      <c r="B1362" s="10"/>
      <c r="C1362" s="16" t="s">
        <v>220</v>
      </c>
      <c r="D1362" s="10"/>
      <c r="E1362" s="62"/>
      <c r="F1362" s="10"/>
      <c r="G1362" s="11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0"/>
      <c r="AH1362" s="10"/>
      <c r="AI1362" s="10"/>
      <c r="AJ1362" s="10"/>
      <c r="AK1362" s="10"/>
      <c r="AL1362" s="10"/>
      <c r="AM1362" s="10"/>
      <c r="AN1362" s="10"/>
      <c r="AO1362" s="10"/>
      <c r="AP1362" s="10"/>
      <c r="AQ1362" s="10"/>
      <c r="AR1362" s="10"/>
      <c r="AS1362" s="10"/>
      <c r="AT1362" s="10"/>
      <c r="AU1362" s="10"/>
      <c r="AV1362" s="10"/>
      <c r="AW1362" s="10"/>
      <c r="AX1362" s="10"/>
      <c r="AY1362" s="10"/>
      <c r="AZ1362" s="10"/>
      <c r="BA1362" s="10"/>
      <c r="BB1362" s="10"/>
      <c r="BC1362" s="10"/>
      <c r="BD1362" s="10"/>
      <c r="BE1362" s="10"/>
      <c r="BF1362" s="10"/>
      <c r="BG1362" s="10"/>
      <c r="BH1362" s="10"/>
      <c r="BI1362" s="10"/>
      <c r="BJ1362" s="10"/>
      <c r="BK1362" s="10"/>
      <c r="BL1362" s="10"/>
      <c r="BM1362" s="10"/>
      <c r="BN1362" s="10"/>
      <c r="BO1362" s="10"/>
      <c r="BP1362" s="10"/>
      <c r="BQ1362" s="10"/>
      <c r="BR1362" s="10"/>
      <c r="BS1362" s="10"/>
      <c r="BT1362" s="10"/>
      <c r="BU1362" s="10"/>
      <c r="BV1362" s="10"/>
      <c r="BW1362" s="10"/>
      <c r="BX1362" s="10"/>
      <c r="BY1362" s="10"/>
      <c r="BZ1362" s="10"/>
      <c r="CA1362" s="10"/>
      <c r="CB1362" s="10"/>
      <c r="CC1362" s="10"/>
      <c r="CD1362" s="10"/>
      <c r="CE1362" s="10"/>
      <c r="CF1362" s="10"/>
      <c r="CG1362" s="10"/>
      <c r="CH1362" s="10"/>
      <c r="CI1362" s="10"/>
      <c r="CJ1362" s="10"/>
      <c r="CK1362" s="10"/>
      <c r="CL1362" s="10"/>
      <c r="CM1362" s="10"/>
      <c r="CN1362" s="10"/>
      <c r="CO1362" s="10"/>
    </row>
    <row r="1363" spans="1:93">
      <c r="A1363" s="10"/>
      <c r="B1363" s="10"/>
      <c r="C1363" s="17" t="s">
        <v>221</v>
      </c>
      <c r="D1363" s="10"/>
      <c r="E1363" s="62"/>
      <c r="F1363" s="10"/>
      <c r="G1363" s="134" t="str">
        <f>Monetary_Unit</f>
        <v>тыс. руб.</v>
      </c>
      <c r="H1363" s="10"/>
      <c r="I1363" s="10"/>
      <c r="J1363" s="10"/>
      <c r="K1363" s="10"/>
      <c r="L1363" s="52">
        <f t="shared" ref="L1363:AQ1363" ca="1" si="1625">K1363+L1348</f>
        <v>-20231.553412960755</v>
      </c>
      <c r="M1363" s="52">
        <f t="shared" ca="1" si="1625"/>
        <v>-40750.291448761061</v>
      </c>
      <c r="N1363" s="52">
        <f t="shared" ca="1" si="1625"/>
        <v>-61560.290660788196</v>
      </c>
      <c r="O1363" s="52">
        <f t="shared" ca="1" si="1625"/>
        <v>-82665.685468645795</v>
      </c>
      <c r="P1363" s="52">
        <f t="shared" ca="1" si="1625"/>
        <v>-260156.17609341015</v>
      </c>
      <c r="Q1363" s="52">
        <f t="shared" ca="1" si="1625"/>
        <v>-439395.55268087628</v>
      </c>
      <c r="R1363" s="52">
        <f t="shared" ca="1" si="1625"/>
        <v>-620401.04771544249</v>
      </c>
      <c r="S1363" s="52">
        <f t="shared" ca="1" si="1625"/>
        <v>-803190.0634801815</v>
      </c>
      <c r="T1363" s="52">
        <f t="shared" ca="1" si="1625"/>
        <v>-933230.00454807794</v>
      </c>
      <c r="U1363" s="52">
        <f t="shared" ca="1" si="1625"/>
        <v>-937311.82287772477</v>
      </c>
      <c r="V1363" s="52">
        <f t="shared" ca="1" si="1625"/>
        <v>-943918.07030696201</v>
      </c>
      <c r="W1363" s="52">
        <f t="shared" ca="1" si="1625"/>
        <v>-953028.32393953821</v>
      </c>
      <c r="X1363" s="52">
        <f t="shared" ca="1" si="1625"/>
        <v>-965720.87220099568</v>
      </c>
      <c r="Y1363" s="52">
        <f t="shared" ca="1" si="1625"/>
        <v>-983236.47519382136</v>
      </c>
      <c r="Z1363" s="52">
        <f t="shared" ca="1" si="1625"/>
        <v>-1005868.6584287756</v>
      </c>
      <c r="AA1363" s="52">
        <f t="shared" ca="1" si="1625"/>
        <v>-1033473.461922003</v>
      </c>
      <c r="AB1363" s="52">
        <f t="shared" ca="1" si="1625"/>
        <v>-1067378.5680402908</v>
      </c>
      <c r="AC1363" s="52">
        <f t="shared" ca="1" si="1625"/>
        <v>-974321.42617012351</v>
      </c>
      <c r="AD1363" s="52">
        <f t="shared" ca="1" si="1625"/>
        <v>-926123.17518322123</v>
      </c>
      <c r="AE1363" s="52">
        <f t="shared" ca="1" si="1625"/>
        <v>-896389.70888350974</v>
      </c>
      <c r="AF1363" s="52">
        <f t="shared" ca="1" si="1625"/>
        <v>-879786.640944254</v>
      </c>
      <c r="AG1363" s="52">
        <f t="shared" ca="1" si="1625"/>
        <v>-861258.47578929621</v>
      </c>
      <c r="AH1363" s="52">
        <f t="shared" ca="1" si="1625"/>
        <v>-825307.60379278869</v>
      </c>
      <c r="AI1363" s="52">
        <f t="shared" ca="1" si="1625"/>
        <v>-790714.75962383405</v>
      </c>
      <c r="AJ1363" s="52">
        <f t="shared" ca="1" si="1625"/>
        <v>-771432.21073267353</v>
      </c>
      <c r="AK1363" s="52">
        <f t="shared" ca="1" si="1625"/>
        <v>-750012.08764853468</v>
      </c>
      <c r="AL1363" s="52">
        <f t="shared" ca="1" si="1625"/>
        <v>-708600.00866037328</v>
      </c>
      <c r="AM1363" s="52">
        <f t="shared" ca="1" si="1625"/>
        <v>-668809.65846287413</v>
      </c>
      <c r="AN1363" s="52">
        <f t="shared" ca="1" si="1625"/>
        <v>-646490.59257689188</v>
      </c>
      <c r="AO1363" s="52">
        <f t="shared" ca="1" si="1625"/>
        <v>-621978.9141369795</v>
      </c>
      <c r="AP1363" s="52">
        <f t="shared" ca="1" si="1625"/>
        <v>-575327.78461080743</v>
      </c>
      <c r="AQ1363" s="52">
        <f t="shared" ca="1" si="1625"/>
        <v>-531130.39016517741</v>
      </c>
      <c r="AR1363" s="52">
        <f t="shared" ref="AR1363:BW1363" ca="1" si="1626">AQ1363+AR1348</f>
        <v>-507144.34014345484</v>
      </c>
      <c r="AS1363" s="52">
        <f t="shared" ca="1" si="1626"/>
        <v>-481605.6476649149</v>
      </c>
      <c r="AT1363" s="52">
        <f t="shared" ca="1" si="1626"/>
        <v>-386070.35600706248</v>
      </c>
      <c r="AU1363" s="52">
        <f t="shared" ca="1" si="1626"/>
        <v>-115359.22173693363</v>
      </c>
      <c r="AV1363" s="52">
        <f t="shared" ca="1" si="1626"/>
        <v>30158.240887266176</v>
      </c>
      <c r="AW1363" s="52">
        <f t="shared" ca="1" si="1626"/>
        <v>212545.83981560561</v>
      </c>
      <c r="AX1363" s="52">
        <f t="shared" ca="1" si="1626"/>
        <v>485572.73879877292</v>
      </c>
      <c r="AY1363" s="52">
        <f t="shared" ca="1" si="1626"/>
        <v>646182.83300208661</v>
      </c>
      <c r="AZ1363" s="52">
        <f t="shared" ca="1" si="1626"/>
        <v>736929.51447623782</v>
      </c>
      <c r="BA1363" s="52">
        <f t="shared" ca="1" si="1626"/>
        <v>877256.8240906361</v>
      </c>
      <c r="BB1363" s="52">
        <f t="shared" ca="1" si="1626"/>
        <v>1150698.2312651619</v>
      </c>
      <c r="BC1363" s="52">
        <f t="shared" ca="1" si="1626"/>
        <v>1317725.6311350097</v>
      </c>
      <c r="BD1363" s="52">
        <f t="shared" ca="1" si="1626"/>
        <v>1413402.7340848341</v>
      </c>
      <c r="BE1363" s="52">
        <f t="shared" ca="1" si="1626"/>
        <v>1557990.1352601114</v>
      </c>
      <c r="BF1363" s="52">
        <f t="shared" ca="1" si="1626"/>
        <v>1841329.2128135064</v>
      </c>
      <c r="BG1363" s="52">
        <f t="shared" ca="1" si="1626"/>
        <v>2013997.7285137963</v>
      </c>
      <c r="BH1363" s="52">
        <f t="shared" ca="1" si="1626"/>
        <v>2111091.3939023572</v>
      </c>
      <c r="BI1363" s="52">
        <f t="shared" ca="1" si="1626"/>
        <v>2261813.4229011461</v>
      </c>
      <c r="BJ1363" s="52">
        <f t="shared" ca="1" si="1626"/>
        <v>2556513.5854750988</v>
      </c>
      <c r="BK1363" s="52">
        <f t="shared" ca="1" si="1626"/>
        <v>2736116.3577483124</v>
      </c>
      <c r="BL1363" s="52">
        <f t="shared" ca="1" si="1626"/>
        <v>2837126.3988685529</v>
      </c>
      <c r="BM1363" s="52">
        <f t="shared" ca="1" si="1626"/>
        <v>2993910.8503095424</v>
      </c>
      <c r="BN1363" s="52">
        <f t="shared" ca="1" si="1626"/>
        <v>3300433.5046168054</v>
      </c>
      <c r="BO1363" s="52">
        <f t="shared" ca="1" si="1626"/>
        <v>3478210.5907807169</v>
      </c>
      <c r="BP1363" s="52">
        <f t="shared" ca="1" si="1626"/>
        <v>3575689.96086495</v>
      </c>
      <c r="BQ1363" s="52">
        <f t="shared" ca="1" si="1626"/>
        <v>3723186.8102457309</v>
      </c>
      <c r="BR1363" s="52">
        <f t="shared" ca="1" si="1626"/>
        <v>4001432.6973310811</v>
      </c>
      <c r="BS1363" s="52">
        <f t="shared" ca="1" si="1626"/>
        <v>4177862.9896855587</v>
      </c>
      <c r="BT1363" s="52">
        <f t="shared" ca="1" si="1626"/>
        <v>4272431.4676580988</v>
      </c>
      <c r="BU1363" s="52">
        <f t="shared" ca="1" si="1626"/>
        <v>4417339.2487738533</v>
      </c>
      <c r="BV1363" s="52">
        <f t="shared" ca="1" si="1626"/>
        <v>4707482.0650282716</v>
      </c>
      <c r="BW1363" s="52">
        <f t="shared" ca="1" si="1626"/>
        <v>4891732.0255611409</v>
      </c>
      <c r="BX1363" s="52">
        <f t="shared" ref="BX1363:CO1363" ca="1" si="1627">BW1363+BX1348</f>
        <v>4989380.3210792514</v>
      </c>
      <c r="BY1363" s="52">
        <f t="shared" ca="1" si="1627"/>
        <v>5141151.1569325719</v>
      </c>
      <c r="BZ1363" s="52">
        <f t="shared" ca="1" si="1627"/>
        <v>5443591.6242740285</v>
      </c>
      <c r="CA1363" s="52">
        <f t="shared" ca="1" si="1627"/>
        <v>5635899.4780169325</v>
      </c>
      <c r="CB1363" s="52">
        <f t="shared" ca="1" si="1627"/>
        <v>5738148.4262355845</v>
      </c>
      <c r="CC1363" s="52">
        <f t="shared" ca="1" si="1627"/>
        <v>5896689.4871009281</v>
      </c>
      <c r="CD1363" s="52">
        <f t="shared" ca="1" si="1627"/>
        <v>6211931.5781088769</v>
      </c>
      <c r="CE1363" s="52">
        <f t="shared" ca="1" si="1627"/>
        <v>6412631.4047303898</v>
      </c>
      <c r="CF1363" s="52">
        <f t="shared" ca="1" si="1627"/>
        <v>6519647.9875356611</v>
      </c>
      <c r="CG1363" s="52">
        <f t="shared" ca="1" si="1627"/>
        <v>6685212.886404871</v>
      </c>
      <c r="CH1363" s="52">
        <f t="shared" ca="1" si="1627"/>
        <v>7013751.2810502052</v>
      </c>
      <c r="CI1363" s="52">
        <f t="shared" ca="1" si="1627"/>
        <v>7223161.3744897041</v>
      </c>
      <c r="CJ1363" s="52">
        <f t="shared" ca="1" si="1627"/>
        <v>7336738.9623541292</v>
      </c>
      <c r="CK1363" s="52">
        <f t="shared" ca="1" si="1627"/>
        <v>7509188.2092257449</v>
      </c>
      <c r="CL1363" s="52">
        <f t="shared" ca="1" si="1627"/>
        <v>7851561.0813465426</v>
      </c>
      <c r="CM1363" s="52">
        <f t="shared" ca="1" si="1627"/>
        <v>8070035.8840168975</v>
      </c>
      <c r="CN1363" s="52">
        <f t="shared" ca="1" si="1627"/>
        <v>8187115.7371320166</v>
      </c>
      <c r="CO1363" s="52">
        <f t="shared" ca="1" si="1627"/>
        <v>8367530.1348439679</v>
      </c>
    </row>
    <row r="1364" spans="1:93">
      <c r="A1364" s="10"/>
      <c r="B1364" s="10"/>
      <c r="C1364" s="17" t="s">
        <v>222</v>
      </c>
      <c r="D1364" s="10"/>
      <c r="E1364" s="10">
        <f ca="1">SUM(L1364:CO1364)</f>
        <v>1</v>
      </c>
      <c r="F1364" s="10"/>
      <c r="G1364" s="11"/>
      <c r="H1364" s="10"/>
      <c r="I1364" s="10"/>
      <c r="J1364" s="10"/>
      <c r="K1364" s="10"/>
      <c r="L1364" s="52">
        <f ca="1">1*(L1363&gt;0)*(K1363&lt;0)*(SUM($K1364:K1364)=0)</f>
        <v>0</v>
      </c>
      <c r="M1364" s="52">
        <f ca="1">1*(M1363&gt;0)*(L1363&lt;0)*(SUM($K1364:L1364)=0)</f>
        <v>0</v>
      </c>
      <c r="N1364" s="52">
        <f ca="1">1*(N1363&gt;0)*(M1363&lt;0)*(SUM($K1364:M1364)=0)</f>
        <v>0</v>
      </c>
      <c r="O1364" s="52">
        <f ca="1">1*(O1363&gt;0)*(N1363&lt;0)*(SUM($K1364:N1364)=0)</f>
        <v>0</v>
      </c>
      <c r="P1364" s="52">
        <f ca="1">1*(P1363&gt;0)*(O1363&lt;0)*(SUM($K1364:O1364)=0)</f>
        <v>0</v>
      </c>
      <c r="Q1364" s="52">
        <f ca="1">1*(Q1363&gt;0)*(P1363&lt;0)*(SUM($K1364:P1364)=0)</f>
        <v>0</v>
      </c>
      <c r="R1364" s="52">
        <f ca="1">1*(R1363&gt;0)*(Q1363&lt;0)*(SUM($K1364:Q1364)=0)</f>
        <v>0</v>
      </c>
      <c r="S1364" s="52">
        <f ca="1">1*(S1363&gt;0)*(R1363&lt;0)*(SUM($K1364:R1364)=0)</f>
        <v>0</v>
      </c>
      <c r="T1364" s="52">
        <f ca="1">1*(T1363&gt;0)*(S1363&lt;0)*(SUM($K1364:S1364)=0)</f>
        <v>0</v>
      </c>
      <c r="U1364" s="52">
        <f ca="1">1*(U1363&gt;0)*(T1363&lt;0)*(SUM($K1364:T1364)=0)</f>
        <v>0</v>
      </c>
      <c r="V1364" s="52">
        <f ca="1">1*(V1363&gt;0)*(U1363&lt;0)*(SUM($K1364:U1364)=0)</f>
        <v>0</v>
      </c>
      <c r="W1364" s="52">
        <f ca="1">1*(W1363&gt;0)*(V1363&lt;0)*(SUM($K1364:V1364)=0)</f>
        <v>0</v>
      </c>
      <c r="X1364" s="52">
        <f ca="1">1*(X1363&gt;0)*(W1363&lt;0)*(SUM($K1364:W1364)=0)</f>
        <v>0</v>
      </c>
      <c r="Y1364" s="52">
        <f ca="1">1*(Y1363&gt;0)*(X1363&lt;0)*(SUM($K1364:X1364)=0)</f>
        <v>0</v>
      </c>
      <c r="Z1364" s="52">
        <f ca="1">1*(Z1363&gt;0)*(Y1363&lt;0)*(SUM($K1364:Y1364)=0)</f>
        <v>0</v>
      </c>
      <c r="AA1364" s="52">
        <f ca="1">1*(AA1363&gt;0)*(Z1363&lt;0)*(SUM($K1364:Z1364)=0)</f>
        <v>0</v>
      </c>
      <c r="AB1364" s="52">
        <f ca="1">1*(AB1363&gt;0)*(AA1363&lt;0)*(SUM($K1364:AA1364)=0)</f>
        <v>0</v>
      </c>
      <c r="AC1364" s="52">
        <f ca="1">1*(AC1363&gt;0)*(AB1363&lt;0)*(SUM($K1364:AB1364)=0)</f>
        <v>0</v>
      </c>
      <c r="AD1364" s="52">
        <f ca="1">1*(AD1363&gt;0)*(AC1363&lt;0)*(SUM($K1364:AC1364)=0)</f>
        <v>0</v>
      </c>
      <c r="AE1364" s="52">
        <f ca="1">1*(AE1363&gt;0)*(AD1363&lt;0)*(SUM($K1364:AD1364)=0)</f>
        <v>0</v>
      </c>
      <c r="AF1364" s="52">
        <f ca="1">1*(AF1363&gt;0)*(AE1363&lt;0)*(SUM($K1364:AE1364)=0)</f>
        <v>0</v>
      </c>
      <c r="AG1364" s="52">
        <f ca="1">1*(AG1363&gt;0)*(AF1363&lt;0)*(SUM($K1364:AF1364)=0)</f>
        <v>0</v>
      </c>
      <c r="AH1364" s="52">
        <f ca="1">1*(AH1363&gt;0)*(AG1363&lt;0)*(SUM($K1364:AG1364)=0)</f>
        <v>0</v>
      </c>
      <c r="AI1364" s="52">
        <f ca="1">1*(AI1363&gt;0)*(AH1363&lt;0)*(SUM($K1364:AH1364)=0)</f>
        <v>0</v>
      </c>
      <c r="AJ1364" s="52">
        <f ca="1">1*(AJ1363&gt;0)*(AI1363&lt;0)*(SUM($K1364:AI1364)=0)</f>
        <v>0</v>
      </c>
      <c r="AK1364" s="52">
        <f ca="1">1*(AK1363&gt;0)*(AJ1363&lt;0)*(SUM($K1364:AJ1364)=0)</f>
        <v>0</v>
      </c>
      <c r="AL1364" s="52">
        <f ca="1">1*(AL1363&gt;0)*(AK1363&lt;0)*(SUM($K1364:AK1364)=0)</f>
        <v>0</v>
      </c>
      <c r="AM1364" s="52">
        <f ca="1">1*(AM1363&gt;0)*(AL1363&lt;0)*(SUM($K1364:AL1364)=0)</f>
        <v>0</v>
      </c>
      <c r="AN1364" s="52">
        <f ca="1">1*(AN1363&gt;0)*(AM1363&lt;0)*(SUM($K1364:AM1364)=0)</f>
        <v>0</v>
      </c>
      <c r="AO1364" s="52">
        <f ca="1">1*(AO1363&gt;0)*(AN1363&lt;0)*(SUM($K1364:AN1364)=0)</f>
        <v>0</v>
      </c>
      <c r="AP1364" s="52">
        <f ca="1">1*(AP1363&gt;0)*(AO1363&lt;0)*(SUM($K1364:AO1364)=0)</f>
        <v>0</v>
      </c>
      <c r="AQ1364" s="52">
        <f ca="1">1*(AQ1363&gt;0)*(AP1363&lt;0)*(SUM($K1364:AP1364)=0)</f>
        <v>0</v>
      </c>
      <c r="AR1364" s="52">
        <f ca="1">1*(AR1363&gt;0)*(AQ1363&lt;0)*(SUM($K1364:AQ1364)=0)</f>
        <v>0</v>
      </c>
      <c r="AS1364" s="52">
        <f ca="1">1*(AS1363&gt;0)*(AR1363&lt;0)*(SUM($K1364:AR1364)=0)</f>
        <v>0</v>
      </c>
      <c r="AT1364" s="52">
        <f ca="1">1*(AT1363&gt;0)*(AS1363&lt;0)*(SUM($K1364:AS1364)=0)</f>
        <v>0</v>
      </c>
      <c r="AU1364" s="52">
        <f ca="1">1*(AU1363&gt;0)*(AT1363&lt;0)*(SUM($K1364:AT1364)=0)</f>
        <v>0</v>
      </c>
      <c r="AV1364" s="52">
        <f ca="1">1*(AV1363&gt;0)*(AU1363&lt;0)*(SUM($K1364:AU1364)=0)</f>
        <v>1</v>
      </c>
      <c r="AW1364" s="52">
        <f ca="1">1*(AW1363&gt;0)*(AV1363&lt;0)*(SUM($K1364:AV1364)=0)</f>
        <v>0</v>
      </c>
      <c r="AX1364" s="52">
        <f ca="1">1*(AX1363&gt;0)*(AW1363&lt;0)*(SUM($K1364:AW1364)=0)</f>
        <v>0</v>
      </c>
      <c r="AY1364" s="52">
        <f ca="1">1*(AY1363&gt;0)*(AX1363&lt;0)*(SUM($K1364:AX1364)=0)</f>
        <v>0</v>
      </c>
      <c r="AZ1364" s="52">
        <f ca="1">1*(AZ1363&gt;0)*(AY1363&lt;0)*(SUM($K1364:AY1364)=0)</f>
        <v>0</v>
      </c>
      <c r="BA1364" s="52">
        <f ca="1">1*(BA1363&gt;0)*(AZ1363&lt;0)*(SUM($K1364:AZ1364)=0)</f>
        <v>0</v>
      </c>
      <c r="BB1364" s="52">
        <f ca="1">1*(BB1363&gt;0)*(BA1363&lt;0)*(SUM($K1364:BA1364)=0)</f>
        <v>0</v>
      </c>
      <c r="BC1364" s="52">
        <f ca="1">1*(BC1363&gt;0)*(BB1363&lt;0)*(SUM($K1364:BB1364)=0)</f>
        <v>0</v>
      </c>
      <c r="BD1364" s="52">
        <f ca="1">1*(BD1363&gt;0)*(BC1363&lt;0)*(SUM($K1364:BC1364)=0)</f>
        <v>0</v>
      </c>
      <c r="BE1364" s="52">
        <f ca="1">1*(BE1363&gt;0)*(BD1363&lt;0)*(SUM($K1364:BD1364)=0)</f>
        <v>0</v>
      </c>
      <c r="BF1364" s="52">
        <f ca="1">1*(BF1363&gt;0)*(BE1363&lt;0)*(SUM($K1364:BE1364)=0)</f>
        <v>0</v>
      </c>
      <c r="BG1364" s="52">
        <f ca="1">1*(BG1363&gt;0)*(BF1363&lt;0)*(SUM($K1364:BF1364)=0)</f>
        <v>0</v>
      </c>
      <c r="BH1364" s="52">
        <f ca="1">1*(BH1363&gt;0)*(BG1363&lt;0)*(SUM($K1364:BG1364)=0)</f>
        <v>0</v>
      </c>
      <c r="BI1364" s="52">
        <f ca="1">1*(BI1363&gt;0)*(BH1363&lt;0)*(SUM($K1364:BH1364)=0)</f>
        <v>0</v>
      </c>
      <c r="BJ1364" s="52">
        <f ca="1">1*(BJ1363&gt;0)*(BI1363&lt;0)*(SUM($K1364:BI1364)=0)</f>
        <v>0</v>
      </c>
      <c r="BK1364" s="52">
        <f ca="1">1*(BK1363&gt;0)*(BJ1363&lt;0)*(SUM($K1364:BJ1364)=0)</f>
        <v>0</v>
      </c>
      <c r="BL1364" s="52">
        <f ca="1">1*(BL1363&gt;0)*(BK1363&lt;0)*(SUM($K1364:BK1364)=0)</f>
        <v>0</v>
      </c>
      <c r="BM1364" s="52">
        <f ca="1">1*(BM1363&gt;0)*(BL1363&lt;0)*(SUM($K1364:BL1364)=0)</f>
        <v>0</v>
      </c>
      <c r="BN1364" s="52">
        <f ca="1">1*(BN1363&gt;0)*(BM1363&lt;0)*(SUM($K1364:BM1364)=0)</f>
        <v>0</v>
      </c>
      <c r="BO1364" s="52">
        <f ca="1">1*(BO1363&gt;0)*(BN1363&lt;0)*(SUM($K1364:BN1364)=0)</f>
        <v>0</v>
      </c>
      <c r="BP1364" s="52">
        <f ca="1">1*(BP1363&gt;0)*(BO1363&lt;0)*(SUM($K1364:BO1364)=0)</f>
        <v>0</v>
      </c>
      <c r="BQ1364" s="52">
        <f ca="1">1*(BQ1363&gt;0)*(BP1363&lt;0)*(SUM($K1364:BP1364)=0)</f>
        <v>0</v>
      </c>
      <c r="BR1364" s="52">
        <f ca="1">1*(BR1363&gt;0)*(BQ1363&lt;0)*(SUM($K1364:BQ1364)=0)</f>
        <v>0</v>
      </c>
      <c r="BS1364" s="52">
        <f ca="1">1*(BS1363&gt;0)*(BR1363&lt;0)*(SUM($K1364:BR1364)=0)</f>
        <v>0</v>
      </c>
      <c r="BT1364" s="52">
        <f ca="1">1*(BT1363&gt;0)*(BS1363&lt;0)*(SUM($K1364:BS1364)=0)</f>
        <v>0</v>
      </c>
      <c r="BU1364" s="52">
        <f ca="1">1*(BU1363&gt;0)*(BT1363&lt;0)*(SUM($K1364:BT1364)=0)</f>
        <v>0</v>
      </c>
      <c r="BV1364" s="52">
        <f ca="1">1*(BV1363&gt;0)*(BU1363&lt;0)*(SUM($K1364:BU1364)=0)</f>
        <v>0</v>
      </c>
      <c r="BW1364" s="52">
        <f ca="1">1*(BW1363&gt;0)*(BV1363&lt;0)*(SUM($K1364:BV1364)=0)</f>
        <v>0</v>
      </c>
      <c r="BX1364" s="52">
        <f ca="1">1*(BX1363&gt;0)*(BW1363&lt;0)*(SUM($K1364:BW1364)=0)</f>
        <v>0</v>
      </c>
      <c r="BY1364" s="52">
        <f ca="1">1*(BY1363&gt;0)*(BX1363&lt;0)*(SUM($K1364:BX1364)=0)</f>
        <v>0</v>
      </c>
      <c r="BZ1364" s="52">
        <f ca="1">1*(BZ1363&gt;0)*(BY1363&lt;0)*(SUM($K1364:BY1364)=0)</f>
        <v>0</v>
      </c>
      <c r="CA1364" s="52">
        <f ca="1">1*(CA1363&gt;0)*(BZ1363&lt;0)*(SUM($K1364:BZ1364)=0)</f>
        <v>0</v>
      </c>
      <c r="CB1364" s="52">
        <f ca="1">1*(CB1363&gt;0)*(CA1363&lt;0)*(SUM($K1364:CA1364)=0)</f>
        <v>0</v>
      </c>
      <c r="CC1364" s="52">
        <f ca="1">1*(CC1363&gt;0)*(CB1363&lt;0)*(SUM($K1364:CB1364)=0)</f>
        <v>0</v>
      </c>
      <c r="CD1364" s="52">
        <f ca="1">1*(CD1363&gt;0)*(CC1363&lt;0)*(SUM($K1364:CC1364)=0)</f>
        <v>0</v>
      </c>
      <c r="CE1364" s="52">
        <f ca="1">1*(CE1363&gt;0)*(CD1363&lt;0)*(SUM($K1364:CD1364)=0)</f>
        <v>0</v>
      </c>
      <c r="CF1364" s="52">
        <f ca="1">1*(CF1363&gt;0)*(CE1363&lt;0)*(SUM($K1364:CE1364)=0)</f>
        <v>0</v>
      </c>
      <c r="CG1364" s="52">
        <f ca="1">1*(CG1363&gt;0)*(CF1363&lt;0)*(SUM($K1364:CF1364)=0)</f>
        <v>0</v>
      </c>
      <c r="CH1364" s="52">
        <f ca="1">1*(CH1363&gt;0)*(CG1363&lt;0)*(SUM($K1364:CG1364)=0)</f>
        <v>0</v>
      </c>
      <c r="CI1364" s="52">
        <f ca="1">1*(CI1363&gt;0)*(CH1363&lt;0)*(SUM($K1364:CH1364)=0)</f>
        <v>0</v>
      </c>
      <c r="CJ1364" s="52">
        <f ca="1">1*(CJ1363&gt;0)*(CI1363&lt;0)*(SUM($K1364:CI1364)=0)</f>
        <v>0</v>
      </c>
      <c r="CK1364" s="52">
        <f ca="1">1*(CK1363&gt;0)*(CJ1363&lt;0)*(SUM($K1364:CJ1364)=0)</f>
        <v>0</v>
      </c>
      <c r="CL1364" s="52">
        <f ca="1">1*(CL1363&gt;0)*(CK1363&lt;0)*(SUM($K1364:CK1364)=0)</f>
        <v>0</v>
      </c>
      <c r="CM1364" s="52">
        <f ca="1">1*(CM1363&gt;0)*(CL1363&lt;0)*(SUM($K1364:CL1364)=0)</f>
        <v>0</v>
      </c>
      <c r="CN1364" s="52">
        <f ca="1">1*(CN1363&gt;0)*(CM1363&lt;0)*(SUM($K1364:CM1364)=0)</f>
        <v>0</v>
      </c>
      <c r="CO1364" s="52">
        <f ca="1">1*(CO1363&gt;0)*(CN1363&lt;0)*(SUM($K1364:CN1364)=0)</f>
        <v>0</v>
      </c>
    </row>
    <row r="1365" spans="1:93">
      <c r="A1365" s="10"/>
      <c r="B1365" s="10"/>
      <c r="C1365" s="17" t="s">
        <v>223</v>
      </c>
      <c r="D1365" s="10"/>
      <c r="E1365" s="10">
        <f ca="1">SUM(L1365:CO1365)</f>
        <v>71.347656625490302</v>
      </c>
      <c r="F1365" s="10"/>
      <c r="G1365" s="11"/>
      <c r="H1365" s="10"/>
      <c r="I1365" s="10"/>
      <c r="J1365" s="10"/>
      <c r="K1365" s="10"/>
      <c r="L1365" s="52">
        <f t="shared" ref="L1365:AQ1365" ca="1" si="1628">-IFERROR(K1363/L1348,0)*Days_In_Period*L1364</f>
        <v>0</v>
      </c>
      <c r="M1365" s="52">
        <f t="shared" ca="1" si="1628"/>
        <v>0</v>
      </c>
      <c r="N1365" s="52">
        <f t="shared" ca="1" si="1628"/>
        <v>0</v>
      </c>
      <c r="O1365" s="52">
        <f t="shared" ca="1" si="1628"/>
        <v>0</v>
      </c>
      <c r="P1365" s="52">
        <f t="shared" ca="1" si="1628"/>
        <v>0</v>
      </c>
      <c r="Q1365" s="52">
        <f t="shared" ca="1" si="1628"/>
        <v>0</v>
      </c>
      <c r="R1365" s="52">
        <f t="shared" ca="1" si="1628"/>
        <v>0</v>
      </c>
      <c r="S1365" s="52">
        <f t="shared" ca="1" si="1628"/>
        <v>0</v>
      </c>
      <c r="T1365" s="52">
        <f t="shared" ca="1" si="1628"/>
        <v>0</v>
      </c>
      <c r="U1365" s="52">
        <f t="shared" ca="1" si="1628"/>
        <v>0</v>
      </c>
      <c r="V1365" s="52">
        <f t="shared" ca="1" si="1628"/>
        <v>0</v>
      </c>
      <c r="W1365" s="52">
        <f t="shared" ca="1" si="1628"/>
        <v>0</v>
      </c>
      <c r="X1365" s="52">
        <f t="shared" ca="1" si="1628"/>
        <v>0</v>
      </c>
      <c r="Y1365" s="52">
        <f t="shared" ca="1" si="1628"/>
        <v>0</v>
      </c>
      <c r="Z1365" s="52">
        <f t="shared" ca="1" si="1628"/>
        <v>0</v>
      </c>
      <c r="AA1365" s="52">
        <f t="shared" ca="1" si="1628"/>
        <v>0</v>
      </c>
      <c r="AB1365" s="52">
        <f t="shared" ca="1" si="1628"/>
        <v>0</v>
      </c>
      <c r="AC1365" s="52">
        <f t="shared" ca="1" si="1628"/>
        <v>0</v>
      </c>
      <c r="AD1365" s="52">
        <f t="shared" ca="1" si="1628"/>
        <v>0</v>
      </c>
      <c r="AE1365" s="52">
        <f t="shared" ca="1" si="1628"/>
        <v>0</v>
      </c>
      <c r="AF1365" s="52">
        <f t="shared" ca="1" si="1628"/>
        <v>0</v>
      </c>
      <c r="AG1365" s="52">
        <f t="shared" ca="1" si="1628"/>
        <v>0</v>
      </c>
      <c r="AH1365" s="52">
        <f t="shared" ca="1" si="1628"/>
        <v>0</v>
      </c>
      <c r="AI1365" s="52">
        <f t="shared" ca="1" si="1628"/>
        <v>0</v>
      </c>
      <c r="AJ1365" s="52">
        <f t="shared" ca="1" si="1628"/>
        <v>0</v>
      </c>
      <c r="AK1365" s="52">
        <f t="shared" ca="1" si="1628"/>
        <v>0</v>
      </c>
      <c r="AL1365" s="52">
        <f t="shared" ca="1" si="1628"/>
        <v>0</v>
      </c>
      <c r="AM1365" s="52">
        <f t="shared" ca="1" si="1628"/>
        <v>0</v>
      </c>
      <c r="AN1365" s="52">
        <f t="shared" ca="1" si="1628"/>
        <v>0</v>
      </c>
      <c r="AO1365" s="52">
        <f t="shared" ca="1" si="1628"/>
        <v>0</v>
      </c>
      <c r="AP1365" s="52">
        <f t="shared" ca="1" si="1628"/>
        <v>0</v>
      </c>
      <c r="AQ1365" s="52">
        <f t="shared" ca="1" si="1628"/>
        <v>0</v>
      </c>
      <c r="AR1365" s="52">
        <f t="shared" ref="AR1365:BW1365" ca="1" si="1629">-IFERROR(AQ1363/AR1348,0)*Days_In_Period*AR1364</f>
        <v>0</v>
      </c>
      <c r="AS1365" s="52">
        <f t="shared" ca="1" si="1629"/>
        <v>0</v>
      </c>
      <c r="AT1365" s="52">
        <f t="shared" ca="1" si="1629"/>
        <v>0</v>
      </c>
      <c r="AU1365" s="52">
        <f t="shared" ca="1" si="1629"/>
        <v>0</v>
      </c>
      <c r="AV1365" s="52">
        <f t="shared" ca="1" si="1629"/>
        <v>71.347656625490302</v>
      </c>
      <c r="AW1365" s="52">
        <f t="shared" ca="1" si="1629"/>
        <v>0</v>
      </c>
      <c r="AX1365" s="52">
        <f t="shared" ca="1" si="1629"/>
        <v>0</v>
      </c>
      <c r="AY1365" s="52">
        <f t="shared" ca="1" si="1629"/>
        <v>0</v>
      </c>
      <c r="AZ1365" s="52">
        <f t="shared" ca="1" si="1629"/>
        <v>0</v>
      </c>
      <c r="BA1365" s="52">
        <f t="shared" ca="1" si="1629"/>
        <v>0</v>
      </c>
      <c r="BB1365" s="52">
        <f t="shared" ca="1" si="1629"/>
        <v>0</v>
      </c>
      <c r="BC1365" s="52">
        <f t="shared" ca="1" si="1629"/>
        <v>0</v>
      </c>
      <c r="BD1365" s="52">
        <f t="shared" ca="1" si="1629"/>
        <v>0</v>
      </c>
      <c r="BE1365" s="52">
        <f t="shared" ca="1" si="1629"/>
        <v>0</v>
      </c>
      <c r="BF1365" s="52">
        <f t="shared" ca="1" si="1629"/>
        <v>0</v>
      </c>
      <c r="BG1365" s="52">
        <f t="shared" ca="1" si="1629"/>
        <v>0</v>
      </c>
      <c r="BH1365" s="52">
        <f t="shared" ca="1" si="1629"/>
        <v>0</v>
      </c>
      <c r="BI1365" s="52">
        <f t="shared" ca="1" si="1629"/>
        <v>0</v>
      </c>
      <c r="BJ1365" s="52">
        <f t="shared" ca="1" si="1629"/>
        <v>0</v>
      </c>
      <c r="BK1365" s="52">
        <f t="shared" ca="1" si="1629"/>
        <v>0</v>
      </c>
      <c r="BL1365" s="52">
        <f t="shared" ca="1" si="1629"/>
        <v>0</v>
      </c>
      <c r="BM1365" s="52">
        <f t="shared" ca="1" si="1629"/>
        <v>0</v>
      </c>
      <c r="BN1365" s="52">
        <f t="shared" ca="1" si="1629"/>
        <v>0</v>
      </c>
      <c r="BO1365" s="52">
        <f t="shared" ca="1" si="1629"/>
        <v>0</v>
      </c>
      <c r="BP1365" s="52">
        <f t="shared" ca="1" si="1629"/>
        <v>0</v>
      </c>
      <c r="BQ1365" s="52">
        <f t="shared" ca="1" si="1629"/>
        <v>0</v>
      </c>
      <c r="BR1365" s="52">
        <f t="shared" ca="1" si="1629"/>
        <v>0</v>
      </c>
      <c r="BS1365" s="52">
        <f t="shared" ca="1" si="1629"/>
        <v>0</v>
      </c>
      <c r="BT1365" s="52">
        <f t="shared" ca="1" si="1629"/>
        <v>0</v>
      </c>
      <c r="BU1365" s="52">
        <f t="shared" ca="1" si="1629"/>
        <v>0</v>
      </c>
      <c r="BV1365" s="52">
        <f t="shared" ca="1" si="1629"/>
        <v>0</v>
      </c>
      <c r="BW1365" s="52">
        <f t="shared" ca="1" si="1629"/>
        <v>0</v>
      </c>
      <c r="BX1365" s="52">
        <f t="shared" ref="BX1365:CO1365" ca="1" si="1630">-IFERROR(BW1363/BX1348,0)*Days_In_Period*BX1364</f>
        <v>0</v>
      </c>
      <c r="BY1365" s="52">
        <f t="shared" ca="1" si="1630"/>
        <v>0</v>
      </c>
      <c r="BZ1365" s="52">
        <f t="shared" ca="1" si="1630"/>
        <v>0</v>
      </c>
      <c r="CA1365" s="52">
        <f t="shared" ca="1" si="1630"/>
        <v>0</v>
      </c>
      <c r="CB1365" s="52">
        <f t="shared" ca="1" si="1630"/>
        <v>0</v>
      </c>
      <c r="CC1365" s="52">
        <f t="shared" ca="1" si="1630"/>
        <v>0</v>
      </c>
      <c r="CD1365" s="52">
        <f t="shared" ca="1" si="1630"/>
        <v>0</v>
      </c>
      <c r="CE1365" s="52">
        <f t="shared" ca="1" si="1630"/>
        <v>0</v>
      </c>
      <c r="CF1365" s="52">
        <f t="shared" ca="1" si="1630"/>
        <v>0</v>
      </c>
      <c r="CG1365" s="52">
        <f t="shared" ca="1" si="1630"/>
        <v>0</v>
      </c>
      <c r="CH1365" s="52">
        <f t="shared" ca="1" si="1630"/>
        <v>0</v>
      </c>
      <c r="CI1365" s="52">
        <f t="shared" ca="1" si="1630"/>
        <v>0</v>
      </c>
      <c r="CJ1365" s="52">
        <f t="shared" ca="1" si="1630"/>
        <v>0</v>
      </c>
      <c r="CK1365" s="52">
        <f t="shared" ca="1" si="1630"/>
        <v>0</v>
      </c>
      <c r="CL1365" s="52">
        <f t="shared" ca="1" si="1630"/>
        <v>0</v>
      </c>
      <c r="CM1365" s="52">
        <f t="shared" ca="1" si="1630"/>
        <v>0</v>
      </c>
      <c r="CN1365" s="52">
        <f t="shared" ca="1" si="1630"/>
        <v>0</v>
      </c>
      <c r="CO1365" s="52">
        <f t="shared" ca="1" si="1630"/>
        <v>0</v>
      </c>
    </row>
    <row r="1366" spans="1:93">
      <c r="A1366" s="10"/>
      <c r="B1366" s="10"/>
      <c r="C1366" s="17" t="s">
        <v>94</v>
      </c>
      <c r="D1366" s="10"/>
      <c r="E1366" s="194">
        <f ca="1">SUMPRODUCT(Beginning_of_period,L1364:CO1364)+E1365</f>
        <v>49016.34765662549</v>
      </c>
      <c r="F1366" s="10"/>
      <c r="G1366" s="11" t="s">
        <v>31</v>
      </c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0"/>
      <c r="AH1366" s="10"/>
      <c r="AI1366" s="10"/>
      <c r="AJ1366" s="10"/>
      <c r="AK1366" s="10"/>
      <c r="AL1366" s="10"/>
      <c r="AM1366" s="10"/>
      <c r="AN1366" s="10"/>
      <c r="AO1366" s="10"/>
      <c r="AP1366" s="10"/>
      <c r="AQ1366" s="10"/>
      <c r="AR1366" s="10"/>
      <c r="AS1366" s="10"/>
      <c r="AT1366" s="10"/>
      <c r="AU1366" s="10"/>
      <c r="AV1366" s="10"/>
      <c r="AW1366" s="10"/>
      <c r="AX1366" s="10"/>
      <c r="AY1366" s="10"/>
      <c r="AZ1366" s="10"/>
      <c r="BA1366" s="10"/>
      <c r="BB1366" s="10"/>
      <c r="BC1366" s="10"/>
      <c r="BD1366" s="10"/>
      <c r="BE1366" s="10"/>
      <c r="BF1366" s="10"/>
      <c r="BG1366" s="10"/>
      <c r="BH1366" s="10"/>
      <c r="BI1366" s="10"/>
      <c r="BJ1366" s="10"/>
      <c r="BK1366" s="10"/>
      <c r="BL1366" s="10"/>
      <c r="BM1366" s="10"/>
      <c r="BN1366" s="10"/>
      <c r="BO1366" s="10"/>
      <c r="BP1366" s="10"/>
      <c r="BQ1366" s="10"/>
      <c r="BR1366" s="10"/>
      <c r="BS1366" s="10"/>
      <c r="BT1366" s="10"/>
      <c r="BU1366" s="10"/>
      <c r="BV1366" s="10"/>
      <c r="BW1366" s="10"/>
      <c r="BX1366" s="10"/>
      <c r="BY1366" s="10"/>
      <c r="BZ1366" s="10"/>
      <c r="CA1366" s="10"/>
      <c r="CB1366" s="10"/>
      <c r="CC1366" s="10"/>
      <c r="CD1366" s="10"/>
      <c r="CE1366" s="10"/>
      <c r="CF1366" s="10"/>
      <c r="CG1366" s="10"/>
      <c r="CH1366" s="10"/>
      <c r="CI1366" s="10"/>
      <c r="CJ1366" s="10"/>
      <c r="CK1366" s="10"/>
      <c r="CL1366" s="10"/>
      <c r="CM1366" s="10"/>
      <c r="CN1366" s="10"/>
      <c r="CO1366" s="10"/>
    </row>
    <row r="1367" spans="1:93">
      <c r="A1367" s="10"/>
      <c r="B1367" s="10"/>
      <c r="C1367" s="17" t="s">
        <v>224</v>
      </c>
      <c r="D1367" s="10"/>
      <c r="E1367" s="193">
        <f ca="1">IF(E1366=0,"н.пр.",IFERROR((E1366-Date_Forecast_Start)/Предпосылки!$E$27,"н.пр."))</f>
        <v>9.2009524839054535</v>
      </c>
      <c r="F1367" s="51"/>
      <c r="G1367" s="11" t="s">
        <v>123</v>
      </c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0"/>
      <c r="AH1367" s="10"/>
      <c r="AI1367" s="10"/>
      <c r="AJ1367" s="10"/>
      <c r="AK1367" s="10"/>
      <c r="AL1367" s="10"/>
      <c r="AM1367" s="10"/>
      <c r="AN1367" s="10"/>
      <c r="AO1367" s="10"/>
      <c r="AP1367" s="10"/>
      <c r="AQ1367" s="10"/>
      <c r="AR1367" s="10"/>
      <c r="AS1367" s="10"/>
      <c r="AT1367" s="10"/>
      <c r="AU1367" s="10"/>
      <c r="AV1367" s="10"/>
      <c r="AW1367" s="10"/>
      <c r="AX1367" s="10"/>
      <c r="AY1367" s="10"/>
      <c r="AZ1367" s="10"/>
      <c r="BA1367" s="10"/>
      <c r="BB1367" s="10"/>
      <c r="BC1367" s="10"/>
      <c r="BD1367" s="10"/>
      <c r="BE1367" s="10"/>
      <c r="BF1367" s="10"/>
      <c r="BG1367" s="10"/>
      <c r="BH1367" s="10"/>
      <c r="BI1367" s="10"/>
      <c r="BJ1367" s="10"/>
      <c r="BK1367" s="10"/>
      <c r="BL1367" s="10"/>
      <c r="BM1367" s="10"/>
      <c r="BN1367" s="10"/>
      <c r="BO1367" s="10"/>
      <c r="BP1367" s="10"/>
      <c r="BQ1367" s="10"/>
      <c r="BR1367" s="10"/>
      <c r="BS1367" s="10"/>
      <c r="BT1367" s="10"/>
      <c r="BU1367" s="10"/>
      <c r="BV1367" s="10"/>
      <c r="BW1367" s="10"/>
      <c r="BX1367" s="10"/>
      <c r="BY1367" s="10"/>
      <c r="BZ1367" s="10"/>
      <c r="CA1367" s="10"/>
      <c r="CB1367" s="10"/>
      <c r="CC1367" s="10"/>
      <c r="CD1367" s="10"/>
      <c r="CE1367" s="10"/>
      <c r="CF1367" s="10"/>
      <c r="CG1367" s="10"/>
      <c r="CH1367" s="10"/>
      <c r="CI1367" s="10"/>
      <c r="CJ1367" s="10"/>
      <c r="CK1367" s="10"/>
      <c r="CL1367" s="10"/>
      <c r="CM1367" s="10"/>
      <c r="CN1367" s="10"/>
      <c r="CO1367" s="10"/>
    </row>
    <row r="1368" spans="1:93">
      <c r="A1368" s="10"/>
      <c r="B1368" s="10"/>
      <c r="C1368" s="10"/>
      <c r="D1368" s="10"/>
      <c r="E1368" s="62"/>
      <c r="F1368" s="10"/>
      <c r="G1368" s="11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0"/>
      <c r="AH1368" s="10"/>
      <c r="AI1368" s="10"/>
      <c r="AJ1368" s="10"/>
      <c r="AK1368" s="10"/>
      <c r="AL1368" s="10"/>
      <c r="AM1368" s="10"/>
      <c r="AN1368" s="10"/>
      <c r="AO1368" s="10"/>
      <c r="AP1368" s="10"/>
      <c r="AQ1368" s="10"/>
      <c r="AR1368" s="10"/>
      <c r="AS1368" s="10"/>
      <c r="AT1368" s="10"/>
      <c r="AU1368" s="10"/>
      <c r="AV1368" s="10"/>
      <c r="AW1368" s="10"/>
      <c r="AX1368" s="10"/>
      <c r="AY1368" s="10"/>
      <c r="AZ1368" s="10"/>
      <c r="BA1368" s="10"/>
      <c r="BB1368" s="10"/>
      <c r="BC1368" s="10"/>
      <c r="BD1368" s="10"/>
      <c r="BE1368" s="10"/>
      <c r="BF1368" s="10"/>
      <c r="BG1368" s="10"/>
      <c r="BH1368" s="10"/>
      <c r="BI1368" s="10"/>
      <c r="BJ1368" s="10"/>
      <c r="BK1368" s="10"/>
      <c r="BL1368" s="10"/>
      <c r="BM1368" s="10"/>
      <c r="BN1368" s="10"/>
      <c r="BO1368" s="10"/>
      <c r="BP1368" s="10"/>
      <c r="BQ1368" s="10"/>
      <c r="BR1368" s="10"/>
      <c r="BS1368" s="10"/>
      <c r="BT1368" s="10"/>
      <c r="BU1368" s="10"/>
      <c r="BV1368" s="10"/>
      <c r="BW1368" s="10"/>
      <c r="BX1368" s="10"/>
      <c r="BY1368" s="10"/>
      <c r="BZ1368" s="10"/>
      <c r="CA1368" s="10"/>
      <c r="CB1368" s="10"/>
      <c r="CC1368" s="10"/>
      <c r="CD1368" s="10"/>
      <c r="CE1368" s="10"/>
      <c r="CF1368" s="10"/>
      <c r="CG1368" s="10"/>
      <c r="CH1368" s="10"/>
      <c r="CI1368" s="10"/>
      <c r="CJ1368" s="10"/>
      <c r="CK1368" s="10"/>
      <c r="CL1368" s="10"/>
      <c r="CM1368" s="10"/>
      <c r="CN1368" s="10"/>
      <c r="CO1368" s="10"/>
    </row>
    <row r="1369" spans="1:93">
      <c r="A1369" s="10"/>
      <c r="B1369" s="10"/>
      <c r="C1369" s="16" t="s">
        <v>225</v>
      </c>
      <c r="D1369" s="10"/>
      <c r="E1369" s="192"/>
      <c r="F1369" s="10"/>
      <c r="G1369" s="11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0"/>
      <c r="AH1369" s="10"/>
      <c r="AI1369" s="10"/>
      <c r="AJ1369" s="10"/>
      <c r="AK1369" s="10"/>
      <c r="AL1369" s="10"/>
      <c r="AM1369" s="10"/>
      <c r="AN1369" s="10"/>
      <c r="AO1369" s="10"/>
      <c r="AP1369" s="10"/>
      <c r="AQ1369" s="10"/>
      <c r="AR1369" s="10"/>
      <c r="AS1369" s="10"/>
      <c r="AT1369" s="10"/>
      <c r="AU1369" s="10"/>
      <c r="AV1369" s="10"/>
      <c r="AW1369" s="10"/>
      <c r="AX1369" s="10"/>
      <c r="AY1369" s="10"/>
      <c r="AZ1369" s="10"/>
      <c r="BA1369" s="10"/>
      <c r="BB1369" s="10"/>
      <c r="BC1369" s="10"/>
      <c r="BD1369" s="10"/>
      <c r="BE1369" s="10"/>
      <c r="BF1369" s="10"/>
      <c r="BG1369" s="10"/>
      <c r="BH1369" s="10"/>
      <c r="BI1369" s="10"/>
      <c r="BJ1369" s="10"/>
      <c r="BK1369" s="10"/>
      <c r="BL1369" s="10"/>
      <c r="BM1369" s="10"/>
      <c r="BN1369" s="10"/>
      <c r="BO1369" s="10"/>
      <c r="BP1369" s="10"/>
      <c r="BQ1369" s="10"/>
      <c r="BR1369" s="10"/>
      <c r="BS1369" s="10"/>
      <c r="BT1369" s="10"/>
      <c r="BU1369" s="10"/>
      <c r="BV1369" s="10"/>
      <c r="BW1369" s="10"/>
      <c r="BX1369" s="10"/>
      <c r="BY1369" s="10"/>
      <c r="BZ1369" s="10"/>
      <c r="CA1369" s="10"/>
      <c r="CB1369" s="10"/>
      <c r="CC1369" s="10"/>
      <c r="CD1369" s="10"/>
      <c r="CE1369" s="10"/>
      <c r="CF1369" s="10"/>
      <c r="CG1369" s="10"/>
      <c r="CH1369" s="10"/>
      <c r="CI1369" s="10"/>
      <c r="CJ1369" s="10"/>
      <c r="CK1369" s="10"/>
      <c r="CL1369" s="10"/>
      <c r="CM1369" s="10"/>
      <c r="CN1369" s="10"/>
      <c r="CO1369" s="10"/>
    </row>
    <row r="1370" spans="1:93">
      <c r="A1370" s="10"/>
      <c r="B1370" s="10"/>
      <c r="C1370" s="17" t="s">
        <v>226</v>
      </c>
      <c r="D1370" s="10"/>
      <c r="E1370" s="62"/>
      <c r="F1370" s="10"/>
      <c r="G1370" s="11" t="s">
        <v>378</v>
      </c>
      <c r="H1370" s="10"/>
      <c r="I1370" s="10"/>
      <c r="J1370" s="10"/>
      <c r="K1370" s="10"/>
      <c r="L1370" s="453">
        <f t="shared" ref="L1370:AQ1370" si="1631">IF(End_of_period&gt;Date_Construction_Start,K1370+0.25,0)</f>
        <v>0.25</v>
      </c>
      <c r="M1370" s="453">
        <f t="shared" si="1631"/>
        <v>0.5</v>
      </c>
      <c r="N1370" s="453">
        <f t="shared" si="1631"/>
        <v>0.75</v>
      </c>
      <c r="O1370" s="453">
        <f t="shared" si="1631"/>
        <v>1</v>
      </c>
      <c r="P1370" s="453">
        <f t="shared" si="1631"/>
        <v>1.25</v>
      </c>
      <c r="Q1370" s="453">
        <f t="shared" si="1631"/>
        <v>1.5</v>
      </c>
      <c r="R1370" s="453">
        <f t="shared" si="1631"/>
        <v>1.75</v>
      </c>
      <c r="S1370" s="453">
        <f t="shared" si="1631"/>
        <v>2</v>
      </c>
      <c r="T1370" s="453">
        <f t="shared" si="1631"/>
        <v>2.25</v>
      </c>
      <c r="U1370" s="453">
        <f t="shared" si="1631"/>
        <v>2.5</v>
      </c>
      <c r="V1370" s="453">
        <f t="shared" si="1631"/>
        <v>2.75</v>
      </c>
      <c r="W1370" s="453">
        <f t="shared" si="1631"/>
        <v>3</v>
      </c>
      <c r="X1370" s="453">
        <f t="shared" si="1631"/>
        <v>3.25</v>
      </c>
      <c r="Y1370" s="453">
        <f t="shared" si="1631"/>
        <v>3.5</v>
      </c>
      <c r="Z1370" s="453">
        <f t="shared" si="1631"/>
        <v>3.75</v>
      </c>
      <c r="AA1370" s="453">
        <f t="shared" si="1631"/>
        <v>4</v>
      </c>
      <c r="AB1370" s="453">
        <f t="shared" si="1631"/>
        <v>4.25</v>
      </c>
      <c r="AC1370" s="453">
        <f t="shared" si="1631"/>
        <v>4.5</v>
      </c>
      <c r="AD1370" s="453">
        <f t="shared" si="1631"/>
        <v>4.75</v>
      </c>
      <c r="AE1370" s="453">
        <f t="shared" si="1631"/>
        <v>5</v>
      </c>
      <c r="AF1370" s="453">
        <f t="shared" si="1631"/>
        <v>5.25</v>
      </c>
      <c r="AG1370" s="453">
        <f t="shared" si="1631"/>
        <v>5.5</v>
      </c>
      <c r="AH1370" s="453">
        <f t="shared" si="1631"/>
        <v>5.75</v>
      </c>
      <c r="AI1370" s="453">
        <f t="shared" si="1631"/>
        <v>6</v>
      </c>
      <c r="AJ1370" s="453">
        <f t="shared" si="1631"/>
        <v>6.25</v>
      </c>
      <c r="AK1370" s="453">
        <f t="shared" si="1631"/>
        <v>6.5</v>
      </c>
      <c r="AL1370" s="453">
        <f t="shared" si="1631"/>
        <v>6.75</v>
      </c>
      <c r="AM1370" s="453">
        <f t="shared" si="1631"/>
        <v>7</v>
      </c>
      <c r="AN1370" s="453">
        <f t="shared" si="1631"/>
        <v>7.25</v>
      </c>
      <c r="AO1370" s="453">
        <f t="shared" si="1631"/>
        <v>7.5</v>
      </c>
      <c r="AP1370" s="453">
        <f t="shared" si="1631"/>
        <v>7.75</v>
      </c>
      <c r="AQ1370" s="453">
        <f t="shared" si="1631"/>
        <v>8</v>
      </c>
      <c r="AR1370" s="453">
        <f t="shared" ref="AR1370:BW1370" si="1632">IF(End_of_period&gt;Date_Construction_Start,AQ1370+0.25,0)</f>
        <v>8.25</v>
      </c>
      <c r="AS1370" s="453">
        <f t="shared" si="1632"/>
        <v>8.5</v>
      </c>
      <c r="AT1370" s="453">
        <f t="shared" si="1632"/>
        <v>8.75</v>
      </c>
      <c r="AU1370" s="453">
        <f t="shared" si="1632"/>
        <v>9</v>
      </c>
      <c r="AV1370" s="453">
        <f t="shared" si="1632"/>
        <v>9.25</v>
      </c>
      <c r="AW1370" s="453">
        <f t="shared" si="1632"/>
        <v>9.5</v>
      </c>
      <c r="AX1370" s="453">
        <f t="shared" si="1632"/>
        <v>9.75</v>
      </c>
      <c r="AY1370" s="453">
        <f t="shared" si="1632"/>
        <v>10</v>
      </c>
      <c r="AZ1370" s="453">
        <f t="shared" si="1632"/>
        <v>10.25</v>
      </c>
      <c r="BA1370" s="453">
        <f t="shared" si="1632"/>
        <v>10.5</v>
      </c>
      <c r="BB1370" s="453">
        <f t="shared" si="1632"/>
        <v>10.75</v>
      </c>
      <c r="BC1370" s="453">
        <f t="shared" si="1632"/>
        <v>11</v>
      </c>
      <c r="BD1370" s="453">
        <f t="shared" si="1632"/>
        <v>11.25</v>
      </c>
      <c r="BE1370" s="453">
        <f t="shared" si="1632"/>
        <v>11.5</v>
      </c>
      <c r="BF1370" s="453">
        <f t="shared" si="1632"/>
        <v>11.75</v>
      </c>
      <c r="BG1370" s="453">
        <f t="shared" si="1632"/>
        <v>12</v>
      </c>
      <c r="BH1370" s="453">
        <f t="shared" si="1632"/>
        <v>12.25</v>
      </c>
      <c r="BI1370" s="453">
        <f t="shared" si="1632"/>
        <v>12.5</v>
      </c>
      <c r="BJ1370" s="453">
        <f t="shared" si="1632"/>
        <v>12.75</v>
      </c>
      <c r="BK1370" s="453">
        <f t="shared" si="1632"/>
        <v>13</v>
      </c>
      <c r="BL1370" s="453">
        <f t="shared" si="1632"/>
        <v>13.25</v>
      </c>
      <c r="BM1370" s="453">
        <f t="shared" si="1632"/>
        <v>13.5</v>
      </c>
      <c r="BN1370" s="453">
        <f t="shared" si="1632"/>
        <v>13.75</v>
      </c>
      <c r="BO1370" s="453">
        <f t="shared" si="1632"/>
        <v>14</v>
      </c>
      <c r="BP1370" s="453">
        <f t="shared" si="1632"/>
        <v>14.25</v>
      </c>
      <c r="BQ1370" s="453">
        <f t="shared" si="1632"/>
        <v>14.5</v>
      </c>
      <c r="BR1370" s="453">
        <f t="shared" si="1632"/>
        <v>14.75</v>
      </c>
      <c r="BS1370" s="453">
        <f t="shared" si="1632"/>
        <v>15</v>
      </c>
      <c r="BT1370" s="453">
        <f t="shared" si="1632"/>
        <v>15.25</v>
      </c>
      <c r="BU1370" s="453">
        <f t="shared" si="1632"/>
        <v>15.5</v>
      </c>
      <c r="BV1370" s="453">
        <f t="shared" si="1632"/>
        <v>15.75</v>
      </c>
      <c r="BW1370" s="453">
        <f t="shared" si="1632"/>
        <v>16</v>
      </c>
      <c r="BX1370" s="453">
        <f t="shared" ref="BX1370:CO1370" si="1633">IF(End_of_period&gt;Date_Construction_Start,BW1370+0.25,0)</f>
        <v>16.25</v>
      </c>
      <c r="BY1370" s="453">
        <f t="shared" si="1633"/>
        <v>16.5</v>
      </c>
      <c r="BZ1370" s="453">
        <f t="shared" si="1633"/>
        <v>16.75</v>
      </c>
      <c r="CA1370" s="453">
        <f t="shared" si="1633"/>
        <v>17</v>
      </c>
      <c r="CB1370" s="453">
        <f t="shared" si="1633"/>
        <v>17.25</v>
      </c>
      <c r="CC1370" s="453">
        <f t="shared" si="1633"/>
        <v>17.5</v>
      </c>
      <c r="CD1370" s="453">
        <f t="shared" si="1633"/>
        <v>17.75</v>
      </c>
      <c r="CE1370" s="453">
        <f t="shared" si="1633"/>
        <v>18</v>
      </c>
      <c r="CF1370" s="453">
        <f t="shared" si="1633"/>
        <v>18.25</v>
      </c>
      <c r="CG1370" s="453">
        <f t="shared" si="1633"/>
        <v>18.5</v>
      </c>
      <c r="CH1370" s="453">
        <f t="shared" si="1633"/>
        <v>18.75</v>
      </c>
      <c r="CI1370" s="453">
        <f t="shared" si="1633"/>
        <v>19</v>
      </c>
      <c r="CJ1370" s="453">
        <f t="shared" si="1633"/>
        <v>19.25</v>
      </c>
      <c r="CK1370" s="453">
        <f t="shared" si="1633"/>
        <v>19.5</v>
      </c>
      <c r="CL1370" s="453">
        <f t="shared" si="1633"/>
        <v>19.75</v>
      </c>
      <c r="CM1370" s="453">
        <f t="shared" si="1633"/>
        <v>20</v>
      </c>
      <c r="CN1370" s="453">
        <f t="shared" si="1633"/>
        <v>20.25</v>
      </c>
      <c r="CO1370" s="453">
        <f t="shared" si="1633"/>
        <v>20.5</v>
      </c>
    </row>
    <row r="1371" spans="1:93">
      <c r="A1371" s="10"/>
      <c r="B1371" s="10"/>
      <c r="C1371" s="17" t="s">
        <v>227</v>
      </c>
      <c r="D1371" s="10"/>
      <c r="E1371" s="62"/>
      <c r="F1371" s="10"/>
      <c r="G1371" s="11" t="s">
        <v>378</v>
      </c>
      <c r="H1371" s="10"/>
      <c r="I1371" s="10"/>
      <c r="J1371" s="10"/>
      <c r="K1371" s="10"/>
      <c r="L1371" s="453">
        <f t="shared" ref="L1371:AQ1371" ca="1" si="1634">1/((1+Required_Rate_of_Return)^L1370)</f>
        <v>0.94832899471777088</v>
      </c>
      <c r="M1371" s="453">
        <f t="shared" ca="1" si="1634"/>
        <v>0.899327882222418</v>
      </c>
      <c r="N1371" s="453">
        <f t="shared" ca="1" si="1634"/>
        <v>0.85285870646964757</v>
      </c>
      <c r="O1371" s="453">
        <f t="shared" ca="1" si="1634"/>
        <v>0.8087906397426593</v>
      </c>
      <c r="P1371" s="453">
        <f t="shared" ca="1" si="1634"/>
        <v>0.76699961432429886</v>
      </c>
      <c r="Q1371" s="453">
        <f t="shared" ca="1" si="1634"/>
        <v>0.72736797320108038</v>
      </c>
      <c r="R1371" s="453">
        <f t="shared" ca="1" si="1634"/>
        <v>0.68978413881568312</v>
      </c>
      <c r="S1371" s="453">
        <f t="shared" ca="1" si="1634"/>
        <v>0.65414229893534015</v>
      </c>
      <c r="T1371" s="453">
        <f t="shared" ca="1" si="1634"/>
        <v>0.62034210875172269</v>
      </c>
      <c r="U1371" s="453">
        <f t="shared" ca="1" si="1634"/>
        <v>0.58828840837362328</v>
      </c>
      <c r="V1371" s="453">
        <f t="shared" ca="1" si="1634"/>
        <v>0.55789095491707563</v>
      </c>
      <c r="W1371" s="453">
        <f t="shared" ca="1" si="1634"/>
        <v>0.52906416843864756</v>
      </c>
      <c r="X1371" s="453">
        <f t="shared" ca="1" si="1634"/>
        <v>0.50172689099661605</v>
      </c>
      <c r="Y1371" s="453">
        <f t="shared" ca="1" si="1634"/>
        <v>0.47580215816169363</v>
      </c>
      <c r="Z1371" s="453">
        <f t="shared" ca="1" si="1634"/>
        <v>0.45121698233402474</v>
      </c>
      <c r="AA1371" s="453">
        <f t="shared" ca="1" si="1634"/>
        <v>0.42790214725641185</v>
      </c>
      <c r="AB1371" s="453">
        <f t="shared" ca="1" si="1634"/>
        <v>0.40579201314524865</v>
      </c>
      <c r="AC1371" s="453">
        <f t="shared" ca="1" si="1634"/>
        <v>0.38482433189053411</v>
      </c>
      <c r="AD1371" s="453">
        <f t="shared" ca="1" si="1634"/>
        <v>0.36494007180468807</v>
      </c>
      <c r="AE1371" s="453">
        <f t="shared" ca="1" si="1634"/>
        <v>0.34608325142677093</v>
      </c>
      <c r="AF1371" s="453">
        <f t="shared" ca="1" si="1634"/>
        <v>0.32820078191420726</v>
      </c>
      <c r="AG1371" s="453">
        <f t="shared" ca="1" si="1634"/>
        <v>0.31124231757828658</v>
      </c>
      <c r="AH1371" s="453">
        <f t="shared" ca="1" si="1634"/>
        <v>0.29516011414264565</v>
      </c>
      <c r="AI1371" s="453">
        <f t="shared" ca="1" si="1634"/>
        <v>0.27990889432567767</v>
      </c>
      <c r="AJ1371" s="453">
        <f t="shared" ca="1" si="1634"/>
        <v>0.26544572036843272</v>
      </c>
      <c r="AK1371" s="453">
        <f t="shared" ca="1" si="1634"/>
        <v>0.25172987314913031</v>
      </c>
      <c r="AL1371" s="453">
        <f t="shared" ca="1" si="1634"/>
        <v>0.23872273754394677</v>
      </c>
      <c r="AM1371" s="453">
        <f t="shared" ca="1" si="1634"/>
        <v>0.22638769371132528</v>
      </c>
      <c r="AN1371" s="453">
        <f t="shared" ca="1" si="1634"/>
        <v>0.21469001399373575</v>
      </c>
      <c r="AO1371" s="453">
        <f t="shared" ca="1" si="1634"/>
        <v>0.20359676514662362</v>
      </c>
      <c r="AP1371" s="453">
        <f t="shared" ca="1" si="1634"/>
        <v>0.19307671561928766</v>
      </c>
      <c r="AQ1371" s="453">
        <f t="shared" ca="1" si="1634"/>
        <v>0.18310024762664795</v>
      </c>
      <c r="AR1371" s="453">
        <f t="shared" ref="AR1371:BW1371" ca="1" si="1635">1/((1+Required_Rate_of_Return)^AR1370)</f>
        <v>0.17363927376435401</v>
      </c>
      <c r="AS1371" s="453">
        <f t="shared" ca="1" si="1635"/>
        <v>0.16466715793247363</v>
      </c>
      <c r="AT1371" s="453">
        <f t="shared" ca="1" si="1635"/>
        <v>0.15615864034513513</v>
      </c>
      <c r="AU1371" s="453">
        <f t="shared" ca="1" si="1635"/>
        <v>0.14808976641499594</v>
      </c>
      <c r="AV1371" s="453">
        <f t="shared" ca="1" si="1635"/>
        <v>0.14043781931232263</v>
      </c>
      <c r="AW1371" s="453">
        <f t="shared" ca="1" si="1635"/>
        <v>0.13318125600881089</v>
      </c>
      <c r="AX1371" s="453">
        <f t="shared" ca="1" si="1635"/>
        <v>0.12629964662608573</v>
      </c>
      <c r="AY1371" s="453">
        <f t="shared" ca="1" si="1635"/>
        <v>0.11977361691812553</v>
      </c>
      <c r="AZ1371" s="453">
        <f t="shared" ca="1" si="1635"/>
        <v>0.11358479372567742</v>
      </c>
      <c r="BA1371" s="453">
        <f t="shared" ca="1" si="1635"/>
        <v>0.10771575324909705</v>
      </c>
      <c r="BB1371" s="453">
        <f t="shared" ca="1" si="1635"/>
        <v>0.10214997199398365</v>
      </c>
      <c r="BC1371" s="453">
        <f t="shared" ca="1" si="1635"/>
        <v>9.6871780251502948E-2</v>
      </c>
      <c r="BD1371" s="453">
        <f t="shared" ca="1" si="1635"/>
        <v>9.1866317982428641E-2</v>
      </c>
      <c r="BE1371" s="453">
        <f t="shared" ca="1" si="1635"/>
        <v>8.7119492980699625E-2</v>
      </c>
      <c r="BF1371" s="453">
        <f t="shared" ca="1" si="1635"/>
        <v>8.2617941198708772E-2</v>
      </c>
      <c r="BG1371" s="453">
        <f t="shared" ca="1" si="1635"/>
        <v>7.8348989122623378E-2</v>
      </c>
      <c r="BH1371" s="453">
        <f t="shared" ca="1" si="1635"/>
        <v>7.4300618091811016E-2</v>
      </c>
      <c r="BI1371" s="453">
        <f t="shared" ca="1" si="1635"/>
        <v>7.0461430461916164E-2</v>
      </c>
      <c r="BJ1371" s="453">
        <f t="shared" ca="1" si="1635"/>
        <v>6.6820617516325065E-2</v>
      </c>
      <c r="BK1371" s="453">
        <f t="shared" ca="1" si="1635"/>
        <v>6.3367929035677215E-2</v>
      </c>
      <c r="BL1371" s="453">
        <f t="shared" ca="1" si="1635"/>
        <v>6.0093644439750835E-2</v>
      </c>
      <c r="BM1371" s="453">
        <f t="shared" ca="1" si="1635"/>
        <v>5.6988545420476093E-2</v>
      </c>
      <c r="BN1371" s="453">
        <f t="shared" ca="1" si="1635"/>
        <v>5.4043889989028114E-2</v>
      </c>
      <c r="BO1371" s="453">
        <f t="shared" ca="1" si="1635"/>
        <v>5.125138786393281E-2</v>
      </c>
      <c r="BP1371" s="453">
        <f t="shared" ca="1" si="1635"/>
        <v>4.8603177130893994E-2</v>
      </c>
      <c r="BQ1371" s="453">
        <f t="shared" ca="1" si="1635"/>
        <v>4.6091802108630453E-2</v>
      </c>
      <c r="BR1371" s="453">
        <f t="shared" ca="1" si="1635"/>
        <v>4.3710192358407951E-2</v>
      </c>
      <c r="BS1371" s="453">
        <f t="shared" ca="1" si="1635"/>
        <v>4.1451642778169387E-2</v>
      </c>
      <c r="BT1371" s="453">
        <f t="shared" ca="1" si="1635"/>
        <v>3.9309794725221538E-2</v>
      </c>
      <c r="BU1371" s="453">
        <f t="shared" ca="1" si="1635"/>
        <v>3.727861811433128E-2</v>
      </c>
      <c r="BV1371" s="453">
        <f t="shared" ca="1" si="1635"/>
        <v>3.5352394440831457E-2</v>
      </c>
      <c r="BW1371" s="453">
        <f t="shared" ca="1" si="1635"/>
        <v>3.3525700680939796E-2</v>
      </c>
      <c r="BX1371" s="453">
        <f t="shared" ref="BX1371:CO1371" ca="1" si="1636">1/((1+Required_Rate_of_Return)^BX1370)</f>
        <v>3.1793394023964541E-2</v>
      </c>
      <c r="BY1371" s="453">
        <f t="shared" ca="1" si="1636"/>
        <v>3.0150597393412276E-2</v>
      </c>
      <c r="BZ1371" s="453">
        <f t="shared" ca="1" si="1636"/>
        <v>2.8592685716234904E-2</v>
      </c>
      <c r="CA1371" s="453">
        <f t="shared" ca="1" si="1636"/>
        <v>2.7115272901558209E-2</v>
      </c>
      <c r="CB1371" s="453">
        <f t="shared" ca="1" si="1636"/>
        <v>2.571419949223272E-2</v>
      </c>
      <c r="CC1371" s="453">
        <f t="shared" ca="1" si="1636"/>
        <v>2.438552095444127E-2</v>
      </c>
      <c r="CD1371" s="453">
        <f t="shared" ca="1" si="1636"/>
        <v>2.3125496572394429E-2</v>
      </c>
      <c r="CE1371" s="453">
        <f t="shared" ca="1" si="1636"/>
        <v>2.1930578916848055E-2</v>
      </c>
      <c r="CF1371" s="453">
        <f t="shared" ca="1" si="1636"/>
        <v>2.0797403857793266E-2</v>
      </c>
      <c r="CG1371" s="453">
        <f t="shared" ca="1" si="1636"/>
        <v>1.9722781093200577E-2</v>
      </c>
      <c r="CH1371" s="453">
        <f t="shared" ca="1" si="1636"/>
        <v>1.870368516715357E-2</v>
      </c>
      <c r="CI1371" s="453">
        <f t="shared" ca="1" si="1636"/>
        <v>1.7737246952084416E-2</v>
      </c>
      <c r="CJ1371" s="453">
        <f t="shared" ca="1" si="1636"/>
        <v>1.6820745571131071E-2</v>
      </c>
      <c r="CK1371" s="453">
        <f t="shared" ca="1" si="1636"/>
        <v>1.5951600737874126E-2</v>
      </c>
      <c r="CL1371" s="453">
        <f t="shared" ca="1" si="1636"/>
        <v>1.5127365491887422E-2</v>
      </c>
      <c r="CM1371" s="453">
        <f t="shared" ca="1" si="1636"/>
        <v>1.4345719309649889E-2</v>
      </c>
      <c r="CN1371" s="453">
        <f t="shared" ca="1" si="1636"/>
        <v>1.3604461571423601E-2</v>
      </c>
      <c r="CO1371" s="453">
        <f t="shared" ca="1" si="1636"/>
        <v>1.2901505365704689E-2</v>
      </c>
    </row>
    <row r="1372" spans="1:93">
      <c r="A1372" s="10"/>
      <c r="B1372" s="10"/>
      <c r="C1372" s="17" t="s">
        <v>228</v>
      </c>
      <c r="D1372" s="10"/>
      <c r="E1372" s="62"/>
      <c r="F1372" s="10"/>
      <c r="G1372" s="134" t="str">
        <f>Monetary_Unit</f>
        <v>тыс. руб.</v>
      </c>
      <c r="H1372" s="10"/>
      <c r="I1372" s="10"/>
      <c r="J1372" s="10"/>
      <c r="K1372" s="10"/>
      <c r="L1372" s="52">
        <f ca="1">L1348*L1371</f>
        <v>-19186.16870969196</v>
      </c>
      <c r="M1372" s="52">
        <f t="shared" ref="M1372:BX1372" ca="1" si="1637">M1348*M1371</f>
        <v>-18453.073223612868</v>
      </c>
      <c r="N1372" s="52">
        <f t="shared" ca="1" si="1637"/>
        <v>-17747.989009603847</v>
      </c>
      <c r="O1372" s="52">
        <f t="shared" ca="1" si="1637"/>
        <v>-17069.845768668543</v>
      </c>
      <c r="P1372" s="52">
        <f t="shared" ca="1" si="1637"/>
        <v>-136135.13785542484</v>
      </c>
      <c r="Q1372" s="52">
        <f t="shared" ca="1" si="1637"/>
        <v>-130372.98206625042</v>
      </c>
      <c r="R1372" s="52">
        <f t="shared" ca="1" si="1637"/>
        <v>-124854.71951332464</v>
      </c>
      <c r="S1372" s="52">
        <f t="shared" ca="1" si="1637"/>
        <v>-119570.02699247454</v>
      </c>
      <c r="T1372" s="52">
        <f t="shared" ca="1" si="1637"/>
        <v>-80669.25126400865</v>
      </c>
      <c r="U1372" s="52">
        <f t="shared" ca="1" si="1637"/>
        <v>-2401.2864084182347</v>
      </c>
      <c r="V1372" s="52">
        <f t="shared" ca="1" si="1637"/>
        <v>-3685.5656867156372</v>
      </c>
      <c r="W1372" s="52">
        <f t="shared" ca="1" si="1637"/>
        <v>-4819.9087623841133</v>
      </c>
      <c r="X1372" s="52">
        <f t="shared" ca="1" si="1637"/>
        <v>-6368.1927780455326</v>
      </c>
      <c r="Y1372" s="52">
        <f t="shared" ca="1" si="1637"/>
        <v>-8333.9617054898481</v>
      </c>
      <c r="Z1372" s="52">
        <f t="shared" ca="1" si="1637"/>
        <v>-10212.025422906738</v>
      </c>
      <c r="AA1372" s="52">
        <f t="shared" ca="1" si="1637"/>
        <v>-11812.154689343255</v>
      </c>
      <c r="AB1372" s="52">
        <f t="shared" ca="1" si="1637"/>
        <v>-13758.421267643331</v>
      </c>
      <c r="AC1372" s="52">
        <f t="shared" ca="1" si="1637"/>
        <v>35810.652447829794</v>
      </c>
      <c r="AD1372" s="52">
        <f t="shared" ca="1" si="1637"/>
        <v>17589.473176020514</v>
      </c>
      <c r="AE1372" s="52">
        <f t="shared" ca="1" si="1637"/>
        <v>10290.254693192483</v>
      </c>
      <c r="AF1372" s="52">
        <f t="shared" ca="1" si="1637"/>
        <v>5449.1398798384434</v>
      </c>
      <c r="AG1372" s="52">
        <f t="shared" ca="1" si="1637"/>
        <v>5766.7490633023217</v>
      </c>
      <c r="AH1372" s="52">
        <f t="shared" ca="1" si="1637"/>
        <v>10611.2634820168</v>
      </c>
      <c r="AI1372" s="52">
        <f t="shared" ca="1" si="1637"/>
        <v>9682.8447629125603</v>
      </c>
      <c r="AJ1372" s="52">
        <f t="shared" ca="1" si="1637"/>
        <v>5118.4700809536207</v>
      </c>
      <c r="AK1372" s="52">
        <f t="shared" ca="1" si="1637"/>
        <v>5392.0848668090293</v>
      </c>
      <c r="AL1372" s="52">
        <f t="shared" ca="1" si="1637"/>
        <v>9886.0048634400482</v>
      </c>
      <c r="AM1372" s="52">
        <f t="shared" ca="1" si="1637"/>
        <v>9008.0456131777955</v>
      </c>
      <c r="AN1372" s="52">
        <f t="shared" ca="1" si="1637"/>
        <v>4791.6805673886474</v>
      </c>
      <c r="AO1372" s="52">
        <f t="shared" ca="1" si="1637"/>
        <v>4990.4984386803999</v>
      </c>
      <c r="AP1372" s="52">
        <f t="shared" ca="1" si="1637"/>
        <v>9007.2468688432782</v>
      </c>
      <c r="AQ1372" s="52">
        <f t="shared" ca="1" si="1637"/>
        <v>8092.5538674475029</v>
      </c>
      <c r="AR1372" s="52">
        <f t="shared" ca="1" si="1637"/>
        <v>4164.9203062473689</v>
      </c>
      <c r="AS1372" s="52">
        <f t="shared" ca="1" si="1637"/>
        <v>4205.3839077526163</v>
      </c>
      <c r="AT1372" s="52">
        <f t="shared" ca="1" si="1637"/>
        <v>14918.661250266165</v>
      </c>
      <c r="AU1372" s="52">
        <f t="shared" ca="1" si="1637"/>
        <v>40089.548640001987</v>
      </c>
      <c r="AV1372" s="52">
        <f t="shared" ca="1" si="1637"/>
        <v>20436.155122805034</v>
      </c>
      <c r="AW1372" s="52">
        <f t="shared" ca="1" si="1637"/>
        <v>24290.609505707496</v>
      </c>
      <c r="AX1372" s="52">
        <f t="shared" ca="1" si="1637"/>
        <v>34483.200860990037</v>
      </c>
      <c r="AY1372" s="52">
        <f t="shared" ca="1" si="1637"/>
        <v>19236.851896291748</v>
      </c>
      <c r="AZ1372" s="52">
        <f t="shared" ca="1" si="1637"/>
        <v>10307.443096531219</v>
      </c>
      <c r="BA1372" s="52">
        <f t="shared" ca="1" si="1637"/>
        <v>15115.461856534163</v>
      </c>
      <c r="BB1372" s="52">
        <f t="shared" ca="1" si="1637"/>
        <v>27932.032084873288</v>
      </c>
      <c r="BC1372" s="52">
        <f t="shared" ca="1" si="1637"/>
        <v>16180.24157617182</v>
      </c>
      <c r="BD1372" s="52">
        <f t="shared" ca="1" si="1637"/>
        <v>8789.5031632261362</v>
      </c>
      <c r="BE1372" s="52">
        <f t="shared" ca="1" si="1637"/>
        <v>12596.38108178718</v>
      </c>
      <c r="BF1372" s="52">
        <f t="shared" ca="1" si="1637"/>
        <v>23408.891248602758</v>
      </c>
      <c r="BG1372" s="52">
        <f t="shared" ca="1" si="1637"/>
        <v>13528.403658421539</v>
      </c>
      <c r="BH1372" s="52">
        <f t="shared" ca="1" si="1637"/>
        <v>7214.1193511695565</v>
      </c>
      <c r="BI1372" s="52">
        <f t="shared" ca="1" si="1637"/>
        <v>10620.089765377068</v>
      </c>
      <c r="BJ1372" s="52">
        <f t="shared" ca="1" si="1637"/>
        <v>19692.046845352914</v>
      </c>
      <c r="BK1372" s="52">
        <f t="shared" ca="1" si="1637"/>
        <v>11381.055728019886</v>
      </c>
      <c r="BL1372" s="52">
        <f t="shared" ca="1" si="1637"/>
        <v>6070.0614959243367</v>
      </c>
      <c r="BM1372" s="52">
        <f t="shared" ca="1" si="1637"/>
        <v>8934.917832169258</v>
      </c>
      <c r="BN1372" s="52">
        <f t="shared" ca="1" si="1637"/>
        <v>16565.676608526606</v>
      </c>
      <c r="BO1372" s="52">
        <f t="shared" ca="1" si="1637"/>
        <v>9111.3223963064302</v>
      </c>
      <c r="BP1372" s="52">
        <f t="shared" ca="1" si="1637"/>
        <v>4737.8070908119507</v>
      </c>
      <c r="BQ1372" s="52">
        <f t="shared" ca="1" si="1637"/>
        <v>6798.3955933054258</v>
      </c>
      <c r="BR1372" s="52">
        <f t="shared" ca="1" si="1637"/>
        <v>12162.181247436514</v>
      </c>
      <c r="BS1372" s="52">
        <f t="shared" ca="1" si="1637"/>
        <v>7313.3254539258014</v>
      </c>
      <c r="BT1372" s="52">
        <f t="shared" ca="1" si="1637"/>
        <v>3717.4674565771966</v>
      </c>
      <c r="BU1372" s="52">
        <f t="shared" ca="1" si="1637"/>
        <v>5401.961834009313</v>
      </c>
      <c r="BV1372" s="52">
        <f t="shared" ca="1" si="1637"/>
        <v>10257.243284399874</v>
      </c>
      <c r="BW1372" s="52">
        <f t="shared" ca="1" si="1637"/>
        <v>6177.1090272999409</v>
      </c>
      <c r="BX1372" s="52">
        <f t="shared" ca="1" si="1637"/>
        <v>3104.5707351758097</v>
      </c>
      <c r="BY1372" s="52">
        <f t="shared" ref="BY1372:CO1372" ca="1" si="1638">BY1348*BY1371</f>
        <v>4575.9813678751207</v>
      </c>
      <c r="BZ1372" s="52">
        <f t="shared" ca="1" si="1638"/>
        <v>8647.5852305654735</v>
      </c>
      <c r="CA1372" s="52">
        <f t="shared" ca="1" si="1638"/>
        <v>5214.4799353517728</v>
      </c>
      <c r="CB1372" s="52">
        <f t="shared" ca="1" si="1638"/>
        <v>2629.2498523653967</v>
      </c>
      <c r="CC1372" s="52">
        <f t="shared" ca="1" si="1638"/>
        <v>3866.106361871191</v>
      </c>
      <c r="CD1372" s="52">
        <f t="shared" ca="1" si="1638"/>
        <v>7290.1298950787641</v>
      </c>
      <c r="CE1372" s="52">
        <f t="shared" ca="1" si="1638"/>
        <v>4401.4633863208019</v>
      </c>
      <c r="CF1372" s="52">
        <f t="shared" ca="1" si="1638"/>
        <v>2225.6670920822048</v>
      </c>
      <c r="CG1372" s="52">
        <f t="shared" ca="1" si="1638"/>
        <v>3265.4002571153196</v>
      </c>
      <c r="CH1372" s="52">
        <f t="shared" ca="1" si="1638"/>
        <v>6144.8786987683789</v>
      </c>
      <c r="CI1372" s="52">
        <f t="shared" ca="1" si="1638"/>
        <v>3714.3585415954708</v>
      </c>
      <c r="CJ1372" s="52">
        <f t="shared" ca="1" si="1638"/>
        <v>1910.4597080502838</v>
      </c>
      <c r="CK1372" s="52">
        <f t="shared" ca="1" si="1638"/>
        <v>2750.8415336431044</v>
      </c>
      <c r="CL1372" s="52">
        <f t="shared" ca="1" si="1638"/>
        <v>5179.1995710785359</v>
      </c>
      <c r="CM1372" s="52">
        <f t="shared" ca="1" si="1638"/>
        <v>3134.178195340065</v>
      </c>
      <c r="CN1372" s="52">
        <f t="shared" ca="1" si="1638"/>
        <v>1592.8083624925523</v>
      </c>
      <c r="CO1372" s="52">
        <f t="shared" ca="1" si="1638"/>
        <v>2327.6173201311249</v>
      </c>
    </row>
    <row r="1373" spans="1:93">
      <c r="A1373" s="10"/>
      <c r="B1373" s="10"/>
      <c r="C1373" s="17" t="s">
        <v>229</v>
      </c>
      <c r="D1373" s="10"/>
      <c r="E1373" s="62"/>
      <c r="F1373" s="10"/>
      <c r="G1373" s="134" t="str">
        <f>Monetary_Unit</f>
        <v>тыс. руб.</v>
      </c>
      <c r="H1373" s="10"/>
      <c r="I1373" s="10"/>
      <c r="J1373" s="10"/>
      <c r="K1373" s="10"/>
      <c r="L1373" s="52">
        <f t="shared" ref="L1373:AQ1373" ca="1" si="1639">K1373+L1372</f>
        <v>-19186.16870969196</v>
      </c>
      <c r="M1373" s="52">
        <f t="shared" ca="1" si="1639"/>
        <v>-37639.241933304831</v>
      </c>
      <c r="N1373" s="52">
        <f t="shared" ca="1" si="1639"/>
        <v>-55387.230942908674</v>
      </c>
      <c r="O1373" s="52">
        <f t="shared" ca="1" si="1639"/>
        <v>-72457.076711577218</v>
      </c>
      <c r="P1373" s="52">
        <f t="shared" ca="1" si="1639"/>
        <v>-208592.21456700205</v>
      </c>
      <c r="Q1373" s="52">
        <f t="shared" ca="1" si="1639"/>
        <v>-338965.19663325249</v>
      </c>
      <c r="R1373" s="52">
        <f t="shared" ca="1" si="1639"/>
        <v>-463819.9161465771</v>
      </c>
      <c r="S1373" s="52">
        <f t="shared" ca="1" si="1639"/>
        <v>-583389.94313905167</v>
      </c>
      <c r="T1373" s="52">
        <f t="shared" ca="1" si="1639"/>
        <v>-664059.19440306036</v>
      </c>
      <c r="U1373" s="52">
        <f t="shared" ca="1" si="1639"/>
        <v>-666460.48081147857</v>
      </c>
      <c r="V1373" s="52">
        <f t="shared" ca="1" si="1639"/>
        <v>-670146.04649819422</v>
      </c>
      <c r="W1373" s="52">
        <f t="shared" ca="1" si="1639"/>
        <v>-674965.95526057831</v>
      </c>
      <c r="X1373" s="52">
        <f t="shared" ca="1" si="1639"/>
        <v>-681334.14803862385</v>
      </c>
      <c r="Y1373" s="52">
        <f t="shared" ca="1" si="1639"/>
        <v>-689668.10974411375</v>
      </c>
      <c r="Z1373" s="52">
        <f t="shared" ca="1" si="1639"/>
        <v>-699880.13516702049</v>
      </c>
      <c r="AA1373" s="52">
        <f t="shared" ca="1" si="1639"/>
        <v>-711692.28985636379</v>
      </c>
      <c r="AB1373" s="52">
        <f t="shared" ca="1" si="1639"/>
        <v>-725450.71112400712</v>
      </c>
      <c r="AC1373" s="52">
        <f t="shared" ca="1" si="1639"/>
        <v>-689640.05867617729</v>
      </c>
      <c r="AD1373" s="52">
        <f t="shared" ca="1" si="1639"/>
        <v>-672050.58550015674</v>
      </c>
      <c r="AE1373" s="52">
        <f t="shared" ca="1" si="1639"/>
        <v>-661760.33080696431</v>
      </c>
      <c r="AF1373" s="52">
        <f t="shared" ca="1" si="1639"/>
        <v>-656311.19092712586</v>
      </c>
      <c r="AG1373" s="52">
        <f t="shared" ca="1" si="1639"/>
        <v>-650544.44186382357</v>
      </c>
      <c r="AH1373" s="52">
        <f t="shared" ca="1" si="1639"/>
        <v>-639933.17838180682</v>
      </c>
      <c r="AI1373" s="52">
        <f t="shared" ca="1" si="1639"/>
        <v>-630250.33361889422</v>
      </c>
      <c r="AJ1373" s="52">
        <f t="shared" ca="1" si="1639"/>
        <v>-625131.86353794055</v>
      </c>
      <c r="AK1373" s="52">
        <f t="shared" ca="1" si="1639"/>
        <v>-619739.77867113147</v>
      </c>
      <c r="AL1373" s="52">
        <f t="shared" ca="1" si="1639"/>
        <v>-609853.77380769141</v>
      </c>
      <c r="AM1373" s="52">
        <f t="shared" ca="1" si="1639"/>
        <v>-600845.72819451359</v>
      </c>
      <c r="AN1373" s="52">
        <f t="shared" ca="1" si="1639"/>
        <v>-596054.04762712494</v>
      </c>
      <c r="AO1373" s="52">
        <f t="shared" ca="1" si="1639"/>
        <v>-591063.54918844451</v>
      </c>
      <c r="AP1373" s="52">
        <f t="shared" ca="1" si="1639"/>
        <v>-582056.30231960118</v>
      </c>
      <c r="AQ1373" s="52">
        <f t="shared" ca="1" si="1639"/>
        <v>-573963.74845215364</v>
      </c>
      <c r="AR1373" s="52">
        <f t="shared" ref="AR1373:BW1373" ca="1" si="1640">AQ1373+AR1372</f>
        <v>-569798.82814590621</v>
      </c>
      <c r="AS1373" s="52">
        <f t="shared" ca="1" si="1640"/>
        <v>-565593.44423815364</v>
      </c>
      <c r="AT1373" s="52">
        <f t="shared" ca="1" si="1640"/>
        <v>-550674.78298788751</v>
      </c>
      <c r="AU1373" s="52">
        <f t="shared" ca="1" si="1640"/>
        <v>-510585.23434788553</v>
      </c>
      <c r="AV1373" s="52">
        <f t="shared" ca="1" si="1640"/>
        <v>-490149.0792250805</v>
      </c>
      <c r="AW1373" s="52">
        <f t="shared" ca="1" si="1640"/>
        <v>-465858.46971937298</v>
      </c>
      <c r="AX1373" s="52">
        <f t="shared" ca="1" si="1640"/>
        <v>-431375.26885838294</v>
      </c>
      <c r="AY1373" s="52">
        <f t="shared" ca="1" si="1640"/>
        <v>-412138.41696209117</v>
      </c>
      <c r="AZ1373" s="52">
        <f t="shared" ca="1" si="1640"/>
        <v>-401830.97386555996</v>
      </c>
      <c r="BA1373" s="52">
        <f t="shared" ca="1" si="1640"/>
        <v>-386715.51200902578</v>
      </c>
      <c r="BB1373" s="52">
        <f t="shared" ca="1" si="1640"/>
        <v>-358783.47992415249</v>
      </c>
      <c r="BC1373" s="52">
        <f t="shared" ca="1" si="1640"/>
        <v>-342603.23834798066</v>
      </c>
      <c r="BD1373" s="52">
        <f t="shared" ca="1" si="1640"/>
        <v>-333813.73518475454</v>
      </c>
      <c r="BE1373" s="52">
        <f t="shared" ca="1" si="1640"/>
        <v>-321217.35410296737</v>
      </c>
      <c r="BF1373" s="52">
        <f t="shared" ca="1" si="1640"/>
        <v>-297808.4628543646</v>
      </c>
      <c r="BG1373" s="52">
        <f t="shared" ca="1" si="1640"/>
        <v>-284280.05919594306</v>
      </c>
      <c r="BH1373" s="52">
        <f t="shared" ca="1" si="1640"/>
        <v>-277065.9398447735</v>
      </c>
      <c r="BI1373" s="52">
        <f t="shared" ca="1" si="1640"/>
        <v>-266445.85007939645</v>
      </c>
      <c r="BJ1373" s="52">
        <f t="shared" ca="1" si="1640"/>
        <v>-246753.80323404353</v>
      </c>
      <c r="BK1373" s="52">
        <f t="shared" ca="1" si="1640"/>
        <v>-235372.74750602365</v>
      </c>
      <c r="BL1373" s="52">
        <f t="shared" ca="1" si="1640"/>
        <v>-229302.68601009931</v>
      </c>
      <c r="BM1373" s="52">
        <f t="shared" ca="1" si="1640"/>
        <v>-220367.76817793006</v>
      </c>
      <c r="BN1373" s="52">
        <f t="shared" ca="1" si="1640"/>
        <v>-203802.09156940345</v>
      </c>
      <c r="BO1373" s="52">
        <f t="shared" ca="1" si="1640"/>
        <v>-194690.76917309701</v>
      </c>
      <c r="BP1373" s="52">
        <f t="shared" ca="1" si="1640"/>
        <v>-189952.96208228506</v>
      </c>
      <c r="BQ1373" s="52">
        <f t="shared" ca="1" si="1640"/>
        <v>-183154.56648897962</v>
      </c>
      <c r="BR1373" s="52">
        <f t="shared" ca="1" si="1640"/>
        <v>-170992.38524154312</v>
      </c>
      <c r="BS1373" s="52">
        <f t="shared" ca="1" si="1640"/>
        <v>-163679.05978761733</v>
      </c>
      <c r="BT1373" s="52">
        <f t="shared" ca="1" si="1640"/>
        <v>-159961.59233104013</v>
      </c>
      <c r="BU1373" s="52">
        <f t="shared" ca="1" si="1640"/>
        <v>-154559.63049703083</v>
      </c>
      <c r="BV1373" s="52">
        <f t="shared" ca="1" si="1640"/>
        <v>-144302.38721263094</v>
      </c>
      <c r="BW1373" s="52">
        <f t="shared" ca="1" si="1640"/>
        <v>-138125.278185331</v>
      </c>
      <c r="BX1373" s="52">
        <f t="shared" ref="BX1373:CO1373" ca="1" si="1641">BW1373+BX1372</f>
        <v>-135020.7074501552</v>
      </c>
      <c r="BY1373" s="52">
        <f t="shared" ca="1" si="1641"/>
        <v>-130444.72608228007</v>
      </c>
      <c r="BZ1373" s="52">
        <f t="shared" ca="1" si="1641"/>
        <v>-121797.1408517146</v>
      </c>
      <c r="CA1373" s="52">
        <f t="shared" ca="1" si="1641"/>
        <v>-116582.66091636283</v>
      </c>
      <c r="CB1373" s="52">
        <f t="shared" ca="1" si="1641"/>
        <v>-113953.41106399744</v>
      </c>
      <c r="CC1373" s="52">
        <f t="shared" ca="1" si="1641"/>
        <v>-110087.30470212625</v>
      </c>
      <c r="CD1373" s="52">
        <f t="shared" ca="1" si="1641"/>
        <v>-102797.17480704749</v>
      </c>
      <c r="CE1373" s="52">
        <f t="shared" ca="1" si="1641"/>
        <v>-98395.711420726686</v>
      </c>
      <c r="CF1373" s="52">
        <f t="shared" ca="1" si="1641"/>
        <v>-96170.044328644479</v>
      </c>
      <c r="CG1373" s="52">
        <f t="shared" ca="1" si="1641"/>
        <v>-92904.644071529154</v>
      </c>
      <c r="CH1373" s="52">
        <f t="shared" ca="1" si="1641"/>
        <v>-86759.765372760769</v>
      </c>
      <c r="CI1373" s="52">
        <f t="shared" ca="1" si="1641"/>
        <v>-83045.406831165295</v>
      </c>
      <c r="CJ1373" s="52">
        <f t="shared" ca="1" si="1641"/>
        <v>-81134.947123115009</v>
      </c>
      <c r="CK1373" s="52">
        <f t="shared" ca="1" si="1641"/>
        <v>-78384.105589471903</v>
      </c>
      <c r="CL1373" s="52">
        <f t="shared" ca="1" si="1641"/>
        <v>-73204.906018393362</v>
      </c>
      <c r="CM1373" s="52">
        <f t="shared" ca="1" si="1641"/>
        <v>-70070.727823053297</v>
      </c>
      <c r="CN1373" s="52">
        <f t="shared" ca="1" si="1641"/>
        <v>-68477.919460560748</v>
      </c>
      <c r="CO1373" s="52">
        <f t="shared" ca="1" si="1641"/>
        <v>-66150.302140429616</v>
      </c>
    </row>
    <row r="1374" spans="1:93">
      <c r="A1374" s="10"/>
      <c r="B1374" s="10"/>
      <c r="C1374" s="17" t="s">
        <v>222</v>
      </c>
      <c r="D1374" s="10"/>
      <c r="E1374" s="10">
        <f ca="1">SUM(R1374:CO1374)</f>
        <v>0</v>
      </c>
      <c r="F1374" s="10"/>
      <c r="G1374" s="11"/>
      <c r="H1374" s="10"/>
      <c r="I1374" s="10"/>
      <c r="J1374" s="10"/>
      <c r="K1374" s="10"/>
      <c r="L1374" s="52">
        <f ca="1">1*(L1373&gt;0)*(K1373&lt;0)*(SUM($K1374:K1374)=0)</f>
        <v>0</v>
      </c>
      <c r="M1374" s="52">
        <f ca="1">1*(M1373&gt;0)*(L1373&lt;0)*(SUM($K1374:L1374)=0)</f>
        <v>0</v>
      </c>
      <c r="N1374" s="52">
        <f ca="1">1*(N1373&gt;0)*(M1373&lt;0)*(SUM($K1374:M1374)=0)</f>
        <v>0</v>
      </c>
      <c r="O1374" s="52">
        <f ca="1">1*(O1373&gt;0)*(N1373&lt;0)*(SUM($K1374:N1374)=0)</f>
        <v>0</v>
      </c>
      <c r="P1374" s="52">
        <f ca="1">1*(P1373&gt;0)*(O1373&lt;0)*(SUM($K1374:O1374)=0)</f>
        <v>0</v>
      </c>
      <c r="Q1374" s="52">
        <f ca="1">1*(Q1373&gt;0)*(P1373&lt;0)*(SUM($K1374:P1374)=0)</f>
        <v>0</v>
      </c>
      <c r="R1374" s="52">
        <f ca="1">1*(R1373&gt;0)*(Q1373&lt;0)*(SUM($K1374:Q1374)=0)</f>
        <v>0</v>
      </c>
      <c r="S1374" s="52">
        <f ca="1">1*(S1373&gt;0)*(R1373&lt;0)*(SUM($K1374:R1374)=0)</f>
        <v>0</v>
      </c>
      <c r="T1374" s="52">
        <f ca="1">1*(T1373&gt;0)*(S1373&lt;0)*(SUM($K1374:S1374)=0)</f>
        <v>0</v>
      </c>
      <c r="U1374" s="52">
        <f ca="1">1*(U1373&gt;0)*(T1373&lt;0)*(SUM($K1374:T1374)=0)</f>
        <v>0</v>
      </c>
      <c r="V1374" s="52">
        <f ca="1">1*(V1373&gt;0)*(U1373&lt;0)*(SUM($K1374:U1374)=0)</f>
        <v>0</v>
      </c>
      <c r="W1374" s="52">
        <f ca="1">1*(W1373&gt;0)*(V1373&lt;0)*(SUM($K1374:V1374)=0)</f>
        <v>0</v>
      </c>
      <c r="X1374" s="52">
        <f ca="1">1*(X1373&gt;0)*(W1373&lt;0)*(SUM($K1374:W1374)=0)</f>
        <v>0</v>
      </c>
      <c r="Y1374" s="52">
        <f ca="1">1*(Y1373&gt;0)*(X1373&lt;0)*(SUM($K1374:X1374)=0)</f>
        <v>0</v>
      </c>
      <c r="Z1374" s="52">
        <f ca="1">1*(Z1373&gt;0)*(Y1373&lt;0)*(SUM($K1374:Y1374)=0)</f>
        <v>0</v>
      </c>
      <c r="AA1374" s="52">
        <f ca="1">1*(AA1373&gt;0)*(Z1373&lt;0)*(SUM($K1374:Z1374)=0)</f>
        <v>0</v>
      </c>
      <c r="AB1374" s="52">
        <f ca="1">1*(AB1373&gt;0)*(AA1373&lt;0)*(SUM($K1374:AA1374)=0)</f>
        <v>0</v>
      </c>
      <c r="AC1374" s="52">
        <f ca="1">1*(AC1373&gt;0)*(AB1373&lt;0)*(SUM($K1374:AB1374)=0)</f>
        <v>0</v>
      </c>
      <c r="AD1374" s="52">
        <f ca="1">1*(AD1373&gt;0)*(AC1373&lt;0)*(SUM($K1374:AC1374)=0)</f>
        <v>0</v>
      </c>
      <c r="AE1374" s="52">
        <f ca="1">1*(AE1373&gt;0)*(AD1373&lt;0)*(SUM($K1374:AD1374)=0)</f>
        <v>0</v>
      </c>
      <c r="AF1374" s="52">
        <f ca="1">1*(AF1373&gt;0)*(AE1373&lt;0)*(SUM($K1374:AE1374)=0)</f>
        <v>0</v>
      </c>
      <c r="AG1374" s="52">
        <f ca="1">1*(AG1373&gt;0)*(AF1373&lt;0)*(SUM($K1374:AF1374)=0)</f>
        <v>0</v>
      </c>
      <c r="AH1374" s="52">
        <f ca="1">1*(AH1373&gt;0)*(AG1373&lt;0)*(SUM($K1374:AG1374)=0)</f>
        <v>0</v>
      </c>
      <c r="AI1374" s="52">
        <f ca="1">1*(AI1373&gt;0)*(AH1373&lt;0)*(SUM($K1374:AH1374)=0)</f>
        <v>0</v>
      </c>
      <c r="AJ1374" s="52">
        <f ca="1">1*(AJ1373&gt;0)*(AI1373&lt;0)*(SUM($K1374:AI1374)=0)</f>
        <v>0</v>
      </c>
      <c r="AK1374" s="52">
        <f ca="1">1*(AK1373&gt;0)*(AJ1373&lt;0)*(SUM($K1374:AJ1374)=0)</f>
        <v>0</v>
      </c>
      <c r="AL1374" s="52">
        <f ca="1">1*(AL1373&gt;0)*(AK1373&lt;0)*(SUM($K1374:AK1374)=0)</f>
        <v>0</v>
      </c>
      <c r="AM1374" s="52">
        <f ca="1">1*(AM1373&gt;0)*(AL1373&lt;0)*(SUM($K1374:AL1374)=0)</f>
        <v>0</v>
      </c>
      <c r="AN1374" s="52">
        <f ca="1">1*(AN1373&gt;0)*(AM1373&lt;0)*(SUM($K1374:AM1374)=0)</f>
        <v>0</v>
      </c>
      <c r="AO1374" s="52">
        <f ca="1">1*(AO1373&gt;0)*(AN1373&lt;0)*(SUM($K1374:AN1374)=0)</f>
        <v>0</v>
      </c>
      <c r="AP1374" s="52">
        <f ca="1">1*(AP1373&gt;0)*(AO1373&lt;0)*(SUM($K1374:AO1374)=0)</f>
        <v>0</v>
      </c>
      <c r="AQ1374" s="52">
        <f ca="1">1*(AQ1373&gt;0)*(AP1373&lt;0)*(SUM($K1374:AP1374)=0)</f>
        <v>0</v>
      </c>
      <c r="AR1374" s="52">
        <f ca="1">1*(AR1373&gt;0)*(AQ1373&lt;0)*(SUM($K1374:AQ1374)=0)</f>
        <v>0</v>
      </c>
      <c r="AS1374" s="52">
        <f ca="1">1*(AS1373&gt;0)*(AR1373&lt;0)*(SUM($K1374:AR1374)=0)</f>
        <v>0</v>
      </c>
      <c r="AT1374" s="52">
        <f ca="1">1*(AT1373&gt;0)*(AS1373&lt;0)*(SUM($K1374:AS1374)=0)</f>
        <v>0</v>
      </c>
      <c r="AU1374" s="52">
        <f ca="1">1*(AU1373&gt;0)*(AT1373&lt;0)*(SUM($K1374:AT1374)=0)</f>
        <v>0</v>
      </c>
      <c r="AV1374" s="52">
        <f ca="1">1*(AV1373&gt;0)*(AU1373&lt;0)*(SUM($K1374:AU1374)=0)</f>
        <v>0</v>
      </c>
      <c r="AW1374" s="52">
        <f ca="1">1*(AW1373&gt;0)*(AV1373&lt;0)*(SUM($K1374:AV1374)=0)</f>
        <v>0</v>
      </c>
      <c r="AX1374" s="52">
        <f ca="1">1*(AX1373&gt;0)*(AW1373&lt;0)*(SUM($K1374:AW1374)=0)</f>
        <v>0</v>
      </c>
      <c r="AY1374" s="52">
        <f ca="1">1*(AY1373&gt;0)*(AX1373&lt;0)*(SUM($K1374:AX1374)=0)</f>
        <v>0</v>
      </c>
      <c r="AZ1374" s="52">
        <f ca="1">1*(AZ1373&gt;0)*(AY1373&lt;0)*(SUM($K1374:AY1374)=0)</f>
        <v>0</v>
      </c>
      <c r="BA1374" s="52">
        <f ca="1">1*(BA1373&gt;0)*(AZ1373&lt;0)*(SUM($K1374:AZ1374)=0)</f>
        <v>0</v>
      </c>
      <c r="BB1374" s="52">
        <f ca="1">1*(BB1373&gt;0)*(BA1373&lt;0)*(SUM($K1374:BA1374)=0)</f>
        <v>0</v>
      </c>
      <c r="BC1374" s="52">
        <f ca="1">1*(BC1373&gt;0)*(BB1373&lt;0)*(SUM($K1374:BB1374)=0)</f>
        <v>0</v>
      </c>
      <c r="BD1374" s="52">
        <f ca="1">1*(BD1373&gt;0)*(BC1373&lt;0)*(SUM($K1374:BC1374)=0)</f>
        <v>0</v>
      </c>
      <c r="BE1374" s="52">
        <f ca="1">1*(BE1373&gt;0)*(BD1373&lt;0)*(SUM($K1374:BD1374)=0)</f>
        <v>0</v>
      </c>
      <c r="BF1374" s="52">
        <f ca="1">1*(BF1373&gt;0)*(BE1373&lt;0)*(SUM($K1374:BE1374)=0)</f>
        <v>0</v>
      </c>
      <c r="BG1374" s="52">
        <f ca="1">1*(BG1373&gt;0)*(BF1373&lt;0)*(SUM($K1374:BF1374)=0)</f>
        <v>0</v>
      </c>
      <c r="BH1374" s="52">
        <f ca="1">1*(BH1373&gt;0)*(BG1373&lt;0)*(SUM($K1374:BG1374)=0)</f>
        <v>0</v>
      </c>
      <c r="BI1374" s="52">
        <f ca="1">1*(BI1373&gt;0)*(BH1373&lt;0)*(SUM($K1374:BH1374)=0)</f>
        <v>0</v>
      </c>
      <c r="BJ1374" s="52">
        <f ca="1">1*(BJ1373&gt;0)*(BI1373&lt;0)*(SUM($K1374:BI1374)=0)</f>
        <v>0</v>
      </c>
      <c r="BK1374" s="52">
        <f ca="1">1*(BK1373&gt;0)*(BJ1373&lt;0)*(SUM($K1374:BJ1374)=0)</f>
        <v>0</v>
      </c>
      <c r="BL1374" s="52">
        <f ca="1">1*(BL1373&gt;0)*(BK1373&lt;0)*(SUM($K1374:BK1374)=0)</f>
        <v>0</v>
      </c>
      <c r="BM1374" s="52">
        <f ca="1">1*(BM1373&gt;0)*(BL1373&lt;0)*(SUM($K1374:BL1374)=0)</f>
        <v>0</v>
      </c>
      <c r="BN1374" s="52">
        <f ca="1">1*(BN1373&gt;0)*(BM1373&lt;0)*(SUM($K1374:BM1374)=0)</f>
        <v>0</v>
      </c>
      <c r="BO1374" s="52">
        <f ca="1">1*(BO1373&gt;0)*(BN1373&lt;0)*(SUM($K1374:BN1374)=0)</f>
        <v>0</v>
      </c>
      <c r="BP1374" s="52">
        <f ca="1">1*(BP1373&gt;0)*(BO1373&lt;0)*(SUM($K1374:BO1374)=0)</f>
        <v>0</v>
      </c>
      <c r="BQ1374" s="52">
        <f ca="1">1*(BQ1373&gt;0)*(BP1373&lt;0)*(SUM($K1374:BP1374)=0)</f>
        <v>0</v>
      </c>
      <c r="BR1374" s="52">
        <f ca="1">1*(BR1373&gt;0)*(BQ1373&lt;0)*(SUM($K1374:BQ1374)=0)</f>
        <v>0</v>
      </c>
      <c r="BS1374" s="52">
        <f ca="1">1*(BS1373&gt;0)*(BR1373&lt;0)*(SUM($K1374:BR1374)=0)</f>
        <v>0</v>
      </c>
      <c r="BT1374" s="52">
        <f ca="1">1*(BT1373&gt;0)*(BS1373&lt;0)*(SUM($K1374:BS1374)=0)</f>
        <v>0</v>
      </c>
      <c r="BU1374" s="52">
        <f ca="1">1*(BU1373&gt;0)*(BT1373&lt;0)*(SUM($K1374:BT1374)=0)</f>
        <v>0</v>
      </c>
      <c r="BV1374" s="52">
        <f ca="1">1*(BV1373&gt;0)*(BU1373&lt;0)*(SUM($K1374:BU1374)=0)</f>
        <v>0</v>
      </c>
      <c r="BW1374" s="52">
        <f ca="1">1*(BW1373&gt;0)*(BV1373&lt;0)*(SUM($K1374:BV1374)=0)</f>
        <v>0</v>
      </c>
      <c r="BX1374" s="52">
        <f ca="1">1*(BX1373&gt;0)*(BW1373&lt;0)*(SUM($K1374:BW1374)=0)</f>
        <v>0</v>
      </c>
      <c r="BY1374" s="52">
        <f ca="1">1*(BY1373&gt;0)*(BX1373&lt;0)*(SUM($K1374:BX1374)=0)</f>
        <v>0</v>
      </c>
      <c r="BZ1374" s="52">
        <f ca="1">1*(BZ1373&gt;0)*(BY1373&lt;0)*(SUM($K1374:BY1374)=0)</f>
        <v>0</v>
      </c>
      <c r="CA1374" s="52">
        <f ca="1">1*(CA1373&gt;0)*(BZ1373&lt;0)*(SUM($K1374:BZ1374)=0)</f>
        <v>0</v>
      </c>
      <c r="CB1374" s="52">
        <f ca="1">1*(CB1373&gt;0)*(CA1373&lt;0)*(SUM($K1374:CA1374)=0)</f>
        <v>0</v>
      </c>
      <c r="CC1374" s="52">
        <f ca="1">1*(CC1373&gt;0)*(CB1373&lt;0)*(SUM($K1374:CB1374)=0)</f>
        <v>0</v>
      </c>
      <c r="CD1374" s="52">
        <f ca="1">1*(CD1373&gt;0)*(CC1373&lt;0)*(SUM($K1374:CC1374)=0)</f>
        <v>0</v>
      </c>
      <c r="CE1374" s="52">
        <f ca="1">1*(CE1373&gt;0)*(CD1373&lt;0)*(SUM($K1374:CD1374)=0)</f>
        <v>0</v>
      </c>
      <c r="CF1374" s="52">
        <f ca="1">1*(CF1373&gt;0)*(CE1373&lt;0)*(SUM($K1374:CE1374)=0)</f>
        <v>0</v>
      </c>
      <c r="CG1374" s="52">
        <f ca="1">1*(CG1373&gt;0)*(CF1373&lt;0)*(SUM($K1374:CF1374)=0)</f>
        <v>0</v>
      </c>
      <c r="CH1374" s="52">
        <f ca="1">1*(CH1373&gt;0)*(CG1373&lt;0)*(SUM($K1374:CG1374)=0)</f>
        <v>0</v>
      </c>
      <c r="CI1374" s="52">
        <f ca="1">1*(CI1373&gt;0)*(CH1373&lt;0)*(SUM($K1374:CH1374)=0)</f>
        <v>0</v>
      </c>
      <c r="CJ1374" s="52">
        <f ca="1">1*(CJ1373&gt;0)*(CI1373&lt;0)*(SUM($K1374:CI1374)=0)</f>
        <v>0</v>
      </c>
      <c r="CK1374" s="52">
        <f ca="1">1*(CK1373&gt;0)*(CJ1373&lt;0)*(SUM($K1374:CJ1374)=0)</f>
        <v>0</v>
      </c>
      <c r="CL1374" s="52">
        <f ca="1">1*(CL1373&gt;0)*(CK1373&lt;0)*(SUM($K1374:CK1374)=0)</f>
        <v>0</v>
      </c>
      <c r="CM1374" s="52">
        <f ca="1">1*(CM1373&gt;0)*(CL1373&lt;0)*(SUM($K1374:CL1374)=0)</f>
        <v>0</v>
      </c>
      <c r="CN1374" s="52">
        <f ca="1">1*(CN1373&gt;0)*(CM1373&lt;0)*(SUM($K1374:CM1374)=0)</f>
        <v>0</v>
      </c>
      <c r="CO1374" s="52">
        <f ca="1">1*(CO1373&gt;0)*(CN1373&lt;0)*(SUM($K1374:CN1374)=0)</f>
        <v>0</v>
      </c>
    </row>
    <row r="1375" spans="1:93">
      <c r="A1375" s="10"/>
      <c r="B1375" s="10"/>
      <c r="C1375" s="17" t="s">
        <v>223</v>
      </c>
      <c r="D1375" s="10"/>
      <c r="E1375" s="10">
        <f ca="1">SUM(R1375:CO1375)</f>
        <v>0</v>
      </c>
      <c r="F1375" s="10"/>
      <c r="G1375" s="11"/>
      <c r="H1375" s="10"/>
      <c r="I1375" s="10"/>
      <c r="J1375" s="10"/>
      <c r="K1375" s="10"/>
      <c r="L1375" s="52">
        <f t="shared" ref="L1375:AQ1375" ca="1" si="1642">-IFERROR(K1373/L1372,0)*Days_In_Period*L1374</f>
        <v>0</v>
      </c>
      <c r="M1375" s="52">
        <f t="shared" ca="1" si="1642"/>
        <v>0</v>
      </c>
      <c r="N1375" s="52">
        <f t="shared" ca="1" si="1642"/>
        <v>0</v>
      </c>
      <c r="O1375" s="52">
        <f t="shared" ca="1" si="1642"/>
        <v>0</v>
      </c>
      <c r="P1375" s="52">
        <f t="shared" ca="1" si="1642"/>
        <v>0</v>
      </c>
      <c r="Q1375" s="52">
        <f t="shared" ca="1" si="1642"/>
        <v>0</v>
      </c>
      <c r="R1375" s="52">
        <f t="shared" ca="1" si="1642"/>
        <v>0</v>
      </c>
      <c r="S1375" s="52">
        <f t="shared" ca="1" si="1642"/>
        <v>0</v>
      </c>
      <c r="T1375" s="52">
        <f t="shared" ca="1" si="1642"/>
        <v>0</v>
      </c>
      <c r="U1375" s="52">
        <f t="shared" ca="1" si="1642"/>
        <v>0</v>
      </c>
      <c r="V1375" s="52">
        <f t="shared" ca="1" si="1642"/>
        <v>0</v>
      </c>
      <c r="W1375" s="52">
        <f t="shared" ca="1" si="1642"/>
        <v>0</v>
      </c>
      <c r="X1375" s="52">
        <f t="shared" ca="1" si="1642"/>
        <v>0</v>
      </c>
      <c r="Y1375" s="52">
        <f t="shared" ca="1" si="1642"/>
        <v>0</v>
      </c>
      <c r="Z1375" s="52">
        <f t="shared" ca="1" si="1642"/>
        <v>0</v>
      </c>
      <c r="AA1375" s="52">
        <f t="shared" ca="1" si="1642"/>
        <v>0</v>
      </c>
      <c r="AB1375" s="52">
        <f t="shared" ca="1" si="1642"/>
        <v>0</v>
      </c>
      <c r="AC1375" s="52">
        <f t="shared" ca="1" si="1642"/>
        <v>0</v>
      </c>
      <c r="AD1375" s="52">
        <f t="shared" ca="1" si="1642"/>
        <v>0</v>
      </c>
      <c r="AE1375" s="52">
        <f t="shared" ca="1" si="1642"/>
        <v>0</v>
      </c>
      <c r="AF1375" s="52">
        <f t="shared" ca="1" si="1642"/>
        <v>0</v>
      </c>
      <c r="AG1375" s="52">
        <f t="shared" ca="1" si="1642"/>
        <v>0</v>
      </c>
      <c r="AH1375" s="52">
        <f t="shared" ca="1" si="1642"/>
        <v>0</v>
      </c>
      <c r="AI1375" s="52">
        <f t="shared" ca="1" si="1642"/>
        <v>0</v>
      </c>
      <c r="AJ1375" s="52">
        <f t="shared" ca="1" si="1642"/>
        <v>0</v>
      </c>
      <c r="AK1375" s="52">
        <f t="shared" ca="1" si="1642"/>
        <v>0</v>
      </c>
      <c r="AL1375" s="52">
        <f t="shared" ca="1" si="1642"/>
        <v>0</v>
      </c>
      <c r="AM1375" s="52">
        <f t="shared" ca="1" si="1642"/>
        <v>0</v>
      </c>
      <c r="AN1375" s="52">
        <f t="shared" ca="1" si="1642"/>
        <v>0</v>
      </c>
      <c r="AO1375" s="52">
        <f t="shared" ca="1" si="1642"/>
        <v>0</v>
      </c>
      <c r="AP1375" s="52">
        <f t="shared" ca="1" si="1642"/>
        <v>0</v>
      </c>
      <c r="AQ1375" s="52">
        <f t="shared" ca="1" si="1642"/>
        <v>0</v>
      </c>
      <c r="AR1375" s="52">
        <f t="shared" ref="AR1375:BW1375" ca="1" si="1643">-IFERROR(AQ1373/AR1372,0)*Days_In_Period*AR1374</f>
        <v>0</v>
      </c>
      <c r="AS1375" s="52">
        <f t="shared" ca="1" si="1643"/>
        <v>0</v>
      </c>
      <c r="AT1375" s="52">
        <f t="shared" ca="1" si="1643"/>
        <v>0</v>
      </c>
      <c r="AU1375" s="52">
        <f t="shared" ca="1" si="1643"/>
        <v>0</v>
      </c>
      <c r="AV1375" s="52">
        <f t="shared" ca="1" si="1643"/>
        <v>0</v>
      </c>
      <c r="AW1375" s="52">
        <f t="shared" ca="1" si="1643"/>
        <v>0</v>
      </c>
      <c r="AX1375" s="52">
        <f t="shared" ca="1" si="1643"/>
        <v>0</v>
      </c>
      <c r="AY1375" s="52">
        <f t="shared" ca="1" si="1643"/>
        <v>0</v>
      </c>
      <c r="AZ1375" s="52">
        <f t="shared" ca="1" si="1643"/>
        <v>0</v>
      </c>
      <c r="BA1375" s="52">
        <f t="shared" ca="1" si="1643"/>
        <v>0</v>
      </c>
      <c r="BB1375" s="52">
        <f t="shared" ca="1" si="1643"/>
        <v>0</v>
      </c>
      <c r="BC1375" s="52">
        <f t="shared" ca="1" si="1643"/>
        <v>0</v>
      </c>
      <c r="BD1375" s="52">
        <f t="shared" ca="1" si="1643"/>
        <v>0</v>
      </c>
      <c r="BE1375" s="52">
        <f t="shared" ca="1" si="1643"/>
        <v>0</v>
      </c>
      <c r="BF1375" s="52">
        <f t="shared" ca="1" si="1643"/>
        <v>0</v>
      </c>
      <c r="BG1375" s="52">
        <f t="shared" ca="1" si="1643"/>
        <v>0</v>
      </c>
      <c r="BH1375" s="52">
        <f t="shared" ca="1" si="1643"/>
        <v>0</v>
      </c>
      <c r="BI1375" s="52">
        <f t="shared" ca="1" si="1643"/>
        <v>0</v>
      </c>
      <c r="BJ1375" s="52">
        <f t="shared" ca="1" si="1643"/>
        <v>0</v>
      </c>
      <c r="BK1375" s="52">
        <f t="shared" ca="1" si="1643"/>
        <v>0</v>
      </c>
      <c r="BL1375" s="52">
        <f t="shared" ca="1" si="1643"/>
        <v>0</v>
      </c>
      <c r="BM1375" s="52">
        <f t="shared" ca="1" si="1643"/>
        <v>0</v>
      </c>
      <c r="BN1375" s="52">
        <f t="shared" ca="1" si="1643"/>
        <v>0</v>
      </c>
      <c r="BO1375" s="52">
        <f t="shared" ca="1" si="1643"/>
        <v>0</v>
      </c>
      <c r="BP1375" s="52">
        <f t="shared" ca="1" si="1643"/>
        <v>0</v>
      </c>
      <c r="BQ1375" s="52">
        <f t="shared" ca="1" si="1643"/>
        <v>0</v>
      </c>
      <c r="BR1375" s="52">
        <f t="shared" ca="1" si="1643"/>
        <v>0</v>
      </c>
      <c r="BS1375" s="52">
        <f t="shared" ca="1" si="1643"/>
        <v>0</v>
      </c>
      <c r="BT1375" s="52">
        <f t="shared" ca="1" si="1643"/>
        <v>0</v>
      </c>
      <c r="BU1375" s="52">
        <f t="shared" ca="1" si="1643"/>
        <v>0</v>
      </c>
      <c r="BV1375" s="52">
        <f t="shared" ca="1" si="1643"/>
        <v>0</v>
      </c>
      <c r="BW1375" s="52">
        <f t="shared" ca="1" si="1643"/>
        <v>0</v>
      </c>
      <c r="BX1375" s="52">
        <f t="shared" ref="BX1375:CO1375" ca="1" si="1644">-IFERROR(BW1373/BX1372,0)*Days_In_Period*BX1374</f>
        <v>0</v>
      </c>
      <c r="BY1375" s="52">
        <f t="shared" ca="1" si="1644"/>
        <v>0</v>
      </c>
      <c r="BZ1375" s="52">
        <f t="shared" ca="1" si="1644"/>
        <v>0</v>
      </c>
      <c r="CA1375" s="52">
        <f t="shared" ca="1" si="1644"/>
        <v>0</v>
      </c>
      <c r="CB1375" s="52">
        <f t="shared" ca="1" si="1644"/>
        <v>0</v>
      </c>
      <c r="CC1375" s="52">
        <f t="shared" ca="1" si="1644"/>
        <v>0</v>
      </c>
      <c r="CD1375" s="52">
        <f t="shared" ca="1" si="1644"/>
        <v>0</v>
      </c>
      <c r="CE1375" s="52">
        <f t="shared" ca="1" si="1644"/>
        <v>0</v>
      </c>
      <c r="CF1375" s="52">
        <f t="shared" ca="1" si="1644"/>
        <v>0</v>
      </c>
      <c r="CG1375" s="52">
        <f t="shared" ca="1" si="1644"/>
        <v>0</v>
      </c>
      <c r="CH1375" s="52">
        <f t="shared" ca="1" si="1644"/>
        <v>0</v>
      </c>
      <c r="CI1375" s="52">
        <f t="shared" ca="1" si="1644"/>
        <v>0</v>
      </c>
      <c r="CJ1375" s="52">
        <f t="shared" ca="1" si="1644"/>
        <v>0</v>
      </c>
      <c r="CK1375" s="52">
        <f t="shared" ca="1" si="1644"/>
        <v>0</v>
      </c>
      <c r="CL1375" s="52">
        <f t="shared" ca="1" si="1644"/>
        <v>0</v>
      </c>
      <c r="CM1375" s="52">
        <f t="shared" ca="1" si="1644"/>
        <v>0</v>
      </c>
      <c r="CN1375" s="52">
        <f t="shared" ca="1" si="1644"/>
        <v>0</v>
      </c>
      <c r="CO1375" s="52">
        <f t="shared" ca="1" si="1644"/>
        <v>0</v>
      </c>
    </row>
    <row r="1376" spans="1:93">
      <c r="A1376" s="10"/>
      <c r="B1376" s="10"/>
      <c r="C1376" s="17" t="s">
        <v>94</v>
      </c>
      <c r="D1376" s="10"/>
      <c r="E1376" s="194">
        <f ca="1">SUMPRODUCT(Beginning_of_period,L1374:CO1374)+E1375</f>
        <v>0</v>
      </c>
      <c r="F1376" s="10"/>
      <c r="G1376" s="11" t="s">
        <v>31</v>
      </c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0"/>
      <c r="AH1376" s="10"/>
      <c r="AI1376" s="10"/>
      <c r="AJ1376" s="10"/>
      <c r="AK1376" s="10"/>
      <c r="AL1376" s="10"/>
      <c r="AM1376" s="10"/>
      <c r="AN1376" s="10"/>
      <c r="AO1376" s="10"/>
      <c r="AP1376" s="10"/>
      <c r="AQ1376" s="10"/>
      <c r="AR1376" s="10"/>
      <c r="AS1376" s="10"/>
      <c r="AT1376" s="10"/>
      <c r="AU1376" s="10"/>
      <c r="AV1376" s="10"/>
      <c r="AW1376" s="10"/>
      <c r="AX1376" s="10"/>
      <c r="AY1376" s="10"/>
      <c r="AZ1376" s="10"/>
      <c r="BA1376" s="10"/>
      <c r="BB1376" s="10"/>
      <c r="BC1376" s="10"/>
      <c r="BD1376" s="10"/>
      <c r="BE1376" s="10"/>
      <c r="BF1376" s="10"/>
      <c r="BG1376" s="10"/>
      <c r="BH1376" s="10"/>
      <c r="BI1376" s="10"/>
      <c r="BJ1376" s="10"/>
      <c r="BK1376" s="10"/>
      <c r="BL1376" s="10"/>
      <c r="BM1376" s="10"/>
      <c r="BN1376" s="10"/>
      <c r="BO1376" s="10"/>
      <c r="BP1376" s="10"/>
      <c r="BQ1376" s="10"/>
      <c r="BR1376" s="10"/>
      <c r="BS1376" s="10"/>
      <c r="BT1376" s="10"/>
      <c r="BU1376" s="10"/>
      <c r="BV1376" s="10"/>
      <c r="BW1376" s="10"/>
      <c r="BX1376" s="10"/>
      <c r="BY1376" s="10"/>
      <c r="BZ1376" s="10"/>
      <c r="CA1376" s="10"/>
      <c r="CB1376" s="10"/>
      <c r="CC1376" s="10"/>
      <c r="CD1376" s="10"/>
      <c r="CE1376" s="10"/>
      <c r="CF1376" s="10"/>
      <c r="CG1376" s="10"/>
      <c r="CH1376" s="10"/>
      <c r="CI1376" s="10"/>
      <c r="CJ1376" s="10"/>
      <c r="CK1376" s="10"/>
      <c r="CL1376" s="10"/>
      <c r="CM1376" s="10"/>
      <c r="CN1376" s="10"/>
      <c r="CO1376" s="10"/>
    </row>
    <row r="1377" spans="1:93">
      <c r="A1377" s="10"/>
      <c r="B1377" s="10"/>
      <c r="C1377" s="17" t="s">
        <v>224</v>
      </c>
      <c r="D1377" s="10"/>
      <c r="E1377" s="193" t="str">
        <f ca="1">IF(E1376=0,"н.пр.",IFERROR((E1376-Date_Forecast_Start)/Предпосылки!$E$27,"н.пр."))</f>
        <v>н.пр.</v>
      </c>
      <c r="F1377" s="10"/>
      <c r="G1377" s="11" t="s">
        <v>123</v>
      </c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0"/>
      <c r="AH1377" s="10"/>
      <c r="AI1377" s="10"/>
      <c r="AJ1377" s="10"/>
      <c r="AK1377" s="10"/>
      <c r="AL1377" s="10"/>
      <c r="AM1377" s="10"/>
      <c r="AN1377" s="10"/>
      <c r="AO1377" s="10"/>
      <c r="AP1377" s="10"/>
      <c r="AQ1377" s="10"/>
      <c r="AR1377" s="10"/>
      <c r="AS1377" s="10"/>
      <c r="AT1377" s="10"/>
      <c r="AU1377" s="10"/>
      <c r="AV1377" s="10"/>
      <c r="AW1377" s="10"/>
      <c r="AX1377" s="10"/>
      <c r="AY1377" s="10"/>
      <c r="AZ1377" s="10"/>
      <c r="BA1377" s="10"/>
      <c r="BB1377" s="10"/>
      <c r="BC1377" s="10"/>
      <c r="BD1377" s="10"/>
      <c r="BE1377" s="10"/>
      <c r="BF1377" s="10"/>
      <c r="BG1377" s="10"/>
      <c r="BH1377" s="10"/>
      <c r="BI1377" s="10"/>
      <c r="BJ1377" s="10"/>
      <c r="BK1377" s="10"/>
      <c r="BL1377" s="10"/>
      <c r="BM1377" s="10"/>
      <c r="BN1377" s="10"/>
      <c r="BO1377" s="10"/>
      <c r="BP1377" s="10"/>
      <c r="BQ1377" s="10"/>
      <c r="BR1377" s="10"/>
      <c r="BS1377" s="10"/>
      <c r="BT1377" s="10"/>
      <c r="BU1377" s="10"/>
      <c r="BV1377" s="10"/>
      <c r="BW1377" s="10"/>
      <c r="BX1377" s="10"/>
      <c r="BY1377" s="10"/>
      <c r="BZ1377" s="10"/>
      <c r="CA1377" s="10"/>
      <c r="CB1377" s="10"/>
      <c r="CC1377" s="10"/>
      <c r="CD1377" s="10"/>
      <c r="CE1377" s="10"/>
      <c r="CF1377" s="10"/>
      <c r="CG1377" s="10"/>
      <c r="CH1377" s="10"/>
      <c r="CI1377" s="10"/>
      <c r="CJ1377" s="10"/>
      <c r="CK1377" s="10"/>
      <c r="CL1377" s="10"/>
      <c r="CM1377" s="10"/>
      <c r="CN1377" s="10"/>
      <c r="CO1377" s="10"/>
    </row>
    <row r="1378" spans="1:93"/>
    <row r="1379" spans="1:93" ht="22.5" customHeight="1">
      <c r="A1379" s="10"/>
      <c r="B1379" s="5" t="s">
        <v>230</v>
      </c>
      <c r="C1379" s="5"/>
      <c r="D1379" s="15"/>
      <c r="E1379" s="5"/>
      <c r="F1379" s="5"/>
      <c r="G1379" s="6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5"/>
      <c r="BP1379" s="5"/>
      <c r="BQ1379" s="5"/>
      <c r="BR1379" s="5"/>
      <c r="BS1379" s="5"/>
      <c r="BT1379" s="5"/>
      <c r="BU1379" s="5"/>
      <c r="BV1379" s="5"/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</row>
    <row r="1380" spans="1:93">
      <c r="A1380" s="10"/>
      <c r="B1380" s="10"/>
      <c r="C1380" s="10"/>
      <c r="D1380" s="10"/>
      <c r="E1380" s="10"/>
      <c r="F1380" s="10"/>
      <c r="G1380" s="11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0"/>
      <c r="AH1380" s="10"/>
      <c r="AI1380" s="10"/>
      <c r="AJ1380" s="10"/>
      <c r="AK1380" s="10"/>
      <c r="AL1380" s="10"/>
      <c r="AM1380" s="10"/>
      <c r="AN1380" s="10"/>
      <c r="AO1380" s="10"/>
      <c r="AP1380" s="10"/>
      <c r="AQ1380" s="10"/>
      <c r="AR1380" s="10"/>
      <c r="AS1380" s="10"/>
      <c r="AT1380" s="10"/>
      <c r="AU1380" s="10"/>
      <c r="AV1380" s="10"/>
      <c r="AW1380" s="10"/>
      <c r="AX1380" s="10"/>
      <c r="AY1380" s="10"/>
      <c r="AZ1380" s="10"/>
      <c r="BA1380" s="10"/>
      <c r="BB1380" s="10"/>
      <c r="BC1380" s="10"/>
      <c r="BD1380" s="10"/>
      <c r="BE1380" s="10"/>
      <c r="BF1380" s="10"/>
      <c r="BG1380" s="10"/>
      <c r="BH1380" s="10"/>
      <c r="BI1380" s="10"/>
      <c r="BJ1380" s="10"/>
      <c r="BK1380" s="10"/>
      <c r="BL1380" s="10"/>
      <c r="BM1380" s="10"/>
      <c r="BN1380" s="10"/>
      <c r="BO1380" s="10"/>
      <c r="BP1380" s="10"/>
      <c r="BQ1380" s="10"/>
      <c r="BR1380" s="10"/>
      <c r="BS1380" s="10"/>
      <c r="BT1380" s="10"/>
      <c r="BU1380" s="10"/>
      <c r="BV1380" s="10"/>
      <c r="BW1380" s="10"/>
      <c r="BX1380" s="10"/>
      <c r="BY1380" s="10"/>
      <c r="BZ1380" s="10"/>
      <c r="CA1380" s="10"/>
      <c r="CB1380" s="10"/>
      <c r="CC1380" s="10"/>
      <c r="CD1380" s="10"/>
      <c r="CE1380" s="10"/>
      <c r="CF1380" s="10"/>
      <c r="CG1380" s="10"/>
      <c r="CH1380" s="10"/>
      <c r="CI1380" s="10"/>
      <c r="CJ1380" s="10"/>
      <c r="CK1380" s="10"/>
      <c r="CL1380" s="10"/>
      <c r="CM1380" s="10"/>
      <c r="CN1380" s="10"/>
      <c r="CO1380" s="10"/>
    </row>
    <row r="1381" spans="1:93" ht="16.5" thickBot="1">
      <c r="A1381" s="10"/>
      <c r="B1381" s="10"/>
      <c r="C1381" s="12" t="s">
        <v>231</v>
      </c>
      <c r="D1381" s="10"/>
      <c r="E1381" s="62"/>
      <c r="F1381" s="10"/>
      <c r="G1381" s="11"/>
      <c r="H1381" s="11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0"/>
      <c r="AH1381" s="10"/>
      <c r="AI1381" s="10"/>
      <c r="AJ1381" s="10"/>
      <c r="AK1381" s="10"/>
      <c r="AL1381" s="10"/>
      <c r="AM1381" s="10"/>
      <c r="AN1381" s="10"/>
      <c r="AO1381" s="10"/>
      <c r="AP1381" s="10"/>
      <c r="AQ1381" s="10"/>
      <c r="AR1381" s="10"/>
      <c r="AS1381" s="10"/>
      <c r="AT1381" s="10"/>
      <c r="AU1381" s="10"/>
      <c r="AV1381" s="10"/>
      <c r="AW1381" s="10"/>
      <c r="AX1381" s="10"/>
      <c r="AY1381" s="10"/>
      <c r="AZ1381" s="10"/>
      <c r="BA1381" s="10"/>
      <c r="BB1381" s="10"/>
      <c r="BC1381" s="10"/>
      <c r="BD1381" s="10"/>
      <c r="BE1381" s="10"/>
      <c r="BF1381" s="10"/>
      <c r="BG1381" s="10"/>
      <c r="BH1381" s="10"/>
      <c r="BI1381" s="10"/>
      <c r="BJ1381" s="10"/>
      <c r="BK1381" s="10"/>
      <c r="BL1381" s="10"/>
      <c r="BM1381" s="10"/>
      <c r="BN1381" s="10"/>
      <c r="BO1381" s="10"/>
      <c r="BP1381" s="10"/>
      <c r="BQ1381" s="10"/>
      <c r="BR1381" s="10"/>
      <c r="BS1381" s="10"/>
      <c r="BT1381" s="10"/>
      <c r="BU1381" s="10"/>
      <c r="BV1381" s="10"/>
      <c r="BW1381" s="10"/>
      <c r="BX1381" s="10"/>
      <c r="BY1381" s="10"/>
      <c r="BZ1381" s="10"/>
      <c r="CA1381" s="10"/>
      <c r="CB1381" s="10"/>
      <c r="CC1381" s="10"/>
      <c r="CD1381" s="10"/>
      <c r="CE1381" s="10"/>
      <c r="CF1381" s="10"/>
      <c r="CG1381" s="10"/>
      <c r="CH1381" s="10"/>
      <c r="CI1381" s="10"/>
      <c r="CJ1381" s="10"/>
      <c r="CK1381" s="10"/>
      <c r="CL1381" s="10"/>
      <c r="CM1381" s="10"/>
      <c r="CN1381" s="10"/>
      <c r="CO1381" s="10"/>
    </row>
    <row r="1382" spans="1:93">
      <c r="A1382" s="10"/>
      <c r="B1382" s="10"/>
      <c r="C1382" s="10"/>
      <c r="D1382" s="10"/>
      <c r="E1382" s="62"/>
      <c r="F1382" s="10"/>
      <c r="G1382" s="11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0"/>
      <c r="AH1382" s="10"/>
      <c r="AI1382" s="10"/>
      <c r="AJ1382" s="10"/>
      <c r="AK1382" s="10"/>
      <c r="AL1382" s="10"/>
      <c r="AM1382" s="10"/>
      <c r="AN1382" s="10"/>
      <c r="AO1382" s="10"/>
      <c r="AP1382" s="10"/>
      <c r="AQ1382" s="10"/>
      <c r="AR1382" s="10"/>
      <c r="AS1382" s="10"/>
      <c r="AT1382" s="10"/>
      <c r="AU1382" s="10"/>
      <c r="AV1382" s="10"/>
      <c r="AW1382" s="10"/>
      <c r="AX1382" s="10"/>
      <c r="AY1382" s="10"/>
      <c r="AZ1382" s="10"/>
      <c r="BA1382" s="10"/>
      <c r="BB1382" s="10"/>
      <c r="BC1382" s="10"/>
      <c r="BD1382" s="10"/>
      <c r="BE1382" s="10"/>
      <c r="BF1382" s="10"/>
      <c r="BG1382" s="10"/>
      <c r="BH1382" s="10"/>
      <c r="BI1382" s="10"/>
      <c r="BJ1382" s="10"/>
      <c r="BK1382" s="10"/>
      <c r="BL1382" s="10"/>
      <c r="BM1382" s="10"/>
      <c r="BN1382" s="10"/>
      <c r="BO1382" s="10"/>
      <c r="BP1382" s="10"/>
      <c r="BQ1382" s="10"/>
      <c r="BR1382" s="10"/>
      <c r="BS1382" s="10"/>
      <c r="BT1382" s="10"/>
      <c r="BU1382" s="10"/>
      <c r="BV1382" s="10"/>
      <c r="BW1382" s="10"/>
      <c r="BX1382" s="10"/>
      <c r="BY1382" s="10"/>
      <c r="BZ1382" s="10"/>
      <c r="CA1382" s="10"/>
      <c r="CB1382" s="10"/>
      <c r="CC1382" s="10"/>
      <c r="CD1382" s="10"/>
      <c r="CE1382" s="10"/>
      <c r="CF1382" s="10"/>
      <c r="CG1382" s="10"/>
      <c r="CH1382" s="10"/>
      <c r="CI1382" s="10"/>
      <c r="CJ1382" s="10"/>
      <c r="CK1382" s="10"/>
      <c r="CL1382" s="10"/>
      <c r="CM1382" s="10"/>
      <c r="CN1382" s="10"/>
      <c r="CO1382" s="10"/>
    </row>
    <row r="1383" spans="1:93">
      <c r="A1383" s="10"/>
      <c r="B1383" s="10"/>
      <c r="C1383" s="50" t="s">
        <v>232</v>
      </c>
      <c r="D1383" s="10"/>
      <c r="E1383" s="62"/>
      <c r="F1383" s="10"/>
      <c r="G1383" s="11" t="s">
        <v>378</v>
      </c>
      <c r="H1383" s="10"/>
      <c r="I1383" s="10"/>
      <c r="J1383" s="10"/>
      <c r="K1383" s="10"/>
      <c r="L1383" s="27">
        <f ca="1">IFERROR(L1386/L1387,0)*Flag_Forecast</f>
        <v>0</v>
      </c>
      <c r="M1383" s="27">
        <f t="shared" ref="M1383:BX1383" ca="1" si="1645">IFERROR(M1386/M1387,0)*Flag_Forecast</f>
        <v>0</v>
      </c>
      <c r="N1383" s="27">
        <f t="shared" ca="1" si="1645"/>
        <v>0</v>
      </c>
      <c r="O1383" s="27">
        <f t="shared" ca="1" si="1645"/>
        <v>0</v>
      </c>
      <c r="P1383" s="27">
        <f t="shared" ca="1" si="1645"/>
        <v>0</v>
      </c>
      <c r="Q1383" s="27">
        <f t="shared" ca="1" si="1645"/>
        <v>0</v>
      </c>
      <c r="R1383" s="27">
        <f t="shared" ca="1" si="1645"/>
        <v>0</v>
      </c>
      <c r="S1383" s="27">
        <f t="shared" ca="1" si="1645"/>
        <v>0</v>
      </c>
      <c r="T1383" s="27">
        <f t="shared" ca="1" si="1645"/>
        <v>0</v>
      </c>
      <c r="U1383" s="27">
        <f t="shared" ca="1" si="1645"/>
        <v>0</v>
      </c>
      <c r="V1383" s="27">
        <f t="shared" ca="1" si="1645"/>
        <v>0</v>
      </c>
      <c r="W1383" s="27">
        <f t="shared" ca="1" si="1645"/>
        <v>0</v>
      </c>
      <c r="X1383" s="27">
        <f t="shared" ca="1" si="1645"/>
        <v>0</v>
      </c>
      <c r="Y1383" s="27">
        <f t="shared" ca="1" si="1645"/>
        <v>0</v>
      </c>
      <c r="Z1383" s="27">
        <f t="shared" ca="1" si="1645"/>
        <v>0</v>
      </c>
      <c r="AA1383" s="27">
        <f t="shared" ca="1" si="1645"/>
        <v>0</v>
      </c>
      <c r="AB1383" s="27">
        <f t="shared" ca="1" si="1645"/>
        <v>0</v>
      </c>
      <c r="AC1383" s="27">
        <f t="shared" ca="1" si="1645"/>
        <v>3.5210978394911461</v>
      </c>
      <c r="AD1383" s="27">
        <f t="shared" ca="1" si="1645"/>
        <v>2.2403903909585074</v>
      </c>
      <c r="AE1383" s="27">
        <f t="shared" ca="1" si="1645"/>
        <v>2.4532090476655775</v>
      </c>
      <c r="AF1383" s="27">
        <f t="shared" ca="1" si="1645"/>
        <v>2.1523753055396493</v>
      </c>
      <c r="AG1383" s="27">
        <f t="shared" ca="1" si="1645"/>
        <v>2.1463893416076338</v>
      </c>
      <c r="AH1383" s="27">
        <f t="shared" ca="1" si="1645"/>
        <v>2.2407261771038285</v>
      </c>
      <c r="AI1383" s="27">
        <f t="shared" ca="1" si="1645"/>
        <v>2.454709618673673</v>
      </c>
      <c r="AJ1383" s="27">
        <f t="shared" ca="1" si="1645"/>
        <v>2.1529615173097394</v>
      </c>
      <c r="AK1383" s="27">
        <f t="shared" ca="1" si="1645"/>
        <v>2.1466875448250193</v>
      </c>
      <c r="AL1383" s="27">
        <f t="shared" ca="1" si="1645"/>
        <v>2.24099788388614</v>
      </c>
      <c r="AM1383" s="27">
        <f t="shared" ca="1" si="1645"/>
        <v>2.4559307900539076</v>
      </c>
      <c r="AN1383" s="27">
        <f t="shared" ca="1" si="1645"/>
        <v>2.1549443149184477</v>
      </c>
      <c r="AO1383" s="27">
        <f t="shared" ca="1" si="1645"/>
        <v>2.1478075626946893</v>
      </c>
      <c r="AP1383" s="27">
        <f t="shared" ca="1" si="1645"/>
        <v>2.2430986500696308</v>
      </c>
      <c r="AQ1383" s="27">
        <f t="shared" ca="1" si="1645"/>
        <v>2.4662460144754821</v>
      </c>
      <c r="AR1383" s="27">
        <f t="shared" ca="1" si="1645"/>
        <v>2.1570130693770504</v>
      </c>
      <c r="AS1383" s="27">
        <f t="shared" ca="1" si="1645"/>
        <v>2.1487128902700507</v>
      </c>
      <c r="AT1383" s="27">
        <f t="shared" ca="1" si="1645"/>
        <v>2.2430973492301236</v>
      </c>
      <c r="AU1383" s="27">
        <f t="shared" ca="1" si="1645"/>
        <v>2.4662416907713891</v>
      </c>
      <c r="AV1383" s="27">
        <f t="shared" ca="1" si="1645"/>
        <v>2.1570150324298369</v>
      </c>
      <c r="AW1383" s="27">
        <f t="shared" ca="1" si="1645"/>
        <v>1.3758368817466913</v>
      </c>
      <c r="AX1383" s="27">
        <f t="shared" ca="1" si="1645"/>
        <v>1.3020521190845848</v>
      </c>
      <c r="AY1383" s="27">
        <f t="shared" ca="1" si="1645"/>
        <v>1.2857561973452392</v>
      </c>
      <c r="AZ1383" s="27">
        <f t="shared" ca="1" si="1645"/>
        <v>1.2901345670081528</v>
      </c>
      <c r="BA1383" s="27">
        <f t="shared" ca="1" si="1645"/>
        <v>1.2951448218160031</v>
      </c>
      <c r="BB1383" s="27">
        <f t="shared" ca="1" si="1645"/>
        <v>1.3020521190845846</v>
      </c>
      <c r="BC1383" s="27">
        <f t="shared" ca="1" si="1645"/>
        <v>1.2857561973452396</v>
      </c>
      <c r="BD1383" s="27">
        <f t="shared" ca="1" si="1645"/>
        <v>1.2864556183623843</v>
      </c>
      <c r="BE1383" s="27">
        <f t="shared" ca="1" si="1645"/>
        <v>1.2951450447754269</v>
      </c>
      <c r="BF1383" s="27">
        <f t="shared" ca="1" si="1645"/>
        <v>1.302052243912317</v>
      </c>
      <c r="BG1383" s="27">
        <f t="shared" ca="1" si="1645"/>
        <v>1.2857564981974117</v>
      </c>
      <c r="BH1383" s="27">
        <f t="shared" ca="1" si="1645"/>
        <v>1.290134567008153</v>
      </c>
      <c r="BI1383" s="27">
        <f t="shared" ca="1" si="1645"/>
        <v>1.2951448218160038</v>
      </c>
      <c r="BJ1383" s="27">
        <f t="shared" ca="1" si="1645"/>
        <v>1.3020521190845846</v>
      </c>
      <c r="BK1383" s="27">
        <f t="shared" ca="1" si="1645"/>
        <v>1.2857561973452389</v>
      </c>
      <c r="BL1383" s="27">
        <f t="shared" ca="1" si="1645"/>
        <v>1.2901345670081525</v>
      </c>
      <c r="BM1383" s="27">
        <f t="shared" ca="1" si="1645"/>
        <v>1.2951448218160029</v>
      </c>
      <c r="BN1383" s="27">
        <f t="shared" ca="1" si="1645"/>
        <v>1.3020521190845848</v>
      </c>
      <c r="BO1383" s="27">
        <f t="shared" ca="1" si="1645"/>
        <v>1.2857561973452396</v>
      </c>
      <c r="BP1383" s="27">
        <f t="shared" ca="1" si="1645"/>
        <v>1.2901345670081525</v>
      </c>
      <c r="BQ1383" s="27">
        <f t="shared" ca="1" si="1645"/>
        <v>1.2951448218160038</v>
      </c>
      <c r="BR1383" s="27">
        <f t="shared" ca="1" si="1645"/>
        <v>1.3020521190845851</v>
      </c>
      <c r="BS1383" s="27">
        <f t="shared" ca="1" si="1645"/>
        <v>1.2857561973452403</v>
      </c>
      <c r="BT1383" s="27">
        <f t="shared" ca="1" si="1645"/>
        <v>1.2864556183623845</v>
      </c>
      <c r="BU1383" s="27">
        <f t="shared" ca="1" si="1645"/>
        <v>1.2951450447754256</v>
      </c>
      <c r="BV1383" s="27">
        <f t="shared" ca="1" si="1645"/>
        <v>1.3020522439123168</v>
      </c>
      <c r="BW1383" s="27">
        <f t="shared" ca="1" si="1645"/>
        <v>1.2857564981974121</v>
      </c>
      <c r="BX1383" s="27">
        <f t="shared" ca="1" si="1645"/>
        <v>1.2901345670081521</v>
      </c>
      <c r="BY1383" s="27">
        <f t="shared" ref="BY1383:CO1383" ca="1" si="1646">IFERROR(BY1386/BY1387,0)*Flag_Forecast</f>
        <v>1.2951448218160035</v>
      </c>
      <c r="BZ1383" s="27">
        <f t="shared" ca="1" si="1646"/>
        <v>1.302052119084584</v>
      </c>
      <c r="CA1383" s="27">
        <f t="shared" ca="1" si="1646"/>
        <v>1.2857561973452396</v>
      </c>
      <c r="CB1383" s="27">
        <f t="shared" ca="1" si="1646"/>
        <v>1.2901345670081521</v>
      </c>
      <c r="CC1383" s="27">
        <f t="shared" ca="1" si="1646"/>
        <v>1.2951448218160031</v>
      </c>
      <c r="CD1383" s="27">
        <f t="shared" ca="1" si="1646"/>
        <v>1.3020521190845848</v>
      </c>
      <c r="CE1383" s="27">
        <f t="shared" ca="1" si="1646"/>
        <v>1.2857561973452396</v>
      </c>
      <c r="CF1383" s="27">
        <f t="shared" ca="1" si="1646"/>
        <v>1.2901345670081521</v>
      </c>
      <c r="CG1383" s="27">
        <f t="shared" ca="1" si="1646"/>
        <v>1.2951448218160033</v>
      </c>
      <c r="CH1383" s="27">
        <f t="shared" ca="1" si="1646"/>
        <v>1.3020521190845848</v>
      </c>
      <c r="CI1383" s="27">
        <f t="shared" ca="1" si="1646"/>
        <v>1.2857561973452383</v>
      </c>
      <c r="CJ1383" s="27">
        <f t="shared" ca="1" si="1646"/>
        <v>1.2864556183623836</v>
      </c>
      <c r="CK1383" s="27">
        <f t="shared" ca="1" si="1646"/>
        <v>1.2951450447754265</v>
      </c>
      <c r="CL1383" s="27">
        <f t="shared" ca="1" si="1646"/>
        <v>1.302052243912317</v>
      </c>
      <c r="CM1383" s="27">
        <f t="shared" ca="1" si="1646"/>
        <v>1.2857564981974106</v>
      </c>
      <c r="CN1383" s="27">
        <f t="shared" ca="1" si="1646"/>
        <v>1.2901345670081523</v>
      </c>
      <c r="CO1383" s="27">
        <f t="shared" ca="1" si="1646"/>
        <v>1.2951448218160033</v>
      </c>
    </row>
    <row r="1384" spans="1:93">
      <c r="A1384" s="10"/>
      <c r="B1384" s="10"/>
      <c r="C1384" s="50" t="s">
        <v>233</v>
      </c>
      <c r="D1384" s="10"/>
      <c r="E1384" s="62"/>
      <c r="F1384" s="10"/>
      <c r="G1384" s="11" t="s">
        <v>378</v>
      </c>
      <c r="H1384" s="10"/>
      <c r="I1384" s="10"/>
      <c r="J1384" s="10"/>
      <c r="K1384" s="10"/>
      <c r="L1384" s="27">
        <f ca="1">IFERROR(L1385/L1387,0)*Flag_Forecast</f>
        <v>0</v>
      </c>
      <c r="M1384" s="27">
        <f t="shared" ref="M1384:BX1384" ca="1" si="1647">IFERROR(M1385/M1387,0)*Flag_Forecast</f>
        <v>0</v>
      </c>
      <c r="N1384" s="27">
        <f t="shared" ca="1" si="1647"/>
        <v>0</v>
      </c>
      <c r="O1384" s="27">
        <f t="shared" ca="1" si="1647"/>
        <v>0</v>
      </c>
      <c r="P1384" s="27">
        <f t="shared" ca="1" si="1647"/>
        <v>0</v>
      </c>
      <c r="Q1384" s="27">
        <f t="shared" ca="1" si="1647"/>
        <v>0</v>
      </c>
      <c r="R1384" s="27">
        <f t="shared" ca="1" si="1647"/>
        <v>0</v>
      </c>
      <c r="S1384" s="27">
        <f t="shared" ca="1" si="1647"/>
        <v>0</v>
      </c>
      <c r="T1384" s="27">
        <f t="shared" ca="1" si="1647"/>
        <v>0</v>
      </c>
      <c r="U1384" s="27">
        <f t="shared" ca="1" si="1647"/>
        <v>0</v>
      </c>
      <c r="V1384" s="27">
        <f t="shared" ca="1" si="1647"/>
        <v>0</v>
      </c>
      <c r="W1384" s="27">
        <f t="shared" ca="1" si="1647"/>
        <v>0</v>
      </c>
      <c r="X1384" s="27">
        <f t="shared" ca="1" si="1647"/>
        <v>0</v>
      </c>
      <c r="Y1384" s="27">
        <f t="shared" ca="1" si="1647"/>
        <v>0</v>
      </c>
      <c r="Z1384" s="27">
        <f t="shared" ca="1" si="1647"/>
        <v>0</v>
      </c>
      <c r="AA1384" s="27">
        <f t="shared" ca="1" si="1647"/>
        <v>0</v>
      </c>
      <c r="AB1384" s="27">
        <f t="shared" ca="1" si="1647"/>
        <v>0</v>
      </c>
      <c r="AC1384" s="27">
        <f t="shared" ca="1" si="1647"/>
        <v>1.2504233465334909</v>
      </c>
      <c r="AD1384" s="27">
        <f t="shared" ca="1" si="1647"/>
        <v>1.3176623868286594</v>
      </c>
      <c r="AE1384" s="27">
        <f t="shared" ca="1" si="1647"/>
        <v>1.2163614675951964</v>
      </c>
      <c r="AF1384" s="27">
        <f t="shared" ca="1" si="1647"/>
        <v>1.1986368873253177</v>
      </c>
      <c r="AG1384" s="27">
        <f t="shared" ca="1" si="1647"/>
        <v>1.2506209237775645</v>
      </c>
      <c r="AH1384" s="27">
        <f t="shared" ca="1" si="1647"/>
        <v>1.3177767278646733</v>
      </c>
      <c r="AI1384" s="27">
        <f t="shared" ca="1" si="1647"/>
        <v>1.2166197712208249</v>
      </c>
      <c r="AJ1384" s="27">
        <f t="shared" ca="1" si="1647"/>
        <v>1.1989035633525258</v>
      </c>
      <c r="AK1384" s="27">
        <f t="shared" ca="1" si="1647"/>
        <v>1.2507798941857684</v>
      </c>
      <c r="AL1384" s="27">
        <f t="shared" ca="1" si="1647"/>
        <v>1.3178692487605299</v>
      </c>
      <c r="AM1384" s="27">
        <f t="shared" ca="1" si="1647"/>
        <v>1.2168299798636204</v>
      </c>
      <c r="AN1384" s="27">
        <f t="shared" ca="1" si="1647"/>
        <v>1.1991276691632689</v>
      </c>
      <c r="AO1384" s="27">
        <f t="shared" ca="1" si="1647"/>
        <v>1.2509142167497458</v>
      </c>
      <c r="AP1384" s="27">
        <f t="shared" ca="1" si="1647"/>
        <v>1.3179300615046226</v>
      </c>
      <c r="AQ1384" s="27">
        <f t="shared" ca="1" si="1647"/>
        <v>1.216926397017958</v>
      </c>
      <c r="AR1384" s="27">
        <f t="shared" ca="1" si="1647"/>
        <v>1.1991701996571211</v>
      </c>
      <c r="AS1384" s="27">
        <f t="shared" ca="1" si="1647"/>
        <v>1.2509105663381435</v>
      </c>
      <c r="AT1384" s="27">
        <f t="shared" ca="1" si="1647"/>
        <v>1.3179278264132421</v>
      </c>
      <c r="AU1384" s="27">
        <f t="shared" ca="1" si="1647"/>
        <v>1.2169210595493269</v>
      </c>
      <c r="AV1384" s="27">
        <f t="shared" ca="1" si="1647"/>
        <v>1.1991701996571213</v>
      </c>
      <c r="AW1384" s="27">
        <f t="shared" ca="1" si="1647"/>
        <v>0.85886028092394784</v>
      </c>
      <c r="AX1384" s="27">
        <f t="shared" ca="1" si="1647"/>
        <v>0.82560124869751572</v>
      </c>
      <c r="AY1384" s="27">
        <f t="shared" ca="1" si="1647"/>
        <v>0.79593452118718677</v>
      </c>
      <c r="AZ1384" s="27">
        <f t="shared" ca="1" si="1647"/>
        <v>0.79506994164805767</v>
      </c>
      <c r="BA1384" s="27">
        <f t="shared" ca="1" si="1647"/>
        <v>0.80848860810440615</v>
      </c>
      <c r="BB1384" s="27">
        <f t="shared" ca="1" si="1647"/>
        <v>0.82560124869751583</v>
      </c>
      <c r="BC1384" s="27">
        <f t="shared" ca="1" si="1647"/>
        <v>0.79593452118718688</v>
      </c>
      <c r="BD1384" s="27">
        <f t="shared" ca="1" si="1647"/>
        <v>0.79280419459067686</v>
      </c>
      <c r="BE1384" s="27">
        <f t="shared" ca="1" si="1647"/>
        <v>0.80848963381437411</v>
      </c>
      <c r="BF1384" s="27">
        <f t="shared" ca="1" si="1647"/>
        <v>0.82560184019387806</v>
      </c>
      <c r="BG1384" s="27">
        <f t="shared" ca="1" si="1647"/>
        <v>0.795936037356054</v>
      </c>
      <c r="BH1384" s="27">
        <f t="shared" ca="1" si="1647"/>
        <v>0.79506994164805767</v>
      </c>
      <c r="BI1384" s="27">
        <f t="shared" ca="1" si="1647"/>
        <v>0.80848860810440626</v>
      </c>
      <c r="BJ1384" s="27">
        <f t="shared" ca="1" si="1647"/>
        <v>0.8256012486975155</v>
      </c>
      <c r="BK1384" s="27">
        <f t="shared" ca="1" si="1647"/>
        <v>0.79593452118718655</v>
      </c>
      <c r="BL1384" s="27">
        <f t="shared" ca="1" si="1647"/>
        <v>0.79506994164805744</v>
      </c>
      <c r="BM1384" s="27">
        <f t="shared" ca="1" si="1647"/>
        <v>0.80848860810440581</v>
      </c>
      <c r="BN1384" s="27">
        <f t="shared" ca="1" si="1647"/>
        <v>0.82560124869751572</v>
      </c>
      <c r="BO1384" s="27">
        <f t="shared" ca="1" si="1647"/>
        <v>0.79593452118718711</v>
      </c>
      <c r="BP1384" s="27">
        <f t="shared" ca="1" si="1647"/>
        <v>0.79506994164805744</v>
      </c>
      <c r="BQ1384" s="27">
        <f t="shared" ca="1" si="1647"/>
        <v>0.80848860810440626</v>
      </c>
      <c r="BR1384" s="27">
        <f t="shared" ca="1" si="1647"/>
        <v>0.82560124869751583</v>
      </c>
      <c r="BS1384" s="27">
        <f t="shared" ca="1" si="1647"/>
        <v>0.79593452118718744</v>
      </c>
      <c r="BT1384" s="27">
        <f t="shared" ca="1" si="1647"/>
        <v>0.79280419459067708</v>
      </c>
      <c r="BU1384" s="27">
        <f t="shared" ca="1" si="1647"/>
        <v>0.80848963381437322</v>
      </c>
      <c r="BV1384" s="27">
        <f t="shared" ca="1" si="1647"/>
        <v>0.82560184019387794</v>
      </c>
      <c r="BW1384" s="27">
        <f t="shared" ca="1" si="1647"/>
        <v>0.795936037356054</v>
      </c>
      <c r="BX1384" s="27">
        <f t="shared" ca="1" si="1647"/>
        <v>0.79506994164805733</v>
      </c>
      <c r="BY1384" s="27">
        <f t="shared" ref="BY1384:CO1384" ca="1" si="1648">IFERROR(BY1385/BY1387,0)*Flag_Forecast</f>
        <v>0.80848860810440637</v>
      </c>
      <c r="BZ1384" s="27">
        <f t="shared" ca="1" si="1648"/>
        <v>0.82560124869751506</v>
      </c>
      <c r="CA1384" s="27">
        <f t="shared" ca="1" si="1648"/>
        <v>0.79593452118718733</v>
      </c>
      <c r="CB1384" s="27">
        <f t="shared" ca="1" si="1648"/>
        <v>0.79506994164805711</v>
      </c>
      <c r="CC1384" s="27">
        <f t="shared" ca="1" si="1648"/>
        <v>0.80848860810440593</v>
      </c>
      <c r="CD1384" s="27">
        <f t="shared" ca="1" si="1648"/>
        <v>0.82560124869751572</v>
      </c>
      <c r="CE1384" s="27">
        <f t="shared" ca="1" si="1648"/>
        <v>0.79593452118718711</v>
      </c>
      <c r="CF1384" s="27">
        <f t="shared" ca="1" si="1648"/>
        <v>0.79506994164805711</v>
      </c>
      <c r="CG1384" s="27">
        <f t="shared" ca="1" si="1648"/>
        <v>0.80848860810440593</v>
      </c>
      <c r="CH1384" s="27">
        <f t="shared" ca="1" si="1648"/>
        <v>0.82560124869751539</v>
      </c>
      <c r="CI1384" s="27">
        <f t="shared" ca="1" si="1648"/>
        <v>0.79593452118718633</v>
      </c>
      <c r="CJ1384" s="27">
        <f t="shared" ca="1" si="1648"/>
        <v>0.79280419459067641</v>
      </c>
      <c r="CK1384" s="27">
        <f t="shared" ca="1" si="1648"/>
        <v>0.80848963381437366</v>
      </c>
      <c r="CL1384" s="27">
        <f t="shared" ca="1" si="1648"/>
        <v>0.82560184019387817</v>
      </c>
      <c r="CM1384" s="27">
        <f t="shared" ca="1" si="1648"/>
        <v>0.79593603735605323</v>
      </c>
      <c r="CN1384" s="27">
        <f t="shared" ca="1" si="1648"/>
        <v>0.79506994164805733</v>
      </c>
      <c r="CO1384" s="27">
        <f t="shared" ca="1" si="1648"/>
        <v>0.80848860810440604</v>
      </c>
    </row>
    <row r="1385" spans="1:93">
      <c r="A1385" s="10"/>
      <c r="B1385" s="10"/>
      <c r="C1385" s="21" t="s">
        <v>234</v>
      </c>
      <c r="D1385" s="10"/>
      <c r="E1385" s="62"/>
      <c r="F1385" s="10"/>
      <c r="G1385" s="134" t="str">
        <f>Monetary_Unit</f>
        <v>тыс. руб.</v>
      </c>
      <c r="H1385" s="10"/>
      <c r="I1385" s="10"/>
      <c r="J1385" s="10"/>
      <c r="K1385" s="10"/>
      <c r="L1385" s="52">
        <f t="shared" ref="L1385:BW1385" ca="1" si="1649">(Cash_EoP+Accounts_Receivable_EoP)*Flag_Forecast</f>
        <v>0</v>
      </c>
      <c r="M1385" s="52">
        <f t="shared" ca="1" si="1649"/>
        <v>0</v>
      </c>
      <c r="N1385" s="52">
        <f t="shared" ca="1" si="1649"/>
        <v>0</v>
      </c>
      <c r="O1385" s="52">
        <f t="shared" ca="1" si="1649"/>
        <v>0</v>
      </c>
      <c r="P1385" s="52">
        <f t="shared" ca="1" si="1649"/>
        <v>0</v>
      </c>
      <c r="Q1385" s="52">
        <f t="shared" ca="1" si="1649"/>
        <v>0</v>
      </c>
      <c r="R1385" s="52">
        <f t="shared" ca="1" si="1649"/>
        <v>0</v>
      </c>
      <c r="S1385" s="52">
        <f t="shared" ca="1" si="1649"/>
        <v>0</v>
      </c>
      <c r="T1385" s="52">
        <f t="shared" ca="1" si="1649"/>
        <v>0</v>
      </c>
      <c r="U1385" s="52">
        <f t="shared" ca="1" si="1649"/>
        <v>0</v>
      </c>
      <c r="V1385" s="52">
        <f t="shared" ca="1" si="1649"/>
        <v>0</v>
      </c>
      <c r="W1385" s="52">
        <f t="shared" ca="1" si="1649"/>
        <v>0</v>
      </c>
      <c r="X1385" s="52">
        <f t="shared" ca="1" si="1649"/>
        <v>0</v>
      </c>
      <c r="Y1385" s="52">
        <f t="shared" ca="1" si="1649"/>
        <v>0</v>
      </c>
      <c r="Z1385" s="52">
        <f t="shared" ca="1" si="1649"/>
        <v>0</v>
      </c>
      <c r="AA1385" s="52">
        <f t="shared" ca="1" si="1649"/>
        <v>0</v>
      </c>
      <c r="AB1385" s="52">
        <f t="shared" ca="1" si="1649"/>
        <v>0</v>
      </c>
      <c r="AC1385" s="52">
        <f t="shared" ca="1" si="1649"/>
        <v>94660.661967625027</v>
      </c>
      <c r="AD1385" s="52">
        <f t="shared" ca="1" si="1649"/>
        <v>178571.02742185368</v>
      </c>
      <c r="AE1385" s="52">
        <f t="shared" ca="1" si="1649"/>
        <v>66282.695074242889</v>
      </c>
      <c r="AF1385" s="52">
        <f t="shared" ca="1" si="1649"/>
        <v>61381.040167154017</v>
      </c>
      <c r="AG1385" s="52">
        <f t="shared" ca="1" si="1649"/>
        <v>110418.74055986514</v>
      </c>
      <c r="AH1385" s="52">
        <f t="shared" ca="1" si="1649"/>
        <v>207631.27579636127</v>
      </c>
      <c r="AI1385" s="52">
        <f t="shared" ca="1" si="1649"/>
        <v>76836.242369101325</v>
      </c>
      <c r="AJ1385" s="52">
        <f t="shared" ca="1" si="1649"/>
        <v>70950.267071221955</v>
      </c>
      <c r="AK1385" s="52">
        <f t="shared" ca="1" si="1649"/>
        <v>127286.0083803364</v>
      </c>
      <c r="AL1385" s="52">
        <f t="shared" ca="1" si="1649"/>
        <v>238730.63039695437</v>
      </c>
      <c r="AM1385" s="52">
        <f t="shared" ca="1" si="1649"/>
        <v>88128.021135429735</v>
      </c>
      <c r="AN1385" s="52">
        <f t="shared" ca="1" si="1649"/>
        <v>81186.822463347751</v>
      </c>
      <c r="AO1385" s="52">
        <f t="shared" ca="1" si="1649"/>
        <v>145325.98764154949</v>
      </c>
      <c r="AP1385" s="52">
        <f t="shared" ca="1" si="1649"/>
        <v>266059.25639644847</v>
      </c>
      <c r="AQ1385" s="52">
        <f t="shared" ca="1" si="1649"/>
        <v>95926.673098060361</v>
      </c>
      <c r="AR1385" s="52">
        <f t="shared" ca="1" si="1649"/>
        <v>86357.916986293683</v>
      </c>
      <c r="AS1385" s="52">
        <f t="shared" ca="1" si="1649"/>
        <v>151139.02714721148</v>
      </c>
      <c r="AT1385" s="52">
        <f t="shared" ca="1" si="1649"/>
        <v>276701.62665230641</v>
      </c>
      <c r="AU1385" s="52">
        <f t="shared" ca="1" si="1649"/>
        <v>99763.740021982696</v>
      </c>
      <c r="AV1385" s="52">
        <f t="shared" ca="1" si="1649"/>
        <v>89812.233665745414</v>
      </c>
      <c r="AW1385" s="52">
        <f t="shared" ca="1" si="1649"/>
        <v>139169.50216967316</v>
      </c>
      <c r="AX1385" s="52">
        <f t="shared" ca="1" si="1649"/>
        <v>252240.24600456469</v>
      </c>
      <c r="AY1385" s="52">
        <f t="shared" ca="1" si="1649"/>
        <v>92361.661414328089</v>
      </c>
      <c r="AZ1385" s="52">
        <f t="shared" ca="1" si="1649"/>
        <v>83395.034022006002</v>
      </c>
      <c r="BA1385" s="52">
        <f t="shared" ca="1" si="1649"/>
        <v>144736.28225646005</v>
      </c>
      <c r="BB1385" s="52">
        <f t="shared" ca="1" si="1649"/>
        <v>262329.85584474716</v>
      </c>
      <c r="BC1385" s="52">
        <f t="shared" ca="1" si="1649"/>
        <v>96056.127870901139</v>
      </c>
      <c r="BD1385" s="52">
        <f t="shared" ca="1" si="1649"/>
        <v>86730.835382886231</v>
      </c>
      <c r="BE1385" s="52">
        <f t="shared" ca="1" si="1649"/>
        <v>150525.73354671843</v>
      </c>
      <c r="BF1385" s="52">
        <f t="shared" ca="1" si="1649"/>
        <v>272823.05007853685</v>
      </c>
      <c r="BG1385" s="52">
        <f t="shared" ca="1" si="1649"/>
        <v>99898.372985737224</v>
      </c>
      <c r="BH1385" s="52">
        <f t="shared" ca="1" si="1649"/>
        <v>90200.068798201683</v>
      </c>
      <c r="BI1385" s="52">
        <f t="shared" ca="1" si="1649"/>
        <v>156546.76288858708</v>
      </c>
      <c r="BJ1385" s="52">
        <f t="shared" ca="1" si="1649"/>
        <v>283735.97208167834</v>
      </c>
      <c r="BK1385" s="52">
        <f t="shared" ca="1" si="1649"/>
        <v>103894.30790516664</v>
      </c>
      <c r="BL1385" s="52">
        <f t="shared" ca="1" si="1649"/>
        <v>93808.071550129738</v>
      </c>
      <c r="BM1385" s="52">
        <f t="shared" ca="1" si="1649"/>
        <v>162808.63340413058</v>
      </c>
      <c r="BN1385" s="52">
        <f t="shared" ca="1" si="1649"/>
        <v>295085.41096494545</v>
      </c>
      <c r="BO1385" s="52">
        <f t="shared" ca="1" si="1649"/>
        <v>108050.08022137336</v>
      </c>
      <c r="BP1385" s="52">
        <f t="shared" ca="1" si="1649"/>
        <v>97560.39441213489</v>
      </c>
      <c r="BQ1385" s="52">
        <f t="shared" ca="1" si="1649"/>
        <v>169320.9787402958</v>
      </c>
      <c r="BR1385" s="52">
        <f t="shared" ca="1" si="1649"/>
        <v>306888.82740354328</v>
      </c>
      <c r="BS1385" s="52">
        <f t="shared" ca="1" si="1649"/>
        <v>112372.08343022829</v>
      </c>
      <c r="BT1385" s="52">
        <f t="shared" ca="1" si="1649"/>
        <v>101462.81018862029</v>
      </c>
      <c r="BU1385" s="52">
        <f t="shared" ca="1" si="1649"/>
        <v>176093.81788990746</v>
      </c>
      <c r="BV1385" s="52">
        <f t="shared" ca="1" si="1649"/>
        <v>319164.38049968472</v>
      </c>
      <c r="BW1385" s="52">
        <f t="shared" ca="1" si="1649"/>
        <v>116866.96676743741</v>
      </c>
      <c r="BX1385" s="52">
        <f t="shared" ref="BX1385:CO1385" ca="1" si="1650">(Cash_EoP+Accounts_Receivable_EoP)*Flag_Forecast</f>
        <v>105521.32259616506</v>
      </c>
      <c r="BY1385" s="52">
        <f t="shared" ca="1" si="1650"/>
        <v>183137.57060550392</v>
      </c>
      <c r="BZ1385" s="52">
        <f t="shared" ca="1" si="1650"/>
        <v>331930.95571967214</v>
      </c>
      <c r="CA1385" s="52">
        <f t="shared" ca="1" si="1650"/>
        <v>121541.6454381349</v>
      </c>
      <c r="CB1385" s="52">
        <f t="shared" ca="1" si="1650"/>
        <v>109742.17550001165</v>
      </c>
      <c r="CC1385" s="52">
        <f t="shared" ca="1" si="1650"/>
        <v>190463.07342972397</v>
      </c>
      <c r="CD1385" s="52">
        <f t="shared" ca="1" si="1650"/>
        <v>345208.19394845911</v>
      </c>
      <c r="CE1385" s="52">
        <f t="shared" ca="1" si="1650"/>
        <v>126403.31125566026</v>
      </c>
      <c r="CF1385" s="52">
        <f t="shared" ca="1" si="1650"/>
        <v>114131.86252001207</v>
      </c>
      <c r="CG1385" s="52">
        <f t="shared" ca="1" si="1650"/>
        <v>198081.59636691288</v>
      </c>
      <c r="CH1385" s="52">
        <f t="shared" ca="1" si="1650"/>
        <v>359016.52170639741</v>
      </c>
      <c r="CI1385" s="52">
        <f t="shared" ca="1" si="1650"/>
        <v>131459.4437058866</v>
      </c>
      <c r="CJ1385" s="52">
        <f t="shared" ca="1" si="1650"/>
        <v>118697.1370208126</v>
      </c>
      <c r="CK1385" s="52">
        <f t="shared" ca="1" si="1650"/>
        <v>206004.86022158945</v>
      </c>
      <c r="CL1385" s="52">
        <f t="shared" ca="1" si="1650"/>
        <v>373377.1825746533</v>
      </c>
      <c r="CM1385" s="52">
        <f t="shared" ca="1" si="1650"/>
        <v>136717.82145412208</v>
      </c>
      <c r="CN1385" s="52">
        <f t="shared" ca="1" si="1650"/>
        <v>123445.02250164509</v>
      </c>
      <c r="CO1385" s="52">
        <f t="shared" ca="1" si="1650"/>
        <v>214245.054630453</v>
      </c>
    </row>
    <row r="1386" spans="1:93">
      <c r="A1386" s="10"/>
      <c r="B1386" s="10"/>
      <c r="C1386" s="21" t="s">
        <v>235</v>
      </c>
      <c r="D1386" s="10"/>
      <c r="E1386" s="62"/>
      <c r="F1386" s="10"/>
      <c r="G1386" s="134" t="str">
        <f>Monetary_Unit</f>
        <v>тыс. руб.</v>
      </c>
      <c r="H1386" s="10"/>
      <c r="I1386" s="10"/>
      <c r="J1386" s="10"/>
      <c r="K1386" s="10"/>
      <c r="L1386" s="52">
        <f ca="1">Отчетность!L17</f>
        <v>3371.9255688267931</v>
      </c>
      <c r="M1386" s="52">
        <f ca="1">Отчетность!M17</f>
        <v>6791.7152414601769</v>
      </c>
      <c r="N1386" s="52">
        <f ca="1">Отчетность!N17</f>
        <v>10260.048443464699</v>
      </c>
      <c r="O1386" s="52">
        <f ca="1">Отчетность!O17</f>
        <v>13777.614244774297</v>
      </c>
      <c r="P1386" s="52">
        <f ca="1">Отчетность!P17</f>
        <v>43359.362682235027</v>
      </c>
      <c r="Q1386" s="52">
        <f ca="1">Отчетность!Q17</f>
        <v>73232.59211347939</v>
      </c>
      <c r="R1386" s="52">
        <f ca="1">Отчетность!R17</f>
        <v>103400.17461924042</v>
      </c>
      <c r="S1386" s="52">
        <f ca="1">Отчетность!S17</f>
        <v>133865.01058003027</v>
      </c>
      <c r="T1386" s="52">
        <f ca="1">Отчетность!T17</f>
        <v>164630.02895498942</v>
      </c>
      <c r="U1386" s="52">
        <f ca="1">Отчетность!U17</f>
        <v>195698.18756348355</v>
      </c>
      <c r="V1386" s="52">
        <f ca="1">Отчетность!V17</f>
        <v>227072.47336947499</v>
      </c>
      <c r="W1386" s="52">
        <f ca="1">Отчетность!W17</f>
        <v>258755.90276869643</v>
      </c>
      <c r="X1386" s="52">
        <f ca="1">Отчетность!X17</f>
        <v>320018.48440477223</v>
      </c>
      <c r="Y1386" s="52">
        <f ca="1">Отчетность!Y17</f>
        <v>381884.71116394771</v>
      </c>
      <c r="Z1386" s="52">
        <f ca="1">Отчетность!Z17</f>
        <v>444360.53100703203</v>
      </c>
      <c r="AA1386" s="52">
        <f ca="1">Отчетность!AA17</f>
        <v>507451.95050251036</v>
      </c>
      <c r="AB1386" s="52">
        <f ca="1">Отчетность!AB17</f>
        <v>617457.09245746897</v>
      </c>
      <c r="AC1386" s="52">
        <f ca="1">Отчетность!AC17</f>
        <v>266557.28498914343</v>
      </c>
      <c r="AD1386" s="52">
        <f ca="1">Отчетность!AD17</f>
        <v>303620.12146555382</v>
      </c>
      <c r="AE1386" s="52">
        <f ca="1">Отчетность!AE17</f>
        <v>133681.73161656427</v>
      </c>
      <c r="AF1386" s="52">
        <f ca="1">Отчетность!AF17</f>
        <v>110221.06567980396</v>
      </c>
      <c r="AG1386" s="52">
        <f ca="1">Отчетность!AG17</f>
        <v>189507.15068444365</v>
      </c>
      <c r="AH1386" s="52">
        <f ca="1">Отчетность!AH17</f>
        <v>353052.85411759734</v>
      </c>
      <c r="AI1386" s="52">
        <f ca="1">Отчетность!AI17</f>
        <v>155028.43835663795</v>
      </c>
      <c r="AJ1386" s="52">
        <f ca="1">Отчетность!AJ17</f>
        <v>127410.743713232</v>
      </c>
      <c r="AK1386" s="52">
        <f ca="1">Отчетность!AK17</f>
        <v>218458.33155036188</v>
      </c>
      <c r="AL1386" s="52">
        <f ca="1">Отчетность!AL17</f>
        <v>405954.4131874594</v>
      </c>
      <c r="AM1386" s="52">
        <f ca="1">Отчетность!AM17</f>
        <v>177868.99086533117</v>
      </c>
      <c r="AN1386" s="52">
        <f ca="1">Отчетность!AN17</f>
        <v>145900.29570059365</v>
      </c>
      <c r="AO1386" s="52">
        <f ca="1">Отчетность!AO17</f>
        <v>249523.30953885001</v>
      </c>
      <c r="AP1386" s="52">
        <f ca="1">Отчетность!AP17</f>
        <v>452829.15709507861</v>
      </c>
      <c r="AQ1386" s="52">
        <f ca="1">Отчетность!AQ17</f>
        <v>194406.80700962117</v>
      </c>
      <c r="AR1386" s="52">
        <f ca="1">Отчетность!AR17</f>
        <v>155336.71170020365</v>
      </c>
      <c r="AS1386" s="52">
        <f ca="1">Отчетность!AS17</f>
        <v>259614.38378825039</v>
      </c>
      <c r="AT1386" s="52">
        <f ca="1">Отчетность!AT17</f>
        <v>470942.84894235048</v>
      </c>
      <c r="AU1386" s="52">
        <f ca="1">Отчетность!AU17</f>
        <v>202183.61161455337</v>
      </c>
      <c r="AV1386" s="52">
        <f ca="1">Отчетность!AV17</f>
        <v>161550.32719167479</v>
      </c>
      <c r="AW1386" s="52">
        <f ca="1">Отчетность!AW17</f>
        <v>222940.2594952666</v>
      </c>
      <c r="AX1386" s="52">
        <f ca="1">Отчетность!AX17</f>
        <v>397806.98896325286</v>
      </c>
      <c r="AY1386" s="52">
        <f ca="1">Отчетность!AY17</f>
        <v>149201.44232900592</v>
      </c>
      <c r="AZ1386" s="52">
        <f ca="1">Отчетность!AZ17</f>
        <v>135322.45463284862</v>
      </c>
      <c r="BA1386" s="52">
        <f ca="1">Отчетность!BA17</f>
        <v>231857.86987507719</v>
      </c>
      <c r="BB1386" s="52">
        <f ca="1">Отчетность!BB17</f>
        <v>413719.26852178271</v>
      </c>
      <c r="BC1386" s="52">
        <f ca="1">Отчетность!BC17</f>
        <v>155169.50002216606</v>
      </c>
      <c r="BD1386" s="52">
        <f ca="1">Отчетность!BD17</f>
        <v>140735.09099076246</v>
      </c>
      <c r="BE1386" s="52">
        <f ca="1">Отчетность!BE17</f>
        <v>241131.92026278836</v>
      </c>
      <c r="BF1386" s="52">
        <f ca="1">Отчетность!BF17</f>
        <v>430267.77225004957</v>
      </c>
      <c r="BG1386" s="52">
        <f ca="1">Отчетность!BG17</f>
        <v>161376.01037946448</v>
      </c>
      <c r="BH1386" s="52">
        <f ca="1">Отчетность!BH17</f>
        <v>146364.76693088908</v>
      </c>
      <c r="BI1386" s="52">
        <f ca="1">Отчетность!BI17</f>
        <v>250777.47205688339</v>
      </c>
      <c r="BJ1386" s="52">
        <f ca="1">Отчетность!BJ17</f>
        <v>447478.76083316002</v>
      </c>
      <c r="BK1386" s="52">
        <f ca="1">Отчетность!BK17</f>
        <v>167831.33122397476</v>
      </c>
      <c r="BL1386" s="52">
        <f ca="1">Отчетность!BL17</f>
        <v>152219.35760812461</v>
      </c>
      <c r="BM1386" s="52">
        <f ca="1">Отчетность!BM17</f>
        <v>260808.57093915873</v>
      </c>
      <c r="BN1386" s="52">
        <f ca="1">Отчетность!BN17</f>
        <v>465377.91126648639</v>
      </c>
      <c r="BO1386" s="52">
        <f ca="1">Отчетность!BO17</f>
        <v>174544.58447293378</v>
      </c>
      <c r="BP1386" s="52">
        <f ca="1">Отчетность!BP17</f>
        <v>158308.13191244952</v>
      </c>
      <c r="BQ1386" s="52">
        <f ca="1">Отчетность!BQ17</f>
        <v>271240.91377672512</v>
      </c>
      <c r="BR1386" s="52">
        <f ca="1">Отчетность!BR17</f>
        <v>483993.02771714586</v>
      </c>
      <c r="BS1386" s="52">
        <f ca="1">Отчетность!BS17</f>
        <v>181526.36785185116</v>
      </c>
      <c r="BT1386" s="52">
        <f ca="1">Отчетность!BT17</f>
        <v>164640.15088792227</v>
      </c>
      <c r="BU1386" s="52">
        <f ca="1">Отчетность!BU17</f>
        <v>282090.24100866006</v>
      </c>
      <c r="BV1386" s="52">
        <f ca="1">Отчетность!BV17</f>
        <v>503352.43645885045</v>
      </c>
      <c r="BW1386" s="52">
        <f ca="1">Отчетность!BW17</f>
        <v>188787.10712106538</v>
      </c>
      <c r="BX1386" s="52">
        <f ca="1">Отчетность!BX17</f>
        <v>171226.07547650533</v>
      </c>
      <c r="BY1386" s="52">
        <f ca="1">Отчетность!BY17</f>
        <v>293374.17234090576</v>
      </c>
      <c r="BZ1386" s="52">
        <f ca="1">Отчетность!BZ17</f>
        <v>523486.85877886455</v>
      </c>
      <c r="CA1386" s="52">
        <f ca="1">Отчетность!CA17</f>
        <v>196338.91946856212</v>
      </c>
      <c r="CB1386" s="52">
        <f ca="1">Отчетность!CB17</f>
        <v>178075.11849556555</v>
      </c>
      <c r="CC1386" s="52">
        <f ca="1">Отчетность!CC17</f>
        <v>305109.13923454192</v>
      </c>
      <c r="CD1386" s="52">
        <f ca="1">Отчетность!CD17</f>
        <v>544426.33313001925</v>
      </c>
      <c r="CE1386" s="52">
        <f ca="1">Отчетность!CE17</f>
        <v>204192.47624730458</v>
      </c>
      <c r="CF1386" s="52">
        <f ca="1">Отчетность!CF17</f>
        <v>185198.12323538811</v>
      </c>
      <c r="CG1386" s="52">
        <f ca="1">Отчетность!CG17</f>
        <v>317313.50480392354</v>
      </c>
      <c r="CH1386" s="52">
        <f ca="1">Отчетность!CH17</f>
        <v>566203.38645522005</v>
      </c>
      <c r="CI1386" s="52">
        <f ca="1">Отчетность!CI17</f>
        <v>212360.17529719666</v>
      </c>
      <c r="CJ1386" s="52">
        <f ca="1">Отчетность!CJ17</f>
        <v>192605.68983592739</v>
      </c>
      <c r="CK1386" s="52">
        <f ca="1">Отчетность!CK17</f>
        <v>330005.68313644413</v>
      </c>
      <c r="CL1386" s="52">
        <f ca="1">Отчетность!CL17</f>
        <v>588851.15648824233</v>
      </c>
      <c r="CM1386" s="52">
        <f ca="1">Отчетность!CM17</f>
        <v>220854.21328321507</v>
      </c>
      <c r="CN1386" s="52">
        <f ca="1">Отчетность!CN17</f>
        <v>200310.29009139581</v>
      </c>
      <c r="CO1386" s="52">
        <f ca="1">Отчетность!CO17</f>
        <v>343206.28679592372</v>
      </c>
    </row>
    <row r="1387" spans="1:93">
      <c r="A1387" s="10"/>
      <c r="B1387" s="10"/>
      <c r="C1387" s="21" t="s">
        <v>236</v>
      </c>
      <c r="D1387" s="10"/>
      <c r="E1387" s="62"/>
      <c r="F1387" s="10"/>
      <c r="G1387" s="134" t="str">
        <f>Monetary_Unit</f>
        <v>тыс. руб.</v>
      </c>
      <c r="H1387" s="10"/>
      <c r="I1387" s="10"/>
      <c r="J1387" s="10"/>
      <c r="K1387" s="10"/>
      <c r="L1387" s="52">
        <f ca="1">Отчетность!L33</f>
        <v>0</v>
      </c>
      <c r="M1387" s="52">
        <f ca="1">Отчетность!M33</f>
        <v>0</v>
      </c>
      <c r="N1387" s="52">
        <f ca="1">Отчетность!N33</f>
        <v>0</v>
      </c>
      <c r="O1387" s="52">
        <f ca="1">Отчетность!O33</f>
        <v>0</v>
      </c>
      <c r="P1387" s="52">
        <f ca="1">Отчетность!P33</f>
        <v>0</v>
      </c>
      <c r="Q1387" s="52">
        <f ca="1">Отчетность!Q33</f>
        <v>0</v>
      </c>
      <c r="R1387" s="52">
        <f ca="1">Отчетность!R33</f>
        <v>0</v>
      </c>
      <c r="S1387" s="52">
        <f ca="1">Отчетность!S33</f>
        <v>0</v>
      </c>
      <c r="T1387" s="52">
        <f ca="1">Отчетность!T33</f>
        <v>0</v>
      </c>
      <c r="U1387" s="52">
        <f ca="1">Отчетность!U33</f>
        <v>0</v>
      </c>
      <c r="V1387" s="52">
        <f ca="1">Отчетность!V33</f>
        <v>0</v>
      </c>
      <c r="W1387" s="52">
        <f ca="1">Отчетность!W33</f>
        <v>0</v>
      </c>
      <c r="X1387" s="52">
        <f ca="1">Отчетность!X33</f>
        <v>0</v>
      </c>
      <c r="Y1387" s="52">
        <f ca="1">Отчетность!Y33</f>
        <v>0</v>
      </c>
      <c r="Z1387" s="52">
        <f ca="1">Отчетность!Z33</f>
        <v>0</v>
      </c>
      <c r="AA1387" s="52">
        <f ca="1">Отчетность!AA33</f>
        <v>0</v>
      </c>
      <c r="AB1387" s="52">
        <f ca="1">Отчетность!AB33</f>
        <v>0</v>
      </c>
      <c r="AC1387" s="52">
        <f ca="1">Отчетность!AC33</f>
        <v>75702.890729007733</v>
      </c>
      <c r="AD1387" s="52">
        <f ca="1">Отчетность!AD33</f>
        <v>135521.078241929</v>
      </c>
      <c r="AE1387" s="52">
        <f ca="1">Отчетность!AE33</f>
        <v>54492.596847289882</v>
      </c>
      <c r="AF1387" s="52">
        <f ca="1">Отчетность!AF33</f>
        <v>51209.036544938906</v>
      </c>
      <c r="AG1387" s="52">
        <f ca="1">Отчетность!AG33</f>
        <v>88291.134795937745</v>
      </c>
      <c r="AH1387" s="52">
        <f ca="1">Отчетность!AH33</f>
        <v>157561.80193954951</v>
      </c>
      <c r="AI1387" s="52">
        <f ca="1">Отчетность!AI33</f>
        <v>63155.510198555712</v>
      </c>
      <c r="AJ1387" s="52">
        <f ca="1">Отчетность!AJ33</f>
        <v>59179.294515416943</v>
      </c>
      <c r="AK1387" s="52">
        <f ca="1">Отчетность!AK33</f>
        <v>101765.31376305575</v>
      </c>
      <c r="AL1387" s="52">
        <f ca="1">Отчетность!AL33</f>
        <v>181148.94980779244</v>
      </c>
      <c r="AM1387" s="52">
        <f ca="1">Отчетность!AM33</f>
        <v>72424.268462967128</v>
      </c>
      <c r="AN1387" s="52">
        <f ca="1">Отчетность!AN33</f>
        <v>67704.902948322881</v>
      </c>
      <c r="AO1387" s="52">
        <f ca="1">Отчетность!AO33</f>
        <v>116175.82220717776</v>
      </c>
      <c r="AP1387" s="52">
        <f ca="1">Отчетность!AP33</f>
        <v>201876.61255157983</v>
      </c>
      <c r="AQ1387" s="52">
        <f ca="1">Отчетность!AQ33</f>
        <v>78827.013148145867</v>
      </c>
      <c r="AR1387" s="52">
        <f ca="1">Отчетность!AR33</f>
        <v>72014.729027610942</v>
      </c>
      <c r="AS1387" s="52">
        <f ca="1">Отчетность!AS33</f>
        <v>120823.20768114441</v>
      </c>
      <c r="AT1387" s="52">
        <f ca="1">Отчетность!AT33</f>
        <v>209952.03311349265</v>
      </c>
      <c r="AU1387" s="52">
        <f ca="1">Отчетность!AU33</f>
        <v>81980.453242323769</v>
      </c>
      <c r="AV1387" s="52">
        <f ca="1">Отчетность!AV33</f>
        <v>74895.318188715348</v>
      </c>
      <c r="AW1387" s="52">
        <f ca="1">Отчетность!AW33</f>
        <v>162039.7464648812</v>
      </c>
      <c r="AX1387" s="52">
        <f ca="1">Отчетность!AX33</f>
        <v>305523.0916892431</v>
      </c>
      <c r="AY1387" s="52">
        <f ca="1">Отчетность!AY33</f>
        <v>116041.783533355</v>
      </c>
      <c r="AZ1387" s="52">
        <f ca="1">Отчетность!AZ33</f>
        <v>104890.18594910145</v>
      </c>
      <c r="BA1387" s="52">
        <f ca="1">Отчетность!BA33</f>
        <v>179020.80598984665</v>
      </c>
      <c r="BB1387" s="52">
        <f ca="1">Отчетность!BB33</f>
        <v>317744.01535681263</v>
      </c>
      <c r="BC1387" s="52">
        <f ca="1">Отчетность!BC33</f>
        <v>120683.45487468909</v>
      </c>
      <c r="BD1387" s="52">
        <f ca="1">Отчетность!BD33</f>
        <v>109397.54856830087</v>
      </c>
      <c r="BE1387" s="52">
        <f ca="1">Отчетность!BE33</f>
        <v>186181.40202559298</v>
      </c>
      <c r="BF1387" s="52">
        <f ca="1">Отчетность!BF33</f>
        <v>330453.53921990917</v>
      </c>
      <c r="BG1387" s="52">
        <f ca="1">Отчетность!BG33</f>
        <v>125510.55398569506</v>
      </c>
      <c r="BH1387" s="52">
        <f ca="1">Отчетность!BH33</f>
        <v>113449.22512254812</v>
      </c>
      <c r="BI1387" s="52">
        <f ca="1">Отчетность!BI33</f>
        <v>193628.90375861796</v>
      </c>
      <c r="BJ1387" s="52">
        <f ca="1">Отчетность!BJ33</f>
        <v>343671.92700992845</v>
      </c>
      <c r="BK1387" s="52">
        <f ca="1">Отчетность!BK33</f>
        <v>130531.22479246375</v>
      </c>
      <c r="BL1387" s="52">
        <f ca="1">Отчетность!BL33</f>
        <v>117987.19412745006</v>
      </c>
      <c r="BM1387" s="52">
        <f ca="1">Отчетность!BM33</f>
        <v>201374.05990896281</v>
      </c>
      <c r="BN1387" s="52">
        <f ca="1">Отчетность!BN33</f>
        <v>357418.80409032549</v>
      </c>
      <c r="BO1387" s="52">
        <f ca="1">Отчетность!BO33</f>
        <v>135752.47378416226</v>
      </c>
      <c r="BP1387" s="52">
        <f ca="1">Отчетность!BP33</f>
        <v>122706.681892548</v>
      </c>
      <c r="BQ1387" s="52">
        <f ca="1">Отчетность!BQ33</f>
        <v>209429.02230532121</v>
      </c>
      <c r="BR1387" s="52">
        <f ca="1">Отчетность!BR33</f>
        <v>371715.55625393847</v>
      </c>
      <c r="BS1387" s="52">
        <f ca="1">Отчетность!BS33</f>
        <v>141182.57273552869</v>
      </c>
      <c r="BT1387" s="52">
        <f ca="1">Отчетность!BT33</f>
        <v>127979.65863564244</v>
      </c>
      <c r="BU1387" s="52">
        <f ca="1">Отчетность!BU33</f>
        <v>217805.90687244121</v>
      </c>
      <c r="BV1387" s="52">
        <f ca="1">Отчетность!BV33</f>
        <v>386583.90153870615</v>
      </c>
      <c r="BW1387" s="52">
        <f ca="1">Отчетность!BW33</f>
        <v>146829.59595050744</v>
      </c>
      <c r="BX1387" s="52">
        <f ca="1">Отчетность!BX33</f>
        <v>132719.54713497989</v>
      </c>
      <c r="BY1387" s="52">
        <f ca="1">Отчетность!BY33</f>
        <v>226518.43052543537</v>
      </c>
      <c r="BZ1387" s="52">
        <f ca="1">Отчетность!BZ33</f>
        <v>402047.5456442599</v>
      </c>
      <c r="CA1387" s="52">
        <f ca="1">Отчетность!CA33</f>
        <v>152703.07067074784</v>
      </c>
      <c r="CB1387" s="52">
        <f ca="1">Отчетность!CB33</f>
        <v>138028.32902037911</v>
      </c>
      <c r="CC1387" s="52">
        <f ca="1">Отчетность!CC33</f>
        <v>235579.16774645279</v>
      </c>
      <c r="CD1387" s="52">
        <f ca="1">Отчетность!CD33</f>
        <v>418129.44747003005</v>
      </c>
      <c r="CE1387" s="52">
        <f ca="1">Отчетность!CE33</f>
        <v>158811.19349757774</v>
      </c>
      <c r="CF1387" s="52">
        <f ca="1">Отчетность!CF33</f>
        <v>143549.46218119422</v>
      </c>
      <c r="CG1387" s="52">
        <f ca="1">Отчетность!CG33</f>
        <v>245002.33445631084</v>
      </c>
      <c r="CH1387" s="52">
        <f ca="1">Отчетность!CH33</f>
        <v>434854.62536883133</v>
      </c>
      <c r="CI1387" s="52">
        <f ca="1">Отчетность!CI33</f>
        <v>165163.64123748092</v>
      </c>
      <c r="CJ1387" s="52">
        <f ca="1">Отчетность!CJ33</f>
        <v>149718.09916078427</v>
      </c>
      <c r="CK1387" s="52">
        <f ca="1">Отчетность!CK33</f>
        <v>254802.10457328812</v>
      </c>
      <c r="CL1387" s="52">
        <f ca="1">Отчетность!CL33</f>
        <v>452248.48637325253</v>
      </c>
      <c r="CM1387" s="52">
        <f ca="1">Отчетность!CM33</f>
        <v>171769.85968404252</v>
      </c>
      <c r="CN1387" s="52">
        <f ca="1">Отчетность!CN33</f>
        <v>155263.09829517966</v>
      </c>
      <c r="CO1387" s="52">
        <f ca="1">Отчетность!CO33</f>
        <v>264994.52494794579</v>
      </c>
    </row>
    <row r="1388" spans="1:93">
      <c r="A1388" s="10"/>
      <c r="B1388" s="10"/>
      <c r="C1388" s="10"/>
      <c r="D1388" s="10"/>
      <c r="E1388" s="62"/>
      <c r="F1388" s="10"/>
      <c r="G1388" s="11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0"/>
      <c r="AH1388" s="10"/>
      <c r="AI1388" s="10"/>
      <c r="AJ1388" s="10"/>
      <c r="AK1388" s="10"/>
      <c r="AL1388" s="10"/>
      <c r="AM1388" s="10"/>
      <c r="AN1388" s="10"/>
      <c r="AO1388" s="10"/>
      <c r="AP1388" s="10"/>
      <c r="AQ1388" s="10"/>
      <c r="AR1388" s="10"/>
      <c r="AS1388" s="10"/>
      <c r="AT1388" s="10"/>
      <c r="AU1388" s="10"/>
      <c r="AV1388" s="10"/>
      <c r="AW1388" s="10"/>
      <c r="AX1388" s="10"/>
      <c r="AY1388" s="10"/>
      <c r="AZ1388" s="10"/>
      <c r="BA1388" s="10"/>
      <c r="BB1388" s="10"/>
      <c r="BC1388" s="10"/>
      <c r="BD1388" s="10"/>
      <c r="BE1388" s="10"/>
      <c r="BF1388" s="10"/>
      <c r="BG1388" s="10"/>
      <c r="BH1388" s="10"/>
      <c r="BI1388" s="10"/>
      <c r="BJ1388" s="10"/>
      <c r="BK1388" s="10"/>
      <c r="BL1388" s="10"/>
      <c r="BM1388" s="10"/>
      <c r="BN1388" s="10"/>
      <c r="BO1388" s="10"/>
      <c r="BP1388" s="10"/>
      <c r="BQ1388" s="10"/>
      <c r="BR1388" s="10"/>
      <c r="BS1388" s="10"/>
      <c r="BT1388" s="10"/>
      <c r="BU1388" s="10"/>
      <c r="BV1388" s="10"/>
      <c r="BW1388" s="10"/>
      <c r="BX1388" s="10"/>
      <c r="BY1388" s="10"/>
      <c r="BZ1388" s="10"/>
      <c r="CA1388" s="10"/>
      <c r="CB1388" s="10"/>
      <c r="CC1388" s="10"/>
      <c r="CD1388" s="10"/>
      <c r="CE1388" s="10"/>
      <c r="CF1388" s="10"/>
      <c r="CG1388" s="10"/>
      <c r="CH1388" s="10"/>
      <c r="CI1388" s="10"/>
      <c r="CJ1388" s="10"/>
      <c r="CK1388" s="10"/>
      <c r="CL1388" s="10"/>
      <c r="CM1388" s="10"/>
      <c r="CN1388" s="10"/>
      <c r="CO1388" s="10"/>
    </row>
    <row r="1389" spans="1:93" ht="16.5" thickBot="1">
      <c r="A1389" s="10"/>
      <c r="B1389" s="10"/>
      <c r="C1389" s="12" t="s">
        <v>237</v>
      </c>
      <c r="D1389" s="10"/>
      <c r="E1389" s="10"/>
      <c r="F1389" s="10"/>
      <c r="G1389" s="11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0"/>
      <c r="AH1389" s="10"/>
      <c r="AI1389" s="10"/>
      <c r="AJ1389" s="10"/>
      <c r="AK1389" s="10"/>
      <c r="AL1389" s="10"/>
      <c r="AM1389" s="10"/>
      <c r="AN1389" s="10"/>
      <c r="AO1389" s="10"/>
      <c r="AP1389" s="10"/>
      <c r="AQ1389" s="10"/>
      <c r="AR1389" s="10"/>
      <c r="AS1389" s="10"/>
      <c r="AT1389" s="10"/>
      <c r="AU1389" s="10"/>
      <c r="AV1389" s="10"/>
      <c r="AW1389" s="10"/>
      <c r="AX1389" s="10"/>
      <c r="AY1389" s="10"/>
      <c r="AZ1389" s="10"/>
      <c r="BA1389" s="10"/>
      <c r="BB1389" s="10"/>
      <c r="BC1389" s="10"/>
      <c r="BD1389" s="10"/>
      <c r="BE1389" s="10"/>
      <c r="BF1389" s="10"/>
      <c r="BG1389" s="10"/>
      <c r="BH1389" s="10"/>
      <c r="BI1389" s="10"/>
      <c r="BJ1389" s="10"/>
      <c r="BK1389" s="10"/>
      <c r="BL1389" s="10"/>
      <c r="BM1389" s="10"/>
      <c r="BN1389" s="10"/>
      <c r="BO1389" s="10"/>
      <c r="BP1389" s="10"/>
      <c r="BQ1389" s="10"/>
      <c r="BR1389" s="10"/>
      <c r="BS1389" s="10"/>
      <c r="BT1389" s="10"/>
      <c r="BU1389" s="10"/>
      <c r="BV1389" s="10"/>
      <c r="BW1389" s="10"/>
      <c r="BX1389" s="10"/>
      <c r="BY1389" s="10"/>
      <c r="BZ1389" s="10"/>
      <c r="CA1389" s="10"/>
      <c r="CB1389" s="10"/>
      <c r="CC1389" s="10"/>
      <c r="CD1389" s="10"/>
      <c r="CE1389" s="10"/>
      <c r="CF1389" s="10"/>
      <c r="CG1389" s="10"/>
      <c r="CH1389" s="10"/>
      <c r="CI1389" s="10"/>
      <c r="CJ1389" s="10"/>
      <c r="CK1389" s="10"/>
      <c r="CL1389" s="10"/>
      <c r="CM1389" s="10"/>
      <c r="CN1389" s="10"/>
      <c r="CO1389" s="10"/>
    </row>
    <row r="1390" spans="1:93">
      <c r="A1390" s="10"/>
      <c r="B1390" s="10"/>
      <c r="C1390" s="10"/>
      <c r="D1390" s="10"/>
      <c r="E1390" s="10"/>
      <c r="F1390" s="10"/>
      <c r="G1390" s="11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0"/>
      <c r="AH1390" s="10"/>
      <c r="AI1390" s="10"/>
      <c r="AJ1390" s="10"/>
      <c r="AK1390" s="10"/>
      <c r="AL1390" s="10"/>
      <c r="AM1390" s="10"/>
      <c r="AN1390" s="10"/>
      <c r="AO1390" s="10"/>
      <c r="AP1390" s="10"/>
      <c r="AQ1390" s="10"/>
      <c r="AR1390" s="10"/>
      <c r="AS1390" s="10"/>
      <c r="AT1390" s="10"/>
      <c r="AU1390" s="10"/>
      <c r="AV1390" s="10"/>
      <c r="AW1390" s="10"/>
      <c r="AX1390" s="10"/>
      <c r="AY1390" s="10"/>
      <c r="AZ1390" s="10"/>
      <c r="BA1390" s="10"/>
      <c r="BB1390" s="10"/>
      <c r="BC1390" s="10"/>
      <c r="BD1390" s="10"/>
      <c r="BE1390" s="10"/>
      <c r="BF1390" s="10"/>
      <c r="BG1390" s="10"/>
      <c r="BH1390" s="10"/>
      <c r="BI1390" s="10"/>
      <c r="BJ1390" s="10"/>
      <c r="BK1390" s="10"/>
      <c r="BL1390" s="10"/>
      <c r="BM1390" s="10"/>
      <c r="BN1390" s="10"/>
      <c r="BO1390" s="10"/>
      <c r="BP1390" s="10"/>
      <c r="BQ1390" s="10"/>
      <c r="BR1390" s="10"/>
      <c r="BS1390" s="10"/>
      <c r="BT1390" s="10"/>
      <c r="BU1390" s="10"/>
      <c r="BV1390" s="10"/>
      <c r="BW1390" s="10"/>
      <c r="BX1390" s="10"/>
      <c r="BY1390" s="10"/>
      <c r="BZ1390" s="10"/>
      <c r="CA1390" s="10"/>
      <c r="CB1390" s="10"/>
      <c r="CC1390" s="10"/>
      <c r="CD1390" s="10"/>
      <c r="CE1390" s="10"/>
      <c r="CF1390" s="10"/>
      <c r="CG1390" s="10"/>
      <c r="CH1390" s="10"/>
      <c r="CI1390" s="10"/>
      <c r="CJ1390" s="10"/>
      <c r="CK1390" s="10"/>
      <c r="CL1390" s="10"/>
      <c r="CM1390" s="10"/>
      <c r="CN1390" s="10"/>
      <c r="CO1390" s="10"/>
    </row>
    <row r="1391" spans="1:93">
      <c r="A1391" s="10"/>
      <c r="B1391" s="10"/>
      <c r="C1391" s="50" t="s">
        <v>238</v>
      </c>
      <c r="D1391" s="10"/>
      <c r="E1391" s="10"/>
      <c r="F1391" s="10"/>
      <c r="G1391" s="11" t="s">
        <v>28</v>
      </c>
      <c r="H1391" s="10"/>
      <c r="I1391" s="10"/>
      <c r="J1391" s="10"/>
      <c r="K1391" s="10"/>
      <c r="L1391" s="58">
        <f ca="1">IFERROR(L1394/L1396,0)</f>
        <v>0</v>
      </c>
      <c r="M1391" s="58">
        <f t="shared" ref="M1391:BX1391" ca="1" si="1651">IFERROR(M1394/M1396,0)</f>
        <v>0</v>
      </c>
      <c r="N1391" s="58">
        <f t="shared" ca="1" si="1651"/>
        <v>0</v>
      </c>
      <c r="O1391" s="58">
        <f t="shared" ca="1" si="1651"/>
        <v>0</v>
      </c>
      <c r="P1391" s="58">
        <f t="shared" ca="1" si="1651"/>
        <v>0</v>
      </c>
      <c r="Q1391" s="58">
        <f t="shared" ca="1" si="1651"/>
        <v>0</v>
      </c>
      <c r="R1391" s="58">
        <f t="shared" ca="1" si="1651"/>
        <v>0</v>
      </c>
      <c r="S1391" s="58">
        <f t="shared" ca="1" si="1651"/>
        <v>0</v>
      </c>
      <c r="T1391" s="58">
        <f t="shared" ca="1" si="1651"/>
        <v>0</v>
      </c>
      <c r="U1391" s="58">
        <f t="shared" ca="1" si="1651"/>
        <v>0</v>
      </c>
      <c r="V1391" s="58">
        <f t="shared" ca="1" si="1651"/>
        <v>0</v>
      </c>
      <c r="W1391" s="58">
        <f t="shared" ca="1" si="1651"/>
        <v>0</v>
      </c>
      <c r="X1391" s="58">
        <f t="shared" ca="1" si="1651"/>
        <v>0</v>
      </c>
      <c r="Y1391" s="58">
        <f t="shared" ca="1" si="1651"/>
        <v>0</v>
      </c>
      <c r="Z1391" s="58">
        <f t="shared" ca="1" si="1651"/>
        <v>0</v>
      </c>
      <c r="AA1391" s="58">
        <f t="shared" ca="1" si="1651"/>
        <v>0</v>
      </c>
      <c r="AB1391" s="58">
        <f t="shared" ca="1" si="1651"/>
        <v>0</v>
      </c>
      <c r="AC1391" s="58">
        <f t="shared" ca="1" si="1651"/>
        <v>5.4397403935667289E-3</v>
      </c>
      <c r="AD1391" s="58">
        <f t="shared" ca="1" si="1651"/>
        <v>4.4607524780767766E-2</v>
      </c>
      <c r="AE1391" s="58">
        <f t="shared" ca="1" si="1651"/>
        <v>-2.7925782618089222E-3</v>
      </c>
      <c r="AF1391" s="58">
        <f t="shared" ca="1" si="1651"/>
        <v>-4.9805429794721485E-3</v>
      </c>
      <c r="AG1391" s="58">
        <f t="shared" ca="1" si="1651"/>
        <v>1.6846038365813165E-2</v>
      </c>
      <c r="AH1391" s="58">
        <f t="shared" ca="1" si="1651"/>
        <v>6.1826136856514488E-2</v>
      </c>
      <c r="AI1391" s="58">
        <f t="shared" ca="1" si="1651"/>
        <v>3.0692931057242968E-3</v>
      </c>
      <c r="AJ1391" s="58">
        <f t="shared" ca="1" si="1651"/>
        <v>6.1610505231798408E-4</v>
      </c>
      <c r="AK1391" s="58">
        <f t="shared" ca="1" si="1651"/>
        <v>2.7142123250350685E-2</v>
      </c>
      <c r="AL1391" s="58">
        <f t="shared" ca="1" si="1651"/>
        <v>8.0821623727409364E-2</v>
      </c>
      <c r="AM1391" s="58">
        <f t="shared" ca="1" si="1651"/>
        <v>1.0417072297197721E-2</v>
      </c>
      <c r="AN1391" s="58">
        <f t="shared" ca="1" si="1651"/>
        <v>8.0637155828662838E-3</v>
      </c>
      <c r="AO1391" s="58">
        <f t="shared" ca="1" si="1651"/>
        <v>3.9804752828852125E-2</v>
      </c>
      <c r="AP1391" s="58">
        <f t="shared" ca="1" si="1651"/>
        <v>0.10059350414342452</v>
      </c>
      <c r="AQ1391" s="58">
        <f t="shared" ca="1" si="1651"/>
        <v>1.7661963491630413E-2</v>
      </c>
      <c r="AR1391" s="58">
        <f t="shared" ca="1" si="1651"/>
        <v>1.4057457483504513E-2</v>
      </c>
      <c r="AS1391" s="58">
        <f t="shared" ca="1" si="1651"/>
        <v>4.8346509025444975E-2</v>
      </c>
      <c r="AT1391" s="58">
        <f t="shared" ca="1" si="1651"/>
        <v>0.11434652860659784</v>
      </c>
      <c r="AU1391" s="58">
        <f t="shared" ca="1" si="1651"/>
        <v>2.3139423740377238E-2</v>
      </c>
      <c r="AV1391" s="58">
        <f t="shared" ca="1" si="1651"/>
        <v>2.1496266266792373E-2</v>
      </c>
      <c r="AW1391" s="58">
        <f t="shared" ca="1" si="1651"/>
        <v>4.0189007491936428E-2</v>
      </c>
      <c r="AX1391" s="58">
        <f t="shared" ca="1" si="1651"/>
        <v>9.3706677397505447E-2</v>
      </c>
      <c r="AY1391" s="58">
        <f t="shared" ca="1" si="1651"/>
        <v>2.0497273379955681E-2</v>
      </c>
      <c r="AZ1391" s="58">
        <f t="shared" ca="1" si="1651"/>
        <v>1.6549707242578031E-2</v>
      </c>
      <c r="BA1391" s="58">
        <f t="shared" ca="1" si="1651"/>
        <v>4.6700601345505258E-2</v>
      </c>
      <c r="BB1391" s="58">
        <f t="shared" ca="1" si="1651"/>
        <v>0.1048102559446908</v>
      </c>
      <c r="BC1391" s="58">
        <f t="shared" ca="1" si="1651"/>
        <v>2.3580213872251801E-2</v>
      </c>
      <c r="BD1391" s="58">
        <f t="shared" ca="1" si="1651"/>
        <v>1.981152791518619E-2</v>
      </c>
      <c r="BE1391" s="58">
        <f t="shared" ca="1" si="1651"/>
        <v>6.2701819919559851E-2</v>
      </c>
      <c r="BF1391" s="58">
        <f t="shared" ca="1" si="1651"/>
        <v>0.1252987474497847</v>
      </c>
      <c r="BG1391" s="58">
        <f t="shared" ca="1" si="1651"/>
        <v>3.6070302797845989E-2</v>
      </c>
      <c r="BH1391" s="58">
        <f t="shared" ca="1" si="1651"/>
        <v>3.2163236623464972E-2</v>
      </c>
      <c r="BI1391" s="58">
        <f t="shared" ca="1" si="1651"/>
        <v>6.8129965257148983E-2</v>
      </c>
      <c r="BJ1391" s="58">
        <f t="shared" ca="1" si="1651"/>
        <v>0.13510578450372215</v>
      </c>
      <c r="BK1391" s="58">
        <f t="shared" ca="1" si="1651"/>
        <v>3.9255556482180799E-2</v>
      </c>
      <c r="BL1391" s="58">
        <f t="shared" ca="1" si="1651"/>
        <v>3.5269509964426307E-2</v>
      </c>
      <c r="BM1391" s="58">
        <f t="shared" ca="1" si="1651"/>
        <v>7.410817851225944E-2</v>
      </c>
      <c r="BN1391" s="58">
        <f t="shared" ca="1" si="1651"/>
        <v>0.14579646157373424</v>
      </c>
      <c r="BO1391" s="58">
        <f t="shared" ca="1" si="1651"/>
        <v>3.8654669691664596E-2</v>
      </c>
      <c r="BP1391" s="58">
        <f t="shared" ca="1" si="1651"/>
        <v>3.4970607560635275E-2</v>
      </c>
      <c r="BQ1391" s="58">
        <f t="shared" ca="1" si="1651"/>
        <v>7.3127879149035374E-2</v>
      </c>
      <c r="BR1391" s="58">
        <f t="shared" ca="1" si="1651"/>
        <v>0.13900381083404645</v>
      </c>
      <c r="BS1391" s="58">
        <f t="shared" ca="1" si="1651"/>
        <v>3.8174477787059853E-2</v>
      </c>
      <c r="BT1391" s="58">
        <f t="shared" ca="1" si="1651"/>
        <v>3.4768960471205534E-2</v>
      </c>
      <c r="BU1391" s="58">
        <f t="shared" ca="1" si="1651"/>
        <v>7.565007364695836E-2</v>
      </c>
      <c r="BV1391" s="58">
        <f t="shared" ca="1" si="1651"/>
        <v>0.15065755750995236</v>
      </c>
      <c r="BW1391" s="58">
        <f t="shared" ca="1" si="1651"/>
        <v>4.2063916586789617E-2</v>
      </c>
      <c r="BX1391" s="58">
        <f t="shared" ca="1" si="1651"/>
        <v>3.815195655856251E-2</v>
      </c>
      <c r="BY1391" s="58">
        <f t="shared" ref="BY1391:CO1391" ca="1" si="1652">IFERROR(BY1394/BY1396,0)</f>
        <v>8.3018969243402851E-2</v>
      </c>
      <c r="BZ1391" s="58">
        <f t="shared" ca="1" si="1652"/>
        <v>0.16338467344482147</v>
      </c>
      <c r="CA1391" s="58">
        <f t="shared" ca="1" si="1652"/>
        <v>4.6316844381986938E-2</v>
      </c>
      <c r="CB1391" s="58">
        <f t="shared" ca="1" si="1652"/>
        <v>4.2503428399851953E-2</v>
      </c>
      <c r="CC1391" s="58">
        <f t="shared" ca="1" si="1652"/>
        <v>9.1228459962784475E-2</v>
      </c>
      <c r="CD1391" s="58">
        <f t="shared" ca="1" si="1652"/>
        <v>0.17735159994116917</v>
      </c>
      <c r="CE1391" s="58">
        <f t="shared" ca="1" si="1652"/>
        <v>5.1022773732018342E-2</v>
      </c>
      <c r="CF1391" s="58">
        <f t="shared" ca="1" si="1652"/>
        <v>4.7382941778297216E-2</v>
      </c>
      <c r="CG1391" s="58">
        <f t="shared" ca="1" si="1652"/>
        <v>0.10038495506487036</v>
      </c>
      <c r="CH1391" s="58">
        <f t="shared" ca="1" si="1652"/>
        <v>0.19268899694526934</v>
      </c>
      <c r="CI1391" s="58">
        <f t="shared" ca="1" si="1652"/>
        <v>5.6224032673842475E-2</v>
      </c>
      <c r="CJ1391" s="58">
        <f t="shared" ca="1" si="1652"/>
        <v>5.3618551955030569E-2</v>
      </c>
      <c r="CK1391" s="58">
        <f t="shared" ca="1" si="1652"/>
        <v>0.11064685483197213</v>
      </c>
      <c r="CL1391" s="58">
        <f t="shared" ca="1" si="1652"/>
        <v>0.20957474044387797</v>
      </c>
      <c r="CM1391" s="58">
        <f t="shared" ca="1" si="1652"/>
        <v>6.1999072082479144E-2</v>
      </c>
      <c r="CN1391" s="58">
        <f t="shared" ca="1" si="1652"/>
        <v>5.9085044226060153E-2</v>
      </c>
      <c r="CO1391" s="58">
        <f t="shared" ca="1" si="1652"/>
        <v>0.12214349907810022</v>
      </c>
    </row>
    <row r="1392" spans="1:93">
      <c r="A1392" s="10"/>
      <c r="B1392" s="10"/>
      <c r="C1392" s="50" t="s">
        <v>239</v>
      </c>
      <c r="D1392" s="10"/>
      <c r="E1392" s="10"/>
      <c r="F1392" s="10"/>
      <c r="G1392" s="11" t="s">
        <v>28</v>
      </c>
      <c r="H1392" s="10"/>
      <c r="I1392" s="10"/>
      <c r="J1392" s="10"/>
      <c r="K1392" s="10"/>
      <c r="L1392" s="58">
        <f ca="1">IFERROR(L1394/L1397,0)</f>
        <v>0</v>
      </c>
      <c r="M1392" s="58">
        <f t="shared" ref="M1392:BX1392" ca="1" si="1653">IFERROR(M1394/M1397,0)</f>
        <v>0</v>
      </c>
      <c r="N1392" s="58">
        <f t="shared" ca="1" si="1653"/>
        <v>0</v>
      </c>
      <c r="O1392" s="58">
        <f t="shared" ca="1" si="1653"/>
        <v>0</v>
      </c>
      <c r="P1392" s="58">
        <f t="shared" ca="1" si="1653"/>
        <v>0</v>
      </c>
      <c r="Q1392" s="58">
        <f t="shared" ca="1" si="1653"/>
        <v>0</v>
      </c>
      <c r="R1392" s="58">
        <f t="shared" ca="1" si="1653"/>
        <v>0</v>
      </c>
      <c r="S1392" s="58">
        <f t="shared" ca="1" si="1653"/>
        <v>0</v>
      </c>
      <c r="T1392" s="58">
        <f t="shared" ca="1" si="1653"/>
        <v>0</v>
      </c>
      <c r="U1392" s="58">
        <f t="shared" ca="1" si="1653"/>
        <v>0</v>
      </c>
      <c r="V1392" s="58">
        <f t="shared" ca="1" si="1653"/>
        <v>0</v>
      </c>
      <c r="W1392" s="58">
        <f t="shared" ca="1" si="1653"/>
        <v>0</v>
      </c>
      <c r="X1392" s="58">
        <f t="shared" ca="1" si="1653"/>
        <v>0</v>
      </c>
      <c r="Y1392" s="58">
        <f t="shared" ca="1" si="1653"/>
        <v>0</v>
      </c>
      <c r="Z1392" s="58">
        <f t="shared" ca="1" si="1653"/>
        <v>0</v>
      </c>
      <c r="AA1392" s="58">
        <f t="shared" ca="1" si="1653"/>
        <v>0</v>
      </c>
      <c r="AB1392" s="58">
        <f t="shared" ca="1" si="1653"/>
        <v>0</v>
      </c>
      <c r="AC1392" s="58">
        <f t="shared" ca="1" si="1653"/>
        <v>1.6887962411135639E-2</v>
      </c>
      <c r="AD1392" s="58">
        <f t="shared" ca="1" si="1653"/>
        <v>0.11804233795388401</v>
      </c>
      <c r="AE1392" s="58">
        <f t="shared" ca="1" si="1653"/>
        <v>-7.2502092989134145E-3</v>
      </c>
      <c r="AF1392" s="58">
        <f t="shared" ca="1" si="1653"/>
        <v>-1.2513999316557212E-2</v>
      </c>
      <c r="AG1392" s="58">
        <f t="shared" ca="1" si="1653"/>
        <v>4.0282631880135228E-2</v>
      </c>
      <c r="AH1392" s="58">
        <f t="shared" ca="1" si="1653"/>
        <v>0.13233876142939682</v>
      </c>
      <c r="AI1392" s="58">
        <f t="shared" ca="1" si="1653"/>
        <v>6.4557207839618068E-3</v>
      </c>
      <c r="AJ1392" s="58">
        <f t="shared" ca="1" si="1653"/>
        <v>1.2318098748188404E-3</v>
      </c>
      <c r="AK1392" s="58">
        <f t="shared" ca="1" si="1653"/>
        <v>5.1237159957204889E-2</v>
      </c>
      <c r="AL1392" s="58">
        <f t="shared" ca="1" si="1653"/>
        <v>0.13701036024065244</v>
      </c>
      <c r="AM1392" s="58">
        <f t="shared" ca="1" si="1653"/>
        <v>1.7167046199429818E-2</v>
      </c>
      <c r="AN1392" s="58">
        <f t="shared" ca="1" si="1653"/>
        <v>1.2420888013845967E-2</v>
      </c>
      <c r="AO1392" s="58">
        <f t="shared" ca="1" si="1653"/>
        <v>5.7690631233527967E-2</v>
      </c>
      <c r="AP1392" s="58">
        <f t="shared" ca="1" si="1653"/>
        <v>0.13253307630006408</v>
      </c>
      <c r="AQ1392" s="58">
        <f t="shared" ca="1" si="1653"/>
        <v>2.2443681200090163E-2</v>
      </c>
      <c r="AR1392" s="58">
        <f t="shared" ca="1" si="1653"/>
        <v>1.6495155998992751E-2</v>
      </c>
      <c r="AS1392" s="58">
        <f t="shared" ca="1" si="1653"/>
        <v>5.3583593175658924E-2</v>
      </c>
      <c r="AT1392" s="58">
        <f t="shared" ca="1" si="1653"/>
        <v>0.119447572788874</v>
      </c>
      <c r="AU1392" s="58">
        <f t="shared" ca="1" si="1653"/>
        <v>2.521339526443904E-2</v>
      </c>
      <c r="AV1392" s="58">
        <f t="shared" ca="1" si="1653"/>
        <v>2.2479102673678145E-2</v>
      </c>
      <c r="AW1392" s="58">
        <f t="shared" ca="1" si="1653"/>
        <v>4.2655126524445704E-2</v>
      </c>
      <c r="AX1392" s="58">
        <f t="shared" ca="1" si="1653"/>
        <v>0.1027348319643937</v>
      </c>
      <c r="AY1392" s="58">
        <f t="shared" ca="1" si="1653"/>
        <v>2.2749261206954457E-2</v>
      </c>
      <c r="AZ1392" s="58">
        <f t="shared" ca="1" si="1653"/>
        <v>1.7501772709987515E-2</v>
      </c>
      <c r="BA1392" s="58">
        <f t="shared" ca="1" si="1653"/>
        <v>4.9795227381944335E-2</v>
      </c>
      <c r="BB1392" s="58">
        <f t="shared" ca="1" si="1653"/>
        <v>0.1161005838907339</v>
      </c>
      <c r="BC1392" s="58">
        <f t="shared" ca="1" si="1653"/>
        <v>2.6491013413207656E-2</v>
      </c>
      <c r="BD1392" s="58">
        <f t="shared" ca="1" si="1653"/>
        <v>2.1093260818796884E-2</v>
      </c>
      <c r="BE1392" s="58">
        <f t="shared" ca="1" si="1653"/>
        <v>6.6975606644866195E-2</v>
      </c>
      <c r="BF1392" s="58">
        <f t="shared" ca="1" si="1653"/>
        <v>0.13947873611131248</v>
      </c>
      <c r="BG1392" s="58">
        <f t="shared" ca="1" si="1653"/>
        <v>4.0735265855001777E-2</v>
      </c>
      <c r="BH1392" s="58">
        <f t="shared" ca="1" si="1653"/>
        <v>3.42192455734237E-2</v>
      </c>
      <c r="BI1392" s="58">
        <f t="shared" ca="1" si="1653"/>
        <v>7.3155098062770749E-2</v>
      </c>
      <c r="BJ1392" s="58">
        <f t="shared" ca="1" si="1653"/>
        <v>0.1516501270724562</v>
      </c>
      <c r="BK1392" s="58">
        <f t="shared" ca="1" si="1653"/>
        <v>4.4766570594810505E-2</v>
      </c>
      <c r="BL1392" s="58">
        <f t="shared" ca="1" si="1653"/>
        <v>3.7714189295812661E-2</v>
      </c>
      <c r="BM1392" s="58">
        <f t="shared" ca="1" si="1653"/>
        <v>8.0034796438283234E-2</v>
      </c>
      <c r="BN1392" s="58">
        <f t="shared" ca="1" si="1653"/>
        <v>0.16514910393689183</v>
      </c>
      <c r="BO1392" s="58">
        <f t="shared" ca="1" si="1653"/>
        <v>4.4557723489375249E-2</v>
      </c>
      <c r="BP1392" s="58">
        <f t="shared" ca="1" si="1653"/>
        <v>3.7604791433497452E-2</v>
      </c>
      <c r="BQ1392" s="58">
        <f t="shared" ca="1" si="1653"/>
        <v>7.9482383122505149E-2</v>
      </c>
      <c r="BR1392" s="58">
        <f t="shared" ca="1" si="1653"/>
        <v>0.15904268488066242</v>
      </c>
      <c r="BS1392" s="58">
        <f t="shared" ca="1" si="1653"/>
        <v>4.4530541601446642E-2</v>
      </c>
      <c r="BT1392" s="58">
        <f t="shared" ca="1" si="1653"/>
        <v>3.7629645174690314E-2</v>
      </c>
      <c r="BU1392" s="58">
        <f t="shared" ca="1" si="1653"/>
        <v>8.2809472957465491E-2</v>
      </c>
      <c r="BV1392" s="58">
        <f t="shared" ca="1" si="1653"/>
        <v>0.17429482211053321</v>
      </c>
      <c r="BW1392" s="58">
        <f t="shared" ca="1" si="1653"/>
        <v>4.9719127635244879E-2</v>
      </c>
      <c r="BX1392" s="58">
        <f t="shared" ca="1" si="1653"/>
        <v>4.157144445047644E-2</v>
      </c>
      <c r="BY1392" s="58">
        <f t="shared" ref="BY1392:CO1392" ca="1" si="1654">IFERROR(BY1394/BY1397,0)</f>
        <v>9.1597668040288543E-2</v>
      </c>
      <c r="BZ1392" s="58">
        <f t="shared" ca="1" si="1654"/>
        <v>0.19134671988772523</v>
      </c>
      <c r="CA1392" s="58">
        <f t="shared" ca="1" si="1654"/>
        <v>5.5555933687071207E-2</v>
      </c>
      <c r="CB1392" s="58">
        <f t="shared" ca="1" si="1654"/>
        <v>4.6676621925332083E-2</v>
      </c>
      <c r="CC1392" s="58">
        <f t="shared" ca="1" si="1654"/>
        <v>0.10155057118177797</v>
      </c>
      <c r="CD1392" s="58">
        <f t="shared" ca="1" si="1654"/>
        <v>0.21054316530807143</v>
      </c>
      <c r="CE1392" s="58">
        <f t="shared" ca="1" si="1654"/>
        <v>6.2212892160860844E-2</v>
      </c>
      <c r="CF1392" s="58">
        <f t="shared" ca="1" si="1654"/>
        <v>5.249599512575643E-2</v>
      </c>
      <c r="CG1392" s="58">
        <f t="shared" ca="1" si="1654"/>
        <v>0.11286021895751891</v>
      </c>
      <c r="CH1392" s="58">
        <f t="shared" ca="1" si="1654"/>
        <v>0.23223289015235107</v>
      </c>
      <c r="CI1392" s="58">
        <f t="shared" ca="1" si="1654"/>
        <v>6.9828097771440223E-2</v>
      </c>
      <c r="CJ1392" s="58">
        <f t="shared" ca="1" si="1654"/>
        <v>6.0018522601344659E-2</v>
      </c>
      <c r="CK1392" s="58">
        <f t="shared" ca="1" si="1654"/>
        <v>0.12580228854535774</v>
      </c>
      <c r="CL1392" s="58">
        <f t="shared" ca="1" si="1654"/>
        <v>0.25688031428947022</v>
      </c>
      <c r="CM1392" s="58">
        <f t="shared" ca="1" si="1654"/>
        <v>7.8613712047259587E-2</v>
      </c>
      <c r="CN1392" s="58">
        <f t="shared" ca="1" si="1654"/>
        <v>6.687422397754883E-2</v>
      </c>
      <c r="CO1392" s="58">
        <f t="shared" ca="1" si="1654"/>
        <v>0.14065461640747728</v>
      </c>
    </row>
    <row r="1393" spans="1:93">
      <c r="A1393" s="10"/>
      <c r="B1393" s="10"/>
      <c r="C1393" s="50" t="s">
        <v>240</v>
      </c>
      <c r="D1393" s="10"/>
      <c r="E1393" s="10"/>
      <c r="F1393" s="10"/>
      <c r="G1393" s="11" t="s">
        <v>28</v>
      </c>
      <c r="H1393" s="10"/>
      <c r="I1393" s="10"/>
      <c r="J1393" s="10"/>
      <c r="K1393" s="10"/>
      <c r="L1393" s="58">
        <f ca="1">IFERROR(L1395/L1398*(L1398&gt;0),0)</f>
        <v>0</v>
      </c>
      <c r="M1393" s="58">
        <f t="shared" ref="M1393:BX1393" ca="1" si="1655">IFERROR(M1395/M1398*(M1398&gt;0),0)</f>
        <v>0</v>
      </c>
      <c r="N1393" s="58">
        <f t="shared" ca="1" si="1655"/>
        <v>0</v>
      </c>
      <c r="O1393" s="58">
        <f t="shared" ca="1" si="1655"/>
        <v>0</v>
      </c>
      <c r="P1393" s="58">
        <f t="shared" ca="1" si="1655"/>
        <v>0</v>
      </c>
      <c r="Q1393" s="58">
        <f t="shared" ca="1" si="1655"/>
        <v>0</v>
      </c>
      <c r="R1393" s="58">
        <f t="shared" ca="1" si="1655"/>
        <v>0</v>
      </c>
      <c r="S1393" s="58">
        <f t="shared" ca="1" si="1655"/>
        <v>0</v>
      </c>
      <c r="T1393" s="58">
        <f t="shared" ca="1" si="1655"/>
        <v>0</v>
      </c>
      <c r="U1393" s="58">
        <f t="shared" ca="1" si="1655"/>
        <v>0</v>
      </c>
      <c r="V1393" s="58">
        <f t="shared" ca="1" si="1655"/>
        <v>0</v>
      </c>
      <c r="W1393" s="58">
        <f t="shared" ca="1" si="1655"/>
        <v>0</v>
      </c>
      <c r="X1393" s="58">
        <f t="shared" ca="1" si="1655"/>
        <v>0</v>
      </c>
      <c r="Y1393" s="58">
        <f t="shared" ca="1" si="1655"/>
        <v>0</v>
      </c>
      <c r="Z1393" s="58">
        <f t="shared" ca="1" si="1655"/>
        <v>0</v>
      </c>
      <c r="AA1393" s="58">
        <f t="shared" ca="1" si="1655"/>
        <v>0</v>
      </c>
      <c r="AB1393" s="58">
        <f t="shared" ca="1" si="1655"/>
        <v>0</v>
      </c>
      <c r="AC1393" s="58">
        <f t="shared" ca="1" si="1655"/>
        <v>2.3643584573180609E-2</v>
      </c>
      <c r="AD1393" s="58">
        <f t="shared" ca="1" si="1655"/>
        <v>6.2882942246632073E-2</v>
      </c>
      <c r="AE1393" s="58">
        <f t="shared" ca="1" si="1655"/>
        <v>1.2604716760756607E-2</v>
      </c>
      <c r="AF1393" s="58">
        <f t="shared" ca="1" si="1655"/>
        <v>9.8195590566111015E-3</v>
      </c>
      <c r="AG1393" s="58">
        <f t="shared" ca="1" si="1655"/>
        <v>3.2366507857898387E-2</v>
      </c>
      <c r="AH1393" s="58">
        <f t="shared" ca="1" si="1655"/>
        <v>7.8991268128062647E-2</v>
      </c>
      <c r="AI1393" s="58">
        <f t="shared" ca="1" si="1655"/>
        <v>1.7856829026885148E-2</v>
      </c>
      <c r="AJ1393" s="58">
        <f t="shared" ca="1" si="1655"/>
        <v>1.4444497608816918E-2</v>
      </c>
      <c r="AK1393" s="58">
        <f t="shared" ca="1" si="1655"/>
        <v>4.1754366999159673E-2</v>
      </c>
      <c r="AL1393" s="58">
        <f t="shared" ca="1" si="1655"/>
        <v>9.7618835138722104E-2</v>
      </c>
      <c r="AM1393" s="58">
        <f t="shared" ca="1" si="1655"/>
        <v>2.4044769465295133E-2</v>
      </c>
      <c r="AN1393" s="58">
        <f t="shared" ca="1" si="1655"/>
        <v>2.0321693450059363E-2</v>
      </c>
      <c r="AO1393" s="58">
        <f t="shared" ca="1" si="1655"/>
        <v>5.277172366882471E-2</v>
      </c>
      <c r="AP1393" s="58">
        <f t="shared" ca="1" si="1655"/>
        <v>0.1164269874092405</v>
      </c>
      <c r="AQ1393" s="58">
        <f t="shared" ca="1" si="1655"/>
        <v>2.9326414009923092E-2</v>
      </c>
      <c r="AR1393" s="58">
        <f t="shared" ca="1" si="1655"/>
        <v>2.3710028335846841E-2</v>
      </c>
      <c r="AS1393" s="58">
        <f t="shared" ca="1" si="1655"/>
        <v>5.9169229363300636E-2</v>
      </c>
      <c r="AT1393" s="58">
        <f t="shared" ca="1" si="1655"/>
        <v>0.1292729135711104</v>
      </c>
      <c r="AU1393" s="58">
        <f t="shared" ca="1" si="1655"/>
        <v>3.3316800672025394E-2</v>
      </c>
      <c r="AV1393" s="58">
        <f t="shared" ca="1" si="1655"/>
        <v>2.7165819767226346E-2</v>
      </c>
      <c r="AW1393" s="58">
        <f t="shared" ca="1" si="1655"/>
        <v>4.712508916332532E-2</v>
      </c>
      <c r="AX1393" s="58">
        <f t="shared" ca="1" si="1655"/>
        <v>0.11086741238134175</v>
      </c>
      <c r="AY1393" s="58">
        <f t="shared" ca="1" si="1655"/>
        <v>2.4879074642543599E-2</v>
      </c>
      <c r="AZ1393" s="58">
        <f t="shared" ca="1" si="1655"/>
        <v>1.9245420195945592E-2</v>
      </c>
      <c r="BA1393" s="58">
        <f t="shared" ca="1" si="1655"/>
        <v>5.3974047013846692E-2</v>
      </c>
      <c r="BB1393" s="58">
        <f t="shared" ca="1" si="1655"/>
        <v>0.1252708207844348</v>
      </c>
      <c r="BC1393" s="58">
        <f t="shared" ca="1" si="1655"/>
        <v>2.8937554496252838E-2</v>
      </c>
      <c r="BD1393" s="58">
        <f t="shared" ca="1" si="1655"/>
        <v>2.3143976897353872E-2</v>
      </c>
      <c r="BE1393" s="58">
        <f t="shared" ca="1" si="1655"/>
        <v>7.21728574644111E-2</v>
      </c>
      <c r="BF1393" s="58">
        <f t="shared" ca="1" si="1655"/>
        <v>0.15013166482349813</v>
      </c>
      <c r="BG1393" s="58">
        <f t="shared" ca="1" si="1655"/>
        <v>4.3962303349798296E-2</v>
      </c>
      <c r="BH1393" s="58">
        <f t="shared" ca="1" si="1655"/>
        <v>3.6957858765737706E-2</v>
      </c>
      <c r="BI1393" s="58">
        <f t="shared" ca="1" si="1655"/>
        <v>7.8824284806200531E-2</v>
      </c>
      <c r="BJ1393" s="58">
        <f t="shared" ca="1" si="1655"/>
        <v>0.16322571971254965</v>
      </c>
      <c r="BK1393" s="58">
        <f t="shared" ca="1" si="1655"/>
        <v>4.8304357759697929E-2</v>
      </c>
      <c r="BL1393" s="58">
        <f t="shared" ca="1" si="1655"/>
        <v>4.0723381019199464E-2</v>
      </c>
      <c r="BM1393" s="58">
        <f t="shared" ca="1" si="1655"/>
        <v>8.6229237232994624E-2</v>
      </c>
      <c r="BN1393" s="58">
        <f t="shared" ca="1" si="1655"/>
        <v>0.17774785056025472</v>
      </c>
      <c r="BO1393" s="58">
        <f t="shared" ca="1" si="1655"/>
        <v>5.3160609140483248E-2</v>
      </c>
      <c r="BP1393" s="58">
        <f t="shared" ca="1" si="1655"/>
        <v>4.4938280568616137E-2</v>
      </c>
      <c r="BQ1393" s="58">
        <f t="shared" ca="1" si="1655"/>
        <v>9.4496865827642329E-2</v>
      </c>
      <c r="BR1393" s="58">
        <f t="shared" ca="1" si="1655"/>
        <v>0.18864489418520577</v>
      </c>
      <c r="BS1393" s="58">
        <f t="shared" ca="1" si="1655"/>
        <v>5.3149898740442583E-2</v>
      </c>
      <c r="BT1393" s="58">
        <f t="shared" ca="1" si="1655"/>
        <v>4.4989894514343209E-2</v>
      </c>
      <c r="BU1393" s="58">
        <f t="shared" ca="1" si="1655"/>
        <v>9.8456020591407567E-2</v>
      </c>
      <c r="BV1393" s="58">
        <f t="shared" ca="1" si="1655"/>
        <v>0.20671540663118013</v>
      </c>
      <c r="BW1393" s="58">
        <f t="shared" ca="1" si="1655"/>
        <v>5.9313933848385146E-2</v>
      </c>
      <c r="BX1393" s="58">
        <f t="shared" ca="1" si="1655"/>
        <v>4.967910921464741E-2</v>
      </c>
      <c r="BY1393" s="58">
        <f t="shared" ref="BY1393:CO1393" ca="1" si="1656">IFERROR(BY1395/BY1398*(BY1398&gt;0),0)</f>
        <v>0.10888028859619554</v>
      </c>
      <c r="BZ1393" s="58">
        <f t="shared" ca="1" si="1656"/>
        <v>0.22691785398573841</v>
      </c>
      <c r="CA1393" s="58">
        <f t="shared" ca="1" si="1656"/>
        <v>6.6247702076275422E-2</v>
      </c>
      <c r="CB1393" s="58">
        <f t="shared" ca="1" si="1656"/>
        <v>5.5747938357432608E-2</v>
      </c>
      <c r="CC1393" s="58">
        <f t="shared" ca="1" si="1656"/>
        <v>0.12068554830799412</v>
      </c>
      <c r="CD1393" s="58">
        <f t="shared" ca="1" si="1656"/>
        <v>0.24966058406729449</v>
      </c>
      <c r="CE1393" s="58">
        <f t="shared" ca="1" si="1656"/>
        <v>7.415512791469292E-2</v>
      </c>
      <c r="CF1393" s="58">
        <f t="shared" ca="1" si="1656"/>
        <v>6.266520023294754E-2</v>
      </c>
      <c r="CG1393" s="58">
        <f t="shared" ca="1" si="1656"/>
        <v>0.13409952031444006</v>
      </c>
      <c r="CH1393" s="58">
        <f t="shared" ca="1" si="1656"/>
        <v>0.27535668194839974</v>
      </c>
      <c r="CI1393" s="58">
        <f t="shared" ca="1" si="1656"/>
        <v>8.3200204326878135E-2</v>
      </c>
      <c r="CJ1393" s="58">
        <f t="shared" ca="1" si="1656"/>
        <v>7.1602041621633486E-2</v>
      </c>
      <c r="CK1393" s="58">
        <f t="shared" ca="1" si="1656"/>
        <v>0.14944902122774797</v>
      </c>
      <c r="CL1393" s="58">
        <f t="shared" ca="1" si="1656"/>
        <v>0.30455622947771316</v>
      </c>
      <c r="CM1393" s="58">
        <f t="shared" ca="1" si="1656"/>
        <v>9.3634726597871351E-2</v>
      </c>
      <c r="CN1393" s="58">
        <f t="shared" ca="1" si="1656"/>
        <v>7.9754014327505174E-2</v>
      </c>
      <c r="CO1393" s="58">
        <f t="shared" ca="1" si="1656"/>
        <v>0.16706357099680721</v>
      </c>
    </row>
    <row r="1394" spans="1:93">
      <c r="A1394" s="10"/>
      <c r="B1394" s="10"/>
      <c r="C1394" s="21" t="s">
        <v>241</v>
      </c>
      <c r="D1394" s="10"/>
      <c r="E1394" s="10"/>
      <c r="F1394" s="10"/>
      <c r="G1394" s="134" t="str">
        <f>Monetary_Unit</f>
        <v>тыс. руб.</v>
      </c>
      <c r="H1394" s="10"/>
      <c r="I1394" s="10"/>
      <c r="J1394" s="10"/>
      <c r="K1394" s="10"/>
      <c r="L1394" s="52">
        <f t="shared" ref="L1394:BW1394" ca="1" si="1657">Net_Profit</f>
        <v>0</v>
      </c>
      <c r="M1394" s="52">
        <f t="shared" ca="1" si="1657"/>
        <v>0</v>
      </c>
      <c r="N1394" s="52">
        <f t="shared" ca="1" si="1657"/>
        <v>0</v>
      </c>
      <c r="O1394" s="52">
        <f t="shared" ca="1" si="1657"/>
        <v>0</v>
      </c>
      <c r="P1394" s="52">
        <f t="shared" ca="1" si="1657"/>
        <v>0</v>
      </c>
      <c r="Q1394" s="52">
        <f t="shared" ca="1" si="1657"/>
        <v>0</v>
      </c>
      <c r="R1394" s="52">
        <f t="shared" ca="1" si="1657"/>
        <v>0</v>
      </c>
      <c r="S1394" s="52">
        <f t="shared" ca="1" si="1657"/>
        <v>0</v>
      </c>
      <c r="T1394" s="52">
        <f t="shared" ca="1" si="1657"/>
        <v>0</v>
      </c>
      <c r="U1394" s="52">
        <f t="shared" ca="1" si="1657"/>
        <v>0</v>
      </c>
      <c r="V1394" s="52">
        <f t="shared" ca="1" si="1657"/>
        <v>0</v>
      </c>
      <c r="W1394" s="52">
        <f t="shared" ca="1" si="1657"/>
        <v>0</v>
      </c>
      <c r="X1394" s="52">
        <f t="shared" ca="1" si="1657"/>
        <v>0</v>
      </c>
      <c r="Y1394" s="52">
        <f t="shared" ca="1" si="1657"/>
        <v>0</v>
      </c>
      <c r="Z1394" s="52">
        <f t="shared" ca="1" si="1657"/>
        <v>0</v>
      </c>
      <c r="AA1394" s="52">
        <f t="shared" ca="1" si="1657"/>
        <v>0</v>
      </c>
      <c r="AB1394" s="52">
        <f t="shared" ca="1" si="1657"/>
        <v>0</v>
      </c>
      <c r="AC1394" s="52">
        <f t="shared" ca="1" si="1657"/>
        <v>21020.497477027762</v>
      </c>
      <c r="AD1394" s="52">
        <f t="shared" ca="1" si="1657"/>
        <v>163284.07069445527</v>
      </c>
      <c r="AE1394" s="52">
        <f t="shared" ca="1" si="1657"/>
        <v>-9905.7072077799367</v>
      </c>
      <c r="AF1394" s="52">
        <f t="shared" ca="1" si="1657"/>
        <v>-16951.71375419473</v>
      </c>
      <c r="AG1394" s="52">
        <f t="shared" ca="1" si="1657"/>
        <v>57017.648468418607</v>
      </c>
      <c r="AH1394" s="52">
        <f t="shared" ca="1" si="1657"/>
        <v>213867.77581187533</v>
      </c>
      <c r="AI1394" s="52">
        <f t="shared" ca="1" si="1657"/>
        <v>10420.475880548815</v>
      </c>
      <c r="AJ1394" s="52">
        <f t="shared" ca="1" si="1657"/>
        <v>1993.3369120095942</v>
      </c>
      <c r="AK1394" s="52">
        <f t="shared" ca="1" si="1657"/>
        <v>87403.934056197104</v>
      </c>
      <c r="AL1394" s="52">
        <f t="shared" ca="1" si="1657"/>
        <v>267732.62999806012</v>
      </c>
      <c r="AM1394" s="52">
        <f t="shared" ca="1" si="1657"/>
        <v>33808.3344419559</v>
      </c>
      <c r="AN1394" s="52">
        <f t="shared" ca="1" si="1657"/>
        <v>24744.147847903107</v>
      </c>
      <c r="AO1394" s="52">
        <f t="shared" ca="1" si="1657"/>
        <v>121704.55948466924</v>
      </c>
      <c r="AP1394" s="52">
        <f t="shared" ca="1" si="1657"/>
        <v>318291.43604223389</v>
      </c>
      <c r="AQ1394" s="52">
        <f t="shared" ca="1" si="1657"/>
        <v>54570.329555060023</v>
      </c>
      <c r="AR1394" s="52">
        <f t="shared" ca="1" si="1657"/>
        <v>40683.619765603718</v>
      </c>
      <c r="AS1394" s="52">
        <f t="shared" ca="1" si="1657"/>
        <v>139229.78666546417</v>
      </c>
      <c r="AT1394" s="52">
        <f t="shared" ca="1" si="1657"/>
        <v>341983.77603532176</v>
      </c>
      <c r="AU1394" s="52">
        <f t="shared" ca="1" si="1657"/>
        <v>67455.665556527558</v>
      </c>
      <c r="AV1394" s="52">
        <f t="shared" ca="1" si="1657"/>
        <v>58332.686981525272</v>
      </c>
      <c r="AW1394" s="52">
        <f t="shared" ca="1" si="1657"/>
        <v>107591.20104406215</v>
      </c>
      <c r="AX1394" s="52">
        <f t="shared" ca="1" si="1657"/>
        <v>257542.56000208374</v>
      </c>
      <c r="AY1394" s="52">
        <f t="shared" ca="1" si="1657"/>
        <v>54618.132500246778</v>
      </c>
      <c r="AZ1394" s="52">
        <f t="shared" ca="1" si="1657"/>
        <v>41151.568137539442</v>
      </c>
      <c r="BA1394" s="52">
        <f t="shared" ca="1" si="1657"/>
        <v>115864.38159117357</v>
      </c>
      <c r="BB1394" s="52">
        <f t="shared" ca="1" si="1657"/>
        <v>269711.87322955724</v>
      </c>
      <c r="BC1394" s="52">
        <f t="shared" ca="1" si="1657"/>
        <v>58670.468627646806</v>
      </c>
      <c r="BD1394" s="52">
        <f t="shared" ca="1" si="1657"/>
        <v>45660.877000101078</v>
      </c>
      <c r="BE1394" s="52">
        <f t="shared" ca="1" si="1657"/>
        <v>145011.49799545895</v>
      </c>
      <c r="BF1394" s="52">
        <f t="shared" ca="1" si="1657"/>
        <v>305013.9133517876</v>
      </c>
      <c r="BG1394" s="52">
        <f t="shared" ca="1" si="1657"/>
        <v>85530.86006936671</v>
      </c>
      <c r="BH1394" s="52">
        <f t="shared" ca="1" si="1657"/>
        <v>70954.871808580254</v>
      </c>
      <c r="BI1394" s="52">
        <f t="shared" ca="1" si="1657"/>
        <v>151766.17649416102</v>
      </c>
      <c r="BJ1394" s="52">
        <f t="shared" ca="1" si="1657"/>
        <v>318169.54910436674</v>
      </c>
      <c r="BK1394" s="52">
        <f t="shared" ca="1" si="1657"/>
        <v>89907.165886940653</v>
      </c>
      <c r="BL1394" s="52">
        <f t="shared" ca="1" si="1657"/>
        <v>74753.219174851678</v>
      </c>
      <c r="BM1394" s="52">
        <f t="shared" ca="1" si="1657"/>
        <v>158797.9199959586</v>
      </c>
      <c r="BN1394" s="52">
        <f t="shared" ca="1" si="1657"/>
        <v>331858.37145867548</v>
      </c>
      <c r="BO1394" s="52">
        <f t="shared" ca="1" si="1657"/>
        <v>85421.210681969882</v>
      </c>
      <c r="BP1394" s="52">
        <f t="shared" ca="1" si="1657"/>
        <v>71099.830420810831</v>
      </c>
      <c r="BQ1394" s="52">
        <f t="shared" ca="1" si="1657"/>
        <v>150518.41183773105</v>
      </c>
      <c r="BR1394" s="52">
        <f t="shared" ca="1" si="1657"/>
        <v>305522.58808260132</v>
      </c>
      <c r="BS1394" s="52">
        <f t="shared" ca="1" si="1657"/>
        <v>81307.737013040605</v>
      </c>
      <c r="BT1394" s="52">
        <f t="shared" ca="1" si="1657"/>
        <v>67696.2961139455</v>
      </c>
      <c r="BU1394" s="52">
        <f t="shared" ca="1" si="1657"/>
        <v>149342.74400514114</v>
      </c>
      <c r="BV1394" s="52">
        <f t="shared" ca="1" si="1657"/>
        <v>319438.13804379129</v>
      </c>
      <c r="BW1394" s="52">
        <f t="shared" ca="1" si="1657"/>
        <v>86250.057788730512</v>
      </c>
      <c r="BX1394" s="52">
        <f t="shared" ref="BX1394:CO1394" ca="1" si="1658">Net_Profit</f>
        <v>71008.433694525505</v>
      </c>
      <c r="BY1394" s="52">
        <f t="shared" ca="1" si="1658"/>
        <v>156931.17033271299</v>
      </c>
      <c r="BZ1394" s="52">
        <f t="shared" ca="1" si="1658"/>
        <v>333835.15966603858</v>
      </c>
      <c r="CA1394" s="52">
        <f t="shared" ca="1" si="1658"/>
        <v>91315.510411560957</v>
      </c>
      <c r="CB1394" s="52">
        <f t="shared" ca="1" si="1658"/>
        <v>75471.00990147212</v>
      </c>
      <c r="CC1394" s="52">
        <f t="shared" ca="1" si="1658"/>
        <v>164835.36388369428</v>
      </c>
      <c r="CD1394" s="52">
        <f t="shared" ca="1" si="1658"/>
        <v>348820.12618529634</v>
      </c>
      <c r="CE1394" s="52">
        <f t="shared" ca="1" si="1658"/>
        <v>96595.344716697873</v>
      </c>
      <c r="CF1394" s="52">
        <f t="shared" ca="1" si="1658"/>
        <v>80095.082115186233</v>
      </c>
      <c r="CG1394" s="52">
        <f t="shared" ca="1" si="1658"/>
        <v>173038.52916807652</v>
      </c>
      <c r="CH1394" s="52">
        <f t="shared" ca="1" si="1658"/>
        <v>364387.10638955783</v>
      </c>
      <c r="CI1394" s="52">
        <f t="shared" ca="1" si="1658"/>
        <v>102068.98741827406</v>
      </c>
      <c r="CJ1394" s="52">
        <f t="shared" ca="1" si="1658"/>
        <v>86079.765485300537</v>
      </c>
      <c r="CK1394" s="52">
        <f t="shared" ca="1" si="1658"/>
        <v>181576.35576507647</v>
      </c>
      <c r="CL1394" s="52">
        <f t="shared" ca="1" si="1658"/>
        <v>380583.08467807889</v>
      </c>
      <c r="CM1394" s="52">
        <f t="shared" ca="1" si="1658"/>
        <v>107767.60715998581</v>
      </c>
      <c r="CN1394" s="52">
        <f t="shared" ca="1" si="1658"/>
        <v>89853.812317610063</v>
      </c>
      <c r="CO1394" s="52">
        <f t="shared" ca="1" si="1658"/>
        <v>190390.08876916126</v>
      </c>
    </row>
    <row r="1395" spans="1:93">
      <c r="A1395" s="10"/>
      <c r="B1395" s="10"/>
      <c r="C1395" s="21" t="s">
        <v>82</v>
      </c>
      <c r="D1395" s="10"/>
      <c r="E1395" s="10"/>
      <c r="F1395" s="10"/>
      <c r="G1395" s="134" t="str">
        <f>Monetary_Unit</f>
        <v>тыс. руб.</v>
      </c>
      <c r="H1395" s="10"/>
      <c r="I1395" s="10"/>
      <c r="J1395" s="10"/>
      <c r="K1395" s="10"/>
      <c r="L1395" s="52">
        <f t="shared" ref="L1395:BW1395" ca="1" si="1659">EBIT</f>
        <v>0</v>
      </c>
      <c r="M1395" s="52">
        <f t="shared" ca="1" si="1659"/>
        <v>0</v>
      </c>
      <c r="N1395" s="52">
        <f t="shared" ca="1" si="1659"/>
        <v>0</v>
      </c>
      <c r="O1395" s="52">
        <f t="shared" ca="1" si="1659"/>
        <v>0</v>
      </c>
      <c r="P1395" s="52">
        <f t="shared" ca="1" si="1659"/>
        <v>0</v>
      </c>
      <c r="Q1395" s="52">
        <f t="shared" ca="1" si="1659"/>
        <v>0</v>
      </c>
      <c r="R1395" s="52">
        <f t="shared" ca="1" si="1659"/>
        <v>0</v>
      </c>
      <c r="S1395" s="52">
        <f t="shared" ca="1" si="1659"/>
        <v>0</v>
      </c>
      <c r="T1395" s="52">
        <f t="shared" ca="1" si="1659"/>
        <v>0</v>
      </c>
      <c r="U1395" s="52">
        <f t="shared" ca="1" si="1659"/>
        <v>0</v>
      </c>
      <c r="V1395" s="52">
        <f t="shared" ca="1" si="1659"/>
        <v>0</v>
      </c>
      <c r="W1395" s="52">
        <f t="shared" ca="1" si="1659"/>
        <v>0</v>
      </c>
      <c r="X1395" s="52">
        <f t="shared" ca="1" si="1659"/>
        <v>0</v>
      </c>
      <c r="Y1395" s="52">
        <f t="shared" ca="1" si="1659"/>
        <v>0</v>
      </c>
      <c r="Z1395" s="52">
        <f t="shared" ca="1" si="1659"/>
        <v>0</v>
      </c>
      <c r="AA1395" s="52">
        <f t="shared" ca="1" si="1659"/>
        <v>0</v>
      </c>
      <c r="AB1395" s="52">
        <f t="shared" ca="1" si="1659"/>
        <v>0</v>
      </c>
      <c r="AC1395" s="52">
        <f t="shared" ca="1" si="1659"/>
        <v>84872.429798963509</v>
      </c>
      <c r="AD1395" s="52">
        <f t="shared" ca="1" si="1659"/>
        <v>221350.28337700802</v>
      </c>
      <c r="AE1395" s="52">
        <f t="shared" ca="1" si="1659"/>
        <v>42657.626140041393</v>
      </c>
      <c r="AF1395" s="52">
        <f t="shared" ca="1" si="1659"/>
        <v>32573.57877641714</v>
      </c>
      <c r="AG1395" s="52">
        <f t="shared" ca="1" si="1659"/>
        <v>107215.70797118917</v>
      </c>
      <c r="AH1395" s="52">
        <f t="shared" ca="1" si="1659"/>
        <v>265407.34327702911</v>
      </c>
      <c r="AI1395" s="52">
        <f t="shared" ca="1" si="1659"/>
        <v>57310.992770575132</v>
      </c>
      <c r="AJ1395" s="52">
        <f t="shared" ca="1" si="1659"/>
        <v>45340.743547664781</v>
      </c>
      <c r="AK1395" s="52">
        <f t="shared" ca="1" si="1659"/>
        <v>131131.96955977991</v>
      </c>
      <c r="AL1395" s="52">
        <f t="shared" ca="1" si="1659"/>
        <v>312556.08396599558</v>
      </c>
      <c r="AM1395" s="52">
        <f t="shared" ca="1" si="1659"/>
        <v>72989.652980074345</v>
      </c>
      <c r="AN1395" s="52">
        <f t="shared" ca="1" si="1659"/>
        <v>60181.800997839004</v>
      </c>
      <c r="AO1395" s="52">
        <f t="shared" ca="1" si="1659"/>
        <v>156718.2986482555</v>
      </c>
      <c r="AP1395" s="52">
        <f t="shared" ca="1" si="1659"/>
        <v>353993.69382407272</v>
      </c>
      <c r="AQ1395" s="52">
        <f t="shared" ca="1" si="1659"/>
        <v>83821.841600480548</v>
      </c>
      <c r="AR1395" s="52">
        <f t="shared" ca="1" si="1659"/>
        <v>65892.824268491982</v>
      </c>
      <c r="AS1395" s="52">
        <f t="shared" ca="1" si="1659"/>
        <v>164946.8298960549</v>
      </c>
      <c r="AT1395" s="52">
        <f t="shared" ca="1" si="1659"/>
        <v>370114.16883519979</v>
      </c>
      <c r="AU1395" s="52">
        <f t="shared" ca="1" si="1659"/>
        <v>89135.43534993002</v>
      </c>
      <c r="AV1395" s="52">
        <f t="shared" ca="1" si="1659"/>
        <v>70494.595984638421</v>
      </c>
      <c r="AW1395" s="52">
        <f t="shared" ca="1" si="1659"/>
        <v>118866.01577620278</v>
      </c>
      <c r="AX1395" s="52">
        <f t="shared" ca="1" si="1659"/>
        <v>277929.85747417703</v>
      </c>
      <c r="AY1395" s="52">
        <f t="shared" ca="1" si="1659"/>
        <v>59731.54833241686</v>
      </c>
      <c r="AZ1395" s="52">
        <f t="shared" ca="1" si="1659"/>
        <v>45251.371598322949</v>
      </c>
      <c r="BA1395" s="52">
        <f t="shared" ca="1" si="1659"/>
        <v>125587.73015061772</v>
      </c>
      <c r="BB1395" s="52">
        <f t="shared" ca="1" si="1659"/>
        <v>291015.1405144711</v>
      </c>
      <c r="BC1395" s="52">
        <f t="shared" ca="1" si="1659"/>
        <v>64088.899007040542</v>
      </c>
      <c r="BD1395" s="52">
        <f t="shared" ca="1" si="1659"/>
        <v>50100.090805378488</v>
      </c>
      <c r="BE1395" s="52">
        <f t="shared" ca="1" si="1659"/>
        <v>156264.2684376376</v>
      </c>
      <c r="BF1395" s="52">
        <f t="shared" ca="1" si="1659"/>
        <v>328309.87634766841</v>
      </c>
      <c r="BG1395" s="52">
        <f t="shared" ca="1" si="1659"/>
        <v>92306.593248291087</v>
      </c>
      <c r="BH1395" s="52">
        <f t="shared" ca="1" si="1659"/>
        <v>76633.487591531462</v>
      </c>
      <c r="BI1395" s="52">
        <f t="shared" ca="1" si="1659"/>
        <v>163527.3635975323</v>
      </c>
      <c r="BJ1395" s="52">
        <f t="shared" ca="1" si="1659"/>
        <v>342455.72124291479</v>
      </c>
      <c r="BK1395" s="52">
        <f t="shared" ca="1" si="1659"/>
        <v>97012.298428478127</v>
      </c>
      <c r="BL1395" s="52">
        <f t="shared" ca="1" si="1659"/>
        <v>80717.732071393213</v>
      </c>
      <c r="BM1395" s="52">
        <f t="shared" ca="1" si="1659"/>
        <v>171088.37811559418</v>
      </c>
      <c r="BN1395" s="52">
        <f t="shared" ca="1" si="1659"/>
        <v>357174.88506475213</v>
      </c>
      <c r="BO1395" s="52">
        <f t="shared" ca="1" si="1659"/>
        <v>101913.72533773817</v>
      </c>
      <c r="BP1395" s="52">
        <f t="shared" ca="1" si="1659"/>
        <v>84965.346330449349</v>
      </c>
      <c r="BQ1395" s="52">
        <f t="shared" ca="1" si="1659"/>
        <v>178951.8332143786</v>
      </c>
      <c r="BR1395" s="52">
        <f t="shared" ca="1" si="1659"/>
        <v>362388.72817872214</v>
      </c>
      <c r="BS1395" s="52">
        <f t="shared" ca="1" si="1659"/>
        <v>97045.709161490493</v>
      </c>
      <c r="BT1395" s="52">
        <f t="shared" ca="1" si="1659"/>
        <v>80937.49507972115</v>
      </c>
      <c r="BU1395" s="52">
        <f t="shared" ca="1" si="1659"/>
        <v>177560.51033557398</v>
      </c>
      <c r="BV1395" s="52">
        <f t="shared" ca="1" si="1659"/>
        <v>378856.83464166883</v>
      </c>
      <c r="BW1395" s="52">
        <f t="shared" ca="1" si="1659"/>
        <v>102894.60948775074</v>
      </c>
      <c r="BX1395" s="52">
        <f t="shared" ref="BX1395:CO1395" ca="1" si="1660">EBIT</f>
        <v>84857.184524194527</v>
      </c>
      <c r="BY1395" s="52">
        <f t="shared" ca="1" si="1660"/>
        <v>186540.89652204956</v>
      </c>
      <c r="BZ1395" s="52">
        <f t="shared" ca="1" si="1660"/>
        <v>395894.73005261237</v>
      </c>
      <c r="CA1395" s="52">
        <f t="shared" ca="1" si="1660"/>
        <v>108889.22797630748</v>
      </c>
      <c r="CB1395" s="52">
        <f t="shared" ca="1" si="1660"/>
        <v>90138.339798687564</v>
      </c>
      <c r="CC1395" s="52">
        <f t="shared" ca="1" si="1660"/>
        <v>195894.97173031143</v>
      </c>
      <c r="CD1395" s="52">
        <f t="shared" ca="1" si="1660"/>
        <v>413628.41824108304</v>
      </c>
      <c r="CE1395" s="52">
        <f t="shared" ca="1" si="1660"/>
        <v>115137.55259777128</v>
      </c>
      <c r="CF1395" s="52">
        <f t="shared" ca="1" si="1660"/>
        <v>95610.614607816678</v>
      </c>
      <c r="CG1395" s="52">
        <f t="shared" ca="1" si="1660"/>
        <v>205602.85964082295</v>
      </c>
      <c r="CH1395" s="52">
        <f t="shared" ca="1" si="1660"/>
        <v>432050.88002127415</v>
      </c>
      <c r="CI1395" s="52">
        <f t="shared" ca="1" si="1660"/>
        <v>121615.23626827565</v>
      </c>
      <c r="CJ1395" s="52">
        <f t="shared" ca="1" si="1660"/>
        <v>102693.08013457917</v>
      </c>
      <c r="CK1395" s="52">
        <f t="shared" ca="1" si="1660"/>
        <v>215706.79644200634</v>
      </c>
      <c r="CL1395" s="52">
        <f t="shared" ca="1" si="1660"/>
        <v>451217.71823254175</v>
      </c>
      <c r="CM1395" s="52">
        <f t="shared" ca="1" si="1660"/>
        <v>128359.16495669194</v>
      </c>
      <c r="CN1395" s="52">
        <f t="shared" ca="1" si="1660"/>
        <v>107159.40774677981</v>
      </c>
      <c r="CO1395" s="52">
        <f t="shared" ca="1" si="1660"/>
        <v>226137.24970127826</v>
      </c>
    </row>
    <row r="1396" spans="1:93">
      <c r="A1396" s="10"/>
      <c r="B1396" s="10"/>
      <c r="C1396" s="21" t="s">
        <v>242</v>
      </c>
      <c r="D1396" s="10"/>
      <c r="E1396" s="62"/>
      <c r="F1396" s="10"/>
      <c r="G1396" s="134" t="str">
        <f>Monetary_Unit</f>
        <v>тыс. руб.</v>
      </c>
      <c r="H1396" s="10"/>
      <c r="I1396" s="10"/>
      <c r="J1396" s="10"/>
      <c r="K1396" s="10"/>
      <c r="L1396" s="52">
        <f ca="1">SUM(Отчетность!K23:L23)/2*Flag_Forecast</f>
        <v>10246.727514530023</v>
      </c>
      <c r="M1396" s="52">
        <f ca="1">SUM(Отчетность!L23:M23)/2*Flag_Forecast</f>
        <v>31158.77706574175</v>
      </c>
      <c r="N1396" s="52">
        <f ca="1">SUM(Отчетность!M23:N23)/2*Flag_Forecast</f>
        <v>52934.449496735484</v>
      </c>
      <c r="O1396" s="52">
        <f ca="1">SUM(Отчетность!N23:O23)/2*Flag_Forecast</f>
        <v>75617.513984063684</v>
      </c>
      <c r="P1396" s="52">
        <f ca="1">SUM(Отчетность!O23:P23)/2*Flag_Forecast</f>
        <v>177715.3529993043</v>
      </c>
      <c r="Q1396" s="52">
        <f ca="1">SUM(Отчетность!P23:Q23)/2*Flag_Forecast</f>
        <v>361509.58501985879</v>
      </c>
      <c r="R1396" s="52">
        <f ca="1">SUM(Отчетность!Q23:R23)/2*Flag_Forecast</f>
        <v>550934.16744639759</v>
      </c>
      <c r="S1396" s="52">
        <f ca="1">SUM(Отчетность!R23:S23)/2*Flag_Forecast</f>
        <v>746198.76902474416</v>
      </c>
      <c r="T1396" s="52">
        <f ca="1">SUM(Отчетность!S23:T23)/2*Flag_Forecast</f>
        <v>945717.03984367475</v>
      </c>
      <c r="U1396" s="52">
        <f ca="1">SUM(Отчетность!T23:U23)/2*Flag_Forecast</f>
        <v>1150216.8642880013</v>
      </c>
      <c r="V1396" s="52">
        <f ca="1">SUM(Отчетность!U23:V23)/2*Flag_Forecast</f>
        <v>1361022.4644694347</v>
      </c>
      <c r="W1396" s="52">
        <f ca="1">SUM(Отчетность!V23:W23)/2*Flag_Forecast</f>
        <v>1577014.6663391166</v>
      </c>
      <c r="X1396" s="52">
        <f ca="1">SUM(Отчетность!W23:X23)/2*Flag_Forecast</f>
        <v>1886382.6855748179</v>
      </c>
      <c r="Y1396" s="52">
        <f ca="1">SUM(Отчетность!X23:Y23)/2*Flag_Forecast</f>
        <v>2291247.5708686011</v>
      </c>
      <c r="Z1396" s="52">
        <f ca="1">SUM(Отчетность!Y23:Z23)/2*Flag_Forecast</f>
        <v>2705821.2318540541</v>
      </c>
      <c r="AA1396" s="52">
        <f ca="1">SUM(Отчетность!Z23:AA23)/2*Flag_Forecast</f>
        <v>3130341.6408168124</v>
      </c>
      <c r="AB1396" s="52">
        <f ca="1">SUM(Отчетность!AA23:AB23)/2*Flag_Forecast</f>
        <v>3704096.3733320395</v>
      </c>
      <c r="AC1396" s="52">
        <f ca="1">SUM(Отчетность!AB23:AC23)/2*Flag_Forecast</f>
        <v>3864246.4449015819</v>
      </c>
      <c r="AD1396" s="52">
        <f ca="1">SUM(Отчетность!AC23:AD23)/2*Flag_Forecast</f>
        <v>3660460.2361809164</v>
      </c>
      <c r="AE1396" s="52">
        <f ca="1">SUM(Отчетность!AD23:AE23)/2*Flag_Forecast</f>
        <v>3547154.7362699192</v>
      </c>
      <c r="AF1396" s="52">
        <f ca="1">SUM(Отчетность!AE23:AF23)/2*Flag_Forecast</f>
        <v>3403587.4851523358</v>
      </c>
      <c r="AG1396" s="52">
        <f ca="1">SUM(Отчетность!AF23:AG23)/2*Flag_Forecast</f>
        <v>3384632.471461568</v>
      </c>
      <c r="AH1396" s="52">
        <f ca="1">SUM(Отчетность!AG23:AH23)/2*Flag_Forecast</f>
        <v>3459180.6424557567</v>
      </c>
      <c r="AI1396" s="52">
        <f ca="1">SUM(Отчетность!AH23:AI23)/2*Flag_Forecast</f>
        <v>3395073.5630671461</v>
      </c>
      <c r="AJ1396" s="52">
        <f ca="1">SUM(Отчетность!AI23:AJ23)/2*Flag_Forecast</f>
        <v>3235384.7846402554</v>
      </c>
      <c r="AK1396" s="52">
        <f ca="1">SUM(Отчетность!AJ23:AK23)/2*Flag_Forecast</f>
        <v>3220232.0080124098</v>
      </c>
      <c r="AL1396" s="52">
        <f ca="1">SUM(Отчетность!AK23:AL23)/2*Flag_Forecast</f>
        <v>3312636.1195248156</v>
      </c>
      <c r="AM1396" s="52">
        <f ca="1">SUM(Отчетность!AL23:AM23)/2*Flag_Forecast</f>
        <v>3245473.725957592</v>
      </c>
      <c r="AN1396" s="52">
        <f ca="1">SUM(Отчетность!AM23:AN23)/2*Flag_Forecast</f>
        <v>3068578.9439894515</v>
      </c>
      <c r="AO1396" s="52">
        <f ca="1">SUM(Отчетность!AN23:AO23)/2*Flag_Forecast</f>
        <v>3057538.3801015029</v>
      </c>
      <c r="AP1396" s="52">
        <f ca="1">SUM(Отчетность!AO23:AP23)/2*Flag_Forecast</f>
        <v>3164135.0875740377</v>
      </c>
      <c r="AQ1396" s="52">
        <f ca="1">SUM(Отчетность!AP23:AQ23)/2*Flag_Forecast</f>
        <v>3089709.1130847153</v>
      </c>
      <c r="AR1396" s="52">
        <f ca="1">SUM(Отчетность!AQ23:AR23)/2*Flag_Forecast</f>
        <v>2894095.1671625702</v>
      </c>
      <c r="AS1396" s="52">
        <f ca="1">SUM(Отчетность!AR23:AS23)/2*Flag_Forecast</f>
        <v>2879831.2323271767</v>
      </c>
      <c r="AT1396" s="52">
        <f ca="1">SUM(Отчетность!AS23:AT23)/2*Flag_Forecast</f>
        <v>2990766.5777235422</v>
      </c>
      <c r="AU1396" s="52">
        <f ca="1">SUM(Отчетность!AT23:AU23)/2*Flag_Forecast</f>
        <v>2915183.4684119858</v>
      </c>
      <c r="AV1396" s="52">
        <f ca="1">SUM(Отчетность!AU23:AV23)/2*Flag_Forecast</f>
        <v>2713619.4843119401</v>
      </c>
      <c r="AW1396" s="52">
        <f ca="1">SUM(Отчетность!AV23:AW23)/2*Flag_Forecast</f>
        <v>2677130.0850275885</v>
      </c>
      <c r="AX1396" s="52">
        <f ca="1">SUM(Отчетность!AW23:AX23)/2*Flag_Forecast</f>
        <v>2748390.69268867</v>
      </c>
      <c r="AY1396" s="52">
        <f ca="1">SUM(Отчетность!AX23:AY23)/2*Flag_Forecast</f>
        <v>2664653.5608808314</v>
      </c>
      <c r="AZ1396" s="52">
        <f ca="1">SUM(Отчетность!AY23:AZ23)/2*Flag_Forecast</f>
        <v>2486543.5704909218</v>
      </c>
      <c r="BA1396" s="52">
        <f ca="1">SUM(Отчетность!AZ23:BA23)/2*Flag_Forecast</f>
        <v>2481004.0610392494</v>
      </c>
      <c r="BB1396" s="52">
        <f ca="1">SUM(Отчетность!BA23:BB23)/2*Flag_Forecast</f>
        <v>2573334.7447590083</v>
      </c>
      <c r="BC1396" s="52">
        <f ca="1">SUM(Отчетность!BB23:BC23)/2*Flag_Forecast</f>
        <v>2488122.836607845</v>
      </c>
      <c r="BD1396" s="52">
        <f ca="1">SUM(Отчетность!BC23:BD23)/2*Flag_Forecast</f>
        <v>2304763.0246176273</v>
      </c>
      <c r="BE1396" s="52">
        <f ca="1">SUM(Отчетность!BD23:BE23)/2*Flag_Forecast</f>
        <v>2312715.9336283086</v>
      </c>
      <c r="BF1396" s="52">
        <f ca="1">SUM(Отчетность!BE23:BF23)/2*Flag_Forecast</f>
        <v>2434293.3952633995</v>
      </c>
      <c r="BG1396" s="52">
        <f ca="1">SUM(Отчетность!BF23:BG23)/2*Flag_Forecast</f>
        <v>2371226.5613271855</v>
      </c>
      <c r="BH1396" s="52">
        <f ca="1">SUM(Отчетность!BG23:BH23)/2*Flag_Forecast</f>
        <v>2206086.1796730529</v>
      </c>
      <c r="BI1396" s="52">
        <f ca="1">SUM(Отчетность!BH23:BI23)/2*Flag_Forecast</f>
        <v>2227598.0315172104</v>
      </c>
      <c r="BJ1396" s="52">
        <f ca="1">SUM(Отчетность!BI23:BJ23)/2*Flag_Forecast</f>
        <v>2354966.1494737938</v>
      </c>
      <c r="BK1396" s="52">
        <f ca="1">SUM(Отчетность!BJ23:BK23)/2*Flag_Forecast</f>
        <v>2290304.2000627872</v>
      </c>
      <c r="BL1396" s="52">
        <f ca="1">SUM(Отчетность!BK23:BL23)/2*Flag_Forecast</f>
        <v>2119485.619455717</v>
      </c>
      <c r="BM1396" s="52">
        <f ca="1">SUM(Отчетность!BL23:BM23)/2*Flag_Forecast</f>
        <v>2142785.3603187567</v>
      </c>
      <c r="BN1396" s="52">
        <f ca="1">SUM(Отчетность!BM23:BN23)/2*Flag_Forecast</f>
        <v>2276175.7581533855</v>
      </c>
      <c r="BO1396" s="52">
        <f ca="1">SUM(Отчетность!BN23:BO23)/2*Flag_Forecast</f>
        <v>2209854.8859257209</v>
      </c>
      <c r="BP1396" s="52">
        <f ca="1">SUM(Отчетность!BO23:BP23)/2*Flag_Forecast</f>
        <v>2033131.1172541503</v>
      </c>
      <c r="BQ1396" s="52">
        <f ca="1">SUM(Отчетность!BP23:BQ23)/2*Flag_Forecast</f>
        <v>2058290.4029114938</v>
      </c>
      <c r="BR1396" s="52">
        <f ca="1">SUM(Отчетность!BQ23:BR23)/2*Flag_Forecast</f>
        <v>2197943.97181929</v>
      </c>
      <c r="BS1396" s="52">
        <f ca="1">SUM(Отчетность!BR23:BS23)/2*Flag_Forecast</f>
        <v>2129897.8198623005</v>
      </c>
      <c r="BT1396" s="52">
        <f ca="1">SUM(Отчетность!BS23:BT23)/2*Flag_Forecast</f>
        <v>1947032.5024531365</v>
      </c>
      <c r="BU1396" s="52">
        <f ca="1">SUM(Отчетность!BT23:BU23)/2*Flag_Forecast</f>
        <v>1974125.5600369889</v>
      </c>
      <c r="BV1396" s="52">
        <f ca="1">SUM(Отчетность!BU23:BV23)/2*Flag_Forecast</f>
        <v>2120292.8238279009</v>
      </c>
      <c r="BW1396" s="52">
        <f ca="1">SUM(Отчетность!BV23:BW23)/2*Flag_Forecast</f>
        <v>2050452.3778895512</v>
      </c>
      <c r="BX1396" s="52">
        <f ca="1">SUM(Отчетность!BW23:BX23)/2*Flag_Forecast</f>
        <v>1861200.3184038266</v>
      </c>
      <c r="BY1396" s="52">
        <f ca="1">SUM(Отчетность!BX23:BY23)/2*Flag_Forecast</f>
        <v>1890304.9720191946</v>
      </c>
      <c r="BZ1396" s="52">
        <f ca="1">SUM(Отчетность!BY23:BZ23)/2*Flag_Forecast</f>
        <v>2043246.4846758218</v>
      </c>
      <c r="CA1396" s="52">
        <f ca="1">SUM(Отчетность!BZ23:CA23)/2*Flag_Forecast</f>
        <v>1971539.9792450978</v>
      </c>
      <c r="CB1396" s="52">
        <f ca="1">SUM(Отчетность!CA23:CB23)/2*Flag_Forecast</f>
        <v>1775645.2301088963</v>
      </c>
      <c r="CC1396" s="52">
        <f ca="1">SUM(Отчетность!CB23:CC23)/2*Flag_Forecast</f>
        <v>1806841.460997334</v>
      </c>
      <c r="CD1396" s="52">
        <f ca="1">SUM(Отчетность!CC23:CD23)/2*Flag_Forecast</f>
        <v>1966828.1893200087</v>
      </c>
      <c r="CE1396" s="52">
        <f ca="1">SUM(Отчетность!CD23:CE23)/2*Flag_Forecast</f>
        <v>1893180.9788318379</v>
      </c>
      <c r="CF1396" s="52">
        <f ca="1">SUM(Отчетность!CE23:CF23)/2*Flag_Forecast</f>
        <v>1690377.9948899699</v>
      </c>
      <c r="CG1396" s="52">
        <f ca="1">SUM(Отчетность!CF23:CG23)/2*Flag_Forecast</f>
        <v>1723749.6301737274</v>
      </c>
      <c r="CH1396" s="52">
        <f ca="1">SUM(Отчетность!CG23:CH23)/2*Flag_Forecast</f>
        <v>1891063.382789091</v>
      </c>
      <c r="CI1396" s="52">
        <f ca="1">SUM(Отчетность!CH23:CI23)/2*Flag_Forecast</f>
        <v>1815397.8390411753</v>
      </c>
      <c r="CJ1396" s="52">
        <f ca="1">SUM(Отчетность!CI23:CJ23)/2*Flag_Forecast</f>
        <v>1605410.111736977</v>
      </c>
      <c r="CK1396" s="52">
        <f ca="1">SUM(Отчетность!CJ23:CK23)/2*Flag_Forecast</f>
        <v>1641043.9866620484</v>
      </c>
      <c r="CL1396" s="52">
        <f ca="1">SUM(Отчетность!CK23:CL23)/2*Flag_Forecast</f>
        <v>1815977.8409936538</v>
      </c>
      <c r="CM1396" s="52">
        <f ca="1">SUM(Отчетность!CL23:CM23)/2*Flag_Forecast</f>
        <v>1738213.2270724871</v>
      </c>
      <c r="CN1396" s="52">
        <f ca="1">SUM(Отчетность!CM23:CN23)/2*Flag_Forecast</f>
        <v>1520753.9148795116</v>
      </c>
      <c r="CO1396" s="52">
        <f ca="1">SUM(Отчетность!CN23:CO23)/2*Flag_Forecast</f>
        <v>1558741.0726413138</v>
      </c>
    </row>
    <row r="1397" spans="1:93">
      <c r="A1397" s="10"/>
      <c r="B1397" s="10"/>
      <c r="C1397" s="21" t="s">
        <v>243</v>
      </c>
      <c r="D1397" s="10"/>
      <c r="E1397" s="62"/>
      <c r="F1397" s="10"/>
      <c r="G1397" s="134" t="str">
        <f>Monetary_Unit</f>
        <v>тыс. руб.</v>
      </c>
      <c r="H1397" s="10"/>
      <c r="I1397" s="10"/>
      <c r="J1397" s="10"/>
      <c r="K1397" s="10"/>
      <c r="L1397" s="52">
        <f ca="1">ROUND(Отчетность!L25,0)*Flag_Forecast</f>
        <v>20493</v>
      </c>
      <c r="M1397" s="52">
        <f ca="1">ROUND(Отчетность!M25,0)*Flag_Forecast</f>
        <v>41824</v>
      </c>
      <c r="N1397" s="52">
        <f ca="1">ROUND(Отчетность!N25,0)*Flag_Forecast</f>
        <v>64045</v>
      </c>
      <c r="O1397" s="52">
        <f ca="1">ROUND(Отчетность!O25,0)*Flag_Forecast</f>
        <v>87190</v>
      </c>
      <c r="P1397" s="52">
        <f ca="1">ROUND(Отчетность!P25,0)*Flag_Forecast</f>
        <v>268240</v>
      </c>
      <c r="Q1397" s="52">
        <f ca="1">ROUND(Отчетность!Q25,0)*Flag_Forecast</f>
        <v>454779</v>
      </c>
      <c r="R1397" s="52">
        <f ca="1">ROUND(Отчетность!R25,0)*Flag_Forecast</f>
        <v>647090</v>
      </c>
      <c r="S1397" s="52">
        <f ca="1">ROUND(Отчетность!S25,0)*Flag_Forecast</f>
        <v>845308</v>
      </c>
      <c r="T1397" s="52">
        <f ca="1">ROUND(Отчетность!T25,0)*Flag_Forecast</f>
        <v>991200</v>
      </c>
      <c r="U1397" s="52">
        <f ca="1">ROUND(Отчетность!U25,0)*Flag_Forecast</f>
        <v>1012973</v>
      </c>
      <c r="V1397" s="52">
        <f ca="1">ROUND(Отчетность!V25,0)*Flag_Forecast</f>
        <v>1038157</v>
      </c>
      <c r="W1397" s="52">
        <f ca="1">ROUND(Отчетность!W25,0)*Flag_Forecast</f>
        <v>1066611</v>
      </c>
      <c r="X1397" s="52">
        <f ca="1">ROUND(Отчетность!X25,0)*Flag_Forecast</f>
        <v>1099217</v>
      </c>
      <c r="Y1397" s="52">
        <f ca="1">ROUND(Отчетность!Y25,0)*Flag_Forecast</f>
        <v>1137568</v>
      </c>
      <c r="Z1397" s="52">
        <f ca="1">ROUND(Отчетность!Z25,0)*Flag_Forecast</f>
        <v>1182312</v>
      </c>
      <c r="AA1397" s="52">
        <f ca="1">ROUND(Отчетность!AA25,0)*Flag_Forecast</f>
        <v>1233205</v>
      </c>
      <c r="AB1397" s="52">
        <f ca="1">ROUND(Отчетность!AB25,0)*Flag_Forecast</f>
        <v>1291242</v>
      </c>
      <c r="AC1397" s="52">
        <f ca="1">ROUND(Отчетность!AC25,0)*Flag_Forecast</f>
        <v>1244703</v>
      </c>
      <c r="AD1397" s="52">
        <f ca="1">ROUND(Отчетность!AD25,0)*Flag_Forecast</f>
        <v>1383267</v>
      </c>
      <c r="AE1397" s="52">
        <f ca="1">ROUND(Отчетность!AE25,0)*Flag_Forecast</f>
        <v>1366265</v>
      </c>
      <c r="AF1397" s="52">
        <f ca="1">ROUND(Отчетность!AF25,0)*Flag_Forecast</f>
        <v>1354620</v>
      </c>
      <c r="AG1397" s="52">
        <f ca="1">ROUND(Отчетность!AG25,0)*Flag_Forecast</f>
        <v>1415440</v>
      </c>
      <c r="AH1397" s="52">
        <f ca="1">ROUND(Отчетность!AH25,0)*Flag_Forecast</f>
        <v>1616063</v>
      </c>
      <c r="AI1397" s="52">
        <f ca="1">ROUND(Отчетность!AI25,0)*Flag_Forecast</f>
        <v>1614146</v>
      </c>
      <c r="AJ1397" s="52">
        <f ca="1">ROUND(Отчетность!AJ25,0)*Flag_Forecast</f>
        <v>1618218</v>
      </c>
      <c r="AK1397" s="52">
        <f ca="1">ROUND(Отчетность!AK25,0)*Flag_Forecast</f>
        <v>1705870</v>
      </c>
      <c r="AL1397" s="52">
        <f ca="1">ROUND(Отчетность!AL25,0)*Flag_Forecast</f>
        <v>1954105</v>
      </c>
      <c r="AM1397" s="52">
        <f ca="1">ROUND(Отчетность!AM25,0)*Flag_Forecast</f>
        <v>1969374</v>
      </c>
      <c r="AN1397" s="52">
        <f ca="1">ROUND(Отчетность!AN25,0)*Flag_Forecast</f>
        <v>1992140</v>
      </c>
      <c r="AO1397" s="52">
        <f ca="1">ROUND(Отчетность!AO25,0)*Flag_Forecast</f>
        <v>2109607</v>
      </c>
      <c r="AP1397" s="52">
        <f ca="1">ROUND(Отчетность!AP25,0)*Flag_Forecast</f>
        <v>2401600</v>
      </c>
      <c r="AQ1397" s="52">
        <f ca="1">ROUND(Отчетность!AQ25,0)*Flag_Forecast</f>
        <v>2431434</v>
      </c>
      <c r="AR1397" s="52">
        <f ca="1">ROUND(Отчетность!AR25,0)*Flag_Forecast</f>
        <v>2466398</v>
      </c>
      <c r="AS1397" s="52">
        <f ca="1">ROUND(Отчетность!AS25,0)*Flag_Forecast</f>
        <v>2598366</v>
      </c>
      <c r="AT1397" s="52">
        <f ca="1">ROUND(Отчетность!AT25,0)*Flag_Forecast</f>
        <v>2863045</v>
      </c>
      <c r="AU1397" s="52">
        <f ca="1">ROUND(Отчетность!AU25,0)*Flag_Forecast</f>
        <v>2675390</v>
      </c>
      <c r="AV1397" s="52">
        <f ca="1">ROUND(Отчетность!AV25,0)*Flag_Forecast</f>
        <v>2594974</v>
      </c>
      <c r="AW1397" s="52">
        <f ca="1">ROUND(Отчетность!AW25,0)*Flag_Forecast</f>
        <v>2522351</v>
      </c>
      <c r="AX1397" s="52">
        <f ca="1">ROUND(Отчетность!AX25,0)*Flag_Forecast</f>
        <v>2506867</v>
      </c>
      <c r="AY1397" s="52">
        <f ca="1">ROUND(Отчетность!AY25,0)*Flag_Forecast</f>
        <v>2400875</v>
      </c>
      <c r="AZ1397" s="52">
        <f ca="1">ROUND(Отчетность!AZ25,0)*Flag_Forecast</f>
        <v>2351280</v>
      </c>
      <c r="BA1397" s="52">
        <f ca="1">ROUND(Отчетность!BA25,0)*Flag_Forecast</f>
        <v>2326817</v>
      </c>
      <c r="BB1397" s="52">
        <f ca="1">ROUND(Отчетность!BB25,0)*Flag_Forecast</f>
        <v>2323088</v>
      </c>
      <c r="BC1397" s="52">
        <f ca="1">ROUND(Отчетность!BC25,0)*Flag_Forecast</f>
        <v>2214731</v>
      </c>
      <c r="BD1397" s="52">
        <f ca="1">ROUND(Отчетность!BD25,0)*Flag_Forecast</f>
        <v>2164714</v>
      </c>
      <c r="BE1397" s="52">
        <f ca="1">ROUND(Отчетность!BE25,0)*Flag_Forecast</f>
        <v>2165139</v>
      </c>
      <c r="BF1397" s="52">
        <f ca="1">ROUND(Отчетность!BF25,0)*Flag_Forecast</f>
        <v>2186813</v>
      </c>
      <c r="BG1397" s="52">
        <f ca="1">ROUND(Отчетность!BG25,0)*Flag_Forecast</f>
        <v>2099676</v>
      </c>
      <c r="BH1397" s="52">
        <f ca="1">ROUND(Отчетность!BH25,0)*Flag_Forecast</f>
        <v>2073537</v>
      </c>
      <c r="BI1397" s="52">
        <f ca="1">ROUND(Отчетность!BI25,0)*Flag_Forecast</f>
        <v>2074581</v>
      </c>
      <c r="BJ1397" s="52">
        <f ca="1">ROUND(Отчетность!BJ25,0)*Flag_Forecast</f>
        <v>2098050</v>
      </c>
      <c r="BK1397" s="52">
        <f ca="1">ROUND(Отчетность!BK25,0)*Flag_Forecast</f>
        <v>2008355</v>
      </c>
      <c r="BL1397" s="52">
        <f ca="1">ROUND(Отчетность!BL25,0)*Flag_Forecast</f>
        <v>1982098</v>
      </c>
      <c r="BM1397" s="52">
        <f ca="1">ROUND(Отчетность!BM25,0)*Flag_Forecast</f>
        <v>1984111</v>
      </c>
      <c r="BN1397" s="52">
        <f ca="1">ROUND(Отчетность!BN25,0)*Flag_Forecast</f>
        <v>2009447</v>
      </c>
      <c r="BO1397" s="52">
        <f ca="1">ROUND(Отчетность!BO25,0)*Flag_Forecast</f>
        <v>1917091</v>
      </c>
      <c r="BP1397" s="52">
        <f ca="1">ROUND(Отчетность!BP25,0)*Flag_Forecast</f>
        <v>1890712</v>
      </c>
      <c r="BQ1397" s="52">
        <f ca="1">ROUND(Отчетность!BQ25,0)*Flag_Forecast</f>
        <v>1893733</v>
      </c>
      <c r="BR1397" s="52">
        <f ca="1">ROUND(Отчетность!BR25,0)*Flag_Forecast</f>
        <v>1921010</v>
      </c>
      <c r="BS1397" s="52">
        <f ca="1">ROUND(Отчетность!BS25,0)*Flag_Forecast</f>
        <v>1825887</v>
      </c>
      <c r="BT1397" s="52">
        <f ca="1">ROUND(Отчетность!BT25,0)*Flag_Forecast</f>
        <v>1799015</v>
      </c>
      <c r="BU1397" s="52">
        <f ca="1">ROUND(Отчетность!BU25,0)*Flag_Forecast</f>
        <v>1803450</v>
      </c>
      <c r="BV1397" s="52">
        <f ca="1">ROUND(Отчетность!BV25,0)*Flag_Forecast</f>
        <v>1832746</v>
      </c>
      <c r="BW1397" s="52">
        <f ca="1">ROUND(Отчетность!BW25,0)*Flag_Forecast</f>
        <v>1734746</v>
      </c>
      <c r="BX1397" s="52">
        <f ca="1">ROUND(Отчетность!BX25,0)*Flag_Forecast</f>
        <v>1708106</v>
      </c>
      <c r="BY1397" s="52">
        <f ca="1">ROUND(Отчетность!BY25,0)*Flag_Forecast</f>
        <v>1713266</v>
      </c>
      <c r="BZ1397" s="52">
        <f ca="1">ROUND(Отчетность!BZ25,0)*Flag_Forecast</f>
        <v>1744661</v>
      </c>
      <c r="CA1397" s="52">
        <f ca="1">ROUND(Отчетность!CA25,0)*Flag_Forecast</f>
        <v>1643668</v>
      </c>
      <c r="CB1397" s="52">
        <f ca="1">ROUND(Отчетность!CB25,0)*Flag_Forecast</f>
        <v>1616891</v>
      </c>
      <c r="CC1397" s="52">
        <f ca="1">ROUND(Отчетность!CC25,0)*Flag_Forecast</f>
        <v>1623185</v>
      </c>
      <c r="CD1397" s="52">
        <f ca="1">ROUND(Отчетность!CD25,0)*Flag_Forecast</f>
        <v>1656763</v>
      </c>
      <c r="CE1397" s="52">
        <f ca="1">ROUND(Отчетность!CE25,0)*Flag_Forecast</f>
        <v>1552658</v>
      </c>
      <c r="CF1397" s="52">
        <f ca="1">ROUND(Отчетность!CF25,0)*Flag_Forecast</f>
        <v>1525737</v>
      </c>
      <c r="CG1397" s="52">
        <f ca="1">ROUND(Отчетность!CG25,0)*Flag_Forecast</f>
        <v>1533211</v>
      </c>
      <c r="CH1397" s="52">
        <f ca="1">ROUND(Отчетность!CH25,0)*Flag_Forecast</f>
        <v>1569059</v>
      </c>
      <c r="CI1397" s="52">
        <f ca="1">ROUND(Отчетность!CI25,0)*Flag_Forecast</f>
        <v>1461718</v>
      </c>
      <c r="CJ1397" s="52">
        <f ca="1">ROUND(Отчетность!CJ25,0)*Flag_Forecast</f>
        <v>1434220</v>
      </c>
      <c r="CK1397" s="52">
        <f ca="1">ROUND(Отчетность!CK25,0)*Flag_Forecast</f>
        <v>1443347</v>
      </c>
      <c r="CL1397" s="52">
        <f ca="1">ROUND(Отчетность!CL25,0)*Flag_Forecast</f>
        <v>1481558</v>
      </c>
      <c r="CM1397" s="52">
        <f ca="1">ROUND(Отчетность!CM25,0)*Flag_Forecast</f>
        <v>1370850</v>
      </c>
      <c r="CN1397" s="52">
        <f ca="1">ROUND(Отчетность!CN25,0)*Flag_Forecast</f>
        <v>1343624</v>
      </c>
      <c r="CO1397" s="52">
        <f ca="1">ROUND(Отчетность!CO25,0)*Flag_Forecast</f>
        <v>1353600</v>
      </c>
    </row>
    <row r="1398" spans="1:93">
      <c r="A1398" s="10"/>
      <c r="B1398" s="10"/>
      <c r="C1398" s="21" t="s">
        <v>244</v>
      </c>
      <c r="D1398" s="10"/>
      <c r="E1398" s="62"/>
      <c r="F1398" s="10"/>
      <c r="G1398" s="134" t="str">
        <f>Monetary_Unit</f>
        <v>тыс. руб.</v>
      </c>
      <c r="H1398" s="10"/>
      <c r="I1398" s="10"/>
      <c r="J1398" s="10"/>
      <c r="K1398" s="10"/>
      <c r="L1398" s="52">
        <f ca="1">ROUND(Отчетность!L25+Отчетность!L30,0)*Flag_Forecast</f>
        <v>20493</v>
      </c>
      <c r="M1398" s="52">
        <f ca="1">ROUND(Отчетность!M25+Отчетность!M30,0)*Flag_Forecast</f>
        <v>41824</v>
      </c>
      <c r="N1398" s="52">
        <f ca="1">ROUND(Отчетность!N25+Отчетность!N30,0)*Flag_Forecast</f>
        <v>64045</v>
      </c>
      <c r="O1398" s="52">
        <f ca="1">ROUND(Отчетность!O25+Отчетность!O30,0)*Flag_Forecast</f>
        <v>87190</v>
      </c>
      <c r="P1398" s="52">
        <f ca="1">ROUND(Отчетность!P25+Отчетность!P30,0)*Flag_Forecast</f>
        <v>268240</v>
      </c>
      <c r="Q1398" s="52">
        <f ca="1">ROUND(Отчетность!Q25+Отчетность!Q30,0)*Flag_Forecast</f>
        <v>454779</v>
      </c>
      <c r="R1398" s="52">
        <f ca="1">ROUND(Отчетность!R25+Отчетность!R30,0)*Flag_Forecast</f>
        <v>647090</v>
      </c>
      <c r="S1398" s="52">
        <f ca="1">ROUND(Отчетность!S25+Отчетность!S30,0)*Flag_Forecast</f>
        <v>845308</v>
      </c>
      <c r="T1398" s="52">
        <f ca="1">ROUND(Отчетность!T25+Отчетность!T30,0)*Flag_Forecast</f>
        <v>1046126</v>
      </c>
      <c r="U1398" s="52">
        <f ca="1">ROUND(Отчетность!U25+Отчетность!U30,0)*Flag_Forecast</f>
        <v>1254308</v>
      </c>
      <c r="V1398" s="52">
        <f ca="1">ROUND(Отчетность!V25+Отчетность!V30,0)*Flag_Forecast</f>
        <v>1467737</v>
      </c>
      <c r="W1398" s="52">
        <f ca="1">ROUND(Отчетность!W25+Отчетность!W30,0)*Flag_Forecast</f>
        <v>1686292</v>
      </c>
      <c r="X1398" s="52">
        <f ca="1">ROUND(Отчетность!X25+Отчетность!X30,0)*Flag_Forecast</f>
        <v>2086473</v>
      </c>
      <c r="Y1398" s="52">
        <f ca="1">ROUND(Отчетность!Y25+Отчетность!Y30,0)*Flag_Forecast</f>
        <v>2496022</v>
      </c>
      <c r="Z1398" s="52">
        <f ca="1">ROUND(Отчетность!Z25+Отчетность!Z30,0)*Flag_Forecast</f>
        <v>2915621</v>
      </c>
      <c r="AA1398" s="52">
        <f ca="1">ROUND(Отчетность!AA25+Отчетность!AA30,0)*Flag_Forecast</f>
        <v>3345063</v>
      </c>
      <c r="AB1398" s="52">
        <f ca="1">ROUND(Отчетность!AB25+Отчетность!AB30,0)*Flag_Forecast</f>
        <v>4063130</v>
      </c>
      <c r="AC1398" s="52">
        <f ca="1">ROUND(Отчетность!AC25+Отчетность!AC30,0)*Flag_Forecast</f>
        <v>3589660</v>
      </c>
      <c r="AD1398" s="52">
        <f ca="1">ROUND(Отчетность!AD25+Отчетность!AD30,0)*Flag_Forecast</f>
        <v>3520037</v>
      </c>
      <c r="AE1398" s="52">
        <f ca="1">ROUND(Отчетность!AE25+Отчетность!AE30,0)*Flag_Forecast</f>
        <v>3384259</v>
      </c>
      <c r="AF1398" s="52">
        <f ca="1">ROUND(Отчетность!AF25+Отчетность!AF30,0)*Flag_Forecast</f>
        <v>3317214</v>
      </c>
      <c r="AG1398" s="52">
        <f ca="1">ROUND(Отчетность!AG25+Отчетность!AG30,0)*Flag_Forecast</f>
        <v>3312551</v>
      </c>
      <c r="AH1398" s="52">
        <f ca="1">ROUND(Отчетность!AH25+Отчетность!AH30,0)*Flag_Forecast</f>
        <v>3359958</v>
      </c>
      <c r="AI1398" s="52">
        <f ca="1">ROUND(Отчетность!AI25+Отчетность!AI30,0)*Flag_Forecast</f>
        <v>3209472</v>
      </c>
      <c r="AJ1398" s="52">
        <f ca="1">ROUND(Отчетность!AJ25+Отчетность!AJ30,0)*Flag_Forecast</f>
        <v>3138963</v>
      </c>
      <c r="AK1398" s="52">
        <f ca="1">ROUND(Отчетность!AK25+Отчетность!AK30,0)*Flag_Forecast</f>
        <v>3140557</v>
      </c>
      <c r="AL1398" s="52">
        <f ca="1">ROUND(Отчетность!AL25+Отчетность!AL30,0)*Flag_Forecast</f>
        <v>3201801</v>
      </c>
      <c r="AM1398" s="52">
        <f ca="1">ROUND(Отчетность!AM25+Отчетность!AM30,0)*Flag_Forecast</f>
        <v>3035573</v>
      </c>
      <c r="AN1398" s="52">
        <f ca="1">ROUND(Отчетность!AN25+Отчетность!AN30,0)*Flag_Forecast</f>
        <v>2961456</v>
      </c>
      <c r="AO1398" s="52">
        <f ca="1">ROUND(Отчетность!AO25+Отчетность!AO30,0)*Flag_Forecast</f>
        <v>2969740</v>
      </c>
      <c r="AP1398" s="52">
        <f ca="1">ROUND(Отчетность!AP25+Отчетность!AP30,0)*Flag_Forecast</f>
        <v>3040478</v>
      </c>
      <c r="AQ1398" s="52">
        <f ca="1">ROUND(Отчетность!AQ25+Отчетность!AQ30,0)*Flag_Forecast</f>
        <v>2858237</v>
      </c>
      <c r="AR1398" s="52">
        <f ca="1">ROUND(Отчетность!AR25+Отчетность!AR30,0)*Flag_Forecast</f>
        <v>2779112</v>
      </c>
      <c r="AS1398" s="52">
        <f ca="1">ROUND(Отчетность!AS25+Отчетность!AS30,0)*Flag_Forecast</f>
        <v>2787713</v>
      </c>
      <c r="AT1398" s="52">
        <f ca="1">ROUND(Отчетность!AT25+Отчетность!AT30,0)*Flag_Forecast</f>
        <v>2863045</v>
      </c>
      <c r="AU1398" s="52">
        <f ca="1">ROUND(Отчетность!AU25+Отчетность!AU30,0)*Flag_Forecast</f>
        <v>2675390</v>
      </c>
      <c r="AV1398" s="52">
        <f ca="1">ROUND(Отчетность!AV25+Отчетность!AV30,0)*Flag_Forecast</f>
        <v>2594974</v>
      </c>
      <c r="AW1398" s="52">
        <f ca="1">ROUND(Отчетность!AW25+Отчетность!AW30,0)*Flag_Forecast</f>
        <v>2522351</v>
      </c>
      <c r="AX1398" s="52">
        <f ca="1">ROUND(Отчетность!AX25+Отчетность!AX30,0)*Flag_Forecast</f>
        <v>2506867</v>
      </c>
      <c r="AY1398" s="52">
        <f ca="1">ROUND(Отчетность!AY25+Отчетность!AY30,0)*Flag_Forecast</f>
        <v>2400875</v>
      </c>
      <c r="AZ1398" s="52">
        <f ca="1">ROUND(Отчетность!AZ25+Отчетность!AZ30,0)*Flag_Forecast</f>
        <v>2351280</v>
      </c>
      <c r="BA1398" s="52">
        <f ca="1">ROUND(Отчетность!BA25+Отчетность!BA30,0)*Flag_Forecast</f>
        <v>2326817</v>
      </c>
      <c r="BB1398" s="52">
        <f ca="1">ROUND(Отчетность!BB25+Отчетность!BB30,0)*Flag_Forecast</f>
        <v>2323088</v>
      </c>
      <c r="BC1398" s="52">
        <f ca="1">ROUND(Отчетность!BC25+Отчетность!BC30,0)*Flag_Forecast</f>
        <v>2214731</v>
      </c>
      <c r="BD1398" s="52">
        <f ca="1">ROUND(Отчетность!BD25+Отчетность!BD30,0)*Flag_Forecast</f>
        <v>2164714</v>
      </c>
      <c r="BE1398" s="52">
        <f ca="1">ROUND(Отчетность!BE25+Отчетность!BE30,0)*Flag_Forecast</f>
        <v>2165139</v>
      </c>
      <c r="BF1398" s="52">
        <f ca="1">ROUND(Отчетность!BF25+Отчетность!BF30,0)*Flag_Forecast</f>
        <v>2186813</v>
      </c>
      <c r="BG1398" s="52">
        <f ca="1">ROUND(Отчетность!BG25+Отчетность!BG30,0)*Flag_Forecast</f>
        <v>2099676</v>
      </c>
      <c r="BH1398" s="52">
        <f ca="1">ROUND(Отчетность!BH25+Отчетность!BH30,0)*Flag_Forecast</f>
        <v>2073537</v>
      </c>
      <c r="BI1398" s="52">
        <f ca="1">ROUND(Отчетность!BI25+Отчетность!BI30,0)*Flag_Forecast</f>
        <v>2074581</v>
      </c>
      <c r="BJ1398" s="52">
        <f ca="1">ROUND(Отчетность!BJ25+Отчетность!BJ30,0)*Flag_Forecast</f>
        <v>2098050</v>
      </c>
      <c r="BK1398" s="52">
        <f ca="1">ROUND(Отчетность!BK25+Отчетность!BK30,0)*Flag_Forecast</f>
        <v>2008355</v>
      </c>
      <c r="BL1398" s="52">
        <f ca="1">ROUND(Отчетность!BL25+Отчетность!BL30,0)*Flag_Forecast</f>
        <v>1982098</v>
      </c>
      <c r="BM1398" s="52">
        <f ca="1">ROUND(Отчетность!BM25+Отчетность!BM30,0)*Flag_Forecast</f>
        <v>1984111</v>
      </c>
      <c r="BN1398" s="52">
        <f ca="1">ROUND(Отчетность!BN25+Отчетность!BN30,0)*Flag_Forecast</f>
        <v>2009447</v>
      </c>
      <c r="BO1398" s="52">
        <f ca="1">ROUND(Отчетность!BO25+Отчетность!BO30,0)*Flag_Forecast</f>
        <v>1917091</v>
      </c>
      <c r="BP1398" s="52">
        <f ca="1">ROUND(Отчетность!BP25+Отчетность!BP30,0)*Flag_Forecast</f>
        <v>1890712</v>
      </c>
      <c r="BQ1398" s="52">
        <f ca="1">ROUND(Отчетность!BQ25+Отчетность!BQ30,0)*Flag_Forecast</f>
        <v>1893733</v>
      </c>
      <c r="BR1398" s="52">
        <f ca="1">ROUND(Отчетность!BR25+Отчетность!BR30,0)*Flag_Forecast</f>
        <v>1921010</v>
      </c>
      <c r="BS1398" s="52">
        <f ca="1">ROUND(Отчетность!BS25+Отчетность!BS30,0)*Flag_Forecast</f>
        <v>1825887</v>
      </c>
      <c r="BT1398" s="52">
        <f ca="1">ROUND(Отчетность!BT25+Отчетность!BT30,0)*Flag_Forecast</f>
        <v>1799015</v>
      </c>
      <c r="BU1398" s="52">
        <f ca="1">ROUND(Отчетность!BU25+Отчетность!BU30,0)*Flag_Forecast</f>
        <v>1803450</v>
      </c>
      <c r="BV1398" s="52">
        <f ca="1">ROUND(Отчетность!BV25+Отчетность!BV30,0)*Flag_Forecast</f>
        <v>1832746</v>
      </c>
      <c r="BW1398" s="52">
        <f ca="1">ROUND(Отчетность!BW25+Отчетность!BW30,0)*Flag_Forecast</f>
        <v>1734746</v>
      </c>
      <c r="BX1398" s="52">
        <f ca="1">ROUND(Отчетность!BX25+Отчетность!BX30,0)*Flag_Forecast</f>
        <v>1708106</v>
      </c>
      <c r="BY1398" s="52">
        <f ca="1">ROUND(Отчетность!BY25+Отчетность!BY30,0)*Flag_Forecast</f>
        <v>1713266</v>
      </c>
      <c r="BZ1398" s="52">
        <f ca="1">ROUND(Отчетность!BZ25+Отчетность!BZ30,0)*Flag_Forecast</f>
        <v>1744661</v>
      </c>
      <c r="CA1398" s="52">
        <f ca="1">ROUND(Отчетность!CA25+Отчетность!CA30,0)*Flag_Forecast</f>
        <v>1643668</v>
      </c>
      <c r="CB1398" s="52">
        <f ca="1">ROUND(Отчетность!CB25+Отчетность!CB30,0)*Flag_Forecast</f>
        <v>1616891</v>
      </c>
      <c r="CC1398" s="52">
        <f ca="1">ROUND(Отчетность!CC25+Отчетность!CC30,0)*Flag_Forecast</f>
        <v>1623185</v>
      </c>
      <c r="CD1398" s="52">
        <f ca="1">ROUND(Отчетность!CD25+Отчетность!CD30,0)*Flag_Forecast</f>
        <v>1656763</v>
      </c>
      <c r="CE1398" s="52">
        <f ca="1">ROUND(Отчетность!CE25+Отчетность!CE30,0)*Flag_Forecast</f>
        <v>1552658</v>
      </c>
      <c r="CF1398" s="52">
        <f ca="1">ROUND(Отчетность!CF25+Отчетность!CF30,0)*Flag_Forecast</f>
        <v>1525737</v>
      </c>
      <c r="CG1398" s="52">
        <f ca="1">ROUND(Отчетность!CG25+Отчетность!CG30,0)*Flag_Forecast</f>
        <v>1533211</v>
      </c>
      <c r="CH1398" s="52">
        <f ca="1">ROUND(Отчетность!CH25+Отчетность!CH30,0)*Flag_Forecast</f>
        <v>1569059</v>
      </c>
      <c r="CI1398" s="52">
        <f ca="1">ROUND(Отчетность!CI25+Отчетность!CI30,0)*Flag_Forecast</f>
        <v>1461718</v>
      </c>
      <c r="CJ1398" s="52">
        <f ca="1">ROUND(Отчетность!CJ25+Отчетность!CJ30,0)*Flag_Forecast</f>
        <v>1434220</v>
      </c>
      <c r="CK1398" s="52">
        <f ca="1">ROUND(Отчетность!CK25+Отчетность!CK30,0)*Flag_Forecast</f>
        <v>1443347</v>
      </c>
      <c r="CL1398" s="52">
        <f ca="1">ROUND(Отчетность!CL25+Отчетность!CL30,0)*Flag_Forecast</f>
        <v>1481558</v>
      </c>
      <c r="CM1398" s="52">
        <f ca="1">ROUND(Отчетность!CM25+Отчетность!CM30,0)*Flag_Forecast</f>
        <v>1370850</v>
      </c>
      <c r="CN1398" s="52">
        <f ca="1">ROUND(Отчетность!CN25+Отчетность!CN30,0)*Flag_Forecast</f>
        <v>1343624</v>
      </c>
      <c r="CO1398" s="52">
        <f ca="1">ROUND(Отчетность!CO25+Отчетность!CO30,0)*Flag_Forecast</f>
        <v>1353600</v>
      </c>
    </row>
    <row r="1399" spans="1:93">
      <c r="A1399" s="10"/>
      <c r="B1399" s="10"/>
      <c r="C1399" s="22"/>
      <c r="D1399" s="10"/>
      <c r="E1399" s="62"/>
      <c r="F1399" s="10"/>
      <c r="G1399" s="11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0"/>
      <c r="AH1399" s="10"/>
      <c r="AI1399" s="10"/>
      <c r="AJ1399" s="10"/>
      <c r="AK1399" s="10"/>
      <c r="AL1399" s="10"/>
      <c r="AM1399" s="10"/>
      <c r="AN1399" s="10"/>
      <c r="AO1399" s="10"/>
      <c r="AP1399" s="10"/>
      <c r="AQ1399" s="10"/>
      <c r="AR1399" s="10"/>
      <c r="AS1399" s="10"/>
      <c r="AT1399" s="10"/>
      <c r="AU1399" s="10"/>
      <c r="AV1399" s="10"/>
      <c r="AW1399" s="10"/>
      <c r="AX1399" s="10"/>
      <c r="AY1399" s="10"/>
      <c r="AZ1399" s="10"/>
      <c r="BA1399" s="10"/>
      <c r="BB1399" s="10"/>
      <c r="BC1399" s="10"/>
      <c r="BD1399" s="10"/>
      <c r="BE1399" s="10"/>
      <c r="BF1399" s="10"/>
      <c r="BG1399" s="10"/>
      <c r="BH1399" s="10"/>
      <c r="BI1399" s="10"/>
      <c r="BJ1399" s="10"/>
      <c r="BK1399" s="10"/>
      <c r="BL1399" s="10"/>
      <c r="BM1399" s="10"/>
      <c r="BN1399" s="10"/>
      <c r="BO1399" s="10"/>
      <c r="BP1399" s="10"/>
      <c r="BQ1399" s="10"/>
      <c r="BR1399" s="10"/>
      <c r="BS1399" s="10"/>
      <c r="BT1399" s="10"/>
      <c r="BU1399" s="10"/>
      <c r="BV1399" s="10"/>
      <c r="BW1399" s="10"/>
      <c r="BX1399" s="10"/>
      <c r="BY1399" s="10"/>
      <c r="BZ1399" s="10"/>
      <c r="CA1399" s="10"/>
      <c r="CB1399" s="10"/>
      <c r="CC1399" s="10"/>
      <c r="CD1399" s="10"/>
      <c r="CE1399" s="10"/>
      <c r="CF1399" s="10"/>
      <c r="CG1399" s="10"/>
      <c r="CH1399" s="10"/>
      <c r="CI1399" s="10"/>
      <c r="CJ1399" s="10"/>
      <c r="CK1399" s="10"/>
      <c r="CL1399" s="10"/>
      <c r="CM1399" s="10"/>
      <c r="CN1399" s="10"/>
      <c r="CO1399" s="10"/>
    </row>
    <row r="1400" spans="1:93" ht="22.5" customHeight="1">
      <c r="A1400" s="10"/>
      <c r="B1400" s="5" t="s">
        <v>559</v>
      </c>
      <c r="C1400" s="5"/>
      <c r="D1400" s="15"/>
      <c r="E1400" s="5"/>
      <c r="F1400" s="5"/>
      <c r="G1400" s="6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5"/>
      <c r="BP1400" s="5"/>
      <c r="BQ1400" s="5"/>
      <c r="BR1400" s="5"/>
      <c r="BS1400" s="5"/>
      <c r="BT1400" s="5"/>
      <c r="BU1400" s="5"/>
      <c r="BV1400" s="5"/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</row>
    <row r="1401" spans="1:93">
      <c r="A1401" s="10"/>
      <c r="B1401" s="10"/>
      <c r="C1401" s="10"/>
      <c r="D1401" s="10"/>
      <c r="E1401" s="10"/>
      <c r="F1401" s="10"/>
      <c r="G1401" s="11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0"/>
      <c r="AH1401" s="10"/>
      <c r="AI1401" s="10"/>
      <c r="AJ1401" s="10"/>
      <c r="AK1401" s="10"/>
      <c r="AL1401" s="10"/>
      <c r="AM1401" s="10"/>
      <c r="AN1401" s="10"/>
      <c r="AO1401" s="10"/>
      <c r="AP1401" s="10"/>
      <c r="AQ1401" s="10"/>
      <c r="AR1401" s="10"/>
      <c r="AS1401" s="10"/>
      <c r="AT1401" s="10"/>
      <c r="AU1401" s="10"/>
      <c r="AV1401" s="10"/>
      <c r="AW1401" s="10"/>
      <c r="AX1401" s="10"/>
      <c r="AY1401" s="10"/>
      <c r="AZ1401" s="10"/>
      <c r="BA1401" s="10"/>
      <c r="BB1401" s="10"/>
      <c r="BC1401" s="10"/>
      <c r="BD1401" s="10"/>
      <c r="BE1401" s="10"/>
      <c r="BF1401" s="10"/>
      <c r="BG1401" s="10"/>
      <c r="BH1401" s="10"/>
      <c r="BI1401" s="10"/>
      <c r="BJ1401" s="10"/>
      <c r="BK1401" s="10"/>
      <c r="BL1401" s="10"/>
      <c r="BM1401" s="10"/>
      <c r="BN1401" s="10"/>
      <c r="BO1401" s="10"/>
      <c r="BP1401" s="10"/>
      <c r="BQ1401" s="10"/>
      <c r="BR1401" s="10"/>
      <c r="BS1401" s="10"/>
      <c r="BT1401" s="10"/>
      <c r="BU1401" s="10"/>
      <c r="BV1401" s="10"/>
      <c r="BW1401" s="10"/>
      <c r="BX1401" s="10"/>
      <c r="BY1401" s="10"/>
      <c r="BZ1401" s="10"/>
      <c r="CA1401" s="10"/>
      <c r="CB1401" s="10"/>
      <c r="CC1401" s="10"/>
      <c r="CD1401" s="10"/>
      <c r="CE1401" s="10"/>
      <c r="CF1401" s="10"/>
      <c r="CG1401" s="10"/>
      <c r="CH1401" s="10"/>
      <c r="CI1401" s="10"/>
      <c r="CJ1401" s="10"/>
      <c r="CK1401" s="10"/>
      <c r="CL1401" s="10"/>
      <c r="CM1401" s="10"/>
      <c r="CN1401" s="10"/>
      <c r="CO1401" s="10"/>
    </row>
    <row r="1402" spans="1:93">
      <c r="A1402" s="10"/>
      <c r="B1402" s="10"/>
      <c r="C1402" s="198" t="s">
        <v>245</v>
      </c>
      <c r="D1402" s="10"/>
      <c r="E1402" s="10"/>
      <c r="F1402" s="10"/>
      <c r="G1402" s="11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0"/>
      <c r="AH1402" s="10"/>
      <c r="AI1402" s="10"/>
      <c r="AJ1402" s="10"/>
      <c r="AK1402" s="10"/>
      <c r="AL1402" s="10"/>
      <c r="AM1402" s="10"/>
      <c r="AN1402" s="10"/>
      <c r="AO1402" s="10"/>
      <c r="AP1402" s="10"/>
      <c r="AQ1402" s="10"/>
      <c r="AR1402" s="10"/>
      <c r="AS1402" s="10"/>
      <c r="AT1402" s="10"/>
      <c r="AU1402" s="10"/>
      <c r="AV1402" s="10"/>
      <c r="AW1402" s="10"/>
      <c r="AX1402" s="10"/>
      <c r="AY1402" s="10"/>
      <c r="AZ1402" s="10"/>
      <c r="BA1402" s="10"/>
      <c r="BB1402" s="10"/>
      <c r="BC1402" s="10"/>
      <c r="BD1402" s="10"/>
      <c r="BE1402" s="10"/>
      <c r="BF1402" s="10"/>
      <c r="BG1402" s="10"/>
      <c r="BH1402" s="10"/>
      <c r="BI1402" s="10"/>
      <c r="BJ1402" s="10"/>
      <c r="BK1402" s="10"/>
      <c r="BL1402" s="10"/>
      <c r="BM1402" s="10"/>
      <c r="BN1402" s="10"/>
      <c r="BO1402" s="10"/>
      <c r="BP1402" s="10"/>
      <c r="BQ1402" s="10"/>
      <c r="BR1402" s="10"/>
      <c r="BS1402" s="10"/>
      <c r="BT1402" s="10"/>
      <c r="BU1402" s="10"/>
      <c r="BV1402" s="10"/>
      <c r="BW1402" s="10"/>
      <c r="BX1402" s="10"/>
      <c r="BY1402" s="10"/>
      <c r="BZ1402" s="10"/>
      <c r="CA1402" s="10"/>
      <c r="CB1402" s="10"/>
      <c r="CC1402" s="10"/>
      <c r="CD1402" s="10"/>
      <c r="CE1402" s="10"/>
      <c r="CF1402" s="10"/>
      <c r="CG1402" s="10"/>
      <c r="CH1402" s="10"/>
      <c r="CI1402" s="10"/>
      <c r="CJ1402" s="10"/>
      <c r="CK1402" s="10"/>
      <c r="CL1402" s="10"/>
      <c r="CM1402" s="10"/>
      <c r="CN1402" s="10"/>
      <c r="CO1402" s="10"/>
    </row>
    <row r="1403" spans="1:93">
      <c r="A1403" s="10"/>
      <c r="B1403" s="10"/>
      <c r="C1403" s="17" t="s">
        <v>185</v>
      </c>
      <c r="D1403" s="10"/>
      <c r="E1403" s="10"/>
      <c r="F1403" s="10"/>
      <c r="G1403" s="11" t="str">
        <f>Monetary_Unit</f>
        <v>тыс. руб.</v>
      </c>
      <c r="H1403" s="10"/>
      <c r="I1403" s="10"/>
      <c r="J1403" s="10"/>
      <c r="K1403" s="10"/>
      <c r="L1403" s="450">
        <f t="shared" ref="L1403:AQ1403" ca="1" si="1661">(CFADS+Subord_Drawdown+IF($E$1117="да",Cash_BoP,0))*Flag_Operations</f>
        <v>0</v>
      </c>
      <c r="M1403" s="450">
        <f t="shared" ca="1" si="1661"/>
        <v>0</v>
      </c>
      <c r="N1403" s="450">
        <f t="shared" ca="1" si="1661"/>
        <v>0</v>
      </c>
      <c r="O1403" s="450">
        <f t="shared" ca="1" si="1661"/>
        <v>0</v>
      </c>
      <c r="P1403" s="450">
        <f t="shared" ca="1" si="1661"/>
        <v>0</v>
      </c>
      <c r="Q1403" s="450">
        <f t="shared" ca="1" si="1661"/>
        <v>0</v>
      </c>
      <c r="R1403" s="450">
        <f t="shared" ca="1" si="1661"/>
        <v>0</v>
      </c>
      <c r="S1403" s="450">
        <f t="shared" ca="1" si="1661"/>
        <v>0</v>
      </c>
      <c r="T1403" s="450">
        <f t="shared" ca="1" si="1661"/>
        <v>0</v>
      </c>
      <c r="U1403" s="450">
        <f t="shared" ca="1" si="1661"/>
        <v>0</v>
      </c>
      <c r="V1403" s="450">
        <f t="shared" ca="1" si="1661"/>
        <v>0</v>
      </c>
      <c r="W1403" s="450">
        <f t="shared" ca="1" si="1661"/>
        <v>0</v>
      </c>
      <c r="X1403" s="450">
        <f t="shared" ca="1" si="1661"/>
        <v>0</v>
      </c>
      <c r="Y1403" s="450">
        <f t="shared" ca="1" si="1661"/>
        <v>0</v>
      </c>
      <c r="Z1403" s="450">
        <f t="shared" ca="1" si="1661"/>
        <v>0</v>
      </c>
      <c r="AA1403" s="450">
        <f t="shared" ca="1" si="1661"/>
        <v>0</v>
      </c>
      <c r="AB1403" s="450">
        <f t="shared" ca="1" si="1661"/>
        <v>0</v>
      </c>
      <c r="AC1403" s="450">
        <f t="shared" ca="1" si="1661"/>
        <v>558342.85122100485</v>
      </c>
      <c r="AD1403" s="450">
        <f t="shared" ca="1" si="1661"/>
        <v>289189.50592141412</v>
      </c>
      <c r="AE1403" s="450">
        <f t="shared" ca="1" si="1661"/>
        <v>178400.7977982692</v>
      </c>
      <c r="AF1403" s="450">
        <f t="shared" ca="1" si="1661"/>
        <v>99618.407635534517</v>
      </c>
      <c r="AG1403" s="450">
        <f t="shared" ca="1" si="1661"/>
        <v>111168.99092974691</v>
      </c>
      <c r="AH1403" s="450">
        <f t="shared" ca="1" si="1661"/>
        <v>215705.23197904491</v>
      </c>
      <c r="AI1403" s="450">
        <f t="shared" ca="1" si="1661"/>
        <v>207557.0650137279</v>
      </c>
      <c r="AJ1403" s="450">
        <f t="shared" ca="1" si="1661"/>
        <v>115695.29334696298</v>
      </c>
      <c r="AK1403" s="450">
        <f t="shared" ca="1" si="1661"/>
        <v>128520.73850483312</v>
      </c>
      <c r="AL1403" s="450">
        <f t="shared" ca="1" si="1661"/>
        <v>248472.47392896833</v>
      </c>
      <c r="AM1403" s="450">
        <f t="shared" ca="1" si="1661"/>
        <v>238742.10118499468</v>
      </c>
      <c r="AN1403" s="450">
        <f t="shared" ca="1" si="1661"/>
        <v>133914.39531589366</v>
      </c>
      <c r="AO1403" s="450">
        <f t="shared" ca="1" si="1661"/>
        <v>147070.07063947435</v>
      </c>
      <c r="AP1403" s="450">
        <f t="shared" ca="1" si="1661"/>
        <v>279906.77715703257</v>
      </c>
      <c r="AQ1403" s="450">
        <f t="shared" ca="1" si="1661"/>
        <v>265184.36667378066</v>
      </c>
      <c r="AR1403" s="450">
        <f t="shared" ref="AR1403:BW1403" ca="1" si="1662">(CFADS+Subord_Drawdown+IF($E$1117="да",Cash_BoP,0))*Flag_Operations</f>
        <v>143916.30013033532</v>
      </c>
      <c r="AS1403" s="450">
        <f t="shared" ca="1" si="1662"/>
        <v>153232.15487123994</v>
      </c>
      <c r="AT1403" s="450">
        <f t="shared" ca="1" si="1662"/>
        <v>287531.21100539406</v>
      </c>
      <c r="AU1403" s="450">
        <f t="shared" ca="1" si="1662"/>
        <v>270711.13427012885</v>
      </c>
      <c r="AV1403" s="450">
        <f t="shared" ca="1" si="1662"/>
        <v>145517.46262419978</v>
      </c>
      <c r="AW1403" s="450">
        <f t="shared" ca="1" si="1662"/>
        <v>182387.59892833943</v>
      </c>
      <c r="AX1403" s="450">
        <f t="shared" ca="1" si="1662"/>
        <v>273026.89898316731</v>
      </c>
      <c r="AY1403" s="450">
        <f t="shared" ca="1" si="1662"/>
        <v>160610.09420331367</v>
      </c>
      <c r="AZ1403" s="450">
        <f t="shared" ca="1" si="1662"/>
        <v>90746.681474151221</v>
      </c>
      <c r="BA1403" s="450">
        <f t="shared" ca="1" si="1662"/>
        <v>140327.30961439823</v>
      </c>
      <c r="BB1403" s="450">
        <f t="shared" ca="1" si="1662"/>
        <v>273441.40717452572</v>
      </c>
      <c r="BC1403" s="450">
        <f t="shared" ca="1" si="1662"/>
        <v>167027.39986984793</v>
      </c>
      <c r="BD1403" s="450">
        <f t="shared" ca="1" si="1662"/>
        <v>95677.102949824461</v>
      </c>
      <c r="BE1403" s="450">
        <f t="shared" ca="1" si="1662"/>
        <v>144587.40117527739</v>
      </c>
      <c r="BF1403" s="450">
        <f t="shared" ca="1" si="1662"/>
        <v>283339.07755339477</v>
      </c>
      <c r="BG1403" s="450">
        <f t="shared" ca="1" si="1662"/>
        <v>172668.51570028992</v>
      </c>
      <c r="BH1403" s="450">
        <f t="shared" ca="1" si="1662"/>
        <v>97093.665388560941</v>
      </c>
      <c r="BI1403" s="450">
        <f t="shared" ca="1" si="1662"/>
        <v>150722.02899878885</v>
      </c>
      <c r="BJ1403" s="450">
        <f t="shared" ca="1" si="1662"/>
        <v>294700.16257395281</v>
      </c>
      <c r="BK1403" s="450">
        <f t="shared" ca="1" si="1662"/>
        <v>179602.77227321349</v>
      </c>
      <c r="BL1403" s="450">
        <f t="shared" ca="1" si="1662"/>
        <v>101010.04112024038</v>
      </c>
      <c r="BM1403" s="450">
        <f t="shared" ca="1" si="1662"/>
        <v>156784.45144098948</v>
      </c>
      <c r="BN1403" s="450">
        <f t="shared" ca="1" si="1662"/>
        <v>306522.65430726274</v>
      </c>
      <c r="BO1403" s="450">
        <f t="shared" ca="1" si="1662"/>
        <v>177777.08616391147</v>
      </c>
      <c r="BP1403" s="450">
        <f t="shared" ca="1" si="1662"/>
        <v>97479.370084233102</v>
      </c>
      <c r="BQ1403" s="450">
        <f t="shared" ca="1" si="1662"/>
        <v>147496.84938078091</v>
      </c>
      <c r="BR1403" s="450">
        <f t="shared" ca="1" si="1662"/>
        <v>278245.88708535011</v>
      </c>
      <c r="BS1403" s="450">
        <f t="shared" ca="1" si="1662"/>
        <v>176430.29235447777</v>
      </c>
      <c r="BT1403" s="450">
        <f t="shared" ca="1" si="1662"/>
        <v>94568.477972540364</v>
      </c>
      <c r="BU1403" s="450">
        <f t="shared" ca="1" si="1662"/>
        <v>144907.78111575436</v>
      </c>
      <c r="BV1403" s="450">
        <f t="shared" ca="1" si="1662"/>
        <v>290142.81625441811</v>
      </c>
      <c r="BW1403" s="450">
        <f t="shared" ca="1" si="1662"/>
        <v>184249.96053286913</v>
      </c>
      <c r="BX1403" s="450">
        <f t="shared" ref="BX1403:CO1403" ca="1" si="1663">(CFADS+Subord_Drawdown+IF($E$1117="да",Cash_BoP,0))*Flag_Operations</f>
        <v>97648.295518110244</v>
      </c>
      <c r="BY1403" s="450">
        <f t="shared" ca="1" si="1663"/>
        <v>151770.83585332031</v>
      </c>
      <c r="BZ1403" s="450">
        <f t="shared" ca="1" si="1663"/>
        <v>302440.46734145656</v>
      </c>
      <c r="CA1403" s="450">
        <f t="shared" ca="1" si="1663"/>
        <v>192307.85374290359</v>
      </c>
      <c r="CB1403" s="450">
        <f t="shared" ca="1" si="1663"/>
        <v>102248.94821865222</v>
      </c>
      <c r="CC1403" s="450">
        <f t="shared" ca="1" si="1663"/>
        <v>158541.06086534384</v>
      </c>
      <c r="CD1403" s="450">
        <f t="shared" ca="1" si="1663"/>
        <v>315242.0910079485</v>
      </c>
      <c r="CE1403" s="450">
        <f t="shared" ca="1" si="1663"/>
        <v>200699.82662151247</v>
      </c>
      <c r="CF1403" s="450">
        <f t="shared" ca="1" si="1663"/>
        <v>107016.58280527144</v>
      </c>
      <c r="CG1403" s="450">
        <f t="shared" ca="1" si="1663"/>
        <v>165564.89886920995</v>
      </c>
      <c r="CH1403" s="450">
        <f t="shared" ca="1" si="1663"/>
        <v>328538.39464533399</v>
      </c>
      <c r="CI1403" s="450">
        <f t="shared" ca="1" si="1663"/>
        <v>209410.09343949921</v>
      </c>
      <c r="CJ1403" s="450">
        <f t="shared" ca="1" si="1663"/>
        <v>113577.58786442541</v>
      </c>
      <c r="CK1403" s="450">
        <f t="shared" ca="1" si="1663"/>
        <v>172449.24687161582</v>
      </c>
      <c r="CL1403" s="450">
        <f t="shared" ca="1" si="1663"/>
        <v>342372.8721207974</v>
      </c>
      <c r="CM1403" s="450">
        <f t="shared" ca="1" si="1663"/>
        <v>218474.8026703553</v>
      </c>
      <c r="CN1403" s="450">
        <f t="shared" ca="1" si="1663"/>
        <v>117079.85311511872</v>
      </c>
      <c r="CO1403" s="450">
        <f t="shared" ca="1" si="1663"/>
        <v>180414.39771195172</v>
      </c>
    </row>
    <row r="1404" spans="1:93">
      <c r="A1404" s="10"/>
      <c r="B1404" s="10"/>
      <c r="C1404" s="17" t="s">
        <v>246</v>
      </c>
      <c r="D1404" s="10"/>
      <c r="E1404" s="10"/>
      <c r="F1404" s="10"/>
      <c r="G1404" s="11" t="str">
        <f>Monetary_Unit</f>
        <v>тыс. руб.</v>
      </c>
      <c r="H1404" s="10"/>
      <c r="I1404" s="10"/>
      <c r="J1404" s="10"/>
      <c r="K1404" s="10"/>
      <c r="L1404" s="52">
        <f t="shared" ref="L1404:BW1404" ca="1" si="1664">-(Debt_Repaiment+Debt_Interest_Paid)*(ABS(Debt_Repaiment+Debt_Interest_Paid)&gt;Accuracy)*Flag_Operations</f>
        <v>0</v>
      </c>
      <c r="M1404" s="52">
        <f t="shared" ca="1" si="1664"/>
        <v>0</v>
      </c>
      <c r="N1404" s="52">
        <f t="shared" ca="1" si="1664"/>
        <v>0</v>
      </c>
      <c r="O1404" s="52">
        <f t="shared" ca="1" si="1664"/>
        <v>0</v>
      </c>
      <c r="P1404" s="52">
        <f t="shared" ca="1" si="1664"/>
        <v>0</v>
      </c>
      <c r="Q1404" s="52">
        <f t="shared" ca="1" si="1664"/>
        <v>0</v>
      </c>
      <c r="R1404" s="52">
        <f t="shared" ca="1" si="1664"/>
        <v>0</v>
      </c>
      <c r="S1404" s="52">
        <f t="shared" ca="1" si="1664"/>
        <v>0</v>
      </c>
      <c r="T1404" s="52">
        <f t="shared" ca="1" si="1664"/>
        <v>0</v>
      </c>
      <c r="U1404" s="52">
        <f t="shared" ca="1" si="1664"/>
        <v>0</v>
      </c>
      <c r="V1404" s="52">
        <f t="shared" ca="1" si="1664"/>
        <v>0</v>
      </c>
      <c r="W1404" s="52">
        <f t="shared" ca="1" si="1664"/>
        <v>0</v>
      </c>
      <c r="X1404" s="52">
        <f t="shared" ca="1" si="1664"/>
        <v>0</v>
      </c>
      <c r="Y1404" s="52">
        <f t="shared" ca="1" si="1664"/>
        <v>0</v>
      </c>
      <c r="Z1404" s="52">
        <f t="shared" ca="1" si="1664"/>
        <v>0</v>
      </c>
      <c r="AA1404" s="52">
        <f t="shared" ca="1" si="1664"/>
        <v>0</v>
      </c>
      <c r="AB1404" s="52">
        <f t="shared" ca="1" si="1664"/>
        <v>0</v>
      </c>
      <c r="AC1404" s="52">
        <f t="shared" ca="1" si="1664"/>
        <v>465285.70935083739</v>
      </c>
      <c r="AD1404" s="52">
        <f t="shared" ca="1" si="1664"/>
        <v>240991.25493451179</v>
      </c>
      <c r="AE1404" s="52">
        <f t="shared" ca="1" si="1664"/>
        <v>148667.33149855767</v>
      </c>
      <c r="AF1404" s="52">
        <f t="shared" ca="1" si="1664"/>
        <v>83015.339696278766</v>
      </c>
      <c r="AG1404" s="52">
        <f t="shared" ca="1" si="1664"/>
        <v>92640.825774789104</v>
      </c>
      <c r="AH1404" s="52">
        <f t="shared" ca="1" si="1664"/>
        <v>179754.35998253743</v>
      </c>
      <c r="AI1404" s="52">
        <f t="shared" ca="1" si="1664"/>
        <v>172964.22084477323</v>
      </c>
      <c r="AJ1404" s="52">
        <f t="shared" ca="1" si="1664"/>
        <v>96412.744455802487</v>
      </c>
      <c r="AK1404" s="52">
        <f t="shared" ca="1" si="1664"/>
        <v>107100.61542069427</v>
      </c>
      <c r="AL1404" s="52">
        <f t="shared" ca="1" si="1664"/>
        <v>207060.39494080696</v>
      </c>
      <c r="AM1404" s="52">
        <f t="shared" ca="1" si="1664"/>
        <v>198951.75098749559</v>
      </c>
      <c r="AN1404" s="52">
        <f t="shared" ca="1" si="1664"/>
        <v>111595.32942991139</v>
      </c>
      <c r="AO1404" s="52">
        <f t="shared" ca="1" si="1664"/>
        <v>122558.39219956196</v>
      </c>
      <c r="AP1404" s="52">
        <f t="shared" ca="1" si="1664"/>
        <v>233255.64763086048</v>
      </c>
      <c r="AQ1404" s="52">
        <f t="shared" ca="1" si="1664"/>
        <v>220986.97222815055</v>
      </c>
      <c r="AR1404" s="52">
        <f t="shared" ca="1" si="1664"/>
        <v>119930.25010861277</v>
      </c>
      <c r="AS1404" s="52">
        <f t="shared" ca="1" si="1664"/>
        <v>127693.46239269995</v>
      </c>
      <c r="AT1404" s="52">
        <f t="shared" ca="1" si="1664"/>
        <v>191995.91934754164</v>
      </c>
      <c r="AU1404" s="52">
        <f t="shared" ca="1" si="1664"/>
        <v>0</v>
      </c>
      <c r="AV1404" s="52">
        <f t="shared" ca="1" si="1664"/>
        <v>0</v>
      </c>
      <c r="AW1404" s="52">
        <f t="shared" ca="1" si="1664"/>
        <v>0</v>
      </c>
      <c r="AX1404" s="52">
        <f t="shared" ca="1" si="1664"/>
        <v>0</v>
      </c>
      <c r="AY1404" s="52">
        <f t="shared" ca="1" si="1664"/>
        <v>0</v>
      </c>
      <c r="AZ1404" s="52">
        <f t="shared" ca="1" si="1664"/>
        <v>0</v>
      </c>
      <c r="BA1404" s="52">
        <f t="shared" ca="1" si="1664"/>
        <v>0</v>
      </c>
      <c r="BB1404" s="52">
        <f t="shared" ca="1" si="1664"/>
        <v>0</v>
      </c>
      <c r="BC1404" s="52">
        <f t="shared" ca="1" si="1664"/>
        <v>0</v>
      </c>
      <c r="BD1404" s="52">
        <f t="shared" ca="1" si="1664"/>
        <v>0</v>
      </c>
      <c r="BE1404" s="52">
        <f t="shared" ca="1" si="1664"/>
        <v>0</v>
      </c>
      <c r="BF1404" s="52">
        <f t="shared" ca="1" si="1664"/>
        <v>0</v>
      </c>
      <c r="BG1404" s="52">
        <f t="shared" ca="1" si="1664"/>
        <v>0</v>
      </c>
      <c r="BH1404" s="52">
        <f t="shared" ca="1" si="1664"/>
        <v>0</v>
      </c>
      <c r="BI1404" s="52">
        <f t="shared" ca="1" si="1664"/>
        <v>0</v>
      </c>
      <c r="BJ1404" s="52">
        <f t="shared" ca="1" si="1664"/>
        <v>0</v>
      </c>
      <c r="BK1404" s="52">
        <f t="shared" ca="1" si="1664"/>
        <v>0</v>
      </c>
      <c r="BL1404" s="52">
        <f t="shared" ca="1" si="1664"/>
        <v>0</v>
      </c>
      <c r="BM1404" s="52">
        <f t="shared" ca="1" si="1664"/>
        <v>0</v>
      </c>
      <c r="BN1404" s="52">
        <f t="shared" ca="1" si="1664"/>
        <v>0</v>
      </c>
      <c r="BO1404" s="52">
        <f t="shared" ca="1" si="1664"/>
        <v>0</v>
      </c>
      <c r="BP1404" s="52">
        <f t="shared" ca="1" si="1664"/>
        <v>0</v>
      </c>
      <c r="BQ1404" s="52">
        <f t="shared" ca="1" si="1664"/>
        <v>0</v>
      </c>
      <c r="BR1404" s="52">
        <f t="shared" ca="1" si="1664"/>
        <v>0</v>
      </c>
      <c r="BS1404" s="52">
        <f t="shared" ca="1" si="1664"/>
        <v>0</v>
      </c>
      <c r="BT1404" s="52">
        <f t="shared" ca="1" si="1664"/>
        <v>0</v>
      </c>
      <c r="BU1404" s="52">
        <f t="shared" ca="1" si="1664"/>
        <v>0</v>
      </c>
      <c r="BV1404" s="52">
        <f t="shared" ca="1" si="1664"/>
        <v>0</v>
      </c>
      <c r="BW1404" s="52">
        <f t="shared" ca="1" si="1664"/>
        <v>0</v>
      </c>
      <c r="BX1404" s="52">
        <f t="shared" ref="BX1404:CO1404" ca="1" si="1665">-(Debt_Repaiment+Debt_Interest_Paid)*(ABS(Debt_Repaiment+Debt_Interest_Paid)&gt;Accuracy)*Flag_Operations</f>
        <v>0</v>
      </c>
      <c r="BY1404" s="52">
        <f t="shared" ca="1" si="1665"/>
        <v>0</v>
      </c>
      <c r="BZ1404" s="52">
        <f t="shared" ca="1" si="1665"/>
        <v>0</v>
      </c>
      <c r="CA1404" s="52">
        <f t="shared" ca="1" si="1665"/>
        <v>0</v>
      </c>
      <c r="CB1404" s="52">
        <f t="shared" ca="1" si="1665"/>
        <v>0</v>
      </c>
      <c r="CC1404" s="52">
        <f t="shared" ca="1" si="1665"/>
        <v>0</v>
      </c>
      <c r="CD1404" s="52">
        <f t="shared" ca="1" si="1665"/>
        <v>0</v>
      </c>
      <c r="CE1404" s="52">
        <f t="shared" ca="1" si="1665"/>
        <v>0</v>
      </c>
      <c r="CF1404" s="52">
        <f t="shared" ca="1" si="1665"/>
        <v>0</v>
      </c>
      <c r="CG1404" s="52">
        <f t="shared" ca="1" si="1665"/>
        <v>0</v>
      </c>
      <c r="CH1404" s="52">
        <f t="shared" ca="1" si="1665"/>
        <v>0</v>
      </c>
      <c r="CI1404" s="52">
        <f t="shared" ca="1" si="1665"/>
        <v>0</v>
      </c>
      <c r="CJ1404" s="52">
        <f t="shared" ca="1" si="1665"/>
        <v>0</v>
      </c>
      <c r="CK1404" s="52">
        <f t="shared" ca="1" si="1665"/>
        <v>0</v>
      </c>
      <c r="CL1404" s="52">
        <f t="shared" ca="1" si="1665"/>
        <v>0</v>
      </c>
      <c r="CM1404" s="52">
        <f t="shared" ca="1" si="1665"/>
        <v>0</v>
      </c>
      <c r="CN1404" s="52">
        <f t="shared" ca="1" si="1665"/>
        <v>0</v>
      </c>
      <c r="CO1404" s="52">
        <f t="shared" ca="1" si="1665"/>
        <v>0</v>
      </c>
    </row>
    <row r="1405" spans="1:93">
      <c r="A1405" s="10"/>
      <c r="B1405" s="10"/>
      <c r="C1405" s="17"/>
      <c r="D1405" s="10"/>
      <c r="E1405" s="10"/>
      <c r="F1405" s="10"/>
      <c r="G1405" s="11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0"/>
      <c r="AH1405" s="10"/>
      <c r="AI1405" s="10"/>
      <c r="AJ1405" s="10"/>
      <c r="AK1405" s="10"/>
      <c r="AL1405" s="10"/>
      <c r="AM1405" s="10"/>
      <c r="AN1405" s="10"/>
      <c r="AO1405" s="10"/>
      <c r="AP1405" s="10"/>
      <c r="AQ1405" s="10"/>
      <c r="AR1405" s="10"/>
      <c r="AS1405" s="10"/>
      <c r="AT1405" s="10"/>
      <c r="AU1405" s="10"/>
      <c r="AV1405" s="10"/>
      <c r="AW1405" s="10"/>
      <c r="AX1405" s="10"/>
      <c r="AY1405" s="10"/>
      <c r="AZ1405" s="10"/>
      <c r="BA1405" s="10"/>
      <c r="BB1405" s="10"/>
      <c r="BC1405" s="10"/>
      <c r="BD1405" s="10"/>
      <c r="BE1405" s="10"/>
      <c r="BF1405" s="10"/>
      <c r="BG1405" s="10"/>
      <c r="BH1405" s="10"/>
      <c r="BI1405" s="10"/>
      <c r="BJ1405" s="10"/>
      <c r="BK1405" s="10"/>
      <c r="BL1405" s="10"/>
      <c r="BM1405" s="10"/>
      <c r="BN1405" s="10"/>
      <c r="BO1405" s="10"/>
      <c r="BP1405" s="10"/>
      <c r="BQ1405" s="10"/>
      <c r="BR1405" s="10"/>
      <c r="BS1405" s="10"/>
      <c r="BT1405" s="10"/>
      <c r="BU1405" s="10"/>
      <c r="BV1405" s="10"/>
      <c r="BW1405" s="10"/>
      <c r="BX1405" s="10"/>
      <c r="BY1405" s="10"/>
      <c r="BZ1405" s="10"/>
      <c r="CA1405" s="10"/>
      <c r="CB1405" s="10"/>
      <c r="CC1405" s="10"/>
      <c r="CD1405" s="10"/>
      <c r="CE1405" s="10"/>
      <c r="CF1405" s="10"/>
      <c r="CG1405" s="10"/>
      <c r="CH1405" s="10"/>
      <c r="CI1405" s="10"/>
      <c r="CJ1405" s="10"/>
      <c r="CK1405" s="10"/>
      <c r="CL1405" s="10"/>
      <c r="CM1405" s="10"/>
      <c r="CN1405" s="10"/>
      <c r="CO1405" s="10"/>
    </row>
    <row r="1406" spans="1:93">
      <c r="A1406" s="10"/>
      <c r="B1406" s="10"/>
      <c r="C1406" s="17" t="s">
        <v>247</v>
      </c>
      <c r="D1406" s="10"/>
      <c r="E1406" s="10"/>
      <c r="F1406" s="10"/>
      <c r="G1406" s="11" t="s">
        <v>378</v>
      </c>
      <c r="H1406" s="10"/>
      <c r="I1406" s="10"/>
      <c r="J1406" s="10"/>
      <c r="K1406" s="10"/>
      <c r="L1406" s="27">
        <f ca="1">MAX(IF(L1404=0,0,L1403/L1404),0)*Flag_Operations</f>
        <v>0</v>
      </c>
      <c r="M1406" s="27">
        <f t="shared" ref="M1406:BX1406" ca="1" si="1666">MAX(IF(M1404=0,0,M1403/M1404),0)*Flag_Operations</f>
        <v>0</v>
      </c>
      <c r="N1406" s="27">
        <f t="shared" ca="1" si="1666"/>
        <v>0</v>
      </c>
      <c r="O1406" s="27">
        <f t="shared" ca="1" si="1666"/>
        <v>0</v>
      </c>
      <c r="P1406" s="27">
        <f t="shared" ca="1" si="1666"/>
        <v>0</v>
      </c>
      <c r="Q1406" s="27">
        <f t="shared" ca="1" si="1666"/>
        <v>0</v>
      </c>
      <c r="R1406" s="27">
        <f t="shared" ca="1" si="1666"/>
        <v>0</v>
      </c>
      <c r="S1406" s="27">
        <f t="shared" ca="1" si="1666"/>
        <v>0</v>
      </c>
      <c r="T1406" s="27">
        <f t="shared" ca="1" si="1666"/>
        <v>0</v>
      </c>
      <c r="U1406" s="27">
        <f t="shared" ca="1" si="1666"/>
        <v>0</v>
      </c>
      <c r="V1406" s="27">
        <f t="shared" ca="1" si="1666"/>
        <v>0</v>
      </c>
      <c r="W1406" s="27">
        <f t="shared" ca="1" si="1666"/>
        <v>0</v>
      </c>
      <c r="X1406" s="27">
        <f t="shared" ca="1" si="1666"/>
        <v>0</v>
      </c>
      <c r="Y1406" s="27">
        <f t="shared" ca="1" si="1666"/>
        <v>0</v>
      </c>
      <c r="Z1406" s="27">
        <f t="shared" ca="1" si="1666"/>
        <v>0</v>
      </c>
      <c r="AA1406" s="27">
        <f t="shared" ca="1" si="1666"/>
        <v>0</v>
      </c>
      <c r="AB1406" s="27">
        <f t="shared" ca="1" si="1666"/>
        <v>0</v>
      </c>
      <c r="AC1406" s="27">
        <f t="shared" ca="1" si="1666"/>
        <v>1.2</v>
      </c>
      <c r="AD1406" s="27">
        <f t="shared" ca="1" si="1666"/>
        <v>1.2</v>
      </c>
      <c r="AE1406" s="27">
        <f t="shared" ca="1" si="1666"/>
        <v>1.2</v>
      </c>
      <c r="AF1406" s="27">
        <f t="shared" ca="1" si="1666"/>
        <v>1.2</v>
      </c>
      <c r="AG1406" s="27">
        <f t="shared" ca="1" si="1666"/>
        <v>1.2</v>
      </c>
      <c r="AH1406" s="27">
        <f t="shared" ca="1" si="1666"/>
        <v>1.2</v>
      </c>
      <c r="AI1406" s="27">
        <f t="shared" ca="1" si="1666"/>
        <v>1.2000000000000002</v>
      </c>
      <c r="AJ1406" s="27">
        <f t="shared" ca="1" si="1666"/>
        <v>1.2</v>
      </c>
      <c r="AK1406" s="27">
        <f t="shared" ca="1" si="1666"/>
        <v>1.2</v>
      </c>
      <c r="AL1406" s="27">
        <f t="shared" ca="1" si="1666"/>
        <v>1.2</v>
      </c>
      <c r="AM1406" s="27">
        <f t="shared" ca="1" si="1666"/>
        <v>1.2</v>
      </c>
      <c r="AN1406" s="27">
        <f t="shared" ca="1" si="1666"/>
        <v>1.2</v>
      </c>
      <c r="AO1406" s="27">
        <f t="shared" ca="1" si="1666"/>
        <v>1.2</v>
      </c>
      <c r="AP1406" s="27">
        <f t="shared" ca="1" si="1666"/>
        <v>1.2</v>
      </c>
      <c r="AQ1406" s="27">
        <f t="shared" ca="1" si="1666"/>
        <v>1.2</v>
      </c>
      <c r="AR1406" s="27">
        <f t="shared" ca="1" si="1666"/>
        <v>1.2</v>
      </c>
      <c r="AS1406" s="27">
        <f t="shared" ca="1" si="1666"/>
        <v>1.2</v>
      </c>
      <c r="AT1406" s="27">
        <f t="shared" ca="1" si="1666"/>
        <v>1.4975902195344011</v>
      </c>
      <c r="AU1406" s="27">
        <f t="shared" ca="1" si="1666"/>
        <v>0</v>
      </c>
      <c r="AV1406" s="27">
        <f t="shared" ca="1" si="1666"/>
        <v>0</v>
      </c>
      <c r="AW1406" s="27">
        <f t="shared" ca="1" si="1666"/>
        <v>0</v>
      </c>
      <c r="AX1406" s="27">
        <f t="shared" ca="1" si="1666"/>
        <v>0</v>
      </c>
      <c r="AY1406" s="27">
        <f t="shared" ca="1" si="1666"/>
        <v>0</v>
      </c>
      <c r="AZ1406" s="27">
        <f t="shared" ca="1" si="1666"/>
        <v>0</v>
      </c>
      <c r="BA1406" s="27">
        <f t="shared" ca="1" si="1666"/>
        <v>0</v>
      </c>
      <c r="BB1406" s="27">
        <f t="shared" ca="1" si="1666"/>
        <v>0</v>
      </c>
      <c r="BC1406" s="27">
        <f t="shared" ca="1" si="1666"/>
        <v>0</v>
      </c>
      <c r="BD1406" s="27">
        <f t="shared" ca="1" si="1666"/>
        <v>0</v>
      </c>
      <c r="BE1406" s="27">
        <f t="shared" ca="1" si="1666"/>
        <v>0</v>
      </c>
      <c r="BF1406" s="27">
        <f t="shared" ca="1" si="1666"/>
        <v>0</v>
      </c>
      <c r="BG1406" s="27">
        <f t="shared" ca="1" si="1666"/>
        <v>0</v>
      </c>
      <c r="BH1406" s="27">
        <f t="shared" ca="1" si="1666"/>
        <v>0</v>
      </c>
      <c r="BI1406" s="27">
        <f t="shared" ca="1" si="1666"/>
        <v>0</v>
      </c>
      <c r="BJ1406" s="27">
        <f t="shared" ca="1" si="1666"/>
        <v>0</v>
      </c>
      <c r="BK1406" s="27">
        <f t="shared" ca="1" si="1666"/>
        <v>0</v>
      </c>
      <c r="BL1406" s="27">
        <f t="shared" ca="1" si="1666"/>
        <v>0</v>
      </c>
      <c r="BM1406" s="27">
        <f t="shared" ca="1" si="1666"/>
        <v>0</v>
      </c>
      <c r="BN1406" s="27">
        <f t="shared" ca="1" si="1666"/>
        <v>0</v>
      </c>
      <c r="BO1406" s="27">
        <f t="shared" ca="1" si="1666"/>
        <v>0</v>
      </c>
      <c r="BP1406" s="27">
        <f t="shared" ca="1" si="1666"/>
        <v>0</v>
      </c>
      <c r="BQ1406" s="27">
        <f t="shared" ca="1" si="1666"/>
        <v>0</v>
      </c>
      <c r="BR1406" s="27">
        <f t="shared" ca="1" si="1666"/>
        <v>0</v>
      </c>
      <c r="BS1406" s="27">
        <f t="shared" ca="1" si="1666"/>
        <v>0</v>
      </c>
      <c r="BT1406" s="27">
        <f t="shared" ca="1" si="1666"/>
        <v>0</v>
      </c>
      <c r="BU1406" s="27">
        <f t="shared" ca="1" si="1666"/>
        <v>0</v>
      </c>
      <c r="BV1406" s="27">
        <f t="shared" ca="1" si="1666"/>
        <v>0</v>
      </c>
      <c r="BW1406" s="27">
        <f t="shared" ca="1" si="1666"/>
        <v>0</v>
      </c>
      <c r="BX1406" s="27">
        <f t="shared" ca="1" si="1666"/>
        <v>0</v>
      </c>
      <c r="BY1406" s="27">
        <f t="shared" ref="BY1406:CO1406" ca="1" si="1667">MAX(IF(BY1404=0,0,BY1403/BY1404),0)*Flag_Operations</f>
        <v>0</v>
      </c>
      <c r="BZ1406" s="27">
        <f t="shared" ca="1" si="1667"/>
        <v>0</v>
      </c>
      <c r="CA1406" s="27">
        <f t="shared" ca="1" si="1667"/>
        <v>0</v>
      </c>
      <c r="CB1406" s="27">
        <f t="shared" ca="1" si="1667"/>
        <v>0</v>
      </c>
      <c r="CC1406" s="27">
        <f t="shared" ca="1" si="1667"/>
        <v>0</v>
      </c>
      <c r="CD1406" s="27">
        <f t="shared" ca="1" si="1667"/>
        <v>0</v>
      </c>
      <c r="CE1406" s="27">
        <f t="shared" ca="1" si="1667"/>
        <v>0</v>
      </c>
      <c r="CF1406" s="27">
        <f t="shared" ca="1" si="1667"/>
        <v>0</v>
      </c>
      <c r="CG1406" s="27">
        <f t="shared" ca="1" si="1667"/>
        <v>0</v>
      </c>
      <c r="CH1406" s="27">
        <f t="shared" ca="1" si="1667"/>
        <v>0</v>
      </c>
      <c r="CI1406" s="27">
        <f t="shared" ca="1" si="1667"/>
        <v>0</v>
      </c>
      <c r="CJ1406" s="27">
        <f t="shared" ca="1" si="1667"/>
        <v>0</v>
      </c>
      <c r="CK1406" s="27">
        <f t="shared" ca="1" si="1667"/>
        <v>0</v>
      </c>
      <c r="CL1406" s="27">
        <f t="shared" ca="1" si="1667"/>
        <v>0</v>
      </c>
      <c r="CM1406" s="27">
        <f t="shared" ca="1" si="1667"/>
        <v>0</v>
      </c>
      <c r="CN1406" s="27">
        <f t="shared" ca="1" si="1667"/>
        <v>0</v>
      </c>
      <c r="CO1406" s="27">
        <f t="shared" ca="1" si="1667"/>
        <v>0</v>
      </c>
    </row>
    <row r="1407" spans="1:93">
      <c r="A1407" s="10"/>
      <c r="B1407" s="10"/>
      <c r="C1407" s="17" t="s">
        <v>150</v>
      </c>
      <c r="D1407" s="10"/>
      <c r="E1407" s="10"/>
      <c r="F1407" s="10"/>
      <c r="G1407" s="11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0"/>
      <c r="AH1407" s="10"/>
      <c r="AI1407" s="10"/>
      <c r="AJ1407" s="10"/>
      <c r="AK1407" s="10"/>
      <c r="AL1407" s="10"/>
      <c r="AM1407" s="10"/>
      <c r="AN1407" s="10"/>
      <c r="AO1407" s="10"/>
      <c r="AP1407" s="10"/>
      <c r="AQ1407" s="10"/>
      <c r="AR1407" s="10"/>
      <c r="AS1407" s="10"/>
      <c r="AT1407" s="10"/>
      <c r="AU1407" s="10"/>
      <c r="AV1407" s="10"/>
      <c r="AW1407" s="10"/>
      <c r="AX1407" s="10"/>
      <c r="AY1407" s="10"/>
      <c r="AZ1407" s="10"/>
      <c r="BA1407" s="10"/>
      <c r="BB1407" s="10"/>
      <c r="BC1407" s="10"/>
      <c r="BD1407" s="10"/>
      <c r="BE1407" s="10"/>
      <c r="BF1407" s="10"/>
      <c r="BG1407" s="10"/>
      <c r="BH1407" s="10"/>
      <c r="BI1407" s="10"/>
      <c r="BJ1407" s="10"/>
      <c r="BK1407" s="10"/>
      <c r="BL1407" s="10"/>
      <c r="BM1407" s="10"/>
      <c r="BN1407" s="10"/>
      <c r="BO1407" s="10"/>
      <c r="BP1407" s="10"/>
      <c r="BQ1407" s="10"/>
      <c r="BR1407" s="10"/>
      <c r="BS1407" s="10"/>
      <c r="BT1407" s="10"/>
      <c r="BU1407" s="10"/>
      <c r="BV1407" s="10"/>
      <c r="BW1407" s="10"/>
      <c r="BX1407" s="10"/>
      <c r="BY1407" s="10"/>
      <c r="BZ1407" s="10"/>
      <c r="CA1407" s="10"/>
      <c r="CB1407" s="10"/>
      <c r="CC1407" s="10"/>
      <c r="CD1407" s="10"/>
      <c r="CE1407" s="10"/>
      <c r="CF1407" s="10"/>
      <c r="CG1407" s="10"/>
      <c r="CH1407" s="10"/>
      <c r="CI1407" s="10"/>
      <c r="CJ1407" s="10"/>
      <c r="CK1407" s="10"/>
      <c r="CL1407" s="10"/>
      <c r="CM1407" s="10"/>
      <c r="CN1407" s="10"/>
      <c r="CO1407" s="10"/>
    </row>
    <row r="1408" spans="1:93">
      <c r="A1408" s="10"/>
      <c r="B1408" s="10"/>
      <c r="C1408" s="17" t="s">
        <v>248</v>
      </c>
      <c r="D1408" s="10"/>
      <c r="E1408" s="195">
        <f t="array" aca="1" ref="E1408" ca="1">AVERAGE(IF(L1406:CO1406&lt;&gt;0,L1406:CO1406))</f>
        <v>1.2165327899741332</v>
      </c>
      <c r="F1408" s="10"/>
      <c r="G1408" s="11" t="s">
        <v>378</v>
      </c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0"/>
      <c r="AH1408" s="10"/>
      <c r="AI1408" s="10"/>
      <c r="AJ1408" s="10"/>
      <c r="AK1408" s="10"/>
      <c r="AL1408" s="10"/>
      <c r="AM1408" s="10"/>
      <c r="AN1408" s="10"/>
      <c r="AO1408" s="10"/>
      <c r="AP1408" s="10"/>
      <c r="AQ1408" s="10"/>
      <c r="AR1408" s="10"/>
      <c r="AS1408" s="10"/>
      <c r="AT1408" s="10"/>
      <c r="AU1408" s="10"/>
      <c r="AV1408" s="10"/>
      <c r="AW1408" s="10"/>
      <c r="AX1408" s="10"/>
      <c r="AY1408" s="10"/>
      <c r="AZ1408" s="10"/>
      <c r="BA1408" s="10"/>
      <c r="BB1408" s="10"/>
      <c r="BC1408" s="10"/>
      <c r="BD1408" s="10"/>
      <c r="BE1408" s="10"/>
      <c r="BF1408" s="10"/>
      <c r="BG1408" s="10"/>
      <c r="BH1408" s="10"/>
      <c r="BI1408" s="10"/>
      <c r="BJ1408" s="10"/>
      <c r="BK1408" s="10"/>
      <c r="BL1408" s="10"/>
      <c r="BM1408" s="10"/>
      <c r="BN1408" s="10"/>
      <c r="BO1408" s="10"/>
      <c r="BP1408" s="10"/>
      <c r="BQ1408" s="10"/>
      <c r="BR1408" s="10"/>
      <c r="BS1408" s="10"/>
      <c r="BT1408" s="10"/>
      <c r="BU1408" s="10"/>
      <c r="BV1408" s="10"/>
      <c r="BW1408" s="10"/>
      <c r="BX1408" s="10"/>
      <c r="BY1408" s="10"/>
      <c r="BZ1408" s="10"/>
      <c r="CA1408" s="10"/>
      <c r="CB1408" s="10"/>
      <c r="CC1408" s="10"/>
      <c r="CD1408" s="10"/>
      <c r="CE1408" s="10"/>
      <c r="CF1408" s="10"/>
      <c r="CG1408" s="10"/>
      <c r="CH1408" s="10"/>
      <c r="CI1408" s="10"/>
      <c r="CJ1408" s="10"/>
      <c r="CK1408" s="10"/>
      <c r="CL1408" s="10"/>
      <c r="CM1408" s="10"/>
      <c r="CN1408" s="10"/>
      <c r="CO1408" s="10"/>
    </row>
    <row r="1409" spans="1:93">
      <c r="A1409" s="10"/>
      <c r="B1409" s="10"/>
      <c r="C1409" s="17" t="s">
        <v>249</v>
      </c>
      <c r="D1409" s="10"/>
      <c r="E1409" s="195">
        <f t="array" aca="1" ref="E1409" ca="1">MIN(IF(L1406:CO1406&lt;&gt;0,L1406:CO1406))</f>
        <v>1.2</v>
      </c>
      <c r="F1409" s="10"/>
      <c r="G1409" s="11" t="s">
        <v>378</v>
      </c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0"/>
      <c r="AH1409" s="10"/>
      <c r="AI1409" s="10"/>
      <c r="AJ1409" s="10"/>
      <c r="AK1409" s="10"/>
      <c r="AL1409" s="10"/>
      <c r="AM1409" s="10"/>
      <c r="AN1409" s="10"/>
      <c r="AO1409" s="10"/>
      <c r="AP1409" s="10"/>
      <c r="AQ1409" s="10"/>
      <c r="AR1409" s="10"/>
      <c r="AS1409" s="10"/>
      <c r="AT1409" s="10"/>
      <c r="AU1409" s="10"/>
      <c r="AV1409" s="10"/>
      <c r="AW1409" s="10"/>
      <c r="AX1409" s="10"/>
      <c r="AY1409" s="10"/>
      <c r="AZ1409" s="10"/>
      <c r="BA1409" s="10"/>
      <c r="BB1409" s="10"/>
      <c r="BC1409" s="10"/>
      <c r="BD1409" s="10"/>
      <c r="BE1409" s="10"/>
      <c r="BF1409" s="10"/>
      <c r="BG1409" s="10"/>
      <c r="BH1409" s="10"/>
      <c r="BI1409" s="10"/>
      <c r="BJ1409" s="10"/>
      <c r="BK1409" s="10"/>
      <c r="BL1409" s="10"/>
      <c r="BM1409" s="10"/>
      <c r="BN1409" s="10"/>
      <c r="BO1409" s="10"/>
      <c r="BP1409" s="10"/>
      <c r="BQ1409" s="10"/>
      <c r="BR1409" s="10"/>
      <c r="BS1409" s="10"/>
      <c r="BT1409" s="10"/>
      <c r="BU1409" s="10"/>
      <c r="BV1409" s="10"/>
      <c r="BW1409" s="10"/>
      <c r="BX1409" s="10"/>
      <c r="BY1409" s="10"/>
      <c r="BZ1409" s="10"/>
      <c r="CA1409" s="10"/>
      <c r="CB1409" s="10"/>
      <c r="CC1409" s="10"/>
      <c r="CD1409" s="10"/>
      <c r="CE1409" s="10"/>
      <c r="CF1409" s="10"/>
      <c r="CG1409" s="10"/>
      <c r="CH1409" s="10"/>
      <c r="CI1409" s="10"/>
      <c r="CJ1409" s="10"/>
      <c r="CK1409" s="10"/>
      <c r="CL1409" s="10"/>
      <c r="CM1409" s="10"/>
      <c r="CN1409" s="10"/>
      <c r="CO1409" s="10"/>
    </row>
    <row r="1410" spans="1:93">
      <c r="A1410" s="10"/>
      <c r="B1410" s="10"/>
      <c r="C1410" s="17" t="s">
        <v>150</v>
      </c>
      <c r="D1410" s="10"/>
      <c r="E1410" s="10"/>
      <c r="F1410" s="10"/>
      <c r="G1410" s="11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0"/>
      <c r="AH1410" s="10"/>
      <c r="AI1410" s="10"/>
      <c r="AJ1410" s="10"/>
      <c r="AK1410" s="10"/>
      <c r="AL1410" s="10"/>
      <c r="AM1410" s="10"/>
      <c r="AN1410" s="10"/>
      <c r="AO1410" s="10"/>
      <c r="AP1410" s="10"/>
      <c r="AQ1410" s="10"/>
      <c r="AR1410" s="10"/>
      <c r="AS1410" s="10"/>
      <c r="AT1410" s="10"/>
      <c r="AU1410" s="10"/>
      <c r="AV1410" s="10"/>
      <c r="AW1410" s="10"/>
      <c r="AX1410" s="10"/>
      <c r="AY1410" s="10"/>
      <c r="AZ1410" s="10"/>
      <c r="BA1410" s="10"/>
      <c r="BB1410" s="10"/>
      <c r="BC1410" s="10"/>
      <c r="BD1410" s="10"/>
      <c r="BE1410" s="10"/>
      <c r="BF1410" s="10"/>
      <c r="BG1410" s="10"/>
      <c r="BH1410" s="10"/>
      <c r="BI1410" s="10"/>
      <c r="BJ1410" s="10"/>
      <c r="BK1410" s="10"/>
      <c r="BL1410" s="10"/>
      <c r="BM1410" s="10"/>
      <c r="BN1410" s="10"/>
      <c r="BO1410" s="10"/>
      <c r="BP1410" s="10"/>
      <c r="BQ1410" s="10"/>
      <c r="BR1410" s="10"/>
      <c r="BS1410" s="10"/>
      <c r="BT1410" s="10"/>
      <c r="BU1410" s="10"/>
      <c r="BV1410" s="10"/>
      <c r="BW1410" s="10"/>
      <c r="BX1410" s="10"/>
      <c r="BY1410" s="10"/>
      <c r="BZ1410" s="10"/>
      <c r="CA1410" s="10"/>
      <c r="CB1410" s="10"/>
      <c r="CC1410" s="10"/>
      <c r="CD1410" s="10"/>
      <c r="CE1410" s="10"/>
      <c r="CF1410" s="10"/>
      <c r="CG1410" s="10"/>
      <c r="CH1410" s="10"/>
      <c r="CI1410" s="10"/>
      <c r="CJ1410" s="10"/>
      <c r="CK1410" s="10"/>
      <c r="CL1410" s="10"/>
      <c r="CM1410" s="10"/>
      <c r="CN1410" s="10"/>
      <c r="CO1410" s="10"/>
    </row>
    <row r="1411" spans="1:93">
      <c r="A1411" s="10"/>
      <c r="B1411" s="10"/>
      <c r="C1411" s="198" t="s">
        <v>433</v>
      </c>
      <c r="D1411" s="10"/>
      <c r="E1411" s="10"/>
      <c r="F1411" s="10"/>
      <c r="G1411" s="11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0"/>
      <c r="AH1411" s="10"/>
      <c r="AI1411" s="10"/>
      <c r="AJ1411" s="10"/>
      <c r="AK1411" s="10"/>
      <c r="AL1411" s="10"/>
      <c r="AM1411" s="10"/>
      <c r="AN1411" s="10"/>
      <c r="AO1411" s="10"/>
      <c r="AP1411" s="10"/>
      <c r="AQ1411" s="10"/>
      <c r="AR1411" s="10"/>
      <c r="AS1411" s="10"/>
      <c r="AT1411" s="10"/>
      <c r="AU1411" s="10"/>
      <c r="AV1411" s="10"/>
      <c r="AW1411" s="10"/>
      <c r="AX1411" s="10"/>
      <c r="AY1411" s="10"/>
      <c r="AZ1411" s="10"/>
      <c r="BA1411" s="10"/>
      <c r="BB1411" s="10"/>
      <c r="BC1411" s="10"/>
      <c r="BD1411" s="10"/>
      <c r="BE1411" s="10"/>
      <c r="BF1411" s="10"/>
      <c r="BG1411" s="10"/>
      <c r="BH1411" s="10"/>
      <c r="BI1411" s="10"/>
      <c r="BJ1411" s="10"/>
      <c r="BK1411" s="10"/>
      <c r="BL1411" s="10"/>
      <c r="BM1411" s="10"/>
      <c r="BN1411" s="10"/>
      <c r="BO1411" s="10"/>
      <c r="BP1411" s="10"/>
      <c r="BQ1411" s="10"/>
      <c r="BR1411" s="10"/>
      <c r="BS1411" s="10"/>
      <c r="BT1411" s="10"/>
      <c r="BU1411" s="10"/>
      <c r="BV1411" s="10"/>
      <c r="BW1411" s="10"/>
      <c r="BX1411" s="10"/>
      <c r="BY1411" s="10"/>
      <c r="BZ1411" s="10"/>
      <c r="CA1411" s="10"/>
      <c r="CB1411" s="10"/>
      <c r="CC1411" s="10"/>
      <c r="CD1411" s="10"/>
      <c r="CE1411" s="10"/>
      <c r="CF1411" s="10"/>
      <c r="CG1411" s="10"/>
      <c r="CH1411" s="10"/>
      <c r="CI1411" s="10"/>
      <c r="CJ1411" s="10"/>
      <c r="CK1411" s="10"/>
      <c r="CL1411" s="10"/>
      <c r="CM1411" s="10"/>
      <c r="CN1411" s="10"/>
      <c r="CO1411" s="10"/>
    </row>
    <row r="1412" spans="1:93">
      <c r="A1412" s="10"/>
      <c r="B1412" s="10"/>
      <c r="C1412" s="17" t="s">
        <v>1039</v>
      </c>
      <c r="D1412" s="10"/>
      <c r="E1412" s="10"/>
      <c r="F1412" s="10"/>
      <c r="G1412" s="11" t="str">
        <f ca="1">MIN(L1412:DM1412) &amp; ".." &amp; MAX(L1412:DM1412)</f>
        <v>0..1</v>
      </c>
      <c r="H1412" s="10"/>
      <c r="I1412" s="10"/>
      <c r="J1412" s="10"/>
      <c r="K1412" s="10"/>
      <c r="L1412" s="450">
        <f t="shared" ref="L1412:AQ1412" ca="1" si="1668">1*((Debt_EoP + Debt_BoP) &gt; Very_Small_Number)</f>
        <v>0</v>
      </c>
      <c r="M1412" s="450">
        <f t="shared" ca="1" si="1668"/>
        <v>0</v>
      </c>
      <c r="N1412" s="450">
        <f t="shared" ca="1" si="1668"/>
        <v>0</v>
      </c>
      <c r="O1412" s="450">
        <f t="shared" ca="1" si="1668"/>
        <v>0</v>
      </c>
      <c r="P1412" s="450">
        <f t="shared" ca="1" si="1668"/>
        <v>0</v>
      </c>
      <c r="Q1412" s="450">
        <f t="shared" ca="1" si="1668"/>
        <v>0</v>
      </c>
      <c r="R1412" s="450">
        <f t="shared" ca="1" si="1668"/>
        <v>0</v>
      </c>
      <c r="S1412" s="450">
        <f t="shared" ca="1" si="1668"/>
        <v>0</v>
      </c>
      <c r="T1412" s="450">
        <f t="shared" ca="1" si="1668"/>
        <v>1</v>
      </c>
      <c r="U1412" s="450">
        <f t="shared" ca="1" si="1668"/>
        <v>1</v>
      </c>
      <c r="V1412" s="450">
        <f t="shared" ca="1" si="1668"/>
        <v>1</v>
      </c>
      <c r="W1412" s="450">
        <f t="shared" ca="1" si="1668"/>
        <v>1</v>
      </c>
      <c r="X1412" s="450">
        <f t="shared" ca="1" si="1668"/>
        <v>1</v>
      </c>
      <c r="Y1412" s="450">
        <f t="shared" ca="1" si="1668"/>
        <v>1</v>
      </c>
      <c r="Z1412" s="450">
        <f t="shared" ca="1" si="1668"/>
        <v>1</v>
      </c>
      <c r="AA1412" s="450">
        <f t="shared" ca="1" si="1668"/>
        <v>1</v>
      </c>
      <c r="AB1412" s="450">
        <f t="shared" ca="1" si="1668"/>
        <v>1</v>
      </c>
      <c r="AC1412" s="450">
        <f t="shared" ca="1" si="1668"/>
        <v>1</v>
      </c>
      <c r="AD1412" s="450">
        <f t="shared" ca="1" si="1668"/>
        <v>1</v>
      </c>
      <c r="AE1412" s="450">
        <f t="shared" ca="1" si="1668"/>
        <v>1</v>
      </c>
      <c r="AF1412" s="450">
        <f t="shared" ca="1" si="1668"/>
        <v>1</v>
      </c>
      <c r="AG1412" s="450">
        <f t="shared" ca="1" si="1668"/>
        <v>1</v>
      </c>
      <c r="AH1412" s="450">
        <f t="shared" ca="1" si="1668"/>
        <v>1</v>
      </c>
      <c r="AI1412" s="450">
        <f t="shared" ca="1" si="1668"/>
        <v>1</v>
      </c>
      <c r="AJ1412" s="450">
        <f t="shared" ca="1" si="1668"/>
        <v>1</v>
      </c>
      <c r="AK1412" s="450">
        <f t="shared" ca="1" si="1668"/>
        <v>1</v>
      </c>
      <c r="AL1412" s="450">
        <f t="shared" ca="1" si="1668"/>
        <v>1</v>
      </c>
      <c r="AM1412" s="450">
        <f t="shared" ca="1" si="1668"/>
        <v>1</v>
      </c>
      <c r="AN1412" s="450">
        <f t="shared" ca="1" si="1668"/>
        <v>1</v>
      </c>
      <c r="AO1412" s="450">
        <f t="shared" ca="1" si="1668"/>
        <v>1</v>
      </c>
      <c r="AP1412" s="450">
        <f t="shared" ca="1" si="1668"/>
        <v>1</v>
      </c>
      <c r="AQ1412" s="450">
        <f t="shared" ca="1" si="1668"/>
        <v>1</v>
      </c>
      <c r="AR1412" s="450">
        <f t="shared" ref="AR1412:BW1412" ca="1" si="1669">1*((Debt_EoP + Debt_BoP) &gt; Very_Small_Number)</f>
        <v>1</v>
      </c>
      <c r="AS1412" s="450">
        <f t="shared" ca="1" si="1669"/>
        <v>1</v>
      </c>
      <c r="AT1412" s="450">
        <f t="shared" ca="1" si="1669"/>
        <v>1</v>
      </c>
      <c r="AU1412" s="450">
        <f t="shared" ca="1" si="1669"/>
        <v>0</v>
      </c>
      <c r="AV1412" s="450">
        <f t="shared" ca="1" si="1669"/>
        <v>0</v>
      </c>
      <c r="AW1412" s="450">
        <f t="shared" ca="1" si="1669"/>
        <v>0</v>
      </c>
      <c r="AX1412" s="450">
        <f t="shared" ca="1" si="1669"/>
        <v>0</v>
      </c>
      <c r="AY1412" s="450">
        <f t="shared" ca="1" si="1669"/>
        <v>0</v>
      </c>
      <c r="AZ1412" s="450">
        <f t="shared" ca="1" si="1669"/>
        <v>0</v>
      </c>
      <c r="BA1412" s="450">
        <f t="shared" ca="1" si="1669"/>
        <v>0</v>
      </c>
      <c r="BB1412" s="450">
        <f t="shared" ca="1" si="1669"/>
        <v>0</v>
      </c>
      <c r="BC1412" s="450">
        <f t="shared" ca="1" si="1669"/>
        <v>0</v>
      </c>
      <c r="BD1412" s="450">
        <f t="shared" ca="1" si="1669"/>
        <v>0</v>
      </c>
      <c r="BE1412" s="450">
        <f t="shared" ca="1" si="1669"/>
        <v>0</v>
      </c>
      <c r="BF1412" s="450">
        <f t="shared" ca="1" si="1669"/>
        <v>0</v>
      </c>
      <c r="BG1412" s="450">
        <f t="shared" ca="1" si="1669"/>
        <v>0</v>
      </c>
      <c r="BH1412" s="450">
        <f t="shared" ca="1" si="1669"/>
        <v>0</v>
      </c>
      <c r="BI1412" s="450">
        <f t="shared" ca="1" si="1669"/>
        <v>0</v>
      </c>
      <c r="BJ1412" s="450">
        <f t="shared" ca="1" si="1669"/>
        <v>0</v>
      </c>
      <c r="BK1412" s="450">
        <f t="shared" ca="1" si="1669"/>
        <v>0</v>
      </c>
      <c r="BL1412" s="450">
        <f t="shared" ca="1" si="1669"/>
        <v>0</v>
      </c>
      <c r="BM1412" s="450">
        <f t="shared" ca="1" si="1669"/>
        <v>0</v>
      </c>
      <c r="BN1412" s="450">
        <f t="shared" ca="1" si="1669"/>
        <v>0</v>
      </c>
      <c r="BO1412" s="450">
        <f t="shared" ca="1" si="1669"/>
        <v>0</v>
      </c>
      <c r="BP1412" s="450">
        <f t="shared" ca="1" si="1669"/>
        <v>0</v>
      </c>
      <c r="BQ1412" s="450">
        <f t="shared" ca="1" si="1669"/>
        <v>0</v>
      </c>
      <c r="BR1412" s="450">
        <f t="shared" ca="1" si="1669"/>
        <v>0</v>
      </c>
      <c r="BS1412" s="450">
        <f t="shared" ca="1" si="1669"/>
        <v>0</v>
      </c>
      <c r="BT1412" s="450">
        <f t="shared" ca="1" si="1669"/>
        <v>0</v>
      </c>
      <c r="BU1412" s="450">
        <f t="shared" ca="1" si="1669"/>
        <v>0</v>
      </c>
      <c r="BV1412" s="450">
        <f t="shared" ca="1" si="1669"/>
        <v>0</v>
      </c>
      <c r="BW1412" s="450">
        <f t="shared" ca="1" si="1669"/>
        <v>0</v>
      </c>
      <c r="BX1412" s="450">
        <f t="shared" ref="BX1412:CO1412" ca="1" si="1670">1*((Debt_EoP + Debt_BoP) &gt; Very_Small_Number)</f>
        <v>0</v>
      </c>
      <c r="BY1412" s="450">
        <f t="shared" ca="1" si="1670"/>
        <v>0</v>
      </c>
      <c r="BZ1412" s="450">
        <f t="shared" ca="1" si="1670"/>
        <v>0</v>
      </c>
      <c r="CA1412" s="450">
        <f t="shared" ca="1" si="1670"/>
        <v>0</v>
      </c>
      <c r="CB1412" s="450">
        <f t="shared" ca="1" si="1670"/>
        <v>0</v>
      </c>
      <c r="CC1412" s="450">
        <f t="shared" ca="1" si="1670"/>
        <v>0</v>
      </c>
      <c r="CD1412" s="450">
        <f t="shared" ca="1" si="1670"/>
        <v>0</v>
      </c>
      <c r="CE1412" s="450">
        <f t="shared" ca="1" si="1670"/>
        <v>0</v>
      </c>
      <c r="CF1412" s="450">
        <f t="shared" ca="1" si="1670"/>
        <v>0</v>
      </c>
      <c r="CG1412" s="450">
        <f t="shared" ca="1" si="1670"/>
        <v>0</v>
      </c>
      <c r="CH1412" s="450">
        <f t="shared" ca="1" si="1670"/>
        <v>0</v>
      </c>
      <c r="CI1412" s="450">
        <f t="shared" ca="1" si="1670"/>
        <v>0</v>
      </c>
      <c r="CJ1412" s="450">
        <f t="shared" ca="1" si="1670"/>
        <v>0</v>
      </c>
      <c r="CK1412" s="450">
        <f t="shared" ca="1" si="1670"/>
        <v>0</v>
      </c>
      <c r="CL1412" s="450">
        <f t="shared" ca="1" si="1670"/>
        <v>0</v>
      </c>
      <c r="CM1412" s="450">
        <f t="shared" ca="1" si="1670"/>
        <v>0</v>
      </c>
      <c r="CN1412" s="450">
        <f t="shared" ca="1" si="1670"/>
        <v>0</v>
      </c>
      <c r="CO1412" s="450">
        <f t="shared" ca="1" si="1670"/>
        <v>0</v>
      </c>
    </row>
    <row r="1413" spans="1:93">
      <c r="A1413" s="10"/>
      <c r="B1413" s="10"/>
      <c r="C1413" s="17" t="s">
        <v>1040</v>
      </c>
      <c r="D1413" s="10"/>
      <c r="E1413" s="10"/>
      <c r="F1413" s="10"/>
      <c r="G1413" s="11" t="str">
        <f ca="1">MIN(L1413:DM1413) &amp; ".." &amp; MAX(L1413:DM1413)</f>
        <v>0..1</v>
      </c>
      <c r="H1413" s="10"/>
      <c r="I1413" s="10"/>
      <c r="J1413" s="10"/>
      <c r="K1413" s="10"/>
      <c r="L1413" s="450">
        <f t="shared" ref="L1413:AQ1413" ca="1" si="1671">L1081 * Flag_Forecast * L1412</f>
        <v>0</v>
      </c>
      <c r="M1413" s="450">
        <f t="shared" ca="1" si="1671"/>
        <v>0</v>
      </c>
      <c r="N1413" s="450">
        <f t="shared" ca="1" si="1671"/>
        <v>0</v>
      </c>
      <c r="O1413" s="450">
        <f t="shared" ca="1" si="1671"/>
        <v>0</v>
      </c>
      <c r="P1413" s="450">
        <f t="shared" ca="1" si="1671"/>
        <v>0</v>
      </c>
      <c r="Q1413" s="450">
        <f t="shared" ca="1" si="1671"/>
        <v>0</v>
      </c>
      <c r="R1413" s="450">
        <f t="shared" ca="1" si="1671"/>
        <v>0</v>
      </c>
      <c r="S1413" s="450">
        <f t="shared" ca="1" si="1671"/>
        <v>0</v>
      </c>
      <c r="T1413" s="450">
        <f t="shared" ca="1" si="1671"/>
        <v>0</v>
      </c>
      <c r="U1413" s="450">
        <f t="shared" ca="1" si="1671"/>
        <v>0</v>
      </c>
      <c r="V1413" s="450">
        <f t="shared" ca="1" si="1671"/>
        <v>0</v>
      </c>
      <c r="W1413" s="450">
        <f t="shared" ca="1" si="1671"/>
        <v>0</v>
      </c>
      <c r="X1413" s="450">
        <f t="shared" ca="1" si="1671"/>
        <v>0</v>
      </c>
      <c r="Y1413" s="450">
        <f t="shared" ca="1" si="1671"/>
        <v>0</v>
      </c>
      <c r="Z1413" s="450">
        <f t="shared" ca="1" si="1671"/>
        <v>0</v>
      </c>
      <c r="AA1413" s="450">
        <f t="shared" ca="1" si="1671"/>
        <v>0</v>
      </c>
      <c r="AB1413" s="450">
        <f t="shared" ca="1" si="1671"/>
        <v>0</v>
      </c>
      <c r="AC1413" s="450">
        <f t="shared" ca="1" si="1671"/>
        <v>1</v>
      </c>
      <c r="AD1413" s="450">
        <f t="shared" ca="1" si="1671"/>
        <v>1</v>
      </c>
      <c r="AE1413" s="450">
        <f t="shared" ca="1" si="1671"/>
        <v>1</v>
      </c>
      <c r="AF1413" s="450">
        <f t="shared" ca="1" si="1671"/>
        <v>1</v>
      </c>
      <c r="AG1413" s="450">
        <f t="shared" ca="1" si="1671"/>
        <v>1</v>
      </c>
      <c r="AH1413" s="450">
        <f t="shared" ca="1" si="1671"/>
        <v>1</v>
      </c>
      <c r="AI1413" s="450">
        <f t="shared" ca="1" si="1671"/>
        <v>1</v>
      </c>
      <c r="AJ1413" s="450">
        <f t="shared" ca="1" si="1671"/>
        <v>1</v>
      </c>
      <c r="AK1413" s="450">
        <f t="shared" ca="1" si="1671"/>
        <v>1</v>
      </c>
      <c r="AL1413" s="450">
        <f t="shared" ca="1" si="1671"/>
        <v>1</v>
      </c>
      <c r="AM1413" s="450">
        <f t="shared" ca="1" si="1671"/>
        <v>1</v>
      </c>
      <c r="AN1413" s="450">
        <f t="shared" ca="1" si="1671"/>
        <v>1</v>
      </c>
      <c r="AO1413" s="450">
        <f t="shared" ca="1" si="1671"/>
        <v>1</v>
      </c>
      <c r="AP1413" s="450">
        <f t="shared" ca="1" si="1671"/>
        <v>1</v>
      </c>
      <c r="AQ1413" s="450">
        <f t="shared" ca="1" si="1671"/>
        <v>1</v>
      </c>
      <c r="AR1413" s="450">
        <f t="shared" ref="AR1413:BW1413" ca="1" si="1672">AR1081 * Flag_Forecast * AR1412</f>
        <v>1</v>
      </c>
      <c r="AS1413" s="450">
        <f t="shared" ca="1" si="1672"/>
        <v>1</v>
      </c>
      <c r="AT1413" s="450">
        <f t="shared" ca="1" si="1672"/>
        <v>1</v>
      </c>
      <c r="AU1413" s="450">
        <f t="shared" ca="1" si="1672"/>
        <v>0</v>
      </c>
      <c r="AV1413" s="450">
        <f t="shared" ca="1" si="1672"/>
        <v>0</v>
      </c>
      <c r="AW1413" s="450">
        <f t="shared" ca="1" si="1672"/>
        <v>0</v>
      </c>
      <c r="AX1413" s="450">
        <f t="shared" ca="1" si="1672"/>
        <v>0</v>
      </c>
      <c r="AY1413" s="450">
        <f t="shared" ca="1" si="1672"/>
        <v>0</v>
      </c>
      <c r="AZ1413" s="450">
        <f t="shared" ca="1" si="1672"/>
        <v>0</v>
      </c>
      <c r="BA1413" s="450">
        <f t="shared" ca="1" si="1672"/>
        <v>0</v>
      </c>
      <c r="BB1413" s="450">
        <f t="shared" ca="1" si="1672"/>
        <v>0</v>
      </c>
      <c r="BC1413" s="450">
        <f t="shared" ca="1" si="1672"/>
        <v>0</v>
      </c>
      <c r="BD1413" s="450">
        <f t="shared" ca="1" si="1672"/>
        <v>0</v>
      </c>
      <c r="BE1413" s="450">
        <f t="shared" ca="1" si="1672"/>
        <v>0</v>
      </c>
      <c r="BF1413" s="450">
        <f t="shared" ca="1" si="1672"/>
        <v>0</v>
      </c>
      <c r="BG1413" s="450">
        <f t="shared" ca="1" si="1672"/>
        <v>0</v>
      </c>
      <c r="BH1413" s="450">
        <f t="shared" ca="1" si="1672"/>
        <v>0</v>
      </c>
      <c r="BI1413" s="450">
        <f t="shared" ca="1" si="1672"/>
        <v>0</v>
      </c>
      <c r="BJ1413" s="450">
        <f t="shared" ca="1" si="1672"/>
        <v>0</v>
      </c>
      <c r="BK1413" s="450">
        <f t="shared" ca="1" si="1672"/>
        <v>0</v>
      </c>
      <c r="BL1413" s="450">
        <f t="shared" ca="1" si="1672"/>
        <v>0</v>
      </c>
      <c r="BM1413" s="450">
        <f t="shared" ca="1" si="1672"/>
        <v>0</v>
      </c>
      <c r="BN1413" s="450">
        <f t="shared" ca="1" si="1672"/>
        <v>0</v>
      </c>
      <c r="BO1413" s="450">
        <f t="shared" ca="1" si="1672"/>
        <v>0</v>
      </c>
      <c r="BP1413" s="450">
        <f t="shared" ca="1" si="1672"/>
        <v>0</v>
      </c>
      <c r="BQ1413" s="450">
        <f t="shared" ca="1" si="1672"/>
        <v>0</v>
      </c>
      <c r="BR1413" s="450">
        <f t="shared" ca="1" si="1672"/>
        <v>0</v>
      </c>
      <c r="BS1413" s="450">
        <f t="shared" ca="1" si="1672"/>
        <v>0</v>
      </c>
      <c r="BT1413" s="450">
        <f t="shared" ca="1" si="1672"/>
        <v>0</v>
      </c>
      <c r="BU1413" s="450">
        <f t="shared" ca="1" si="1672"/>
        <v>0</v>
      </c>
      <c r="BV1413" s="450">
        <f t="shared" ca="1" si="1672"/>
        <v>0</v>
      </c>
      <c r="BW1413" s="450">
        <f t="shared" ca="1" si="1672"/>
        <v>0</v>
      </c>
      <c r="BX1413" s="450">
        <f t="shared" ref="BX1413:CO1413" ca="1" si="1673">BX1081 * Flag_Forecast * BX1412</f>
        <v>0</v>
      </c>
      <c r="BY1413" s="450">
        <f t="shared" ca="1" si="1673"/>
        <v>0</v>
      </c>
      <c r="BZ1413" s="450">
        <f t="shared" ca="1" si="1673"/>
        <v>0</v>
      </c>
      <c r="CA1413" s="450">
        <f t="shared" ca="1" si="1673"/>
        <v>0</v>
      </c>
      <c r="CB1413" s="450">
        <f t="shared" ca="1" si="1673"/>
        <v>0</v>
      </c>
      <c r="CC1413" s="450">
        <f t="shared" ca="1" si="1673"/>
        <v>0</v>
      </c>
      <c r="CD1413" s="450">
        <f t="shared" ca="1" si="1673"/>
        <v>0</v>
      </c>
      <c r="CE1413" s="450">
        <f t="shared" ca="1" si="1673"/>
        <v>0</v>
      </c>
      <c r="CF1413" s="450">
        <f t="shared" ca="1" si="1673"/>
        <v>0</v>
      </c>
      <c r="CG1413" s="450">
        <f t="shared" ca="1" si="1673"/>
        <v>0</v>
      </c>
      <c r="CH1413" s="450">
        <f t="shared" ca="1" si="1673"/>
        <v>0</v>
      </c>
      <c r="CI1413" s="450">
        <f t="shared" ca="1" si="1673"/>
        <v>0</v>
      </c>
      <c r="CJ1413" s="450">
        <f t="shared" ca="1" si="1673"/>
        <v>0</v>
      </c>
      <c r="CK1413" s="450">
        <f t="shared" ca="1" si="1673"/>
        <v>0</v>
      </c>
      <c r="CL1413" s="450">
        <f t="shared" ca="1" si="1673"/>
        <v>0</v>
      </c>
      <c r="CM1413" s="450">
        <f t="shared" ca="1" si="1673"/>
        <v>0</v>
      </c>
      <c r="CN1413" s="450">
        <f t="shared" ca="1" si="1673"/>
        <v>0</v>
      </c>
      <c r="CO1413" s="450">
        <f t="shared" ca="1" si="1673"/>
        <v>0</v>
      </c>
    </row>
    <row r="1414" spans="1:93">
      <c r="A1414" s="10"/>
      <c r="B1414" s="10"/>
      <c r="C1414" s="17"/>
      <c r="D1414" s="10"/>
      <c r="E1414" s="10"/>
      <c r="F1414" s="10"/>
      <c r="G1414" s="11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0"/>
      <c r="AH1414" s="10"/>
      <c r="AI1414" s="10"/>
      <c r="AJ1414" s="10"/>
      <c r="AK1414" s="10"/>
      <c r="AL1414" s="10"/>
      <c r="AM1414" s="10"/>
      <c r="AN1414" s="10"/>
      <c r="AO1414" s="10"/>
      <c r="AP1414" s="10"/>
      <c r="AQ1414" s="10"/>
      <c r="AR1414" s="10"/>
      <c r="AS1414" s="10"/>
      <c r="AT1414" s="10"/>
      <c r="AU1414" s="10"/>
      <c r="AV1414" s="10"/>
      <c r="AW1414" s="10"/>
      <c r="AX1414" s="10"/>
      <c r="AY1414" s="10"/>
      <c r="AZ1414" s="10"/>
      <c r="BA1414" s="10"/>
      <c r="BB1414" s="10"/>
      <c r="BC1414" s="10"/>
      <c r="BD1414" s="10"/>
      <c r="BE1414" s="10"/>
      <c r="BF1414" s="10"/>
      <c r="BG1414" s="10"/>
      <c r="BH1414" s="10"/>
      <c r="BI1414" s="10"/>
      <c r="BJ1414" s="10"/>
      <c r="BK1414" s="10"/>
      <c r="BL1414" s="10"/>
      <c r="BM1414" s="10"/>
      <c r="BN1414" s="10"/>
      <c r="BO1414" s="10"/>
      <c r="BP1414" s="10"/>
      <c r="BQ1414" s="10"/>
      <c r="BR1414" s="10"/>
      <c r="BS1414" s="10"/>
      <c r="BT1414" s="10"/>
      <c r="BU1414" s="10"/>
      <c r="BV1414" s="10"/>
      <c r="BW1414" s="10"/>
      <c r="BX1414" s="10"/>
      <c r="BY1414" s="10"/>
      <c r="BZ1414" s="10"/>
      <c r="CA1414" s="10"/>
      <c r="CB1414" s="10"/>
      <c r="CC1414" s="10"/>
      <c r="CD1414" s="10"/>
      <c r="CE1414" s="10"/>
      <c r="CF1414" s="10"/>
      <c r="CG1414" s="10"/>
      <c r="CH1414" s="10"/>
      <c r="CI1414" s="10"/>
      <c r="CJ1414" s="10"/>
      <c r="CK1414" s="10"/>
      <c r="CL1414" s="10"/>
      <c r="CM1414" s="10"/>
      <c r="CN1414" s="10"/>
      <c r="CO1414" s="10"/>
    </row>
    <row r="1415" spans="1:93">
      <c r="A1415" s="10"/>
      <c r="B1415" s="10"/>
      <c r="C1415" s="17" t="s">
        <v>1041</v>
      </c>
      <c r="D1415" s="10"/>
      <c r="E1415" s="10"/>
      <c r="F1415" s="10"/>
      <c r="G1415" s="11" t="str">
        <f>Monetary_Unit</f>
        <v>тыс. руб.</v>
      </c>
      <c r="H1415" s="10"/>
      <c r="I1415" s="10"/>
      <c r="J1415" s="10"/>
      <c r="K1415" s="10"/>
      <c r="L1415" s="10">
        <f t="shared" ref="L1415:BW1415" si="1674" xml:space="preserve"> Debt_BoP</f>
        <v>0</v>
      </c>
      <c r="M1415" s="10">
        <f t="shared" ca="1" si="1674"/>
        <v>0</v>
      </c>
      <c r="N1415" s="10">
        <f t="shared" ca="1" si="1674"/>
        <v>0</v>
      </c>
      <c r="O1415" s="10">
        <f t="shared" ca="1" si="1674"/>
        <v>0</v>
      </c>
      <c r="P1415" s="10">
        <f t="shared" ca="1" si="1674"/>
        <v>0</v>
      </c>
      <c r="Q1415" s="10">
        <f t="shared" ca="1" si="1674"/>
        <v>0</v>
      </c>
      <c r="R1415" s="10">
        <f t="shared" ca="1" si="1674"/>
        <v>0</v>
      </c>
      <c r="S1415" s="10">
        <f t="shared" ca="1" si="1674"/>
        <v>0</v>
      </c>
      <c r="T1415" s="10">
        <f t="shared" ca="1" si="1674"/>
        <v>0</v>
      </c>
      <c r="U1415" s="10">
        <f t="shared" ca="1" si="1674"/>
        <v>54925.998445192294</v>
      </c>
      <c r="V1415" s="10">
        <f t="shared" ca="1" si="1674"/>
        <v>241334.95009615706</v>
      </c>
      <c r="W1415" s="10">
        <f t="shared" ca="1" si="1674"/>
        <v>429580.66493210581</v>
      </c>
      <c r="X1415" s="10">
        <f t="shared" ca="1" si="1674"/>
        <v>619681.24132743443</v>
      </c>
      <c r="Y1415" s="10">
        <f t="shared" ca="1" si="1674"/>
        <v>987256.73114388925</v>
      </c>
      <c r="Z1415" s="10">
        <f t="shared" ca="1" si="1674"/>
        <v>1358454.091698942</v>
      </c>
      <c r="AA1415" s="10">
        <f t="shared" ca="1" si="1674"/>
        <v>1733309.0107574479</v>
      </c>
      <c r="AB1415" s="10">
        <f t="shared" ca="1" si="1674"/>
        <v>2111857.5277303178</v>
      </c>
      <c r="AC1415" s="10">
        <f t="shared" ca="1" si="1674"/>
        <v>2771888.3794600694</v>
      </c>
      <c r="AD1415" s="10">
        <f t="shared" ca="1" si="1674"/>
        <v>2344957.2516447473</v>
      </c>
      <c r="AE1415" s="10">
        <f t="shared" ca="1" si="1674"/>
        <v>2136769.7000716003</v>
      </c>
      <c r="AF1415" s="10">
        <f t="shared" ca="1" si="1674"/>
        <v>2017993.7277197978</v>
      </c>
      <c r="AG1415" s="10">
        <f t="shared" ca="1" si="1674"/>
        <v>1962594.493968616</v>
      </c>
      <c r="AH1415" s="10">
        <f t="shared" ca="1" si="1674"/>
        <v>1897110.0613220145</v>
      </c>
      <c r="AI1415" s="10">
        <f t="shared" ca="1" si="1674"/>
        <v>1743894.451950738</v>
      </c>
      <c r="AJ1415" s="10">
        <f t="shared" ca="1" si="1674"/>
        <v>1595325.642261199</v>
      </c>
      <c r="AK1415" s="10">
        <f t="shared" ca="1" si="1674"/>
        <v>1520744.8199508614</v>
      </c>
      <c r="AL1415" s="10">
        <f t="shared" ca="1" si="1674"/>
        <v>1434686.7297717063</v>
      </c>
      <c r="AM1415" s="10">
        <f t="shared" ca="1" si="1674"/>
        <v>1247696.2264534044</v>
      </c>
      <c r="AN1415" s="10">
        <f t="shared" ca="1" si="1674"/>
        <v>1066198.5492529529</v>
      </c>
      <c r="AO1415" s="10">
        <f t="shared" ca="1" si="1674"/>
        <v>969315.88586949522</v>
      </c>
      <c r="AP1415" s="10">
        <f t="shared" ca="1" si="1674"/>
        <v>860133.2583737144</v>
      </c>
      <c r="AQ1415" s="10">
        <f t="shared" ca="1" si="1674"/>
        <v>638877.17472442822</v>
      </c>
      <c r="AR1415" s="10">
        <f t="shared" ca="1" si="1674"/>
        <v>426803.06275349879</v>
      </c>
      <c r="AS1415" s="10">
        <f t="shared" ca="1" si="1674"/>
        <v>312713.58332558116</v>
      </c>
      <c r="AT1415" s="10">
        <f t="shared" ca="1" si="1674"/>
        <v>189347.13450160954</v>
      </c>
      <c r="AU1415" s="10">
        <f t="shared" ca="1" si="1674"/>
        <v>0</v>
      </c>
      <c r="AV1415" s="10">
        <f t="shared" ca="1" si="1674"/>
        <v>0</v>
      </c>
      <c r="AW1415" s="10">
        <f t="shared" ca="1" si="1674"/>
        <v>0</v>
      </c>
      <c r="AX1415" s="10">
        <f t="shared" ca="1" si="1674"/>
        <v>0</v>
      </c>
      <c r="AY1415" s="10">
        <f t="shared" ca="1" si="1674"/>
        <v>0</v>
      </c>
      <c r="AZ1415" s="10">
        <f t="shared" ca="1" si="1674"/>
        <v>0</v>
      </c>
      <c r="BA1415" s="10">
        <f t="shared" ca="1" si="1674"/>
        <v>0</v>
      </c>
      <c r="BB1415" s="10">
        <f t="shared" ca="1" si="1674"/>
        <v>0</v>
      </c>
      <c r="BC1415" s="10">
        <f t="shared" ca="1" si="1674"/>
        <v>0</v>
      </c>
      <c r="BD1415" s="10">
        <f t="shared" ca="1" si="1674"/>
        <v>0</v>
      </c>
      <c r="BE1415" s="10">
        <f t="shared" ca="1" si="1674"/>
        <v>0</v>
      </c>
      <c r="BF1415" s="10">
        <f t="shared" ca="1" si="1674"/>
        <v>0</v>
      </c>
      <c r="BG1415" s="10">
        <f t="shared" ca="1" si="1674"/>
        <v>0</v>
      </c>
      <c r="BH1415" s="10">
        <f t="shared" ca="1" si="1674"/>
        <v>0</v>
      </c>
      <c r="BI1415" s="10">
        <f t="shared" ca="1" si="1674"/>
        <v>0</v>
      </c>
      <c r="BJ1415" s="10">
        <f t="shared" ca="1" si="1674"/>
        <v>0</v>
      </c>
      <c r="BK1415" s="10">
        <f t="shared" ca="1" si="1674"/>
        <v>0</v>
      </c>
      <c r="BL1415" s="10">
        <f t="shared" ca="1" si="1674"/>
        <v>0</v>
      </c>
      <c r="BM1415" s="10">
        <f t="shared" ca="1" si="1674"/>
        <v>0</v>
      </c>
      <c r="BN1415" s="10">
        <f t="shared" ca="1" si="1674"/>
        <v>0</v>
      </c>
      <c r="BO1415" s="10">
        <f t="shared" ca="1" si="1674"/>
        <v>0</v>
      </c>
      <c r="BP1415" s="10">
        <f t="shared" ca="1" si="1674"/>
        <v>0</v>
      </c>
      <c r="BQ1415" s="10">
        <f t="shared" ca="1" si="1674"/>
        <v>0</v>
      </c>
      <c r="BR1415" s="10">
        <f t="shared" ca="1" si="1674"/>
        <v>0</v>
      </c>
      <c r="BS1415" s="10">
        <f t="shared" ca="1" si="1674"/>
        <v>0</v>
      </c>
      <c r="BT1415" s="10">
        <f t="shared" ca="1" si="1674"/>
        <v>0</v>
      </c>
      <c r="BU1415" s="10">
        <f t="shared" ca="1" si="1674"/>
        <v>0</v>
      </c>
      <c r="BV1415" s="10">
        <f t="shared" ca="1" si="1674"/>
        <v>0</v>
      </c>
      <c r="BW1415" s="10">
        <f t="shared" ca="1" si="1674"/>
        <v>0</v>
      </c>
      <c r="BX1415" s="10">
        <f t="shared" ref="BX1415:CO1415" ca="1" si="1675" xml:space="preserve"> Debt_BoP</f>
        <v>0</v>
      </c>
      <c r="BY1415" s="10">
        <f t="shared" ca="1" si="1675"/>
        <v>0</v>
      </c>
      <c r="BZ1415" s="10">
        <f t="shared" ca="1" si="1675"/>
        <v>0</v>
      </c>
      <c r="CA1415" s="10">
        <f t="shared" ca="1" si="1675"/>
        <v>0</v>
      </c>
      <c r="CB1415" s="10">
        <f t="shared" ca="1" si="1675"/>
        <v>0</v>
      </c>
      <c r="CC1415" s="10">
        <f t="shared" ca="1" si="1675"/>
        <v>0</v>
      </c>
      <c r="CD1415" s="10">
        <f t="shared" ca="1" si="1675"/>
        <v>0</v>
      </c>
      <c r="CE1415" s="10">
        <f t="shared" ca="1" si="1675"/>
        <v>0</v>
      </c>
      <c r="CF1415" s="10">
        <f t="shared" ca="1" si="1675"/>
        <v>0</v>
      </c>
      <c r="CG1415" s="10">
        <f t="shared" ca="1" si="1675"/>
        <v>0</v>
      </c>
      <c r="CH1415" s="10">
        <f t="shared" ca="1" si="1675"/>
        <v>0</v>
      </c>
      <c r="CI1415" s="10">
        <f t="shared" ca="1" si="1675"/>
        <v>0</v>
      </c>
      <c r="CJ1415" s="10">
        <f t="shared" ca="1" si="1675"/>
        <v>0</v>
      </c>
      <c r="CK1415" s="10">
        <f t="shared" ca="1" si="1675"/>
        <v>0</v>
      </c>
      <c r="CL1415" s="10">
        <f t="shared" ca="1" si="1675"/>
        <v>0</v>
      </c>
      <c r="CM1415" s="10">
        <f t="shared" ca="1" si="1675"/>
        <v>0</v>
      </c>
      <c r="CN1415" s="10">
        <f t="shared" ca="1" si="1675"/>
        <v>0</v>
      </c>
      <c r="CO1415" s="10">
        <f t="shared" ca="1" si="1675"/>
        <v>0</v>
      </c>
    </row>
    <row r="1416" spans="1:93">
      <c r="A1416" s="10"/>
      <c r="B1416" s="10"/>
      <c r="C1416" s="17" t="s">
        <v>1042</v>
      </c>
      <c r="D1416" s="10"/>
      <c r="E1416" s="10"/>
      <c r="F1416" s="10"/>
      <c r="G1416" s="11" t="str">
        <f>Monetary_Unit</f>
        <v>тыс. руб.</v>
      </c>
      <c r="H1416" s="10"/>
      <c r="I1416" s="10"/>
      <c r="J1416" s="10"/>
      <c r="K1416" s="10"/>
      <c r="L1416" s="10">
        <f ca="1">CFADS*L1413</f>
        <v>0</v>
      </c>
      <c r="M1416" s="10">
        <f t="shared" ref="M1416:BX1416" ca="1" si="1676">CFADS*M1413</f>
        <v>0</v>
      </c>
      <c r="N1416" s="10">
        <f t="shared" ca="1" si="1676"/>
        <v>0</v>
      </c>
      <c r="O1416" s="10">
        <f t="shared" ca="1" si="1676"/>
        <v>0</v>
      </c>
      <c r="P1416" s="10">
        <f t="shared" ca="1" si="1676"/>
        <v>0</v>
      </c>
      <c r="Q1416" s="10">
        <f t="shared" ca="1" si="1676"/>
        <v>0</v>
      </c>
      <c r="R1416" s="10">
        <f t="shared" ca="1" si="1676"/>
        <v>0</v>
      </c>
      <c r="S1416" s="10">
        <f t="shared" ca="1" si="1676"/>
        <v>0</v>
      </c>
      <c r="T1416" s="10">
        <f t="shared" ca="1" si="1676"/>
        <v>0</v>
      </c>
      <c r="U1416" s="10">
        <f t="shared" ca="1" si="1676"/>
        <v>0</v>
      </c>
      <c r="V1416" s="10">
        <f t="shared" ca="1" si="1676"/>
        <v>0</v>
      </c>
      <c r="W1416" s="10">
        <f t="shared" ca="1" si="1676"/>
        <v>0</v>
      </c>
      <c r="X1416" s="10">
        <f t="shared" ca="1" si="1676"/>
        <v>0</v>
      </c>
      <c r="Y1416" s="10">
        <f t="shared" ca="1" si="1676"/>
        <v>0</v>
      </c>
      <c r="Z1416" s="10">
        <f t="shared" ca="1" si="1676"/>
        <v>0</v>
      </c>
      <c r="AA1416" s="10">
        <f t="shared" ca="1" si="1676"/>
        <v>0</v>
      </c>
      <c r="AB1416" s="10">
        <f t="shared" ca="1" si="1676"/>
        <v>0</v>
      </c>
      <c r="AC1416" s="10">
        <f t="shared" ca="1" si="1676"/>
        <v>558342.85122100485</v>
      </c>
      <c r="AD1416" s="10">
        <f t="shared" ca="1" si="1676"/>
        <v>289189.50592141412</v>
      </c>
      <c r="AE1416" s="10">
        <f t="shared" ca="1" si="1676"/>
        <v>178400.7977982692</v>
      </c>
      <c r="AF1416" s="10">
        <f t="shared" ca="1" si="1676"/>
        <v>99618.407635534517</v>
      </c>
      <c r="AG1416" s="10">
        <f t="shared" ca="1" si="1676"/>
        <v>111168.99092974691</v>
      </c>
      <c r="AH1416" s="10">
        <f t="shared" ca="1" si="1676"/>
        <v>215705.23197904491</v>
      </c>
      <c r="AI1416" s="10">
        <f t="shared" ca="1" si="1676"/>
        <v>207557.0650137279</v>
      </c>
      <c r="AJ1416" s="10">
        <f t="shared" ca="1" si="1676"/>
        <v>115695.29334696298</v>
      </c>
      <c r="AK1416" s="10">
        <f t="shared" ca="1" si="1676"/>
        <v>128520.73850483312</v>
      </c>
      <c r="AL1416" s="10">
        <f t="shared" ca="1" si="1676"/>
        <v>248472.47392896833</v>
      </c>
      <c r="AM1416" s="10">
        <f t="shared" ca="1" si="1676"/>
        <v>238742.10118499468</v>
      </c>
      <c r="AN1416" s="10">
        <f t="shared" ca="1" si="1676"/>
        <v>133914.39531589366</v>
      </c>
      <c r="AO1416" s="10">
        <f t="shared" ca="1" si="1676"/>
        <v>147070.07063947435</v>
      </c>
      <c r="AP1416" s="10">
        <f t="shared" ca="1" si="1676"/>
        <v>279906.77715703257</v>
      </c>
      <c r="AQ1416" s="10">
        <f t="shared" ca="1" si="1676"/>
        <v>265184.36667378066</v>
      </c>
      <c r="AR1416" s="10">
        <f t="shared" ca="1" si="1676"/>
        <v>143916.30013033532</v>
      </c>
      <c r="AS1416" s="10">
        <f t="shared" ca="1" si="1676"/>
        <v>153232.15487123994</v>
      </c>
      <c r="AT1416" s="10">
        <f t="shared" ca="1" si="1676"/>
        <v>287531.21100539406</v>
      </c>
      <c r="AU1416" s="10">
        <f t="shared" ca="1" si="1676"/>
        <v>0</v>
      </c>
      <c r="AV1416" s="10">
        <f t="shared" ca="1" si="1676"/>
        <v>0</v>
      </c>
      <c r="AW1416" s="10">
        <f t="shared" ca="1" si="1676"/>
        <v>0</v>
      </c>
      <c r="AX1416" s="10">
        <f t="shared" ca="1" si="1676"/>
        <v>0</v>
      </c>
      <c r="AY1416" s="10">
        <f t="shared" ca="1" si="1676"/>
        <v>0</v>
      </c>
      <c r="AZ1416" s="10">
        <f t="shared" ca="1" si="1676"/>
        <v>0</v>
      </c>
      <c r="BA1416" s="10">
        <f t="shared" ca="1" si="1676"/>
        <v>0</v>
      </c>
      <c r="BB1416" s="10">
        <f t="shared" ca="1" si="1676"/>
        <v>0</v>
      </c>
      <c r="BC1416" s="10">
        <f t="shared" ca="1" si="1676"/>
        <v>0</v>
      </c>
      <c r="BD1416" s="10">
        <f t="shared" ca="1" si="1676"/>
        <v>0</v>
      </c>
      <c r="BE1416" s="10">
        <f t="shared" ca="1" si="1676"/>
        <v>0</v>
      </c>
      <c r="BF1416" s="10">
        <f t="shared" ca="1" si="1676"/>
        <v>0</v>
      </c>
      <c r="BG1416" s="10">
        <f t="shared" ca="1" si="1676"/>
        <v>0</v>
      </c>
      <c r="BH1416" s="10">
        <f t="shared" ca="1" si="1676"/>
        <v>0</v>
      </c>
      <c r="BI1416" s="10">
        <f t="shared" ca="1" si="1676"/>
        <v>0</v>
      </c>
      <c r="BJ1416" s="10">
        <f t="shared" ca="1" si="1676"/>
        <v>0</v>
      </c>
      <c r="BK1416" s="10">
        <f t="shared" ca="1" si="1676"/>
        <v>0</v>
      </c>
      <c r="BL1416" s="10">
        <f t="shared" ca="1" si="1676"/>
        <v>0</v>
      </c>
      <c r="BM1416" s="10">
        <f t="shared" ca="1" si="1676"/>
        <v>0</v>
      </c>
      <c r="BN1416" s="10">
        <f t="shared" ca="1" si="1676"/>
        <v>0</v>
      </c>
      <c r="BO1416" s="10">
        <f t="shared" ca="1" si="1676"/>
        <v>0</v>
      </c>
      <c r="BP1416" s="10">
        <f t="shared" ca="1" si="1676"/>
        <v>0</v>
      </c>
      <c r="BQ1416" s="10">
        <f t="shared" ca="1" si="1676"/>
        <v>0</v>
      </c>
      <c r="BR1416" s="10">
        <f t="shared" ca="1" si="1676"/>
        <v>0</v>
      </c>
      <c r="BS1416" s="10">
        <f t="shared" ca="1" si="1676"/>
        <v>0</v>
      </c>
      <c r="BT1416" s="10">
        <f t="shared" ca="1" si="1676"/>
        <v>0</v>
      </c>
      <c r="BU1416" s="10">
        <f t="shared" ca="1" si="1676"/>
        <v>0</v>
      </c>
      <c r="BV1416" s="10">
        <f t="shared" ca="1" si="1676"/>
        <v>0</v>
      </c>
      <c r="BW1416" s="10">
        <f t="shared" ca="1" si="1676"/>
        <v>0</v>
      </c>
      <c r="BX1416" s="10">
        <f t="shared" ca="1" si="1676"/>
        <v>0</v>
      </c>
      <c r="BY1416" s="10">
        <f t="shared" ref="BY1416:CO1416" ca="1" si="1677">CFADS*BY1413</f>
        <v>0</v>
      </c>
      <c r="BZ1416" s="10">
        <f t="shared" ca="1" si="1677"/>
        <v>0</v>
      </c>
      <c r="CA1416" s="10">
        <f t="shared" ca="1" si="1677"/>
        <v>0</v>
      </c>
      <c r="CB1416" s="10">
        <f t="shared" ca="1" si="1677"/>
        <v>0</v>
      </c>
      <c r="CC1416" s="10">
        <f t="shared" ca="1" si="1677"/>
        <v>0</v>
      </c>
      <c r="CD1416" s="10">
        <f t="shared" ca="1" si="1677"/>
        <v>0</v>
      </c>
      <c r="CE1416" s="10">
        <f t="shared" ca="1" si="1677"/>
        <v>0</v>
      </c>
      <c r="CF1416" s="10">
        <f t="shared" ca="1" si="1677"/>
        <v>0</v>
      </c>
      <c r="CG1416" s="10">
        <f t="shared" ca="1" si="1677"/>
        <v>0</v>
      </c>
      <c r="CH1416" s="10">
        <f t="shared" ca="1" si="1677"/>
        <v>0</v>
      </c>
      <c r="CI1416" s="10">
        <f t="shared" ca="1" si="1677"/>
        <v>0</v>
      </c>
      <c r="CJ1416" s="10">
        <f t="shared" ca="1" si="1677"/>
        <v>0</v>
      </c>
      <c r="CK1416" s="10">
        <f t="shared" ca="1" si="1677"/>
        <v>0</v>
      </c>
      <c r="CL1416" s="10">
        <f t="shared" ca="1" si="1677"/>
        <v>0</v>
      </c>
      <c r="CM1416" s="10">
        <f t="shared" ca="1" si="1677"/>
        <v>0</v>
      </c>
      <c r="CN1416" s="10">
        <f t="shared" ca="1" si="1677"/>
        <v>0</v>
      </c>
      <c r="CO1416" s="10">
        <f t="shared" ca="1" si="1677"/>
        <v>0</v>
      </c>
    </row>
    <row r="1417" spans="1:93">
      <c r="A1417" s="10"/>
      <c r="B1417" s="10"/>
      <c r="C1417" s="17" t="s">
        <v>1043</v>
      </c>
      <c r="D1417" s="10"/>
      <c r="E1417" s="10"/>
      <c r="F1417" s="10"/>
      <c r="G1417" s="11" t="s">
        <v>28</v>
      </c>
      <c r="H1417" s="10"/>
      <c r="I1417" s="10"/>
      <c r="J1417" s="10"/>
      <c r="K1417" s="10"/>
      <c r="L1417" s="43">
        <f t="shared" ref="L1417:AQ1417" si="1678">(1 + (L1100 /Period_length)) ^ (1 / Periods_in_Year) - 1</f>
        <v>1.8954262071361416E-2</v>
      </c>
      <c r="M1417" s="43">
        <f t="shared" si="1678"/>
        <v>1.8954262071361416E-2</v>
      </c>
      <c r="N1417" s="43">
        <f t="shared" si="1678"/>
        <v>1.8954262071361416E-2</v>
      </c>
      <c r="O1417" s="43">
        <f t="shared" si="1678"/>
        <v>1.8954262071361416E-2</v>
      </c>
      <c r="P1417" s="43">
        <f t="shared" si="1678"/>
        <v>1.5391015078703774E-2</v>
      </c>
      <c r="Q1417" s="43">
        <f t="shared" si="1678"/>
        <v>1.5391015078703774E-2</v>
      </c>
      <c r="R1417" s="43">
        <f t="shared" si="1678"/>
        <v>1.5391015078703774E-2</v>
      </c>
      <c r="S1417" s="43">
        <f t="shared" si="1678"/>
        <v>1.5391015078703774E-2</v>
      </c>
      <c r="T1417" s="43">
        <f t="shared" si="1678"/>
        <v>1.3595233102880577E-2</v>
      </c>
      <c r="U1417" s="43">
        <f t="shared" si="1678"/>
        <v>1.3595233102880577E-2</v>
      </c>
      <c r="V1417" s="43">
        <f t="shared" si="1678"/>
        <v>1.3595233102880577E-2</v>
      </c>
      <c r="W1417" s="43">
        <f t="shared" si="1678"/>
        <v>1.3595233102880577E-2</v>
      </c>
      <c r="X1417" s="43">
        <f t="shared" si="1678"/>
        <v>1.3595233102880577E-2</v>
      </c>
      <c r="Y1417" s="43">
        <f t="shared" si="1678"/>
        <v>1.3595233102880577E-2</v>
      </c>
      <c r="Z1417" s="43">
        <f t="shared" si="1678"/>
        <v>1.3595233102880577E-2</v>
      </c>
      <c r="AA1417" s="43">
        <f t="shared" si="1678"/>
        <v>1.3595233102880577E-2</v>
      </c>
      <c r="AB1417" s="43">
        <f t="shared" si="1678"/>
        <v>1.3595233102880577E-2</v>
      </c>
      <c r="AC1417" s="43">
        <f t="shared" si="1678"/>
        <v>1.3595233102880577E-2</v>
      </c>
      <c r="AD1417" s="43">
        <f t="shared" si="1678"/>
        <v>1.3595233102880577E-2</v>
      </c>
      <c r="AE1417" s="43">
        <f t="shared" si="1678"/>
        <v>1.3595233102880577E-2</v>
      </c>
      <c r="AF1417" s="43">
        <f t="shared" si="1678"/>
        <v>1.3595233102880577E-2</v>
      </c>
      <c r="AG1417" s="43">
        <f t="shared" si="1678"/>
        <v>1.3595233102880577E-2</v>
      </c>
      <c r="AH1417" s="43">
        <f t="shared" si="1678"/>
        <v>1.3595233102880577E-2</v>
      </c>
      <c r="AI1417" s="43">
        <f t="shared" si="1678"/>
        <v>1.3595233102880577E-2</v>
      </c>
      <c r="AJ1417" s="43">
        <f t="shared" si="1678"/>
        <v>1.3595233102880577E-2</v>
      </c>
      <c r="AK1417" s="43">
        <f t="shared" si="1678"/>
        <v>1.3595233102880577E-2</v>
      </c>
      <c r="AL1417" s="43">
        <f t="shared" si="1678"/>
        <v>1.3595233102880577E-2</v>
      </c>
      <c r="AM1417" s="43">
        <f t="shared" si="1678"/>
        <v>1.3595233102880577E-2</v>
      </c>
      <c r="AN1417" s="43">
        <f t="shared" si="1678"/>
        <v>1.3595233102880577E-2</v>
      </c>
      <c r="AO1417" s="43">
        <f t="shared" si="1678"/>
        <v>1.3595233102880577E-2</v>
      </c>
      <c r="AP1417" s="43">
        <f t="shared" si="1678"/>
        <v>1.3595233102880577E-2</v>
      </c>
      <c r="AQ1417" s="43">
        <f t="shared" si="1678"/>
        <v>1.3595233102880577E-2</v>
      </c>
      <c r="AR1417" s="43">
        <f t="shared" ref="AR1417:BW1417" si="1679">(1 + (AR1100 /Period_length)) ^ (1 / Periods_in_Year) - 1</f>
        <v>1.3595233102880577E-2</v>
      </c>
      <c r="AS1417" s="43">
        <f t="shared" si="1679"/>
        <v>1.3595233102880577E-2</v>
      </c>
      <c r="AT1417" s="43">
        <f t="shared" si="1679"/>
        <v>1.3595233102880577E-2</v>
      </c>
      <c r="AU1417" s="43">
        <f t="shared" si="1679"/>
        <v>1.3595233102880577E-2</v>
      </c>
      <c r="AV1417" s="43">
        <f t="shared" si="1679"/>
        <v>1.3595233102880577E-2</v>
      </c>
      <c r="AW1417" s="43">
        <f t="shared" si="1679"/>
        <v>1.3595233102880577E-2</v>
      </c>
      <c r="AX1417" s="43">
        <f t="shared" si="1679"/>
        <v>1.3595233102880577E-2</v>
      </c>
      <c r="AY1417" s="43">
        <f t="shared" si="1679"/>
        <v>1.3595233102880577E-2</v>
      </c>
      <c r="AZ1417" s="43">
        <f t="shared" si="1679"/>
        <v>1.3595233102880577E-2</v>
      </c>
      <c r="BA1417" s="43">
        <f t="shared" si="1679"/>
        <v>1.3595233102880577E-2</v>
      </c>
      <c r="BB1417" s="43">
        <f t="shared" si="1679"/>
        <v>1.3595233102880577E-2</v>
      </c>
      <c r="BC1417" s="43">
        <f t="shared" si="1679"/>
        <v>1.3595233102880577E-2</v>
      </c>
      <c r="BD1417" s="43">
        <f t="shared" si="1679"/>
        <v>1.3595233102880577E-2</v>
      </c>
      <c r="BE1417" s="43">
        <f t="shared" si="1679"/>
        <v>1.3595233102880577E-2</v>
      </c>
      <c r="BF1417" s="43">
        <f t="shared" si="1679"/>
        <v>1.3595233102880577E-2</v>
      </c>
      <c r="BG1417" s="43">
        <f t="shared" si="1679"/>
        <v>1.3595233102880577E-2</v>
      </c>
      <c r="BH1417" s="43">
        <f t="shared" si="1679"/>
        <v>1.3595233102880577E-2</v>
      </c>
      <c r="BI1417" s="43">
        <f t="shared" si="1679"/>
        <v>1.3595233102880577E-2</v>
      </c>
      <c r="BJ1417" s="43">
        <f t="shared" si="1679"/>
        <v>1.3595233102880577E-2</v>
      </c>
      <c r="BK1417" s="43">
        <f t="shared" si="1679"/>
        <v>1.3595233102880577E-2</v>
      </c>
      <c r="BL1417" s="43">
        <f t="shared" si="1679"/>
        <v>1.3595233102880577E-2</v>
      </c>
      <c r="BM1417" s="43">
        <f t="shared" si="1679"/>
        <v>1.3595233102880577E-2</v>
      </c>
      <c r="BN1417" s="43">
        <f t="shared" si="1679"/>
        <v>1.3595233102880577E-2</v>
      </c>
      <c r="BO1417" s="43">
        <f t="shared" si="1679"/>
        <v>1.3595233102880577E-2</v>
      </c>
      <c r="BP1417" s="43">
        <f t="shared" si="1679"/>
        <v>1.3595233102880577E-2</v>
      </c>
      <c r="BQ1417" s="43">
        <f t="shared" si="1679"/>
        <v>1.3595233102880577E-2</v>
      </c>
      <c r="BR1417" s="43">
        <f t="shared" si="1679"/>
        <v>1.3595233102880577E-2</v>
      </c>
      <c r="BS1417" s="43">
        <f t="shared" si="1679"/>
        <v>1.3595233102880577E-2</v>
      </c>
      <c r="BT1417" s="43">
        <f t="shared" si="1679"/>
        <v>1.3595233102880577E-2</v>
      </c>
      <c r="BU1417" s="43">
        <f t="shared" si="1679"/>
        <v>1.3595233102880577E-2</v>
      </c>
      <c r="BV1417" s="43">
        <f t="shared" si="1679"/>
        <v>1.3595233102880577E-2</v>
      </c>
      <c r="BW1417" s="43">
        <f t="shared" si="1679"/>
        <v>1.3595233102880577E-2</v>
      </c>
      <c r="BX1417" s="43">
        <f t="shared" ref="BX1417:CO1417" si="1680">(1 + (BX1100 /Period_length)) ^ (1 / Periods_in_Year) - 1</f>
        <v>1.3595233102880577E-2</v>
      </c>
      <c r="BY1417" s="43">
        <f t="shared" si="1680"/>
        <v>1.3595233102880577E-2</v>
      </c>
      <c r="BZ1417" s="43">
        <f t="shared" si="1680"/>
        <v>1.3595233102880577E-2</v>
      </c>
      <c r="CA1417" s="43">
        <f t="shared" si="1680"/>
        <v>1.3595233102880577E-2</v>
      </c>
      <c r="CB1417" s="43">
        <f t="shared" si="1680"/>
        <v>1.3595233102880577E-2</v>
      </c>
      <c r="CC1417" s="43">
        <f t="shared" si="1680"/>
        <v>1.3595233102880577E-2</v>
      </c>
      <c r="CD1417" s="43">
        <f t="shared" si="1680"/>
        <v>1.3595233102880577E-2</v>
      </c>
      <c r="CE1417" s="43">
        <f t="shared" si="1680"/>
        <v>1.3595233102880577E-2</v>
      </c>
      <c r="CF1417" s="43">
        <f t="shared" si="1680"/>
        <v>1.3595233102880577E-2</v>
      </c>
      <c r="CG1417" s="43">
        <f t="shared" si="1680"/>
        <v>1.3595233102880577E-2</v>
      </c>
      <c r="CH1417" s="43">
        <f t="shared" si="1680"/>
        <v>1.3595233102880577E-2</v>
      </c>
      <c r="CI1417" s="43">
        <f t="shared" si="1680"/>
        <v>1.3595233102880577E-2</v>
      </c>
      <c r="CJ1417" s="43">
        <f t="shared" si="1680"/>
        <v>1.3595233102880577E-2</v>
      </c>
      <c r="CK1417" s="43">
        <f t="shared" si="1680"/>
        <v>1.3595233102880577E-2</v>
      </c>
      <c r="CL1417" s="43">
        <f t="shared" si="1680"/>
        <v>1.3595233102880577E-2</v>
      </c>
      <c r="CM1417" s="43">
        <f t="shared" si="1680"/>
        <v>1.3595233102880577E-2</v>
      </c>
      <c r="CN1417" s="43">
        <f t="shared" si="1680"/>
        <v>1.3595233102880577E-2</v>
      </c>
      <c r="CO1417" s="43">
        <f t="shared" si="1680"/>
        <v>1.3595233102880577E-2</v>
      </c>
    </row>
    <row r="1418" spans="1:93">
      <c r="A1418" s="10"/>
      <c r="B1418" s="10"/>
      <c r="C1418" s="17" t="s">
        <v>1044</v>
      </c>
      <c r="D1418" s="10"/>
      <c r="E1418" s="10"/>
      <c r="F1418" s="10"/>
      <c r="G1418" s="11" t="s">
        <v>378</v>
      </c>
      <c r="H1418" s="10"/>
      <c r="I1418" s="10"/>
      <c r="J1418" s="10"/>
      <c r="K1418" s="10"/>
      <c r="L1418" s="27">
        <f t="shared" ref="L1418:AQ1418" ca="1" si="1681">IF(L1413=0,1,K1418/(1+L1417))</f>
        <v>1</v>
      </c>
      <c r="M1418" s="27">
        <f t="shared" ca="1" si="1681"/>
        <v>1</v>
      </c>
      <c r="N1418" s="27">
        <f t="shared" ca="1" si="1681"/>
        <v>1</v>
      </c>
      <c r="O1418" s="27">
        <f t="shared" ca="1" si="1681"/>
        <v>1</v>
      </c>
      <c r="P1418" s="27">
        <f t="shared" ca="1" si="1681"/>
        <v>1</v>
      </c>
      <c r="Q1418" s="27">
        <f t="shared" ca="1" si="1681"/>
        <v>1</v>
      </c>
      <c r="R1418" s="27">
        <f t="shared" ca="1" si="1681"/>
        <v>1</v>
      </c>
      <c r="S1418" s="27">
        <f t="shared" ca="1" si="1681"/>
        <v>1</v>
      </c>
      <c r="T1418" s="27">
        <f t="shared" ca="1" si="1681"/>
        <v>1</v>
      </c>
      <c r="U1418" s="27">
        <f t="shared" ca="1" si="1681"/>
        <v>1</v>
      </c>
      <c r="V1418" s="27">
        <f t="shared" ca="1" si="1681"/>
        <v>1</v>
      </c>
      <c r="W1418" s="27">
        <f t="shared" ca="1" si="1681"/>
        <v>1</v>
      </c>
      <c r="X1418" s="27">
        <f t="shared" ca="1" si="1681"/>
        <v>1</v>
      </c>
      <c r="Y1418" s="27">
        <f t="shared" ca="1" si="1681"/>
        <v>1</v>
      </c>
      <c r="Z1418" s="27">
        <f t="shared" ca="1" si="1681"/>
        <v>1</v>
      </c>
      <c r="AA1418" s="27">
        <f t="shared" ca="1" si="1681"/>
        <v>1</v>
      </c>
      <c r="AB1418" s="27">
        <f t="shared" ca="1" si="1681"/>
        <v>1</v>
      </c>
      <c r="AC1418" s="27">
        <f t="shared" ca="1" si="1681"/>
        <v>0.98658711815241873</v>
      </c>
      <c r="AD1418" s="27">
        <f t="shared" ca="1" si="1681"/>
        <v>0.97335414170429457</v>
      </c>
      <c r="AE1418" s="27">
        <f t="shared" ca="1" si="1681"/>
        <v>0.96029865760576094</v>
      </c>
      <c r="AF1418" s="27">
        <f t="shared" ca="1" si="1681"/>
        <v>0.94741828517290394</v>
      </c>
      <c r="AG1418" s="27">
        <f t="shared" ca="1" si="1681"/>
        <v>0.93471067565364163</v>
      </c>
      <c r="AH1418" s="27">
        <f t="shared" ca="1" si="1681"/>
        <v>0.92217351179942642</v>
      </c>
      <c r="AI1418" s="27">
        <f t="shared" ca="1" si="1681"/>
        <v>0.90980450744269159</v>
      </c>
      <c r="AJ1418" s="27">
        <f t="shared" ca="1" si="1681"/>
        <v>0.89760140707996583</v>
      </c>
      <c r="AK1418" s="27">
        <f t="shared" ca="1" si="1681"/>
        <v>0.88556198546057951</v>
      </c>
      <c r="AL1418" s="27">
        <f t="shared" ca="1" si="1681"/>
        <v>0.87368404718088721</v>
      </c>
      <c r="AM1418" s="27">
        <f t="shared" ca="1" si="1681"/>
        <v>0.86196542628393336</v>
      </c>
      <c r="AN1418" s="27">
        <f t="shared" ca="1" si="1681"/>
        <v>0.85040398586448684</v>
      </c>
      <c r="AO1418" s="27">
        <f t="shared" ca="1" si="1681"/>
        <v>0.83899761767937431</v>
      </c>
      <c r="AP1418" s="27">
        <f t="shared" ca="1" si="1681"/>
        <v>0.82774424176303862</v>
      </c>
      <c r="AQ1418" s="27">
        <f t="shared" ca="1" si="1681"/>
        <v>0.8166418060482552</v>
      </c>
      <c r="AR1418" s="27">
        <f t="shared" ref="AR1418:BW1418" ca="1" si="1682">IF(AR1413=0,1,AQ1418/(1+AR1417))</f>
        <v>0.80568828599193454</v>
      </c>
      <c r="AS1418" s="27">
        <f t="shared" ca="1" si="1682"/>
        <v>0.79488168420594441</v>
      </c>
      <c r="AT1418" s="27">
        <f t="shared" ca="1" si="1682"/>
        <v>0.78422003009288366</v>
      </c>
      <c r="AU1418" s="27">
        <f t="shared" ca="1" si="1682"/>
        <v>1</v>
      </c>
      <c r="AV1418" s="27">
        <f t="shared" ca="1" si="1682"/>
        <v>1</v>
      </c>
      <c r="AW1418" s="27">
        <f t="shared" ca="1" si="1682"/>
        <v>1</v>
      </c>
      <c r="AX1418" s="27">
        <f t="shared" ca="1" si="1682"/>
        <v>1</v>
      </c>
      <c r="AY1418" s="27">
        <f t="shared" ca="1" si="1682"/>
        <v>1</v>
      </c>
      <c r="AZ1418" s="27">
        <f t="shared" ca="1" si="1682"/>
        <v>1</v>
      </c>
      <c r="BA1418" s="27">
        <f t="shared" ca="1" si="1682"/>
        <v>1</v>
      </c>
      <c r="BB1418" s="27">
        <f t="shared" ca="1" si="1682"/>
        <v>1</v>
      </c>
      <c r="BC1418" s="27">
        <f t="shared" ca="1" si="1682"/>
        <v>1</v>
      </c>
      <c r="BD1418" s="27">
        <f t="shared" ca="1" si="1682"/>
        <v>1</v>
      </c>
      <c r="BE1418" s="27">
        <f t="shared" ca="1" si="1682"/>
        <v>1</v>
      </c>
      <c r="BF1418" s="27">
        <f t="shared" ca="1" si="1682"/>
        <v>1</v>
      </c>
      <c r="BG1418" s="27">
        <f t="shared" ca="1" si="1682"/>
        <v>1</v>
      </c>
      <c r="BH1418" s="27">
        <f t="shared" ca="1" si="1682"/>
        <v>1</v>
      </c>
      <c r="BI1418" s="27">
        <f t="shared" ca="1" si="1682"/>
        <v>1</v>
      </c>
      <c r="BJ1418" s="27">
        <f t="shared" ca="1" si="1682"/>
        <v>1</v>
      </c>
      <c r="BK1418" s="27">
        <f t="shared" ca="1" si="1682"/>
        <v>1</v>
      </c>
      <c r="BL1418" s="27">
        <f t="shared" ca="1" si="1682"/>
        <v>1</v>
      </c>
      <c r="BM1418" s="27">
        <f t="shared" ca="1" si="1682"/>
        <v>1</v>
      </c>
      <c r="BN1418" s="27">
        <f t="shared" ca="1" si="1682"/>
        <v>1</v>
      </c>
      <c r="BO1418" s="27">
        <f t="shared" ca="1" si="1682"/>
        <v>1</v>
      </c>
      <c r="BP1418" s="27">
        <f t="shared" ca="1" si="1682"/>
        <v>1</v>
      </c>
      <c r="BQ1418" s="27">
        <f t="shared" ca="1" si="1682"/>
        <v>1</v>
      </c>
      <c r="BR1418" s="27">
        <f t="shared" ca="1" si="1682"/>
        <v>1</v>
      </c>
      <c r="BS1418" s="27">
        <f t="shared" ca="1" si="1682"/>
        <v>1</v>
      </c>
      <c r="BT1418" s="27">
        <f t="shared" ca="1" si="1682"/>
        <v>1</v>
      </c>
      <c r="BU1418" s="27">
        <f t="shared" ca="1" si="1682"/>
        <v>1</v>
      </c>
      <c r="BV1418" s="27">
        <f t="shared" ca="1" si="1682"/>
        <v>1</v>
      </c>
      <c r="BW1418" s="27">
        <f t="shared" ca="1" si="1682"/>
        <v>1</v>
      </c>
      <c r="BX1418" s="27">
        <f t="shared" ref="BX1418:CO1418" ca="1" si="1683">IF(BX1413=0,1,BW1418/(1+BX1417))</f>
        <v>1</v>
      </c>
      <c r="BY1418" s="27">
        <f t="shared" ca="1" si="1683"/>
        <v>1</v>
      </c>
      <c r="BZ1418" s="27">
        <f t="shared" ca="1" si="1683"/>
        <v>1</v>
      </c>
      <c r="CA1418" s="27">
        <f t="shared" ca="1" si="1683"/>
        <v>1</v>
      </c>
      <c r="CB1418" s="27">
        <f t="shared" ca="1" si="1683"/>
        <v>1</v>
      </c>
      <c r="CC1418" s="27">
        <f t="shared" ca="1" si="1683"/>
        <v>1</v>
      </c>
      <c r="CD1418" s="27">
        <f t="shared" ca="1" si="1683"/>
        <v>1</v>
      </c>
      <c r="CE1418" s="27">
        <f t="shared" ca="1" si="1683"/>
        <v>1</v>
      </c>
      <c r="CF1418" s="27">
        <f t="shared" ca="1" si="1683"/>
        <v>1</v>
      </c>
      <c r="CG1418" s="27">
        <f t="shared" ca="1" si="1683"/>
        <v>1</v>
      </c>
      <c r="CH1418" s="27">
        <f t="shared" ca="1" si="1683"/>
        <v>1</v>
      </c>
      <c r="CI1418" s="27">
        <f t="shared" ca="1" si="1683"/>
        <v>1</v>
      </c>
      <c r="CJ1418" s="27">
        <f t="shared" ca="1" si="1683"/>
        <v>1</v>
      </c>
      <c r="CK1418" s="27">
        <f t="shared" ca="1" si="1683"/>
        <v>1</v>
      </c>
      <c r="CL1418" s="27">
        <f t="shared" ca="1" si="1683"/>
        <v>1</v>
      </c>
      <c r="CM1418" s="27">
        <f t="shared" ca="1" si="1683"/>
        <v>1</v>
      </c>
      <c r="CN1418" s="27">
        <f t="shared" ca="1" si="1683"/>
        <v>1</v>
      </c>
      <c r="CO1418" s="27">
        <f t="shared" ca="1" si="1683"/>
        <v>1</v>
      </c>
    </row>
    <row r="1419" spans="1:93">
      <c r="A1419" s="10"/>
      <c r="B1419" s="10"/>
      <c r="C1419" s="17" t="s">
        <v>435</v>
      </c>
      <c r="D1419" s="10"/>
      <c r="E1419" s="10"/>
      <c r="F1419" s="10"/>
      <c r="G1419" s="11" t="str">
        <f>Monetary_Unit</f>
        <v>тыс. руб.</v>
      </c>
      <c r="H1419" s="10"/>
      <c r="I1419" s="10"/>
      <c r="J1419" s="10"/>
      <c r="K1419" s="10"/>
      <c r="L1419" s="10">
        <f ca="1" xml:space="preserve"> L1413 * L1416 * L1418</f>
        <v>0</v>
      </c>
      <c r="M1419" s="10">
        <f t="shared" ref="M1419:BX1419" ca="1" si="1684" xml:space="preserve"> M1413 * M1416 * M1418</f>
        <v>0</v>
      </c>
      <c r="N1419" s="10">
        <f t="shared" ca="1" si="1684"/>
        <v>0</v>
      </c>
      <c r="O1419" s="10">
        <f t="shared" ca="1" si="1684"/>
        <v>0</v>
      </c>
      <c r="P1419" s="10">
        <f t="shared" ca="1" si="1684"/>
        <v>0</v>
      </c>
      <c r="Q1419" s="10">
        <f t="shared" ca="1" si="1684"/>
        <v>0</v>
      </c>
      <c r="R1419" s="10">
        <f t="shared" ca="1" si="1684"/>
        <v>0</v>
      </c>
      <c r="S1419" s="10">
        <f t="shared" ca="1" si="1684"/>
        <v>0</v>
      </c>
      <c r="T1419" s="10">
        <f t="shared" ca="1" si="1684"/>
        <v>0</v>
      </c>
      <c r="U1419" s="10">
        <f t="shared" ca="1" si="1684"/>
        <v>0</v>
      </c>
      <c r="V1419" s="10">
        <f t="shared" ca="1" si="1684"/>
        <v>0</v>
      </c>
      <c r="W1419" s="10">
        <f t="shared" ca="1" si="1684"/>
        <v>0</v>
      </c>
      <c r="X1419" s="10">
        <f t="shared" ca="1" si="1684"/>
        <v>0</v>
      </c>
      <c r="Y1419" s="10">
        <f t="shared" ca="1" si="1684"/>
        <v>0</v>
      </c>
      <c r="Z1419" s="10">
        <f t="shared" ca="1" si="1684"/>
        <v>0</v>
      </c>
      <c r="AA1419" s="10">
        <f t="shared" ca="1" si="1684"/>
        <v>0</v>
      </c>
      <c r="AB1419" s="10">
        <f t="shared" ca="1" si="1684"/>
        <v>0</v>
      </c>
      <c r="AC1419" s="10">
        <f t="shared" ca="1" si="1684"/>
        <v>550853.86452713585</v>
      </c>
      <c r="AD1419" s="10">
        <f t="shared" ca="1" si="1684"/>
        <v>281483.80332602706</v>
      </c>
      <c r="AE1419" s="10">
        <f t="shared" ca="1" si="1684"/>
        <v>171318.04664147471</v>
      </c>
      <c r="AF1419" s="10">
        <f t="shared" ca="1" si="1684"/>
        <v>94380.300933713428</v>
      </c>
      <c r="AG1419" s="10">
        <f t="shared" ca="1" si="1684"/>
        <v>103910.84262367729</v>
      </c>
      <c r="AH1419" s="10">
        <f t="shared" ca="1" si="1684"/>
        <v>198917.65128762578</v>
      </c>
      <c r="AI1419" s="10">
        <f t="shared" ca="1" si="1684"/>
        <v>188836.35330106542</v>
      </c>
      <c r="AJ1419" s="10">
        <f t="shared" ca="1" si="1684"/>
        <v>103848.25810076339</v>
      </c>
      <c r="AK1419" s="10">
        <f t="shared" ca="1" si="1684"/>
        <v>113813.08036319997</v>
      </c>
      <c r="AL1419" s="10">
        <f t="shared" ca="1" si="1684"/>
        <v>217086.43663530855</v>
      </c>
      <c r="AM1419" s="10">
        <f t="shared" ca="1" si="1684"/>
        <v>205787.43701984588</v>
      </c>
      <c r="AN1419" s="10">
        <f t="shared" ca="1" si="1684"/>
        <v>113881.33554126853</v>
      </c>
      <c r="AO1419" s="10">
        <f t="shared" ca="1" si="1684"/>
        <v>123391.43889845627</v>
      </c>
      <c r="AP1419" s="10">
        <f t="shared" ca="1" si="1684"/>
        <v>231691.22302218375</v>
      </c>
      <c r="AQ1419" s="10">
        <f t="shared" ca="1" si="1684"/>
        <v>216560.64013623897</v>
      </c>
      <c r="AR1419" s="10">
        <f t="shared" ca="1" si="1684"/>
        <v>115951.6771783107</v>
      </c>
      <c r="AS1419" s="10">
        <f t="shared" ca="1" si="1684"/>
        <v>121801.43333855731</v>
      </c>
      <c r="AT1419" s="10">
        <f t="shared" ca="1" si="1684"/>
        <v>225487.73494729341</v>
      </c>
      <c r="AU1419" s="10">
        <f t="shared" ca="1" si="1684"/>
        <v>0</v>
      </c>
      <c r="AV1419" s="10">
        <f t="shared" ca="1" si="1684"/>
        <v>0</v>
      </c>
      <c r="AW1419" s="10">
        <f t="shared" ca="1" si="1684"/>
        <v>0</v>
      </c>
      <c r="AX1419" s="10">
        <f t="shared" ca="1" si="1684"/>
        <v>0</v>
      </c>
      <c r="AY1419" s="10">
        <f t="shared" ca="1" si="1684"/>
        <v>0</v>
      </c>
      <c r="AZ1419" s="10">
        <f t="shared" ca="1" si="1684"/>
        <v>0</v>
      </c>
      <c r="BA1419" s="10">
        <f t="shared" ca="1" si="1684"/>
        <v>0</v>
      </c>
      <c r="BB1419" s="10">
        <f t="shared" ca="1" si="1684"/>
        <v>0</v>
      </c>
      <c r="BC1419" s="10">
        <f t="shared" ca="1" si="1684"/>
        <v>0</v>
      </c>
      <c r="BD1419" s="10">
        <f t="shared" ca="1" si="1684"/>
        <v>0</v>
      </c>
      <c r="BE1419" s="10">
        <f t="shared" ca="1" si="1684"/>
        <v>0</v>
      </c>
      <c r="BF1419" s="10">
        <f t="shared" ca="1" si="1684"/>
        <v>0</v>
      </c>
      <c r="BG1419" s="10">
        <f t="shared" ca="1" si="1684"/>
        <v>0</v>
      </c>
      <c r="BH1419" s="10">
        <f t="shared" ca="1" si="1684"/>
        <v>0</v>
      </c>
      <c r="BI1419" s="10">
        <f t="shared" ca="1" si="1684"/>
        <v>0</v>
      </c>
      <c r="BJ1419" s="10">
        <f t="shared" ca="1" si="1684"/>
        <v>0</v>
      </c>
      <c r="BK1419" s="10">
        <f t="shared" ca="1" si="1684"/>
        <v>0</v>
      </c>
      <c r="BL1419" s="10">
        <f t="shared" ca="1" si="1684"/>
        <v>0</v>
      </c>
      <c r="BM1419" s="10">
        <f t="shared" ca="1" si="1684"/>
        <v>0</v>
      </c>
      <c r="BN1419" s="10">
        <f t="shared" ca="1" si="1684"/>
        <v>0</v>
      </c>
      <c r="BO1419" s="10">
        <f t="shared" ca="1" si="1684"/>
        <v>0</v>
      </c>
      <c r="BP1419" s="10">
        <f t="shared" ca="1" si="1684"/>
        <v>0</v>
      </c>
      <c r="BQ1419" s="10">
        <f t="shared" ca="1" si="1684"/>
        <v>0</v>
      </c>
      <c r="BR1419" s="10">
        <f t="shared" ca="1" si="1684"/>
        <v>0</v>
      </c>
      <c r="BS1419" s="10">
        <f t="shared" ca="1" si="1684"/>
        <v>0</v>
      </c>
      <c r="BT1419" s="10">
        <f t="shared" ca="1" si="1684"/>
        <v>0</v>
      </c>
      <c r="BU1419" s="10">
        <f t="shared" ca="1" si="1684"/>
        <v>0</v>
      </c>
      <c r="BV1419" s="10">
        <f t="shared" ca="1" si="1684"/>
        <v>0</v>
      </c>
      <c r="BW1419" s="10">
        <f t="shared" ca="1" si="1684"/>
        <v>0</v>
      </c>
      <c r="BX1419" s="10">
        <f t="shared" ca="1" si="1684"/>
        <v>0</v>
      </c>
      <c r="BY1419" s="10">
        <f t="shared" ref="BY1419:CO1419" ca="1" si="1685" xml:space="preserve"> BY1413 * BY1416 * BY1418</f>
        <v>0</v>
      </c>
      <c r="BZ1419" s="10">
        <f t="shared" ca="1" si="1685"/>
        <v>0</v>
      </c>
      <c r="CA1419" s="10">
        <f t="shared" ca="1" si="1685"/>
        <v>0</v>
      </c>
      <c r="CB1419" s="10">
        <f t="shared" ca="1" si="1685"/>
        <v>0</v>
      </c>
      <c r="CC1419" s="10">
        <f t="shared" ca="1" si="1685"/>
        <v>0</v>
      </c>
      <c r="CD1419" s="10">
        <f t="shared" ca="1" si="1685"/>
        <v>0</v>
      </c>
      <c r="CE1419" s="10">
        <f t="shared" ca="1" si="1685"/>
        <v>0</v>
      </c>
      <c r="CF1419" s="10">
        <f t="shared" ca="1" si="1685"/>
        <v>0</v>
      </c>
      <c r="CG1419" s="10">
        <f t="shared" ca="1" si="1685"/>
        <v>0</v>
      </c>
      <c r="CH1419" s="10">
        <f t="shared" ca="1" si="1685"/>
        <v>0</v>
      </c>
      <c r="CI1419" s="10">
        <f t="shared" ca="1" si="1685"/>
        <v>0</v>
      </c>
      <c r="CJ1419" s="10">
        <f t="shared" ca="1" si="1685"/>
        <v>0</v>
      </c>
      <c r="CK1419" s="10">
        <f t="shared" ca="1" si="1685"/>
        <v>0</v>
      </c>
      <c r="CL1419" s="10">
        <f t="shared" ca="1" si="1685"/>
        <v>0</v>
      </c>
      <c r="CM1419" s="10">
        <f t="shared" ca="1" si="1685"/>
        <v>0</v>
      </c>
      <c r="CN1419" s="10">
        <f t="shared" ca="1" si="1685"/>
        <v>0</v>
      </c>
      <c r="CO1419" s="10">
        <f t="shared" ca="1" si="1685"/>
        <v>0</v>
      </c>
    </row>
    <row r="1420" spans="1:93">
      <c r="A1420" s="10"/>
      <c r="B1420" s="10"/>
      <c r="C1420" s="17" t="s">
        <v>1045</v>
      </c>
      <c r="D1420" s="10"/>
      <c r="E1420" s="10"/>
      <c r="F1420" s="10"/>
      <c r="G1420" s="11" t="str">
        <f>Monetary_Unit</f>
        <v>тыс. руб.</v>
      </c>
      <c r="H1420" s="10"/>
      <c r="I1420" s="10"/>
      <c r="J1420" s="10"/>
      <c r="K1420" s="10"/>
      <c r="L1420" s="10">
        <f ca="1">SUM(L1419:$CO1419)/L1418/SQRT(1+L1417)</f>
        <v>3347426.4767142152</v>
      </c>
      <c r="M1420" s="10">
        <f ca="1">SUM(M1419:$CO1419)/M1418/SQRT(1+M1417)</f>
        <v>3347426.4767142152</v>
      </c>
      <c r="N1420" s="10">
        <f ca="1">SUM(N1419:$CO1419)/N1418/SQRT(1+N1417)</f>
        <v>3347426.4767142152</v>
      </c>
      <c r="O1420" s="10">
        <f ca="1">SUM(O1419:$CO1419)/O1418/SQRT(1+O1417)</f>
        <v>3347426.4767142152</v>
      </c>
      <c r="P1420" s="10">
        <f ca="1">SUM(P1419:$CO1419)/P1418/SQRT(1+P1417)</f>
        <v>3353294.7881253571</v>
      </c>
      <c r="Q1420" s="10">
        <f ca="1">SUM(Q1419:$CO1419)/Q1418/SQRT(1+Q1417)</f>
        <v>3353294.7881253571</v>
      </c>
      <c r="R1420" s="10">
        <f ca="1">SUM(R1419:$CO1419)/R1418/SQRT(1+R1417)</f>
        <v>3353294.7881253571</v>
      </c>
      <c r="S1420" s="10">
        <f ca="1">SUM(S1419:$CO1419)/S1418/SQRT(1+S1417)</f>
        <v>3353294.7881253571</v>
      </c>
      <c r="T1420" s="10">
        <f ca="1">SUM(T1419:$CO1419)/T1418/SQRT(1+T1417)</f>
        <v>3356263.9819963109</v>
      </c>
      <c r="U1420" s="10">
        <f ca="1">SUM(U1419:$CO1419)/U1418/SQRT(1+U1417)</f>
        <v>3356263.9819963109</v>
      </c>
      <c r="V1420" s="10">
        <f ca="1">SUM(V1419:$CO1419)/V1418/SQRT(1+V1417)</f>
        <v>3356263.9819963109</v>
      </c>
      <c r="W1420" s="10">
        <f ca="1">SUM(W1419:$CO1419)/W1418/SQRT(1+W1417)</f>
        <v>3356263.9819963109</v>
      </c>
      <c r="X1420" s="10">
        <f ca="1">SUM(X1419:$CO1419)/X1418/SQRT(1+X1417)</f>
        <v>3356263.9819963109</v>
      </c>
      <c r="Y1420" s="10">
        <f ca="1">SUM(Y1419:$CO1419)/Y1418/SQRT(1+Y1417)</f>
        <v>3356263.9819963109</v>
      </c>
      <c r="Z1420" s="10">
        <f ca="1">SUM(Z1419:$CO1419)/Z1418/SQRT(1+Z1417)</f>
        <v>3356263.9819963109</v>
      </c>
      <c r="AA1420" s="10">
        <f ca="1">SUM(AA1419:$CO1419)/AA1418/SQRT(1+AA1417)</f>
        <v>3356263.9819963109</v>
      </c>
      <c r="AB1420" s="10">
        <f ca="1">SUM(AB1419:$CO1419)/AB1418/SQRT(1+AB1417)</f>
        <v>3356263.9819963109</v>
      </c>
      <c r="AC1420" s="10">
        <f ca="1">SUM(AC1419:$CO1419)/AC1418/SQRT(1+AC1417)</f>
        <v>3401893.1731863529</v>
      </c>
      <c r="AD1420" s="10">
        <f ca="1">SUM(AD1419:$CO1419)/AD1418/SQRT(1+AD1417)</f>
        <v>2886017.2649279782</v>
      </c>
      <c r="AE1420" s="10">
        <f ca="1">SUM(AE1419:$CO1419)/AE1418/SQRT(1+AE1417)</f>
        <v>2634104.6734302677</v>
      </c>
      <c r="AF1420" s="10">
        <f ca="1">SUM(AF1419:$CO1419)/AF1418/SQRT(1+AF1417)</f>
        <v>2490306.5364221451</v>
      </c>
      <c r="AG1420" s="10">
        <f ca="1">SUM(AG1419:$CO1419)/AG1418/SQRT(1+AG1417)</f>
        <v>2423869.5449601724</v>
      </c>
      <c r="AH1420" s="10">
        <f ca="1">SUM(AH1419:$CO1419)/AH1418/SQRT(1+AH1417)</f>
        <v>2344900.4924457823</v>
      </c>
      <c r="AI1420" s="10">
        <f ca="1">SUM(AI1419:$CO1419)/AI1418/SQRT(1+AI1417)</f>
        <v>2159613.3978274805</v>
      </c>
      <c r="AJ1420" s="10">
        <f ca="1">SUM(AJ1419:$CO1419)/AJ1418/SQRT(1+AJ1417)</f>
        <v>1980010.6500621547</v>
      </c>
      <c r="AK1420" s="10">
        <f ca="1">SUM(AK1419:$CO1419)/AK1418/SQRT(1+AK1417)</f>
        <v>1890450.2657912842</v>
      </c>
      <c r="AL1420" s="10">
        <f ca="1">SUM(AL1419:$CO1419)/AL1418/SQRT(1+AL1417)</f>
        <v>1786759.9539224813</v>
      </c>
      <c r="AM1420" s="10">
        <f ca="1">SUM(AM1419:$CO1419)/AM1418/SQRT(1+AM1417)</f>
        <v>1560895.5794274891</v>
      </c>
      <c r="AN1420" s="10">
        <f ca="1">SUM(AN1419:$CO1419)/AN1418/SQRT(1+AN1417)</f>
        <v>1341756.8189051501</v>
      </c>
      <c r="AO1420" s="10">
        <f ca="1">SUM(AO1419:$CO1419)/AO1418/SQRT(1+AO1417)</f>
        <v>1225176.6946760307</v>
      </c>
      <c r="AP1420" s="10">
        <f ca="1">SUM(AP1419:$CO1419)/AP1418/SQRT(1+AP1417)</f>
        <v>1093766.8358202605</v>
      </c>
      <c r="AQ1420" s="10">
        <f ca="1">SUM(AQ1419:$CO1419)/AQ1418/SQRT(1+AQ1417)</f>
        <v>826833.79813448875</v>
      </c>
      <c r="AR1420" s="10">
        <f ca="1">SUM(AR1419:$CO1419)/AR1418/SQRT(1+AR1417)</f>
        <v>571093.89351209346</v>
      </c>
      <c r="AS1420" s="10">
        <f ca="1">SUM(AS1419:$CO1419)/AS1418/SQRT(1+AS1417)</f>
        <v>433966.76276473037</v>
      </c>
      <c r="AT1420" s="10">
        <f ca="1">SUM(AT1419:$CO1419)/AT1418/SQRT(1+AT1417)</f>
        <v>285596.39014169981</v>
      </c>
      <c r="AU1420" s="10">
        <f ca="1">SUM(AU1419:$CO1419)/AU1418/SQRT(1+AU1417)</f>
        <v>0</v>
      </c>
      <c r="AV1420" s="10">
        <f ca="1">SUM(AV1419:$CO1419)/AV1418/SQRT(1+AV1417)</f>
        <v>0</v>
      </c>
      <c r="AW1420" s="10">
        <f ca="1">SUM(AW1419:$CO1419)/AW1418/SQRT(1+AW1417)</f>
        <v>0</v>
      </c>
      <c r="AX1420" s="10">
        <f ca="1">SUM(AX1419:$CO1419)/AX1418/SQRT(1+AX1417)</f>
        <v>0</v>
      </c>
      <c r="AY1420" s="10">
        <f ca="1">SUM(AY1419:$CO1419)/AY1418/SQRT(1+AY1417)</f>
        <v>0</v>
      </c>
      <c r="AZ1420" s="10">
        <f ca="1">SUM(AZ1419:$CO1419)/AZ1418/SQRT(1+AZ1417)</f>
        <v>0</v>
      </c>
      <c r="BA1420" s="10">
        <f ca="1">SUM(BA1419:$CO1419)/BA1418/SQRT(1+BA1417)</f>
        <v>0</v>
      </c>
      <c r="BB1420" s="10">
        <f ca="1">SUM(BB1419:$CO1419)/BB1418/SQRT(1+BB1417)</f>
        <v>0</v>
      </c>
      <c r="BC1420" s="10">
        <f ca="1">SUM(BC1419:$CO1419)/BC1418/SQRT(1+BC1417)</f>
        <v>0</v>
      </c>
      <c r="BD1420" s="10">
        <f ca="1">SUM(BD1419:$CO1419)/BD1418/SQRT(1+BD1417)</f>
        <v>0</v>
      </c>
      <c r="BE1420" s="10">
        <f ca="1">SUM(BE1419:$CO1419)/BE1418/SQRT(1+BE1417)</f>
        <v>0</v>
      </c>
      <c r="BF1420" s="10">
        <f ca="1">SUM(BF1419:$CO1419)/BF1418/SQRT(1+BF1417)</f>
        <v>0</v>
      </c>
      <c r="BG1420" s="10">
        <f ca="1">SUM(BG1419:$CO1419)/BG1418/SQRT(1+BG1417)</f>
        <v>0</v>
      </c>
      <c r="BH1420" s="10">
        <f ca="1">SUM(BH1419:$CO1419)/BH1418/SQRT(1+BH1417)</f>
        <v>0</v>
      </c>
      <c r="BI1420" s="10">
        <f ca="1">SUM(BI1419:$CO1419)/BI1418/SQRT(1+BI1417)</f>
        <v>0</v>
      </c>
      <c r="BJ1420" s="10">
        <f ca="1">SUM(BJ1419:$CO1419)/BJ1418/SQRT(1+BJ1417)</f>
        <v>0</v>
      </c>
      <c r="BK1420" s="10">
        <f ca="1">SUM(BK1419:$CO1419)/BK1418/SQRT(1+BK1417)</f>
        <v>0</v>
      </c>
      <c r="BL1420" s="10">
        <f ca="1">SUM(BL1419:$CO1419)/BL1418/SQRT(1+BL1417)</f>
        <v>0</v>
      </c>
      <c r="BM1420" s="10">
        <f ca="1">SUM(BM1419:$CO1419)/BM1418/SQRT(1+BM1417)</f>
        <v>0</v>
      </c>
      <c r="BN1420" s="10">
        <f ca="1">SUM(BN1419:$CO1419)/BN1418/SQRT(1+BN1417)</f>
        <v>0</v>
      </c>
      <c r="BO1420" s="10">
        <f ca="1">SUM(BO1419:$CO1419)/BO1418/SQRT(1+BO1417)</f>
        <v>0</v>
      </c>
      <c r="BP1420" s="10">
        <f ca="1">SUM(BP1419:$CO1419)/BP1418/SQRT(1+BP1417)</f>
        <v>0</v>
      </c>
      <c r="BQ1420" s="10">
        <f ca="1">SUM(BQ1419:$CO1419)/BQ1418/SQRT(1+BQ1417)</f>
        <v>0</v>
      </c>
      <c r="BR1420" s="10">
        <f ca="1">SUM(BR1419:$CO1419)/BR1418/SQRT(1+BR1417)</f>
        <v>0</v>
      </c>
      <c r="BS1420" s="10">
        <f ca="1">SUM(BS1419:$CO1419)/BS1418/SQRT(1+BS1417)</f>
        <v>0</v>
      </c>
      <c r="BT1420" s="10">
        <f ca="1">SUM(BT1419:$CO1419)/BT1418/SQRT(1+BT1417)</f>
        <v>0</v>
      </c>
      <c r="BU1420" s="10">
        <f ca="1">SUM(BU1419:$CO1419)/BU1418/SQRT(1+BU1417)</f>
        <v>0</v>
      </c>
      <c r="BV1420" s="10">
        <f ca="1">SUM(BV1419:$CO1419)/BV1418/SQRT(1+BV1417)</f>
        <v>0</v>
      </c>
      <c r="BW1420" s="10">
        <f ca="1">SUM(BW1419:$CO1419)/BW1418/SQRT(1+BW1417)</f>
        <v>0</v>
      </c>
      <c r="BX1420" s="10">
        <f ca="1">SUM(BX1419:$CO1419)/BX1418/SQRT(1+BX1417)</f>
        <v>0</v>
      </c>
      <c r="BY1420" s="10">
        <f ca="1">SUM(BY1419:$CO1419)/BY1418/SQRT(1+BY1417)</f>
        <v>0</v>
      </c>
      <c r="BZ1420" s="10">
        <f ca="1">SUM(BZ1419:$CO1419)/BZ1418/SQRT(1+BZ1417)</f>
        <v>0</v>
      </c>
      <c r="CA1420" s="10">
        <f ca="1">SUM(CA1419:$CO1419)/CA1418/SQRT(1+CA1417)</f>
        <v>0</v>
      </c>
      <c r="CB1420" s="10">
        <f ca="1">SUM(CB1419:$CO1419)/CB1418/SQRT(1+CB1417)</f>
        <v>0</v>
      </c>
      <c r="CC1420" s="10">
        <f ca="1">SUM(CC1419:$CO1419)/CC1418/SQRT(1+CC1417)</f>
        <v>0</v>
      </c>
      <c r="CD1420" s="10">
        <f ca="1">SUM(CD1419:$CO1419)/CD1418/SQRT(1+CD1417)</f>
        <v>0</v>
      </c>
      <c r="CE1420" s="10">
        <f ca="1">SUM(CE1419:$CO1419)/CE1418/SQRT(1+CE1417)</f>
        <v>0</v>
      </c>
      <c r="CF1420" s="10">
        <f ca="1">SUM(CF1419:$CO1419)/CF1418/SQRT(1+CF1417)</f>
        <v>0</v>
      </c>
      <c r="CG1420" s="10">
        <f ca="1">SUM(CG1419:$CO1419)/CG1418/SQRT(1+CG1417)</f>
        <v>0</v>
      </c>
      <c r="CH1420" s="10">
        <f ca="1">SUM(CH1419:$CO1419)/CH1418/SQRT(1+CH1417)</f>
        <v>0</v>
      </c>
      <c r="CI1420" s="10">
        <f ca="1">SUM(CI1419:$CO1419)/CI1418/SQRT(1+CI1417)</f>
        <v>0</v>
      </c>
      <c r="CJ1420" s="10">
        <f ca="1">SUM(CJ1419:$CO1419)/CJ1418/SQRT(1+CJ1417)</f>
        <v>0</v>
      </c>
      <c r="CK1420" s="10">
        <f ca="1">SUM(CK1419:$CO1419)/CK1418/SQRT(1+CK1417)</f>
        <v>0</v>
      </c>
      <c r="CL1420" s="10">
        <f ca="1">SUM(CL1419:$CO1419)/CL1418/SQRT(1+CL1417)</f>
        <v>0</v>
      </c>
      <c r="CM1420" s="10">
        <f ca="1">SUM(CM1419:$CO1419)/CM1418/SQRT(1+CM1417)</f>
        <v>0</v>
      </c>
      <c r="CN1420" s="10">
        <f ca="1">SUM(CN1419:$CO1419)/CN1418/SQRT(1+CN1417)</f>
        <v>0</v>
      </c>
      <c r="CO1420" s="10">
        <f ca="1">SUM(CO1419:$CO1419)/CO1418/SQRT(1+CO1417)</f>
        <v>0</v>
      </c>
    </row>
    <row r="1421" spans="1:93">
      <c r="A1421" s="10"/>
      <c r="B1421" s="10"/>
      <c r="C1421" s="17"/>
      <c r="D1421" s="10"/>
      <c r="E1421" s="10"/>
      <c r="F1421" s="10"/>
      <c r="G1421" s="11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0"/>
      <c r="AH1421" s="10"/>
      <c r="AI1421" s="10"/>
      <c r="AJ1421" s="10"/>
      <c r="AK1421" s="10"/>
      <c r="AL1421" s="10"/>
      <c r="AM1421" s="10"/>
      <c r="AN1421" s="10"/>
      <c r="AO1421" s="10"/>
      <c r="AP1421" s="10"/>
      <c r="AQ1421" s="10"/>
      <c r="AR1421" s="10"/>
      <c r="AS1421" s="10"/>
      <c r="AT1421" s="10"/>
      <c r="AU1421" s="10"/>
      <c r="AV1421" s="10"/>
      <c r="AW1421" s="10"/>
      <c r="AX1421" s="10"/>
      <c r="AY1421" s="10"/>
      <c r="AZ1421" s="10"/>
      <c r="BA1421" s="10"/>
      <c r="BB1421" s="10"/>
      <c r="BC1421" s="10"/>
      <c r="BD1421" s="10"/>
      <c r="BE1421" s="10"/>
      <c r="BF1421" s="10"/>
      <c r="BG1421" s="10"/>
      <c r="BH1421" s="10"/>
      <c r="BI1421" s="10"/>
      <c r="BJ1421" s="10"/>
      <c r="BK1421" s="10"/>
      <c r="BL1421" s="10"/>
      <c r="BM1421" s="10"/>
      <c r="BN1421" s="10"/>
      <c r="BO1421" s="10"/>
      <c r="BP1421" s="10"/>
      <c r="BQ1421" s="10"/>
      <c r="BR1421" s="10"/>
      <c r="BS1421" s="10"/>
      <c r="BT1421" s="10"/>
      <c r="BU1421" s="10"/>
      <c r="BV1421" s="10"/>
      <c r="BW1421" s="10"/>
      <c r="BX1421" s="10"/>
      <c r="BY1421" s="10"/>
      <c r="BZ1421" s="10"/>
      <c r="CA1421" s="10"/>
      <c r="CB1421" s="10"/>
      <c r="CC1421" s="10"/>
      <c r="CD1421" s="10"/>
      <c r="CE1421" s="10"/>
      <c r="CF1421" s="10"/>
      <c r="CG1421" s="10"/>
      <c r="CH1421" s="10"/>
      <c r="CI1421" s="10"/>
      <c r="CJ1421" s="10"/>
      <c r="CK1421" s="10"/>
      <c r="CL1421" s="10"/>
      <c r="CM1421" s="10"/>
      <c r="CN1421" s="10"/>
      <c r="CO1421" s="10"/>
    </row>
    <row r="1422" spans="1:93">
      <c r="A1422" s="10"/>
      <c r="B1422" s="10"/>
      <c r="C1422" s="17" t="s">
        <v>436</v>
      </c>
      <c r="D1422" s="10"/>
      <c r="E1422" s="10"/>
      <c r="F1422" s="10"/>
      <c r="G1422" s="11" t="s">
        <v>378</v>
      </c>
      <c r="H1422" s="10"/>
      <c r="I1422" s="10"/>
      <c r="J1422" s="10"/>
      <c r="K1422" s="10"/>
      <c r="L1422" s="454" t="str">
        <f t="shared" ref="L1422:AQ1422" ca="1" si="1686" xml:space="preserve"> IF(OR(L1412=0,L1413=0),"н.пр.",(L1420+IF($E$1117="да",Cash_BoP,0))/L1415)</f>
        <v>н.пр.</v>
      </c>
      <c r="M1422" s="454" t="str">
        <f t="shared" ca="1" si="1686"/>
        <v>н.пр.</v>
      </c>
      <c r="N1422" s="454" t="str">
        <f t="shared" ca="1" si="1686"/>
        <v>н.пр.</v>
      </c>
      <c r="O1422" s="454" t="str">
        <f t="shared" ca="1" si="1686"/>
        <v>н.пр.</v>
      </c>
      <c r="P1422" s="454" t="str">
        <f t="shared" ca="1" si="1686"/>
        <v>н.пр.</v>
      </c>
      <c r="Q1422" s="454" t="str">
        <f t="shared" ca="1" si="1686"/>
        <v>н.пр.</v>
      </c>
      <c r="R1422" s="454" t="str">
        <f t="shared" ca="1" si="1686"/>
        <v>н.пр.</v>
      </c>
      <c r="S1422" s="454" t="str">
        <f t="shared" ca="1" si="1686"/>
        <v>н.пр.</v>
      </c>
      <c r="T1422" s="454" t="str">
        <f t="shared" ca="1" si="1686"/>
        <v>н.пр.</v>
      </c>
      <c r="U1422" s="454" t="str">
        <f t="shared" ca="1" si="1686"/>
        <v>н.пр.</v>
      </c>
      <c r="V1422" s="454" t="str">
        <f t="shared" ca="1" si="1686"/>
        <v>н.пр.</v>
      </c>
      <c r="W1422" s="454" t="str">
        <f t="shared" ca="1" si="1686"/>
        <v>н.пр.</v>
      </c>
      <c r="X1422" s="454" t="str">
        <f t="shared" ca="1" si="1686"/>
        <v>н.пр.</v>
      </c>
      <c r="Y1422" s="454" t="str">
        <f t="shared" ca="1" si="1686"/>
        <v>н.пр.</v>
      </c>
      <c r="Z1422" s="454" t="str">
        <f t="shared" ca="1" si="1686"/>
        <v>н.пр.</v>
      </c>
      <c r="AA1422" s="454" t="str">
        <f t="shared" ca="1" si="1686"/>
        <v>н.пр.</v>
      </c>
      <c r="AB1422" s="454" t="str">
        <f t="shared" ca="1" si="1686"/>
        <v>н.пр.</v>
      </c>
      <c r="AC1422" s="454">
        <f t="shared" ca="1" si="1686"/>
        <v>1.2272836086743872</v>
      </c>
      <c r="AD1422" s="454">
        <f t="shared" ca="1" si="1686"/>
        <v>1.2307334229243339</v>
      </c>
      <c r="AE1422" s="454">
        <f t="shared" ca="1" si="1686"/>
        <v>1.2327508544051342</v>
      </c>
      <c r="AF1422" s="454">
        <f t="shared" ca="1" si="1686"/>
        <v>1.2340506822268622</v>
      </c>
      <c r="AG1422" s="454">
        <f t="shared" ca="1" si="1686"/>
        <v>1.235033295165727</v>
      </c>
      <c r="AH1422" s="454">
        <f t="shared" ca="1" si="1686"/>
        <v>1.2360381931724731</v>
      </c>
      <c r="AI1422" s="454">
        <f t="shared" ca="1" si="1686"/>
        <v>1.2383853824477251</v>
      </c>
      <c r="AJ1422" s="454">
        <f t="shared" ca="1" si="1686"/>
        <v>1.241132592375126</v>
      </c>
      <c r="AK1422" s="454">
        <f t="shared" ca="1" si="1686"/>
        <v>1.2431081408203442</v>
      </c>
      <c r="AL1422" s="454">
        <f t="shared" ca="1" si="1686"/>
        <v>1.2454007671812777</v>
      </c>
      <c r="AM1422" s="454">
        <f t="shared" ca="1" si="1686"/>
        <v>1.2510221208766164</v>
      </c>
      <c r="AN1422" s="454">
        <f t="shared" ca="1" si="1686"/>
        <v>1.2584493008785942</v>
      </c>
      <c r="AO1422" s="454">
        <f t="shared" ca="1" si="1686"/>
        <v>1.2639601935101097</v>
      </c>
      <c r="AP1422" s="454">
        <f t="shared" ca="1" si="1686"/>
        <v>1.2716248618130237</v>
      </c>
      <c r="AQ1422" s="454">
        <f t="shared" ca="1" si="1686"/>
        <v>1.2941983699623223</v>
      </c>
      <c r="AR1422" s="454">
        <f t="shared" ref="AR1422:BW1422" ca="1" si="1687" xml:space="preserve"> IF(OR(AR1412=0,AR1413=0),"н.пр.",(AR1420+IF($E$1117="да",Cash_BoP,0))/AR1415)</f>
        <v>1.3380735597999451</v>
      </c>
      <c r="AS1422" s="454">
        <f t="shared" ca="1" si="1687"/>
        <v>1.3877451633206055</v>
      </c>
      <c r="AT1422" s="454">
        <f t="shared" ca="1" si="1687"/>
        <v>1.5083216912335797</v>
      </c>
      <c r="AU1422" s="454" t="str">
        <f t="shared" ca="1" si="1687"/>
        <v>н.пр.</v>
      </c>
      <c r="AV1422" s="454" t="str">
        <f t="shared" ca="1" si="1687"/>
        <v>н.пр.</v>
      </c>
      <c r="AW1422" s="454" t="str">
        <f t="shared" ca="1" si="1687"/>
        <v>н.пр.</v>
      </c>
      <c r="AX1422" s="454" t="str">
        <f t="shared" ca="1" si="1687"/>
        <v>н.пр.</v>
      </c>
      <c r="AY1422" s="454" t="str">
        <f t="shared" ca="1" si="1687"/>
        <v>н.пр.</v>
      </c>
      <c r="AZ1422" s="454" t="str">
        <f t="shared" ca="1" si="1687"/>
        <v>н.пр.</v>
      </c>
      <c r="BA1422" s="454" t="str">
        <f t="shared" ca="1" si="1687"/>
        <v>н.пр.</v>
      </c>
      <c r="BB1422" s="454" t="str">
        <f t="shared" ca="1" si="1687"/>
        <v>н.пр.</v>
      </c>
      <c r="BC1422" s="454" t="str">
        <f t="shared" ca="1" si="1687"/>
        <v>н.пр.</v>
      </c>
      <c r="BD1422" s="454" t="str">
        <f t="shared" ca="1" si="1687"/>
        <v>н.пр.</v>
      </c>
      <c r="BE1422" s="454" t="str">
        <f t="shared" ca="1" si="1687"/>
        <v>н.пр.</v>
      </c>
      <c r="BF1422" s="454" t="str">
        <f t="shared" ca="1" si="1687"/>
        <v>н.пр.</v>
      </c>
      <c r="BG1422" s="454" t="str">
        <f t="shared" ca="1" si="1687"/>
        <v>н.пр.</v>
      </c>
      <c r="BH1422" s="454" t="str">
        <f t="shared" ca="1" si="1687"/>
        <v>н.пр.</v>
      </c>
      <c r="BI1422" s="454" t="str">
        <f t="shared" ca="1" si="1687"/>
        <v>н.пр.</v>
      </c>
      <c r="BJ1422" s="454" t="str">
        <f t="shared" ca="1" si="1687"/>
        <v>н.пр.</v>
      </c>
      <c r="BK1422" s="454" t="str">
        <f t="shared" ca="1" si="1687"/>
        <v>н.пр.</v>
      </c>
      <c r="BL1422" s="454" t="str">
        <f t="shared" ca="1" si="1687"/>
        <v>н.пр.</v>
      </c>
      <c r="BM1422" s="454" t="str">
        <f t="shared" ca="1" si="1687"/>
        <v>н.пр.</v>
      </c>
      <c r="BN1422" s="454" t="str">
        <f t="shared" ca="1" si="1687"/>
        <v>н.пр.</v>
      </c>
      <c r="BO1422" s="454" t="str">
        <f t="shared" ca="1" si="1687"/>
        <v>н.пр.</v>
      </c>
      <c r="BP1422" s="454" t="str">
        <f t="shared" ca="1" si="1687"/>
        <v>н.пр.</v>
      </c>
      <c r="BQ1422" s="454" t="str">
        <f t="shared" ca="1" si="1687"/>
        <v>н.пр.</v>
      </c>
      <c r="BR1422" s="454" t="str">
        <f t="shared" ca="1" si="1687"/>
        <v>н.пр.</v>
      </c>
      <c r="BS1422" s="454" t="str">
        <f t="shared" ca="1" si="1687"/>
        <v>н.пр.</v>
      </c>
      <c r="BT1422" s="454" t="str">
        <f t="shared" ca="1" si="1687"/>
        <v>н.пр.</v>
      </c>
      <c r="BU1422" s="454" t="str">
        <f t="shared" ca="1" si="1687"/>
        <v>н.пр.</v>
      </c>
      <c r="BV1422" s="454" t="str">
        <f t="shared" ca="1" si="1687"/>
        <v>н.пр.</v>
      </c>
      <c r="BW1422" s="454" t="str">
        <f t="shared" ca="1" si="1687"/>
        <v>н.пр.</v>
      </c>
      <c r="BX1422" s="454" t="str">
        <f t="shared" ref="BX1422:CO1422" ca="1" si="1688" xml:space="preserve"> IF(OR(BX1412=0,BX1413=0),"н.пр.",(BX1420+IF($E$1117="да",Cash_BoP,0))/BX1415)</f>
        <v>н.пр.</v>
      </c>
      <c r="BY1422" s="454" t="str">
        <f t="shared" ca="1" si="1688"/>
        <v>н.пр.</v>
      </c>
      <c r="BZ1422" s="454" t="str">
        <f t="shared" ca="1" si="1688"/>
        <v>н.пр.</v>
      </c>
      <c r="CA1422" s="454" t="str">
        <f t="shared" ca="1" si="1688"/>
        <v>н.пр.</v>
      </c>
      <c r="CB1422" s="454" t="str">
        <f t="shared" ca="1" si="1688"/>
        <v>н.пр.</v>
      </c>
      <c r="CC1422" s="454" t="str">
        <f t="shared" ca="1" si="1688"/>
        <v>н.пр.</v>
      </c>
      <c r="CD1422" s="454" t="str">
        <f t="shared" ca="1" si="1688"/>
        <v>н.пр.</v>
      </c>
      <c r="CE1422" s="454" t="str">
        <f t="shared" ca="1" si="1688"/>
        <v>н.пр.</v>
      </c>
      <c r="CF1422" s="454" t="str">
        <f t="shared" ca="1" si="1688"/>
        <v>н.пр.</v>
      </c>
      <c r="CG1422" s="454" t="str">
        <f t="shared" ca="1" si="1688"/>
        <v>н.пр.</v>
      </c>
      <c r="CH1422" s="454" t="str">
        <f t="shared" ca="1" si="1688"/>
        <v>н.пр.</v>
      </c>
      <c r="CI1422" s="454" t="str">
        <f t="shared" ca="1" si="1688"/>
        <v>н.пр.</v>
      </c>
      <c r="CJ1422" s="454" t="str">
        <f t="shared" ca="1" si="1688"/>
        <v>н.пр.</v>
      </c>
      <c r="CK1422" s="454" t="str">
        <f t="shared" ca="1" si="1688"/>
        <v>н.пр.</v>
      </c>
      <c r="CL1422" s="454" t="str">
        <f t="shared" ca="1" si="1688"/>
        <v>н.пр.</v>
      </c>
      <c r="CM1422" s="454" t="str">
        <f t="shared" ca="1" si="1688"/>
        <v>н.пр.</v>
      </c>
      <c r="CN1422" s="454" t="str">
        <f t="shared" ca="1" si="1688"/>
        <v>н.пр.</v>
      </c>
      <c r="CO1422" s="454" t="str">
        <f t="shared" ca="1" si="1688"/>
        <v>н.пр.</v>
      </c>
    </row>
    <row r="1423" spans="1:93">
      <c r="A1423" s="10"/>
      <c r="B1423" s="10"/>
      <c r="C1423" s="17"/>
      <c r="D1423" s="10"/>
      <c r="E1423" s="10"/>
      <c r="F1423" s="10"/>
      <c r="G1423" s="11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99"/>
      <c r="T1423" s="199"/>
      <c r="U1423" s="199"/>
      <c r="V1423" s="199"/>
      <c r="W1423" s="199"/>
      <c r="X1423" s="199"/>
      <c r="Y1423" s="199"/>
      <c r="Z1423" s="199"/>
      <c r="AA1423" s="199"/>
      <c r="AB1423" s="199"/>
      <c r="AC1423" s="199"/>
      <c r="AD1423" s="199"/>
      <c r="AE1423" s="199"/>
      <c r="AF1423" s="199"/>
      <c r="AG1423" s="199"/>
      <c r="AH1423" s="199"/>
      <c r="AI1423" s="199"/>
      <c r="AJ1423" s="199"/>
      <c r="AK1423" s="199"/>
      <c r="AL1423" s="199"/>
      <c r="AM1423" s="199"/>
      <c r="AN1423" s="199"/>
      <c r="AO1423" s="199"/>
      <c r="AP1423" s="199"/>
      <c r="AQ1423" s="199"/>
      <c r="AR1423" s="199"/>
      <c r="AS1423" s="199"/>
      <c r="AT1423" s="10"/>
      <c r="AU1423" s="10"/>
      <c r="AV1423" s="10"/>
      <c r="AW1423" s="10"/>
      <c r="AX1423" s="10"/>
      <c r="AY1423" s="10"/>
      <c r="AZ1423" s="10"/>
      <c r="BA1423" s="10"/>
      <c r="BB1423" s="10"/>
      <c r="BC1423" s="10"/>
      <c r="BD1423" s="10"/>
      <c r="BE1423" s="10"/>
      <c r="BF1423" s="10"/>
      <c r="BG1423" s="10"/>
      <c r="BH1423" s="10"/>
      <c r="BI1423" s="10"/>
      <c r="BJ1423" s="10"/>
      <c r="BK1423" s="10"/>
      <c r="BL1423" s="10"/>
      <c r="BM1423" s="10"/>
      <c r="BN1423" s="10"/>
      <c r="BO1423" s="10"/>
      <c r="BP1423" s="10"/>
      <c r="BQ1423" s="10"/>
      <c r="BR1423" s="10"/>
      <c r="BS1423" s="10"/>
      <c r="BT1423" s="10"/>
      <c r="BU1423" s="10"/>
      <c r="BV1423" s="10"/>
      <c r="BW1423" s="10"/>
      <c r="BX1423" s="10"/>
      <c r="BY1423" s="10"/>
      <c r="BZ1423" s="10"/>
      <c r="CA1423" s="10"/>
      <c r="CB1423" s="10"/>
      <c r="CC1423" s="10"/>
      <c r="CD1423" s="10"/>
      <c r="CE1423" s="10"/>
      <c r="CF1423" s="10"/>
      <c r="CG1423" s="10"/>
      <c r="CH1423" s="10"/>
      <c r="CI1423" s="10"/>
      <c r="CJ1423" s="10"/>
      <c r="CK1423" s="10"/>
      <c r="CL1423" s="10"/>
      <c r="CM1423" s="10"/>
      <c r="CN1423" s="10"/>
      <c r="CO1423" s="10"/>
    </row>
    <row r="1424" spans="1:93">
      <c r="A1424" s="10"/>
      <c r="B1424" s="10"/>
      <c r="C1424" s="17" t="s">
        <v>248</v>
      </c>
      <c r="D1424" s="10"/>
      <c r="E1424" s="195">
        <f t="array" aca="1" ref="E1424" ca="1">AVERAGE(IF(L1422:CO1422&lt;&gt;0,L1422:CO1422))</f>
        <v>1.2742951222660104</v>
      </c>
      <c r="F1424" s="10"/>
      <c r="G1424" s="11" t="s">
        <v>378</v>
      </c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0"/>
      <c r="AH1424" s="10"/>
      <c r="AI1424" s="10"/>
      <c r="AJ1424" s="10"/>
      <c r="AK1424" s="10"/>
      <c r="AL1424" s="10"/>
      <c r="AM1424" s="10"/>
      <c r="AN1424" s="10"/>
      <c r="AO1424" s="10"/>
      <c r="AP1424" s="10"/>
      <c r="AQ1424" s="10"/>
      <c r="AR1424" s="10"/>
      <c r="AS1424" s="10"/>
      <c r="AT1424" s="10"/>
      <c r="AU1424" s="10"/>
      <c r="AV1424" s="10"/>
      <c r="AW1424" s="10"/>
      <c r="AX1424" s="10"/>
      <c r="AY1424" s="10"/>
      <c r="AZ1424" s="10"/>
      <c r="BA1424" s="10"/>
      <c r="BB1424" s="10"/>
      <c r="BC1424" s="10"/>
      <c r="BD1424" s="10"/>
      <c r="BE1424" s="10"/>
      <c r="BF1424" s="10"/>
      <c r="BG1424" s="10"/>
      <c r="BH1424" s="10"/>
      <c r="BI1424" s="10"/>
      <c r="BJ1424" s="10"/>
      <c r="BK1424" s="10"/>
      <c r="BL1424" s="10"/>
      <c r="BM1424" s="10"/>
      <c r="BN1424" s="10"/>
      <c r="BO1424" s="10"/>
      <c r="BP1424" s="10"/>
      <c r="BQ1424" s="10"/>
      <c r="BR1424" s="10"/>
      <c r="BS1424" s="10"/>
      <c r="BT1424" s="10"/>
      <c r="BU1424" s="10"/>
      <c r="BV1424" s="10"/>
      <c r="BW1424" s="10"/>
      <c r="BX1424" s="10"/>
      <c r="BY1424" s="10"/>
      <c r="BZ1424" s="10"/>
      <c r="CA1424" s="10"/>
      <c r="CB1424" s="10"/>
      <c r="CC1424" s="10"/>
      <c r="CD1424" s="10"/>
      <c r="CE1424" s="10"/>
      <c r="CF1424" s="10"/>
      <c r="CG1424" s="10"/>
      <c r="CH1424" s="10"/>
      <c r="CI1424" s="10"/>
      <c r="CJ1424" s="10"/>
      <c r="CK1424" s="10"/>
      <c r="CL1424" s="10"/>
      <c r="CM1424" s="10"/>
      <c r="CN1424" s="10"/>
      <c r="CO1424" s="10"/>
    </row>
    <row r="1425" spans="1:93">
      <c r="A1425" s="10"/>
      <c r="B1425" s="10"/>
      <c r="C1425" s="17" t="s">
        <v>249</v>
      </c>
      <c r="D1425" s="10"/>
      <c r="E1425" s="195">
        <f t="array" aca="1" ref="E1425" ca="1">MIN(IF(L1422:CO1422&lt;&gt;0,L1422:CO1422))</f>
        <v>1.2272836086743872</v>
      </c>
      <c r="F1425" s="10"/>
      <c r="G1425" s="11" t="s">
        <v>378</v>
      </c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0"/>
      <c r="AH1425" s="10"/>
      <c r="AI1425" s="10"/>
      <c r="AJ1425" s="10"/>
      <c r="AK1425" s="10"/>
      <c r="AL1425" s="10"/>
      <c r="AM1425" s="10"/>
      <c r="AN1425" s="10"/>
      <c r="AO1425" s="10"/>
      <c r="AP1425" s="10"/>
      <c r="AQ1425" s="10"/>
      <c r="AR1425" s="10"/>
      <c r="AS1425" s="10"/>
      <c r="AT1425" s="10"/>
      <c r="AU1425" s="10"/>
      <c r="AV1425" s="10"/>
      <c r="AW1425" s="10"/>
      <c r="AX1425" s="10"/>
      <c r="AY1425" s="10"/>
      <c r="AZ1425" s="10"/>
      <c r="BA1425" s="10"/>
      <c r="BB1425" s="10"/>
      <c r="BC1425" s="10"/>
      <c r="BD1425" s="10"/>
      <c r="BE1425" s="10"/>
      <c r="BF1425" s="10"/>
      <c r="BG1425" s="10"/>
      <c r="BH1425" s="10"/>
      <c r="BI1425" s="10"/>
      <c r="BJ1425" s="10"/>
      <c r="BK1425" s="10"/>
      <c r="BL1425" s="10"/>
      <c r="BM1425" s="10"/>
      <c r="BN1425" s="10"/>
      <c r="BO1425" s="10"/>
      <c r="BP1425" s="10"/>
      <c r="BQ1425" s="10"/>
      <c r="BR1425" s="10"/>
      <c r="BS1425" s="10"/>
      <c r="BT1425" s="10"/>
      <c r="BU1425" s="10"/>
      <c r="BV1425" s="10"/>
      <c r="BW1425" s="10"/>
      <c r="BX1425" s="10"/>
      <c r="BY1425" s="10"/>
      <c r="BZ1425" s="10"/>
      <c r="CA1425" s="10"/>
      <c r="CB1425" s="10"/>
      <c r="CC1425" s="10"/>
      <c r="CD1425" s="10"/>
      <c r="CE1425" s="10"/>
      <c r="CF1425" s="10"/>
      <c r="CG1425" s="10"/>
      <c r="CH1425" s="10"/>
      <c r="CI1425" s="10"/>
      <c r="CJ1425" s="10"/>
      <c r="CK1425" s="10"/>
      <c r="CL1425" s="10"/>
      <c r="CM1425" s="10"/>
      <c r="CN1425" s="10"/>
      <c r="CO1425" s="10"/>
    </row>
    <row r="1426" spans="1:93">
      <c r="A1426" s="10"/>
      <c r="B1426" s="10"/>
      <c r="C1426" s="17" t="s">
        <v>150</v>
      </c>
      <c r="D1426" s="10"/>
      <c r="E1426" s="10"/>
      <c r="F1426" s="10"/>
      <c r="G1426" s="11"/>
      <c r="H1426" s="10"/>
      <c r="I1426" s="10"/>
      <c r="J1426" s="10"/>
      <c r="K1426" s="10"/>
      <c r="L1426" s="10">
        <f ca="1">L1355/L1429</f>
        <v>-3.7188612249316697</v>
      </c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0"/>
      <c r="AH1426" s="10"/>
      <c r="AI1426" s="10"/>
      <c r="AJ1426" s="10"/>
      <c r="AK1426" s="10"/>
      <c r="AL1426" s="10"/>
      <c r="AM1426" s="10"/>
      <c r="AN1426" s="10"/>
      <c r="AO1426" s="10"/>
      <c r="AP1426" s="10"/>
      <c r="AQ1426" s="10"/>
      <c r="AR1426" s="10"/>
      <c r="AS1426" s="10"/>
      <c r="AT1426" s="10"/>
      <c r="AU1426" s="10"/>
      <c r="AV1426" s="10"/>
      <c r="AW1426" s="10"/>
      <c r="AX1426" s="10"/>
      <c r="AY1426" s="10"/>
      <c r="AZ1426" s="10"/>
      <c r="BA1426" s="10"/>
      <c r="BB1426" s="10"/>
      <c r="BC1426" s="10"/>
      <c r="BD1426" s="10"/>
      <c r="BE1426" s="10"/>
      <c r="BF1426" s="10"/>
      <c r="BG1426" s="10"/>
      <c r="BH1426" s="10"/>
      <c r="BI1426" s="10"/>
      <c r="BJ1426" s="10"/>
      <c r="BK1426" s="10"/>
      <c r="BL1426" s="10"/>
      <c r="BM1426" s="10"/>
      <c r="BN1426" s="10"/>
      <c r="BO1426" s="10"/>
      <c r="BP1426" s="10"/>
      <c r="BQ1426" s="10"/>
      <c r="BR1426" s="10"/>
      <c r="BS1426" s="10"/>
      <c r="BT1426" s="10"/>
      <c r="BU1426" s="10"/>
      <c r="BV1426" s="10"/>
      <c r="BW1426" s="10"/>
      <c r="BX1426" s="10"/>
      <c r="BY1426" s="10"/>
      <c r="BZ1426" s="10"/>
      <c r="CA1426" s="10"/>
      <c r="CB1426" s="10"/>
      <c r="CC1426" s="10"/>
      <c r="CD1426" s="10"/>
      <c r="CE1426" s="10"/>
      <c r="CF1426" s="10"/>
      <c r="CG1426" s="10"/>
      <c r="CH1426" s="10"/>
      <c r="CI1426" s="10"/>
      <c r="CJ1426" s="10"/>
      <c r="CK1426" s="10"/>
      <c r="CL1426" s="10"/>
      <c r="CM1426" s="10"/>
      <c r="CN1426" s="10"/>
      <c r="CO1426" s="10"/>
    </row>
    <row r="1427" spans="1:93">
      <c r="A1427" s="10"/>
      <c r="B1427" s="10"/>
      <c r="C1427" s="198" t="s">
        <v>426</v>
      </c>
      <c r="D1427" s="10"/>
      <c r="E1427" s="10"/>
      <c r="F1427" s="10"/>
      <c r="G1427" s="11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0"/>
      <c r="AH1427" s="10"/>
      <c r="AI1427" s="10"/>
      <c r="AJ1427" s="10"/>
      <c r="AK1427" s="10"/>
      <c r="AL1427" s="10"/>
      <c r="AM1427" s="10"/>
      <c r="AN1427" s="10"/>
      <c r="AO1427" s="10"/>
      <c r="AP1427" s="10"/>
      <c r="AQ1427" s="10"/>
      <c r="AR1427" s="10"/>
      <c r="AS1427" s="10"/>
      <c r="AT1427" s="10"/>
      <c r="AU1427" s="10"/>
      <c r="AV1427" s="10"/>
      <c r="AW1427" s="10"/>
      <c r="AX1427" s="10"/>
      <c r="AY1427" s="10"/>
      <c r="AZ1427" s="10"/>
      <c r="BA1427" s="10"/>
      <c r="BB1427" s="10"/>
      <c r="BC1427" s="10"/>
      <c r="BD1427" s="10"/>
      <c r="BE1427" s="10"/>
      <c r="BF1427" s="10"/>
      <c r="BG1427" s="10"/>
      <c r="BH1427" s="10"/>
      <c r="BI1427" s="10"/>
      <c r="BJ1427" s="10"/>
      <c r="BK1427" s="10"/>
      <c r="BL1427" s="10"/>
      <c r="BM1427" s="10"/>
      <c r="BN1427" s="10"/>
      <c r="BO1427" s="10"/>
      <c r="BP1427" s="10"/>
      <c r="BQ1427" s="10"/>
      <c r="BR1427" s="10"/>
      <c r="BS1427" s="10"/>
      <c r="BT1427" s="10"/>
      <c r="BU1427" s="10"/>
      <c r="BV1427" s="10"/>
      <c r="BW1427" s="10"/>
      <c r="BX1427" s="10"/>
      <c r="BY1427" s="10"/>
      <c r="BZ1427" s="10"/>
      <c r="CA1427" s="10"/>
      <c r="CB1427" s="10"/>
      <c r="CC1427" s="10"/>
      <c r="CD1427" s="10"/>
      <c r="CE1427" s="10"/>
      <c r="CF1427" s="10"/>
      <c r="CG1427" s="10"/>
      <c r="CH1427" s="10"/>
      <c r="CI1427" s="10"/>
      <c r="CJ1427" s="10"/>
      <c r="CK1427" s="10"/>
      <c r="CL1427" s="10"/>
      <c r="CM1427" s="10"/>
      <c r="CN1427" s="10"/>
      <c r="CO1427" s="10"/>
    </row>
    <row r="1428" spans="1:93">
      <c r="A1428" s="10"/>
      <c r="B1428" s="10"/>
      <c r="C1428" s="17" t="s">
        <v>348</v>
      </c>
      <c r="D1428" s="10"/>
      <c r="E1428" s="10"/>
      <c r="F1428" s="10"/>
      <c r="G1428" s="11" t="str">
        <f>Monetary_Unit</f>
        <v>тыс. руб.</v>
      </c>
      <c r="H1428" s="10"/>
      <c r="I1428" s="10"/>
      <c r="J1428" s="10"/>
      <c r="K1428" s="10"/>
      <c r="L1428" s="52">
        <f t="shared" ref="L1428:BW1428" ca="1" si="1689">Debt_EoP</f>
        <v>0</v>
      </c>
      <c r="M1428" s="52">
        <f t="shared" ca="1" si="1689"/>
        <v>0</v>
      </c>
      <c r="N1428" s="52">
        <f t="shared" ca="1" si="1689"/>
        <v>0</v>
      </c>
      <c r="O1428" s="52">
        <f t="shared" ca="1" si="1689"/>
        <v>0</v>
      </c>
      <c r="P1428" s="52">
        <f t="shared" ca="1" si="1689"/>
        <v>0</v>
      </c>
      <c r="Q1428" s="52">
        <f t="shared" ca="1" si="1689"/>
        <v>0</v>
      </c>
      <c r="R1428" s="52">
        <f t="shared" ca="1" si="1689"/>
        <v>0</v>
      </c>
      <c r="S1428" s="52">
        <f t="shared" ca="1" si="1689"/>
        <v>0</v>
      </c>
      <c r="T1428" s="52">
        <f t="shared" ca="1" si="1689"/>
        <v>54925.998445192294</v>
      </c>
      <c r="U1428" s="52">
        <f t="shared" ca="1" si="1689"/>
        <v>241334.95009615706</v>
      </c>
      <c r="V1428" s="52">
        <f t="shared" ca="1" si="1689"/>
        <v>429580.66493210581</v>
      </c>
      <c r="W1428" s="52">
        <f t="shared" ca="1" si="1689"/>
        <v>619681.24132743443</v>
      </c>
      <c r="X1428" s="52">
        <f t="shared" ca="1" si="1689"/>
        <v>987256.73114388925</v>
      </c>
      <c r="Y1428" s="52">
        <f t="shared" ca="1" si="1689"/>
        <v>1358454.091698942</v>
      </c>
      <c r="Z1428" s="52">
        <f t="shared" ca="1" si="1689"/>
        <v>1733309.0107574479</v>
      </c>
      <c r="AA1428" s="52">
        <f t="shared" ca="1" si="1689"/>
        <v>2111857.5277303178</v>
      </c>
      <c r="AB1428" s="52">
        <f t="shared" ca="1" si="1689"/>
        <v>2771888.3794600694</v>
      </c>
      <c r="AC1428" s="52">
        <f t="shared" ca="1" si="1689"/>
        <v>2344957.2516447473</v>
      </c>
      <c r="AD1428" s="52">
        <f t="shared" ca="1" si="1689"/>
        <v>2136769.7000716003</v>
      </c>
      <c r="AE1428" s="52">
        <f t="shared" ca="1" si="1689"/>
        <v>2017993.7277197978</v>
      </c>
      <c r="AF1428" s="52">
        <f t="shared" ca="1" si="1689"/>
        <v>1962594.493968616</v>
      </c>
      <c r="AG1428" s="52">
        <f t="shared" ca="1" si="1689"/>
        <v>1897110.0613220145</v>
      </c>
      <c r="AH1428" s="52">
        <f t="shared" ca="1" si="1689"/>
        <v>1743894.451950738</v>
      </c>
      <c r="AI1428" s="52">
        <f t="shared" ca="1" si="1689"/>
        <v>1595325.642261199</v>
      </c>
      <c r="AJ1428" s="52">
        <f t="shared" ca="1" si="1689"/>
        <v>1520744.8199508614</v>
      </c>
      <c r="AK1428" s="52">
        <f t="shared" ca="1" si="1689"/>
        <v>1434686.7297717063</v>
      </c>
      <c r="AL1428" s="52">
        <f t="shared" ca="1" si="1689"/>
        <v>1247696.2264534044</v>
      </c>
      <c r="AM1428" s="52">
        <f t="shared" ca="1" si="1689"/>
        <v>1066198.5492529529</v>
      </c>
      <c r="AN1428" s="52">
        <f t="shared" ca="1" si="1689"/>
        <v>969315.88586949522</v>
      </c>
      <c r="AO1428" s="52">
        <f t="shared" ca="1" si="1689"/>
        <v>860133.2583737144</v>
      </c>
      <c r="AP1428" s="52">
        <f t="shared" ca="1" si="1689"/>
        <v>638877.17472442822</v>
      </c>
      <c r="AQ1428" s="52">
        <f t="shared" ca="1" si="1689"/>
        <v>426803.06275349879</v>
      </c>
      <c r="AR1428" s="52">
        <f t="shared" ca="1" si="1689"/>
        <v>312713.58332558116</v>
      </c>
      <c r="AS1428" s="52">
        <f t="shared" ca="1" si="1689"/>
        <v>189347.13450160954</v>
      </c>
      <c r="AT1428" s="52">
        <f t="shared" ca="1" si="1689"/>
        <v>0</v>
      </c>
      <c r="AU1428" s="52">
        <f t="shared" ca="1" si="1689"/>
        <v>0</v>
      </c>
      <c r="AV1428" s="52">
        <f t="shared" ca="1" si="1689"/>
        <v>0</v>
      </c>
      <c r="AW1428" s="52">
        <f t="shared" ca="1" si="1689"/>
        <v>0</v>
      </c>
      <c r="AX1428" s="52">
        <f t="shared" ca="1" si="1689"/>
        <v>0</v>
      </c>
      <c r="AY1428" s="52">
        <f t="shared" ca="1" si="1689"/>
        <v>0</v>
      </c>
      <c r="AZ1428" s="52">
        <f t="shared" ca="1" si="1689"/>
        <v>0</v>
      </c>
      <c r="BA1428" s="52">
        <f t="shared" ca="1" si="1689"/>
        <v>0</v>
      </c>
      <c r="BB1428" s="52">
        <f t="shared" ca="1" si="1689"/>
        <v>0</v>
      </c>
      <c r="BC1428" s="52">
        <f t="shared" ca="1" si="1689"/>
        <v>0</v>
      </c>
      <c r="BD1428" s="52">
        <f t="shared" ca="1" si="1689"/>
        <v>0</v>
      </c>
      <c r="BE1428" s="52">
        <f t="shared" ca="1" si="1689"/>
        <v>0</v>
      </c>
      <c r="BF1428" s="52">
        <f t="shared" ca="1" si="1689"/>
        <v>0</v>
      </c>
      <c r="BG1428" s="52">
        <f t="shared" ca="1" si="1689"/>
        <v>0</v>
      </c>
      <c r="BH1428" s="52">
        <f t="shared" ca="1" si="1689"/>
        <v>0</v>
      </c>
      <c r="BI1428" s="52">
        <f t="shared" ca="1" si="1689"/>
        <v>0</v>
      </c>
      <c r="BJ1428" s="52">
        <f t="shared" ca="1" si="1689"/>
        <v>0</v>
      </c>
      <c r="BK1428" s="52">
        <f t="shared" ca="1" si="1689"/>
        <v>0</v>
      </c>
      <c r="BL1428" s="52">
        <f t="shared" ca="1" si="1689"/>
        <v>0</v>
      </c>
      <c r="BM1428" s="52">
        <f t="shared" ca="1" si="1689"/>
        <v>0</v>
      </c>
      <c r="BN1428" s="52">
        <f t="shared" ca="1" si="1689"/>
        <v>0</v>
      </c>
      <c r="BO1428" s="52">
        <f t="shared" ca="1" si="1689"/>
        <v>0</v>
      </c>
      <c r="BP1428" s="52">
        <f t="shared" ca="1" si="1689"/>
        <v>0</v>
      </c>
      <c r="BQ1428" s="52">
        <f t="shared" ca="1" si="1689"/>
        <v>0</v>
      </c>
      <c r="BR1428" s="52">
        <f t="shared" ca="1" si="1689"/>
        <v>0</v>
      </c>
      <c r="BS1428" s="52">
        <f t="shared" ca="1" si="1689"/>
        <v>0</v>
      </c>
      <c r="BT1428" s="52">
        <f t="shared" ca="1" si="1689"/>
        <v>0</v>
      </c>
      <c r="BU1428" s="52">
        <f t="shared" ca="1" si="1689"/>
        <v>0</v>
      </c>
      <c r="BV1428" s="52">
        <f t="shared" ca="1" si="1689"/>
        <v>0</v>
      </c>
      <c r="BW1428" s="52">
        <f t="shared" ca="1" si="1689"/>
        <v>0</v>
      </c>
      <c r="BX1428" s="52">
        <f t="shared" ref="BX1428:CO1428" ca="1" si="1690">Debt_EoP</f>
        <v>0</v>
      </c>
      <c r="BY1428" s="52">
        <f t="shared" ca="1" si="1690"/>
        <v>0</v>
      </c>
      <c r="BZ1428" s="52">
        <f t="shared" ca="1" si="1690"/>
        <v>0</v>
      </c>
      <c r="CA1428" s="52">
        <f t="shared" ca="1" si="1690"/>
        <v>0</v>
      </c>
      <c r="CB1428" s="52">
        <f t="shared" ca="1" si="1690"/>
        <v>0</v>
      </c>
      <c r="CC1428" s="52">
        <f t="shared" ca="1" si="1690"/>
        <v>0</v>
      </c>
      <c r="CD1428" s="52">
        <f t="shared" ca="1" si="1690"/>
        <v>0</v>
      </c>
      <c r="CE1428" s="52">
        <f t="shared" ca="1" si="1690"/>
        <v>0</v>
      </c>
      <c r="CF1428" s="52">
        <f t="shared" ca="1" si="1690"/>
        <v>0</v>
      </c>
      <c r="CG1428" s="52">
        <f t="shared" ca="1" si="1690"/>
        <v>0</v>
      </c>
      <c r="CH1428" s="52">
        <f t="shared" ca="1" si="1690"/>
        <v>0</v>
      </c>
      <c r="CI1428" s="52">
        <f t="shared" ca="1" si="1690"/>
        <v>0</v>
      </c>
      <c r="CJ1428" s="52">
        <f t="shared" ca="1" si="1690"/>
        <v>0</v>
      </c>
      <c r="CK1428" s="52">
        <f t="shared" ca="1" si="1690"/>
        <v>0</v>
      </c>
      <c r="CL1428" s="52">
        <f t="shared" ca="1" si="1690"/>
        <v>0</v>
      </c>
      <c r="CM1428" s="52">
        <f t="shared" ca="1" si="1690"/>
        <v>0</v>
      </c>
      <c r="CN1428" s="52">
        <f t="shared" ca="1" si="1690"/>
        <v>0</v>
      </c>
      <c r="CO1428" s="52">
        <f t="shared" ca="1" si="1690"/>
        <v>0</v>
      </c>
    </row>
    <row r="1429" spans="1:93">
      <c r="A1429" s="10"/>
      <c r="B1429" s="10"/>
      <c r="C1429" s="17" t="s">
        <v>250</v>
      </c>
      <c r="D1429" s="10"/>
      <c r="E1429" s="10"/>
      <c r="F1429" s="10"/>
      <c r="G1429" s="11" t="str">
        <f>Monetary_Unit</f>
        <v>тыс. руб.</v>
      </c>
      <c r="H1429" s="10"/>
      <c r="I1429" s="10"/>
      <c r="J1429" s="10"/>
      <c r="K1429" s="10"/>
      <c r="L1429" s="52">
        <f t="shared" ref="L1429:BW1429" ca="1" si="1691">Equity_EoP+Subord_EoP</f>
        <v>20493.455029060042</v>
      </c>
      <c r="M1429" s="52">
        <f t="shared" ca="1" si="1691"/>
        <v>41824.099102423454</v>
      </c>
      <c r="N1429" s="52">
        <f t="shared" ca="1" si="1691"/>
        <v>64044.799891047514</v>
      </c>
      <c r="O1429" s="52">
        <f t="shared" ca="1" si="1691"/>
        <v>87190.228077079839</v>
      </c>
      <c r="P1429" s="52">
        <f t="shared" ca="1" si="1691"/>
        <v>268240.47792152874</v>
      </c>
      <c r="Q1429" s="52">
        <f t="shared" ca="1" si="1691"/>
        <v>454778.69211818883</v>
      </c>
      <c r="R1429" s="52">
        <f t="shared" ca="1" si="1691"/>
        <v>647089.64277460624</v>
      </c>
      <c r="S1429" s="52">
        <f t="shared" ca="1" si="1691"/>
        <v>845307.89527488174</v>
      </c>
      <c r="T1429" s="52">
        <f t="shared" ca="1" si="1691"/>
        <v>991200.18596727541</v>
      </c>
      <c r="U1429" s="52">
        <f t="shared" ca="1" si="1691"/>
        <v>1012972.594067378</v>
      </c>
      <c r="V1429" s="52">
        <f t="shared" ca="1" si="1691"/>
        <v>1038156.7198432287</v>
      </c>
      <c r="W1429" s="52">
        <f t="shared" ca="1" si="1691"/>
        <v>1066610.7065754647</v>
      </c>
      <c r="X1429" s="52">
        <f t="shared" ca="1" si="1691"/>
        <v>1099216.6921028483</v>
      </c>
      <c r="Y1429" s="52">
        <f t="shared" ca="1" si="1691"/>
        <v>1137567.6267915226</v>
      </c>
      <c r="Z1429" s="52">
        <f t="shared" ca="1" si="1691"/>
        <v>1182311.7344601969</v>
      </c>
      <c r="AA1429" s="52">
        <f t="shared" ca="1" si="1691"/>
        <v>1233205.0086856633</v>
      </c>
      <c r="AB1429" s="52">
        <f t="shared" ca="1" si="1691"/>
        <v>1291241.8307880303</v>
      </c>
      <c r="AC1429" s="52">
        <f t="shared" ca="1" si="1691"/>
        <v>1223682.0397042832</v>
      </c>
      <c r="AD1429" s="52">
        <f t="shared" ca="1" si="1691"/>
        <v>1198962.4463217563</v>
      </c>
      <c r="AE1429" s="52">
        <f t="shared" ca="1" si="1691"/>
        <v>1191866.4942022804</v>
      </c>
      <c r="AF1429" s="52">
        <f t="shared" ca="1" si="1691"/>
        <v>1197172.6128485396</v>
      </c>
      <c r="AG1429" s="52">
        <f t="shared" ca="1" si="1691"/>
        <v>1200975.6605556551</v>
      </c>
      <c r="AH1429" s="52">
        <f t="shared" ca="1" si="1691"/>
        <v>1187730.8071798903</v>
      </c>
      <c r="AI1429" s="52">
        <f t="shared" ca="1" si="1691"/>
        <v>1175393.2937442069</v>
      </c>
      <c r="AJ1429" s="52">
        <f t="shared" ca="1" si="1691"/>
        <v>1177471.5769575597</v>
      </c>
      <c r="AK1429" s="52">
        <f t="shared" ca="1" si="1691"/>
        <v>1177719.5784453009</v>
      </c>
      <c r="AL1429" s="52">
        <f t="shared" ca="1" si="1691"/>
        <v>1158222.1741331955</v>
      </c>
      <c r="AM1429" s="52">
        <f t="shared" ca="1" si="1691"/>
        <v>1139683.0526896801</v>
      </c>
      <c r="AN1429" s="52">
        <f t="shared" ca="1" si="1691"/>
        <v>1137704.5153504335</v>
      </c>
      <c r="AO1429" s="52">
        <f t="shared" ca="1" si="1691"/>
        <v>1133466.9547162387</v>
      </c>
      <c r="AP1429" s="52">
        <f t="shared" ca="1" si="1691"/>
        <v>1107168.9363104091</v>
      </c>
      <c r="AQ1429" s="52">
        <f t="shared" ca="1" si="1691"/>
        <v>1082432.244819547</v>
      </c>
      <c r="AR1429" s="52">
        <f t="shared" ca="1" si="1691"/>
        <v>1076712.5700682704</v>
      </c>
      <c r="AS1429" s="52">
        <f t="shared" ca="1" si="1691"/>
        <v>1069450.7024365831</v>
      </c>
      <c r="AT1429" s="52">
        <f t="shared" ca="1" si="1691"/>
        <v>992145.97739991453</v>
      </c>
      <c r="AU1429" s="52">
        <f t="shared" ca="1" si="1691"/>
        <v>737034.93116205069</v>
      </c>
      <c r="AV1429" s="52">
        <f t="shared" ca="1" si="1691"/>
        <v>598286.37158654723</v>
      </c>
      <c r="AW1429" s="52">
        <f t="shared" ca="1" si="1691"/>
        <v>533689.28402014531</v>
      </c>
      <c r="AX1429" s="52">
        <f t="shared" ca="1" si="1691"/>
        <v>533689.28402014531</v>
      </c>
      <c r="AY1429" s="52">
        <f t="shared" ca="1" si="1691"/>
        <v>533689.28402014531</v>
      </c>
      <c r="AZ1429" s="52">
        <f t="shared" ca="1" si="1691"/>
        <v>533689.28402014531</v>
      </c>
      <c r="BA1429" s="52">
        <f t="shared" ca="1" si="1691"/>
        <v>533689.28402014531</v>
      </c>
      <c r="BB1429" s="52">
        <f t="shared" ca="1" si="1691"/>
        <v>533689.28402014531</v>
      </c>
      <c r="BC1429" s="52">
        <f t="shared" ca="1" si="1691"/>
        <v>533689.28402014531</v>
      </c>
      <c r="BD1429" s="52">
        <f t="shared" ca="1" si="1691"/>
        <v>533689.28402014531</v>
      </c>
      <c r="BE1429" s="52">
        <f t="shared" ca="1" si="1691"/>
        <v>533689.28402014531</v>
      </c>
      <c r="BF1429" s="52">
        <f t="shared" ca="1" si="1691"/>
        <v>533689.28402014531</v>
      </c>
      <c r="BG1429" s="52">
        <f t="shared" ca="1" si="1691"/>
        <v>533689.28402014531</v>
      </c>
      <c r="BH1429" s="52">
        <f t="shared" ca="1" si="1691"/>
        <v>533689.28402014531</v>
      </c>
      <c r="BI1429" s="52">
        <f t="shared" ca="1" si="1691"/>
        <v>533689.28402014531</v>
      </c>
      <c r="BJ1429" s="52">
        <f t="shared" ca="1" si="1691"/>
        <v>533689.28402014531</v>
      </c>
      <c r="BK1429" s="52">
        <f t="shared" ca="1" si="1691"/>
        <v>533689.28402014531</v>
      </c>
      <c r="BL1429" s="52">
        <f t="shared" ca="1" si="1691"/>
        <v>533689.28402014531</v>
      </c>
      <c r="BM1429" s="52">
        <f t="shared" ca="1" si="1691"/>
        <v>533689.28402014531</v>
      </c>
      <c r="BN1429" s="52">
        <f t="shared" ca="1" si="1691"/>
        <v>533689.28402014531</v>
      </c>
      <c r="BO1429" s="52">
        <f t="shared" ca="1" si="1691"/>
        <v>533689.28402014531</v>
      </c>
      <c r="BP1429" s="52">
        <f t="shared" ca="1" si="1691"/>
        <v>533689.28402014531</v>
      </c>
      <c r="BQ1429" s="52">
        <f t="shared" ca="1" si="1691"/>
        <v>533689.28402014531</v>
      </c>
      <c r="BR1429" s="52">
        <f t="shared" ca="1" si="1691"/>
        <v>533689.28402014531</v>
      </c>
      <c r="BS1429" s="52">
        <f t="shared" ca="1" si="1691"/>
        <v>533689.28402014531</v>
      </c>
      <c r="BT1429" s="52">
        <f t="shared" ca="1" si="1691"/>
        <v>533689.28402014531</v>
      </c>
      <c r="BU1429" s="52">
        <f t="shared" ca="1" si="1691"/>
        <v>533689.28402014531</v>
      </c>
      <c r="BV1429" s="52">
        <f t="shared" ca="1" si="1691"/>
        <v>533689.28402014531</v>
      </c>
      <c r="BW1429" s="52">
        <f t="shared" ca="1" si="1691"/>
        <v>533689.28402014531</v>
      </c>
      <c r="BX1429" s="52">
        <f t="shared" ref="BX1429:CO1429" ca="1" si="1692">Equity_EoP+Subord_EoP</f>
        <v>533689.28402014531</v>
      </c>
      <c r="BY1429" s="52">
        <f t="shared" ca="1" si="1692"/>
        <v>533689.28402014531</v>
      </c>
      <c r="BZ1429" s="52">
        <f t="shared" ca="1" si="1692"/>
        <v>533689.28402014531</v>
      </c>
      <c r="CA1429" s="52">
        <f t="shared" ca="1" si="1692"/>
        <v>533689.28402014531</v>
      </c>
      <c r="CB1429" s="52">
        <f t="shared" ca="1" si="1692"/>
        <v>533689.28402014531</v>
      </c>
      <c r="CC1429" s="52">
        <f t="shared" ca="1" si="1692"/>
        <v>533689.28402014531</v>
      </c>
      <c r="CD1429" s="52">
        <f t="shared" ca="1" si="1692"/>
        <v>533689.28402014531</v>
      </c>
      <c r="CE1429" s="52">
        <f t="shared" ca="1" si="1692"/>
        <v>533689.28402014531</v>
      </c>
      <c r="CF1429" s="52">
        <f t="shared" ca="1" si="1692"/>
        <v>533689.28402014531</v>
      </c>
      <c r="CG1429" s="52">
        <f t="shared" ca="1" si="1692"/>
        <v>533689.28402014531</v>
      </c>
      <c r="CH1429" s="52">
        <f t="shared" ca="1" si="1692"/>
        <v>533689.28402014531</v>
      </c>
      <c r="CI1429" s="52">
        <f t="shared" ca="1" si="1692"/>
        <v>533689.28402014531</v>
      </c>
      <c r="CJ1429" s="52">
        <f t="shared" ca="1" si="1692"/>
        <v>533689.28402014531</v>
      </c>
      <c r="CK1429" s="52">
        <f t="shared" ca="1" si="1692"/>
        <v>533689.28402014531</v>
      </c>
      <c r="CL1429" s="52">
        <f t="shared" ca="1" si="1692"/>
        <v>533689.28402014531</v>
      </c>
      <c r="CM1429" s="52">
        <f t="shared" ca="1" si="1692"/>
        <v>533689.28402014531</v>
      </c>
      <c r="CN1429" s="52">
        <f t="shared" ca="1" si="1692"/>
        <v>533689.28402014531</v>
      </c>
      <c r="CO1429" s="52">
        <f t="shared" ca="1" si="1692"/>
        <v>533689.28402014531</v>
      </c>
    </row>
    <row r="1430" spans="1:93">
      <c r="A1430" s="10"/>
      <c r="B1430" s="10"/>
      <c r="C1430" s="17" t="s">
        <v>428</v>
      </c>
      <c r="D1430" s="10"/>
      <c r="E1430" s="10"/>
      <c r="F1430" s="10"/>
      <c r="G1430" s="11" t="s">
        <v>28</v>
      </c>
      <c r="H1430" s="10"/>
      <c r="I1430" s="10"/>
      <c r="J1430" s="10"/>
      <c r="K1430" s="10"/>
      <c r="L1430" s="43">
        <f ca="1">IFERROR(L1428/SUM(L1428:L1429),0)</f>
        <v>0</v>
      </c>
      <c r="M1430" s="43">
        <f t="shared" ref="M1430:BX1430" ca="1" si="1693">IFERROR(M1428/SUM(M1428:M1429),0)</f>
        <v>0</v>
      </c>
      <c r="N1430" s="43">
        <f t="shared" ca="1" si="1693"/>
        <v>0</v>
      </c>
      <c r="O1430" s="43">
        <f t="shared" ca="1" si="1693"/>
        <v>0</v>
      </c>
      <c r="P1430" s="43">
        <f t="shared" ca="1" si="1693"/>
        <v>0</v>
      </c>
      <c r="Q1430" s="43">
        <f t="shared" ca="1" si="1693"/>
        <v>0</v>
      </c>
      <c r="R1430" s="43">
        <f t="shared" ca="1" si="1693"/>
        <v>0</v>
      </c>
      <c r="S1430" s="43">
        <f t="shared" ca="1" si="1693"/>
        <v>0</v>
      </c>
      <c r="T1430" s="43">
        <f t="shared" ca="1" si="1693"/>
        <v>5.2504180913930755E-2</v>
      </c>
      <c r="U1430" s="43">
        <f t="shared" ca="1" si="1693"/>
        <v>0.19240492590443362</v>
      </c>
      <c r="V1430" s="43">
        <f t="shared" ca="1" si="1693"/>
        <v>0.29268223960777656</v>
      </c>
      <c r="W1430" s="43">
        <f t="shared" ca="1" si="1693"/>
        <v>0.36748158709888901</v>
      </c>
      <c r="X1430" s="43">
        <f t="shared" ca="1" si="1693"/>
        <v>0.47317004863049261</v>
      </c>
      <c r="Y1430" s="43">
        <f t="shared" ca="1" si="1693"/>
        <v>0.54424770491200014</v>
      </c>
      <c r="Z1430" s="43">
        <f t="shared" ca="1" si="1693"/>
        <v>0.59449056040656623</v>
      </c>
      <c r="AA1430" s="43">
        <f t="shared" ca="1" si="1693"/>
        <v>0.63133573879101135</v>
      </c>
      <c r="AB1430" s="43">
        <f t="shared" ca="1" si="1693"/>
        <v>0.68220515613030641</v>
      </c>
      <c r="AC1430" s="43">
        <f t="shared" ca="1" si="1693"/>
        <v>0.65710122548090244</v>
      </c>
      <c r="AD1430" s="43">
        <f t="shared" ca="1" si="1693"/>
        <v>0.64056992776890298</v>
      </c>
      <c r="AE1430" s="43">
        <f t="shared" ca="1" si="1693"/>
        <v>0.62868585801266275</v>
      </c>
      <c r="AF1430" s="43">
        <f t="shared" ca="1" si="1693"/>
        <v>0.62111998372739063</v>
      </c>
      <c r="AG1430" s="43">
        <f t="shared" ca="1" si="1693"/>
        <v>0.61234911865906183</v>
      </c>
      <c r="AH1430" s="43">
        <f t="shared" ca="1" si="1693"/>
        <v>0.59485585564503185</v>
      </c>
      <c r="AI1430" s="43">
        <f t="shared" ca="1" si="1693"/>
        <v>0.57578039458639851</v>
      </c>
      <c r="AJ1430" s="43">
        <f t="shared" ca="1" si="1693"/>
        <v>0.56361114019368863</v>
      </c>
      <c r="AK1430" s="43">
        <f t="shared" ca="1" si="1693"/>
        <v>0.54918207985452838</v>
      </c>
      <c r="AL1430" s="43">
        <f t="shared" ca="1" si="1693"/>
        <v>0.51859457334429837</v>
      </c>
      <c r="AM1430" s="43">
        <f t="shared" ca="1" si="1693"/>
        <v>0.48334350688359418</v>
      </c>
      <c r="AN1430" s="43">
        <f t="shared" ca="1" si="1693"/>
        <v>0.46004105385419047</v>
      </c>
      <c r="AO1430" s="43">
        <f t="shared" ca="1" si="1693"/>
        <v>0.43144721430409694</v>
      </c>
      <c r="AP1430" s="43">
        <f t="shared" ca="1" si="1693"/>
        <v>0.36589937154969054</v>
      </c>
      <c r="AQ1430" s="43">
        <f t="shared" ca="1" si="1693"/>
        <v>0.28279424726673502</v>
      </c>
      <c r="AR1430" s="43">
        <f t="shared" ca="1" si="1693"/>
        <v>0.22506671733631767</v>
      </c>
      <c r="AS1430" s="43">
        <f t="shared" ca="1" si="1693"/>
        <v>0.15041901800702454</v>
      </c>
      <c r="AT1430" s="43">
        <f t="shared" ca="1" si="1693"/>
        <v>0</v>
      </c>
      <c r="AU1430" s="43">
        <f t="shared" ca="1" si="1693"/>
        <v>0</v>
      </c>
      <c r="AV1430" s="43">
        <f t="shared" ca="1" si="1693"/>
        <v>0</v>
      </c>
      <c r="AW1430" s="43">
        <f t="shared" ca="1" si="1693"/>
        <v>0</v>
      </c>
      <c r="AX1430" s="43">
        <f t="shared" ca="1" si="1693"/>
        <v>0</v>
      </c>
      <c r="AY1430" s="43">
        <f t="shared" ca="1" si="1693"/>
        <v>0</v>
      </c>
      <c r="AZ1430" s="43">
        <f t="shared" ca="1" si="1693"/>
        <v>0</v>
      </c>
      <c r="BA1430" s="43">
        <f t="shared" ca="1" si="1693"/>
        <v>0</v>
      </c>
      <c r="BB1430" s="43">
        <f t="shared" ca="1" si="1693"/>
        <v>0</v>
      </c>
      <c r="BC1430" s="43">
        <f t="shared" ca="1" si="1693"/>
        <v>0</v>
      </c>
      <c r="BD1430" s="43">
        <f t="shared" ca="1" si="1693"/>
        <v>0</v>
      </c>
      <c r="BE1430" s="43">
        <f t="shared" ca="1" si="1693"/>
        <v>0</v>
      </c>
      <c r="BF1430" s="43">
        <f t="shared" ca="1" si="1693"/>
        <v>0</v>
      </c>
      <c r="BG1430" s="43">
        <f t="shared" ca="1" si="1693"/>
        <v>0</v>
      </c>
      <c r="BH1430" s="43">
        <f t="shared" ca="1" si="1693"/>
        <v>0</v>
      </c>
      <c r="BI1430" s="43">
        <f t="shared" ca="1" si="1693"/>
        <v>0</v>
      </c>
      <c r="BJ1430" s="43">
        <f t="shared" ca="1" si="1693"/>
        <v>0</v>
      </c>
      <c r="BK1430" s="43">
        <f t="shared" ca="1" si="1693"/>
        <v>0</v>
      </c>
      <c r="BL1430" s="43">
        <f t="shared" ca="1" si="1693"/>
        <v>0</v>
      </c>
      <c r="BM1430" s="43">
        <f t="shared" ca="1" si="1693"/>
        <v>0</v>
      </c>
      <c r="BN1430" s="43">
        <f t="shared" ca="1" si="1693"/>
        <v>0</v>
      </c>
      <c r="BO1430" s="43">
        <f t="shared" ca="1" si="1693"/>
        <v>0</v>
      </c>
      <c r="BP1430" s="43">
        <f t="shared" ca="1" si="1693"/>
        <v>0</v>
      </c>
      <c r="BQ1430" s="43">
        <f t="shared" ca="1" si="1693"/>
        <v>0</v>
      </c>
      <c r="BR1430" s="43">
        <f t="shared" ca="1" si="1693"/>
        <v>0</v>
      </c>
      <c r="BS1430" s="43">
        <f t="shared" ca="1" si="1693"/>
        <v>0</v>
      </c>
      <c r="BT1430" s="43">
        <f t="shared" ca="1" si="1693"/>
        <v>0</v>
      </c>
      <c r="BU1430" s="43">
        <f t="shared" ca="1" si="1693"/>
        <v>0</v>
      </c>
      <c r="BV1430" s="43">
        <f t="shared" ca="1" si="1693"/>
        <v>0</v>
      </c>
      <c r="BW1430" s="43">
        <f t="shared" ca="1" si="1693"/>
        <v>0</v>
      </c>
      <c r="BX1430" s="43">
        <f t="shared" ca="1" si="1693"/>
        <v>0</v>
      </c>
      <c r="BY1430" s="43">
        <f t="shared" ref="BY1430:CO1430" ca="1" si="1694">IFERROR(BY1428/SUM(BY1428:BY1429),0)</f>
        <v>0</v>
      </c>
      <c r="BZ1430" s="43">
        <f t="shared" ca="1" si="1694"/>
        <v>0</v>
      </c>
      <c r="CA1430" s="43">
        <f t="shared" ca="1" si="1694"/>
        <v>0</v>
      </c>
      <c r="CB1430" s="43">
        <f t="shared" ca="1" si="1694"/>
        <v>0</v>
      </c>
      <c r="CC1430" s="43">
        <f t="shared" ca="1" si="1694"/>
        <v>0</v>
      </c>
      <c r="CD1430" s="43">
        <f t="shared" ca="1" si="1694"/>
        <v>0</v>
      </c>
      <c r="CE1430" s="43">
        <f t="shared" ca="1" si="1694"/>
        <v>0</v>
      </c>
      <c r="CF1430" s="43">
        <f t="shared" ca="1" si="1694"/>
        <v>0</v>
      </c>
      <c r="CG1430" s="43">
        <f t="shared" ca="1" si="1694"/>
        <v>0</v>
      </c>
      <c r="CH1430" s="43">
        <f t="shared" ca="1" si="1694"/>
        <v>0</v>
      </c>
      <c r="CI1430" s="43">
        <f t="shared" ca="1" si="1694"/>
        <v>0</v>
      </c>
      <c r="CJ1430" s="43">
        <f t="shared" ca="1" si="1694"/>
        <v>0</v>
      </c>
      <c r="CK1430" s="43">
        <f t="shared" ca="1" si="1694"/>
        <v>0</v>
      </c>
      <c r="CL1430" s="43">
        <f t="shared" ca="1" si="1694"/>
        <v>0</v>
      </c>
      <c r="CM1430" s="43">
        <f t="shared" ca="1" si="1694"/>
        <v>0</v>
      </c>
      <c r="CN1430" s="43">
        <f t="shared" ca="1" si="1694"/>
        <v>0</v>
      </c>
      <c r="CO1430" s="43">
        <f t="shared" ca="1" si="1694"/>
        <v>0</v>
      </c>
    </row>
    <row r="1431" spans="1:93">
      <c r="A1431" s="10"/>
      <c r="B1431" s="10"/>
      <c r="C1431" s="17" t="s">
        <v>429</v>
      </c>
      <c r="D1431" s="10"/>
      <c r="E1431" s="10"/>
      <c r="F1431" s="10"/>
      <c r="G1431" s="11" t="s">
        <v>28</v>
      </c>
      <c r="H1431" s="10"/>
      <c r="I1431" s="10"/>
      <c r="J1431" s="10"/>
      <c r="K1431" s="10"/>
      <c r="L1431" s="43">
        <f ca="1">1-L1430</f>
        <v>1</v>
      </c>
      <c r="M1431" s="43">
        <f t="shared" ref="M1431:BX1431" ca="1" si="1695">1-M1430</f>
        <v>1</v>
      </c>
      <c r="N1431" s="43">
        <f t="shared" ca="1" si="1695"/>
        <v>1</v>
      </c>
      <c r="O1431" s="43">
        <f t="shared" ca="1" si="1695"/>
        <v>1</v>
      </c>
      <c r="P1431" s="43">
        <f t="shared" ca="1" si="1695"/>
        <v>1</v>
      </c>
      <c r="Q1431" s="43">
        <f t="shared" ca="1" si="1695"/>
        <v>1</v>
      </c>
      <c r="R1431" s="43">
        <f t="shared" ca="1" si="1695"/>
        <v>1</v>
      </c>
      <c r="S1431" s="43">
        <f t="shared" ca="1" si="1695"/>
        <v>1</v>
      </c>
      <c r="T1431" s="43">
        <f t="shared" ca="1" si="1695"/>
        <v>0.94749581908606928</v>
      </c>
      <c r="U1431" s="43">
        <f t="shared" ca="1" si="1695"/>
        <v>0.80759507409556641</v>
      </c>
      <c r="V1431" s="43">
        <f t="shared" ca="1" si="1695"/>
        <v>0.70731776039222338</v>
      </c>
      <c r="W1431" s="43">
        <f t="shared" ca="1" si="1695"/>
        <v>0.63251841290111099</v>
      </c>
      <c r="X1431" s="43">
        <f t="shared" ca="1" si="1695"/>
        <v>0.52682995136950739</v>
      </c>
      <c r="Y1431" s="43">
        <f t="shared" ca="1" si="1695"/>
        <v>0.45575229508799986</v>
      </c>
      <c r="Z1431" s="43">
        <f t="shared" ca="1" si="1695"/>
        <v>0.40550943959343377</v>
      </c>
      <c r="AA1431" s="43">
        <f t="shared" ca="1" si="1695"/>
        <v>0.36866426120898865</v>
      </c>
      <c r="AB1431" s="43">
        <f t="shared" ca="1" si="1695"/>
        <v>0.31779484386969359</v>
      </c>
      <c r="AC1431" s="43">
        <f t="shared" ca="1" si="1695"/>
        <v>0.34289877451909756</v>
      </c>
      <c r="AD1431" s="43">
        <f t="shared" ca="1" si="1695"/>
        <v>0.35943007223109702</v>
      </c>
      <c r="AE1431" s="43">
        <f t="shared" ca="1" si="1695"/>
        <v>0.37131414198733725</v>
      </c>
      <c r="AF1431" s="43">
        <f t="shared" ca="1" si="1695"/>
        <v>0.37888001627260937</v>
      </c>
      <c r="AG1431" s="43">
        <f t="shared" ca="1" si="1695"/>
        <v>0.38765088134093817</v>
      </c>
      <c r="AH1431" s="43">
        <f t="shared" ca="1" si="1695"/>
        <v>0.40514414435496815</v>
      </c>
      <c r="AI1431" s="43">
        <f t="shared" ca="1" si="1695"/>
        <v>0.42421960541360149</v>
      </c>
      <c r="AJ1431" s="43">
        <f t="shared" ca="1" si="1695"/>
        <v>0.43638885980631137</v>
      </c>
      <c r="AK1431" s="43">
        <f t="shared" ca="1" si="1695"/>
        <v>0.45081792014547162</v>
      </c>
      <c r="AL1431" s="43">
        <f t="shared" ca="1" si="1695"/>
        <v>0.48140542665570163</v>
      </c>
      <c r="AM1431" s="43">
        <f t="shared" ca="1" si="1695"/>
        <v>0.51665649311640582</v>
      </c>
      <c r="AN1431" s="43">
        <f t="shared" ca="1" si="1695"/>
        <v>0.53995894614580953</v>
      </c>
      <c r="AO1431" s="43">
        <f t="shared" ca="1" si="1695"/>
        <v>0.56855278569590306</v>
      </c>
      <c r="AP1431" s="43">
        <f t="shared" ca="1" si="1695"/>
        <v>0.63410062845030946</v>
      </c>
      <c r="AQ1431" s="43">
        <f t="shared" ca="1" si="1695"/>
        <v>0.71720575273326492</v>
      </c>
      <c r="AR1431" s="43">
        <f t="shared" ca="1" si="1695"/>
        <v>0.77493328266368233</v>
      </c>
      <c r="AS1431" s="43">
        <f t="shared" ca="1" si="1695"/>
        <v>0.84958098199297549</v>
      </c>
      <c r="AT1431" s="43">
        <f t="shared" ca="1" si="1695"/>
        <v>1</v>
      </c>
      <c r="AU1431" s="43">
        <f t="shared" ca="1" si="1695"/>
        <v>1</v>
      </c>
      <c r="AV1431" s="43">
        <f t="shared" ca="1" si="1695"/>
        <v>1</v>
      </c>
      <c r="AW1431" s="43">
        <f t="shared" ca="1" si="1695"/>
        <v>1</v>
      </c>
      <c r="AX1431" s="43">
        <f t="shared" ca="1" si="1695"/>
        <v>1</v>
      </c>
      <c r="AY1431" s="43">
        <f t="shared" ca="1" si="1695"/>
        <v>1</v>
      </c>
      <c r="AZ1431" s="43">
        <f t="shared" ca="1" si="1695"/>
        <v>1</v>
      </c>
      <c r="BA1431" s="43">
        <f t="shared" ca="1" si="1695"/>
        <v>1</v>
      </c>
      <c r="BB1431" s="43">
        <f t="shared" ca="1" si="1695"/>
        <v>1</v>
      </c>
      <c r="BC1431" s="43">
        <f t="shared" ca="1" si="1695"/>
        <v>1</v>
      </c>
      <c r="BD1431" s="43">
        <f t="shared" ca="1" si="1695"/>
        <v>1</v>
      </c>
      <c r="BE1431" s="43">
        <f t="shared" ca="1" si="1695"/>
        <v>1</v>
      </c>
      <c r="BF1431" s="43">
        <f t="shared" ca="1" si="1695"/>
        <v>1</v>
      </c>
      <c r="BG1431" s="43">
        <f t="shared" ca="1" si="1695"/>
        <v>1</v>
      </c>
      <c r="BH1431" s="43">
        <f t="shared" ca="1" si="1695"/>
        <v>1</v>
      </c>
      <c r="BI1431" s="43">
        <f t="shared" ca="1" si="1695"/>
        <v>1</v>
      </c>
      <c r="BJ1431" s="43">
        <f t="shared" ca="1" si="1695"/>
        <v>1</v>
      </c>
      <c r="BK1431" s="43">
        <f t="shared" ca="1" si="1695"/>
        <v>1</v>
      </c>
      <c r="BL1431" s="43">
        <f t="shared" ca="1" si="1695"/>
        <v>1</v>
      </c>
      <c r="BM1431" s="43">
        <f t="shared" ca="1" si="1695"/>
        <v>1</v>
      </c>
      <c r="BN1431" s="43">
        <f t="shared" ca="1" si="1695"/>
        <v>1</v>
      </c>
      <c r="BO1431" s="43">
        <f t="shared" ca="1" si="1695"/>
        <v>1</v>
      </c>
      <c r="BP1431" s="43">
        <f t="shared" ca="1" si="1695"/>
        <v>1</v>
      </c>
      <c r="BQ1431" s="43">
        <f t="shared" ca="1" si="1695"/>
        <v>1</v>
      </c>
      <c r="BR1431" s="43">
        <f t="shared" ca="1" si="1695"/>
        <v>1</v>
      </c>
      <c r="BS1431" s="43">
        <f t="shared" ca="1" si="1695"/>
        <v>1</v>
      </c>
      <c r="BT1431" s="43">
        <f t="shared" ca="1" si="1695"/>
        <v>1</v>
      </c>
      <c r="BU1431" s="43">
        <f t="shared" ca="1" si="1695"/>
        <v>1</v>
      </c>
      <c r="BV1431" s="43">
        <f t="shared" ca="1" si="1695"/>
        <v>1</v>
      </c>
      <c r="BW1431" s="43">
        <f t="shared" ca="1" si="1695"/>
        <v>1</v>
      </c>
      <c r="BX1431" s="43">
        <f t="shared" ca="1" si="1695"/>
        <v>1</v>
      </c>
      <c r="BY1431" s="43">
        <f t="shared" ref="BY1431:CO1431" ca="1" si="1696">1-BY1430</f>
        <v>1</v>
      </c>
      <c r="BZ1431" s="43">
        <f t="shared" ca="1" si="1696"/>
        <v>1</v>
      </c>
      <c r="CA1431" s="43">
        <f t="shared" ca="1" si="1696"/>
        <v>1</v>
      </c>
      <c r="CB1431" s="43">
        <f t="shared" ca="1" si="1696"/>
        <v>1</v>
      </c>
      <c r="CC1431" s="43">
        <f t="shared" ca="1" si="1696"/>
        <v>1</v>
      </c>
      <c r="CD1431" s="43">
        <f t="shared" ca="1" si="1696"/>
        <v>1</v>
      </c>
      <c r="CE1431" s="43">
        <f t="shared" ca="1" si="1696"/>
        <v>1</v>
      </c>
      <c r="CF1431" s="43">
        <f t="shared" ca="1" si="1696"/>
        <v>1</v>
      </c>
      <c r="CG1431" s="43">
        <f t="shared" ca="1" si="1696"/>
        <v>1</v>
      </c>
      <c r="CH1431" s="43">
        <f t="shared" ca="1" si="1696"/>
        <v>1</v>
      </c>
      <c r="CI1431" s="43">
        <f t="shared" ca="1" si="1696"/>
        <v>1</v>
      </c>
      <c r="CJ1431" s="43">
        <f t="shared" ca="1" si="1696"/>
        <v>1</v>
      </c>
      <c r="CK1431" s="43">
        <f t="shared" ca="1" si="1696"/>
        <v>1</v>
      </c>
      <c r="CL1431" s="43">
        <f t="shared" ca="1" si="1696"/>
        <v>1</v>
      </c>
      <c r="CM1431" s="43">
        <f t="shared" ca="1" si="1696"/>
        <v>1</v>
      </c>
      <c r="CN1431" s="43">
        <f t="shared" ca="1" si="1696"/>
        <v>1</v>
      </c>
      <c r="CO1431" s="43">
        <f t="shared" ca="1" si="1696"/>
        <v>1</v>
      </c>
    </row>
    <row r="1432" spans="1:93">
      <c r="A1432" s="10"/>
      <c r="B1432" s="10"/>
      <c r="C1432" s="17" t="s">
        <v>430</v>
      </c>
      <c r="D1432" s="10"/>
      <c r="E1432" s="10"/>
      <c r="F1432" s="10"/>
      <c r="G1432" s="11" t="s">
        <v>28</v>
      </c>
      <c r="H1432" s="10"/>
      <c r="I1432" s="10"/>
      <c r="J1432" s="10"/>
      <c r="K1432" s="10"/>
      <c r="L1432" s="199">
        <f ca="1">IFERROR(ROUND(L1428/L1429,2),0)</f>
        <v>0</v>
      </c>
      <c r="M1432" s="199">
        <f t="shared" ref="M1432:BX1432" ca="1" si="1697">IFERROR(ROUND(M1428/M1429,2),0)</f>
        <v>0</v>
      </c>
      <c r="N1432" s="199">
        <f t="shared" ca="1" si="1697"/>
        <v>0</v>
      </c>
      <c r="O1432" s="199">
        <f t="shared" ca="1" si="1697"/>
        <v>0</v>
      </c>
      <c r="P1432" s="199">
        <f t="shared" ca="1" si="1697"/>
        <v>0</v>
      </c>
      <c r="Q1432" s="199">
        <f t="shared" ca="1" si="1697"/>
        <v>0</v>
      </c>
      <c r="R1432" s="199">
        <f t="shared" ca="1" si="1697"/>
        <v>0</v>
      </c>
      <c r="S1432" s="199">
        <f t="shared" ca="1" si="1697"/>
        <v>0</v>
      </c>
      <c r="T1432" s="199">
        <f t="shared" ca="1" si="1697"/>
        <v>0.06</v>
      </c>
      <c r="U1432" s="199">
        <f t="shared" ca="1" si="1697"/>
        <v>0.24</v>
      </c>
      <c r="V1432" s="199">
        <f t="shared" ca="1" si="1697"/>
        <v>0.41</v>
      </c>
      <c r="W1432" s="199">
        <f t="shared" ca="1" si="1697"/>
        <v>0.57999999999999996</v>
      </c>
      <c r="X1432" s="199">
        <f t="shared" ca="1" si="1697"/>
        <v>0.9</v>
      </c>
      <c r="Y1432" s="199">
        <f t="shared" ca="1" si="1697"/>
        <v>1.19</v>
      </c>
      <c r="Z1432" s="199">
        <f t="shared" ca="1" si="1697"/>
        <v>1.47</v>
      </c>
      <c r="AA1432" s="199">
        <f t="shared" ca="1" si="1697"/>
        <v>1.71</v>
      </c>
      <c r="AB1432" s="199">
        <f t="shared" ca="1" si="1697"/>
        <v>2.15</v>
      </c>
      <c r="AC1432" s="199">
        <f t="shared" ca="1" si="1697"/>
        <v>1.92</v>
      </c>
      <c r="AD1432" s="199">
        <f t="shared" ca="1" si="1697"/>
        <v>1.78</v>
      </c>
      <c r="AE1432" s="199">
        <f t="shared" ca="1" si="1697"/>
        <v>1.69</v>
      </c>
      <c r="AF1432" s="199">
        <f t="shared" ca="1" si="1697"/>
        <v>1.64</v>
      </c>
      <c r="AG1432" s="199">
        <f t="shared" ca="1" si="1697"/>
        <v>1.58</v>
      </c>
      <c r="AH1432" s="199">
        <f t="shared" ca="1" si="1697"/>
        <v>1.47</v>
      </c>
      <c r="AI1432" s="199">
        <f t="shared" ca="1" si="1697"/>
        <v>1.36</v>
      </c>
      <c r="AJ1432" s="199">
        <f t="shared" ca="1" si="1697"/>
        <v>1.29</v>
      </c>
      <c r="AK1432" s="199">
        <f t="shared" ca="1" si="1697"/>
        <v>1.22</v>
      </c>
      <c r="AL1432" s="199">
        <f t="shared" ca="1" si="1697"/>
        <v>1.08</v>
      </c>
      <c r="AM1432" s="199">
        <f t="shared" ca="1" si="1697"/>
        <v>0.94</v>
      </c>
      <c r="AN1432" s="199">
        <f t="shared" ca="1" si="1697"/>
        <v>0.85</v>
      </c>
      <c r="AO1432" s="199">
        <f t="shared" ca="1" si="1697"/>
        <v>0.76</v>
      </c>
      <c r="AP1432" s="199">
        <f t="shared" ca="1" si="1697"/>
        <v>0.57999999999999996</v>
      </c>
      <c r="AQ1432" s="199">
        <f t="shared" ca="1" si="1697"/>
        <v>0.39</v>
      </c>
      <c r="AR1432" s="199">
        <f t="shared" ca="1" si="1697"/>
        <v>0.28999999999999998</v>
      </c>
      <c r="AS1432" s="199">
        <f t="shared" ca="1" si="1697"/>
        <v>0.18</v>
      </c>
      <c r="AT1432" s="199">
        <f t="shared" ca="1" si="1697"/>
        <v>0</v>
      </c>
      <c r="AU1432" s="199">
        <f t="shared" ca="1" si="1697"/>
        <v>0</v>
      </c>
      <c r="AV1432" s="199">
        <f t="shared" ca="1" si="1697"/>
        <v>0</v>
      </c>
      <c r="AW1432" s="199">
        <f t="shared" ca="1" si="1697"/>
        <v>0</v>
      </c>
      <c r="AX1432" s="199">
        <f t="shared" ca="1" si="1697"/>
        <v>0</v>
      </c>
      <c r="AY1432" s="199">
        <f t="shared" ca="1" si="1697"/>
        <v>0</v>
      </c>
      <c r="AZ1432" s="199">
        <f t="shared" ca="1" si="1697"/>
        <v>0</v>
      </c>
      <c r="BA1432" s="199">
        <f t="shared" ca="1" si="1697"/>
        <v>0</v>
      </c>
      <c r="BB1432" s="199">
        <f t="shared" ca="1" si="1697"/>
        <v>0</v>
      </c>
      <c r="BC1432" s="199">
        <f t="shared" ca="1" si="1697"/>
        <v>0</v>
      </c>
      <c r="BD1432" s="199">
        <f t="shared" ca="1" si="1697"/>
        <v>0</v>
      </c>
      <c r="BE1432" s="199">
        <f t="shared" ca="1" si="1697"/>
        <v>0</v>
      </c>
      <c r="BF1432" s="199">
        <f t="shared" ca="1" si="1697"/>
        <v>0</v>
      </c>
      <c r="BG1432" s="199">
        <f t="shared" ca="1" si="1697"/>
        <v>0</v>
      </c>
      <c r="BH1432" s="199">
        <f t="shared" ca="1" si="1697"/>
        <v>0</v>
      </c>
      <c r="BI1432" s="199">
        <f t="shared" ca="1" si="1697"/>
        <v>0</v>
      </c>
      <c r="BJ1432" s="199">
        <f t="shared" ca="1" si="1697"/>
        <v>0</v>
      </c>
      <c r="BK1432" s="199">
        <f t="shared" ca="1" si="1697"/>
        <v>0</v>
      </c>
      <c r="BL1432" s="199">
        <f t="shared" ca="1" si="1697"/>
        <v>0</v>
      </c>
      <c r="BM1432" s="199">
        <f t="shared" ca="1" si="1697"/>
        <v>0</v>
      </c>
      <c r="BN1432" s="199">
        <f t="shared" ca="1" si="1697"/>
        <v>0</v>
      </c>
      <c r="BO1432" s="199">
        <f t="shared" ca="1" si="1697"/>
        <v>0</v>
      </c>
      <c r="BP1432" s="199">
        <f t="shared" ca="1" si="1697"/>
        <v>0</v>
      </c>
      <c r="BQ1432" s="199">
        <f t="shared" ca="1" si="1697"/>
        <v>0</v>
      </c>
      <c r="BR1432" s="199">
        <f t="shared" ca="1" si="1697"/>
        <v>0</v>
      </c>
      <c r="BS1432" s="199">
        <f t="shared" ca="1" si="1697"/>
        <v>0</v>
      </c>
      <c r="BT1432" s="199">
        <f t="shared" ca="1" si="1697"/>
        <v>0</v>
      </c>
      <c r="BU1432" s="199">
        <f t="shared" ca="1" si="1697"/>
        <v>0</v>
      </c>
      <c r="BV1432" s="199">
        <f t="shared" ca="1" si="1697"/>
        <v>0</v>
      </c>
      <c r="BW1432" s="199">
        <f t="shared" ca="1" si="1697"/>
        <v>0</v>
      </c>
      <c r="BX1432" s="199">
        <f t="shared" ca="1" si="1697"/>
        <v>0</v>
      </c>
      <c r="BY1432" s="199">
        <f t="shared" ref="BY1432:CO1432" ca="1" si="1698">IFERROR(ROUND(BY1428/BY1429,2),0)</f>
        <v>0</v>
      </c>
      <c r="BZ1432" s="199">
        <f t="shared" ca="1" si="1698"/>
        <v>0</v>
      </c>
      <c r="CA1432" s="199">
        <f t="shared" ca="1" si="1698"/>
        <v>0</v>
      </c>
      <c r="CB1432" s="199">
        <f t="shared" ca="1" si="1698"/>
        <v>0</v>
      </c>
      <c r="CC1432" s="199">
        <f t="shared" ca="1" si="1698"/>
        <v>0</v>
      </c>
      <c r="CD1432" s="199">
        <f t="shared" ca="1" si="1698"/>
        <v>0</v>
      </c>
      <c r="CE1432" s="199">
        <f t="shared" ca="1" si="1698"/>
        <v>0</v>
      </c>
      <c r="CF1432" s="199">
        <f t="shared" ca="1" si="1698"/>
        <v>0</v>
      </c>
      <c r="CG1432" s="199">
        <f t="shared" ca="1" si="1698"/>
        <v>0</v>
      </c>
      <c r="CH1432" s="199">
        <f t="shared" ca="1" si="1698"/>
        <v>0</v>
      </c>
      <c r="CI1432" s="199">
        <f t="shared" ca="1" si="1698"/>
        <v>0</v>
      </c>
      <c r="CJ1432" s="199">
        <f t="shared" ca="1" si="1698"/>
        <v>0</v>
      </c>
      <c r="CK1432" s="199">
        <f t="shared" ca="1" si="1698"/>
        <v>0</v>
      </c>
      <c r="CL1432" s="199">
        <f t="shared" ca="1" si="1698"/>
        <v>0</v>
      </c>
      <c r="CM1432" s="199">
        <f t="shared" ca="1" si="1698"/>
        <v>0</v>
      </c>
      <c r="CN1432" s="199">
        <f t="shared" ca="1" si="1698"/>
        <v>0</v>
      </c>
      <c r="CO1432" s="199">
        <f t="shared" ca="1" si="1698"/>
        <v>0</v>
      </c>
    </row>
    <row r="1433" spans="1:93">
      <c r="A1433" s="10"/>
      <c r="B1433" s="10"/>
      <c r="C1433" s="17"/>
      <c r="D1433" s="17"/>
      <c r="E1433" s="17"/>
      <c r="F1433" s="10"/>
      <c r="G1433" s="11"/>
      <c r="H1433" s="17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0"/>
      <c r="AH1433" s="10"/>
      <c r="AI1433" s="10"/>
      <c r="AJ1433" s="10"/>
      <c r="AK1433" s="10"/>
      <c r="AL1433" s="10"/>
      <c r="AM1433" s="10"/>
      <c r="AN1433" s="10"/>
      <c r="AO1433" s="10"/>
      <c r="AP1433" s="10"/>
      <c r="AQ1433" s="10"/>
      <c r="AR1433" s="10"/>
      <c r="AS1433" s="10"/>
      <c r="AT1433" s="10"/>
      <c r="AU1433" s="10"/>
      <c r="AV1433" s="10"/>
      <c r="AW1433" s="10"/>
      <c r="AX1433" s="10"/>
      <c r="AY1433" s="10"/>
      <c r="AZ1433" s="10"/>
      <c r="BA1433" s="10"/>
      <c r="BB1433" s="10"/>
      <c r="BC1433" s="10"/>
      <c r="BD1433" s="10"/>
      <c r="BE1433" s="10"/>
      <c r="BF1433" s="10"/>
      <c r="BG1433" s="10"/>
      <c r="BH1433" s="10"/>
      <c r="BI1433" s="10"/>
      <c r="BJ1433" s="10"/>
      <c r="BK1433" s="10"/>
      <c r="BL1433" s="10"/>
      <c r="BM1433" s="10"/>
      <c r="BN1433" s="10"/>
      <c r="BO1433" s="10"/>
      <c r="BP1433" s="10"/>
      <c r="BQ1433" s="10"/>
      <c r="BR1433" s="10"/>
      <c r="BS1433" s="10"/>
      <c r="BT1433" s="10"/>
      <c r="BU1433" s="10"/>
      <c r="BV1433" s="10"/>
      <c r="BW1433" s="10"/>
      <c r="BX1433" s="10"/>
      <c r="BY1433" s="10"/>
      <c r="BZ1433" s="10"/>
      <c r="CA1433" s="10"/>
      <c r="CB1433" s="10"/>
      <c r="CC1433" s="10"/>
      <c r="CD1433" s="10"/>
      <c r="CE1433" s="10"/>
      <c r="CF1433" s="10"/>
      <c r="CG1433" s="10"/>
      <c r="CH1433" s="10"/>
      <c r="CI1433" s="10"/>
      <c r="CJ1433" s="10"/>
      <c r="CK1433" s="10"/>
      <c r="CL1433" s="10"/>
      <c r="CM1433" s="10"/>
      <c r="CN1433" s="10"/>
      <c r="CO1433" s="10"/>
    </row>
    <row r="1434" spans="1:93">
      <c r="A1434" s="10"/>
      <c r="B1434" s="10"/>
      <c r="C1434" s="17" t="s">
        <v>248</v>
      </c>
      <c r="D1434" s="10"/>
      <c r="E1434" s="195">
        <f t="array" aca="1" ref="E1434" ca="1">AVERAGE(IF(L1432:CO1432&lt;&gt;0,L1432:CO1432))</f>
        <v>1.0665384615384614</v>
      </c>
      <c r="F1434" s="10"/>
      <c r="G1434" s="11" t="s">
        <v>93</v>
      </c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0"/>
      <c r="AH1434" s="10"/>
      <c r="AI1434" s="10"/>
      <c r="AJ1434" s="10"/>
      <c r="AK1434" s="10"/>
      <c r="AL1434" s="10"/>
      <c r="AM1434" s="10"/>
      <c r="AN1434" s="10"/>
      <c r="AO1434" s="10"/>
      <c r="AP1434" s="10"/>
      <c r="AQ1434" s="10"/>
      <c r="AR1434" s="10"/>
      <c r="AS1434" s="10"/>
      <c r="AT1434" s="10"/>
      <c r="AU1434" s="10"/>
      <c r="AV1434" s="10"/>
      <c r="AW1434" s="10"/>
      <c r="AX1434" s="10"/>
      <c r="AY1434" s="10"/>
      <c r="AZ1434" s="10"/>
      <c r="BA1434" s="10"/>
      <c r="BB1434" s="10"/>
      <c r="BC1434" s="10"/>
      <c r="BD1434" s="10"/>
      <c r="BE1434" s="10"/>
      <c r="BF1434" s="10"/>
      <c r="BG1434" s="10"/>
      <c r="BH1434" s="10"/>
      <c r="BI1434" s="10"/>
      <c r="BJ1434" s="10"/>
      <c r="BK1434" s="10"/>
      <c r="BL1434" s="10"/>
      <c r="BM1434" s="10"/>
      <c r="BN1434" s="10"/>
      <c r="BO1434" s="10"/>
      <c r="BP1434" s="10"/>
      <c r="BQ1434" s="10"/>
      <c r="BR1434" s="10"/>
      <c r="BS1434" s="10"/>
      <c r="BT1434" s="10"/>
      <c r="BU1434" s="10"/>
      <c r="BV1434" s="10"/>
      <c r="BW1434" s="10"/>
      <c r="BX1434" s="10"/>
      <c r="BY1434" s="10"/>
      <c r="BZ1434" s="10"/>
      <c r="CA1434" s="10"/>
      <c r="CB1434" s="10"/>
      <c r="CC1434" s="10"/>
      <c r="CD1434" s="10"/>
      <c r="CE1434" s="10"/>
      <c r="CF1434" s="10"/>
      <c r="CG1434" s="10"/>
      <c r="CH1434" s="10"/>
      <c r="CI1434" s="10"/>
      <c r="CJ1434" s="10"/>
      <c r="CK1434" s="10"/>
      <c r="CL1434" s="10"/>
      <c r="CM1434" s="10"/>
      <c r="CN1434" s="10"/>
      <c r="CO1434" s="10"/>
    </row>
    <row r="1435" spans="1:93">
      <c r="A1435" s="10"/>
      <c r="B1435" s="10"/>
      <c r="C1435" s="17" t="s">
        <v>251</v>
      </c>
      <c r="D1435" s="10"/>
      <c r="E1435" s="195">
        <f t="array" aca="1" ref="E1435" ca="1">MAX(IF(L1432:CO1432&lt;&gt;0,L1432:CO1432))</f>
        <v>2.15</v>
      </c>
      <c r="F1435" s="10"/>
      <c r="G1435" s="11" t="s">
        <v>93</v>
      </c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0"/>
      <c r="AH1435" s="10"/>
      <c r="AI1435" s="10"/>
      <c r="AJ1435" s="10"/>
      <c r="AK1435" s="10"/>
      <c r="AL1435" s="10"/>
      <c r="AM1435" s="10"/>
      <c r="AN1435" s="10"/>
      <c r="AO1435" s="10"/>
      <c r="AP1435" s="10"/>
      <c r="AQ1435" s="10"/>
      <c r="AR1435" s="10"/>
      <c r="AS1435" s="10"/>
      <c r="AT1435" s="10"/>
      <c r="AU1435" s="10"/>
      <c r="AV1435" s="10"/>
      <c r="AW1435" s="10"/>
      <c r="AX1435" s="10"/>
      <c r="AY1435" s="10"/>
      <c r="AZ1435" s="10"/>
      <c r="BA1435" s="10"/>
      <c r="BB1435" s="10"/>
      <c r="BC1435" s="10"/>
      <c r="BD1435" s="10"/>
      <c r="BE1435" s="10"/>
      <c r="BF1435" s="10"/>
      <c r="BG1435" s="10"/>
      <c r="BH1435" s="10"/>
      <c r="BI1435" s="10"/>
      <c r="BJ1435" s="10"/>
      <c r="BK1435" s="10"/>
      <c r="BL1435" s="10"/>
      <c r="BM1435" s="10"/>
      <c r="BN1435" s="10"/>
      <c r="BO1435" s="10"/>
      <c r="BP1435" s="10"/>
      <c r="BQ1435" s="10"/>
      <c r="BR1435" s="10"/>
      <c r="BS1435" s="10"/>
      <c r="BT1435" s="10"/>
      <c r="BU1435" s="10"/>
      <c r="BV1435" s="10"/>
      <c r="BW1435" s="10"/>
      <c r="BX1435" s="10"/>
      <c r="BY1435" s="10"/>
      <c r="BZ1435" s="10"/>
      <c r="CA1435" s="10"/>
      <c r="CB1435" s="10"/>
      <c r="CC1435" s="10"/>
      <c r="CD1435" s="10"/>
      <c r="CE1435" s="10"/>
      <c r="CF1435" s="10"/>
      <c r="CG1435" s="10"/>
      <c r="CH1435" s="10"/>
      <c r="CI1435" s="10"/>
      <c r="CJ1435" s="10"/>
      <c r="CK1435" s="10"/>
      <c r="CL1435" s="10"/>
      <c r="CM1435" s="10"/>
      <c r="CN1435" s="10"/>
      <c r="CO1435" s="10"/>
    </row>
    <row r="1436" spans="1:93">
      <c r="A1436" s="10"/>
      <c r="B1436" s="10"/>
      <c r="C1436" s="10"/>
      <c r="D1436" s="10"/>
      <c r="E1436" s="10"/>
      <c r="F1436" s="10"/>
      <c r="G1436" s="11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0"/>
      <c r="AH1436" s="10"/>
      <c r="AI1436" s="10"/>
      <c r="AJ1436" s="10"/>
      <c r="AK1436" s="10"/>
      <c r="AL1436" s="10"/>
      <c r="AM1436" s="10"/>
      <c r="AN1436" s="10"/>
      <c r="AO1436" s="10"/>
      <c r="AP1436" s="10"/>
      <c r="AQ1436" s="10"/>
      <c r="AR1436" s="10"/>
      <c r="AS1436" s="10"/>
      <c r="AT1436" s="10"/>
      <c r="AU1436" s="10"/>
      <c r="AV1436" s="10"/>
      <c r="AW1436" s="10"/>
      <c r="AX1436" s="10"/>
      <c r="AY1436" s="10"/>
      <c r="AZ1436" s="10"/>
      <c r="BA1436" s="10"/>
      <c r="BB1436" s="10"/>
      <c r="BC1436" s="10"/>
      <c r="BD1436" s="10"/>
      <c r="BE1436" s="10"/>
      <c r="BF1436" s="10"/>
      <c r="BG1436" s="10"/>
      <c r="BH1436" s="10"/>
      <c r="BI1436" s="10"/>
      <c r="BJ1436" s="10"/>
      <c r="BK1436" s="10"/>
      <c r="BL1436" s="10"/>
      <c r="BM1436" s="10"/>
      <c r="BN1436" s="10"/>
      <c r="BO1436" s="10"/>
      <c r="BP1436" s="10"/>
      <c r="BQ1436" s="10"/>
      <c r="BR1436" s="10"/>
      <c r="BS1436" s="10"/>
      <c r="BT1436" s="10"/>
      <c r="BU1436" s="10"/>
      <c r="BV1436" s="10"/>
      <c r="BW1436" s="10"/>
      <c r="BX1436" s="10"/>
      <c r="BY1436" s="10"/>
      <c r="BZ1436" s="10"/>
      <c r="CA1436" s="10"/>
      <c r="CB1436" s="10"/>
      <c r="CC1436" s="10"/>
      <c r="CD1436" s="10"/>
      <c r="CE1436" s="10"/>
      <c r="CF1436" s="10"/>
      <c r="CG1436" s="10"/>
      <c r="CH1436" s="10"/>
      <c r="CI1436" s="10"/>
      <c r="CJ1436" s="10"/>
      <c r="CK1436" s="10"/>
      <c r="CL1436" s="10"/>
      <c r="CM1436" s="10"/>
      <c r="CN1436" s="10"/>
      <c r="CO1436" s="10"/>
    </row>
    <row r="1437" spans="1:93">
      <c r="A1437" s="10"/>
      <c r="B1437" s="10"/>
      <c r="C1437" s="198" t="s">
        <v>427</v>
      </c>
      <c r="D1437" s="10"/>
      <c r="E1437" s="10"/>
      <c r="F1437" s="10"/>
      <c r="G1437" s="11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0"/>
      <c r="AH1437" s="10"/>
      <c r="AI1437" s="10"/>
      <c r="AJ1437" s="10"/>
      <c r="AK1437" s="10"/>
      <c r="AL1437" s="10"/>
      <c r="AM1437" s="10"/>
      <c r="AN1437" s="10"/>
      <c r="AO1437" s="10"/>
      <c r="AP1437" s="10"/>
      <c r="AQ1437" s="10"/>
      <c r="AR1437" s="10"/>
      <c r="AS1437" s="10"/>
      <c r="AT1437" s="10"/>
      <c r="AU1437" s="10"/>
      <c r="AV1437" s="10"/>
      <c r="AW1437" s="10"/>
      <c r="AX1437" s="10"/>
      <c r="AY1437" s="10"/>
      <c r="AZ1437" s="10"/>
      <c r="BA1437" s="10"/>
      <c r="BB1437" s="10"/>
      <c r="BC1437" s="10"/>
      <c r="BD1437" s="10"/>
      <c r="BE1437" s="10"/>
      <c r="BF1437" s="10"/>
      <c r="BG1437" s="10"/>
      <c r="BH1437" s="10"/>
      <c r="BI1437" s="10"/>
      <c r="BJ1437" s="10"/>
      <c r="BK1437" s="10"/>
      <c r="BL1437" s="10"/>
      <c r="BM1437" s="10"/>
      <c r="BN1437" s="10"/>
      <c r="BO1437" s="10"/>
      <c r="BP1437" s="10"/>
      <c r="BQ1437" s="10"/>
      <c r="BR1437" s="10"/>
      <c r="BS1437" s="10"/>
      <c r="BT1437" s="10"/>
      <c r="BU1437" s="10"/>
      <c r="BV1437" s="10"/>
      <c r="BW1437" s="10"/>
      <c r="BX1437" s="10"/>
      <c r="BY1437" s="10"/>
      <c r="BZ1437" s="10"/>
      <c r="CA1437" s="10"/>
      <c r="CB1437" s="10"/>
      <c r="CC1437" s="10"/>
      <c r="CD1437" s="10"/>
      <c r="CE1437" s="10"/>
      <c r="CF1437" s="10"/>
      <c r="CG1437" s="10"/>
      <c r="CH1437" s="10"/>
      <c r="CI1437" s="10"/>
      <c r="CJ1437" s="10"/>
      <c r="CK1437" s="10"/>
      <c r="CL1437" s="10"/>
      <c r="CM1437" s="10"/>
      <c r="CN1437" s="10"/>
      <c r="CO1437" s="10"/>
    </row>
    <row r="1438" spans="1:93">
      <c r="A1438" s="10"/>
      <c r="B1438" s="10"/>
      <c r="C1438" s="17" t="s">
        <v>348</v>
      </c>
      <c r="D1438" s="10"/>
      <c r="E1438" s="10"/>
      <c r="F1438" s="10"/>
      <c r="G1438" s="11" t="str">
        <f>Monetary_Unit</f>
        <v>тыс. руб.</v>
      </c>
      <c r="H1438" s="10"/>
      <c r="I1438" s="10"/>
      <c r="J1438" s="10"/>
      <c r="K1438" s="10"/>
      <c r="L1438" s="52">
        <f t="shared" ref="L1438:BW1438" ca="1" si="1699">Debt_EoP</f>
        <v>0</v>
      </c>
      <c r="M1438" s="52">
        <f t="shared" ca="1" si="1699"/>
        <v>0</v>
      </c>
      <c r="N1438" s="52">
        <f t="shared" ca="1" si="1699"/>
        <v>0</v>
      </c>
      <c r="O1438" s="52">
        <f t="shared" ca="1" si="1699"/>
        <v>0</v>
      </c>
      <c r="P1438" s="52">
        <f t="shared" ca="1" si="1699"/>
        <v>0</v>
      </c>
      <c r="Q1438" s="52">
        <f t="shared" ca="1" si="1699"/>
        <v>0</v>
      </c>
      <c r="R1438" s="52">
        <f t="shared" ca="1" si="1699"/>
        <v>0</v>
      </c>
      <c r="S1438" s="52">
        <f t="shared" ca="1" si="1699"/>
        <v>0</v>
      </c>
      <c r="T1438" s="52">
        <f t="shared" ca="1" si="1699"/>
        <v>54925.998445192294</v>
      </c>
      <c r="U1438" s="52">
        <f t="shared" ca="1" si="1699"/>
        <v>241334.95009615706</v>
      </c>
      <c r="V1438" s="52">
        <f t="shared" ca="1" si="1699"/>
        <v>429580.66493210581</v>
      </c>
      <c r="W1438" s="52">
        <f t="shared" ca="1" si="1699"/>
        <v>619681.24132743443</v>
      </c>
      <c r="X1438" s="52">
        <f t="shared" ca="1" si="1699"/>
        <v>987256.73114388925</v>
      </c>
      <c r="Y1438" s="52">
        <f t="shared" ca="1" si="1699"/>
        <v>1358454.091698942</v>
      </c>
      <c r="Z1438" s="52">
        <f t="shared" ca="1" si="1699"/>
        <v>1733309.0107574479</v>
      </c>
      <c r="AA1438" s="52">
        <f t="shared" ca="1" si="1699"/>
        <v>2111857.5277303178</v>
      </c>
      <c r="AB1438" s="52">
        <f t="shared" ca="1" si="1699"/>
        <v>2771888.3794600694</v>
      </c>
      <c r="AC1438" s="52">
        <f t="shared" ca="1" si="1699"/>
        <v>2344957.2516447473</v>
      </c>
      <c r="AD1438" s="52">
        <f t="shared" ca="1" si="1699"/>
        <v>2136769.7000716003</v>
      </c>
      <c r="AE1438" s="52">
        <f t="shared" ca="1" si="1699"/>
        <v>2017993.7277197978</v>
      </c>
      <c r="AF1438" s="52">
        <f t="shared" ca="1" si="1699"/>
        <v>1962594.493968616</v>
      </c>
      <c r="AG1438" s="52">
        <f t="shared" ca="1" si="1699"/>
        <v>1897110.0613220145</v>
      </c>
      <c r="AH1438" s="52">
        <f t="shared" ca="1" si="1699"/>
        <v>1743894.451950738</v>
      </c>
      <c r="AI1438" s="52">
        <f t="shared" ca="1" si="1699"/>
        <v>1595325.642261199</v>
      </c>
      <c r="AJ1438" s="52">
        <f t="shared" ca="1" si="1699"/>
        <v>1520744.8199508614</v>
      </c>
      <c r="AK1438" s="52">
        <f t="shared" ca="1" si="1699"/>
        <v>1434686.7297717063</v>
      </c>
      <c r="AL1438" s="52">
        <f t="shared" ca="1" si="1699"/>
        <v>1247696.2264534044</v>
      </c>
      <c r="AM1438" s="52">
        <f t="shared" ca="1" si="1699"/>
        <v>1066198.5492529529</v>
      </c>
      <c r="AN1438" s="52">
        <f t="shared" ca="1" si="1699"/>
        <v>969315.88586949522</v>
      </c>
      <c r="AO1438" s="52">
        <f t="shared" ca="1" si="1699"/>
        <v>860133.2583737144</v>
      </c>
      <c r="AP1438" s="52">
        <f t="shared" ca="1" si="1699"/>
        <v>638877.17472442822</v>
      </c>
      <c r="AQ1438" s="52">
        <f t="shared" ca="1" si="1699"/>
        <v>426803.06275349879</v>
      </c>
      <c r="AR1438" s="52">
        <f t="shared" ca="1" si="1699"/>
        <v>312713.58332558116</v>
      </c>
      <c r="AS1438" s="52">
        <f t="shared" ca="1" si="1699"/>
        <v>189347.13450160954</v>
      </c>
      <c r="AT1438" s="52">
        <f t="shared" ca="1" si="1699"/>
        <v>0</v>
      </c>
      <c r="AU1438" s="52">
        <f t="shared" ca="1" si="1699"/>
        <v>0</v>
      </c>
      <c r="AV1438" s="52">
        <f t="shared" ca="1" si="1699"/>
        <v>0</v>
      </c>
      <c r="AW1438" s="52">
        <f t="shared" ca="1" si="1699"/>
        <v>0</v>
      </c>
      <c r="AX1438" s="52">
        <f t="shared" ca="1" si="1699"/>
        <v>0</v>
      </c>
      <c r="AY1438" s="52">
        <f t="shared" ca="1" si="1699"/>
        <v>0</v>
      </c>
      <c r="AZ1438" s="52">
        <f t="shared" ca="1" si="1699"/>
        <v>0</v>
      </c>
      <c r="BA1438" s="52">
        <f t="shared" ca="1" si="1699"/>
        <v>0</v>
      </c>
      <c r="BB1438" s="52">
        <f t="shared" ca="1" si="1699"/>
        <v>0</v>
      </c>
      <c r="BC1438" s="52">
        <f t="shared" ca="1" si="1699"/>
        <v>0</v>
      </c>
      <c r="BD1438" s="52">
        <f t="shared" ca="1" si="1699"/>
        <v>0</v>
      </c>
      <c r="BE1438" s="52">
        <f t="shared" ca="1" si="1699"/>
        <v>0</v>
      </c>
      <c r="BF1438" s="52">
        <f t="shared" ca="1" si="1699"/>
        <v>0</v>
      </c>
      <c r="BG1438" s="52">
        <f t="shared" ca="1" si="1699"/>
        <v>0</v>
      </c>
      <c r="BH1438" s="52">
        <f t="shared" ca="1" si="1699"/>
        <v>0</v>
      </c>
      <c r="BI1438" s="52">
        <f t="shared" ca="1" si="1699"/>
        <v>0</v>
      </c>
      <c r="BJ1438" s="52">
        <f t="shared" ca="1" si="1699"/>
        <v>0</v>
      </c>
      <c r="BK1438" s="52">
        <f t="shared" ca="1" si="1699"/>
        <v>0</v>
      </c>
      <c r="BL1438" s="52">
        <f t="shared" ca="1" si="1699"/>
        <v>0</v>
      </c>
      <c r="BM1438" s="52">
        <f t="shared" ca="1" si="1699"/>
        <v>0</v>
      </c>
      <c r="BN1438" s="52">
        <f t="shared" ca="1" si="1699"/>
        <v>0</v>
      </c>
      <c r="BO1438" s="52">
        <f t="shared" ca="1" si="1699"/>
        <v>0</v>
      </c>
      <c r="BP1438" s="52">
        <f t="shared" ca="1" si="1699"/>
        <v>0</v>
      </c>
      <c r="BQ1438" s="52">
        <f t="shared" ca="1" si="1699"/>
        <v>0</v>
      </c>
      <c r="BR1438" s="52">
        <f t="shared" ca="1" si="1699"/>
        <v>0</v>
      </c>
      <c r="BS1438" s="52">
        <f t="shared" ca="1" si="1699"/>
        <v>0</v>
      </c>
      <c r="BT1438" s="52">
        <f t="shared" ca="1" si="1699"/>
        <v>0</v>
      </c>
      <c r="BU1438" s="52">
        <f t="shared" ca="1" si="1699"/>
        <v>0</v>
      </c>
      <c r="BV1438" s="52">
        <f t="shared" ca="1" si="1699"/>
        <v>0</v>
      </c>
      <c r="BW1438" s="52">
        <f t="shared" ca="1" si="1699"/>
        <v>0</v>
      </c>
      <c r="BX1438" s="52">
        <f t="shared" ref="BX1438:CO1438" ca="1" si="1700">Debt_EoP</f>
        <v>0</v>
      </c>
      <c r="BY1438" s="52">
        <f t="shared" ca="1" si="1700"/>
        <v>0</v>
      </c>
      <c r="BZ1438" s="52">
        <f t="shared" ca="1" si="1700"/>
        <v>0</v>
      </c>
      <c r="CA1438" s="52">
        <f t="shared" ca="1" si="1700"/>
        <v>0</v>
      </c>
      <c r="CB1438" s="52">
        <f t="shared" ca="1" si="1700"/>
        <v>0</v>
      </c>
      <c r="CC1438" s="52">
        <f t="shared" ca="1" si="1700"/>
        <v>0</v>
      </c>
      <c r="CD1438" s="52">
        <f t="shared" ca="1" si="1700"/>
        <v>0</v>
      </c>
      <c r="CE1438" s="52">
        <f t="shared" ca="1" si="1700"/>
        <v>0</v>
      </c>
      <c r="CF1438" s="52">
        <f t="shared" ca="1" si="1700"/>
        <v>0</v>
      </c>
      <c r="CG1438" s="52">
        <f t="shared" ca="1" si="1700"/>
        <v>0</v>
      </c>
      <c r="CH1438" s="52">
        <f t="shared" ca="1" si="1700"/>
        <v>0</v>
      </c>
      <c r="CI1438" s="52">
        <f t="shared" ca="1" si="1700"/>
        <v>0</v>
      </c>
      <c r="CJ1438" s="52">
        <f t="shared" ca="1" si="1700"/>
        <v>0</v>
      </c>
      <c r="CK1438" s="52">
        <f t="shared" ca="1" si="1700"/>
        <v>0</v>
      </c>
      <c r="CL1438" s="52">
        <f t="shared" ca="1" si="1700"/>
        <v>0</v>
      </c>
      <c r="CM1438" s="52">
        <f t="shared" ca="1" si="1700"/>
        <v>0</v>
      </c>
      <c r="CN1438" s="52">
        <f t="shared" ca="1" si="1700"/>
        <v>0</v>
      </c>
      <c r="CO1438" s="52">
        <f t="shared" ca="1" si="1700"/>
        <v>0</v>
      </c>
    </row>
    <row r="1439" spans="1:93">
      <c r="A1439" s="10"/>
      <c r="B1439" s="10"/>
      <c r="C1439" s="17" t="s">
        <v>431</v>
      </c>
      <c r="D1439" s="10"/>
      <c r="E1439" s="10"/>
      <c r="F1439" s="10"/>
      <c r="G1439" s="11" t="str">
        <f>Monetary_Unit</f>
        <v>тыс. руб.</v>
      </c>
      <c r="H1439" s="10"/>
      <c r="I1439" s="10"/>
      <c r="J1439" s="10"/>
      <c r="K1439" s="10"/>
      <c r="L1439" s="52">
        <f ca="1">Отчетность!L23</f>
        <v>20493.455029060045</v>
      </c>
      <c r="M1439" s="52">
        <f ca="1">Отчетность!M23</f>
        <v>41824.099102423454</v>
      </c>
      <c r="N1439" s="52">
        <f ca="1">Отчетность!N23</f>
        <v>64044.799891047522</v>
      </c>
      <c r="O1439" s="52">
        <f ca="1">Отчетность!O23</f>
        <v>87190.228077079839</v>
      </c>
      <c r="P1439" s="52">
        <f ca="1">Отчетность!P23</f>
        <v>268240.47792152874</v>
      </c>
      <c r="Q1439" s="52">
        <f ca="1">Отчетность!Q23</f>
        <v>454778.69211818883</v>
      </c>
      <c r="R1439" s="52">
        <f ca="1">Отчетность!R23</f>
        <v>647089.64277460636</v>
      </c>
      <c r="S1439" s="52">
        <f ca="1">Отчетность!S23</f>
        <v>845307.89527488186</v>
      </c>
      <c r="T1439" s="52">
        <f ca="1">Отчетность!T23</f>
        <v>1046126.1844124676</v>
      </c>
      <c r="U1439" s="52">
        <f ca="1">Отчетность!U23</f>
        <v>1254307.5441635351</v>
      </c>
      <c r="V1439" s="52">
        <f ca="1">Отчетность!V23</f>
        <v>1467737.3847753345</v>
      </c>
      <c r="W1439" s="52">
        <f ca="1">Отчетность!W23</f>
        <v>1686291.947902899</v>
      </c>
      <c r="X1439" s="52">
        <f ca="1">Отчетность!X23</f>
        <v>2086473.4232467371</v>
      </c>
      <c r="Y1439" s="52">
        <f ca="1">Отчетность!Y23</f>
        <v>2496021.7184904646</v>
      </c>
      <c r="Z1439" s="52">
        <f ca="1">Отчетность!Z23</f>
        <v>2915620.7452176441</v>
      </c>
      <c r="AA1439" s="52">
        <f ca="1">Отчетность!AA23</f>
        <v>3345062.5364159807</v>
      </c>
      <c r="AB1439" s="52">
        <f ca="1">Отчетность!AB23</f>
        <v>4063130.2102480987</v>
      </c>
      <c r="AC1439" s="52">
        <f ca="1">Отчетность!AC23</f>
        <v>3665362.679555065</v>
      </c>
      <c r="AD1439" s="52">
        <f ca="1">Отчетность!AD23</f>
        <v>3655557.7928067679</v>
      </c>
      <c r="AE1439" s="52">
        <f ca="1">Отчетность!AE23</f>
        <v>3438751.6797330701</v>
      </c>
      <c r="AF1439" s="52">
        <f ca="1">Отчетность!AF23</f>
        <v>3368423.2905716021</v>
      </c>
      <c r="AG1439" s="52">
        <f ca="1">Отчетность!AG23</f>
        <v>3400841.652351534</v>
      </c>
      <c r="AH1439" s="52">
        <f ca="1">Отчетность!AH23</f>
        <v>3517519.6325599798</v>
      </c>
      <c r="AI1439" s="52">
        <f ca="1">Отчетность!AI23</f>
        <v>3272627.4935743124</v>
      </c>
      <c r="AJ1439" s="52">
        <f ca="1">Отчетность!AJ23</f>
        <v>3198142.0757061988</v>
      </c>
      <c r="AK1439" s="52">
        <f ca="1">Отчетность!AK23</f>
        <v>3242321.9403186208</v>
      </c>
      <c r="AL1439" s="52">
        <f ca="1">Отчетность!AL23</f>
        <v>3382950.2987310104</v>
      </c>
      <c r="AM1439" s="52">
        <f ca="1">Отчетность!AM23</f>
        <v>3107997.1531841741</v>
      </c>
      <c r="AN1439" s="52">
        <f ca="1">Отчетность!AN23</f>
        <v>3029160.7347947289</v>
      </c>
      <c r="AO1439" s="52">
        <f ca="1">Отчетность!AO23</f>
        <v>3085916.0254082773</v>
      </c>
      <c r="AP1439" s="52">
        <f ca="1">Отчетность!AP23</f>
        <v>3242354.1497397982</v>
      </c>
      <c r="AQ1439" s="52">
        <f ca="1">Отчетность!AQ23</f>
        <v>2937064.0764296325</v>
      </c>
      <c r="AR1439" s="52">
        <f ca="1">Отчетность!AR23</f>
        <v>2851126.2578955074</v>
      </c>
      <c r="AS1439" s="52">
        <f ca="1">Отчетность!AS23</f>
        <v>2908536.2067588461</v>
      </c>
      <c r="AT1439" s="52">
        <f ca="1">Отчетность!AT23</f>
        <v>3072996.9486882384</v>
      </c>
      <c r="AU1439" s="52">
        <f ca="1">Отчетность!AU23</f>
        <v>2757369.9881357332</v>
      </c>
      <c r="AV1439" s="52">
        <f ca="1">Отчетность!AV23</f>
        <v>2669868.9804881467</v>
      </c>
      <c r="AW1439" s="52">
        <f ca="1">Отчетность!AW23</f>
        <v>2684391.1895670309</v>
      </c>
      <c r="AX1439" s="52">
        <f ca="1">Отчетность!AX23</f>
        <v>2812390.1958103091</v>
      </c>
      <c r="AY1439" s="52">
        <f ca="1">Отчетность!AY23</f>
        <v>2516916.9259513542</v>
      </c>
      <c r="AZ1439" s="52">
        <f ca="1">Отчетность!AZ23</f>
        <v>2456170.215030489</v>
      </c>
      <c r="BA1439" s="52">
        <f ca="1">Отчетность!BA23</f>
        <v>2505837.9070480098</v>
      </c>
      <c r="BB1439" s="52">
        <f ca="1">Отчетность!BB23</f>
        <v>2640831.5824700072</v>
      </c>
      <c r="BC1439" s="52">
        <f ca="1">Отчетность!BC23</f>
        <v>2335414.0907456828</v>
      </c>
      <c r="BD1439" s="52">
        <f ca="1">Отчетность!BD23</f>
        <v>2274111.9584895717</v>
      </c>
      <c r="BE1439" s="52">
        <f ca="1">Отчетность!BE23</f>
        <v>2351319.908767045</v>
      </c>
      <c r="BF1439" s="52">
        <f ca="1">Отчетность!BF23</f>
        <v>2517266.8817597539</v>
      </c>
      <c r="BG1439" s="52">
        <f ca="1">Отчетность!BG23</f>
        <v>2225186.2408946166</v>
      </c>
      <c r="BH1439" s="52">
        <f ca="1">Отчетность!BH23</f>
        <v>2186986.1184514891</v>
      </c>
      <c r="BI1439" s="52">
        <f ca="1">Отчетность!BI23</f>
        <v>2268209.9445829312</v>
      </c>
      <c r="BJ1439" s="52">
        <f ca="1">Отчетность!BJ23</f>
        <v>2441722.3543646559</v>
      </c>
      <c r="BK1439" s="52">
        <f ca="1">Отчетность!BK23</f>
        <v>2138886.0457609184</v>
      </c>
      <c r="BL1439" s="52">
        <f ca="1">Отчетность!BL23</f>
        <v>2100085.1931505157</v>
      </c>
      <c r="BM1439" s="52">
        <f ca="1">Отчетность!BM23</f>
        <v>2185485.5274869977</v>
      </c>
      <c r="BN1439" s="52">
        <f ca="1">Отчетность!BN23</f>
        <v>2366865.9888197733</v>
      </c>
      <c r="BO1439" s="52">
        <f ca="1">Отчетность!BO23</f>
        <v>2052843.7830316685</v>
      </c>
      <c r="BP1439" s="52">
        <f ca="1">Отчетность!BP23</f>
        <v>2013418.4514766322</v>
      </c>
      <c r="BQ1439" s="52">
        <f ca="1">Отчетность!BQ23</f>
        <v>2103162.3543463554</v>
      </c>
      <c r="BR1439" s="52">
        <f ca="1">Отчетность!BR23</f>
        <v>2292725.589292224</v>
      </c>
      <c r="BS1439" s="52">
        <f ca="1">Отчетность!BS23</f>
        <v>1967070.050432377</v>
      </c>
      <c r="BT1439" s="52">
        <f ca="1">Отчетность!BT23</f>
        <v>1926994.954473896</v>
      </c>
      <c r="BU1439" s="52">
        <f ca="1">Отчетность!BU23</f>
        <v>2021256.1656000817</v>
      </c>
      <c r="BV1439" s="52">
        <f ca="1">Отчетность!BV23</f>
        <v>2219329.4820557199</v>
      </c>
      <c r="BW1439" s="52">
        <f ca="1">Отчетность!BW23</f>
        <v>1881575.2737233825</v>
      </c>
      <c r="BX1439" s="52">
        <f ca="1">Отчетность!BX23</f>
        <v>1840825.3630842704</v>
      </c>
      <c r="BY1439" s="52">
        <f ca="1">Отчетность!BY23</f>
        <v>1939784.5809541186</v>
      </c>
      <c r="BZ1439" s="52">
        <f ca="1">Отчетность!BZ23</f>
        <v>2146708.3883975251</v>
      </c>
      <c r="CA1439" s="52">
        <f ca="1">Отчетность!CA23</f>
        <v>1796371.5700926706</v>
      </c>
      <c r="CB1439" s="52">
        <f ca="1">Отчетность!CB23</f>
        <v>1754918.8901251219</v>
      </c>
      <c r="CC1439" s="52">
        <f ca="1">Отчетность!CC23</f>
        <v>1858764.031869546</v>
      </c>
      <c r="CD1439" s="52">
        <f ca="1">Отчетность!CD23</f>
        <v>2074892.3467704712</v>
      </c>
      <c r="CE1439" s="52">
        <f ca="1">Отчетность!CE23</f>
        <v>1711469.6108932043</v>
      </c>
      <c r="CF1439" s="52">
        <f ca="1">Отчетность!CF23</f>
        <v>1669286.3788867358</v>
      </c>
      <c r="CG1439" s="52">
        <f ca="1">Отчетность!CG23</f>
        <v>1778212.8814607188</v>
      </c>
      <c r="CH1439" s="52">
        <f ca="1">Отчетность!CH23</f>
        <v>2003913.8841174631</v>
      </c>
      <c r="CI1439" s="52">
        <f ca="1">Отчетность!CI23</f>
        <v>1626881.7939648877</v>
      </c>
      <c r="CJ1439" s="52">
        <f ca="1">Отчетность!CJ23</f>
        <v>1583938.4295090663</v>
      </c>
      <c r="CK1439" s="52">
        <f ca="1">Отчетность!CK23</f>
        <v>1698149.5438150307</v>
      </c>
      <c r="CL1439" s="52">
        <f ca="1">Отчетность!CL23</f>
        <v>1933806.1381722768</v>
      </c>
      <c r="CM1439" s="52">
        <f ca="1">Отчетность!CM23</f>
        <v>1542620.3159726975</v>
      </c>
      <c r="CN1439" s="52">
        <f ca="1">Отчетность!CN23</f>
        <v>1498887.5137863259</v>
      </c>
      <c r="CO1439" s="52">
        <f ca="1">Отчетность!CO23</f>
        <v>1618594.6314963016</v>
      </c>
    </row>
    <row r="1440" spans="1:93">
      <c r="A1440" s="10"/>
      <c r="B1440" s="10"/>
      <c r="C1440" s="17" t="s">
        <v>432</v>
      </c>
      <c r="D1440" s="10"/>
      <c r="E1440" s="10"/>
      <c r="F1440" s="10"/>
      <c r="G1440" s="11" t="s">
        <v>28</v>
      </c>
      <c r="H1440" s="10"/>
      <c r="I1440" s="10"/>
      <c r="J1440" s="10"/>
      <c r="K1440" s="10"/>
      <c r="L1440" s="199">
        <f ca="1">IFERROR(ROUND(L1438/L1439,2),0)</f>
        <v>0</v>
      </c>
      <c r="M1440" s="199">
        <f t="shared" ref="M1440:BX1440" ca="1" si="1701">IFERROR(ROUND(M1438/M1439,2),0)</f>
        <v>0</v>
      </c>
      <c r="N1440" s="199">
        <f t="shared" ca="1" si="1701"/>
        <v>0</v>
      </c>
      <c r="O1440" s="199">
        <f t="shared" ca="1" si="1701"/>
        <v>0</v>
      </c>
      <c r="P1440" s="199">
        <f t="shared" ca="1" si="1701"/>
        <v>0</v>
      </c>
      <c r="Q1440" s="199">
        <f t="shared" ca="1" si="1701"/>
        <v>0</v>
      </c>
      <c r="R1440" s="199">
        <f t="shared" ca="1" si="1701"/>
        <v>0</v>
      </c>
      <c r="S1440" s="199">
        <f t="shared" ca="1" si="1701"/>
        <v>0</v>
      </c>
      <c r="T1440" s="199">
        <f t="shared" ca="1" si="1701"/>
        <v>0.05</v>
      </c>
      <c r="U1440" s="199">
        <f t="shared" ca="1" si="1701"/>
        <v>0.19</v>
      </c>
      <c r="V1440" s="199">
        <f t="shared" ca="1" si="1701"/>
        <v>0.28999999999999998</v>
      </c>
      <c r="W1440" s="199">
        <f t="shared" ca="1" si="1701"/>
        <v>0.37</v>
      </c>
      <c r="X1440" s="199">
        <f t="shared" ca="1" si="1701"/>
        <v>0.47</v>
      </c>
      <c r="Y1440" s="199">
        <f t="shared" ca="1" si="1701"/>
        <v>0.54</v>
      </c>
      <c r="Z1440" s="199">
        <f t="shared" ca="1" si="1701"/>
        <v>0.59</v>
      </c>
      <c r="AA1440" s="199">
        <f t="shared" ca="1" si="1701"/>
        <v>0.63</v>
      </c>
      <c r="AB1440" s="199">
        <f t="shared" ca="1" si="1701"/>
        <v>0.68</v>
      </c>
      <c r="AC1440" s="199">
        <f t="shared" ca="1" si="1701"/>
        <v>0.64</v>
      </c>
      <c r="AD1440" s="199">
        <f t="shared" ca="1" si="1701"/>
        <v>0.57999999999999996</v>
      </c>
      <c r="AE1440" s="199">
        <f t="shared" ca="1" si="1701"/>
        <v>0.59</v>
      </c>
      <c r="AF1440" s="199">
        <f t="shared" ca="1" si="1701"/>
        <v>0.57999999999999996</v>
      </c>
      <c r="AG1440" s="199">
        <f t="shared" ca="1" si="1701"/>
        <v>0.56000000000000005</v>
      </c>
      <c r="AH1440" s="199">
        <f t="shared" ca="1" si="1701"/>
        <v>0.5</v>
      </c>
      <c r="AI1440" s="199">
        <f t="shared" ca="1" si="1701"/>
        <v>0.49</v>
      </c>
      <c r="AJ1440" s="199">
        <f t="shared" ca="1" si="1701"/>
        <v>0.48</v>
      </c>
      <c r="AK1440" s="199">
        <f t="shared" ca="1" si="1701"/>
        <v>0.44</v>
      </c>
      <c r="AL1440" s="199">
        <f t="shared" ca="1" si="1701"/>
        <v>0.37</v>
      </c>
      <c r="AM1440" s="199">
        <f t="shared" ca="1" si="1701"/>
        <v>0.34</v>
      </c>
      <c r="AN1440" s="199">
        <f t="shared" ca="1" si="1701"/>
        <v>0.32</v>
      </c>
      <c r="AO1440" s="199">
        <f t="shared" ca="1" si="1701"/>
        <v>0.28000000000000003</v>
      </c>
      <c r="AP1440" s="199">
        <f t="shared" ca="1" si="1701"/>
        <v>0.2</v>
      </c>
      <c r="AQ1440" s="199">
        <f t="shared" ca="1" si="1701"/>
        <v>0.15</v>
      </c>
      <c r="AR1440" s="199">
        <f t="shared" ca="1" si="1701"/>
        <v>0.11</v>
      </c>
      <c r="AS1440" s="199">
        <f t="shared" ca="1" si="1701"/>
        <v>7.0000000000000007E-2</v>
      </c>
      <c r="AT1440" s="199">
        <f t="shared" ca="1" si="1701"/>
        <v>0</v>
      </c>
      <c r="AU1440" s="199">
        <f t="shared" ca="1" si="1701"/>
        <v>0</v>
      </c>
      <c r="AV1440" s="199">
        <f t="shared" ca="1" si="1701"/>
        <v>0</v>
      </c>
      <c r="AW1440" s="199">
        <f t="shared" ca="1" si="1701"/>
        <v>0</v>
      </c>
      <c r="AX1440" s="199">
        <f t="shared" ca="1" si="1701"/>
        <v>0</v>
      </c>
      <c r="AY1440" s="199">
        <f t="shared" ca="1" si="1701"/>
        <v>0</v>
      </c>
      <c r="AZ1440" s="199">
        <f t="shared" ca="1" si="1701"/>
        <v>0</v>
      </c>
      <c r="BA1440" s="199">
        <f t="shared" ca="1" si="1701"/>
        <v>0</v>
      </c>
      <c r="BB1440" s="199">
        <f t="shared" ca="1" si="1701"/>
        <v>0</v>
      </c>
      <c r="BC1440" s="199">
        <f t="shared" ca="1" si="1701"/>
        <v>0</v>
      </c>
      <c r="BD1440" s="199">
        <f t="shared" ca="1" si="1701"/>
        <v>0</v>
      </c>
      <c r="BE1440" s="199">
        <f t="shared" ca="1" si="1701"/>
        <v>0</v>
      </c>
      <c r="BF1440" s="199">
        <f t="shared" ca="1" si="1701"/>
        <v>0</v>
      </c>
      <c r="BG1440" s="199">
        <f t="shared" ca="1" si="1701"/>
        <v>0</v>
      </c>
      <c r="BH1440" s="199">
        <f t="shared" ca="1" si="1701"/>
        <v>0</v>
      </c>
      <c r="BI1440" s="199">
        <f t="shared" ca="1" si="1701"/>
        <v>0</v>
      </c>
      <c r="BJ1440" s="199">
        <f t="shared" ca="1" si="1701"/>
        <v>0</v>
      </c>
      <c r="BK1440" s="199">
        <f t="shared" ca="1" si="1701"/>
        <v>0</v>
      </c>
      <c r="BL1440" s="199">
        <f t="shared" ca="1" si="1701"/>
        <v>0</v>
      </c>
      <c r="BM1440" s="199">
        <f t="shared" ca="1" si="1701"/>
        <v>0</v>
      </c>
      <c r="BN1440" s="199">
        <f t="shared" ca="1" si="1701"/>
        <v>0</v>
      </c>
      <c r="BO1440" s="199">
        <f t="shared" ca="1" si="1701"/>
        <v>0</v>
      </c>
      <c r="BP1440" s="199">
        <f t="shared" ca="1" si="1701"/>
        <v>0</v>
      </c>
      <c r="BQ1440" s="199">
        <f t="shared" ca="1" si="1701"/>
        <v>0</v>
      </c>
      <c r="BR1440" s="199">
        <f t="shared" ca="1" si="1701"/>
        <v>0</v>
      </c>
      <c r="BS1440" s="199">
        <f t="shared" ca="1" si="1701"/>
        <v>0</v>
      </c>
      <c r="BT1440" s="199">
        <f t="shared" ca="1" si="1701"/>
        <v>0</v>
      </c>
      <c r="BU1440" s="199">
        <f t="shared" ca="1" si="1701"/>
        <v>0</v>
      </c>
      <c r="BV1440" s="199">
        <f t="shared" ca="1" si="1701"/>
        <v>0</v>
      </c>
      <c r="BW1440" s="199">
        <f t="shared" ca="1" si="1701"/>
        <v>0</v>
      </c>
      <c r="BX1440" s="199">
        <f t="shared" ca="1" si="1701"/>
        <v>0</v>
      </c>
      <c r="BY1440" s="199">
        <f t="shared" ref="BY1440:CO1440" ca="1" si="1702">IFERROR(ROUND(BY1438/BY1439,2),0)</f>
        <v>0</v>
      </c>
      <c r="BZ1440" s="199">
        <f t="shared" ca="1" si="1702"/>
        <v>0</v>
      </c>
      <c r="CA1440" s="199">
        <f t="shared" ca="1" si="1702"/>
        <v>0</v>
      </c>
      <c r="CB1440" s="199">
        <f t="shared" ca="1" si="1702"/>
        <v>0</v>
      </c>
      <c r="CC1440" s="199">
        <f t="shared" ca="1" si="1702"/>
        <v>0</v>
      </c>
      <c r="CD1440" s="199">
        <f t="shared" ca="1" si="1702"/>
        <v>0</v>
      </c>
      <c r="CE1440" s="199">
        <f t="shared" ca="1" si="1702"/>
        <v>0</v>
      </c>
      <c r="CF1440" s="199">
        <f t="shared" ca="1" si="1702"/>
        <v>0</v>
      </c>
      <c r="CG1440" s="199">
        <f t="shared" ca="1" si="1702"/>
        <v>0</v>
      </c>
      <c r="CH1440" s="199">
        <f t="shared" ca="1" si="1702"/>
        <v>0</v>
      </c>
      <c r="CI1440" s="199">
        <f t="shared" ca="1" si="1702"/>
        <v>0</v>
      </c>
      <c r="CJ1440" s="199">
        <f t="shared" ca="1" si="1702"/>
        <v>0</v>
      </c>
      <c r="CK1440" s="199">
        <f t="shared" ca="1" si="1702"/>
        <v>0</v>
      </c>
      <c r="CL1440" s="199">
        <f t="shared" ca="1" si="1702"/>
        <v>0</v>
      </c>
      <c r="CM1440" s="199">
        <f t="shared" ca="1" si="1702"/>
        <v>0</v>
      </c>
      <c r="CN1440" s="199">
        <f t="shared" ca="1" si="1702"/>
        <v>0</v>
      </c>
      <c r="CO1440" s="199">
        <f t="shared" ca="1" si="1702"/>
        <v>0</v>
      </c>
    </row>
    <row r="1441" spans="1:93">
      <c r="A1441" s="10"/>
      <c r="B1441" s="10"/>
      <c r="C1441" s="17"/>
      <c r="D1441" s="17"/>
      <c r="E1441" s="17"/>
      <c r="F1441" s="10"/>
      <c r="G1441" s="11"/>
      <c r="H1441" s="17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0"/>
      <c r="AH1441" s="10"/>
      <c r="AI1441" s="10"/>
      <c r="AJ1441" s="10"/>
      <c r="AK1441" s="10"/>
      <c r="AL1441" s="10"/>
      <c r="AM1441" s="10"/>
      <c r="AN1441" s="10"/>
      <c r="AO1441" s="10"/>
      <c r="AP1441" s="10"/>
      <c r="AQ1441" s="10"/>
      <c r="AR1441" s="10"/>
      <c r="AS1441" s="10"/>
      <c r="AT1441" s="10"/>
      <c r="AU1441" s="10"/>
      <c r="AV1441" s="10"/>
      <c r="AW1441" s="10"/>
      <c r="AX1441" s="10"/>
      <c r="AY1441" s="10"/>
      <c r="AZ1441" s="10"/>
      <c r="BA1441" s="10"/>
      <c r="BB1441" s="10"/>
      <c r="BC1441" s="10"/>
      <c r="BD1441" s="10"/>
      <c r="BE1441" s="10"/>
      <c r="BF1441" s="10"/>
      <c r="BG1441" s="10"/>
      <c r="BH1441" s="10"/>
      <c r="BI1441" s="10"/>
      <c r="BJ1441" s="10"/>
      <c r="BK1441" s="10"/>
      <c r="BL1441" s="10"/>
      <c r="BM1441" s="10"/>
      <c r="BN1441" s="10"/>
      <c r="BO1441" s="10"/>
      <c r="BP1441" s="10"/>
      <c r="BQ1441" s="10"/>
      <c r="BR1441" s="10"/>
      <c r="BS1441" s="10"/>
      <c r="BT1441" s="10"/>
      <c r="BU1441" s="10"/>
      <c r="BV1441" s="10"/>
      <c r="BW1441" s="10"/>
      <c r="BX1441" s="10"/>
      <c r="BY1441" s="10"/>
      <c r="BZ1441" s="10"/>
      <c r="CA1441" s="10"/>
      <c r="CB1441" s="10"/>
      <c r="CC1441" s="10"/>
      <c r="CD1441" s="10"/>
      <c r="CE1441" s="10"/>
      <c r="CF1441" s="10"/>
      <c r="CG1441" s="10"/>
      <c r="CH1441" s="10"/>
      <c r="CI1441" s="10"/>
      <c r="CJ1441" s="10"/>
      <c r="CK1441" s="10"/>
      <c r="CL1441" s="10"/>
      <c r="CM1441" s="10"/>
      <c r="CN1441" s="10"/>
      <c r="CO1441" s="10"/>
    </row>
    <row r="1442" spans="1:93">
      <c r="A1442" s="10"/>
      <c r="B1442" s="10"/>
      <c r="C1442" s="17" t="s">
        <v>248</v>
      </c>
      <c r="D1442" s="10"/>
      <c r="E1442" s="195">
        <f t="array" aca="1" ref="E1442" ca="1">AVERAGE(IF(L1440:CO1440&lt;&gt;0,L1440:CO1440))</f>
        <v>0.40423076923076917</v>
      </c>
      <c r="F1442" s="10"/>
      <c r="G1442" s="11" t="s">
        <v>93</v>
      </c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0"/>
      <c r="AH1442" s="10"/>
      <c r="AI1442" s="10"/>
      <c r="AJ1442" s="10"/>
      <c r="AK1442" s="10"/>
      <c r="AL1442" s="10"/>
      <c r="AM1442" s="10"/>
      <c r="AN1442" s="10"/>
      <c r="AO1442" s="10"/>
      <c r="AP1442" s="10"/>
      <c r="AQ1442" s="10"/>
      <c r="AR1442" s="10"/>
      <c r="AS1442" s="10"/>
      <c r="AT1442" s="10"/>
      <c r="AU1442" s="10"/>
      <c r="AV1442" s="10"/>
      <c r="AW1442" s="10"/>
      <c r="AX1442" s="10"/>
      <c r="AY1442" s="10"/>
      <c r="AZ1442" s="10"/>
      <c r="BA1442" s="10"/>
      <c r="BB1442" s="10"/>
      <c r="BC1442" s="10"/>
      <c r="BD1442" s="10"/>
      <c r="BE1442" s="10"/>
      <c r="BF1442" s="10"/>
      <c r="BG1442" s="10"/>
      <c r="BH1442" s="10"/>
      <c r="BI1442" s="10"/>
      <c r="BJ1442" s="10"/>
      <c r="BK1442" s="10"/>
      <c r="BL1442" s="10"/>
      <c r="BM1442" s="10"/>
      <c r="BN1442" s="10"/>
      <c r="BO1442" s="10"/>
      <c r="BP1442" s="10"/>
      <c r="BQ1442" s="10"/>
      <c r="BR1442" s="10"/>
      <c r="BS1442" s="10"/>
      <c r="BT1442" s="10"/>
      <c r="BU1442" s="10"/>
      <c r="BV1442" s="10"/>
      <c r="BW1442" s="10"/>
      <c r="BX1442" s="10"/>
      <c r="BY1442" s="10"/>
      <c r="BZ1442" s="10"/>
      <c r="CA1442" s="10"/>
      <c r="CB1442" s="10"/>
      <c r="CC1442" s="10"/>
      <c r="CD1442" s="10"/>
      <c r="CE1442" s="10"/>
      <c r="CF1442" s="10"/>
      <c r="CG1442" s="10"/>
      <c r="CH1442" s="10"/>
      <c r="CI1442" s="10"/>
      <c r="CJ1442" s="10"/>
      <c r="CK1442" s="10"/>
      <c r="CL1442" s="10"/>
      <c r="CM1442" s="10"/>
      <c r="CN1442" s="10"/>
      <c r="CO1442" s="10"/>
    </row>
    <row r="1443" spans="1:93">
      <c r="A1443" s="10"/>
      <c r="B1443" s="10"/>
      <c r="C1443" s="17" t="s">
        <v>251</v>
      </c>
      <c r="D1443" s="10"/>
      <c r="E1443" s="195">
        <f t="array" aca="1" ref="E1443" ca="1">MAX(IF(L1440:CO1440&lt;&gt;0,L1440:CO1440))</f>
        <v>0.68</v>
      </c>
      <c r="F1443" s="10"/>
      <c r="G1443" s="11" t="s">
        <v>93</v>
      </c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0"/>
      <c r="AH1443" s="10"/>
      <c r="AI1443" s="10"/>
      <c r="AJ1443" s="10"/>
      <c r="AK1443" s="10"/>
      <c r="AL1443" s="10"/>
      <c r="AM1443" s="10"/>
      <c r="AN1443" s="10"/>
      <c r="AO1443" s="10"/>
      <c r="AP1443" s="10"/>
      <c r="AQ1443" s="10"/>
      <c r="AR1443" s="10"/>
      <c r="AS1443" s="10"/>
      <c r="AT1443" s="10"/>
      <c r="AU1443" s="10"/>
      <c r="AV1443" s="10"/>
      <c r="AW1443" s="10"/>
      <c r="AX1443" s="10"/>
      <c r="AY1443" s="10"/>
      <c r="AZ1443" s="10"/>
      <c r="BA1443" s="10"/>
      <c r="BB1443" s="10"/>
      <c r="BC1443" s="10"/>
      <c r="BD1443" s="10"/>
      <c r="BE1443" s="10"/>
      <c r="BF1443" s="10"/>
      <c r="BG1443" s="10"/>
      <c r="BH1443" s="10"/>
      <c r="BI1443" s="10"/>
      <c r="BJ1443" s="10"/>
      <c r="BK1443" s="10"/>
      <c r="BL1443" s="10"/>
      <c r="BM1443" s="10"/>
      <c r="BN1443" s="10"/>
      <c r="BO1443" s="10"/>
      <c r="BP1443" s="10"/>
      <c r="BQ1443" s="10"/>
      <c r="BR1443" s="10"/>
      <c r="BS1443" s="10"/>
      <c r="BT1443" s="10"/>
      <c r="BU1443" s="10"/>
      <c r="BV1443" s="10"/>
      <c r="BW1443" s="10"/>
      <c r="BX1443" s="10"/>
      <c r="BY1443" s="10"/>
      <c r="BZ1443" s="10"/>
      <c r="CA1443" s="10"/>
      <c r="CB1443" s="10"/>
      <c r="CC1443" s="10"/>
      <c r="CD1443" s="10"/>
      <c r="CE1443" s="10"/>
      <c r="CF1443" s="10"/>
      <c r="CG1443" s="10"/>
      <c r="CH1443" s="10"/>
      <c r="CI1443" s="10"/>
      <c r="CJ1443" s="10"/>
      <c r="CK1443" s="10"/>
      <c r="CL1443" s="10"/>
      <c r="CM1443" s="10"/>
      <c r="CN1443" s="10"/>
      <c r="CO1443" s="10"/>
    </row>
    <row r="1444" spans="1:93">
      <c r="A1444" s="10"/>
      <c r="B1444" s="10"/>
      <c r="C1444" s="10"/>
      <c r="D1444" s="10"/>
      <c r="E1444" s="10"/>
      <c r="F1444" s="10"/>
      <c r="G1444" s="11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0"/>
      <c r="AH1444" s="10"/>
      <c r="AI1444" s="10"/>
      <c r="AJ1444" s="10"/>
      <c r="AK1444" s="10"/>
      <c r="AL1444" s="10"/>
      <c r="AM1444" s="10"/>
      <c r="AN1444" s="10"/>
      <c r="AO1444" s="10"/>
      <c r="AP1444" s="10"/>
      <c r="AQ1444" s="10"/>
      <c r="AR1444" s="10"/>
      <c r="AS1444" s="10"/>
      <c r="AT1444" s="10"/>
      <c r="AU1444" s="10"/>
      <c r="AV1444" s="10"/>
      <c r="AW1444" s="10"/>
      <c r="AX1444" s="10"/>
      <c r="AY1444" s="10"/>
      <c r="AZ1444" s="10"/>
      <c r="BA1444" s="10"/>
      <c r="BB1444" s="10"/>
      <c r="BC1444" s="10"/>
      <c r="BD1444" s="10"/>
      <c r="BE1444" s="10"/>
      <c r="BF1444" s="10"/>
      <c r="BG1444" s="10"/>
      <c r="BH1444" s="10"/>
      <c r="BI1444" s="10"/>
      <c r="BJ1444" s="10"/>
      <c r="BK1444" s="10"/>
      <c r="BL1444" s="10"/>
      <c r="BM1444" s="10"/>
      <c r="BN1444" s="10"/>
      <c r="BO1444" s="10"/>
      <c r="BP1444" s="10"/>
      <c r="BQ1444" s="10"/>
      <c r="BR1444" s="10"/>
      <c r="BS1444" s="10"/>
      <c r="BT1444" s="10"/>
      <c r="BU1444" s="10"/>
      <c r="BV1444" s="10"/>
      <c r="BW1444" s="10"/>
      <c r="BX1444" s="10"/>
      <c r="BY1444" s="10"/>
      <c r="BZ1444" s="10"/>
      <c r="CA1444" s="10"/>
      <c r="CB1444" s="10"/>
      <c r="CC1444" s="10"/>
      <c r="CD1444" s="10"/>
      <c r="CE1444" s="10"/>
      <c r="CF1444" s="10"/>
      <c r="CG1444" s="10"/>
      <c r="CH1444" s="10"/>
      <c r="CI1444" s="10"/>
      <c r="CJ1444" s="10"/>
      <c r="CK1444" s="10"/>
      <c r="CL1444" s="10"/>
      <c r="CM1444" s="10"/>
      <c r="CN1444" s="10"/>
      <c r="CO1444" s="10"/>
    </row>
    <row r="1445" spans="1:93">
      <c r="A1445" s="10"/>
      <c r="B1445" s="10"/>
      <c r="C1445" s="198" t="s">
        <v>252</v>
      </c>
      <c r="D1445" s="10"/>
      <c r="E1445" s="10"/>
      <c r="F1445" s="10"/>
      <c r="G1445" s="11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0"/>
      <c r="AH1445" s="10"/>
      <c r="AI1445" s="10"/>
      <c r="AJ1445" s="10"/>
      <c r="AK1445" s="10"/>
      <c r="AL1445" s="10"/>
      <c r="AM1445" s="10"/>
      <c r="AN1445" s="10"/>
      <c r="AO1445" s="10"/>
      <c r="AP1445" s="10"/>
      <c r="AQ1445" s="10"/>
      <c r="AR1445" s="10"/>
      <c r="AS1445" s="10"/>
      <c r="AT1445" s="10"/>
      <c r="AU1445" s="10"/>
      <c r="AV1445" s="10"/>
      <c r="AW1445" s="10"/>
      <c r="AX1445" s="10"/>
      <c r="AY1445" s="10"/>
      <c r="AZ1445" s="10"/>
      <c r="BA1445" s="10"/>
      <c r="BB1445" s="10"/>
      <c r="BC1445" s="10"/>
      <c r="BD1445" s="10"/>
      <c r="BE1445" s="10"/>
      <c r="BF1445" s="10"/>
      <c r="BG1445" s="10"/>
      <c r="BH1445" s="10"/>
      <c r="BI1445" s="10"/>
      <c r="BJ1445" s="10"/>
      <c r="BK1445" s="10"/>
      <c r="BL1445" s="10"/>
      <c r="BM1445" s="10"/>
      <c r="BN1445" s="10"/>
      <c r="BO1445" s="10"/>
      <c r="BP1445" s="10"/>
      <c r="BQ1445" s="10"/>
      <c r="BR1445" s="10"/>
      <c r="BS1445" s="10"/>
      <c r="BT1445" s="10"/>
      <c r="BU1445" s="10"/>
      <c r="BV1445" s="10"/>
      <c r="BW1445" s="10"/>
      <c r="BX1445" s="10"/>
      <c r="BY1445" s="10"/>
      <c r="BZ1445" s="10"/>
      <c r="CA1445" s="10"/>
      <c r="CB1445" s="10"/>
      <c r="CC1445" s="10"/>
      <c r="CD1445" s="10"/>
      <c r="CE1445" s="10"/>
      <c r="CF1445" s="10"/>
      <c r="CG1445" s="10"/>
      <c r="CH1445" s="10"/>
      <c r="CI1445" s="10"/>
      <c r="CJ1445" s="10"/>
      <c r="CK1445" s="10"/>
      <c r="CL1445" s="10"/>
      <c r="CM1445" s="10"/>
      <c r="CN1445" s="10"/>
      <c r="CO1445" s="10"/>
    </row>
    <row r="1446" spans="1:93">
      <c r="A1446" s="10"/>
      <c r="B1446" s="10"/>
      <c r="C1446" s="17" t="s">
        <v>253</v>
      </c>
      <c r="D1446" s="10"/>
      <c r="E1446" s="10"/>
      <c r="F1446" s="10"/>
      <c r="G1446" s="11" t="s">
        <v>45</v>
      </c>
      <c r="H1446" s="10"/>
      <c r="I1446" s="10"/>
      <c r="J1446" s="10"/>
      <c r="K1446" s="10"/>
      <c r="L1446" s="466">
        <f>L1315</f>
        <v>2025</v>
      </c>
      <c r="M1446" s="466">
        <f t="shared" ref="M1446:BX1446" si="1703">M1315</f>
        <v>2026</v>
      </c>
      <c r="N1446" s="466">
        <f t="shared" si="1703"/>
        <v>2027</v>
      </c>
      <c r="O1446" s="466">
        <f t="shared" si="1703"/>
        <v>2028</v>
      </c>
      <c r="P1446" s="466">
        <f t="shared" si="1703"/>
        <v>2029</v>
      </c>
      <c r="Q1446" s="466">
        <f t="shared" si="1703"/>
        <v>2030</v>
      </c>
      <c r="R1446" s="466">
        <f t="shared" si="1703"/>
        <v>2031</v>
      </c>
      <c r="S1446" s="466">
        <f t="shared" si="1703"/>
        <v>2032</v>
      </c>
      <c r="T1446" s="466">
        <f t="shared" si="1703"/>
        <v>2033</v>
      </c>
      <c r="U1446" s="466">
        <f t="shared" si="1703"/>
        <v>2034</v>
      </c>
      <c r="V1446" s="466">
        <f t="shared" si="1703"/>
        <v>2035</v>
      </c>
      <c r="W1446" s="466">
        <f t="shared" si="1703"/>
        <v>2036</v>
      </c>
      <c r="X1446" s="466">
        <f t="shared" si="1703"/>
        <v>2037</v>
      </c>
      <c r="Y1446" s="466">
        <f t="shared" si="1703"/>
        <v>2038</v>
      </c>
      <c r="Z1446" s="466">
        <f t="shared" si="1703"/>
        <v>2039</v>
      </c>
      <c r="AA1446" s="466">
        <f t="shared" si="1703"/>
        <v>2040</v>
      </c>
      <c r="AB1446" s="466">
        <f t="shared" si="1703"/>
        <v>2041</v>
      </c>
      <c r="AC1446" s="466">
        <f t="shared" si="1703"/>
        <v>2042</v>
      </c>
      <c r="AD1446" s="466">
        <f t="shared" si="1703"/>
        <v>2043</v>
      </c>
      <c r="AE1446" s="466">
        <f t="shared" si="1703"/>
        <v>2044</v>
      </c>
      <c r="AF1446" s="466">
        <f t="shared" si="1703"/>
        <v>2045</v>
      </c>
      <c r="AG1446" s="466">
        <f t="shared" si="1703"/>
        <v>2046</v>
      </c>
      <c r="AH1446" s="466">
        <f t="shared" si="1703"/>
        <v>2047</v>
      </c>
      <c r="AI1446" s="466">
        <f t="shared" si="1703"/>
        <v>2048</v>
      </c>
      <c r="AJ1446" s="466">
        <f t="shared" si="1703"/>
        <v>2049</v>
      </c>
      <c r="AK1446" s="466">
        <f t="shared" si="1703"/>
        <v>0</v>
      </c>
      <c r="AL1446" s="466">
        <f t="shared" si="1703"/>
        <v>0</v>
      </c>
      <c r="AM1446" s="466">
        <f t="shared" si="1703"/>
        <v>0</v>
      </c>
      <c r="AN1446" s="466">
        <f t="shared" si="1703"/>
        <v>0</v>
      </c>
      <c r="AO1446" s="466">
        <f t="shared" si="1703"/>
        <v>0</v>
      </c>
      <c r="AP1446" s="466">
        <f t="shared" si="1703"/>
        <v>0</v>
      </c>
      <c r="AQ1446" s="466">
        <f t="shared" si="1703"/>
        <v>0</v>
      </c>
      <c r="AR1446" s="466">
        <f t="shared" si="1703"/>
        <v>0</v>
      </c>
      <c r="AS1446" s="466">
        <f t="shared" si="1703"/>
        <v>0</v>
      </c>
      <c r="AT1446" s="466">
        <f t="shared" si="1703"/>
        <v>0</v>
      </c>
      <c r="AU1446" s="466">
        <f t="shared" si="1703"/>
        <v>0</v>
      </c>
      <c r="AV1446" s="466">
        <f t="shared" si="1703"/>
        <v>0</v>
      </c>
      <c r="AW1446" s="466">
        <f t="shared" si="1703"/>
        <v>0</v>
      </c>
      <c r="AX1446" s="466">
        <f t="shared" si="1703"/>
        <v>0</v>
      </c>
      <c r="AY1446" s="466">
        <f t="shared" si="1703"/>
        <v>0</v>
      </c>
      <c r="AZ1446" s="466">
        <f t="shared" si="1703"/>
        <v>0</v>
      </c>
      <c r="BA1446" s="466">
        <f t="shared" si="1703"/>
        <v>0</v>
      </c>
      <c r="BB1446" s="466">
        <f t="shared" si="1703"/>
        <v>0</v>
      </c>
      <c r="BC1446" s="466">
        <f t="shared" si="1703"/>
        <v>0</v>
      </c>
      <c r="BD1446" s="466">
        <f t="shared" si="1703"/>
        <v>0</v>
      </c>
      <c r="BE1446" s="466">
        <f t="shared" si="1703"/>
        <v>0</v>
      </c>
      <c r="BF1446" s="466">
        <f t="shared" si="1703"/>
        <v>0</v>
      </c>
      <c r="BG1446" s="466">
        <f t="shared" si="1703"/>
        <v>0</v>
      </c>
      <c r="BH1446" s="466">
        <f t="shared" si="1703"/>
        <v>0</v>
      </c>
      <c r="BI1446" s="466">
        <f t="shared" si="1703"/>
        <v>0</v>
      </c>
      <c r="BJ1446" s="466">
        <f t="shared" si="1703"/>
        <v>0</v>
      </c>
      <c r="BK1446" s="466">
        <f t="shared" si="1703"/>
        <v>0</v>
      </c>
      <c r="BL1446" s="466">
        <f t="shared" si="1703"/>
        <v>0</v>
      </c>
      <c r="BM1446" s="466">
        <f t="shared" si="1703"/>
        <v>0</v>
      </c>
      <c r="BN1446" s="466">
        <f t="shared" si="1703"/>
        <v>0</v>
      </c>
      <c r="BO1446" s="466">
        <f t="shared" si="1703"/>
        <v>0</v>
      </c>
      <c r="BP1446" s="466">
        <f t="shared" si="1703"/>
        <v>0</v>
      </c>
      <c r="BQ1446" s="466">
        <f t="shared" si="1703"/>
        <v>0</v>
      </c>
      <c r="BR1446" s="466">
        <f t="shared" si="1703"/>
        <v>0</v>
      </c>
      <c r="BS1446" s="466">
        <f t="shared" si="1703"/>
        <v>0</v>
      </c>
      <c r="BT1446" s="466">
        <f t="shared" si="1703"/>
        <v>0</v>
      </c>
      <c r="BU1446" s="466">
        <f t="shared" si="1703"/>
        <v>0</v>
      </c>
      <c r="BV1446" s="466">
        <f t="shared" si="1703"/>
        <v>0</v>
      </c>
      <c r="BW1446" s="466">
        <f t="shared" si="1703"/>
        <v>0</v>
      </c>
      <c r="BX1446" s="466">
        <f t="shared" si="1703"/>
        <v>0</v>
      </c>
      <c r="BY1446" s="466">
        <f t="shared" ref="BY1446:CO1446" si="1704">BY1315</f>
        <v>0</v>
      </c>
      <c r="BZ1446" s="466">
        <f t="shared" si="1704"/>
        <v>0</v>
      </c>
      <c r="CA1446" s="466">
        <f t="shared" si="1704"/>
        <v>0</v>
      </c>
      <c r="CB1446" s="466">
        <f t="shared" si="1704"/>
        <v>0</v>
      </c>
      <c r="CC1446" s="466">
        <f t="shared" si="1704"/>
        <v>0</v>
      </c>
      <c r="CD1446" s="466">
        <f t="shared" si="1704"/>
        <v>0</v>
      </c>
      <c r="CE1446" s="466">
        <f t="shared" si="1704"/>
        <v>0</v>
      </c>
      <c r="CF1446" s="466">
        <f t="shared" si="1704"/>
        <v>0</v>
      </c>
      <c r="CG1446" s="466">
        <f t="shared" si="1704"/>
        <v>0</v>
      </c>
      <c r="CH1446" s="466">
        <f t="shared" si="1704"/>
        <v>0</v>
      </c>
      <c r="CI1446" s="466">
        <f t="shared" si="1704"/>
        <v>0</v>
      </c>
      <c r="CJ1446" s="466">
        <f t="shared" si="1704"/>
        <v>0</v>
      </c>
      <c r="CK1446" s="466">
        <f t="shared" si="1704"/>
        <v>0</v>
      </c>
      <c r="CL1446" s="466">
        <f t="shared" si="1704"/>
        <v>0</v>
      </c>
      <c r="CM1446" s="466">
        <f t="shared" si="1704"/>
        <v>0</v>
      </c>
      <c r="CN1446" s="466">
        <f t="shared" si="1704"/>
        <v>0</v>
      </c>
      <c r="CO1446" s="466">
        <f t="shared" si="1704"/>
        <v>0</v>
      </c>
    </row>
    <row r="1447" spans="1:93">
      <c r="A1447" s="10"/>
      <c r="B1447" s="10"/>
      <c r="C1447" s="17" t="s">
        <v>254</v>
      </c>
      <c r="D1447" s="10"/>
      <c r="E1447" s="10"/>
      <c r="F1447" s="10"/>
      <c r="G1447" s="11" t="s">
        <v>31</v>
      </c>
      <c r="H1447" s="10"/>
      <c r="I1447" s="10"/>
      <c r="J1447" s="10"/>
      <c r="K1447" s="10"/>
      <c r="L1447" s="200">
        <f>IF(L1446,DATE(L1446,12,31),"")</f>
        <v>46022</v>
      </c>
      <c r="M1447" s="200">
        <f t="shared" ref="M1447:BX1447" si="1705">IF(M1446,DATE(M1446,12,31),"")</f>
        <v>46387</v>
      </c>
      <c r="N1447" s="200">
        <f t="shared" si="1705"/>
        <v>46752</v>
      </c>
      <c r="O1447" s="200">
        <f t="shared" si="1705"/>
        <v>47118</v>
      </c>
      <c r="P1447" s="200">
        <f t="shared" si="1705"/>
        <v>47483</v>
      </c>
      <c r="Q1447" s="200">
        <f t="shared" si="1705"/>
        <v>47848</v>
      </c>
      <c r="R1447" s="200">
        <f t="shared" si="1705"/>
        <v>48213</v>
      </c>
      <c r="S1447" s="200">
        <f t="shared" si="1705"/>
        <v>48579</v>
      </c>
      <c r="T1447" s="200">
        <f t="shared" si="1705"/>
        <v>48944</v>
      </c>
      <c r="U1447" s="200">
        <f t="shared" si="1705"/>
        <v>49309</v>
      </c>
      <c r="V1447" s="200">
        <f t="shared" si="1705"/>
        <v>49674</v>
      </c>
      <c r="W1447" s="200">
        <f t="shared" si="1705"/>
        <v>50040</v>
      </c>
      <c r="X1447" s="200">
        <f t="shared" si="1705"/>
        <v>50405</v>
      </c>
      <c r="Y1447" s="200">
        <f t="shared" si="1705"/>
        <v>50770</v>
      </c>
      <c r="Z1447" s="200">
        <f t="shared" si="1705"/>
        <v>51135</v>
      </c>
      <c r="AA1447" s="200">
        <f t="shared" si="1705"/>
        <v>51501</v>
      </c>
      <c r="AB1447" s="200">
        <f t="shared" si="1705"/>
        <v>51866</v>
      </c>
      <c r="AC1447" s="200">
        <f t="shared" si="1705"/>
        <v>52231</v>
      </c>
      <c r="AD1447" s="200">
        <f t="shared" si="1705"/>
        <v>52596</v>
      </c>
      <c r="AE1447" s="200">
        <f t="shared" si="1705"/>
        <v>52962</v>
      </c>
      <c r="AF1447" s="200">
        <f t="shared" si="1705"/>
        <v>53327</v>
      </c>
      <c r="AG1447" s="200">
        <f t="shared" si="1705"/>
        <v>53692</v>
      </c>
      <c r="AH1447" s="200">
        <f t="shared" si="1705"/>
        <v>54057</v>
      </c>
      <c r="AI1447" s="200">
        <f t="shared" si="1705"/>
        <v>54423</v>
      </c>
      <c r="AJ1447" s="200">
        <f t="shared" si="1705"/>
        <v>54788</v>
      </c>
      <c r="AK1447" s="200" t="str">
        <f t="shared" si="1705"/>
        <v/>
      </c>
      <c r="AL1447" s="200" t="str">
        <f t="shared" si="1705"/>
        <v/>
      </c>
      <c r="AM1447" s="200" t="str">
        <f t="shared" si="1705"/>
        <v/>
      </c>
      <c r="AN1447" s="200" t="str">
        <f t="shared" si="1705"/>
        <v/>
      </c>
      <c r="AO1447" s="200" t="str">
        <f t="shared" si="1705"/>
        <v/>
      </c>
      <c r="AP1447" s="200" t="str">
        <f t="shared" si="1705"/>
        <v/>
      </c>
      <c r="AQ1447" s="200" t="str">
        <f t="shared" si="1705"/>
        <v/>
      </c>
      <c r="AR1447" s="200" t="str">
        <f t="shared" si="1705"/>
        <v/>
      </c>
      <c r="AS1447" s="200" t="str">
        <f t="shared" si="1705"/>
        <v/>
      </c>
      <c r="AT1447" s="200" t="str">
        <f t="shared" si="1705"/>
        <v/>
      </c>
      <c r="AU1447" s="200" t="str">
        <f t="shared" si="1705"/>
        <v/>
      </c>
      <c r="AV1447" s="200" t="str">
        <f t="shared" si="1705"/>
        <v/>
      </c>
      <c r="AW1447" s="200" t="str">
        <f t="shared" si="1705"/>
        <v/>
      </c>
      <c r="AX1447" s="200" t="str">
        <f t="shared" si="1705"/>
        <v/>
      </c>
      <c r="AY1447" s="200" t="str">
        <f t="shared" si="1705"/>
        <v/>
      </c>
      <c r="AZ1447" s="200" t="str">
        <f t="shared" si="1705"/>
        <v/>
      </c>
      <c r="BA1447" s="200" t="str">
        <f t="shared" si="1705"/>
        <v/>
      </c>
      <c r="BB1447" s="200" t="str">
        <f t="shared" si="1705"/>
        <v/>
      </c>
      <c r="BC1447" s="200" t="str">
        <f t="shared" si="1705"/>
        <v/>
      </c>
      <c r="BD1447" s="200" t="str">
        <f t="shared" si="1705"/>
        <v/>
      </c>
      <c r="BE1447" s="200" t="str">
        <f t="shared" si="1705"/>
        <v/>
      </c>
      <c r="BF1447" s="200" t="str">
        <f t="shared" si="1705"/>
        <v/>
      </c>
      <c r="BG1447" s="200" t="str">
        <f t="shared" si="1705"/>
        <v/>
      </c>
      <c r="BH1447" s="200" t="str">
        <f t="shared" si="1705"/>
        <v/>
      </c>
      <c r="BI1447" s="200" t="str">
        <f t="shared" si="1705"/>
        <v/>
      </c>
      <c r="BJ1447" s="200" t="str">
        <f t="shared" si="1705"/>
        <v/>
      </c>
      <c r="BK1447" s="200" t="str">
        <f t="shared" si="1705"/>
        <v/>
      </c>
      <c r="BL1447" s="200" t="str">
        <f t="shared" si="1705"/>
        <v/>
      </c>
      <c r="BM1447" s="200" t="str">
        <f t="shared" si="1705"/>
        <v/>
      </c>
      <c r="BN1447" s="200" t="str">
        <f t="shared" si="1705"/>
        <v/>
      </c>
      <c r="BO1447" s="200" t="str">
        <f t="shared" si="1705"/>
        <v/>
      </c>
      <c r="BP1447" s="200" t="str">
        <f t="shared" si="1705"/>
        <v/>
      </c>
      <c r="BQ1447" s="200" t="str">
        <f t="shared" si="1705"/>
        <v/>
      </c>
      <c r="BR1447" s="200" t="str">
        <f t="shared" si="1705"/>
        <v/>
      </c>
      <c r="BS1447" s="200" t="str">
        <f t="shared" si="1705"/>
        <v/>
      </c>
      <c r="BT1447" s="200" t="str">
        <f t="shared" si="1705"/>
        <v/>
      </c>
      <c r="BU1447" s="200" t="str">
        <f t="shared" si="1705"/>
        <v/>
      </c>
      <c r="BV1447" s="200" t="str">
        <f t="shared" si="1705"/>
        <v/>
      </c>
      <c r="BW1447" s="200" t="str">
        <f t="shared" si="1705"/>
        <v/>
      </c>
      <c r="BX1447" s="200" t="str">
        <f t="shared" si="1705"/>
        <v/>
      </c>
      <c r="BY1447" s="200" t="str">
        <f t="shared" ref="BY1447:CO1447" si="1706">IF(BY1446,DATE(BY1446,12,31),"")</f>
        <v/>
      </c>
      <c r="BZ1447" s="200" t="str">
        <f t="shared" si="1706"/>
        <v/>
      </c>
      <c r="CA1447" s="200" t="str">
        <f t="shared" si="1706"/>
        <v/>
      </c>
      <c r="CB1447" s="200" t="str">
        <f t="shared" si="1706"/>
        <v/>
      </c>
      <c r="CC1447" s="200" t="str">
        <f t="shared" si="1706"/>
        <v/>
      </c>
      <c r="CD1447" s="200" t="str">
        <f t="shared" si="1706"/>
        <v/>
      </c>
      <c r="CE1447" s="200" t="str">
        <f t="shared" si="1706"/>
        <v/>
      </c>
      <c r="CF1447" s="200" t="str">
        <f t="shared" si="1706"/>
        <v/>
      </c>
      <c r="CG1447" s="200" t="str">
        <f t="shared" si="1706"/>
        <v/>
      </c>
      <c r="CH1447" s="200" t="str">
        <f t="shared" si="1706"/>
        <v/>
      </c>
      <c r="CI1447" s="200" t="str">
        <f t="shared" si="1706"/>
        <v/>
      </c>
      <c r="CJ1447" s="200" t="str">
        <f t="shared" si="1706"/>
        <v/>
      </c>
      <c r="CK1447" s="200" t="str">
        <f t="shared" si="1706"/>
        <v/>
      </c>
      <c r="CL1447" s="200" t="str">
        <f t="shared" si="1706"/>
        <v/>
      </c>
      <c r="CM1447" s="200" t="str">
        <f t="shared" si="1706"/>
        <v/>
      </c>
      <c r="CN1447" s="200" t="str">
        <f t="shared" si="1706"/>
        <v/>
      </c>
      <c r="CO1447" s="200" t="str">
        <f t="shared" si="1706"/>
        <v/>
      </c>
    </row>
    <row r="1448" spans="1:93">
      <c r="A1448" s="10"/>
      <c r="B1448" s="10"/>
      <c r="C1448" s="17" t="s">
        <v>255</v>
      </c>
      <c r="D1448" s="10"/>
      <c r="E1448" s="10"/>
      <c r="F1448" s="10"/>
      <c r="G1448" s="11" t="str">
        <f>Monetary_Unit</f>
        <v>тыс. руб.</v>
      </c>
      <c r="H1448" s="10"/>
      <c r="I1448" s="10"/>
      <c r="J1448" s="10"/>
      <c r="K1448" s="10"/>
      <c r="L1448" s="52">
        <f t="shared" ref="L1448:BW1448" ca="1" si="1707">SUMIF(End_of_period,L$1447,Debt_EoP)</f>
        <v>0</v>
      </c>
      <c r="M1448" s="52">
        <f t="shared" ca="1" si="1707"/>
        <v>0</v>
      </c>
      <c r="N1448" s="52">
        <f t="shared" ca="1" si="1707"/>
        <v>619681.24132743443</v>
      </c>
      <c r="O1448" s="52">
        <f t="shared" ca="1" si="1707"/>
        <v>2111857.5277303178</v>
      </c>
      <c r="P1448" s="52">
        <f t="shared" ca="1" si="1707"/>
        <v>2017993.7277197978</v>
      </c>
      <c r="Q1448" s="52">
        <f t="shared" ca="1" si="1707"/>
        <v>1595325.642261199</v>
      </c>
      <c r="R1448" s="52">
        <f t="shared" ca="1" si="1707"/>
        <v>1066198.5492529529</v>
      </c>
      <c r="S1448" s="52">
        <f t="shared" ca="1" si="1707"/>
        <v>426803.06275349879</v>
      </c>
      <c r="T1448" s="52">
        <f t="shared" ca="1" si="1707"/>
        <v>0</v>
      </c>
      <c r="U1448" s="52">
        <f t="shared" ca="1" si="1707"/>
        <v>0</v>
      </c>
      <c r="V1448" s="52">
        <f t="shared" ca="1" si="1707"/>
        <v>0</v>
      </c>
      <c r="W1448" s="52">
        <f t="shared" ca="1" si="1707"/>
        <v>0</v>
      </c>
      <c r="X1448" s="52">
        <f t="shared" ca="1" si="1707"/>
        <v>0</v>
      </c>
      <c r="Y1448" s="52">
        <f t="shared" ca="1" si="1707"/>
        <v>0</v>
      </c>
      <c r="Z1448" s="52">
        <f t="shared" ca="1" si="1707"/>
        <v>0</v>
      </c>
      <c r="AA1448" s="52">
        <f t="shared" ca="1" si="1707"/>
        <v>0</v>
      </c>
      <c r="AB1448" s="52">
        <f t="shared" ca="1" si="1707"/>
        <v>0</v>
      </c>
      <c r="AC1448" s="52">
        <f t="shared" ca="1" si="1707"/>
        <v>0</v>
      </c>
      <c r="AD1448" s="52">
        <f t="shared" ca="1" si="1707"/>
        <v>0</v>
      </c>
      <c r="AE1448" s="52">
        <f t="shared" ca="1" si="1707"/>
        <v>0</v>
      </c>
      <c r="AF1448" s="52">
        <f t="shared" si="1707"/>
        <v>0</v>
      </c>
      <c r="AG1448" s="52">
        <f t="shared" si="1707"/>
        <v>0</v>
      </c>
      <c r="AH1448" s="52">
        <f t="shared" si="1707"/>
        <v>0</v>
      </c>
      <c r="AI1448" s="52">
        <f t="shared" si="1707"/>
        <v>0</v>
      </c>
      <c r="AJ1448" s="52">
        <f t="shared" si="1707"/>
        <v>0</v>
      </c>
      <c r="AK1448" s="52">
        <f t="shared" si="1707"/>
        <v>0</v>
      </c>
      <c r="AL1448" s="52">
        <f t="shared" si="1707"/>
        <v>0</v>
      </c>
      <c r="AM1448" s="52">
        <f t="shared" si="1707"/>
        <v>0</v>
      </c>
      <c r="AN1448" s="52">
        <f t="shared" si="1707"/>
        <v>0</v>
      </c>
      <c r="AO1448" s="52">
        <f t="shared" si="1707"/>
        <v>0</v>
      </c>
      <c r="AP1448" s="52">
        <f t="shared" si="1707"/>
        <v>0</v>
      </c>
      <c r="AQ1448" s="52">
        <f t="shared" si="1707"/>
        <v>0</v>
      </c>
      <c r="AR1448" s="52">
        <f t="shared" si="1707"/>
        <v>0</v>
      </c>
      <c r="AS1448" s="52">
        <f t="shared" si="1707"/>
        <v>0</v>
      </c>
      <c r="AT1448" s="52">
        <f t="shared" si="1707"/>
        <v>0</v>
      </c>
      <c r="AU1448" s="52">
        <f t="shared" si="1707"/>
        <v>0</v>
      </c>
      <c r="AV1448" s="52">
        <f t="shared" si="1707"/>
        <v>0</v>
      </c>
      <c r="AW1448" s="52">
        <f t="shared" si="1707"/>
        <v>0</v>
      </c>
      <c r="AX1448" s="52">
        <f t="shared" si="1707"/>
        <v>0</v>
      </c>
      <c r="AY1448" s="52">
        <f t="shared" si="1707"/>
        <v>0</v>
      </c>
      <c r="AZ1448" s="52">
        <f t="shared" si="1707"/>
        <v>0</v>
      </c>
      <c r="BA1448" s="52">
        <f t="shared" si="1707"/>
        <v>0</v>
      </c>
      <c r="BB1448" s="52">
        <f t="shared" si="1707"/>
        <v>0</v>
      </c>
      <c r="BC1448" s="52">
        <f t="shared" si="1707"/>
        <v>0</v>
      </c>
      <c r="BD1448" s="52">
        <f t="shared" si="1707"/>
        <v>0</v>
      </c>
      <c r="BE1448" s="52">
        <f t="shared" si="1707"/>
        <v>0</v>
      </c>
      <c r="BF1448" s="52">
        <f t="shared" si="1707"/>
        <v>0</v>
      </c>
      <c r="BG1448" s="52">
        <f t="shared" si="1707"/>
        <v>0</v>
      </c>
      <c r="BH1448" s="52">
        <f t="shared" si="1707"/>
        <v>0</v>
      </c>
      <c r="BI1448" s="52">
        <f t="shared" si="1707"/>
        <v>0</v>
      </c>
      <c r="BJ1448" s="52">
        <f t="shared" si="1707"/>
        <v>0</v>
      </c>
      <c r="BK1448" s="52">
        <f t="shared" si="1707"/>
        <v>0</v>
      </c>
      <c r="BL1448" s="52">
        <f t="shared" si="1707"/>
        <v>0</v>
      </c>
      <c r="BM1448" s="52">
        <f t="shared" si="1707"/>
        <v>0</v>
      </c>
      <c r="BN1448" s="52">
        <f t="shared" si="1707"/>
        <v>0</v>
      </c>
      <c r="BO1448" s="52">
        <f t="shared" si="1707"/>
        <v>0</v>
      </c>
      <c r="BP1448" s="52">
        <f t="shared" si="1707"/>
        <v>0</v>
      </c>
      <c r="BQ1448" s="52">
        <f t="shared" si="1707"/>
        <v>0</v>
      </c>
      <c r="BR1448" s="52">
        <f t="shared" si="1707"/>
        <v>0</v>
      </c>
      <c r="BS1448" s="52">
        <f t="shared" si="1707"/>
        <v>0</v>
      </c>
      <c r="BT1448" s="52">
        <f t="shared" si="1707"/>
        <v>0</v>
      </c>
      <c r="BU1448" s="52">
        <f t="shared" si="1707"/>
        <v>0</v>
      </c>
      <c r="BV1448" s="52">
        <f t="shared" si="1707"/>
        <v>0</v>
      </c>
      <c r="BW1448" s="52">
        <f t="shared" si="1707"/>
        <v>0</v>
      </c>
      <c r="BX1448" s="52">
        <f t="shared" ref="BX1448:CO1448" si="1708">SUMIF(End_of_period,BX$1447,Debt_EoP)</f>
        <v>0</v>
      </c>
      <c r="BY1448" s="52">
        <f t="shared" si="1708"/>
        <v>0</v>
      </c>
      <c r="BZ1448" s="52">
        <f t="shared" si="1708"/>
        <v>0</v>
      </c>
      <c r="CA1448" s="52">
        <f t="shared" si="1708"/>
        <v>0</v>
      </c>
      <c r="CB1448" s="52">
        <f t="shared" si="1708"/>
        <v>0</v>
      </c>
      <c r="CC1448" s="52">
        <f t="shared" si="1708"/>
        <v>0</v>
      </c>
      <c r="CD1448" s="52">
        <f t="shared" si="1708"/>
        <v>0</v>
      </c>
      <c r="CE1448" s="52">
        <f t="shared" si="1708"/>
        <v>0</v>
      </c>
      <c r="CF1448" s="52">
        <f t="shared" si="1708"/>
        <v>0</v>
      </c>
      <c r="CG1448" s="52">
        <f t="shared" si="1708"/>
        <v>0</v>
      </c>
      <c r="CH1448" s="52">
        <f t="shared" si="1708"/>
        <v>0</v>
      </c>
      <c r="CI1448" s="52">
        <f t="shared" si="1708"/>
        <v>0</v>
      </c>
      <c r="CJ1448" s="52">
        <f t="shared" si="1708"/>
        <v>0</v>
      </c>
      <c r="CK1448" s="52">
        <f t="shared" si="1708"/>
        <v>0</v>
      </c>
      <c r="CL1448" s="52">
        <f t="shared" si="1708"/>
        <v>0</v>
      </c>
      <c r="CM1448" s="52">
        <f t="shared" si="1708"/>
        <v>0</v>
      </c>
      <c r="CN1448" s="52">
        <f t="shared" si="1708"/>
        <v>0</v>
      </c>
      <c r="CO1448" s="52">
        <f t="shared" si="1708"/>
        <v>0</v>
      </c>
    </row>
    <row r="1449" spans="1:93">
      <c r="A1449" s="10"/>
      <c r="B1449" s="10"/>
      <c r="C1449" s="17" t="s">
        <v>81</v>
      </c>
      <c r="D1449" s="10"/>
      <c r="E1449" s="10"/>
      <c r="F1449" s="10"/>
      <c r="G1449" s="11" t="str">
        <f>Monetary_Unit</f>
        <v>тыс. руб.</v>
      </c>
      <c r="H1449" s="10"/>
      <c r="I1449" s="10"/>
      <c r="J1449" s="10"/>
      <c r="K1449" s="10"/>
      <c r="L1449" s="52">
        <f t="shared" ref="L1449:BW1449" ca="1" si="1709">SUMIF(Year,L$1446,EBITDA)</f>
        <v>0</v>
      </c>
      <c r="M1449" s="52">
        <f t="shared" ca="1" si="1709"/>
        <v>0</v>
      </c>
      <c r="N1449" s="52">
        <f t="shared" ca="1" si="1709"/>
        <v>0</v>
      </c>
      <c r="O1449" s="52">
        <f t="shared" ca="1" si="1709"/>
        <v>0</v>
      </c>
      <c r="P1449" s="52">
        <f t="shared" ca="1" si="1709"/>
        <v>489483.50899013702</v>
      </c>
      <c r="Q1449" s="52">
        <f t="shared" ca="1" si="1709"/>
        <v>649978.51569404267</v>
      </c>
      <c r="R1449" s="52">
        <f t="shared" ca="1" si="1709"/>
        <v>749489.34295234678</v>
      </c>
      <c r="S1449" s="52">
        <f t="shared" ca="1" si="1709"/>
        <v>842186.52796947991</v>
      </c>
      <c r="T1449" s="52">
        <f t="shared" ca="1" si="1709"/>
        <v>877560.15124850883</v>
      </c>
      <c r="U1449" s="52">
        <f t="shared" ca="1" si="1709"/>
        <v>714492.91046626715</v>
      </c>
      <c r="V1449" s="52">
        <f t="shared" ca="1" si="1709"/>
        <v>713414.03416928439</v>
      </c>
      <c r="W1449" s="52">
        <f t="shared" ca="1" si="1709"/>
        <v>743415.1890473403</v>
      </c>
      <c r="X1449" s="52">
        <f t="shared" ca="1" si="1709"/>
        <v>772384.3868386657</v>
      </c>
      <c r="Y1449" s="52">
        <f t="shared" ca="1" si="1709"/>
        <v>803650.23656768654</v>
      </c>
      <c r="Z1449" s="52">
        <f t="shared" ca="1" si="1709"/>
        <v>816107.13286324951</v>
      </c>
      <c r="AA1449" s="52">
        <f t="shared" ca="1" si="1709"/>
        <v>833004.96552292374</v>
      </c>
      <c r="AB1449" s="52">
        <f t="shared" ca="1" si="1709"/>
        <v>868937.55505337287</v>
      </c>
      <c r="AC1449" s="52">
        <f t="shared" ca="1" si="1709"/>
        <v>907554.79834606242</v>
      </c>
      <c r="AD1449" s="52">
        <f t="shared" ca="1" si="1709"/>
        <v>947635.10651639849</v>
      </c>
      <c r="AE1449" s="52">
        <f t="shared" ca="1" si="1709"/>
        <v>990732.27574402827</v>
      </c>
      <c r="AF1449" s="52">
        <f t="shared" ca="1" si="1709"/>
        <v>379674.41543716256</v>
      </c>
      <c r="AG1449" s="52">
        <f t="shared" si="1709"/>
        <v>0</v>
      </c>
      <c r="AH1449" s="52">
        <f t="shared" si="1709"/>
        <v>0</v>
      </c>
      <c r="AI1449" s="52">
        <f t="shared" si="1709"/>
        <v>0</v>
      </c>
      <c r="AJ1449" s="52">
        <f t="shared" si="1709"/>
        <v>0</v>
      </c>
      <c r="AK1449" s="52">
        <f t="shared" si="1709"/>
        <v>0</v>
      </c>
      <c r="AL1449" s="52">
        <f t="shared" si="1709"/>
        <v>0</v>
      </c>
      <c r="AM1449" s="52">
        <f t="shared" si="1709"/>
        <v>0</v>
      </c>
      <c r="AN1449" s="52">
        <f t="shared" si="1709"/>
        <v>0</v>
      </c>
      <c r="AO1449" s="52">
        <f t="shared" si="1709"/>
        <v>0</v>
      </c>
      <c r="AP1449" s="52">
        <f t="shared" si="1709"/>
        <v>0</v>
      </c>
      <c r="AQ1449" s="52">
        <f t="shared" si="1709"/>
        <v>0</v>
      </c>
      <c r="AR1449" s="52">
        <f t="shared" si="1709"/>
        <v>0</v>
      </c>
      <c r="AS1449" s="52">
        <f t="shared" si="1709"/>
        <v>0</v>
      </c>
      <c r="AT1449" s="52">
        <f t="shared" si="1709"/>
        <v>0</v>
      </c>
      <c r="AU1449" s="52">
        <f t="shared" si="1709"/>
        <v>0</v>
      </c>
      <c r="AV1449" s="52">
        <f t="shared" si="1709"/>
        <v>0</v>
      </c>
      <c r="AW1449" s="52">
        <f t="shared" si="1709"/>
        <v>0</v>
      </c>
      <c r="AX1449" s="52">
        <f t="shared" si="1709"/>
        <v>0</v>
      </c>
      <c r="AY1449" s="52">
        <f t="shared" si="1709"/>
        <v>0</v>
      </c>
      <c r="AZ1449" s="52">
        <f t="shared" si="1709"/>
        <v>0</v>
      </c>
      <c r="BA1449" s="52">
        <f t="shared" si="1709"/>
        <v>0</v>
      </c>
      <c r="BB1449" s="52">
        <f t="shared" si="1709"/>
        <v>0</v>
      </c>
      <c r="BC1449" s="52">
        <f t="shared" si="1709"/>
        <v>0</v>
      </c>
      <c r="BD1449" s="52">
        <f t="shared" si="1709"/>
        <v>0</v>
      </c>
      <c r="BE1449" s="52">
        <f t="shared" si="1709"/>
        <v>0</v>
      </c>
      <c r="BF1449" s="52">
        <f t="shared" si="1709"/>
        <v>0</v>
      </c>
      <c r="BG1449" s="52">
        <f t="shared" si="1709"/>
        <v>0</v>
      </c>
      <c r="BH1449" s="52">
        <f t="shared" si="1709"/>
        <v>0</v>
      </c>
      <c r="BI1449" s="52">
        <f t="shared" si="1709"/>
        <v>0</v>
      </c>
      <c r="BJ1449" s="52">
        <f t="shared" si="1709"/>
        <v>0</v>
      </c>
      <c r="BK1449" s="52">
        <f t="shared" si="1709"/>
        <v>0</v>
      </c>
      <c r="BL1449" s="52">
        <f t="shared" si="1709"/>
        <v>0</v>
      </c>
      <c r="BM1449" s="52">
        <f t="shared" si="1709"/>
        <v>0</v>
      </c>
      <c r="BN1449" s="52">
        <f t="shared" si="1709"/>
        <v>0</v>
      </c>
      <c r="BO1449" s="52">
        <f t="shared" si="1709"/>
        <v>0</v>
      </c>
      <c r="BP1449" s="52">
        <f t="shared" si="1709"/>
        <v>0</v>
      </c>
      <c r="BQ1449" s="52">
        <f t="shared" si="1709"/>
        <v>0</v>
      </c>
      <c r="BR1449" s="52">
        <f t="shared" si="1709"/>
        <v>0</v>
      </c>
      <c r="BS1449" s="52">
        <f t="shared" si="1709"/>
        <v>0</v>
      </c>
      <c r="BT1449" s="52">
        <f t="shared" si="1709"/>
        <v>0</v>
      </c>
      <c r="BU1449" s="52">
        <f t="shared" si="1709"/>
        <v>0</v>
      </c>
      <c r="BV1449" s="52">
        <f t="shared" si="1709"/>
        <v>0</v>
      </c>
      <c r="BW1449" s="52">
        <f t="shared" si="1709"/>
        <v>0</v>
      </c>
      <c r="BX1449" s="52">
        <f t="shared" ref="BX1449:CO1449" si="1710">SUMIF(Year,BX$1446,EBITDA)</f>
        <v>0</v>
      </c>
      <c r="BY1449" s="52">
        <f t="shared" si="1710"/>
        <v>0</v>
      </c>
      <c r="BZ1449" s="52">
        <f t="shared" si="1710"/>
        <v>0</v>
      </c>
      <c r="CA1449" s="52">
        <f t="shared" si="1710"/>
        <v>0</v>
      </c>
      <c r="CB1449" s="52">
        <f t="shared" si="1710"/>
        <v>0</v>
      </c>
      <c r="CC1449" s="52">
        <f t="shared" si="1710"/>
        <v>0</v>
      </c>
      <c r="CD1449" s="52">
        <f t="shared" si="1710"/>
        <v>0</v>
      </c>
      <c r="CE1449" s="52">
        <f t="shared" si="1710"/>
        <v>0</v>
      </c>
      <c r="CF1449" s="52">
        <f t="shared" si="1710"/>
        <v>0</v>
      </c>
      <c r="CG1449" s="52">
        <f t="shared" si="1710"/>
        <v>0</v>
      </c>
      <c r="CH1449" s="52">
        <f t="shared" si="1710"/>
        <v>0</v>
      </c>
      <c r="CI1449" s="52">
        <f t="shared" si="1710"/>
        <v>0</v>
      </c>
      <c r="CJ1449" s="52">
        <f t="shared" si="1710"/>
        <v>0</v>
      </c>
      <c r="CK1449" s="52">
        <f t="shared" si="1710"/>
        <v>0</v>
      </c>
      <c r="CL1449" s="52">
        <f t="shared" si="1710"/>
        <v>0</v>
      </c>
      <c r="CM1449" s="52">
        <f t="shared" si="1710"/>
        <v>0</v>
      </c>
      <c r="CN1449" s="52">
        <f t="shared" si="1710"/>
        <v>0</v>
      </c>
      <c r="CO1449" s="52">
        <f t="shared" si="1710"/>
        <v>0</v>
      </c>
    </row>
    <row r="1450" spans="1:93">
      <c r="A1450" s="10"/>
      <c r="B1450" s="10"/>
      <c r="C1450" s="17" t="s">
        <v>201</v>
      </c>
      <c r="D1450" s="10"/>
      <c r="E1450" s="10"/>
      <c r="F1450" s="10"/>
      <c r="G1450" s="143" t="str">
        <f>Monetary_Unit</f>
        <v>тыс. руб.</v>
      </c>
      <c r="H1450" s="10"/>
      <c r="I1450" s="10"/>
      <c r="J1450" s="10"/>
      <c r="K1450" s="10"/>
      <c r="L1450" s="52">
        <f t="shared" ref="L1450:AQ1450" ca="1" si="1711">SUMIF(End_of_period,L$1447,Cash_EoP)</f>
        <v>0</v>
      </c>
      <c r="M1450" s="52">
        <f t="shared" ca="1" si="1711"/>
        <v>0</v>
      </c>
      <c r="N1450" s="52">
        <f t="shared" ca="1" si="1711"/>
        <v>0</v>
      </c>
      <c r="O1450" s="52">
        <f t="shared" ca="1" si="1711"/>
        <v>0</v>
      </c>
      <c r="P1450" s="52">
        <f t="shared" ca="1" si="1711"/>
        <v>0</v>
      </c>
      <c r="Q1450" s="52">
        <f t="shared" ca="1" si="1711"/>
        <v>0</v>
      </c>
      <c r="R1450" s="52">
        <f t="shared" ca="1" si="1711"/>
        <v>0</v>
      </c>
      <c r="S1450" s="52">
        <f t="shared" ca="1" si="1711"/>
        <v>0</v>
      </c>
      <c r="T1450" s="52">
        <f t="shared" ca="1" si="1711"/>
        <v>0</v>
      </c>
      <c r="U1450" s="52">
        <f t="shared" ca="1" si="1711"/>
        <v>0</v>
      </c>
      <c r="V1450" s="52">
        <f t="shared" ca="1" si="1711"/>
        <v>0</v>
      </c>
      <c r="W1450" s="52">
        <f t="shared" ca="1" si="1711"/>
        <v>0</v>
      </c>
      <c r="X1450" s="52">
        <f t="shared" ca="1" si="1711"/>
        <v>0</v>
      </c>
      <c r="Y1450" s="52">
        <f t="shared" ca="1" si="1711"/>
        <v>0</v>
      </c>
      <c r="Z1450" s="52">
        <f t="shared" ca="1" si="1711"/>
        <v>0</v>
      </c>
      <c r="AA1450" s="52">
        <f t="shared" ca="1" si="1711"/>
        <v>0</v>
      </c>
      <c r="AB1450" s="52">
        <f t="shared" ca="1" si="1711"/>
        <v>0</v>
      </c>
      <c r="AC1450" s="52">
        <f t="shared" ca="1" si="1711"/>
        <v>0</v>
      </c>
      <c r="AD1450" s="52">
        <f t="shared" ca="1" si="1711"/>
        <v>0</v>
      </c>
      <c r="AE1450" s="52">
        <f t="shared" ca="1" si="1711"/>
        <v>0</v>
      </c>
      <c r="AF1450" s="52">
        <f t="shared" si="1711"/>
        <v>0</v>
      </c>
      <c r="AG1450" s="52">
        <f t="shared" si="1711"/>
        <v>0</v>
      </c>
      <c r="AH1450" s="52">
        <f t="shared" si="1711"/>
        <v>0</v>
      </c>
      <c r="AI1450" s="52">
        <f t="shared" si="1711"/>
        <v>0</v>
      </c>
      <c r="AJ1450" s="52">
        <f t="shared" si="1711"/>
        <v>0</v>
      </c>
      <c r="AK1450" s="52">
        <f t="shared" si="1711"/>
        <v>0</v>
      </c>
      <c r="AL1450" s="52">
        <f t="shared" si="1711"/>
        <v>0</v>
      </c>
      <c r="AM1450" s="52">
        <f t="shared" si="1711"/>
        <v>0</v>
      </c>
      <c r="AN1450" s="52">
        <f t="shared" si="1711"/>
        <v>0</v>
      </c>
      <c r="AO1450" s="52">
        <f t="shared" si="1711"/>
        <v>0</v>
      </c>
      <c r="AP1450" s="52">
        <f t="shared" si="1711"/>
        <v>0</v>
      </c>
      <c r="AQ1450" s="52">
        <f t="shared" si="1711"/>
        <v>0</v>
      </c>
      <c r="AR1450" s="52">
        <f t="shared" ref="AR1450:BW1450" si="1712">SUMIF(End_of_period,AR$1447,Cash_EoP)</f>
        <v>0</v>
      </c>
      <c r="AS1450" s="52">
        <f t="shared" si="1712"/>
        <v>0</v>
      </c>
      <c r="AT1450" s="52">
        <f t="shared" si="1712"/>
        <v>0</v>
      </c>
      <c r="AU1450" s="52">
        <f t="shared" si="1712"/>
        <v>0</v>
      </c>
      <c r="AV1450" s="52">
        <f t="shared" si="1712"/>
        <v>0</v>
      </c>
      <c r="AW1450" s="52">
        <f t="shared" si="1712"/>
        <v>0</v>
      </c>
      <c r="AX1450" s="52">
        <f t="shared" si="1712"/>
        <v>0</v>
      </c>
      <c r="AY1450" s="52">
        <f t="shared" si="1712"/>
        <v>0</v>
      </c>
      <c r="AZ1450" s="52">
        <f t="shared" si="1712"/>
        <v>0</v>
      </c>
      <c r="BA1450" s="52">
        <f t="shared" si="1712"/>
        <v>0</v>
      </c>
      <c r="BB1450" s="52">
        <f t="shared" si="1712"/>
        <v>0</v>
      </c>
      <c r="BC1450" s="52">
        <f t="shared" si="1712"/>
        <v>0</v>
      </c>
      <c r="BD1450" s="52">
        <f t="shared" si="1712"/>
        <v>0</v>
      </c>
      <c r="BE1450" s="52">
        <f t="shared" si="1712"/>
        <v>0</v>
      </c>
      <c r="BF1450" s="52">
        <f t="shared" si="1712"/>
        <v>0</v>
      </c>
      <c r="BG1450" s="52">
        <f t="shared" si="1712"/>
        <v>0</v>
      </c>
      <c r="BH1450" s="52">
        <f t="shared" si="1712"/>
        <v>0</v>
      </c>
      <c r="BI1450" s="52">
        <f t="shared" si="1712"/>
        <v>0</v>
      </c>
      <c r="BJ1450" s="52">
        <f t="shared" si="1712"/>
        <v>0</v>
      </c>
      <c r="BK1450" s="52">
        <f t="shared" si="1712"/>
        <v>0</v>
      </c>
      <c r="BL1450" s="52">
        <f t="shared" si="1712"/>
        <v>0</v>
      </c>
      <c r="BM1450" s="52">
        <f t="shared" si="1712"/>
        <v>0</v>
      </c>
      <c r="BN1450" s="52">
        <f t="shared" si="1712"/>
        <v>0</v>
      </c>
      <c r="BO1450" s="52">
        <f t="shared" si="1712"/>
        <v>0</v>
      </c>
      <c r="BP1450" s="52">
        <f t="shared" si="1712"/>
        <v>0</v>
      </c>
      <c r="BQ1450" s="52">
        <f t="shared" si="1712"/>
        <v>0</v>
      </c>
      <c r="BR1450" s="52">
        <f t="shared" si="1712"/>
        <v>0</v>
      </c>
      <c r="BS1450" s="52">
        <f t="shared" si="1712"/>
        <v>0</v>
      </c>
      <c r="BT1450" s="52">
        <f t="shared" si="1712"/>
        <v>0</v>
      </c>
      <c r="BU1450" s="52">
        <f t="shared" si="1712"/>
        <v>0</v>
      </c>
      <c r="BV1450" s="52">
        <f t="shared" si="1712"/>
        <v>0</v>
      </c>
      <c r="BW1450" s="52">
        <f t="shared" si="1712"/>
        <v>0</v>
      </c>
      <c r="BX1450" s="52">
        <f t="shared" ref="BX1450:CO1450" si="1713">SUMIF(End_of_period,BX$1447,Cash_EoP)</f>
        <v>0</v>
      </c>
      <c r="BY1450" s="52">
        <f t="shared" si="1713"/>
        <v>0</v>
      </c>
      <c r="BZ1450" s="52">
        <f t="shared" si="1713"/>
        <v>0</v>
      </c>
      <c r="CA1450" s="52">
        <f t="shared" si="1713"/>
        <v>0</v>
      </c>
      <c r="CB1450" s="52">
        <f t="shared" si="1713"/>
        <v>0</v>
      </c>
      <c r="CC1450" s="52">
        <f t="shared" si="1713"/>
        <v>0</v>
      </c>
      <c r="CD1450" s="52">
        <f t="shared" si="1713"/>
        <v>0</v>
      </c>
      <c r="CE1450" s="52">
        <f t="shared" si="1713"/>
        <v>0</v>
      </c>
      <c r="CF1450" s="52">
        <f t="shared" si="1713"/>
        <v>0</v>
      </c>
      <c r="CG1450" s="52">
        <f t="shared" si="1713"/>
        <v>0</v>
      </c>
      <c r="CH1450" s="52">
        <f t="shared" si="1713"/>
        <v>0</v>
      </c>
      <c r="CI1450" s="52">
        <f t="shared" si="1713"/>
        <v>0</v>
      </c>
      <c r="CJ1450" s="52">
        <f t="shared" si="1713"/>
        <v>0</v>
      </c>
      <c r="CK1450" s="52">
        <f t="shared" si="1713"/>
        <v>0</v>
      </c>
      <c r="CL1450" s="52">
        <f t="shared" si="1713"/>
        <v>0</v>
      </c>
      <c r="CM1450" s="52">
        <f t="shared" si="1713"/>
        <v>0</v>
      </c>
      <c r="CN1450" s="52">
        <f t="shared" si="1713"/>
        <v>0</v>
      </c>
      <c r="CO1450" s="52">
        <f t="shared" si="1713"/>
        <v>0</v>
      </c>
    </row>
    <row r="1451" spans="1:93">
      <c r="A1451" s="10"/>
      <c r="B1451" s="10"/>
      <c r="C1451" s="17" t="s">
        <v>150</v>
      </c>
      <c r="D1451" s="10"/>
      <c r="E1451" s="10"/>
      <c r="F1451" s="10"/>
      <c r="G1451" s="142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0"/>
      <c r="AH1451" s="10"/>
      <c r="AI1451" s="10"/>
      <c r="AJ1451" s="10"/>
      <c r="AK1451" s="10"/>
      <c r="AL1451" s="10"/>
      <c r="AM1451" s="10"/>
      <c r="AN1451" s="10"/>
      <c r="AO1451" s="10"/>
      <c r="AP1451" s="10"/>
      <c r="AQ1451" s="10"/>
      <c r="AR1451" s="10"/>
      <c r="AS1451" s="10"/>
      <c r="AT1451" s="10"/>
      <c r="AU1451" s="10"/>
      <c r="AV1451" s="10"/>
      <c r="AW1451" s="10"/>
      <c r="AX1451" s="10"/>
      <c r="AY1451" s="10"/>
      <c r="AZ1451" s="10"/>
      <c r="BA1451" s="10"/>
      <c r="BB1451" s="10"/>
      <c r="BC1451" s="10"/>
      <c r="BD1451" s="10"/>
      <c r="BE1451" s="10"/>
      <c r="BF1451" s="10"/>
      <c r="BG1451" s="10"/>
      <c r="BH1451" s="10"/>
      <c r="BI1451" s="10"/>
      <c r="BJ1451" s="10"/>
      <c r="BK1451" s="10"/>
      <c r="BL1451" s="10"/>
      <c r="BM1451" s="10"/>
      <c r="BN1451" s="10"/>
      <c r="BO1451" s="10"/>
      <c r="BP1451" s="10"/>
      <c r="BQ1451" s="10"/>
      <c r="BR1451" s="10"/>
      <c r="BS1451" s="10"/>
      <c r="BT1451" s="10"/>
      <c r="BU1451" s="10"/>
      <c r="BV1451" s="10"/>
      <c r="BW1451" s="10"/>
      <c r="BX1451" s="10"/>
      <c r="BY1451" s="10"/>
      <c r="BZ1451" s="10"/>
      <c r="CA1451" s="10"/>
      <c r="CB1451" s="10"/>
      <c r="CC1451" s="10"/>
      <c r="CD1451" s="10"/>
      <c r="CE1451" s="10"/>
      <c r="CF1451" s="10"/>
      <c r="CG1451" s="10"/>
      <c r="CH1451" s="10"/>
      <c r="CI1451" s="10"/>
      <c r="CJ1451" s="10"/>
      <c r="CK1451" s="10"/>
      <c r="CL1451" s="10"/>
      <c r="CM1451" s="10"/>
      <c r="CN1451" s="10"/>
      <c r="CO1451" s="10"/>
    </row>
    <row r="1452" spans="1:93">
      <c r="A1452" s="10"/>
      <c r="B1452" s="10"/>
      <c r="C1452" s="17" t="s">
        <v>256</v>
      </c>
      <c r="D1452" s="10"/>
      <c r="E1452" s="10"/>
      <c r="F1452" s="10"/>
      <c r="G1452" s="142" t="s">
        <v>378</v>
      </c>
      <c r="H1452" s="10"/>
      <c r="I1452" s="10"/>
      <c r="J1452" s="10"/>
      <c r="K1452" s="10"/>
      <c r="L1452" s="27">
        <f ca="1">IF((L1449&lt;=0),0,L1448/L1449)</f>
        <v>0</v>
      </c>
      <c r="M1452" s="27">
        <f t="shared" ref="M1452:BX1452" ca="1" si="1714">IF((M1449&lt;=0),0,M1448/M1449)</f>
        <v>0</v>
      </c>
      <c r="N1452" s="27">
        <f t="shared" ca="1" si="1714"/>
        <v>0</v>
      </c>
      <c r="O1452" s="27">
        <f t="shared" ca="1" si="1714"/>
        <v>0</v>
      </c>
      <c r="P1452" s="27">
        <f t="shared" ca="1" si="1714"/>
        <v>4.1227001332142121</v>
      </c>
      <c r="Q1452" s="27">
        <f t="shared" ca="1" si="1714"/>
        <v>2.454428267613924</v>
      </c>
      <c r="R1452" s="27">
        <f t="shared" ca="1" si="1714"/>
        <v>1.4225666572563165</v>
      </c>
      <c r="S1452" s="27">
        <f t="shared" ca="1" si="1714"/>
        <v>0.50677973178047053</v>
      </c>
      <c r="T1452" s="27">
        <f t="shared" ca="1" si="1714"/>
        <v>0</v>
      </c>
      <c r="U1452" s="27">
        <f t="shared" ca="1" si="1714"/>
        <v>0</v>
      </c>
      <c r="V1452" s="27">
        <f t="shared" ca="1" si="1714"/>
        <v>0</v>
      </c>
      <c r="W1452" s="27">
        <f t="shared" ca="1" si="1714"/>
        <v>0</v>
      </c>
      <c r="X1452" s="27">
        <f t="shared" ca="1" si="1714"/>
        <v>0</v>
      </c>
      <c r="Y1452" s="27">
        <f t="shared" ca="1" si="1714"/>
        <v>0</v>
      </c>
      <c r="Z1452" s="27">
        <f t="shared" ca="1" si="1714"/>
        <v>0</v>
      </c>
      <c r="AA1452" s="27">
        <f t="shared" ca="1" si="1714"/>
        <v>0</v>
      </c>
      <c r="AB1452" s="27">
        <f t="shared" ca="1" si="1714"/>
        <v>0</v>
      </c>
      <c r="AC1452" s="27">
        <f t="shared" ca="1" si="1714"/>
        <v>0</v>
      </c>
      <c r="AD1452" s="27">
        <f t="shared" ca="1" si="1714"/>
        <v>0</v>
      </c>
      <c r="AE1452" s="27">
        <f t="shared" ca="1" si="1714"/>
        <v>0</v>
      </c>
      <c r="AF1452" s="27">
        <f t="shared" ca="1" si="1714"/>
        <v>0</v>
      </c>
      <c r="AG1452" s="27">
        <f t="shared" si="1714"/>
        <v>0</v>
      </c>
      <c r="AH1452" s="27">
        <f t="shared" si="1714"/>
        <v>0</v>
      </c>
      <c r="AI1452" s="27">
        <f t="shared" si="1714"/>
        <v>0</v>
      </c>
      <c r="AJ1452" s="27">
        <f t="shared" si="1714"/>
        <v>0</v>
      </c>
      <c r="AK1452" s="27">
        <f t="shared" si="1714"/>
        <v>0</v>
      </c>
      <c r="AL1452" s="27">
        <f t="shared" si="1714"/>
        <v>0</v>
      </c>
      <c r="AM1452" s="27">
        <f t="shared" si="1714"/>
        <v>0</v>
      </c>
      <c r="AN1452" s="27">
        <f t="shared" si="1714"/>
        <v>0</v>
      </c>
      <c r="AO1452" s="27">
        <f t="shared" si="1714"/>
        <v>0</v>
      </c>
      <c r="AP1452" s="27">
        <f t="shared" si="1714"/>
        <v>0</v>
      </c>
      <c r="AQ1452" s="27">
        <f t="shared" si="1714"/>
        <v>0</v>
      </c>
      <c r="AR1452" s="27">
        <f t="shared" si="1714"/>
        <v>0</v>
      </c>
      <c r="AS1452" s="27">
        <f t="shared" si="1714"/>
        <v>0</v>
      </c>
      <c r="AT1452" s="27">
        <f t="shared" si="1714"/>
        <v>0</v>
      </c>
      <c r="AU1452" s="27">
        <f t="shared" si="1714"/>
        <v>0</v>
      </c>
      <c r="AV1452" s="27">
        <f t="shared" si="1714"/>
        <v>0</v>
      </c>
      <c r="AW1452" s="27">
        <f t="shared" si="1714"/>
        <v>0</v>
      </c>
      <c r="AX1452" s="27">
        <f t="shared" si="1714"/>
        <v>0</v>
      </c>
      <c r="AY1452" s="27">
        <f t="shared" si="1714"/>
        <v>0</v>
      </c>
      <c r="AZ1452" s="27">
        <f t="shared" si="1714"/>
        <v>0</v>
      </c>
      <c r="BA1452" s="27">
        <f t="shared" si="1714"/>
        <v>0</v>
      </c>
      <c r="BB1452" s="27">
        <f t="shared" si="1714"/>
        <v>0</v>
      </c>
      <c r="BC1452" s="27">
        <f t="shared" si="1714"/>
        <v>0</v>
      </c>
      <c r="BD1452" s="27">
        <f t="shared" si="1714"/>
        <v>0</v>
      </c>
      <c r="BE1452" s="27">
        <f t="shared" si="1714"/>
        <v>0</v>
      </c>
      <c r="BF1452" s="27">
        <f t="shared" si="1714"/>
        <v>0</v>
      </c>
      <c r="BG1452" s="27">
        <f t="shared" si="1714"/>
        <v>0</v>
      </c>
      <c r="BH1452" s="27">
        <f t="shared" si="1714"/>
        <v>0</v>
      </c>
      <c r="BI1452" s="27">
        <f t="shared" si="1714"/>
        <v>0</v>
      </c>
      <c r="BJ1452" s="27">
        <f t="shared" si="1714"/>
        <v>0</v>
      </c>
      <c r="BK1452" s="27">
        <f t="shared" si="1714"/>
        <v>0</v>
      </c>
      <c r="BL1452" s="27">
        <f t="shared" si="1714"/>
        <v>0</v>
      </c>
      <c r="BM1452" s="27">
        <f t="shared" si="1714"/>
        <v>0</v>
      </c>
      <c r="BN1452" s="27">
        <f t="shared" si="1714"/>
        <v>0</v>
      </c>
      <c r="BO1452" s="27">
        <f t="shared" si="1714"/>
        <v>0</v>
      </c>
      <c r="BP1452" s="27">
        <f t="shared" si="1714"/>
        <v>0</v>
      </c>
      <c r="BQ1452" s="27">
        <f t="shared" si="1714"/>
        <v>0</v>
      </c>
      <c r="BR1452" s="27">
        <f t="shared" si="1714"/>
        <v>0</v>
      </c>
      <c r="BS1452" s="27">
        <f t="shared" si="1714"/>
        <v>0</v>
      </c>
      <c r="BT1452" s="27">
        <f t="shared" si="1714"/>
        <v>0</v>
      </c>
      <c r="BU1452" s="27">
        <f t="shared" si="1714"/>
        <v>0</v>
      </c>
      <c r="BV1452" s="27">
        <f t="shared" si="1714"/>
        <v>0</v>
      </c>
      <c r="BW1452" s="27">
        <f t="shared" si="1714"/>
        <v>0</v>
      </c>
      <c r="BX1452" s="27">
        <f t="shared" si="1714"/>
        <v>0</v>
      </c>
      <c r="BY1452" s="27">
        <f t="shared" ref="BY1452:CO1452" si="1715">IF((BY1449&lt;=0),0,BY1448/BY1449)</f>
        <v>0</v>
      </c>
      <c r="BZ1452" s="27">
        <f t="shared" si="1715"/>
        <v>0</v>
      </c>
      <c r="CA1452" s="27">
        <f t="shared" si="1715"/>
        <v>0</v>
      </c>
      <c r="CB1452" s="27">
        <f t="shared" si="1715"/>
        <v>0</v>
      </c>
      <c r="CC1452" s="27">
        <f t="shared" si="1715"/>
        <v>0</v>
      </c>
      <c r="CD1452" s="27">
        <f t="shared" si="1715"/>
        <v>0</v>
      </c>
      <c r="CE1452" s="27">
        <f t="shared" si="1715"/>
        <v>0</v>
      </c>
      <c r="CF1452" s="27">
        <f t="shared" si="1715"/>
        <v>0</v>
      </c>
      <c r="CG1452" s="27">
        <f t="shared" si="1715"/>
        <v>0</v>
      </c>
      <c r="CH1452" s="27">
        <f t="shared" si="1715"/>
        <v>0</v>
      </c>
      <c r="CI1452" s="27">
        <f t="shared" si="1715"/>
        <v>0</v>
      </c>
      <c r="CJ1452" s="27">
        <f t="shared" si="1715"/>
        <v>0</v>
      </c>
      <c r="CK1452" s="27">
        <f t="shared" si="1715"/>
        <v>0</v>
      </c>
      <c r="CL1452" s="27">
        <f t="shared" si="1715"/>
        <v>0</v>
      </c>
      <c r="CM1452" s="27">
        <f t="shared" si="1715"/>
        <v>0</v>
      </c>
      <c r="CN1452" s="27">
        <f t="shared" si="1715"/>
        <v>0</v>
      </c>
      <c r="CO1452" s="27">
        <f t="shared" si="1715"/>
        <v>0</v>
      </c>
    </row>
    <row r="1453" spans="1:93">
      <c r="A1453" s="10"/>
      <c r="B1453" s="10"/>
      <c r="C1453" s="17"/>
      <c r="D1453" s="10"/>
      <c r="E1453" s="10"/>
      <c r="F1453" s="10"/>
      <c r="G1453" s="142"/>
      <c r="H1453" s="10"/>
      <c r="I1453" s="10"/>
      <c r="J1453" s="10"/>
      <c r="K1453" s="10"/>
      <c r="L1453" s="201"/>
      <c r="M1453" s="201"/>
      <c r="N1453" s="201"/>
      <c r="O1453" s="201"/>
      <c r="P1453" s="201"/>
      <c r="Q1453" s="201"/>
      <c r="R1453" s="201"/>
      <c r="S1453" s="201"/>
      <c r="T1453" s="201"/>
      <c r="U1453" s="201"/>
      <c r="V1453" s="201"/>
      <c r="W1453" s="201"/>
      <c r="X1453" s="201"/>
      <c r="Y1453" s="201"/>
      <c r="Z1453" s="201"/>
      <c r="AA1453" s="201"/>
      <c r="AB1453" s="201"/>
      <c r="AC1453" s="201"/>
      <c r="AD1453" s="201"/>
      <c r="AE1453" s="201"/>
      <c r="AF1453" s="201"/>
      <c r="AG1453" s="201"/>
      <c r="AH1453" s="201"/>
      <c r="AI1453" s="201"/>
      <c r="AJ1453" s="201"/>
      <c r="AK1453" s="201"/>
      <c r="AL1453" s="201"/>
      <c r="AM1453" s="201"/>
      <c r="AN1453" s="201"/>
      <c r="AO1453" s="201"/>
      <c r="AP1453" s="201"/>
      <c r="AQ1453" s="201"/>
      <c r="AR1453" s="201"/>
      <c r="AS1453" s="201"/>
      <c r="AT1453" s="201"/>
      <c r="AU1453" s="201"/>
      <c r="AV1453" s="201"/>
      <c r="AW1453" s="201"/>
      <c r="AX1453" s="201"/>
      <c r="AY1453" s="201"/>
      <c r="AZ1453" s="201"/>
      <c r="BA1453" s="201"/>
      <c r="BB1453" s="201"/>
      <c r="BC1453" s="201"/>
      <c r="BD1453" s="201"/>
      <c r="BE1453" s="201"/>
      <c r="BF1453" s="201"/>
      <c r="BG1453" s="201"/>
      <c r="BH1453" s="201"/>
      <c r="BI1453" s="201"/>
      <c r="BJ1453" s="201"/>
      <c r="BK1453" s="201"/>
      <c r="BL1453" s="201"/>
      <c r="BM1453" s="201"/>
      <c r="BN1453" s="201"/>
      <c r="BO1453" s="201"/>
      <c r="BP1453" s="201"/>
      <c r="BQ1453" s="201"/>
      <c r="BR1453" s="201"/>
      <c r="BS1453" s="201"/>
      <c r="BT1453" s="201"/>
      <c r="BU1453" s="201"/>
      <c r="BV1453" s="201"/>
      <c r="BW1453" s="201"/>
      <c r="BX1453" s="201"/>
      <c r="BY1453" s="201"/>
      <c r="BZ1453" s="201"/>
      <c r="CA1453" s="201"/>
      <c r="CB1453" s="201"/>
      <c r="CC1453" s="201"/>
      <c r="CD1453" s="201"/>
      <c r="CE1453" s="201"/>
      <c r="CF1453" s="201"/>
      <c r="CG1453" s="201"/>
      <c r="CH1453" s="201"/>
      <c r="CI1453" s="201"/>
      <c r="CJ1453" s="201"/>
      <c r="CK1453" s="201"/>
      <c r="CL1453" s="201"/>
      <c r="CM1453" s="201"/>
      <c r="CN1453" s="201"/>
      <c r="CO1453" s="201"/>
    </row>
    <row r="1454" spans="1:93">
      <c r="A1454" s="10"/>
      <c r="B1454" s="10"/>
      <c r="C1454" s="17" t="s">
        <v>248</v>
      </c>
      <c r="D1454" s="10"/>
      <c r="E1454" s="195">
        <f t="array" aca="1" ref="E1454" ca="1">AVERAGE(IF(L1452:CO1452&lt;&gt;0,L1452:CO1452))</f>
        <v>2.1266186974662307</v>
      </c>
      <c r="F1454" s="10"/>
      <c r="G1454" s="142" t="s">
        <v>378</v>
      </c>
      <c r="H1454" s="10"/>
      <c r="I1454" s="10"/>
      <c r="J1454" s="10"/>
      <c r="K1454" s="10"/>
      <c r="L1454" s="201"/>
      <c r="M1454" s="201"/>
      <c r="N1454" s="201"/>
      <c r="O1454" s="201"/>
      <c r="P1454" s="201"/>
      <c r="Q1454" s="201"/>
      <c r="R1454" s="201"/>
      <c r="S1454" s="201"/>
      <c r="T1454" s="201"/>
      <c r="U1454" s="201"/>
      <c r="V1454" s="201"/>
      <c r="W1454" s="201"/>
      <c r="X1454" s="201"/>
      <c r="Y1454" s="201"/>
      <c r="Z1454" s="201"/>
      <c r="AA1454" s="201"/>
      <c r="AB1454" s="201"/>
      <c r="AC1454" s="201"/>
      <c r="AD1454" s="201"/>
      <c r="AE1454" s="201"/>
      <c r="AF1454" s="201"/>
      <c r="AG1454" s="201"/>
      <c r="AH1454" s="201"/>
      <c r="AI1454" s="201"/>
      <c r="AJ1454" s="201"/>
      <c r="AK1454" s="201"/>
      <c r="AL1454" s="201"/>
      <c r="AM1454" s="201"/>
      <c r="AN1454" s="201"/>
      <c r="AO1454" s="201"/>
      <c r="AP1454" s="201"/>
      <c r="AQ1454" s="201"/>
      <c r="AR1454" s="201"/>
      <c r="AS1454" s="201"/>
      <c r="AT1454" s="201"/>
      <c r="AU1454" s="201"/>
      <c r="AV1454" s="201"/>
      <c r="AW1454" s="201"/>
      <c r="AX1454" s="201"/>
      <c r="AY1454" s="201"/>
      <c r="AZ1454" s="201"/>
      <c r="BA1454" s="201"/>
      <c r="BB1454" s="201"/>
      <c r="BC1454" s="201"/>
      <c r="BD1454" s="201"/>
      <c r="BE1454" s="201"/>
      <c r="BF1454" s="201"/>
      <c r="BG1454" s="201"/>
      <c r="BH1454" s="201"/>
      <c r="BI1454" s="201"/>
      <c r="BJ1454" s="201"/>
      <c r="BK1454" s="201"/>
      <c r="BL1454" s="201"/>
      <c r="BM1454" s="201"/>
      <c r="BN1454" s="201"/>
      <c r="BO1454" s="201"/>
      <c r="BP1454" s="201"/>
      <c r="BQ1454" s="201"/>
      <c r="BR1454" s="201"/>
      <c r="BS1454" s="201"/>
      <c r="BT1454" s="201"/>
      <c r="BU1454" s="201"/>
      <c r="BV1454" s="201"/>
      <c r="BW1454" s="201"/>
      <c r="BX1454" s="201"/>
      <c r="BY1454" s="201"/>
      <c r="BZ1454" s="201"/>
      <c r="CA1454" s="201"/>
      <c r="CB1454" s="201"/>
      <c r="CC1454" s="201"/>
      <c r="CD1454" s="201"/>
      <c r="CE1454" s="201"/>
      <c r="CF1454" s="201"/>
      <c r="CG1454" s="201"/>
      <c r="CH1454" s="201"/>
      <c r="CI1454" s="201"/>
      <c r="CJ1454" s="201"/>
      <c r="CK1454" s="201"/>
      <c r="CL1454" s="201"/>
      <c r="CM1454" s="201"/>
      <c r="CN1454" s="201"/>
      <c r="CO1454" s="201"/>
    </row>
    <row r="1455" spans="1:93">
      <c r="A1455" s="10"/>
      <c r="B1455" s="10"/>
      <c r="C1455" s="17" t="s">
        <v>251</v>
      </c>
      <c r="D1455" s="10"/>
      <c r="E1455" s="195">
        <f t="array" aca="1" ref="E1455" ca="1">MAX(IF(L1452:CO1452&lt;&gt;0,L1452:CO1452))</f>
        <v>4.1227001332142121</v>
      </c>
      <c r="F1455" s="10"/>
      <c r="G1455" s="142" t="s">
        <v>378</v>
      </c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0"/>
      <c r="AH1455" s="10"/>
      <c r="AI1455" s="10"/>
      <c r="AJ1455" s="10"/>
      <c r="AK1455" s="10"/>
      <c r="AL1455" s="10"/>
      <c r="AM1455" s="10"/>
      <c r="AN1455" s="10"/>
      <c r="AO1455" s="10"/>
      <c r="AP1455" s="10"/>
      <c r="AQ1455" s="10"/>
      <c r="AR1455" s="10"/>
      <c r="AS1455" s="10"/>
      <c r="AT1455" s="10"/>
      <c r="AU1455" s="10"/>
      <c r="AV1455" s="10"/>
      <c r="AW1455" s="10"/>
      <c r="AX1455" s="10"/>
      <c r="AY1455" s="10"/>
      <c r="AZ1455" s="10"/>
      <c r="BA1455" s="10"/>
      <c r="BB1455" s="10"/>
      <c r="BC1455" s="10"/>
      <c r="BD1455" s="10"/>
      <c r="BE1455" s="10"/>
      <c r="BF1455" s="10"/>
      <c r="BG1455" s="10"/>
      <c r="BH1455" s="10"/>
      <c r="BI1455" s="10"/>
      <c r="BJ1455" s="10"/>
      <c r="BK1455" s="10"/>
      <c r="BL1455" s="10"/>
      <c r="BM1455" s="10"/>
      <c r="BN1455" s="10"/>
      <c r="BO1455" s="10"/>
      <c r="BP1455" s="10"/>
      <c r="BQ1455" s="10"/>
      <c r="BR1455" s="10"/>
      <c r="BS1455" s="10"/>
      <c r="BT1455" s="10"/>
      <c r="BU1455" s="10"/>
      <c r="BV1455" s="10"/>
      <c r="BW1455" s="10"/>
      <c r="BX1455" s="10"/>
      <c r="BY1455" s="10"/>
      <c r="BZ1455" s="10"/>
      <c r="CA1455" s="10"/>
      <c r="CB1455" s="10"/>
      <c r="CC1455" s="10"/>
      <c r="CD1455" s="10"/>
      <c r="CE1455" s="10"/>
      <c r="CF1455" s="10"/>
      <c r="CG1455" s="10"/>
      <c r="CH1455" s="10"/>
      <c r="CI1455" s="10"/>
      <c r="CJ1455" s="10"/>
      <c r="CK1455" s="10"/>
      <c r="CL1455" s="10"/>
      <c r="CM1455" s="10"/>
      <c r="CN1455" s="10"/>
      <c r="CO1455" s="10"/>
    </row>
    <row r="1456" spans="1:93">
      <c r="A1456" s="10"/>
      <c r="B1456" s="10"/>
      <c r="C1456" s="17" t="s">
        <v>150</v>
      </c>
      <c r="D1456" s="10"/>
      <c r="E1456" s="10"/>
      <c r="F1456" s="10"/>
      <c r="G1456" s="142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0"/>
      <c r="AH1456" s="10"/>
      <c r="AI1456" s="10"/>
      <c r="AJ1456" s="10"/>
      <c r="AK1456" s="10"/>
      <c r="AL1456" s="10"/>
      <c r="AM1456" s="10"/>
      <c r="AN1456" s="10"/>
      <c r="AO1456" s="10"/>
      <c r="AP1456" s="10"/>
      <c r="AQ1456" s="10"/>
      <c r="AR1456" s="10"/>
      <c r="AS1456" s="10"/>
      <c r="AT1456" s="10"/>
      <c r="AU1456" s="10"/>
      <c r="AV1456" s="10"/>
      <c r="AW1456" s="10"/>
      <c r="AX1456" s="10"/>
      <c r="AY1456" s="10"/>
      <c r="AZ1456" s="10"/>
      <c r="BA1456" s="10"/>
      <c r="BB1456" s="10"/>
      <c r="BC1456" s="10"/>
      <c r="BD1456" s="10"/>
      <c r="BE1456" s="10"/>
      <c r="BF1456" s="10"/>
      <c r="BG1456" s="10"/>
      <c r="BH1456" s="10"/>
      <c r="BI1456" s="10"/>
      <c r="BJ1456" s="10"/>
      <c r="BK1456" s="10"/>
      <c r="BL1456" s="10"/>
      <c r="BM1456" s="10"/>
      <c r="BN1456" s="10"/>
      <c r="BO1456" s="10"/>
      <c r="BP1456" s="10"/>
      <c r="BQ1456" s="10"/>
      <c r="BR1456" s="10"/>
      <c r="BS1456" s="10"/>
      <c r="BT1456" s="10"/>
      <c r="BU1456" s="10"/>
      <c r="BV1456" s="10"/>
      <c r="BW1456" s="10"/>
      <c r="BX1456" s="10"/>
      <c r="BY1456" s="10"/>
      <c r="BZ1456" s="10"/>
      <c r="CA1456" s="10"/>
      <c r="CB1456" s="10"/>
      <c r="CC1456" s="10"/>
      <c r="CD1456" s="10"/>
      <c r="CE1456" s="10"/>
      <c r="CF1456" s="10"/>
      <c r="CG1456" s="10"/>
      <c r="CH1456" s="10"/>
      <c r="CI1456" s="10"/>
      <c r="CJ1456" s="10"/>
      <c r="CK1456" s="10"/>
      <c r="CL1456" s="10"/>
      <c r="CM1456" s="10"/>
      <c r="CN1456" s="10"/>
      <c r="CO1456" s="10"/>
    </row>
    <row r="1457" spans="1:93">
      <c r="A1457" s="10"/>
      <c r="B1457" s="10"/>
      <c r="C1457" s="17" t="s">
        <v>257</v>
      </c>
      <c r="D1457" s="10"/>
      <c r="E1457" s="10"/>
      <c r="F1457" s="10"/>
      <c r="G1457" s="142" t="s">
        <v>378</v>
      </c>
      <c r="H1457" s="10"/>
      <c r="I1457" s="10"/>
      <c r="J1457" s="10"/>
      <c r="K1457" s="10"/>
      <c r="L1457" s="27">
        <f ca="1">IF(L1449&lt;=0,0,MAX(L1448-L1450,0)/L1449)</f>
        <v>0</v>
      </c>
      <c r="M1457" s="27">
        <f t="shared" ref="M1457:BX1457" ca="1" si="1716">IF(M1449&lt;=0,0,MAX(M1448-M1450,0)/M1449)</f>
        <v>0</v>
      </c>
      <c r="N1457" s="27">
        <f t="shared" ca="1" si="1716"/>
        <v>0</v>
      </c>
      <c r="O1457" s="27">
        <f t="shared" ca="1" si="1716"/>
        <v>0</v>
      </c>
      <c r="P1457" s="27">
        <f t="shared" ca="1" si="1716"/>
        <v>4.1227001332142121</v>
      </c>
      <c r="Q1457" s="27">
        <f t="shared" ca="1" si="1716"/>
        <v>2.454428267613924</v>
      </c>
      <c r="R1457" s="27">
        <f t="shared" ca="1" si="1716"/>
        <v>1.4225666572563165</v>
      </c>
      <c r="S1457" s="27">
        <f t="shared" ca="1" si="1716"/>
        <v>0.50677973178047053</v>
      </c>
      <c r="T1457" s="27">
        <f t="shared" ca="1" si="1716"/>
        <v>0</v>
      </c>
      <c r="U1457" s="27">
        <f t="shared" ca="1" si="1716"/>
        <v>0</v>
      </c>
      <c r="V1457" s="27">
        <f t="shared" ca="1" si="1716"/>
        <v>0</v>
      </c>
      <c r="W1457" s="27">
        <f t="shared" ca="1" si="1716"/>
        <v>0</v>
      </c>
      <c r="X1457" s="27">
        <f t="shared" ca="1" si="1716"/>
        <v>0</v>
      </c>
      <c r="Y1457" s="27">
        <f t="shared" ca="1" si="1716"/>
        <v>0</v>
      </c>
      <c r="Z1457" s="27">
        <f t="shared" ca="1" si="1716"/>
        <v>0</v>
      </c>
      <c r="AA1457" s="27">
        <f t="shared" ca="1" si="1716"/>
        <v>0</v>
      </c>
      <c r="AB1457" s="27">
        <f t="shared" ca="1" si="1716"/>
        <v>0</v>
      </c>
      <c r="AC1457" s="27">
        <f t="shared" ca="1" si="1716"/>
        <v>0</v>
      </c>
      <c r="AD1457" s="27">
        <f t="shared" ca="1" si="1716"/>
        <v>0</v>
      </c>
      <c r="AE1457" s="27">
        <f t="shared" ca="1" si="1716"/>
        <v>0</v>
      </c>
      <c r="AF1457" s="27">
        <f t="shared" ca="1" si="1716"/>
        <v>0</v>
      </c>
      <c r="AG1457" s="27">
        <f t="shared" si="1716"/>
        <v>0</v>
      </c>
      <c r="AH1457" s="27">
        <f t="shared" si="1716"/>
        <v>0</v>
      </c>
      <c r="AI1457" s="27">
        <f t="shared" si="1716"/>
        <v>0</v>
      </c>
      <c r="AJ1457" s="27">
        <f t="shared" si="1716"/>
        <v>0</v>
      </c>
      <c r="AK1457" s="27">
        <f t="shared" si="1716"/>
        <v>0</v>
      </c>
      <c r="AL1457" s="27">
        <f t="shared" si="1716"/>
        <v>0</v>
      </c>
      <c r="AM1457" s="27">
        <f t="shared" si="1716"/>
        <v>0</v>
      </c>
      <c r="AN1457" s="27">
        <f t="shared" si="1716"/>
        <v>0</v>
      </c>
      <c r="AO1457" s="27">
        <f t="shared" si="1716"/>
        <v>0</v>
      </c>
      <c r="AP1457" s="27">
        <f t="shared" si="1716"/>
        <v>0</v>
      </c>
      <c r="AQ1457" s="27">
        <f t="shared" si="1716"/>
        <v>0</v>
      </c>
      <c r="AR1457" s="27">
        <f t="shared" si="1716"/>
        <v>0</v>
      </c>
      <c r="AS1457" s="27">
        <f t="shared" si="1716"/>
        <v>0</v>
      </c>
      <c r="AT1457" s="27">
        <f t="shared" si="1716"/>
        <v>0</v>
      </c>
      <c r="AU1457" s="27">
        <f t="shared" si="1716"/>
        <v>0</v>
      </c>
      <c r="AV1457" s="27">
        <f t="shared" si="1716"/>
        <v>0</v>
      </c>
      <c r="AW1457" s="27">
        <f t="shared" si="1716"/>
        <v>0</v>
      </c>
      <c r="AX1457" s="27">
        <f t="shared" si="1716"/>
        <v>0</v>
      </c>
      <c r="AY1457" s="27">
        <f t="shared" si="1716"/>
        <v>0</v>
      </c>
      <c r="AZ1457" s="27">
        <f t="shared" si="1716"/>
        <v>0</v>
      </c>
      <c r="BA1457" s="27">
        <f t="shared" si="1716"/>
        <v>0</v>
      </c>
      <c r="BB1457" s="27">
        <f t="shared" si="1716"/>
        <v>0</v>
      </c>
      <c r="BC1457" s="27">
        <f t="shared" si="1716"/>
        <v>0</v>
      </c>
      <c r="BD1457" s="27">
        <f t="shared" si="1716"/>
        <v>0</v>
      </c>
      <c r="BE1457" s="27">
        <f t="shared" si="1716"/>
        <v>0</v>
      </c>
      <c r="BF1457" s="27">
        <f t="shared" si="1716"/>
        <v>0</v>
      </c>
      <c r="BG1457" s="27">
        <f t="shared" si="1716"/>
        <v>0</v>
      </c>
      <c r="BH1457" s="27">
        <f t="shared" si="1716"/>
        <v>0</v>
      </c>
      <c r="BI1457" s="27">
        <f t="shared" si="1716"/>
        <v>0</v>
      </c>
      <c r="BJ1457" s="27">
        <f t="shared" si="1716"/>
        <v>0</v>
      </c>
      <c r="BK1457" s="27">
        <f t="shared" si="1716"/>
        <v>0</v>
      </c>
      <c r="BL1457" s="27">
        <f t="shared" si="1716"/>
        <v>0</v>
      </c>
      <c r="BM1457" s="27">
        <f t="shared" si="1716"/>
        <v>0</v>
      </c>
      <c r="BN1457" s="27">
        <f t="shared" si="1716"/>
        <v>0</v>
      </c>
      <c r="BO1457" s="27">
        <f t="shared" si="1716"/>
        <v>0</v>
      </c>
      <c r="BP1457" s="27">
        <f t="shared" si="1716"/>
        <v>0</v>
      </c>
      <c r="BQ1457" s="27">
        <f t="shared" si="1716"/>
        <v>0</v>
      </c>
      <c r="BR1457" s="27">
        <f t="shared" si="1716"/>
        <v>0</v>
      </c>
      <c r="BS1457" s="27">
        <f t="shared" si="1716"/>
        <v>0</v>
      </c>
      <c r="BT1457" s="27">
        <f t="shared" si="1716"/>
        <v>0</v>
      </c>
      <c r="BU1457" s="27">
        <f t="shared" si="1716"/>
        <v>0</v>
      </c>
      <c r="BV1457" s="27">
        <f t="shared" si="1716"/>
        <v>0</v>
      </c>
      <c r="BW1457" s="27">
        <f t="shared" si="1716"/>
        <v>0</v>
      </c>
      <c r="BX1457" s="27">
        <f t="shared" si="1716"/>
        <v>0</v>
      </c>
      <c r="BY1457" s="27">
        <f t="shared" ref="BY1457:CO1457" si="1717">IF(BY1449&lt;=0,0,MAX(BY1448-BY1450,0)/BY1449)</f>
        <v>0</v>
      </c>
      <c r="BZ1457" s="27">
        <f t="shared" si="1717"/>
        <v>0</v>
      </c>
      <c r="CA1457" s="27">
        <f t="shared" si="1717"/>
        <v>0</v>
      </c>
      <c r="CB1457" s="27">
        <f t="shared" si="1717"/>
        <v>0</v>
      </c>
      <c r="CC1457" s="27">
        <f t="shared" si="1717"/>
        <v>0</v>
      </c>
      <c r="CD1457" s="27">
        <f t="shared" si="1717"/>
        <v>0</v>
      </c>
      <c r="CE1457" s="27">
        <f t="shared" si="1717"/>
        <v>0</v>
      </c>
      <c r="CF1457" s="27">
        <f t="shared" si="1717"/>
        <v>0</v>
      </c>
      <c r="CG1457" s="27">
        <f t="shared" si="1717"/>
        <v>0</v>
      </c>
      <c r="CH1457" s="27">
        <f t="shared" si="1717"/>
        <v>0</v>
      </c>
      <c r="CI1457" s="27">
        <f t="shared" si="1717"/>
        <v>0</v>
      </c>
      <c r="CJ1457" s="27">
        <f t="shared" si="1717"/>
        <v>0</v>
      </c>
      <c r="CK1457" s="27">
        <f t="shared" si="1717"/>
        <v>0</v>
      </c>
      <c r="CL1457" s="27">
        <f t="shared" si="1717"/>
        <v>0</v>
      </c>
      <c r="CM1457" s="27">
        <f t="shared" si="1717"/>
        <v>0</v>
      </c>
      <c r="CN1457" s="27">
        <f t="shared" si="1717"/>
        <v>0</v>
      </c>
      <c r="CO1457" s="27">
        <f t="shared" si="1717"/>
        <v>0</v>
      </c>
    </row>
    <row r="1458" spans="1:93">
      <c r="A1458" s="10"/>
      <c r="B1458" s="10"/>
      <c r="C1458" s="17"/>
      <c r="D1458" s="10"/>
      <c r="E1458" s="10"/>
      <c r="F1458" s="10"/>
      <c r="G1458" s="142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0"/>
      <c r="AH1458" s="10"/>
      <c r="AI1458" s="10"/>
      <c r="AJ1458" s="10"/>
      <c r="AK1458" s="10"/>
      <c r="AL1458" s="10"/>
      <c r="AM1458" s="10"/>
      <c r="AN1458" s="10"/>
      <c r="AO1458" s="10"/>
      <c r="AP1458" s="10"/>
      <c r="AQ1458" s="10"/>
      <c r="AR1458" s="10"/>
      <c r="AS1458" s="10"/>
      <c r="AT1458" s="10"/>
      <c r="AU1458" s="10"/>
      <c r="AV1458" s="10"/>
      <c r="AW1458" s="10"/>
      <c r="AX1458" s="10"/>
      <c r="AY1458" s="10"/>
      <c r="AZ1458" s="10"/>
      <c r="BA1458" s="10"/>
      <c r="BB1458" s="10"/>
      <c r="BC1458" s="10"/>
      <c r="BD1458" s="10"/>
      <c r="BE1458" s="10"/>
      <c r="BF1458" s="10"/>
      <c r="BG1458" s="10"/>
      <c r="BH1458" s="10"/>
      <c r="BI1458" s="10"/>
      <c r="BJ1458" s="10"/>
      <c r="BK1458" s="10"/>
      <c r="BL1458" s="10"/>
      <c r="BM1458" s="10"/>
      <c r="BN1458" s="10"/>
      <c r="BO1458" s="10"/>
      <c r="BP1458" s="10"/>
      <c r="BQ1458" s="10"/>
      <c r="BR1458" s="10"/>
      <c r="BS1458" s="10"/>
      <c r="BT1458" s="10"/>
      <c r="BU1458" s="10"/>
      <c r="BV1458" s="10"/>
      <c r="BW1458" s="10"/>
      <c r="BX1458" s="10"/>
      <c r="BY1458" s="10"/>
      <c r="BZ1458" s="10"/>
      <c r="CA1458" s="10"/>
      <c r="CB1458" s="10"/>
      <c r="CC1458" s="10"/>
      <c r="CD1458" s="10"/>
      <c r="CE1458" s="10"/>
      <c r="CF1458" s="10"/>
      <c r="CG1458" s="10"/>
      <c r="CH1458" s="10"/>
      <c r="CI1458" s="10"/>
      <c r="CJ1458" s="10"/>
      <c r="CK1458" s="10"/>
      <c r="CL1458" s="10"/>
      <c r="CM1458" s="10"/>
      <c r="CN1458" s="10"/>
      <c r="CO1458" s="10"/>
    </row>
    <row r="1459" spans="1:93">
      <c r="A1459" s="10"/>
      <c r="B1459" s="10"/>
      <c r="C1459" s="17" t="s">
        <v>248</v>
      </c>
      <c r="D1459" s="10"/>
      <c r="E1459" s="195">
        <f t="array" aca="1" ref="E1459" ca="1">AVERAGE(IF(L1457:CO1457&lt;&gt;0,L1457:CO1457))</f>
        <v>2.1266186974662307</v>
      </c>
      <c r="F1459" s="10"/>
      <c r="G1459" s="142" t="s">
        <v>378</v>
      </c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0"/>
      <c r="AH1459" s="10"/>
      <c r="AI1459" s="10"/>
      <c r="AJ1459" s="10"/>
      <c r="AK1459" s="10"/>
      <c r="AL1459" s="10"/>
      <c r="AM1459" s="10"/>
      <c r="AN1459" s="10"/>
      <c r="AO1459" s="10"/>
      <c r="AP1459" s="10"/>
      <c r="AQ1459" s="10"/>
      <c r="AR1459" s="10"/>
      <c r="AS1459" s="10"/>
      <c r="AT1459" s="10"/>
      <c r="AU1459" s="10"/>
      <c r="AV1459" s="10"/>
      <c r="AW1459" s="10"/>
      <c r="AX1459" s="10"/>
      <c r="AY1459" s="10"/>
      <c r="AZ1459" s="10"/>
      <c r="BA1459" s="10"/>
      <c r="BB1459" s="10"/>
      <c r="BC1459" s="10"/>
      <c r="BD1459" s="10"/>
      <c r="BE1459" s="10"/>
      <c r="BF1459" s="10"/>
      <c r="BG1459" s="10"/>
      <c r="BH1459" s="10"/>
      <c r="BI1459" s="10"/>
      <c r="BJ1459" s="10"/>
      <c r="BK1459" s="10"/>
      <c r="BL1459" s="10"/>
      <c r="BM1459" s="10"/>
      <c r="BN1459" s="10"/>
      <c r="BO1459" s="10"/>
      <c r="BP1459" s="10"/>
      <c r="BQ1459" s="10"/>
      <c r="BR1459" s="10"/>
      <c r="BS1459" s="10"/>
      <c r="BT1459" s="10"/>
      <c r="BU1459" s="10"/>
      <c r="BV1459" s="10"/>
      <c r="BW1459" s="10"/>
      <c r="BX1459" s="10"/>
      <c r="BY1459" s="10"/>
      <c r="BZ1459" s="10"/>
      <c r="CA1459" s="10"/>
      <c r="CB1459" s="10"/>
      <c r="CC1459" s="10"/>
      <c r="CD1459" s="10"/>
      <c r="CE1459" s="10"/>
      <c r="CF1459" s="10"/>
      <c r="CG1459" s="10"/>
      <c r="CH1459" s="10"/>
      <c r="CI1459" s="10"/>
      <c r="CJ1459" s="10"/>
      <c r="CK1459" s="10"/>
      <c r="CL1459" s="10"/>
      <c r="CM1459" s="10"/>
      <c r="CN1459" s="10"/>
      <c r="CO1459" s="10"/>
    </row>
    <row r="1460" spans="1:93">
      <c r="A1460" s="10"/>
      <c r="B1460" s="10"/>
      <c r="C1460" s="17" t="s">
        <v>251</v>
      </c>
      <c r="D1460" s="10"/>
      <c r="E1460" s="195">
        <f t="array" aca="1" ref="E1460" ca="1">MAX(IF(L1457:CO1457&lt;&gt;0,L1457:CO1457))</f>
        <v>4.1227001332142121</v>
      </c>
      <c r="F1460" s="10"/>
      <c r="G1460" s="142" t="s">
        <v>378</v>
      </c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0"/>
      <c r="AH1460" s="10"/>
      <c r="AI1460" s="10"/>
      <c r="AJ1460" s="10"/>
      <c r="AK1460" s="10"/>
      <c r="AL1460" s="10"/>
      <c r="AM1460" s="10"/>
      <c r="AN1460" s="10"/>
      <c r="AO1460" s="10"/>
      <c r="AP1460" s="10"/>
      <c r="AQ1460" s="10"/>
      <c r="AR1460" s="10"/>
      <c r="AS1460" s="10"/>
      <c r="AT1460" s="10"/>
      <c r="AU1460" s="10"/>
      <c r="AV1460" s="10"/>
      <c r="AW1460" s="10"/>
      <c r="AX1460" s="10"/>
      <c r="AY1460" s="10"/>
      <c r="AZ1460" s="10"/>
      <c r="BA1460" s="10"/>
      <c r="BB1460" s="10"/>
      <c r="BC1460" s="10"/>
      <c r="BD1460" s="10"/>
      <c r="BE1460" s="10"/>
      <c r="BF1460" s="10"/>
      <c r="BG1460" s="10"/>
      <c r="BH1460" s="10"/>
      <c r="BI1460" s="10"/>
      <c r="BJ1460" s="10"/>
      <c r="BK1460" s="10"/>
      <c r="BL1460" s="10"/>
      <c r="BM1460" s="10"/>
      <c r="BN1460" s="10"/>
      <c r="BO1460" s="10"/>
      <c r="BP1460" s="10"/>
      <c r="BQ1460" s="10"/>
      <c r="BR1460" s="10"/>
      <c r="BS1460" s="10"/>
      <c r="BT1460" s="10"/>
      <c r="BU1460" s="10"/>
      <c r="BV1460" s="10"/>
      <c r="BW1460" s="10"/>
      <c r="BX1460" s="10"/>
      <c r="BY1460" s="10"/>
      <c r="BZ1460" s="10"/>
      <c r="CA1460" s="10"/>
      <c r="CB1460" s="10"/>
      <c r="CC1460" s="10"/>
      <c r="CD1460" s="10"/>
      <c r="CE1460" s="10"/>
      <c r="CF1460" s="10"/>
      <c r="CG1460" s="10"/>
      <c r="CH1460" s="10"/>
      <c r="CI1460" s="10"/>
      <c r="CJ1460" s="10"/>
      <c r="CK1460" s="10"/>
      <c r="CL1460" s="10"/>
      <c r="CM1460" s="10"/>
      <c r="CN1460" s="10"/>
      <c r="CO1460" s="10"/>
    </row>
    <row r="1461" spans="1:93"/>
    <row r="1462" spans="1:93" ht="19.149999999999999" customHeight="1">
      <c r="A1462" s="5"/>
      <c r="B1462" s="5" t="s">
        <v>578</v>
      </c>
      <c r="C1462" s="5"/>
      <c r="D1462" s="5"/>
      <c r="E1462" s="5"/>
      <c r="F1462" s="5"/>
      <c r="G1462" s="6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5"/>
      <c r="BP1462" s="5"/>
      <c r="BQ1462" s="5"/>
      <c r="BR1462" s="5"/>
      <c r="BS1462" s="5"/>
      <c r="BT1462" s="5"/>
      <c r="BU1462" s="5"/>
      <c r="BV1462" s="5"/>
      <c r="BW1462" s="5"/>
      <c r="BX1462" s="5"/>
      <c r="BY1462" s="5"/>
      <c r="BZ1462" s="5"/>
      <c r="CA1462" s="5"/>
      <c r="CB1462" s="5"/>
      <c r="CC1462" s="5"/>
      <c r="CD1462" s="5"/>
      <c r="CE1462" s="5"/>
      <c r="CF1462" s="5"/>
      <c r="CG1462" s="5"/>
      <c r="CH1462" s="5"/>
      <c r="CI1462" s="5"/>
      <c r="CJ1462" s="5"/>
      <c r="CK1462" s="5"/>
      <c r="CL1462" s="5"/>
      <c r="CM1462" s="5"/>
      <c r="CN1462" s="5"/>
      <c r="CO1462" s="5"/>
    </row>
    <row r="1463" spans="1:93" hidden="1">
      <c r="E1463"/>
      <c r="G1463" s="25"/>
    </row>
    <row r="1464" spans="1:93" hidden="1">
      <c r="E1464"/>
      <c r="G1464" s="25"/>
    </row>
    <row r="1465" spans="1:93" hidden="1">
      <c r="E1465"/>
      <c r="G1465" s="25"/>
    </row>
    <row r="1466" spans="1:93" hidden="1">
      <c r="E1466"/>
      <c r="G1466" s="25"/>
    </row>
    <row r="1467" spans="1:93" hidden="1">
      <c r="E1467"/>
      <c r="G1467" s="25"/>
    </row>
    <row r="1468" spans="1:93" hidden="1">
      <c r="E1468"/>
      <c r="G1468" s="25"/>
    </row>
    <row r="1469" spans="1:93" hidden="1">
      <c r="E1469"/>
      <c r="G1469" s="25"/>
    </row>
    <row r="1470" spans="1:93" hidden="1">
      <c r="E1470"/>
      <c r="G1470" s="25"/>
    </row>
    <row r="1471" spans="1:93" hidden="1">
      <c r="E1471"/>
      <c r="G1471" s="25"/>
    </row>
    <row r="1472" spans="1:93" hidden="1">
      <c r="E1472"/>
      <c r="G1472" s="25"/>
    </row>
    <row r="1473" spans="5:7" hidden="1">
      <c r="E1473"/>
      <c r="G1473" s="25"/>
    </row>
    <row r="1474" spans="5:7" hidden="1">
      <c r="E1474"/>
      <c r="G1474" s="25"/>
    </row>
    <row r="1475" spans="5:7" hidden="1">
      <c r="E1475"/>
      <c r="G1475" s="25"/>
    </row>
    <row r="1476" spans="5:7" hidden="1">
      <c r="E1476"/>
      <c r="G1476" s="25"/>
    </row>
    <row r="1477" spans="5:7" hidden="1">
      <c r="E1477"/>
      <c r="G1477" s="25"/>
    </row>
    <row r="1478" spans="5:7" hidden="1">
      <c r="E1478"/>
      <c r="G1478" s="25"/>
    </row>
    <row r="1479" spans="5:7" hidden="1">
      <c r="E1479"/>
      <c r="G1479" s="25"/>
    </row>
    <row r="1480" spans="5:7" hidden="1">
      <c r="E1480"/>
      <c r="G1480" s="25"/>
    </row>
    <row r="1481" spans="5:7" hidden="1">
      <c r="E1481"/>
      <c r="G1481" s="25"/>
    </row>
    <row r="1482" spans="5:7" hidden="1">
      <c r="E1482"/>
      <c r="G1482" s="25"/>
    </row>
    <row r="1483" spans="5:7" hidden="1">
      <c r="E1483"/>
      <c r="G1483" s="25"/>
    </row>
    <row r="1484" spans="5:7" hidden="1">
      <c r="E1484"/>
      <c r="G1484" s="25"/>
    </row>
    <row r="1485" spans="5:7" hidden="1">
      <c r="E1485"/>
      <c r="G1485" s="25"/>
    </row>
    <row r="1486" spans="5:7" hidden="1">
      <c r="E1486"/>
      <c r="G1486" s="25"/>
    </row>
    <row r="1487" spans="5:7" hidden="1">
      <c r="E1487"/>
      <c r="G1487" s="25"/>
    </row>
    <row r="1488" spans="5:7" hidden="1">
      <c r="E1488"/>
      <c r="G1488" s="25"/>
    </row>
    <row r="1489" spans="5:7" hidden="1">
      <c r="E1489"/>
      <c r="G1489" s="25"/>
    </row>
    <row r="1490" spans="5:7" hidden="1">
      <c r="E1490"/>
      <c r="G1490" s="25"/>
    </row>
    <row r="1491" spans="5:7" hidden="1">
      <c r="E1491"/>
      <c r="G1491" s="25"/>
    </row>
    <row r="1492" spans="5:7" hidden="1">
      <c r="E1492"/>
      <c r="G1492" s="25"/>
    </row>
    <row r="1493" spans="5:7" hidden="1">
      <c r="E1493"/>
      <c r="G1493" s="25"/>
    </row>
    <row r="1494" spans="5:7" hidden="1">
      <c r="E1494"/>
      <c r="G1494" s="25"/>
    </row>
    <row r="1495" spans="5:7" hidden="1">
      <c r="E1495"/>
      <c r="G1495" s="25"/>
    </row>
    <row r="1496" spans="5:7" hidden="1">
      <c r="E1496"/>
      <c r="G1496" s="25"/>
    </row>
    <row r="1497" spans="5:7" hidden="1">
      <c r="E1497"/>
      <c r="G1497" s="25"/>
    </row>
    <row r="1498" spans="5:7" hidden="1">
      <c r="E1498"/>
      <c r="G1498" s="25"/>
    </row>
    <row r="1499" spans="5:7" hidden="1">
      <c r="E1499"/>
      <c r="G1499" s="25"/>
    </row>
    <row r="1500" spans="5:7" hidden="1">
      <c r="E1500"/>
      <c r="G1500" s="25"/>
    </row>
    <row r="1501" spans="5:7" hidden="1">
      <c r="E1501"/>
      <c r="G1501" s="25"/>
    </row>
    <row r="1502" spans="5:7" hidden="1">
      <c r="E1502"/>
      <c r="G1502" s="25"/>
    </row>
    <row r="1503" spans="5:7" hidden="1">
      <c r="E1503"/>
      <c r="G1503" s="25"/>
    </row>
    <row r="1504" spans="5:7" hidden="1">
      <c r="E1504"/>
      <c r="G1504" s="25"/>
    </row>
    <row r="1505" spans="5:7" hidden="1">
      <c r="E1505"/>
      <c r="G1505" s="25"/>
    </row>
    <row r="1506" spans="5:7" hidden="1">
      <c r="E1506"/>
      <c r="G1506" s="25"/>
    </row>
    <row r="1507" spans="5:7" hidden="1">
      <c r="E1507"/>
      <c r="G1507" s="25"/>
    </row>
    <row r="1508" spans="5:7" hidden="1">
      <c r="E1508"/>
      <c r="G1508" s="25"/>
    </row>
    <row r="1509" spans="5:7" hidden="1">
      <c r="E1509"/>
      <c r="G1509" s="25"/>
    </row>
    <row r="1510" spans="5:7" hidden="1">
      <c r="E1510"/>
      <c r="G1510" s="25"/>
    </row>
    <row r="1511" spans="5:7" hidden="1">
      <c r="E1511"/>
      <c r="G1511" s="25"/>
    </row>
    <row r="1512" spans="5:7" hidden="1">
      <c r="E1512"/>
      <c r="G1512" s="25"/>
    </row>
    <row r="1513" spans="5:7" hidden="1">
      <c r="E1513"/>
      <c r="G1513" s="25"/>
    </row>
    <row r="1514" spans="5:7" hidden="1">
      <c r="E1514"/>
      <c r="G1514" s="25"/>
    </row>
    <row r="1515" spans="5:7" hidden="1">
      <c r="E1515"/>
      <c r="G1515" s="25"/>
    </row>
    <row r="1516" spans="5:7" hidden="1">
      <c r="E1516"/>
      <c r="G1516" s="25"/>
    </row>
    <row r="1517" spans="5:7" hidden="1">
      <c r="E1517"/>
      <c r="G1517" s="25"/>
    </row>
    <row r="1518" spans="5:7" hidden="1">
      <c r="E1518"/>
      <c r="G1518" s="25"/>
    </row>
    <row r="1519" spans="5:7" hidden="1">
      <c r="E1519"/>
      <c r="G1519" s="25"/>
    </row>
    <row r="1520" spans="5:7" hidden="1">
      <c r="E1520"/>
      <c r="G1520" s="25"/>
    </row>
    <row r="1521" spans="5:7" hidden="1">
      <c r="E1521"/>
      <c r="G1521" s="25"/>
    </row>
    <row r="1522" spans="5:7" hidden="1">
      <c r="E1522"/>
      <c r="G1522" s="25"/>
    </row>
    <row r="1523" spans="5:7" hidden="1">
      <c r="E1523"/>
      <c r="G1523" s="25"/>
    </row>
    <row r="1524" spans="5:7" hidden="1">
      <c r="E1524"/>
      <c r="G1524" s="25"/>
    </row>
    <row r="1525" spans="5:7" hidden="1">
      <c r="E1525"/>
      <c r="G1525" s="25"/>
    </row>
    <row r="1526" spans="5:7" hidden="1">
      <c r="E1526"/>
      <c r="G1526" s="25"/>
    </row>
    <row r="1527" spans="5:7" hidden="1">
      <c r="E1527"/>
      <c r="G1527" s="25"/>
    </row>
    <row r="1528" spans="5:7" hidden="1">
      <c r="E1528"/>
      <c r="G1528" s="25"/>
    </row>
    <row r="1529" spans="5:7" hidden="1">
      <c r="E1529"/>
      <c r="G1529" s="25"/>
    </row>
    <row r="1530" spans="5:7" hidden="1">
      <c r="E1530"/>
      <c r="G1530" s="25"/>
    </row>
    <row r="1531" spans="5:7" hidden="1">
      <c r="E1531"/>
      <c r="G1531" s="25"/>
    </row>
    <row r="1532" spans="5:7" hidden="1">
      <c r="E1532"/>
      <c r="G1532" s="25"/>
    </row>
    <row r="1533" spans="5:7" hidden="1">
      <c r="E1533"/>
      <c r="G1533" s="25"/>
    </row>
    <row r="1534" spans="5:7" hidden="1">
      <c r="E1534"/>
      <c r="G1534" s="25"/>
    </row>
    <row r="1535" spans="5:7" hidden="1">
      <c r="E1535"/>
      <c r="G1535" s="25"/>
    </row>
    <row r="1536" spans="5:7" hidden="1">
      <c r="E1536"/>
      <c r="G1536" s="25"/>
    </row>
    <row r="1537" spans="5:7" hidden="1">
      <c r="E1537"/>
      <c r="G1537" s="25"/>
    </row>
    <row r="1538" spans="5:7" hidden="1">
      <c r="E1538"/>
      <c r="G1538" s="25"/>
    </row>
    <row r="1539" spans="5:7" hidden="1">
      <c r="E1539"/>
      <c r="G1539" s="25"/>
    </row>
    <row r="1540" spans="5:7" hidden="1">
      <c r="E1540"/>
      <c r="G1540" s="25"/>
    </row>
    <row r="1541" spans="5:7" hidden="1">
      <c r="E1541"/>
      <c r="G1541" s="25"/>
    </row>
    <row r="1542" spans="5:7" hidden="1">
      <c r="E1542"/>
      <c r="G1542" s="25"/>
    </row>
    <row r="1543" spans="5:7" hidden="1">
      <c r="E1543"/>
      <c r="G1543" s="25"/>
    </row>
    <row r="1544" spans="5:7" hidden="1">
      <c r="E1544"/>
      <c r="G1544" s="25"/>
    </row>
    <row r="1545" spans="5:7" hidden="1">
      <c r="E1545"/>
      <c r="G1545" s="25"/>
    </row>
    <row r="1546" spans="5:7" hidden="1">
      <c r="E1546"/>
      <c r="G1546" s="25"/>
    </row>
    <row r="1547" spans="5:7" hidden="1">
      <c r="E1547"/>
      <c r="G1547" s="25"/>
    </row>
    <row r="1548" spans="5:7" hidden="1">
      <c r="E1548"/>
      <c r="G1548" s="25"/>
    </row>
    <row r="1549" spans="5:7" hidden="1">
      <c r="E1549"/>
      <c r="G1549" s="25"/>
    </row>
    <row r="1550" spans="5:7" hidden="1">
      <c r="E1550"/>
      <c r="G1550" s="25"/>
    </row>
    <row r="1551" spans="5:7" hidden="1">
      <c r="E1551"/>
      <c r="G1551" s="25"/>
    </row>
    <row r="1552" spans="5:7" hidden="1">
      <c r="E1552"/>
      <c r="G1552" s="25"/>
    </row>
    <row r="1553" spans="5:7" hidden="1">
      <c r="E1553"/>
      <c r="G1553" s="25"/>
    </row>
    <row r="1554" spans="5:7" hidden="1">
      <c r="E1554"/>
      <c r="G1554" s="25"/>
    </row>
    <row r="1555" spans="5:7" hidden="1">
      <c r="E1555"/>
      <c r="G1555" s="25"/>
    </row>
    <row r="1556" spans="5:7" hidden="1">
      <c r="E1556"/>
      <c r="G1556" s="25"/>
    </row>
    <row r="1557" spans="5:7" hidden="1">
      <c r="E1557"/>
      <c r="G1557" s="25"/>
    </row>
    <row r="1558" spans="5:7" hidden="1">
      <c r="E1558"/>
      <c r="G1558" s="25"/>
    </row>
    <row r="1559" spans="5:7" hidden="1">
      <c r="E1559"/>
      <c r="G1559" s="25"/>
    </row>
    <row r="1560" spans="5:7" hidden="1">
      <c r="E1560"/>
      <c r="G1560" s="25"/>
    </row>
    <row r="1561" spans="5:7" hidden="1">
      <c r="E1561"/>
      <c r="G1561" s="25"/>
    </row>
    <row r="1562" spans="5:7" hidden="1">
      <c r="E1562"/>
      <c r="G1562" s="25"/>
    </row>
    <row r="1563" spans="5:7" hidden="1">
      <c r="E1563"/>
      <c r="G1563" s="25"/>
    </row>
    <row r="1564" spans="5:7" hidden="1">
      <c r="E1564"/>
      <c r="G1564" s="25"/>
    </row>
    <row r="1565" spans="5:7" hidden="1">
      <c r="E1565"/>
      <c r="G1565" s="25"/>
    </row>
    <row r="1566" spans="5:7" hidden="1">
      <c r="E1566"/>
      <c r="G1566" s="25"/>
    </row>
    <row r="1567" spans="5:7" hidden="1">
      <c r="E1567"/>
      <c r="G1567" s="25"/>
    </row>
    <row r="1568" spans="5:7" hidden="1">
      <c r="E1568"/>
      <c r="G1568" s="25"/>
    </row>
    <row r="1569" spans="5:7" hidden="1">
      <c r="E1569"/>
      <c r="G1569" s="25"/>
    </row>
    <row r="1570" spans="5:7" hidden="1">
      <c r="E1570"/>
      <c r="G1570" s="25"/>
    </row>
    <row r="1571" spans="5:7" hidden="1">
      <c r="E1571"/>
      <c r="G1571" s="25"/>
    </row>
    <row r="1572" spans="5:7" hidden="1">
      <c r="E1572"/>
      <c r="G1572" s="25"/>
    </row>
    <row r="1573" spans="5:7" hidden="1">
      <c r="E1573"/>
      <c r="G1573" s="25"/>
    </row>
    <row r="1574" spans="5:7" hidden="1">
      <c r="E1574"/>
      <c r="G1574" s="25"/>
    </row>
    <row r="1575" spans="5:7" hidden="1">
      <c r="E1575"/>
      <c r="G1575" s="25"/>
    </row>
    <row r="1576" spans="5:7" hidden="1">
      <c r="E1576"/>
      <c r="G1576" s="25"/>
    </row>
    <row r="1577" spans="5:7" hidden="1">
      <c r="E1577"/>
      <c r="G1577" s="25"/>
    </row>
    <row r="1578" spans="5:7" hidden="1">
      <c r="E1578"/>
      <c r="G1578" s="25"/>
    </row>
    <row r="1579" spans="5:7" hidden="1">
      <c r="E1579"/>
      <c r="G1579" s="25"/>
    </row>
    <row r="1580" spans="5:7" hidden="1">
      <c r="E1580"/>
      <c r="G1580" s="25"/>
    </row>
    <row r="1581" spans="5:7" hidden="1">
      <c r="E1581"/>
      <c r="G1581" s="25"/>
    </row>
    <row r="1582" spans="5:7" hidden="1">
      <c r="E1582"/>
      <c r="G1582" s="25"/>
    </row>
    <row r="1583" spans="5:7" hidden="1">
      <c r="E1583"/>
      <c r="G1583" s="25"/>
    </row>
    <row r="1584" spans="5:7" hidden="1">
      <c r="E1584"/>
      <c r="G1584" s="25"/>
    </row>
    <row r="1585" spans="5:7" hidden="1">
      <c r="E1585"/>
      <c r="G1585" s="25"/>
    </row>
    <row r="1586" spans="5:7" hidden="1">
      <c r="E1586"/>
      <c r="G1586" s="25"/>
    </row>
    <row r="1587" spans="5:7" hidden="1">
      <c r="E1587"/>
      <c r="G1587" s="25"/>
    </row>
    <row r="1588" spans="5:7" hidden="1">
      <c r="E1588"/>
      <c r="G1588" s="25"/>
    </row>
    <row r="1589" spans="5:7" hidden="1">
      <c r="E1589"/>
      <c r="G1589" s="25"/>
    </row>
    <row r="1590" spans="5:7" hidden="1">
      <c r="E1590"/>
      <c r="G1590" s="25"/>
    </row>
    <row r="1591" spans="5:7" hidden="1">
      <c r="E1591"/>
      <c r="G1591" s="25"/>
    </row>
    <row r="1592" spans="5:7" hidden="1">
      <c r="E1592"/>
      <c r="G1592" s="25"/>
    </row>
    <row r="1593" spans="5:7" hidden="1">
      <c r="E1593"/>
      <c r="G1593" s="25"/>
    </row>
    <row r="1594" spans="5:7" hidden="1">
      <c r="E1594"/>
      <c r="G1594" s="25"/>
    </row>
    <row r="1595" spans="5:7" hidden="1">
      <c r="E1595"/>
      <c r="G1595" s="25"/>
    </row>
    <row r="1596" spans="5:7" hidden="1">
      <c r="E1596"/>
      <c r="G1596" s="25"/>
    </row>
    <row r="1597" spans="5:7" hidden="1">
      <c r="E1597"/>
      <c r="G1597" s="25"/>
    </row>
    <row r="1598" spans="5:7" hidden="1">
      <c r="E1598"/>
      <c r="G1598" s="25"/>
    </row>
    <row r="1599" spans="5:7" hidden="1">
      <c r="E1599"/>
      <c r="G1599" s="25"/>
    </row>
    <row r="1600" spans="5:7" hidden="1">
      <c r="E1600"/>
      <c r="G1600" s="25"/>
    </row>
    <row r="1601" spans="5:7" hidden="1">
      <c r="E1601"/>
      <c r="G1601" s="25"/>
    </row>
    <row r="1602" spans="5:7" hidden="1">
      <c r="E1602"/>
      <c r="G1602" s="25"/>
    </row>
    <row r="1603" spans="5:7" hidden="1">
      <c r="E1603"/>
      <c r="G1603" s="25"/>
    </row>
    <row r="1604" spans="5:7" hidden="1">
      <c r="E1604"/>
      <c r="G1604" s="25"/>
    </row>
    <row r="1605" spans="5:7" hidden="1">
      <c r="E1605"/>
      <c r="G1605" s="25"/>
    </row>
    <row r="1606" spans="5:7" hidden="1">
      <c r="E1606"/>
      <c r="G1606" s="25"/>
    </row>
    <row r="1607" spans="5:7" hidden="1">
      <c r="E1607"/>
      <c r="G1607" s="25"/>
    </row>
    <row r="1608" spans="5:7" hidden="1">
      <c r="E1608"/>
      <c r="G1608" s="25"/>
    </row>
    <row r="1609" spans="5:7" hidden="1">
      <c r="E1609"/>
      <c r="G1609" s="25"/>
    </row>
    <row r="1610" spans="5:7" hidden="1">
      <c r="E1610"/>
      <c r="G1610" s="25"/>
    </row>
    <row r="1611" spans="5:7" hidden="1">
      <c r="E1611"/>
      <c r="G1611" s="25"/>
    </row>
    <row r="1612" spans="5:7" hidden="1">
      <c r="E1612"/>
      <c r="G1612" s="25"/>
    </row>
    <row r="1613" spans="5:7" hidden="1">
      <c r="E1613"/>
      <c r="G1613" s="25"/>
    </row>
    <row r="1614" spans="5:7" hidden="1">
      <c r="E1614"/>
      <c r="G1614" s="25"/>
    </row>
    <row r="1615" spans="5:7" hidden="1">
      <c r="E1615"/>
      <c r="G1615" s="25"/>
    </row>
    <row r="1616" spans="5:7" hidden="1">
      <c r="E1616"/>
      <c r="G1616" s="25"/>
    </row>
    <row r="1617" spans="5:7" hidden="1">
      <c r="E1617"/>
      <c r="G1617" s="25"/>
    </row>
    <row r="1618" spans="5:7" hidden="1">
      <c r="E1618"/>
      <c r="G1618" s="25"/>
    </row>
    <row r="1619" spans="5:7" hidden="1">
      <c r="E1619"/>
      <c r="G1619" s="25"/>
    </row>
    <row r="1620" spans="5:7" hidden="1">
      <c r="E1620"/>
      <c r="G1620" s="25"/>
    </row>
    <row r="1621" spans="5:7" hidden="1">
      <c r="E1621"/>
      <c r="G1621" s="25"/>
    </row>
    <row r="1622" spans="5:7" hidden="1">
      <c r="E1622"/>
      <c r="G1622" s="25"/>
    </row>
    <row r="1623" spans="5:7" hidden="1">
      <c r="E1623"/>
      <c r="G1623" s="25"/>
    </row>
    <row r="1624" spans="5:7" hidden="1">
      <c r="E1624"/>
      <c r="G1624" s="25"/>
    </row>
    <row r="1625" spans="5:7" hidden="1">
      <c r="E1625"/>
      <c r="G1625" s="25"/>
    </row>
    <row r="1626" spans="5:7" hidden="1">
      <c r="E1626"/>
      <c r="G1626" s="25"/>
    </row>
    <row r="1627" spans="5:7" hidden="1">
      <c r="E1627"/>
      <c r="G1627" s="25"/>
    </row>
    <row r="1628" spans="5:7" hidden="1">
      <c r="E1628"/>
      <c r="G1628" s="25"/>
    </row>
    <row r="1629" spans="5:7" hidden="1">
      <c r="E1629"/>
      <c r="G1629" s="25"/>
    </row>
    <row r="1630" spans="5:7" hidden="1">
      <c r="E1630"/>
      <c r="G1630" s="25"/>
    </row>
    <row r="1631" spans="5:7" hidden="1">
      <c r="E1631"/>
      <c r="G1631" s="25"/>
    </row>
    <row r="1632" spans="5:7" hidden="1">
      <c r="E1632"/>
      <c r="G1632" s="25"/>
    </row>
    <row r="1633" spans="5:7" hidden="1">
      <c r="E1633"/>
      <c r="G1633" s="25"/>
    </row>
    <row r="1634" spans="5:7" hidden="1">
      <c r="E1634"/>
      <c r="G1634" s="25"/>
    </row>
    <row r="1635" spans="5:7" hidden="1">
      <c r="E1635"/>
      <c r="G1635" s="25"/>
    </row>
    <row r="1636" spans="5:7" hidden="1">
      <c r="E1636"/>
      <c r="G1636" s="25"/>
    </row>
    <row r="1637" spans="5:7" hidden="1">
      <c r="E1637"/>
      <c r="G1637" s="25"/>
    </row>
    <row r="1638" spans="5:7" hidden="1">
      <c r="E1638"/>
      <c r="G1638" s="25"/>
    </row>
    <row r="1639" spans="5:7" hidden="1">
      <c r="E1639"/>
      <c r="G1639" s="25"/>
    </row>
    <row r="1640" spans="5:7" hidden="1">
      <c r="E1640"/>
      <c r="G1640" s="25"/>
    </row>
    <row r="1641" spans="5:7" hidden="1">
      <c r="E1641"/>
      <c r="G1641" s="25"/>
    </row>
    <row r="1642" spans="5:7" hidden="1">
      <c r="E1642"/>
      <c r="G1642" s="25"/>
    </row>
    <row r="1643" spans="5:7" hidden="1">
      <c r="E1643"/>
      <c r="G1643" s="25"/>
    </row>
    <row r="1644" spans="5:7" hidden="1">
      <c r="E1644"/>
      <c r="G1644" s="25"/>
    </row>
    <row r="1645" spans="5:7" hidden="1">
      <c r="E1645"/>
      <c r="G1645" s="25"/>
    </row>
    <row r="1646" spans="5:7" hidden="1">
      <c r="E1646"/>
      <c r="G1646" s="25"/>
    </row>
    <row r="1647" spans="5:7" hidden="1">
      <c r="E1647"/>
      <c r="G1647" s="25"/>
    </row>
    <row r="1648" spans="5:7" hidden="1">
      <c r="E1648"/>
      <c r="G1648" s="25"/>
    </row>
    <row r="1649" spans="5:7" hidden="1">
      <c r="E1649"/>
      <c r="G1649" s="25"/>
    </row>
    <row r="1650" spans="5:7" hidden="1">
      <c r="E1650"/>
      <c r="G1650" s="25"/>
    </row>
    <row r="1651" spans="5:7" hidden="1">
      <c r="E1651"/>
      <c r="G1651" s="25"/>
    </row>
    <row r="1652" spans="5:7" hidden="1">
      <c r="E1652"/>
      <c r="G1652" s="25"/>
    </row>
    <row r="1653" spans="5:7" hidden="1">
      <c r="E1653"/>
      <c r="G1653" s="25"/>
    </row>
    <row r="1654" spans="5:7" hidden="1">
      <c r="E1654"/>
      <c r="G1654" s="25"/>
    </row>
    <row r="1655" spans="5:7" hidden="1">
      <c r="E1655"/>
      <c r="G1655" s="25"/>
    </row>
    <row r="1656" spans="5:7" hidden="1">
      <c r="E1656"/>
      <c r="G1656" s="25"/>
    </row>
    <row r="1657" spans="5:7" hidden="1">
      <c r="E1657"/>
      <c r="G1657" s="25"/>
    </row>
    <row r="1658" spans="5:7" hidden="1">
      <c r="E1658"/>
      <c r="G1658" s="25"/>
    </row>
    <row r="1659" spans="5:7" hidden="1">
      <c r="E1659"/>
      <c r="G1659" s="25"/>
    </row>
    <row r="1660" spans="5:7" hidden="1">
      <c r="E1660"/>
      <c r="G1660" s="25"/>
    </row>
    <row r="1661" spans="5:7" hidden="1">
      <c r="E1661"/>
      <c r="G1661" s="25"/>
    </row>
    <row r="1662" spans="5:7" hidden="1">
      <c r="E1662"/>
      <c r="G1662" s="25"/>
    </row>
    <row r="1663" spans="5:7" hidden="1">
      <c r="E1663"/>
      <c r="G1663" s="25"/>
    </row>
    <row r="1664" spans="5:7" hidden="1">
      <c r="E1664"/>
      <c r="G1664" s="25"/>
    </row>
    <row r="1665" spans="5:7" hidden="1">
      <c r="E1665"/>
      <c r="G1665" s="25"/>
    </row>
    <row r="1666" spans="5:7" hidden="1">
      <c r="E1666"/>
      <c r="G1666" s="25"/>
    </row>
    <row r="1667" spans="5:7" hidden="1">
      <c r="E1667"/>
      <c r="G1667" s="25"/>
    </row>
    <row r="1668" spans="5:7" hidden="1">
      <c r="E1668"/>
      <c r="G1668" s="25"/>
    </row>
    <row r="1669" spans="5:7" hidden="1">
      <c r="E1669"/>
      <c r="G1669" s="25"/>
    </row>
    <row r="1670" spans="5:7" hidden="1">
      <c r="E1670"/>
      <c r="G1670" s="25"/>
    </row>
    <row r="1671" spans="5:7" hidden="1">
      <c r="E1671"/>
      <c r="G1671" s="25"/>
    </row>
    <row r="1672" spans="5:7" hidden="1">
      <c r="E1672"/>
      <c r="G1672" s="25"/>
    </row>
    <row r="1673" spans="5:7" hidden="1">
      <c r="E1673"/>
      <c r="G1673" s="25"/>
    </row>
    <row r="1674" spans="5:7" hidden="1">
      <c r="E1674"/>
      <c r="G1674" s="25"/>
    </row>
    <row r="1675" spans="5:7" hidden="1">
      <c r="E1675"/>
      <c r="G1675" s="25"/>
    </row>
    <row r="1676" spans="5:7" hidden="1">
      <c r="E1676"/>
      <c r="G1676" s="25"/>
    </row>
    <row r="1677" spans="5:7" hidden="1">
      <c r="E1677"/>
      <c r="G1677" s="25"/>
    </row>
    <row r="1678" spans="5:7" hidden="1">
      <c r="E1678"/>
      <c r="G1678" s="25"/>
    </row>
    <row r="1679" spans="5:7" hidden="1">
      <c r="E1679"/>
      <c r="G1679" s="25"/>
    </row>
    <row r="1680" spans="5:7" hidden="1">
      <c r="E1680"/>
      <c r="G1680" s="25"/>
    </row>
    <row r="1681" spans="5:7" hidden="1">
      <c r="E1681"/>
      <c r="G1681" s="25"/>
    </row>
    <row r="1682" spans="5:7" hidden="1">
      <c r="E1682"/>
      <c r="G1682" s="25"/>
    </row>
    <row r="1683" spans="5:7" hidden="1">
      <c r="E1683"/>
      <c r="G1683" s="25"/>
    </row>
    <row r="1684" spans="5:7" hidden="1">
      <c r="E1684"/>
      <c r="G1684" s="25"/>
    </row>
    <row r="1685" spans="5:7" hidden="1">
      <c r="E1685"/>
      <c r="G1685" s="25"/>
    </row>
    <row r="1686" spans="5:7" hidden="1">
      <c r="E1686"/>
      <c r="G1686" s="25"/>
    </row>
    <row r="1687" spans="5:7" hidden="1">
      <c r="E1687"/>
      <c r="G1687" s="25"/>
    </row>
    <row r="1688" spans="5:7" hidden="1">
      <c r="E1688"/>
      <c r="G1688" s="25"/>
    </row>
    <row r="1689" spans="5:7" hidden="1">
      <c r="E1689"/>
      <c r="G1689" s="25"/>
    </row>
    <row r="1690" spans="5:7" hidden="1">
      <c r="E1690"/>
      <c r="G1690" s="25"/>
    </row>
    <row r="1691" spans="5:7" hidden="1">
      <c r="E1691"/>
      <c r="G1691" s="25"/>
    </row>
    <row r="1692" spans="5:7" hidden="1">
      <c r="E1692"/>
      <c r="G1692" s="25"/>
    </row>
    <row r="1693" spans="5:7" hidden="1">
      <c r="E1693"/>
      <c r="G1693" s="25"/>
    </row>
    <row r="1694" spans="5:7" hidden="1">
      <c r="E1694"/>
      <c r="G1694" s="25"/>
    </row>
    <row r="1695" spans="5:7" hidden="1">
      <c r="E1695"/>
      <c r="G1695" s="25"/>
    </row>
    <row r="1696" spans="5:7" hidden="1">
      <c r="E1696"/>
      <c r="G1696" s="25"/>
    </row>
    <row r="1697" spans="5:7" hidden="1">
      <c r="E1697"/>
      <c r="G1697" s="25"/>
    </row>
    <row r="1698" spans="5:7" hidden="1">
      <c r="E1698"/>
      <c r="G1698" s="25"/>
    </row>
    <row r="1699" spans="5:7" hidden="1">
      <c r="E1699"/>
      <c r="G1699" s="25"/>
    </row>
    <row r="1700" spans="5:7" hidden="1">
      <c r="E1700"/>
      <c r="G1700" s="25"/>
    </row>
    <row r="1701" spans="5:7" hidden="1">
      <c r="E1701"/>
      <c r="G1701" s="25"/>
    </row>
    <row r="1702" spans="5:7" hidden="1">
      <c r="E1702"/>
      <c r="G1702" s="25"/>
    </row>
    <row r="1703" spans="5:7" hidden="1">
      <c r="E1703"/>
      <c r="G1703" s="25"/>
    </row>
    <row r="1704" spans="5:7" hidden="1">
      <c r="E1704"/>
      <c r="G1704" s="25"/>
    </row>
    <row r="1705" spans="5:7" hidden="1">
      <c r="E1705"/>
      <c r="G1705" s="25"/>
    </row>
    <row r="1706" spans="5:7" hidden="1">
      <c r="E1706"/>
      <c r="G1706" s="25"/>
    </row>
    <row r="1707" spans="5:7" hidden="1">
      <c r="E1707"/>
      <c r="G1707" s="25"/>
    </row>
    <row r="1708" spans="5:7" hidden="1">
      <c r="E1708"/>
      <c r="G1708" s="25"/>
    </row>
    <row r="1709" spans="5:7" hidden="1">
      <c r="E1709"/>
      <c r="G1709" s="25"/>
    </row>
    <row r="1710" spans="5:7" hidden="1">
      <c r="E1710"/>
      <c r="G1710" s="25"/>
    </row>
    <row r="1711" spans="5:7" hidden="1">
      <c r="E1711"/>
      <c r="G1711" s="25"/>
    </row>
    <row r="1712" spans="5:7" hidden="1">
      <c r="E1712"/>
      <c r="G1712" s="25"/>
    </row>
    <row r="1713" spans="5:7" hidden="1">
      <c r="E1713"/>
      <c r="G1713" s="25"/>
    </row>
    <row r="1714" spans="5:7" hidden="1">
      <c r="E1714"/>
      <c r="G1714" s="25"/>
    </row>
    <row r="1715" spans="5:7" hidden="1">
      <c r="E1715"/>
      <c r="G1715" s="25"/>
    </row>
    <row r="1716" spans="5:7" hidden="1">
      <c r="E1716"/>
      <c r="G1716" s="25"/>
    </row>
    <row r="1717" spans="5:7" hidden="1">
      <c r="E1717"/>
      <c r="G1717" s="25"/>
    </row>
    <row r="1718" spans="5:7" hidden="1">
      <c r="E1718"/>
      <c r="G1718" s="25"/>
    </row>
    <row r="1719" spans="5:7" hidden="1">
      <c r="E1719"/>
      <c r="G1719" s="25"/>
    </row>
    <row r="1720" spans="5:7" hidden="1">
      <c r="E1720"/>
      <c r="G1720" s="25"/>
    </row>
    <row r="1721" spans="5:7" hidden="1">
      <c r="E1721"/>
      <c r="G1721" s="25"/>
    </row>
    <row r="1722" spans="5:7" hidden="1">
      <c r="E1722"/>
      <c r="G1722" s="25"/>
    </row>
    <row r="1723" spans="5:7" hidden="1">
      <c r="E1723"/>
      <c r="G1723" s="25"/>
    </row>
    <row r="1724" spans="5:7" hidden="1">
      <c r="E1724"/>
      <c r="G1724" s="25"/>
    </row>
    <row r="1725" spans="5:7" hidden="1">
      <c r="E1725"/>
      <c r="G1725" s="25"/>
    </row>
    <row r="1726" spans="5:7" hidden="1">
      <c r="E1726"/>
      <c r="G1726" s="25"/>
    </row>
    <row r="1727" spans="5:7" hidden="1">
      <c r="E1727"/>
      <c r="G1727" s="25"/>
    </row>
    <row r="1728" spans="5:7" hidden="1">
      <c r="E1728"/>
      <c r="G1728" s="25"/>
    </row>
    <row r="1729" spans="5:7" hidden="1">
      <c r="E1729"/>
      <c r="G1729" s="25"/>
    </row>
    <row r="1730" spans="5:7" hidden="1">
      <c r="E1730"/>
      <c r="G1730" s="25"/>
    </row>
    <row r="1731" spans="5:7" hidden="1">
      <c r="E1731"/>
      <c r="G1731" s="25"/>
    </row>
    <row r="1732" spans="5:7" hidden="1">
      <c r="E1732"/>
      <c r="G1732" s="25"/>
    </row>
    <row r="1733" spans="5:7" hidden="1">
      <c r="E1733"/>
      <c r="G1733" s="25"/>
    </row>
    <row r="1734" spans="5:7" hidden="1">
      <c r="E1734"/>
      <c r="G1734" s="25"/>
    </row>
    <row r="1735" spans="5:7" hidden="1">
      <c r="E1735"/>
      <c r="G1735" s="25"/>
    </row>
    <row r="1736" spans="5:7" hidden="1">
      <c r="E1736"/>
      <c r="G1736" s="25"/>
    </row>
    <row r="1737" spans="5:7" hidden="1">
      <c r="E1737"/>
      <c r="G1737" s="25"/>
    </row>
    <row r="1738" spans="5:7" hidden="1">
      <c r="E1738"/>
      <c r="G1738" s="25"/>
    </row>
    <row r="1739" spans="5:7" hidden="1">
      <c r="E1739"/>
      <c r="G1739" s="25"/>
    </row>
    <row r="1740" spans="5:7" hidden="1">
      <c r="E1740"/>
      <c r="G1740" s="25"/>
    </row>
    <row r="1741" spans="5:7" hidden="1">
      <c r="E1741"/>
      <c r="G1741" s="25"/>
    </row>
    <row r="1742" spans="5:7" hidden="1">
      <c r="E1742"/>
      <c r="G1742" s="25"/>
    </row>
    <row r="1743" spans="5:7" hidden="1">
      <c r="E1743"/>
      <c r="G1743" s="25"/>
    </row>
    <row r="1744" spans="5:7" hidden="1">
      <c r="E1744"/>
      <c r="G1744" s="25"/>
    </row>
    <row r="1745" spans="5:7" hidden="1">
      <c r="E1745"/>
      <c r="G1745" s="25"/>
    </row>
    <row r="1746" spans="5:7" hidden="1">
      <c r="E1746"/>
      <c r="G1746" s="25"/>
    </row>
    <row r="1747" spans="5:7" hidden="1">
      <c r="E1747"/>
      <c r="G1747" s="25"/>
    </row>
    <row r="1748" spans="5:7" hidden="1">
      <c r="E1748"/>
      <c r="G1748" s="25"/>
    </row>
    <row r="1749" spans="5:7" hidden="1">
      <c r="E1749"/>
      <c r="G1749" s="25"/>
    </row>
    <row r="1750" spans="5:7" hidden="1">
      <c r="E1750"/>
      <c r="G1750" s="25"/>
    </row>
    <row r="1751" spans="5:7" hidden="1">
      <c r="E1751"/>
      <c r="G1751" s="25"/>
    </row>
    <row r="1752" spans="5:7" hidden="1">
      <c r="E1752"/>
      <c r="G1752" s="25"/>
    </row>
    <row r="1753" spans="5:7" hidden="1">
      <c r="E1753"/>
      <c r="G1753" s="25"/>
    </row>
    <row r="1754" spans="5:7" hidden="1">
      <c r="E1754"/>
      <c r="G1754" s="25"/>
    </row>
    <row r="1755" spans="5:7" hidden="1">
      <c r="E1755"/>
      <c r="G1755" s="25"/>
    </row>
    <row r="1756" spans="5:7" hidden="1">
      <c r="E1756"/>
      <c r="G1756" s="25"/>
    </row>
    <row r="1757" spans="5:7" hidden="1">
      <c r="E1757"/>
      <c r="G1757" s="25"/>
    </row>
    <row r="1758" spans="5:7" hidden="1">
      <c r="E1758"/>
      <c r="G1758" s="25"/>
    </row>
    <row r="1759" spans="5:7" hidden="1">
      <c r="E1759"/>
      <c r="G1759" s="25"/>
    </row>
    <row r="1760" spans="5:7" hidden="1">
      <c r="E1760"/>
      <c r="G1760" s="25"/>
    </row>
    <row r="1761" spans="5:7" hidden="1">
      <c r="E1761"/>
      <c r="G1761" s="25"/>
    </row>
    <row r="1762" spans="5:7" hidden="1">
      <c r="E1762"/>
      <c r="G1762" s="25"/>
    </row>
    <row r="1763" spans="5:7" hidden="1">
      <c r="E1763"/>
      <c r="G1763" s="25"/>
    </row>
    <row r="1764" spans="5:7" hidden="1">
      <c r="E1764"/>
      <c r="G1764" s="25"/>
    </row>
    <row r="1765" spans="5:7" hidden="1">
      <c r="E1765"/>
      <c r="G1765" s="25"/>
    </row>
    <row r="1766" spans="5:7" hidden="1">
      <c r="E1766"/>
      <c r="G1766" s="25"/>
    </row>
    <row r="1767" spans="5:7" hidden="1">
      <c r="E1767"/>
      <c r="G1767" s="25"/>
    </row>
    <row r="1768" spans="5:7" hidden="1">
      <c r="E1768"/>
      <c r="G1768" s="25"/>
    </row>
    <row r="1769" spans="5:7" hidden="1">
      <c r="E1769"/>
      <c r="G1769" s="25"/>
    </row>
    <row r="1770" spans="5:7" hidden="1">
      <c r="E1770"/>
      <c r="G1770" s="25"/>
    </row>
    <row r="1771" spans="5:7" hidden="1">
      <c r="E1771"/>
      <c r="G1771" s="25"/>
    </row>
    <row r="1772" spans="5:7" hidden="1">
      <c r="E1772"/>
      <c r="G1772" s="25"/>
    </row>
    <row r="1773" spans="5:7" hidden="1">
      <c r="E1773"/>
      <c r="G1773" s="25"/>
    </row>
    <row r="1774" spans="5:7" hidden="1">
      <c r="E1774"/>
      <c r="G1774" s="25"/>
    </row>
    <row r="1775" spans="5:7" hidden="1">
      <c r="E1775"/>
      <c r="G1775" s="25"/>
    </row>
    <row r="1776" spans="5:7" hidden="1">
      <c r="E1776"/>
      <c r="G1776" s="25"/>
    </row>
    <row r="1777" spans="5:7" hidden="1">
      <c r="E1777"/>
      <c r="G1777" s="25"/>
    </row>
    <row r="1778" spans="5:7" hidden="1">
      <c r="E1778"/>
      <c r="G1778" s="25"/>
    </row>
    <row r="1779" spans="5:7" hidden="1">
      <c r="E1779"/>
      <c r="G1779" s="25"/>
    </row>
    <row r="1780" spans="5:7" hidden="1">
      <c r="E1780"/>
      <c r="G1780" s="25"/>
    </row>
    <row r="1781" spans="5:7" hidden="1">
      <c r="E1781"/>
      <c r="G1781" s="25"/>
    </row>
    <row r="1782" spans="5:7" hidden="1">
      <c r="E1782"/>
      <c r="G1782" s="25"/>
    </row>
    <row r="1783" spans="5:7" hidden="1">
      <c r="E1783"/>
      <c r="G1783" s="25"/>
    </row>
    <row r="1784" spans="5:7" hidden="1">
      <c r="E1784"/>
      <c r="G1784" s="25"/>
    </row>
    <row r="1785" spans="5:7" hidden="1">
      <c r="E1785"/>
      <c r="G1785" s="25"/>
    </row>
    <row r="1786" spans="5:7" hidden="1">
      <c r="E1786"/>
      <c r="G1786" s="25"/>
    </row>
    <row r="1787" spans="5:7" hidden="1">
      <c r="E1787"/>
      <c r="G1787" s="25"/>
    </row>
    <row r="1788" spans="5:7" hidden="1">
      <c r="E1788"/>
      <c r="G1788" s="25"/>
    </row>
    <row r="1789" spans="5:7" hidden="1">
      <c r="E1789"/>
      <c r="G1789" s="25"/>
    </row>
    <row r="1790" spans="5:7" hidden="1">
      <c r="E1790"/>
      <c r="G1790" s="25"/>
    </row>
    <row r="1791" spans="5:7" hidden="1">
      <c r="E1791"/>
      <c r="G1791" s="25"/>
    </row>
    <row r="1792" spans="5:7" hidden="1">
      <c r="E1792"/>
      <c r="G1792" s="25"/>
    </row>
    <row r="1793" spans="5:7" hidden="1">
      <c r="E1793"/>
      <c r="G1793" s="25"/>
    </row>
    <row r="1794" spans="5:7" hidden="1">
      <c r="E1794"/>
      <c r="G1794" s="25"/>
    </row>
    <row r="1795" spans="5:7" hidden="1">
      <c r="E1795"/>
      <c r="G1795" s="25"/>
    </row>
    <row r="1796" spans="5:7" hidden="1">
      <c r="E1796"/>
      <c r="G1796" s="25"/>
    </row>
    <row r="1797" spans="5:7" hidden="1">
      <c r="E1797"/>
      <c r="G1797" s="25"/>
    </row>
    <row r="1798" spans="5:7" hidden="1">
      <c r="E1798"/>
      <c r="G1798" s="25"/>
    </row>
    <row r="1799" spans="5:7" hidden="1">
      <c r="E1799"/>
      <c r="G1799" s="25"/>
    </row>
    <row r="1800" spans="5:7" hidden="1">
      <c r="E1800"/>
      <c r="G1800" s="25"/>
    </row>
    <row r="1801" spans="5:7" hidden="1">
      <c r="E1801"/>
      <c r="G1801" s="25"/>
    </row>
    <row r="1802" spans="5:7" hidden="1">
      <c r="E1802"/>
      <c r="G1802" s="25"/>
    </row>
    <row r="1803" spans="5:7" hidden="1">
      <c r="E1803"/>
      <c r="G1803" s="25"/>
    </row>
    <row r="1804" spans="5:7" hidden="1">
      <c r="E1804"/>
      <c r="G1804" s="25"/>
    </row>
    <row r="1805" spans="5:7" hidden="1">
      <c r="E1805"/>
      <c r="G1805" s="25"/>
    </row>
    <row r="1806" spans="5:7" hidden="1">
      <c r="E1806"/>
      <c r="G1806" s="25"/>
    </row>
    <row r="1807" spans="5:7" hidden="1">
      <c r="E1807"/>
      <c r="G1807" s="25"/>
    </row>
    <row r="1808" spans="5:7" hidden="1">
      <c r="E1808"/>
      <c r="G1808" s="25"/>
    </row>
    <row r="1809" spans="5:7" hidden="1">
      <c r="E1809"/>
      <c r="G1809" s="25"/>
    </row>
    <row r="1810" spans="5:7" hidden="1">
      <c r="E1810"/>
      <c r="G1810" s="25"/>
    </row>
    <row r="1811" spans="5:7" hidden="1">
      <c r="E1811"/>
      <c r="G1811" s="25"/>
    </row>
    <row r="1812" spans="5:7" hidden="1">
      <c r="E1812"/>
      <c r="G1812" s="25"/>
    </row>
    <row r="1813" spans="5:7" hidden="1">
      <c r="E1813"/>
      <c r="G1813" s="25"/>
    </row>
    <row r="1814" spans="5:7" hidden="1">
      <c r="E1814"/>
      <c r="G1814" s="25"/>
    </row>
    <row r="1815" spans="5:7" hidden="1">
      <c r="E1815"/>
      <c r="G1815" s="25"/>
    </row>
    <row r="1816" spans="5:7" hidden="1">
      <c r="E1816"/>
      <c r="G1816" s="25"/>
    </row>
    <row r="1817" spans="5:7" hidden="1">
      <c r="E1817"/>
      <c r="G1817" s="25"/>
    </row>
    <row r="1818" spans="5:7" hidden="1">
      <c r="E1818"/>
      <c r="G1818" s="25"/>
    </row>
    <row r="1819" spans="5:7" hidden="1">
      <c r="E1819"/>
      <c r="G1819" s="25"/>
    </row>
    <row r="1820" spans="5:7" hidden="1">
      <c r="E1820"/>
      <c r="G1820" s="25"/>
    </row>
    <row r="1821" spans="5:7" hidden="1">
      <c r="E1821"/>
      <c r="G1821" s="25"/>
    </row>
    <row r="1822" spans="5:7" hidden="1">
      <c r="E1822"/>
      <c r="G1822" s="25"/>
    </row>
    <row r="1823" spans="5:7" hidden="1">
      <c r="E1823"/>
      <c r="G1823" s="25"/>
    </row>
    <row r="1824" spans="5:7" hidden="1">
      <c r="E1824"/>
      <c r="G1824" s="25"/>
    </row>
    <row r="1825" spans="5:7" hidden="1">
      <c r="E1825"/>
      <c r="G1825" s="25"/>
    </row>
    <row r="1826" spans="5:7" hidden="1">
      <c r="E1826"/>
      <c r="G1826" s="25"/>
    </row>
    <row r="1827" spans="5:7" hidden="1">
      <c r="E1827"/>
      <c r="G1827" s="25"/>
    </row>
    <row r="1828" spans="5:7" hidden="1">
      <c r="E1828"/>
      <c r="G1828" s="25"/>
    </row>
    <row r="1829" spans="5:7" hidden="1">
      <c r="E1829"/>
      <c r="G1829" s="25"/>
    </row>
    <row r="1830" spans="5:7" hidden="1">
      <c r="E1830"/>
      <c r="G1830" s="25"/>
    </row>
    <row r="1831" spans="5:7" hidden="1">
      <c r="E1831"/>
      <c r="G1831" s="25"/>
    </row>
    <row r="1832" spans="5:7" hidden="1">
      <c r="E1832"/>
      <c r="G1832" s="25"/>
    </row>
    <row r="1833" spans="5:7" hidden="1">
      <c r="E1833"/>
      <c r="G1833" s="25"/>
    </row>
    <row r="1834" spans="5:7" hidden="1">
      <c r="E1834"/>
      <c r="G1834" s="25"/>
    </row>
    <row r="1835" spans="5:7" hidden="1">
      <c r="E1835"/>
      <c r="G1835" s="25"/>
    </row>
    <row r="1836" spans="5:7" hidden="1">
      <c r="E1836"/>
      <c r="G1836" s="25"/>
    </row>
    <row r="1837" spans="5:7" hidden="1">
      <c r="E1837"/>
      <c r="G1837" s="25"/>
    </row>
    <row r="1838" spans="5:7" hidden="1">
      <c r="E1838"/>
      <c r="G1838" s="25"/>
    </row>
    <row r="1839" spans="5:7" hidden="1">
      <c r="E1839"/>
      <c r="G1839" s="25"/>
    </row>
    <row r="1840" spans="5:7" hidden="1">
      <c r="E1840"/>
      <c r="G1840" s="25"/>
    </row>
    <row r="1841" spans="5:7" hidden="1">
      <c r="E1841"/>
      <c r="G1841" s="25"/>
    </row>
    <row r="1842" spans="5:7" hidden="1">
      <c r="E1842"/>
      <c r="G1842" s="25"/>
    </row>
    <row r="1843" spans="5:7" hidden="1">
      <c r="E1843"/>
      <c r="G1843" s="25"/>
    </row>
    <row r="1844" spans="5:7" hidden="1">
      <c r="E1844"/>
      <c r="G1844" s="25"/>
    </row>
    <row r="1845" spans="5:7" hidden="1">
      <c r="E1845"/>
      <c r="G1845" s="25"/>
    </row>
    <row r="1846" spans="5:7" hidden="1">
      <c r="E1846"/>
      <c r="G1846" s="25"/>
    </row>
    <row r="1847" spans="5:7" hidden="1">
      <c r="E1847"/>
      <c r="G1847" s="25"/>
    </row>
    <row r="1848" spans="5:7" hidden="1">
      <c r="E1848"/>
      <c r="G1848" s="25"/>
    </row>
    <row r="1849" spans="5:7" hidden="1">
      <c r="E1849"/>
      <c r="G1849" s="25"/>
    </row>
    <row r="1850" spans="5:7" hidden="1">
      <c r="E1850"/>
      <c r="G1850" s="25"/>
    </row>
    <row r="1851" spans="5:7" hidden="1">
      <c r="E1851"/>
      <c r="G1851" s="25"/>
    </row>
    <row r="1852" spans="5:7" hidden="1">
      <c r="E1852"/>
      <c r="G1852" s="25"/>
    </row>
    <row r="1853" spans="5:7" hidden="1">
      <c r="E1853"/>
      <c r="G1853" s="25"/>
    </row>
    <row r="1854" spans="5:7" hidden="1">
      <c r="E1854"/>
      <c r="G1854" s="25"/>
    </row>
    <row r="1855" spans="5:7" hidden="1">
      <c r="E1855"/>
      <c r="G1855" s="25"/>
    </row>
    <row r="1856" spans="5:7" hidden="1">
      <c r="E1856"/>
      <c r="G1856" s="25"/>
    </row>
    <row r="1857" spans="5:7" hidden="1">
      <c r="E1857"/>
      <c r="G1857" s="25"/>
    </row>
    <row r="1858" spans="5:7" hidden="1">
      <c r="E1858"/>
      <c r="G1858" s="25"/>
    </row>
    <row r="1859" spans="5:7" hidden="1">
      <c r="E1859"/>
      <c r="G1859" s="25"/>
    </row>
    <row r="1860" spans="5:7" hidden="1">
      <c r="E1860"/>
      <c r="G1860" s="25"/>
    </row>
    <row r="1861" spans="5:7" hidden="1">
      <c r="E1861"/>
      <c r="G1861" s="25"/>
    </row>
    <row r="1862" spans="5:7" hidden="1">
      <c r="E1862"/>
      <c r="G1862" s="25"/>
    </row>
    <row r="1863" spans="5:7" hidden="1">
      <c r="E1863"/>
      <c r="G1863" s="25"/>
    </row>
    <row r="1864" spans="5:7" hidden="1">
      <c r="E1864"/>
      <c r="G1864" s="25"/>
    </row>
    <row r="1865" spans="5:7" hidden="1">
      <c r="E1865"/>
      <c r="G1865" s="25"/>
    </row>
    <row r="1866" spans="5:7" hidden="1">
      <c r="E1866"/>
      <c r="G1866" s="25"/>
    </row>
    <row r="1867" spans="5:7" hidden="1">
      <c r="E1867"/>
      <c r="G1867" s="25"/>
    </row>
    <row r="1868" spans="5:7" hidden="1">
      <c r="E1868"/>
      <c r="G1868" s="25"/>
    </row>
    <row r="1869" spans="5:7" hidden="1">
      <c r="E1869"/>
      <c r="G1869" s="25"/>
    </row>
    <row r="1870" spans="5:7" hidden="1">
      <c r="E1870"/>
      <c r="G1870" s="25"/>
    </row>
    <row r="1871" spans="5:7" hidden="1">
      <c r="E1871"/>
      <c r="G1871" s="25"/>
    </row>
    <row r="1872" spans="5:7" hidden="1">
      <c r="E1872"/>
      <c r="G1872" s="25"/>
    </row>
    <row r="1873" spans="5:7" hidden="1">
      <c r="E1873"/>
      <c r="G1873" s="25"/>
    </row>
    <row r="1874" spans="5:7" hidden="1">
      <c r="E1874"/>
      <c r="G1874" s="25"/>
    </row>
    <row r="1875" spans="5:7" hidden="1">
      <c r="E1875"/>
      <c r="G1875" s="25"/>
    </row>
    <row r="1876" spans="5:7" hidden="1">
      <c r="E1876"/>
      <c r="G1876" s="25"/>
    </row>
    <row r="1877" spans="5:7" hidden="1">
      <c r="E1877"/>
      <c r="G1877" s="25"/>
    </row>
    <row r="1878" spans="5:7" hidden="1">
      <c r="E1878"/>
      <c r="G1878" s="25"/>
    </row>
    <row r="1879" spans="5:7" hidden="1">
      <c r="E1879"/>
      <c r="G1879" s="25"/>
    </row>
    <row r="1880" spans="5:7" hidden="1">
      <c r="E1880"/>
      <c r="G1880" s="25"/>
    </row>
    <row r="1881" spans="5:7" hidden="1">
      <c r="E1881"/>
      <c r="G1881" s="25"/>
    </row>
    <row r="1882" spans="5:7" hidden="1">
      <c r="E1882"/>
      <c r="G1882" s="25"/>
    </row>
    <row r="1883" spans="5:7" hidden="1">
      <c r="E1883"/>
      <c r="G1883" s="25"/>
    </row>
    <row r="1884" spans="5:7" hidden="1">
      <c r="E1884"/>
      <c r="G1884" s="25"/>
    </row>
    <row r="1885" spans="5:7" hidden="1">
      <c r="E1885"/>
      <c r="G1885" s="25"/>
    </row>
    <row r="1886" spans="5:7" hidden="1">
      <c r="E1886"/>
      <c r="G1886" s="25"/>
    </row>
    <row r="1887" spans="5:7" hidden="1">
      <c r="E1887"/>
      <c r="G1887" s="25"/>
    </row>
    <row r="1888" spans="5:7" hidden="1">
      <c r="E1888"/>
      <c r="G1888" s="25"/>
    </row>
    <row r="1889" spans="5:7" hidden="1">
      <c r="E1889"/>
      <c r="G1889" s="25"/>
    </row>
    <row r="1890" spans="5:7" hidden="1">
      <c r="E1890"/>
      <c r="G1890" s="25"/>
    </row>
    <row r="1891" spans="5:7" hidden="1">
      <c r="E1891"/>
      <c r="G1891" s="25"/>
    </row>
    <row r="1892" spans="5:7" hidden="1">
      <c r="E1892"/>
      <c r="G1892" s="25"/>
    </row>
    <row r="1893" spans="5:7" hidden="1">
      <c r="E1893"/>
      <c r="G1893" s="25"/>
    </row>
    <row r="1894" spans="5:7" hidden="1">
      <c r="E1894"/>
      <c r="G1894" s="25"/>
    </row>
    <row r="1895" spans="5:7" hidden="1">
      <c r="E1895"/>
      <c r="G1895" s="25"/>
    </row>
    <row r="1896" spans="5:7" hidden="1">
      <c r="E1896"/>
      <c r="G1896" s="25"/>
    </row>
    <row r="1897" spans="5:7" hidden="1">
      <c r="E1897"/>
      <c r="G1897" s="25"/>
    </row>
    <row r="1898" spans="5:7" hidden="1">
      <c r="E1898"/>
      <c r="G1898" s="25"/>
    </row>
    <row r="1899" spans="5:7" hidden="1">
      <c r="E1899"/>
      <c r="G1899" s="25"/>
    </row>
    <row r="1900" spans="5:7" hidden="1">
      <c r="E1900"/>
      <c r="G1900" s="25"/>
    </row>
    <row r="1901" spans="5:7" hidden="1">
      <c r="E1901"/>
      <c r="G1901" s="25"/>
    </row>
    <row r="1902" spans="5:7" hidden="1">
      <c r="E1902"/>
      <c r="G1902" s="25"/>
    </row>
    <row r="1903" spans="5:7" hidden="1">
      <c r="E1903"/>
      <c r="G1903" s="25"/>
    </row>
    <row r="1904" spans="5:7" hidden="1">
      <c r="E1904"/>
      <c r="G1904" s="25"/>
    </row>
    <row r="1905" spans="5:7" hidden="1">
      <c r="E1905"/>
      <c r="G1905" s="25"/>
    </row>
    <row r="1906" spans="5:7" hidden="1">
      <c r="E1906"/>
      <c r="G1906" s="25"/>
    </row>
    <row r="1907" spans="5:7" hidden="1">
      <c r="E1907"/>
      <c r="G1907" s="25"/>
    </row>
    <row r="1908" spans="5:7" hidden="1">
      <c r="E1908"/>
      <c r="G1908" s="25"/>
    </row>
    <row r="1909" spans="5:7" hidden="1">
      <c r="E1909"/>
      <c r="G1909" s="25"/>
    </row>
    <row r="1910" spans="5:7" hidden="1">
      <c r="E1910"/>
      <c r="G1910" s="25"/>
    </row>
    <row r="1911" spans="5:7" hidden="1">
      <c r="E1911"/>
      <c r="G1911" s="25"/>
    </row>
    <row r="1912" spans="5:7" hidden="1">
      <c r="E1912"/>
      <c r="G1912" s="25"/>
    </row>
    <row r="1913" spans="5:7" hidden="1">
      <c r="E1913"/>
      <c r="G1913" s="25"/>
    </row>
    <row r="1914" spans="5:7" hidden="1">
      <c r="E1914"/>
      <c r="G1914" s="25"/>
    </row>
    <row r="1915" spans="5:7" hidden="1">
      <c r="E1915"/>
      <c r="G1915" s="25"/>
    </row>
    <row r="1916" spans="5:7" hidden="1">
      <c r="E1916"/>
      <c r="G1916" s="25"/>
    </row>
    <row r="1917" spans="5:7" hidden="1">
      <c r="E1917"/>
      <c r="G1917" s="25"/>
    </row>
    <row r="1918" spans="5:7" hidden="1">
      <c r="E1918"/>
      <c r="G1918" s="25"/>
    </row>
    <row r="1919" spans="5:7" hidden="1">
      <c r="E1919"/>
      <c r="G1919" s="25"/>
    </row>
    <row r="1920" spans="5:7" hidden="1">
      <c r="E1920"/>
      <c r="G1920" s="25"/>
    </row>
    <row r="1921" spans="5:7" hidden="1">
      <c r="E1921"/>
      <c r="G1921" s="25"/>
    </row>
    <row r="1922" spans="5:7" hidden="1">
      <c r="E1922"/>
      <c r="G1922" s="25"/>
    </row>
    <row r="1923" spans="5:7" hidden="1">
      <c r="E1923"/>
      <c r="G1923" s="25"/>
    </row>
    <row r="1924" spans="5:7" hidden="1">
      <c r="E1924"/>
      <c r="G1924" s="25"/>
    </row>
    <row r="1925" spans="5:7" hidden="1">
      <c r="E1925"/>
      <c r="G1925" s="25"/>
    </row>
    <row r="1926" spans="5:7" hidden="1">
      <c r="E1926"/>
      <c r="G1926" s="25"/>
    </row>
    <row r="1927" spans="5:7" hidden="1">
      <c r="E1927"/>
      <c r="G1927" s="25"/>
    </row>
    <row r="1928" spans="5:7" hidden="1">
      <c r="E1928"/>
      <c r="G1928" s="25"/>
    </row>
    <row r="1929" spans="5:7" hidden="1">
      <c r="E1929"/>
      <c r="G1929" s="25"/>
    </row>
    <row r="1930" spans="5:7" hidden="1">
      <c r="E1930"/>
      <c r="G1930" s="25"/>
    </row>
    <row r="1931" spans="5:7" hidden="1">
      <c r="E1931"/>
      <c r="G1931" s="25"/>
    </row>
    <row r="1932" spans="5:7" hidden="1">
      <c r="E1932"/>
      <c r="G1932" s="25"/>
    </row>
    <row r="1933" spans="5:7" hidden="1">
      <c r="E1933"/>
      <c r="G1933" s="25"/>
    </row>
    <row r="1934" spans="5:7" hidden="1">
      <c r="E1934"/>
      <c r="G1934" s="25"/>
    </row>
    <row r="1935" spans="5:7" hidden="1">
      <c r="E1935"/>
      <c r="G1935" s="25"/>
    </row>
    <row r="1936" spans="5:7" hidden="1">
      <c r="E1936"/>
      <c r="G1936" s="25"/>
    </row>
    <row r="1937" spans="5:7" hidden="1">
      <c r="E1937"/>
      <c r="G1937" s="25"/>
    </row>
    <row r="1938" spans="5:7" hidden="1">
      <c r="E1938"/>
      <c r="G1938" s="25"/>
    </row>
    <row r="1939" spans="5:7" hidden="1">
      <c r="E1939"/>
      <c r="G1939" s="25"/>
    </row>
    <row r="1940" spans="5:7" hidden="1">
      <c r="E1940"/>
      <c r="G1940" s="25"/>
    </row>
    <row r="1941" spans="5:7" hidden="1">
      <c r="E1941"/>
      <c r="G1941" s="25"/>
    </row>
    <row r="1942" spans="5:7" hidden="1">
      <c r="E1942"/>
      <c r="G1942" s="25"/>
    </row>
    <row r="1943" spans="5:7" hidden="1">
      <c r="E1943"/>
      <c r="G1943" s="25"/>
    </row>
    <row r="1944" spans="5:7" hidden="1">
      <c r="E1944"/>
      <c r="G1944" s="25"/>
    </row>
    <row r="1945" spans="5:7" hidden="1">
      <c r="E1945"/>
      <c r="G1945" s="25"/>
    </row>
    <row r="1946" spans="5:7" hidden="1">
      <c r="E1946"/>
      <c r="G1946" s="25"/>
    </row>
    <row r="1947" spans="5:7" hidden="1">
      <c r="E1947"/>
      <c r="G1947" s="25"/>
    </row>
    <row r="1948" spans="5:7" hidden="1">
      <c r="E1948"/>
      <c r="G1948" s="25"/>
    </row>
    <row r="1949" spans="5:7" hidden="1">
      <c r="E1949"/>
      <c r="G1949" s="25"/>
    </row>
    <row r="1950" spans="5:7" hidden="1">
      <c r="E1950"/>
      <c r="G1950" s="25"/>
    </row>
    <row r="1951" spans="5:7" hidden="1">
      <c r="E1951"/>
      <c r="G1951" s="25"/>
    </row>
    <row r="1952" spans="5:7" hidden="1">
      <c r="E1952"/>
      <c r="G1952" s="25"/>
    </row>
    <row r="1953" spans="5:7" hidden="1">
      <c r="E1953"/>
      <c r="G1953" s="25"/>
    </row>
    <row r="1954" spans="5:7" hidden="1">
      <c r="E1954"/>
      <c r="G1954" s="25"/>
    </row>
    <row r="1955" spans="5:7" hidden="1">
      <c r="E1955"/>
      <c r="G1955" s="25"/>
    </row>
    <row r="1956" spans="5:7" hidden="1">
      <c r="E1956"/>
      <c r="G1956" s="25"/>
    </row>
    <row r="1957" spans="5:7" hidden="1">
      <c r="E1957"/>
      <c r="G1957" s="25"/>
    </row>
    <row r="1958" spans="5:7" hidden="1">
      <c r="E1958"/>
      <c r="G1958" s="25"/>
    </row>
    <row r="1959" spans="5:7" hidden="1">
      <c r="E1959"/>
      <c r="G1959" s="25"/>
    </row>
    <row r="1960" spans="5:7" hidden="1">
      <c r="E1960"/>
      <c r="G1960" s="25"/>
    </row>
    <row r="1961" spans="5:7" hidden="1">
      <c r="E1961"/>
      <c r="G1961" s="25"/>
    </row>
    <row r="1962" spans="5:7" hidden="1">
      <c r="E1962"/>
      <c r="G1962" s="25"/>
    </row>
    <row r="1963" spans="5:7" hidden="1">
      <c r="E1963"/>
      <c r="G1963" s="25"/>
    </row>
    <row r="1964" spans="5:7" hidden="1">
      <c r="E1964"/>
      <c r="G1964" s="25"/>
    </row>
    <row r="1965" spans="5:7" hidden="1">
      <c r="E1965"/>
      <c r="G1965" s="25"/>
    </row>
    <row r="1966" spans="5:7" hidden="1">
      <c r="E1966"/>
      <c r="G1966" s="25"/>
    </row>
    <row r="1967" spans="5:7" hidden="1">
      <c r="E1967"/>
      <c r="G1967" s="25"/>
    </row>
    <row r="1968" spans="5:7" hidden="1">
      <c r="E1968"/>
      <c r="G1968" s="25"/>
    </row>
    <row r="1969" spans="5:7" hidden="1">
      <c r="E1969"/>
      <c r="G1969" s="25"/>
    </row>
    <row r="1970" spans="5:7" hidden="1">
      <c r="E1970"/>
      <c r="G1970" s="25"/>
    </row>
    <row r="1971" spans="5:7" hidden="1">
      <c r="E1971"/>
      <c r="G1971" s="25"/>
    </row>
    <row r="1972" spans="5:7" hidden="1">
      <c r="E1972"/>
      <c r="G1972" s="25"/>
    </row>
    <row r="1973" spans="5:7" hidden="1">
      <c r="E1973"/>
      <c r="G1973" s="25"/>
    </row>
    <row r="1974" spans="5:7" hidden="1">
      <c r="E1974"/>
      <c r="G1974" s="25"/>
    </row>
    <row r="1975" spans="5:7" hidden="1">
      <c r="E1975"/>
      <c r="G1975" s="25"/>
    </row>
    <row r="1976" spans="5:7" hidden="1">
      <c r="E1976"/>
      <c r="G1976" s="25"/>
    </row>
    <row r="1977" spans="5:7" hidden="1">
      <c r="E1977"/>
      <c r="G1977" s="25"/>
    </row>
    <row r="1978" spans="5:7" hidden="1">
      <c r="E1978"/>
      <c r="G1978" s="25"/>
    </row>
    <row r="1979" spans="5:7" hidden="1">
      <c r="E1979"/>
      <c r="G1979" s="25"/>
    </row>
    <row r="1980" spans="5:7" hidden="1">
      <c r="E1980"/>
      <c r="G1980" s="25"/>
    </row>
    <row r="1981" spans="5:7" hidden="1">
      <c r="E1981"/>
      <c r="G1981" s="25"/>
    </row>
    <row r="1982" spans="5:7" hidden="1">
      <c r="E1982"/>
      <c r="G1982" s="25"/>
    </row>
    <row r="1983" spans="5:7" hidden="1">
      <c r="E1983"/>
      <c r="G1983" s="25"/>
    </row>
    <row r="1984" spans="5:7" hidden="1">
      <c r="E1984"/>
      <c r="G1984" s="25"/>
    </row>
    <row r="1985" spans="5:7" hidden="1">
      <c r="E1985"/>
      <c r="G1985" s="25"/>
    </row>
    <row r="1986" spans="5:7" hidden="1">
      <c r="E1986"/>
      <c r="G1986" s="25"/>
    </row>
    <row r="1987" spans="5:7" hidden="1">
      <c r="E1987"/>
      <c r="G1987" s="25"/>
    </row>
    <row r="1988" spans="5:7" hidden="1">
      <c r="E1988"/>
      <c r="G1988" s="25"/>
    </row>
    <row r="1989" spans="5:7" hidden="1">
      <c r="E1989"/>
      <c r="G1989" s="25"/>
    </row>
    <row r="1990" spans="5:7" hidden="1">
      <c r="E1990"/>
      <c r="G1990" s="25"/>
    </row>
    <row r="1991" spans="5:7" hidden="1">
      <c r="E1991"/>
      <c r="G1991" s="25"/>
    </row>
    <row r="1992" spans="5:7" hidden="1">
      <c r="E1992"/>
      <c r="G1992" s="25"/>
    </row>
    <row r="1993" spans="5:7" hidden="1">
      <c r="E1993"/>
      <c r="G1993" s="25"/>
    </row>
    <row r="1994" spans="5:7" hidden="1">
      <c r="E1994"/>
      <c r="G1994" s="25"/>
    </row>
    <row r="1995" spans="5:7" hidden="1">
      <c r="E1995"/>
      <c r="G1995" s="25"/>
    </row>
    <row r="1996" spans="5:7" hidden="1">
      <c r="E1996"/>
      <c r="G1996" s="25"/>
    </row>
    <row r="1997" spans="5:7" hidden="1">
      <c r="E1997"/>
      <c r="G1997" s="25"/>
    </row>
    <row r="1998" spans="5:7" hidden="1">
      <c r="E1998"/>
      <c r="G1998" s="25"/>
    </row>
    <row r="1999" spans="5:7" hidden="1">
      <c r="E1999"/>
      <c r="G1999" s="25"/>
    </row>
    <row r="2000" spans="5:7" hidden="1">
      <c r="E2000"/>
      <c r="G2000" s="25"/>
    </row>
    <row r="2001" spans="5:7" hidden="1">
      <c r="E2001"/>
      <c r="G2001" s="25"/>
    </row>
    <row r="2002" spans="5:7" hidden="1">
      <c r="E2002"/>
      <c r="G2002" s="25"/>
    </row>
    <row r="2003" spans="5:7" hidden="1">
      <c r="E2003"/>
      <c r="G2003" s="25"/>
    </row>
    <row r="2004" spans="5:7" hidden="1">
      <c r="E2004"/>
      <c r="G2004" s="25"/>
    </row>
    <row r="2005" spans="5:7" hidden="1">
      <c r="E2005"/>
      <c r="G2005" s="25"/>
    </row>
    <row r="2006" spans="5:7" hidden="1">
      <c r="E2006"/>
      <c r="G2006" s="25"/>
    </row>
    <row r="2007" spans="5:7" hidden="1">
      <c r="E2007"/>
      <c r="G2007" s="25"/>
    </row>
    <row r="2008" spans="5:7" hidden="1">
      <c r="E2008"/>
      <c r="G2008" s="25"/>
    </row>
    <row r="2009" spans="5:7" hidden="1">
      <c r="E2009"/>
      <c r="G2009" s="25"/>
    </row>
    <row r="2010" spans="5:7" hidden="1">
      <c r="E2010"/>
      <c r="G2010" s="25"/>
    </row>
    <row r="2011" spans="5:7" hidden="1">
      <c r="E2011"/>
      <c r="G2011" s="25"/>
    </row>
    <row r="2012" spans="5:7" hidden="1">
      <c r="E2012"/>
      <c r="G2012" s="25"/>
    </row>
    <row r="2013" spans="5:7" hidden="1">
      <c r="E2013"/>
      <c r="G2013" s="25"/>
    </row>
    <row r="2014" spans="5:7" hidden="1">
      <c r="E2014"/>
      <c r="G2014" s="25"/>
    </row>
    <row r="2015" spans="5:7" hidden="1">
      <c r="E2015"/>
      <c r="G2015" s="25"/>
    </row>
    <row r="2016" spans="5:7" hidden="1">
      <c r="E2016"/>
      <c r="G2016" s="25"/>
    </row>
    <row r="2017" spans="5:7" hidden="1">
      <c r="E2017"/>
      <c r="G2017" s="25"/>
    </row>
    <row r="2018" spans="5:7" hidden="1">
      <c r="E2018"/>
      <c r="G2018" s="25"/>
    </row>
    <row r="2019" spans="5:7" hidden="1">
      <c r="E2019"/>
      <c r="G2019" s="25"/>
    </row>
    <row r="2020" spans="5:7" hidden="1">
      <c r="E2020"/>
      <c r="G2020" s="25"/>
    </row>
    <row r="2021" spans="5:7" hidden="1">
      <c r="E2021"/>
      <c r="G2021" s="25"/>
    </row>
    <row r="2022" spans="5:7" hidden="1">
      <c r="E2022"/>
      <c r="G2022" s="25"/>
    </row>
    <row r="2023" spans="5:7" hidden="1">
      <c r="E2023"/>
      <c r="G2023" s="25"/>
    </row>
    <row r="2024" spans="5:7" hidden="1">
      <c r="E2024"/>
      <c r="G2024" s="25"/>
    </row>
    <row r="2025" spans="5:7" hidden="1">
      <c r="E2025"/>
      <c r="G2025" s="25"/>
    </row>
    <row r="2026" spans="5:7" hidden="1">
      <c r="E2026"/>
      <c r="G2026" s="25"/>
    </row>
    <row r="2027" spans="5:7" hidden="1">
      <c r="E2027"/>
      <c r="G2027" s="25"/>
    </row>
    <row r="2028" spans="5:7" hidden="1">
      <c r="E2028"/>
      <c r="G2028" s="25"/>
    </row>
    <row r="2029" spans="5:7" hidden="1">
      <c r="E2029"/>
      <c r="G2029" s="25"/>
    </row>
    <row r="2030" spans="5:7" hidden="1">
      <c r="E2030"/>
      <c r="G2030" s="25"/>
    </row>
    <row r="2031" spans="5:7" hidden="1">
      <c r="E2031"/>
      <c r="G2031" s="25"/>
    </row>
    <row r="2032" spans="5:7" hidden="1">
      <c r="E2032"/>
      <c r="G2032" s="25"/>
    </row>
    <row r="2033" spans="5:7" hidden="1">
      <c r="E2033"/>
      <c r="G2033" s="25"/>
    </row>
    <row r="2034" spans="5:7" hidden="1">
      <c r="E2034"/>
      <c r="G2034" s="25"/>
    </row>
    <row r="2035" spans="5:7" hidden="1">
      <c r="E2035"/>
      <c r="G2035" s="25"/>
    </row>
    <row r="2036" spans="5:7" hidden="1">
      <c r="E2036"/>
      <c r="G2036" s="25"/>
    </row>
    <row r="2037" spans="5:7" hidden="1">
      <c r="E2037"/>
      <c r="G2037" s="25"/>
    </row>
    <row r="2038" spans="5:7" hidden="1">
      <c r="E2038"/>
      <c r="G2038" s="25"/>
    </row>
    <row r="2039" spans="5:7" hidden="1">
      <c r="E2039"/>
      <c r="G2039" s="25"/>
    </row>
    <row r="2040" spans="5:7" hidden="1">
      <c r="E2040"/>
      <c r="G2040" s="25"/>
    </row>
    <row r="2041" spans="5:7" hidden="1">
      <c r="E2041"/>
      <c r="G2041" s="25"/>
    </row>
    <row r="2042" spans="5:7" hidden="1">
      <c r="E2042"/>
      <c r="G2042" s="25"/>
    </row>
    <row r="2043" spans="5:7" hidden="1">
      <c r="E2043"/>
      <c r="G2043" s="25"/>
    </row>
    <row r="2044" spans="5:7" hidden="1">
      <c r="E2044"/>
      <c r="G2044" s="25"/>
    </row>
    <row r="2045" spans="5:7" hidden="1">
      <c r="E2045"/>
      <c r="G2045" s="25"/>
    </row>
    <row r="2046" spans="5:7" hidden="1">
      <c r="E2046"/>
      <c r="G2046" s="25"/>
    </row>
    <row r="2047" spans="5:7" hidden="1">
      <c r="E2047"/>
      <c r="G2047" s="25"/>
    </row>
    <row r="2048" spans="5:7" hidden="1">
      <c r="E2048"/>
      <c r="G2048" s="25"/>
    </row>
    <row r="2049" spans="5:7" hidden="1">
      <c r="E2049"/>
      <c r="G2049" s="25"/>
    </row>
    <row r="2050" spans="5:7" hidden="1">
      <c r="E2050"/>
      <c r="G2050" s="25"/>
    </row>
    <row r="2051" spans="5:7" hidden="1">
      <c r="E2051"/>
      <c r="G2051" s="25"/>
    </row>
    <row r="2052" spans="5:7" hidden="1">
      <c r="E2052"/>
      <c r="G2052" s="25"/>
    </row>
    <row r="2053" spans="5:7" hidden="1">
      <c r="E2053"/>
      <c r="G2053" s="25"/>
    </row>
    <row r="2054" spans="5:7" hidden="1">
      <c r="E2054"/>
      <c r="G2054" s="25"/>
    </row>
    <row r="2055" spans="5:7" hidden="1">
      <c r="E2055"/>
      <c r="G2055" s="25"/>
    </row>
    <row r="2056" spans="5:7" hidden="1">
      <c r="E2056"/>
      <c r="G2056" s="25"/>
    </row>
    <row r="2057" spans="5:7" hidden="1">
      <c r="E2057"/>
      <c r="G2057" s="25"/>
    </row>
    <row r="2058" spans="5:7" hidden="1">
      <c r="E2058"/>
      <c r="G2058" s="25"/>
    </row>
    <row r="2059" spans="5:7" hidden="1">
      <c r="E2059"/>
      <c r="G2059" s="25"/>
    </row>
    <row r="2060" spans="5:7" hidden="1">
      <c r="E2060"/>
      <c r="G2060" s="25"/>
    </row>
    <row r="2061" spans="5:7" hidden="1">
      <c r="E2061"/>
      <c r="G2061" s="25"/>
    </row>
    <row r="2062" spans="5:7" hidden="1">
      <c r="E2062"/>
      <c r="G2062" s="25"/>
    </row>
    <row r="2063" spans="5:7" hidden="1">
      <c r="E2063"/>
      <c r="G2063" s="25"/>
    </row>
    <row r="2064" spans="5:7" hidden="1">
      <c r="E2064"/>
      <c r="G2064" s="25"/>
    </row>
    <row r="2065" spans="5:7" hidden="1">
      <c r="E2065"/>
      <c r="G2065" s="25"/>
    </row>
    <row r="2066" spans="5:7" hidden="1">
      <c r="E2066"/>
      <c r="G2066" s="25"/>
    </row>
    <row r="2067" spans="5:7" hidden="1">
      <c r="E2067"/>
      <c r="G2067" s="25"/>
    </row>
    <row r="2068" spans="5:7" hidden="1">
      <c r="E2068"/>
      <c r="G2068" s="25"/>
    </row>
    <row r="2069" spans="5:7" hidden="1">
      <c r="E2069"/>
      <c r="G2069" s="25"/>
    </row>
    <row r="2070" spans="5:7" hidden="1">
      <c r="E2070"/>
      <c r="G2070" s="25"/>
    </row>
    <row r="2071" spans="5:7" hidden="1">
      <c r="E2071"/>
      <c r="G2071" s="25"/>
    </row>
    <row r="2072" spans="5:7" hidden="1">
      <c r="E2072"/>
      <c r="G2072" s="25"/>
    </row>
    <row r="2073" spans="5:7" hidden="1">
      <c r="E2073"/>
      <c r="G2073" s="25"/>
    </row>
    <row r="2074" spans="5:7" hidden="1">
      <c r="E2074"/>
      <c r="G2074" s="25"/>
    </row>
    <row r="2075" spans="5:7" hidden="1">
      <c r="E2075"/>
      <c r="G2075" s="25"/>
    </row>
    <row r="2076" spans="5:7" hidden="1">
      <c r="E2076"/>
      <c r="G2076" s="25"/>
    </row>
    <row r="2077" spans="5:7" hidden="1">
      <c r="E2077"/>
      <c r="G2077" s="25"/>
    </row>
    <row r="2078" spans="5:7" hidden="1">
      <c r="E2078"/>
      <c r="G2078" s="25"/>
    </row>
    <row r="2079" spans="5:7" hidden="1">
      <c r="E2079"/>
      <c r="G2079" s="25"/>
    </row>
    <row r="2080" spans="5:7" hidden="1">
      <c r="E2080"/>
      <c r="G2080" s="25"/>
    </row>
    <row r="2081" spans="5:7" hidden="1">
      <c r="E2081"/>
      <c r="G2081" s="25"/>
    </row>
    <row r="2082" spans="5:7" hidden="1">
      <c r="E2082"/>
      <c r="G2082" s="25"/>
    </row>
    <row r="2083" spans="5:7" hidden="1">
      <c r="E2083"/>
      <c r="G2083" s="25"/>
    </row>
    <row r="2084" spans="5:7" hidden="1">
      <c r="E2084"/>
      <c r="G2084" s="25"/>
    </row>
    <row r="2085" spans="5:7" hidden="1">
      <c r="E2085"/>
      <c r="G2085" s="25"/>
    </row>
    <row r="2086" spans="5:7" hidden="1">
      <c r="E2086"/>
      <c r="G2086" s="25"/>
    </row>
    <row r="2087" spans="5:7" hidden="1">
      <c r="E2087"/>
      <c r="G2087" s="25"/>
    </row>
    <row r="2088" spans="5:7" hidden="1">
      <c r="E2088"/>
      <c r="G2088" s="25"/>
    </row>
    <row r="2089" spans="5:7" hidden="1">
      <c r="E2089"/>
      <c r="G2089" s="25"/>
    </row>
    <row r="2090" spans="5:7" hidden="1">
      <c r="E2090"/>
      <c r="G2090" s="25"/>
    </row>
    <row r="2091" spans="5:7" hidden="1">
      <c r="E2091"/>
      <c r="G2091" s="25"/>
    </row>
    <row r="2092" spans="5:7" hidden="1">
      <c r="E2092"/>
      <c r="G2092" s="25"/>
    </row>
    <row r="2093" spans="5:7" hidden="1">
      <c r="E2093"/>
      <c r="G2093" s="25"/>
    </row>
    <row r="2094" spans="5:7" hidden="1">
      <c r="E2094"/>
      <c r="G2094" s="25"/>
    </row>
    <row r="2095" spans="5:7" hidden="1">
      <c r="E2095"/>
      <c r="G2095" s="25"/>
    </row>
    <row r="2096" spans="5:7" hidden="1">
      <c r="E2096"/>
      <c r="G2096" s="25"/>
    </row>
    <row r="2097" spans="5:7" hidden="1">
      <c r="E2097"/>
      <c r="G2097" s="25"/>
    </row>
    <row r="2098" spans="5:7" hidden="1">
      <c r="E2098"/>
      <c r="G2098" s="25"/>
    </row>
    <row r="2099" spans="5:7" hidden="1">
      <c r="E2099"/>
      <c r="G2099" s="25"/>
    </row>
    <row r="2100" spans="5:7" hidden="1">
      <c r="E2100"/>
      <c r="G2100" s="25"/>
    </row>
    <row r="2101" spans="5:7" hidden="1">
      <c r="E2101"/>
      <c r="G2101" s="25"/>
    </row>
    <row r="2102" spans="5:7" hidden="1">
      <c r="E2102"/>
      <c r="G2102" s="25"/>
    </row>
    <row r="2103" spans="5:7" hidden="1">
      <c r="E2103"/>
      <c r="G2103" s="25"/>
    </row>
    <row r="2104" spans="5:7" hidden="1">
      <c r="E2104"/>
      <c r="G2104" s="25"/>
    </row>
    <row r="2105" spans="5:7" hidden="1">
      <c r="E2105"/>
      <c r="G2105" s="25"/>
    </row>
    <row r="2106" spans="5:7" hidden="1">
      <c r="E2106"/>
      <c r="G2106" s="25"/>
    </row>
    <row r="2107" spans="5:7" hidden="1">
      <c r="E2107"/>
      <c r="G2107" s="25"/>
    </row>
    <row r="2108" spans="5:7" hidden="1">
      <c r="E2108"/>
      <c r="G2108" s="25"/>
    </row>
    <row r="2109" spans="5:7" hidden="1">
      <c r="E2109"/>
      <c r="G2109" s="25"/>
    </row>
    <row r="2110" spans="5:7" hidden="1">
      <c r="E2110"/>
      <c r="G2110" s="25"/>
    </row>
    <row r="2111" spans="5:7" hidden="1">
      <c r="E2111"/>
      <c r="G2111" s="25"/>
    </row>
    <row r="2112" spans="5:7" hidden="1">
      <c r="E2112"/>
      <c r="G2112" s="25"/>
    </row>
    <row r="2113" spans="5:7" hidden="1">
      <c r="E2113"/>
      <c r="G2113" s="25"/>
    </row>
    <row r="2114" spans="5:7" hidden="1">
      <c r="E2114"/>
      <c r="G2114" s="25"/>
    </row>
    <row r="2115" spans="5:7" hidden="1">
      <c r="E2115"/>
      <c r="G2115" s="25"/>
    </row>
    <row r="2116" spans="5:7" hidden="1">
      <c r="E2116"/>
      <c r="G2116" s="25"/>
    </row>
    <row r="2117" spans="5:7" hidden="1">
      <c r="E2117"/>
      <c r="G2117" s="25"/>
    </row>
    <row r="2118" spans="5:7" hidden="1">
      <c r="E2118"/>
      <c r="G2118" s="25"/>
    </row>
    <row r="2119" spans="5:7" hidden="1">
      <c r="E2119"/>
      <c r="G2119" s="25"/>
    </row>
    <row r="2120" spans="5:7" hidden="1">
      <c r="E2120"/>
      <c r="G2120" s="25"/>
    </row>
    <row r="2121" spans="5:7" hidden="1">
      <c r="E2121"/>
      <c r="G2121" s="25"/>
    </row>
    <row r="2122" spans="5:7" hidden="1">
      <c r="E2122"/>
      <c r="G2122" s="25"/>
    </row>
    <row r="2123" spans="5:7" hidden="1">
      <c r="E2123"/>
      <c r="G2123" s="25"/>
    </row>
    <row r="2124" spans="5:7" hidden="1">
      <c r="E2124"/>
      <c r="G2124" s="25"/>
    </row>
    <row r="2125" spans="5:7" hidden="1">
      <c r="E2125"/>
      <c r="G2125" s="25"/>
    </row>
    <row r="2126" spans="5:7" hidden="1">
      <c r="E2126"/>
      <c r="G2126" s="25"/>
    </row>
    <row r="2127" spans="5:7" hidden="1">
      <c r="E2127"/>
      <c r="G2127" s="25"/>
    </row>
    <row r="2128" spans="5:7" hidden="1">
      <c r="E2128"/>
      <c r="G2128" s="25"/>
    </row>
    <row r="2129" spans="5:7" hidden="1">
      <c r="E2129"/>
      <c r="G2129" s="25"/>
    </row>
    <row r="2130" spans="5:7" hidden="1">
      <c r="E2130"/>
      <c r="G2130" s="25"/>
    </row>
    <row r="2131" spans="5:7" hidden="1">
      <c r="E2131"/>
      <c r="G2131" s="25"/>
    </row>
    <row r="2132" spans="5:7" hidden="1">
      <c r="E2132"/>
      <c r="G2132" s="25"/>
    </row>
    <row r="2133" spans="5:7" hidden="1">
      <c r="E2133"/>
      <c r="G2133" s="25"/>
    </row>
    <row r="2134" spans="5:7" hidden="1">
      <c r="E2134"/>
      <c r="G2134" s="25"/>
    </row>
    <row r="2135" spans="5:7" hidden="1">
      <c r="E2135"/>
      <c r="G2135" s="25"/>
    </row>
    <row r="2136" spans="5:7" hidden="1">
      <c r="E2136"/>
      <c r="G2136" s="25"/>
    </row>
    <row r="2137" spans="5:7" hidden="1">
      <c r="E2137"/>
      <c r="G2137" s="25"/>
    </row>
    <row r="2138" spans="5:7" hidden="1">
      <c r="E2138"/>
      <c r="G2138" s="25"/>
    </row>
    <row r="2139" spans="5:7" hidden="1">
      <c r="E2139"/>
      <c r="G2139" s="25"/>
    </row>
    <row r="2140" spans="5:7" hidden="1">
      <c r="E2140"/>
      <c r="G2140" s="25"/>
    </row>
    <row r="2141" spans="5:7" hidden="1">
      <c r="E2141"/>
      <c r="G2141" s="25"/>
    </row>
    <row r="2142" spans="5:7" hidden="1">
      <c r="E2142"/>
      <c r="G2142" s="25"/>
    </row>
    <row r="2143" spans="5:7" hidden="1">
      <c r="E2143"/>
      <c r="G2143" s="25"/>
    </row>
    <row r="2144" spans="5:7" hidden="1">
      <c r="E2144"/>
      <c r="G2144" s="25"/>
    </row>
    <row r="2145" spans="5:7" hidden="1">
      <c r="E2145"/>
      <c r="G2145" s="25"/>
    </row>
    <row r="2146" spans="5:7" hidden="1">
      <c r="E2146"/>
      <c r="G2146" s="25"/>
    </row>
    <row r="2147" spans="5:7" hidden="1">
      <c r="E2147"/>
      <c r="G2147" s="25"/>
    </row>
    <row r="2148" spans="5:7" hidden="1">
      <c r="E2148"/>
      <c r="G2148" s="25"/>
    </row>
    <row r="2149" spans="5:7" hidden="1">
      <c r="E2149"/>
      <c r="G2149" s="25"/>
    </row>
    <row r="2150" spans="5:7" hidden="1">
      <c r="E2150"/>
      <c r="G2150" s="25"/>
    </row>
    <row r="2151" spans="5:7" hidden="1">
      <c r="E2151"/>
      <c r="G2151" s="25"/>
    </row>
    <row r="2152" spans="5:7" hidden="1">
      <c r="E2152"/>
      <c r="G2152" s="25"/>
    </row>
    <row r="2153" spans="5:7" hidden="1">
      <c r="E2153"/>
      <c r="G2153" s="25"/>
    </row>
    <row r="2154" spans="5:7" hidden="1">
      <c r="E2154"/>
      <c r="G2154" s="25"/>
    </row>
    <row r="2155" spans="5:7" hidden="1">
      <c r="E2155"/>
      <c r="G2155" s="25"/>
    </row>
    <row r="2156" spans="5:7" hidden="1">
      <c r="E2156"/>
      <c r="G2156" s="25"/>
    </row>
    <row r="2157" spans="5:7" hidden="1">
      <c r="E2157"/>
      <c r="G2157" s="25"/>
    </row>
    <row r="2158" spans="5:7" hidden="1">
      <c r="E2158"/>
      <c r="G2158" s="25"/>
    </row>
    <row r="2159" spans="5:7" hidden="1">
      <c r="E2159"/>
      <c r="G2159" s="25"/>
    </row>
    <row r="2160" spans="5:7" hidden="1">
      <c r="E2160"/>
      <c r="G2160" s="25"/>
    </row>
    <row r="2161" spans="5:7" hidden="1">
      <c r="E2161"/>
      <c r="G2161" s="25"/>
    </row>
    <row r="2162" spans="5:7" hidden="1">
      <c r="E2162"/>
      <c r="G2162" s="25"/>
    </row>
    <row r="2163" spans="5:7" hidden="1">
      <c r="E2163"/>
      <c r="G2163" s="25"/>
    </row>
    <row r="2164" spans="5:7" hidden="1">
      <c r="E2164"/>
      <c r="G2164" s="25"/>
    </row>
    <row r="2165" spans="5:7" hidden="1">
      <c r="E2165"/>
      <c r="G2165" s="25"/>
    </row>
    <row r="2166" spans="5:7" hidden="1">
      <c r="E2166"/>
      <c r="G2166" s="25"/>
    </row>
    <row r="2167" spans="5:7" hidden="1">
      <c r="E2167"/>
      <c r="G2167" s="25"/>
    </row>
    <row r="2168" spans="5:7" hidden="1">
      <c r="E2168"/>
      <c r="G2168" s="25"/>
    </row>
    <row r="2169" spans="5:7" hidden="1">
      <c r="E2169"/>
      <c r="G2169" s="25"/>
    </row>
    <row r="2170" spans="5:7" hidden="1">
      <c r="E2170"/>
      <c r="G2170" s="25"/>
    </row>
    <row r="2171" spans="5:7" hidden="1">
      <c r="E2171"/>
      <c r="G2171" s="25"/>
    </row>
    <row r="2172" spans="5:7" hidden="1">
      <c r="E2172"/>
      <c r="G2172" s="25"/>
    </row>
    <row r="2173" spans="5:7" hidden="1">
      <c r="E2173"/>
      <c r="G2173" s="25"/>
    </row>
    <row r="2174" spans="5:7" hidden="1">
      <c r="E2174"/>
      <c r="G2174" s="25"/>
    </row>
    <row r="2175" spans="5:7" hidden="1">
      <c r="E2175"/>
      <c r="G2175" s="25"/>
    </row>
    <row r="2176" spans="5:7" hidden="1">
      <c r="E2176"/>
      <c r="G2176" s="25"/>
    </row>
    <row r="2177" spans="5:7" hidden="1">
      <c r="E2177"/>
      <c r="G2177" s="25"/>
    </row>
    <row r="2178" spans="5:7" hidden="1">
      <c r="E2178"/>
      <c r="G2178" s="25"/>
    </row>
    <row r="2179" spans="5:7" hidden="1">
      <c r="E2179"/>
      <c r="G2179" s="25"/>
    </row>
    <row r="2180" spans="5:7" hidden="1">
      <c r="E2180"/>
      <c r="G2180" s="25"/>
    </row>
    <row r="2181" spans="5:7" hidden="1">
      <c r="E2181"/>
      <c r="G2181" s="25"/>
    </row>
    <row r="2182" spans="5:7" hidden="1">
      <c r="E2182"/>
      <c r="G2182" s="25"/>
    </row>
    <row r="2183" spans="5:7" hidden="1">
      <c r="E2183"/>
      <c r="G2183" s="25"/>
    </row>
    <row r="2184" spans="5:7" hidden="1">
      <c r="E2184"/>
      <c r="G2184" s="25"/>
    </row>
    <row r="2185" spans="5:7" hidden="1">
      <c r="E2185"/>
      <c r="G2185" s="25"/>
    </row>
    <row r="2186" spans="5:7" hidden="1">
      <c r="E2186"/>
      <c r="G2186" s="25"/>
    </row>
    <row r="2187" spans="5:7" hidden="1">
      <c r="E2187"/>
      <c r="G2187" s="25"/>
    </row>
    <row r="2188" spans="5:7" ht="13.15" hidden="1" customHeight="1"/>
    <row r="2189" spans="5:7"/>
    <row r="2190" spans="5:7"/>
    <row r="2191" spans="5:7"/>
    <row r="2192" spans="5:7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</sheetData>
  <phoneticPr fontId="22" type="noConversion"/>
  <conditionalFormatting sqref="L9:CO9">
    <cfRule type="cellIs" dxfId="108" priority="171" operator="equal">
      <formula>2</formula>
    </cfRule>
    <cfRule type="cellIs" dxfId="107" priority="216" operator="equal">
      <formula>1</formula>
    </cfRule>
  </conditionalFormatting>
  <conditionalFormatting sqref="J54:AY54 L33:CO38 L71:CO71 L747:CO747 L1074:CO1074 L1106:CO1107 L1079:CO1083 L28:CO31 L318:CO318 L53:CO64">
    <cfRule type="cellIs" dxfId="106" priority="138" operator="equal">
      <formula>1</formula>
    </cfRule>
  </conditionalFormatting>
  <conditionalFormatting sqref="E4">
    <cfRule type="cellIs" dxfId="105" priority="93" operator="equal">
      <formula>FALSE</formula>
    </cfRule>
    <cfRule type="cellIs" dxfId="104" priority="94" operator="equal">
      <formula>TRUE</formula>
    </cfRule>
  </conditionalFormatting>
  <conditionalFormatting sqref="L183:CO190">
    <cfRule type="cellIs" dxfId="103" priority="92" operator="equal">
      <formula>0</formula>
    </cfRule>
  </conditionalFormatting>
  <conditionalFormatting sqref="L528:CO529 L529:CP529">
    <cfRule type="cellIs" dxfId="102" priority="91" operator="equal">
      <formula>0</formula>
    </cfRule>
  </conditionalFormatting>
  <conditionalFormatting sqref="L121:CO123">
    <cfRule type="cellIs" dxfId="101" priority="90" operator="equal">
      <formula>0</formula>
    </cfRule>
  </conditionalFormatting>
  <conditionalFormatting sqref="L133:CO135">
    <cfRule type="cellIs" dxfId="100" priority="89" operator="equal">
      <formula>0</formula>
    </cfRule>
  </conditionalFormatting>
  <conditionalFormatting sqref="L218:CO220">
    <cfRule type="cellIs" dxfId="99" priority="88" operator="equal">
      <formula>0</formula>
    </cfRule>
  </conditionalFormatting>
  <conditionalFormatting sqref="L145:CO147">
    <cfRule type="cellIs" dxfId="98" priority="87" operator="equal">
      <formula>0</formula>
    </cfRule>
  </conditionalFormatting>
  <conditionalFormatting sqref="L241:CO243">
    <cfRule type="cellIs" dxfId="97" priority="86" operator="equal">
      <formula>0</formula>
    </cfRule>
  </conditionalFormatting>
  <conditionalFormatting sqref="L32:CO32">
    <cfRule type="cellIs" dxfId="96" priority="85" operator="equal">
      <formula>1</formula>
    </cfRule>
  </conditionalFormatting>
  <conditionalFormatting sqref="L33:CO33">
    <cfRule type="cellIs" dxfId="95" priority="84" operator="equal">
      <formula>1</formula>
    </cfRule>
  </conditionalFormatting>
  <conditionalFormatting sqref="L34:CO34">
    <cfRule type="cellIs" dxfId="94" priority="83" operator="equal">
      <formula>1</formula>
    </cfRule>
  </conditionalFormatting>
  <conditionalFormatting sqref="L40:CO45">
    <cfRule type="cellIs" dxfId="93" priority="82" operator="equal">
      <formula>1</formula>
    </cfRule>
  </conditionalFormatting>
  <conditionalFormatting sqref="L39:CO44">
    <cfRule type="cellIs" dxfId="92" priority="81" operator="equal">
      <formula>1</formula>
    </cfRule>
  </conditionalFormatting>
  <conditionalFormatting sqref="L40:CO40">
    <cfRule type="cellIs" dxfId="91" priority="80" operator="equal">
      <formula>1</formula>
    </cfRule>
  </conditionalFormatting>
  <conditionalFormatting sqref="L41:CO41">
    <cfRule type="cellIs" dxfId="90" priority="79" operator="equal">
      <formula>1</formula>
    </cfRule>
  </conditionalFormatting>
  <conditionalFormatting sqref="L47:CO52">
    <cfRule type="cellIs" dxfId="89" priority="78" operator="equal">
      <formula>1</formula>
    </cfRule>
  </conditionalFormatting>
  <conditionalFormatting sqref="L46:CO51">
    <cfRule type="cellIs" dxfId="88" priority="77" operator="equal">
      <formula>1</formula>
    </cfRule>
  </conditionalFormatting>
  <conditionalFormatting sqref="L47:CO47">
    <cfRule type="cellIs" dxfId="87" priority="76" operator="equal">
      <formula>1</formula>
    </cfRule>
  </conditionalFormatting>
  <conditionalFormatting sqref="L48:CO48">
    <cfRule type="cellIs" dxfId="86" priority="75" operator="equal">
      <formula>1</formula>
    </cfRule>
  </conditionalFormatting>
  <conditionalFormatting sqref="S314:CO314 L310:CO313">
    <cfRule type="cellIs" dxfId="85" priority="74" operator="equal">
      <formula>1</formula>
    </cfRule>
  </conditionalFormatting>
  <conditionalFormatting sqref="L636:CO636">
    <cfRule type="cellIs" dxfId="84" priority="73" operator="equal">
      <formula>1</formula>
    </cfRule>
  </conditionalFormatting>
  <conditionalFormatting sqref="BA71:CM71 AZ318:CM318 AZ747:CM747 AZ1106:CM1107 AZ1074:CM1074 BA33:CM33 AZ35:CM38 BB34:CM34 AZ1079:CM1083 AZ28:CM31 AZ53:CM64">
    <cfRule type="cellIs" dxfId="83" priority="71" operator="equal">
      <formula>1</formula>
    </cfRule>
  </conditionalFormatting>
  <conditionalFormatting sqref="AZ183:CM190">
    <cfRule type="cellIs" dxfId="82" priority="69" operator="equal">
      <formula>0</formula>
    </cfRule>
  </conditionalFormatting>
  <conditionalFormatting sqref="AZ528:CM529">
    <cfRule type="cellIs" dxfId="81" priority="68" operator="equal">
      <formula>0</formula>
    </cfRule>
  </conditionalFormatting>
  <conditionalFormatting sqref="AZ121:CM123">
    <cfRule type="cellIs" dxfId="80" priority="67" operator="equal">
      <formula>0</formula>
    </cfRule>
  </conditionalFormatting>
  <conditionalFormatting sqref="AZ133:CM135">
    <cfRule type="cellIs" dxfId="79" priority="66" operator="equal">
      <formula>0</formula>
    </cfRule>
  </conditionalFormatting>
  <conditionalFormatting sqref="AZ218:CM220">
    <cfRule type="cellIs" dxfId="78" priority="65" operator="equal">
      <formula>0</formula>
    </cfRule>
  </conditionalFormatting>
  <conditionalFormatting sqref="AZ145:CM147">
    <cfRule type="cellIs" dxfId="77" priority="64" operator="equal">
      <formula>0</formula>
    </cfRule>
  </conditionalFormatting>
  <conditionalFormatting sqref="AZ241:CM243">
    <cfRule type="cellIs" dxfId="76" priority="63" operator="equal">
      <formula>0</formula>
    </cfRule>
  </conditionalFormatting>
  <conditionalFormatting sqref="AZ32:CM32">
    <cfRule type="cellIs" dxfId="75" priority="62" operator="equal">
      <formula>1</formula>
    </cfRule>
  </conditionalFormatting>
  <conditionalFormatting sqref="AZ33:CM33">
    <cfRule type="cellIs" dxfId="74" priority="61" operator="equal">
      <formula>1</formula>
    </cfRule>
  </conditionalFormatting>
  <conditionalFormatting sqref="AZ34:CM34">
    <cfRule type="cellIs" dxfId="73" priority="60" operator="equal">
      <formula>1</formula>
    </cfRule>
  </conditionalFormatting>
  <conditionalFormatting sqref="BA40:CM40 AZ42:CM45 BB41:CM41">
    <cfRule type="cellIs" dxfId="72" priority="59" operator="equal">
      <formula>1</formula>
    </cfRule>
  </conditionalFormatting>
  <conditionalFormatting sqref="AZ39:CM44">
    <cfRule type="cellIs" dxfId="71" priority="58" operator="equal">
      <formula>1</formula>
    </cfRule>
  </conditionalFormatting>
  <conditionalFormatting sqref="AZ40:CM40">
    <cfRule type="cellIs" dxfId="70" priority="57" operator="equal">
      <formula>1</formula>
    </cfRule>
  </conditionalFormatting>
  <conditionalFormatting sqref="AZ41:CM41">
    <cfRule type="cellIs" dxfId="69" priority="56" operator="equal">
      <formula>1</formula>
    </cfRule>
  </conditionalFormatting>
  <conditionalFormatting sqref="BA47:CM47 AZ49:CM52 BB48:CM48">
    <cfRule type="cellIs" dxfId="68" priority="55" operator="equal">
      <formula>1</formula>
    </cfRule>
  </conditionalFormatting>
  <conditionalFormatting sqref="AZ46:CM51">
    <cfRule type="cellIs" dxfId="67" priority="54" operator="equal">
      <formula>1</formula>
    </cfRule>
  </conditionalFormatting>
  <conditionalFormatting sqref="AZ47:CM47">
    <cfRule type="cellIs" dxfId="66" priority="53" operator="equal">
      <formula>1</formula>
    </cfRule>
  </conditionalFormatting>
  <conditionalFormatting sqref="AZ48:CM48">
    <cfRule type="cellIs" dxfId="65" priority="52" operator="equal">
      <formula>1</formula>
    </cfRule>
  </conditionalFormatting>
  <conditionalFormatting sqref="AZ310:CM314">
    <cfRule type="cellIs" dxfId="64" priority="51" operator="equal">
      <formula>1</formula>
    </cfRule>
  </conditionalFormatting>
  <conditionalFormatting sqref="AZ636:CM636">
    <cfRule type="cellIs" dxfId="63" priority="50" operator="equal">
      <formula>1</formula>
    </cfRule>
  </conditionalFormatting>
  <conditionalFormatting sqref="CN28:CO31 CN71:CO71 CN318:CO318 CN747:CO747 CN1106:CO1107 CN1074:CO1074 CN33:CO38 CN1079:CO1083 CN53:CO64">
    <cfRule type="cellIs" dxfId="62" priority="48" operator="equal">
      <formula>1</formula>
    </cfRule>
  </conditionalFormatting>
  <conditionalFormatting sqref="CN183:CO190">
    <cfRule type="cellIs" dxfId="61" priority="46" operator="equal">
      <formula>0</formula>
    </cfRule>
  </conditionalFormatting>
  <conditionalFormatting sqref="CN528:CO529">
    <cfRule type="cellIs" dxfId="60" priority="45" operator="equal">
      <formula>0</formula>
    </cfRule>
  </conditionalFormatting>
  <conditionalFormatting sqref="CN121:CO123">
    <cfRule type="cellIs" dxfId="59" priority="44" operator="equal">
      <formula>0</formula>
    </cfRule>
  </conditionalFormatting>
  <conditionalFormatting sqref="CN133:CO135">
    <cfRule type="cellIs" dxfId="58" priority="43" operator="equal">
      <formula>0</formula>
    </cfRule>
  </conditionalFormatting>
  <conditionalFormatting sqref="CN218:CO220">
    <cfRule type="cellIs" dxfId="57" priority="42" operator="equal">
      <formula>0</formula>
    </cfRule>
  </conditionalFormatting>
  <conditionalFormatting sqref="CN145:CO147">
    <cfRule type="cellIs" dxfId="56" priority="41" operator="equal">
      <formula>0</formula>
    </cfRule>
  </conditionalFormatting>
  <conditionalFormatting sqref="CN241:CO243">
    <cfRule type="cellIs" dxfId="55" priority="40" operator="equal">
      <formula>0</formula>
    </cfRule>
  </conditionalFormatting>
  <conditionalFormatting sqref="CN32:CO32">
    <cfRule type="cellIs" dxfId="54" priority="39" operator="equal">
      <formula>1</formula>
    </cfRule>
  </conditionalFormatting>
  <conditionalFormatting sqref="CN33:CO33">
    <cfRule type="cellIs" dxfId="53" priority="38" operator="equal">
      <formula>1</formula>
    </cfRule>
  </conditionalFormatting>
  <conditionalFormatting sqref="CN34:CO34">
    <cfRule type="cellIs" dxfId="52" priority="37" operator="equal">
      <formula>1</formula>
    </cfRule>
  </conditionalFormatting>
  <conditionalFormatting sqref="CN40:CO45">
    <cfRule type="cellIs" dxfId="51" priority="36" operator="equal">
      <formula>1</formula>
    </cfRule>
  </conditionalFormatting>
  <conditionalFormatting sqref="CN39:CO44">
    <cfRule type="cellIs" dxfId="50" priority="35" operator="equal">
      <formula>1</formula>
    </cfRule>
  </conditionalFormatting>
  <conditionalFormatting sqref="CN40:CO40">
    <cfRule type="cellIs" dxfId="49" priority="34" operator="equal">
      <formula>1</formula>
    </cfRule>
  </conditionalFormatting>
  <conditionalFormatting sqref="CN41:CO41">
    <cfRule type="cellIs" dxfId="48" priority="33" operator="equal">
      <formula>1</formula>
    </cfRule>
  </conditionalFormatting>
  <conditionalFormatting sqref="CN47:CO52">
    <cfRule type="cellIs" dxfId="47" priority="32" operator="equal">
      <formula>1</formula>
    </cfRule>
  </conditionalFormatting>
  <conditionalFormatting sqref="CN46:CO51">
    <cfRule type="cellIs" dxfId="46" priority="31" operator="equal">
      <formula>1</formula>
    </cfRule>
  </conditionalFormatting>
  <conditionalFormatting sqref="CN47:CO47">
    <cfRule type="cellIs" dxfId="45" priority="30" operator="equal">
      <formula>1</formula>
    </cfRule>
  </conditionalFormatting>
  <conditionalFormatting sqref="CN48:CO48">
    <cfRule type="cellIs" dxfId="44" priority="29" operator="equal">
      <formula>1</formula>
    </cfRule>
  </conditionalFormatting>
  <conditionalFormatting sqref="CN310:CO314">
    <cfRule type="cellIs" dxfId="43" priority="28" operator="equal">
      <formula>1</formula>
    </cfRule>
  </conditionalFormatting>
  <conditionalFormatting sqref="CN636:CO636">
    <cfRule type="cellIs" dxfId="42" priority="27" operator="equal">
      <formula>1</formula>
    </cfRule>
  </conditionalFormatting>
  <conditionalFormatting sqref="L1412:CO1413">
    <cfRule type="cellIs" dxfId="41" priority="26" operator="equal">
      <formula>1</formula>
    </cfRule>
  </conditionalFormatting>
  <conditionalFormatting sqref="L965:CO965">
    <cfRule type="cellIs" dxfId="40" priority="23" operator="equal">
      <formula>1</formula>
    </cfRule>
  </conditionalFormatting>
  <conditionalFormatting sqref="L314:CO314">
    <cfRule type="cellIs" dxfId="39" priority="22" operator="equal">
      <formula>1</formula>
    </cfRule>
  </conditionalFormatting>
  <conditionalFormatting sqref="I155">
    <cfRule type="cellIs" dxfId="38" priority="13" operator="equal">
      <formula>FALSE</formula>
    </cfRule>
  </conditionalFormatting>
  <conditionalFormatting sqref="I164">
    <cfRule type="cellIs" dxfId="37" priority="12" operator="equal">
      <formula>FALSE</formula>
    </cfRule>
  </conditionalFormatting>
  <conditionalFormatting sqref="I171">
    <cfRule type="cellIs" dxfId="36" priority="11" operator="equal">
      <formula>FALSE</formula>
    </cfRule>
  </conditionalFormatting>
  <conditionalFormatting sqref="I178">
    <cfRule type="cellIs" dxfId="35" priority="10" operator="equal">
      <formula>FALSE</formula>
    </cfRule>
  </conditionalFormatting>
  <conditionalFormatting sqref="I201">
    <cfRule type="cellIs" dxfId="34" priority="9" operator="equal">
      <formula>FALSE</formula>
    </cfRule>
  </conditionalFormatting>
  <conditionalFormatting sqref="I213">
    <cfRule type="cellIs" dxfId="33" priority="8" operator="equal">
      <formula>FALSE</formula>
    </cfRule>
  </conditionalFormatting>
  <conditionalFormatting sqref="I228">
    <cfRule type="cellIs" dxfId="32" priority="7" operator="equal">
      <formula>FALSE</formula>
    </cfRule>
  </conditionalFormatting>
  <conditionalFormatting sqref="I236">
    <cfRule type="cellIs" dxfId="31" priority="6" operator="equal">
      <formula>FALSE</formula>
    </cfRule>
  </conditionalFormatting>
  <conditionalFormatting sqref="I251">
    <cfRule type="cellIs" dxfId="30" priority="5" operator="equal">
      <formula>FALSE</formula>
    </cfRule>
  </conditionalFormatting>
  <conditionalFormatting sqref="I259">
    <cfRule type="cellIs" dxfId="29" priority="4" operator="equal">
      <formula>FALSE</formula>
    </cfRule>
  </conditionalFormatting>
  <conditionalFormatting sqref="I143">
    <cfRule type="cellIs" dxfId="28" priority="3" operator="equal">
      <formula>FALSE</formula>
    </cfRule>
  </conditionalFormatting>
  <conditionalFormatting sqref="I131">
    <cfRule type="cellIs" dxfId="27" priority="2" operator="equal">
      <formula>FALSE</formula>
    </cfRule>
  </conditionalFormatting>
  <dataValidations count="1">
    <dataValidation type="list" allowBlank="1" showInputMessage="1" showErrorMessage="1" sqref="E79 E85" xr:uid="{00000000-0002-0000-0400-000000000000}">
      <formula1>Beginning_of_period</formula1>
    </dataValidation>
  </dataValidations>
  <pageMargins left="0.7" right="0.7" top="0.75" bottom="0.75" header="0.3" footer="0.3"/>
  <pageSetup paperSize="8" scale="16" orientation="landscape" r:id="rId1"/>
  <ignoredErrors>
    <ignoredError sqref="M1063:CO1063" formulaRange="1"/>
    <ignoredError sqref="L314:CO314 I259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C2B4CAB3-F4DD-4BFC-9376-F149970B967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2"/>
              <x14:cfIcon iconSet="3Symbols2" iconId="0"/>
              <x14:cfIcon iconSet="3Symbols2" iconId="2"/>
            </x14:iconSet>
          </x14:cfRule>
          <xm:sqref>E975:E976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KF102"/>
  <sheetViews>
    <sheetView view="pageBreakPreview" zoomScale="70" zoomScaleNormal="60" zoomScaleSheetLayoutView="70" workbookViewId="0">
      <pane xSplit="10" ySplit="9" topLeftCell="K48" activePane="bottomRight" state="frozen"/>
      <selection pane="topRight" activeCell="K1" sqref="K1"/>
      <selection pane="bottomLeft" activeCell="A10" sqref="A10"/>
      <selection pane="bottomRight" activeCell="H63" sqref="H63"/>
    </sheetView>
  </sheetViews>
  <sheetFormatPr defaultColWidth="0" defaultRowHeight="15" zeroHeight="1"/>
  <cols>
    <col min="1" max="2" width="1.7109375" customWidth="1"/>
    <col min="3" max="3" width="52.42578125" customWidth="1"/>
    <col min="4" max="4" width="1.7109375" customWidth="1"/>
    <col min="5" max="5" width="10.42578125" customWidth="1"/>
    <col min="6" max="6" width="2.28515625" customWidth="1"/>
    <col min="7" max="7" width="9.28515625" style="25" customWidth="1"/>
    <col min="8" max="8" width="1.7109375" customWidth="1"/>
    <col min="9" max="9" width="13.42578125" customWidth="1"/>
    <col min="10" max="11" width="2.28515625" customWidth="1"/>
    <col min="12" max="93" width="12.42578125" customWidth="1"/>
    <col min="94" max="106" width="0" hidden="1" customWidth="1"/>
    <col min="107" max="114" width="12.42578125" hidden="1" customWidth="1"/>
    <col min="115" max="126" width="0" hidden="1" customWidth="1"/>
    <col min="127" max="134" width="12.42578125" hidden="1" customWidth="1"/>
    <col min="135" max="146" width="0" hidden="1" customWidth="1"/>
    <col min="147" max="155" width="12.42578125" hidden="1" customWidth="1"/>
    <col min="156" max="211" width="0" hidden="1" customWidth="1"/>
    <col min="212" max="219" width="12.42578125" hidden="1" customWidth="1"/>
    <col min="220" max="243" width="0" hidden="1" customWidth="1"/>
    <col min="244" max="251" width="12.42578125" hidden="1" customWidth="1"/>
    <col min="252" max="263" width="0" hidden="1" customWidth="1"/>
    <col min="264" max="271" width="12.42578125" hidden="1" customWidth="1"/>
    <col min="272" max="283" width="0" hidden="1" customWidth="1"/>
    <col min="284" max="292" width="12.42578125" hidden="1" customWidth="1"/>
    <col min="293" max="16384" width="8.7109375" hidden="1"/>
  </cols>
  <sheetData>
    <row r="1" spans="1:93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552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BW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ref="BX6:CO6" si="1">YEAR(BX7)</f>
        <v>2041</v>
      </c>
      <c r="BY6" s="6">
        <f t="shared" si="1"/>
        <v>2041</v>
      </c>
      <c r="BZ6" s="6">
        <f t="shared" si="1"/>
        <v>2041</v>
      </c>
      <c r="CA6" s="6">
        <f t="shared" si="1"/>
        <v>2041</v>
      </c>
      <c r="CB6" s="6">
        <f t="shared" si="1"/>
        <v>2042</v>
      </c>
      <c r="CC6" s="6">
        <f t="shared" si="1"/>
        <v>2042</v>
      </c>
      <c r="CD6" s="6">
        <f t="shared" si="1"/>
        <v>2042</v>
      </c>
      <c r="CE6" s="6">
        <f t="shared" si="1"/>
        <v>2042</v>
      </c>
      <c r="CF6" s="6">
        <f t="shared" si="1"/>
        <v>2043</v>
      </c>
      <c r="CG6" s="6">
        <f t="shared" si="1"/>
        <v>2043</v>
      </c>
      <c r="CH6" s="6">
        <f t="shared" si="1"/>
        <v>2043</v>
      </c>
      <c r="CI6" s="6">
        <f t="shared" si="1"/>
        <v>2043</v>
      </c>
      <c r="CJ6" s="6">
        <f t="shared" si="1"/>
        <v>2044</v>
      </c>
      <c r="CK6" s="6">
        <f t="shared" si="1"/>
        <v>2044</v>
      </c>
      <c r="CL6" s="6">
        <f t="shared" si="1"/>
        <v>2044</v>
      </c>
      <c r="CM6" s="6">
        <f t="shared" si="1"/>
        <v>2044</v>
      </c>
      <c r="CN6" s="6">
        <f t="shared" si="1"/>
        <v>2045</v>
      </c>
      <c r="CO6" s="6">
        <f t="shared" si="1"/>
        <v>2045</v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BW7" si="2">Beginning_of_period</f>
        <v>45658</v>
      </c>
      <c r="M7" s="113">
        <f t="shared" si="2"/>
        <v>45748</v>
      </c>
      <c r="N7" s="113">
        <f t="shared" si="2"/>
        <v>45839</v>
      </c>
      <c r="O7" s="113">
        <f t="shared" si="2"/>
        <v>45931</v>
      </c>
      <c r="P7" s="113">
        <f t="shared" si="2"/>
        <v>46023</v>
      </c>
      <c r="Q7" s="113">
        <f t="shared" si="2"/>
        <v>46113</v>
      </c>
      <c r="R7" s="113">
        <f t="shared" si="2"/>
        <v>46204</v>
      </c>
      <c r="S7" s="113">
        <f t="shared" si="2"/>
        <v>46296</v>
      </c>
      <c r="T7" s="113">
        <f t="shared" si="2"/>
        <v>46388</v>
      </c>
      <c r="U7" s="113">
        <f t="shared" si="2"/>
        <v>46478</v>
      </c>
      <c r="V7" s="113">
        <f t="shared" si="2"/>
        <v>46569</v>
      </c>
      <c r="W7" s="113">
        <f t="shared" si="2"/>
        <v>46661</v>
      </c>
      <c r="X7" s="113">
        <f t="shared" si="2"/>
        <v>46753</v>
      </c>
      <c r="Y7" s="113">
        <f t="shared" si="2"/>
        <v>46844</v>
      </c>
      <c r="Z7" s="113">
        <f t="shared" si="2"/>
        <v>46935</v>
      </c>
      <c r="AA7" s="113">
        <f t="shared" si="2"/>
        <v>47027</v>
      </c>
      <c r="AB7" s="113">
        <f t="shared" si="2"/>
        <v>47119</v>
      </c>
      <c r="AC7" s="113">
        <f t="shared" si="2"/>
        <v>47209</v>
      </c>
      <c r="AD7" s="113">
        <f t="shared" si="2"/>
        <v>47300</v>
      </c>
      <c r="AE7" s="113">
        <f t="shared" si="2"/>
        <v>47392</v>
      </c>
      <c r="AF7" s="113">
        <f t="shared" si="2"/>
        <v>47484</v>
      </c>
      <c r="AG7" s="113">
        <f t="shared" si="2"/>
        <v>47574</v>
      </c>
      <c r="AH7" s="113">
        <f t="shared" si="2"/>
        <v>47665</v>
      </c>
      <c r="AI7" s="113">
        <f t="shared" si="2"/>
        <v>47757</v>
      </c>
      <c r="AJ7" s="113">
        <f t="shared" si="2"/>
        <v>47849</v>
      </c>
      <c r="AK7" s="113">
        <f t="shared" si="2"/>
        <v>47939</v>
      </c>
      <c r="AL7" s="113">
        <f t="shared" si="2"/>
        <v>48030</v>
      </c>
      <c r="AM7" s="113">
        <f t="shared" si="2"/>
        <v>48122</v>
      </c>
      <c r="AN7" s="113">
        <f t="shared" si="2"/>
        <v>48214</v>
      </c>
      <c r="AO7" s="113">
        <f t="shared" si="2"/>
        <v>48305</v>
      </c>
      <c r="AP7" s="113">
        <f t="shared" si="2"/>
        <v>48396</v>
      </c>
      <c r="AQ7" s="113">
        <f t="shared" si="2"/>
        <v>48488</v>
      </c>
      <c r="AR7" s="113">
        <f t="shared" si="2"/>
        <v>48580</v>
      </c>
      <c r="AS7" s="113">
        <f t="shared" si="2"/>
        <v>48670</v>
      </c>
      <c r="AT7" s="113">
        <f t="shared" si="2"/>
        <v>48761</v>
      </c>
      <c r="AU7" s="113">
        <f t="shared" si="2"/>
        <v>48853</v>
      </c>
      <c r="AV7" s="113">
        <f t="shared" si="2"/>
        <v>48945</v>
      </c>
      <c r="AW7" s="113">
        <f t="shared" si="2"/>
        <v>49035</v>
      </c>
      <c r="AX7" s="113">
        <f t="shared" si="2"/>
        <v>49126</v>
      </c>
      <c r="AY7" s="113">
        <f t="shared" si="2"/>
        <v>49218</v>
      </c>
      <c r="AZ7" s="113">
        <f t="shared" si="2"/>
        <v>49310</v>
      </c>
      <c r="BA7" s="113">
        <f t="shared" si="2"/>
        <v>49400</v>
      </c>
      <c r="BB7" s="113">
        <f t="shared" si="2"/>
        <v>49491</v>
      </c>
      <c r="BC7" s="113">
        <f t="shared" si="2"/>
        <v>49583</v>
      </c>
      <c r="BD7" s="113">
        <f t="shared" si="2"/>
        <v>49675</v>
      </c>
      <c r="BE7" s="113">
        <f t="shared" si="2"/>
        <v>49766</v>
      </c>
      <c r="BF7" s="113">
        <f t="shared" si="2"/>
        <v>49857</v>
      </c>
      <c r="BG7" s="113">
        <f t="shared" si="2"/>
        <v>49949</v>
      </c>
      <c r="BH7" s="113">
        <f t="shared" si="2"/>
        <v>50041</v>
      </c>
      <c r="BI7" s="113">
        <f t="shared" si="2"/>
        <v>50131</v>
      </c>
      <c r="BJ7" s="113">
        <f t="shared" si="2"/>
        <v>50222</v>
      </c>
      <c r="BK7" s="113">
        <f t="shared" si="2"/>
        <v>50314</v>
      </c>
      <c r="BL7" s="113">
        <f t="shared" si="2"/>
        <v>50406</v>
      </c>
      <c r="BM7" s="113">
        <f t="shared" si="2"/>
        <v>50496</v>
      </c>
      <c r="BN7" s="113">
        <f t="shared" si="2"/>
        <v>50587</v>
      </c>
      <c r="BO7" s="113">
        <f t="shared" si="2"/>
        <v>50679</v>
      </c>
      <c r="BP7" s="113">
        <f t="shared" si="2"/>
        <v>50771</v>
      </c>
      <c r="BQ7" s="113">
        <f t="shared" si="2"/>
        <v>50861</v>
      </c>
      <c r="BR7" s="113">
        <f t="shared" si="2"/>
        <v>50952</v>
      </c>
      <c r="BS7" s="113">
        <f t="shared" si="2"/>
        <v>51044</v>
      </c>
      <c r="BT7" s="113">
        <f t="shared" si="2"/>
        <v>51136</v>
      </c>
      <c r="BU7" s="113">
        <f t="shared" si="2"/>
        <v>51227</v>
      </c>
      <c r="BV7" s="113">
        <f t="shared" si="2"/>
        <v>51318</v>
      </c>
      <c r="BW7" s="113">
        <f t="shared" si="2"/>
        <v>51410</v>
      </c>
      <c r="BX7" s="113">
        <f t="shared" ref="BX7:CO7" si="3">Beginning_of_period</f>
        <v>51502</v>
      </c>
      <c r="BY7" s="113">
        <f t="shared" si="3"/>
        <v>51592</v>
      </c>
      <c r="BZ7" s="113">
        <f t="shared" si="3"/>
        <v>51683</v>
      </c>
      <c r="CA7" s="113">
        <f t="shared" si="3"/>
        <v>51775</v>
      </c>
      <c r="CB7" s="113">
        <f t="shared" si="3"/>
        <v>51867</v>
      </c>
      <c r="CC7" s="113">
        <f t="shared" si="3"/>
        <v>51957</v>
      </c>
      <c r="CD7" s="113">
        <f t="shared" si="3"/>
        <v>52048</v>
      </c>
      <c r="CE7" s="113">
        <f t="shared" si="3"/>
        <v>52140</v>
      </c>
      <c r="CF7" s="113">
        <f t="shared" si="3"/>
        <v>52232</v>
      </c>
      <c r="CG7" s="113">
        <f t="shared" si="3"/>
        <v>52322</v>
      </c>
      <c r="CH7" s="113">
        <f t="shared" si="3"/>
        <v>52413</v>
      </c>
      <c r="CI7" s="113">
        <f t="shared" si="3"/>
        <v>52505</v>
      </c>
      <c r="CJ7" s="113">
        <f t="shared" si="3"/>
        <v>52597</v>
      </c>
      <c r="CK7" s="113">
        <f t="shared" si="3"/>
        <v>52688</v>
      </c>
      <c r="CL7" s="113">
        <f t="shared" si="3"/>
        <v>52779</v>
      </c>
      <c r="CM7" s="113">
        <f t="shared" si="3"/>
        <v>52871</v>
      </c>
      <c r="CN7" s="113">
        <f t="shared" si="3"/>
        <v>52963</v>
      </c>
      <c r="CO7" s="113">
        <f t="shared" si="3"/>
        <v>53053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BW8" si="4">End_of_period</f>
        <v>45747</v>
      </c>
      <c r="M8" s="113">
        <f t="shared" si="4"/>
        <v>45838</v>
      </c>
      <c r="N8" s="113">
        <f t="shared" si="4"/>
        <v>45930</v>
      </c>
      <c r="O8" s="113">
        <f t="shared" si="4"/>
        <v>46022</v>
      </c>
      <c r="P8" s="113">
        <f t="shared" si="4"/>
        <v>46112</v>
      </c>
      <c r="Q8" s="113">
        <f t="shared" si="4"/>
        <v>46203</v>
      </c>
      <c r="R8" s="113">
        <f t="shared" si="4"/>
        <v>46295</v>
      </c>
      <c r="S8" s="113">
        <f t="shared" si="4"/>
        <v>46387</v>
      </c>
      <c r="T8" s="113">
        <f t="shared" si="4"/>
        <v>46477</v>
      </c>
      <c r="U8" s="113">
        <f t="shared" si="4"/>
        <v>46568</v>
      </c>
      <c r="V8" s="113">
        <f t="shared" si="4"/>
        <v>46660</v>
      </c>
      <c r="W8" s="113">
        <f t="shared" si="4"/>
        <v>46752</v>
      </c>
      <c r="X8" s="113">
        <f t="shared" si="4"/>
        <v>46843</v>
      </c>
      <c r="Y8" s="113">
        <f t="shared" si="4"/>
        <v>46934</v>
      </c>
      <c r="Z8" s="113">
        <f t="shared" si="4"/>
        <v>47026</v>
      </c>
      <c r="AA8" s="113">
        <f t="shared" si="4"/>
        <v>47118</v>
      </c>
      <c r="AB8" s="113">
        <f t="shared" si="4"/>
        <v>47208</v>
      </c>
      <c r="AC8" s="113">
        <f t="shared" si="4"/>
        <v>47299</v>
      </c>
      <c r="AD8" s="113">
        <f t="shared" si="4"/>
        <v>47391</v>
      </c>
      <c r="AE8" s="113">
        <f t="shared" si="4"/>
        <v>47483</v>
      </c>
      <c r="AF8" s="113">
        <f t="shared" si="4"/>
        <v>47573</v>
      </c>
      <c r="AG8" s="113">
        <f t="shared" si="4"/>
        <v>47664</v>
      </c>
      <c r="AH8" s="113">
        <f t="shared" si="4"/>
        <v>47756</v>
      </c>
      <c r="AI8" s="113">
        <f t="shared" si="4"/>
        <v>47848</v>
      </c>
      <c r="AJ8" s="113">
        <f t="shared" si="4"/>
        <v>47938</v>
      </c>
      <c r="AK8" s="113">
        <f t="shared" si="4"/>
        <v>48029</v>
      </c>
      <c r="AL8" s="113">
        <f t="shared" si="4"/>
        <v>48121</v>
      </c>
      <c r="AM8" s="113">
        <f t="shared" si="4"/>
        <v>48213</v>
      </c>
      <c r="AN8" s="113">
        <f t="shared" si="4"/>
        <v>48304</v>
      </c>
      <c r="AO8" s="113">
        <f t="shared" si="4"/>
        <v>48395</v>
      </c>
      <c r="AP8" s="113">
        <f t="shared" si="4"/>
        <v>48487</v>
      </c>
      <c r="AQ8" s="113">
        <f t="shared" si="4"/>
        <v>48579</v>
      </c>
      <c r="AR8" s="113">
        <f t="shared" si="4"/>
        <v>48669</v>
      </c>
      <c r="AS8" s="113">
        <f t="shared" si="4"/>
        <v>48760</v>
      </c>
      <c r="AT8" s="113">
        <f t="shared" si="4"/>
        <v>48852</v>
      </c>
      <c r="AU8" s="113">
        <f t="shared" si="4"/>
        <v>48944</v>
      </c>
      <c r="AV8" s="113">
        <f t="shared" si="4"/>
        <v>49034</v>
      </c>
      <c r="AW8" s="113">
        <f t="shared" si="4"/>
        <v>49125</v>
      </c>
      <c r="AX8" s="113">
        <f t="shared" si="4"/>
        <v>49217</v>
      </c>
      <c r="AY8" s="113">
        <f t="shared" si="4"/>
        <v>49309</v>
      </c>
      <c r="AZ8" s="113">
        <f t="shared" si="4"/>
        <v>49399</v>
      </c>
      <c r="BA8" s="113">
        <f t="shared" si="4"/>
        <v>49490</v>
      </c>
      <c r="BB8" s="113">
        <f t="shared" si="4"/>
        <v>49582</v>
      </c>
      <c r="BC8" s="113">
        <f t="shared" si="4"/>
        <v>49674</v>
      </c>
      <c r="BD8" s="113">
        <f t="shared" si="4"/>
        <v>49765</v>
      </c>
      <c r="BE8" s="113">
        <f t="shared" si="4"/>
        <v>49856</v>
      </c>
      <c r="BF8" s="113">
        <f t="shared" si="4"/>
        <v>49948</v>
      </c>
      <c r="BG8" s="113">
        <f t="shared" si="4"/>
        <v>50040</v>
      </c>
      <c r="BH8" s="113">
        <f t="shared" si="4"/>
        <v>50130</v>
      </c>
      <c r="BI8" s="113">
        <f t="shared" si="4"/>
        <v>50221</v>
      </c>
      <c r="BJ8" s="113">
        <f t="shared" si="4"/>
        <v>50313</v>
      </c>
      <c r="BK8" s="113">
        <f t="shared" si="4"/>
        <v>50405</v>
      </c>
      <c r="BL8" s="113">
        <f t="shared" si="4"/>
        <v>50495</v>
      </c>
      <c r="BM8" s="113">
        <f t="shared" si="4"/>
        <v>50586</v>
      </c>
      <c r="BN8" s="113">
        <f t="shared" si="4"/>
        <v>50678</v>
      </c>
      <c r="BO8" s="113">
        <f t="shared" si="4"/>
        <v>50770</v>
      </c>
      <c r="BP8" s="113">
        <f t="shared" si="4"/>
        <v>50860</v>
      </c>
      <c r="BQ8" s="113">
        <f t="shared" si="4"/>
        <v>50951</v>
      </c>
      <c r="BR8" s="113">
        <f t="shared" si="4"/>
        <v>51043</v>
      </c>
      <c r="BS8" s="113">
        <f t="shared" si="4"/>
        <v>51135</v>
      </c>
      <c r="BT8" s="113">
        <f t="shared" si="4"/>
        <v>51226</v>
      </c>
      <c r="BU8" s="113">
        <f t="shared" si="4"/>
        <v>51317</v>
      </c>
      <c r="BV8" s="113">
        <f t="shared" si="4"/>
        <v>51409</v>
      </c>
      <c r="BW8" s="113">
        <f t="shared" si="4"/>
        <v>51501</v>
      </c>
      <c r="BX8" s="113">
        <f t="shared" ref="BX8:CO8" si="5">End_of_period</f>
        <v>51591</v>
      </c>
      <c r="BY8" s="113">
        <f t="shared" si="5"/>
        <v>51682</v>
      </c>
      <c r="BZ8" s="113">
        <f t="shared" si="5"/>
        <v>51774</v>
      </c>
      <c r="CA8" s="113">
        <f t="shared" si="5"/>
        <v>51866</v>
      </c>
      <c r="CB8" s="113">
        <f t="shared" si="5"/>
        <v>51956</v>
      </c>
      <c r="CC8" s="113">
        <f t="shared" si="5"/>
        <v>52047</v>
      </c>
      <c r="CD8" s="113">
        <f t="shared" si="5"/>
        <v>52139</v>
      </c>
      <c r="CE8" s="113">
        <f t="shared" si="5"/>
        <v>52231</v>
      </c>
      <c r="CF8" s="113">
        <f t="shared" si="5"/>
        <v>52321</v>
      </c>
      <c r="CG8" s="113">
        <f t="shared" si="5"/>
        <v>52412</v>
      </c>
      <c r="CH8" s="113">
        <f t="shared" si="5"/>
        <v>52504</v>
      </c>
      <c r="CI8" s="113">
        <f t="shared" si="5"/>
        <v>52596</v>
      </c>
      <c r="CJ8" s="113">
        <f t="shared" si="5"/>
        <v>52687</v>
      </c>
      <c r="CK8" s="113">
        <f t="shared" si="5"/>
        <v>52778</v>
      </c>
      <c r="CL8" s="113">
        <f t="shared" si="5"/>
        <v>52870</v>
      </c>
      <c r="CM8" s="113">
        <f t="shared" si="5"/>
        <v>52962</v>
      </c>
      <c r="CN8" s="113">
        <f t="shared" si="5"/>
        <v>53052</v>
      </c>
      <c r="CO8" s="113">
        <f t="shared" si="5"/>
        <v>53143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BW9" si="6">IF(Flag_Construction,1,2)*Flag_Financial_Model</f>
        <v>1</v>
      </c>
      <c r="M9" s="152">
        <f t="shared" si="6"/>
        <v>1</v>
      </c>
      <c r="N9" s="152">
        <f t="shared" si="6"/>
        <v>1</v>
      </c>
      <c r="O9" s="152">
        <f t="shared" si="6"/>
        <v>1</v>
      </c>
      <c r="P9" s="152">
        <f t="shared" si="6"/>
        <v>1</v>
      </c>
      <c r="Q9" s="152">
        <f t="shared" si="6"/>
        <v>1</v>
      </c>
      <c r="R9" s="152">
        <f t="shared" si="6"/>
        <v>1</v>
      </c>
      <c r="S9" s="152">
        <f t="shared" si="6"/>
        <v>1</v>
      </c>
      <c r="T9" s="152">
        <f t="shared" si="6"/>
        <v>1</v>
      </c>
      <c r="U9" s="152">
        <f t="shared" si="6"/>
        <v>1</v>
      </c>
      <c r="V9" s="152">
        <f t="shared" si="6"/>
        <v>1</v>
      </c>
      <c r="W9" s="152">
        <f t="shared" si="6"/>
        <v>1</v>
      </c>
      <c r="X9" s="152">
        <f t="shared" si="6"/>
        <v>1</v>
      </c>
      <c r="Y9" s="152">
        <f t="shared" si="6"/>
        <v>1</v>
      </c>
      <c r="Z9" s="152">
        <f t="shared" si="6"/>
        <v>1</v>
      </c>
      <c r="AA9" s="152">
        <f t="shared" si="6"/>
        <v>1</v>
      </c>
      <c r="AB9" s="152">
        <f t="shared" si="6"/>
        <v>1</v>
      </c>
      <c r="AC9" s="152">
        <f t="shared" si="6"/>
        <v>2</v>
      </c>
      <c r="AD9" s="152">
        <f t="shared" si="6"/>
        <v>2</v>
      </c>
      <c r="AE9" s="152">
        <f t="shared" si="6"/>
        <v>2</v>
      </c>
      <c r="AF9" s="152">
        <f t="shared" si="6"/>
        <v>2</v>
      </c>
      <c r="AG9" s="152">
        <f t="shared" si="6"/>
        <v>2</v>
      </c>
      <c r="AH9" s="152">
        <f t="shared" si="6"/>
        <v>2</v>
      </c>
      <c r="AI9" s="152">
        <f t="shared" si="6"/>
        <v>2</v>
      </c>
      <c r="AJ9" s="152">
        <f t="shared" si="6"/>
        <v>2</v>
      </c>
      <c r="AK9" s="152">
        <f t="shared" si="6"/>
        <v>2</v>
      </c>
      <c r="AL9" s="152">
        <f t="shared" si="6"/>
        <v>2</v>
      </c>
      <c r="AM9" s="152">
        <f t="shared" si="6"/>
        <v>2</v>
      </c>
      <c r="AN9" s="152">
        <f t="shared" si="6"/>
        <v>2</v>
      </c>
      <c r="AO9" s="152">
        <f t="shared" si="6"/>
        <v>2</v>
      </c>
      <c r="AP9" s="152">
        <f t="shared" si="6"/>
        <v>2</v>
      </c>
      <c r="AQ9" s="152">
        <f t="shared" si="6"/>
        <v>2</v>
      </c>
      <c r="AR9" s="152">
        <f t="shared" si="6"/>
        <v>2</v>
      </c>
      <c r="AS9" s="152">
        <f t="shared" si="6"/>
        <v>2</v>
      </c>
      <c r="AT9" s="152">
        <f t="shared" si="6"/>
        <v>2</v>
      </c>
      <c r="AU9" s="152">
        <f t="shared" si="6"/>
        <v>2</v>
      </c>
      <c r="AV9" s="152">
        <f t="shared" si="6"/>
        <v>2</v>
      </c>
      <c r="AW9" s="152">
        <f t="shared" si="6"/>
        <v>2</v>
      </c>
      <c r="AX9" s="152">
        <f t="shared" si="6"/>
        <v>2</v>
      </c>
      <c r="AY9" s="152">
        <f t="shared" si="6"/>
        <v>2</v>
      </c>
      <c r="AZ9" s="152">
        <f t="shared" si="6"/>
        <v>2</v>
      </c>
      <c r="BA9" s="152">
        <f t="shared" si="6"/>
        <v>2</v>
      </c>
      <c r="BB9" s="152">
        <f t="shared" si="6"/>
        <v>2</v>
      </c>
      <c r="BC9" s="152">
        <f t="shared" si="6"/>
        <v>2</v>
      </c>
      <c r="BD9" s="152">
        <f t="shared" si="6"/>
        <v>2</v>
      </c>
      <c r="BE9" s="152">
        <f t="shared" si="6"/>
        <v>2</v>
      </c>
      <c r="BF9" s="152">
        <f t="shared" si="6"/>
        <v>2</v>
      </c>
      <c r="BG9" s="152">
        <f t="shared" si="6"/>
        <v>2</v>
      </c>
      <c r="BH9" s="152">
        <f t="shared" si="6"/>
        <v>2</v>
      </c>
      <c r="BI9" s="152">
        <f t="shared" si="6"/>
        <v>2</v>
      </c>
      <c r="BJ9" s="152">
        <f t="shared" si="6"/>
        <v>2</v>
      </c>
      <c r="BK9" s="152">
        <f t="shared" si="6"/>
        <v>2</v>
      </c>
      <c r="BL9" s="152">
        <f t="shared" si="6"/>
        <v>2</v>
      </c>
      <c r="BM9" s="152">
        <f t="shared" si="6"/>
        <v>2</v>
      </c>
      <c r="BN9" s="152">
        <f t="shared" si="6"/>
        <v>2</v>
      </c>
      <c r="BO9" s="152">
        <f t="shared" si="6"/>
        <v>2</v>
      </c>
      <c r="BP9" s="152">
        <f t="shared" si="6"/>
        <v>2</v>
      </c>
      <c r="BQ9" s="152">
        <f t="shared" si="6"/>
        <v>2</v>
      </c>
      <c r="BR9" s="152">
        <f t="shared" si="6"/>
        <v>2</v>
      </c>
      <c r="BS9" s="152">
        <f t="shared" si="6"/>
        <v>2</v>
      </c>
      <c r="BT9" s="152">
        <f t="shared" si="6"/>
        <v>2</v>
      </c>
      <c r="BU9" s="152">
        <f t="shared" si="6"/>
        <v>2</v>
      </c>
      <c r="BV9" s="152">
        <f t="shared" si="6"/>
        <v>2</v>
      </c>
      <c r="BW9" s="152">
        <f t="shared" si="6"/>
        <v>2</v>
      </c>
      <c r="BX9" s="152">
        <f t="shared" ref="BX9:CO9" si="7">IF(Flag_Construction,1,2)*Flag_Financial_Model</f>
        <v>2</v>
      </c>
      <c r="BY9" s="152">
        <f t="shared" si="7"/>
        <v>2</v>
      </c>
      <c r="BZ9" s="152">
        <f t="shared" si="7"/>
        <v>2</v>
      </c>
      <c r="CA9" s="152">
        <f t="shared" si="7"/>
        <v>2</v>
      </c>
      <c r="CB9" s="152">
        <f t="shared" si="7"/>
        <v>2</v>
      </c>
      <c r="CC9" s="152">
        <f t="shared" si="7"/>
        <v>2</v>
      </c>
      <c r="CD9" s="152">
        <f t="shared" si="7"/>
        <v>2</v>
      </c>
      <c r="CE9" s="152">
        <f t="shared" si="7"/>
        <v>2</v>
      </c>
      <c r="CF9" s="152">
        <f t="shared" si="7"/>
        <v>2</v>
      </c>
      <c r="CG9" s="152">
        <f t="shared" si="7"/>
        <v>2</v>
      </c>
      <c r="CH9" s="152">
        <f t="shared" si="7"/>
        <v>2</v>
      </c>
      <c r="CI9" s="152">
        <f t="shared" si="7"/>
        <v>2</v>
      </c>
      <c r="CJ9" s="152">
        <f t="shared" si="7"/>
        <v>2</v>
      </c>
      <c r="CK9" s="152">
        <f t="shared" si="7"/>
        <v>2</v>
      </c>
      <c r="CL9" s="152">
        <f t="shared" si="7"/>
        <v>2</v>
      </c>
      <c r="CM9" s="152">
        <f t="shared" si="7"/>
        <v>2</v>
      </c>
      <c r="CN9" s="152">
        <f t="shared" si="7"/>
        <v>2</v>
      </c>
      <c r="CO9" s="152">
        <f t="shared" si="7"/>
        <v>2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3"/>
      <c r="B11" s="5" t="s">
        <v>311</v>
      </c>
      <c r="C11" s="5"/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>
      <c r="A12" s="73"/>
      <c r="B12" s="73"/>
      <c r="C12" s="73"/>
      <c r="D12" s="73"/>
      <c r="E12" s="74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133" customFormat="1">
      <c r="A13" s="10"/>
      <c r="B13" s="130" t="s">
        <v>62</v>
      </c>
      <c r="C13" s="35" t="s">
        <v>63</v>
      </c>
      <c r="D13" s="130"/>
      <c r="E13" s="47"/>
      <c r="F13" s="130"/>
      <c r="G13" s="131" t="str">
        <f>Monetary_Unit</f>
        <v>тыс. руб.</v>
      </c>
      <c r="H13" s="130"/>
      <c r="I13" s="10"/>
      <c r="J13" s="10"/>
      <c r="K13" s="10"/>
      <c r="L13" s="132">
        <f t="shared" ref="L13:AQ13" ca="1" si="8">SUM(L14:L15)</f>
        <v>17121.529460233251</v>
      </c>
      <c r="M13" s="132">
        <f t="shared" ca="1" si="8"/>
        <v>35032.383860963273</v>
      </c>
      <c r="N13" s="132">
        <f t="shared" ca="1" si="8"/>
        <v>53784.751447582821</v>
      </c>
      <c r="O13" s="132">
        <f t="shared" ca="1" si="8"/>
        <v>73412.613832305549</v>
      </c>
      <c r="P13" s="132">
        <f t="shared" ca="1" si="8"/>
        <v>224881.11523929369</v>
      </c>
      <c r="Q13" s="132">
        <f t="shared" ca="1" si="8"/>
        <v>381546.10000470944</v>
      </c>
      <c r="R13" s="132">
        <f t="shared" ca="1" si="8"/>
        <v>543689.4681553659</v>
      </c>
      <c r="S13" s="132">
        <f t="shared" ca="1" si="8"/>
        <v>711442.88469485159</v>
      </c>
      <c r="T13" s="132">
        <f t="shared" ca="1" si="8"/>
        <v>881496.15545747825</v>
      </c>
      <c r="U13" s="132">
        <f t="shared" ca="1" si="8"/>
        <v>1058609.3566000515</v>
      </c>
      <c r="V13" s="132">
        <f t="shared" ca="1" si="8"/>
        <v>1240664.9114058595</v>
      </c>
      <c r="W13" s="132">
        <f t="shared" ca="1" si="8"/>
        <v>1427536.0451342026</v>
      </c>
      <c r="X13" s="132">
        <f t="shared" ca="1" si="8"/>
        <v>1766454.9388419648</v>
      </c>
      <c r="Y13" s="132">
        <f t="shared" ca="1" si="8"/>
        <v>2114137.0073265168</v>
      </c>
      <c r="Z13" s="132">
        <f t="shared" ca="1" si="8"/>
        <v>2471260.2142106122</v>
      </c>
      <c r="AA13" s="132">
        <f t="shared" ca="1" si="8"/>
        <v>2837610.5859134705</v>
      </c>
      <c r="AB13" s="132">
        <f t="shared" ca="1" si="8"/>
        <v>3445673.1177906296</v>
      </c>
      <c r="AC13" s="132">
        <f t="shared" ca="1" si="8"/>
        <v>3398805.3945659217</v>
      </c>
      <c r="AD13" s="132">
        <f t="shared" ca="1" si="8"/>
        <v>3351937.6713412139</v>
      </c>
      <c r="AE13" s="132">
        <f t="shared" ca="1" si="8"/>
        <v>3305069.948116506</v>
      </c>
      <c r="AF13" s="132">
        <f t="shared" ca="1" si="8"/>
        <v>3258202.2248917981</v>
      </c>
      <c r="AG13" s="132">
        <f t="shared" ca="1" si="8"/>
        <v>3211334.5016670902</v>
      </c>
      <c r="AH13" s="132">
        <f t="shared" ca="1" si="8"/>
        <v>3164466.7784423823</v>
      </c>
      <c r="AI13" s="132">
        <f t="shared" ca="1" si="8"/>
        <v>3117599.0552176745</v>
      </c>
      <c r="AJ13" s="132">
        <f t="shared" ca="1" si="8"/>
        <v>3070731.3319929666</v>
      </c>
      <c r="AK13" s="132">
        <f t="shared" ca="1" si="8"/>
        <v>3023863.6087682587</v>
      </c>
      <c r="AL13" s="132">
        <f t="shared" ca="1" si="8"/>
        <v>2976995.8855435508</v>
      </c>
      <c r="AM13" s="132">
        <f t="shared" ca="1" si="8"/>
        <v>2930128.162318843</v>
      </c>
      <c r="AN13" s="132">
        <f t="shared" ca="1" si="8"/>
        <v>2883260.4390941351</v>
      </c>
      <c r="AO13" s="132">
        <f t="shared" ca="1" si="8"/>
        <v>2836392.7158694272</v>
      </c>
      <c r="AP13" s="132">
        <f t="shared" ca="1" si="8"/>
        <v>2789524.9926447193</v>
      </c>
      <c r="AQ13" s="132">
        <f t="shared" ca="1" si="8"/>
        <v>2742657.2694200114</v>
      </c>
      <c r="AR13" s="132">
        <f t="shared" ref="AR13:BW13" ca="1" si="9">SUM(AR14:AR15)</f>
        <v>2695789.5461953036</v>
      </c>
      <c r="AS13" s="132">
        <f t="shared" ca="1" si="9"/>
        <v>2648921.8229705957</v>
      </c>
      <c r="AT13" s="132">
        <f t="shared" ca="1" si="9"/>
        <v>2602054.0997458878</v>
      </c>
      <c r="AU13" s="132">
        <f t="shared" ca="1" si="9"/>
        <v>2555186.3765211799</v>
      </c>
      <c r="AV13" s="132">
        <f t="shared" ca="1" si="9"/>
        <v>2508318.653296472</v>
      </c>
      <c r="AW13" s="132">
        <f t="shared" ca="1" si="9"/>
        <v>2461450.9300717642</v>
      </c>
      <c r="AX13" s="132">
        <f t="shared" ca="1" si="9"/>
        <v>2414583.2068470563</v>
      </c>
      <c r="AY13" s="132">
        <f t="shared" ca="1" si="9"/>
        <v>2367715.4836223484</v>
      </c>
      <c r="AZ13" s="132">
        <f t="shared" ca="1" si="9"/>
        <v>2320847.7603976405</v>
      </c>
      <c r="BA13" s="132">
        <f t="shared" ca="1" si="9"/>
        <v>2273980.0371729326</v>
      </c>
      <c r="BB13" s="132">
        <f t="shared" ca="1" si="9"/>
        <v>2227112.3139482248</v>
      </c>
      <c r="BC13" s="132">
        <f t="shared" ca="1" si="9"/>
        <v>2180244.5907235169</v>
      </c>
      <c r="BD13" s="132">
        <f t="shared" ca="1" si="9"/>
        <v>2133376.867498809</v>
      </c>
      <c r="BE13" s="132">
        <f t="shared" ca="1" si="9"/>
        <v>2110187.9885042566</v>
      </c>
      <c r="BF13" s="132">
        <f t="shared" ca="1" si="9"/>
        <v>2086999.1095097044</v>
      </c>
      <c r="BG13" s="132">
        <f t="shared" ca="1" si="9"/>
        <v>2063810.2305151522</v>
      </c>
      <c r="BH13" s="132">
        <f t="shared" ca="1" si="9"/>
        <v>2040621.3515206</v>
      </c>
      <c r="BI13" s="132">
        <f t="shared" ca="1" si="9"/>
        <v>2017432.4725260478</v>
      </c>
      <c r="BJ13" s="132">
        <f t="shared" ca="1" si="9"/>
        <v>1994243.5935314957</v>
      </c>
      <c r="BK13" s="132">
        <f t="shared" ca="1" si="9"/>
        <v>1971054.7145369435</v>
      </c>
      <c r="BL13" s="132">
        <f t="shared" ca="1" si="9"/>
        <v>1947865.8355423913</v>
      </c>
      <c r="BM13" s="132">
        <f t="shared" ca="1" si="9"/>
        <v>1924676.9565478391</v>
      </c>
      <c r="BN13" s="132">
        <f t="shared" ca="1" si="9"/>
        <v>1901488.0775532869</v>
      </c>
      <c r="BO13" s="132">
        <f t="shared" ca="1" si="9"/>
        <v>1878299.1985587347</v>
      </c>
      <c r="BP13" s="132">
        <f t="shared" ca="1" si="9"/>
        <v>1855110.3195641825</v>
      </c>
      <c r="BQ13" s="132">
        <f t="shared" ca="1" si="9"/>
        <v>1831921.4405696304</v>
      </c>
      <c r="BR13" s="132">
        <f t="shared" ca="1" si="9"/>
        <v>1808732.5615750782</v>
      </c>
      <c r="BS13" s="132">
        <f t="shared" ca="1" si="9"/>
        <v>1785543.682580526</v>
      </c>
      <c r="BT13" s="132">
        <f t="shared" ca="1" si="9"/>
        <v>1762354.8035859738</v>
      </c>
      <c r="BU13" s="132">
        <f t="shared" ca="1" si="9"/>
        <v>1739165.9245914216</v>
      </c>
      <c r="BV13" s="132">
        <f t="shared" ca="1" si="9"/>
        <v>1715977.0455968694</v>
      </c>
      <c r="BW13" s="132">
        <f t="shared" ca="1" si="9"/>
        <v>1692788.1666023172</v>
      </c>
      <c r="BX13" s="132">
        <f t="shared" ref="BX13:CO13" ca="1" si="10">SUM(BX14:BX15)</f>
        <v>1669599.2876077651</v>
      </c>
      <c r="BY13" s="132">
        <f t="shared" ca="1" si="10"/>
        <v>1646410.4086132129</v>
      </c>
      <c r="BZ13" s="132">
        <f t="shared" ca="1" si="10"/>
        <v>1623221.5296186607</v>
      </c>
      <c r="CA13" s="132">
        <f t="shared" ca="1" si="10"/>
        <v>1600032.6506241085</v>
      </c>
      <c r="CB13" s="132">
        <f t="shared" ca="1" si="10"/>
        <v>1576843.7716295563</v>
      </c>
      <c r="CC13" s="132">
        <f t="shared" ca="1" si="10"/>
        <v>1553654.8926350041</v>
      </c>
      <c r="CD13" s="132">
        <f t="shared" ca="1" si="10"/>
        <v>1530466.0136404519</v>
      </c>
      <c r="CE13" s="132">
        <f t="shared" ca="1" si="10"/>
        <v>1507277.1346458998</v>
      </c>
      <c r="CF13" s="132">
        <f t="shared" ca="1" si="10"/>
        <v>1484088.2556513476</v>
      </c>
      <c r="CG13" s="132">
        <f t="shared" ca="1" si="10"/>
        <v>1460899.3766567954</v>
      </c>
      <c r="CH13" s="132">
        <f t="shared" ca="1" si="10"/>
        <v>1437710.4976622432</v>
      </c>
      <c r="CI13" s="132">
        <f t="shared" ca="1" si="10"/>
        <v>1414521.618667691</v>
      </c>
      <c r="CJ13" s="132">
        <f t="shared" ca="1" si="10"/>
        <v>1391332.7396731388</v>
      </c>
      <c r="CK13" s="132">
        <f t="shared" ca="1" si="10"/>
        <v>1368143.8606785866</v>
      </c>
      <c r="CL13" s="132">
        <f t="shared" ca="1" si="10"/>
        <v>1344954.9816840345</v>
      </c>
      <c r="CM13" s="132">
        <f t="shared" ca="1" si="10"/>
        <v>1321766.1026894823</v>
      </c>
      <c r="CN13" s="132">
        <f t="shared" ca="1" si="10"/>
        <v>1298577.2236949301</v>
      </c>
      <c r="CO13" s="132">
        <f t="shared" ca="1" si="10"/>
        <v>1275388.3447003779</v>
      </c>
    </row>
    <row r="14" spans="1:93" s="133" customFormat="1" ht="14.25">
      <c r="A14" s="10"/>
      <c r="B14" s="10"/>
      <c r="C14" s="10" t="s">
        <v>64</v>
      </c>
      <c r="D14" s="10"/>
      <c r="E14" s="10"/>
      <c r="F14" s="10"/>
      <c r="G14" s="134" t="str">
        <f>Monetary_Unit</f>
        <v>тыс. руб.</v>
      </c>
      <c r="H14" s="10"/>
      <c r="I14" s="10"/>
      <c r="J14" s="10"/>
      <c r="K14" s="10"/>
      <c r="L14" s="10">
        <f t="shared" ref="L14:BW14" ca="1" si="11">CIP_EoP</f>
        <v>17121.529460233251</v>
      </c>
      <c r="M14" s="10">
        <f t="shared" ca="1" si="11"/>
        <v>35032.383860963273</v>
      </c>
      <c r="N14" s="10">
        <f t="shared" ca="1" si="11"/>
        <v>53784.751447582821</v>
      </c>
      <c r="O14" s="10">
        <f t="shared" ca="1" si="11"/>
        <v>73412.613832305549</v>
      </c>
      <c r="P14" s="10">
        <f t="shared" ca="1" si="11"/>
        <v>224881.11523929369</v>
      </c>
      <c r="Q14" s="10">
        <f t="shared" ca="1" si="11"/>
        <v>381546.10000470944</v>
      </c>
      <c r="R14" s="10">
        <f t="shared" ca="1" si="11"/>
        <v>543689.4681553659</v>
      </c>
      <c r="S14" s="10">
        <f t="shared" ca="1" si="11"/>
        <v>711442.88469485159</v>
      </c>
      <c r="T14" s="10">
        <f t="shared" ca="1" si="11"/>
        <v>881496.15545747825</v>
      </c>
      <c r="U14" s="10">
        <f t="shared" ca="1" si="11"/>
        <v>1058609.3566000515</v>
      </c>
      <c r="V14" s="10">
        <f t="shared" ca="1" si="11"/>
        <v>1240664.9114058595</v>
      </c>
      <c r="W14" s="10">
        <f t="shared" ca="1" si="11"/>
        <v>1427536.0451342026</v>
      </c>
      <c r="X14" s="10">
        <f t="shared" ca="1" si="11"/>
        <v>1766454.9388419648</v>
      </c>
      <c r="Y14" s="10">
        <f t="shared" ca="1" si="11"/>
        <v>2114137.0073265168</v>
      </c>
      <c r="Z14" s="10">
        <f t="shared" ca="1" si="11"/>
        <v>2471260.2142106122</v>
      </c>
      <c r="AA14" s="10">
        <f t="shared" ca="1" si="11"/>
        <v>2837610.5859134705</v>
      </c>
      <c r="AB14" s="10">
        <f t="shared" ca="1" si="11"/>
        <v>0</v>
      </c>
      <c r="AC14" s="10">
        <f t="shared" ca="1" si="11"/>
        <v>0</v>
      </c>
      <c r="AD14" s="10">
        <f t="shared" ca="1" si="11"/>
        <v>0</v>
      </c>
      <c r="AE14" s="10">
        <f t="shared" ca="1" si="11"/>
        <v>0</v>
      </c>
      <c r="AF14" s="10">
        <f t="shared" ca="1" si="11"/>
        <v>0</v>
      </c>
      <c r="AG14" s="10">
        <f t="shared" ca="1" si="11"/>
        <v>0</v>
      </c>
      <c r="AH14" s="10">
        <f t="shared" ca="1" si="11"/>
        <v>0</v>
      </c>
      <c r="AI14" s="10">
        <f t="shared" ca="1" si="11"/>
        <v>0</v>
      </c>
      <c r="AJ14" s="10">
        <f t="shared" ca="1" si="11"/>
        <v>0</v>
      </c>
      <c r="AK14" s="10">
        <f t="shared" ca="1" si="11"/>
        <v>0</v>
      </c>
      <c r="AL14" s="10">
        <f t="shared" ca="1" si="11"/>
        <v>0</v>
      </c>
      <c r="AM14" s="10">
        <f t="shared" ca="1" si="11"/>
        <v>0</v>
      </c>
      <c r="AN14" s="10">
        <f t="shared" ca="1" si="11"/>
        <v>0</v>
      </c>
      <c r="AO14" s="10">
        <f t="shared" ca="1" si="11"/>
        <v>0</v>
      </c>
      <c r="AP14" s="10">
        <f t="shared" ca="1" si="11"/>
        <v>0</v>
      </c>
      <c r="AQ14" s="10">
        <f t="shared" ca="1" si="11"/>
        <v>0</v>
      </c>
      <c r="AR14" s="10">
        <f t="shared" ca="1" si="11"/>
        <v>0</v>
      </c>
      <c r="AS14" s="10">
        <f t="shared" ca="1" si="11"/>
        <v>0</v>
      </c>
      <c r="AT14" s="10">
        <f t="shared" ca="1" si="11"/>
        <v>0</v>
      </c>
      <c r="AU14" s="10">
        <f t="shared" ca="1" si="11"/>
        <v>0</v>
      </c>
      <c r="AV14" s="10">
        <f t="shared" ca="1" si="11"/>
        <v>0</v>
      </c>
      <c r="AW14" s="10">
        <f t="shared" ca="1" si="11"/>
        <v>0</v>
      </c>
      <c r="AX14" s="10">
        <f t="shared" ca="1" si="11"/>
        <v>0</v>
      </c>
      <c r="AY14" s="10">
        <f t="shared" ca="1" si="11"/>
        <v>0</v>
      </c>
      <c r="AZ14" s="10">
        <f t="shared" ca="1" si="11"/>
        <v>0</v>
      </c>
      <c r="BA14" s="10">
        <f t="shared" ca="1" si="11"/>
        <v>0</v>
      </c>
      <c r="BB14" s="10">
        <f t="shared" ca="1" si="11"/>
        <v>0</v>
      </c>
      <c r="BC14" s="10">
        <f t="shared" ca="1" si="11"/>
        <v>0</v>
      </c>
      <c r="BD14" s="10">
        <f t="shared" ca="1" si="11"/>
        <v>0</v>
      </c>
      <c r="BE14" s="10">
        <f t="shared" ca="1" si="11"/>
        <v>0</v>
      </c>
      <c r="BF14" s="10">
        <f t="shared" ca="1" si="11"/>
        <v>0</v>
      </c>
      <c r="BG14" s="10">
        <f t="shared" ca="1" si="11"/>
        <v>0</v>
      </c>
      <c r="BH14" s="10">
        <f t="shared" ca="1" si="11"/>
        <v>0</v>
      </c>
      <c r="BI14" s="10">
        <f t="shared" ca="1" si="11"/>
        <v>0</v>
      </c>
      <c r="BJ14" s="10">
        <f t="shared" ca="1" si="11"/>
        <v>0</v>
      </c>
      <c r="BK14" s="10">
        <f t="shared" ca="1" si="11"/>
        <v>0</v>
      </c>
      <c r="BL14" s="10">
        <f t="shared" ca="1" si="11"/>
        <v>0</v>
      </c>
      <c r="BM14" s="10">
        <f t="shared" ca="1" si="11"/>
        <v>0</v>
      </c>
      <c r="BN14" s="10">
        <f t="shared" ca="1" si="11"/>
        <v>0</v>
      </c>
      <c r="BO14" s="10">
        <f t="shared" ca="1" si="11"/>
        <v>0</v>
      </c>
      <c r="BP14" s="10">
        <f t="shared" ca="1" si="11"/>
        <v>0</v>
      </c>
      <c r="BQ14" s="10">
        <f t="shared" ca="1" si="11"/>
        <v>0</v>
      </c>
      <c r="BR14" s="10">
        <f t="shared" ca="1" si="11"/>
        <v>0</v>
      </c>
      <c r="BS14" s="10">
        <f t="shared" ca="1" si="11"/>
        <v>0</v>
      </c>
      <c r="BT14" s="10">
        <f t="shared" ca="1" si="11"/>
        <v>0</v>
      </c>
      <c r="BU14" s="10">
        <f t="shared" ca="1" si="11"/>
        <v>0</v>
      </c>
      <c r="BV14" s="10">
        <f t="shared" ca="1" si="11"/>
        <v>0</v>
      </c>
      <c r="BW14" s="10">
        <f t="shared" ca="1" si="11"/>
        <v>0</v>
      </c>
      <c r="BX14" s="10">
        <f t="shared" ref="BX14:CO14" ca="1" si="12">CIP_EoP</f>
        <v>0</v>
      </c>
      <c r="BY14" s="10">
        <f t="shared" ca="1" si="12"/>
        <v>0</v>
      </c>
      <c r="BZ14" s="10">
        <f t="shared" ca="1" si="12"/>
        <v>0</v>
      </c>
      <c r="CA14" s="10">
        <f t="shared" ca="1" si="12"/>
        <v>0</v>
      </c>
      <c r="CB14" s="10">
        <f t="shared" ca="1" si="12"/>
        <v>0</v>
      </c>
      <c r="CC14" s="10">
        <f t="shared" ca="1" si="12"/>
        <v>0</v>
      </c>
      <c r="CD14" s="10">
        <f t="shared" ca="1" si="12"/>
        <v>0</v>
      </c>
      <c r="CE14" s="10">
        <f t="shared" ca="1" si="12"/>
        <v>0</v>
      </c>
      <c r="CF14" s="10">
        <f t="shared" ca="1" si="12"/>
        <v>0</v>
      </c>
      <c r="CG14" s="10">
        <f t="shared" ca="1" si="12"/>
        <v>0</v>
      </c>
      <c r="CH14" s="10">
        <f t="shared" ca="1" si="12"/>
        <v>0</v>
      </c>
      <c r="CI14" s="10">
        <f t="shared" ca="1" si="12"/>
        <v>0</v>
      </c>
      <c r="CJ14" s="10">
        <f t="shared" ca="1" si="12"/>
        <v>0</v>
      </c>
      <c r="CK14" s="10">
        <f t="shared" ca="1" si="12"/>
        <v>0</v>
      </c>
      <c r="CL14" s="10">
        <f t="shared" ca="1" si="12"/>
        <v>0</v>
      </c>
      <c r="CM14" s="10">
        <f t="shared" ca="1" si="12"/>
        <v>0</v>
      </c>
      <c r="CN14" s="10">
        <f t="shared" ca="1" si="12"/>
        <v>0</v>
      </c>
      <c r="CO14" s="10">
        <f t="shared" ca="1" si="12"/>
        <v>0</v>
      </c>
    </row>
    <row r="15" spans="1:93" s="133" customFormat="1" ht="14.25">
      <c r="A15" s="10"/>
      <c r="B15" s="10"/>
      <c r="C15" s="10" t="s">
        <v>65</v>
      </c>
      <c r="D15" s="10"/>
      <c r="E15" s="10"/>
      <c r="F15" s="10"/>
      <c r="G15" s="134" t="str">
        <f>Monetary_Unit</f>
        <v>тыс. руб.</v>
      </c>
      <c r="H15" s="10"/>
      <c r="I15" s="10"/>
      <c r="J15" s="10"/>
      <c r="K15" s="10"/>
      <c r="L15" s="10">
        <f t="shared" ref="L15:BW15" ca="1" si="13">FA_EoP</f>
        <v>0</v>
      </c>
      <c r="M15" s="10">
        <f t="shared" ca="1" si="13"/>
        <v>0</v>
      </c>
      <c r="N15" s="10">
        <f t="shared" ca="1" si="13"/>
        <v>0</v>
      </c>
      <c r="O15" s="10">
        <f t="shared" ca="1" si="13"/>
        <v>0</v>
      </c>
      <c r="P15" s="10">
        <f t="shared" ca="1" si="13"/>
        <v>0</v>
      </c>
      <c r="Q15" s="10">
        <f t="shared" ca="1" si="13"/>
        <v>0</v>
      </c>
      <c r="R15" s="10">
        <f t="shared" ca="1" si="13"/>
        <v>0</v>
      </c>
      <c r="S15" s="10">
        <f t="shared" ca="1" si="13"/>
        <v>0</v>
      </c>
      <c r="T15" s="10">
        <f t="shared" ca="1" si="13"/>
        <v>0</v>
      </c>
      <c r="U15" s="10">
        <f t="shared" ca="1" si="13"/>
        <v>0</v>
      </c>
      <c r="V15" s="10">
        <f t="shared" ca="1" si="13"/>
        <v>0</v>
      </c>
      <c r="W15" s="10">
        <f t="shared" ca="1" si="13"/>
        <v>0</v>
      </c>
      <c r="X15" s="10">
        <f t="shared" ca="1" si="13"/>
        <v>0</v>
      </c>
      <c r="Y15" s="10">
        <f t="shared" ca="1" si="13"/>
        <v>0</v>
      </c>
      <c r="Z15" s="10">
        <f t="shared" ca="1" si="13"/>
        <v>0</v>
      </c>
      <c r="AA15" s="10">
        <f t="shared" ca="1" si="13"/>
        <v>0</v>
      </c>
      <c r="AB15" s="10">
        <f t="shared" ca="1" si="13"/>
        <v>3445673.1177906296</v>
      </c>
      <c r="AC15" s="10">
        <f t="shared" ca="1" si="13"/>
        <v>3398805.3945659217</v>
      </c>
      <c r="AD15" s="10">
        <f t="shared" ca="1" si="13"/>
        <v>3351937.6713412139</v>
      </c>
      <c r="AE15" s="10">
        <f t="shared" ca="1" si="13"/>
        <v>3305069.948116506</v>
      </c>
      <c r="AF15" s="10">
        <f t="shared" ca="1" si="13"/>
        <v>3258202.2248917981</v>
      </c>
      <c r="AG15" s="10">
        <f t="shared" ca="1" si="13"/>
        <v>3211334.5016670902</v>
      </c>
      <c r="AH15" s="10">
        <f t="shared" ca="1" si="13"/>
        <v>3164466.7784423823</v>
      </c>
      <c r="AI15" s="10">
        <f t="shared" ca="1" si="13"/>
        <v>3117599.0552176745</v>
      </c>
      <c r="AJ15" s="10">
        <f t="shared" ca="1" si="13"/>
        <v>3070731.3319929666</v>
      </c>
      <c r="AK15" s="10">
        <f t="shared" ca="1" si="13"/>
        <v>3023863.6087682587</v>
      </c>
      <c r="AL15" s="10">
        <f t="shared" ca="1" si="13"/>
        <v>2976995.8855435508</v>
      </c>
      <c r="AM15" s="10">
        <f t="shared" ca="1" si="13"/>
        <v>2930128.162318843</v>
      </c>
      <c r="AN15" s="10">
        <f t="shared" ca="1" si="13"/>
        <v>2883260.4390941351</v>
      </c>
      <c r="AO15" s="10">
        <f t="shared" ca="1" si="13"/>
        <v>2836392.7158694272</v>
      </c>
      <c r="AP15" s="10">
        <f t="shared" ca="1" si="13"/>
        <v>2789524.9926447193</v>
      </c>
      <c r="AQ15" s="10">
        <f t="shared" ca="1" si="13"/>
        <v>2742657.2694200114</v>
      </c>
      <c r="AR15" s="10">
        <f t="shared" ca="1" si="13"/>
        <v>2695789.5461953036</v>
      </c>
      <c r="AS15" s="10">
        <f t="shared" ca="1" si="13"/>
        <v>2648921.8229705957</v>
      </c>
      <c r="AT15" s="10">
        <f t="shared" ca="1" si="13"/>
        <v>2602054.0997458878</v>
      </c>
      <c r="AU15" s="10">
        <f t="shared" ca="1" si="13"/>
        <v>2555186.3765211799</v>
      </c>
      <c r="AV15" s="10">
        <f t="shared" ca="1" si="13"/>
        <v>2508318.653296472</v>
      </c>
      <c r="AW15" s="10">
        <f t="shared" ca="1" si="13"/>
        <v>2461450.9300717642</v>
      </c>
      <c r="AX15" s="10">
        <f t="shared" ca="1" si="13"/>
        <v>2414583.2068470563</v>
      </c>
      <c r="AY15" s="10">
        <f t="shared" ca="1" si="13"/>
        <v>2367715.4836223484</v>
      </c>
      <c r="AZ15" s="10">
        <f t="shared" ca="1" si="13"/>
        <v>2320847.7603976405</v>
      </c>
      <c r="BA15" s="10">
        <f t="shared" ca="1" si="13"/>
        <v>2273980.0371729326</v>
      </c>
      <c r="BB15" s="10">
        <f t="shared" ca="1" si="13"/>
        <v>2227112.3139482248</v>
      </c>
      <c r="BC15" s="10">
        <f t="shared" ca="1" si="13"/>
        <v>2180244.5907235169</v>
      </c>
      <c r="BD15" s="10">
        <f t="shared" ca="1" si="13"/>
        <v>2133376.867498809</v>
      </c>
      <c r="BE15" s="10">
        <f t="shared" ca="1" si="13"/>
        <v>2110187.9885042566</v>
      </c>
      <c r="BF15" s="10">
        <f t="shared" ca="1" si="13"/>
        <v>2086999.1095097044</v>
      </c>
      <c r="BG15" s="10">
        <f t="shared" ca="1" si="13"/>
        <v>2063810.2305151522</v>
      </c>
      <c r="BH15" s="10">
        <f t="shared" ca="1" si="13"/>
        <v>2040621.3515206</v>
      </c>
      <c r="BI15" s="10">
        <f t="shared" ca="1" si="13"/>
        <v>2017432.4725260478</v>
      </c>
      <c r="BJ15" s="10">
        <f t="shared" ca="1" si="13"/>
        <v>1994243.5935314957</v>
      </c>
      <c r="BK15" s="10">
        <f t="shared" ca="1" si="13"/>
        <v>1971054.7145369435</v>
      </c>
      <c r="BL15" s="10">
        <f t="shared" ca="1" si="13"/>
        <v>1947865.8355423913</v>
      </c>
      <c r="BM15" s="10">
        <f t="shared" ca="1" si="13"/>
        <v>1924676.9565478391</v>
      </c>
      <c r="BN15" s="10">
        <f t="shared" ca="1" si="13"/>
        <v>1901488.0775532869</v>
      </c>
      <c r="BO15" s="10">
        <f t="shared" ca="1" si="13"/>
        <v>1878299.1985587347</v>
      </c>
      <c r="BP15" s="10">
        <f t="shared" ca="1" si="13"/>
        <v>1855110.3195641825</v>
      </c>
      <c r="BQ15" s="10">
        <f t="shared" ca="1" si="13"/>
        <v>1831921.4405696304</v>
      </c>
      <c r="BR15" s="10">
        <f t="shared" ca="1" si="13"/>
        <v>1808732.5615750782</v>
      </c>
      <c r="BS15" s="10">
        <f t="shared" ca="1" si="13"/>
        <v>1785543.682580526</v>
      </c>
      <c r="BT15" s="10">
        <f t="shared" ca="1" si="13"/>
        <v>1762354.8035859738</v>
      </c>
      <c r="BU15" s="10">
        <f t="shared" ca="1" si="13"/>
        <v>1739165.9245914216</v>
      </c>
      <c r="BV15" s="10">
        <f t="shared" ca="1" si="13"/>
        <v>1715977.0455968694</v>
      </c>
      <c r="BW15" s="10">
        <f t="shared" ca="1" si="13"/>
        <v>1692788.1666023172</v>
      </c>
      <c r="BX15" s="10">
        <f t="shared" ref="BX15:CO15" ca="1" si="14">FA_EoP</f>
        <v>1669599.2876077651</v>
      </c>
      <c r="BY15" s="10">
        <f t="shared" ca="1" si="14"/>
        <v>1646410.4086132129</v>
      </c>
      <c r="BZ15" s="10">
        <f t="shared" ca="1" si="14"/>
        <v>1623221.5296186607</v>
      </c>
      <c r="CA15" s="10">
        <f t="shared" ca="1" si="14"/>
        <v>1600032.6506241085</v>
      </c>
      <c r="CB15" s="10">
        <f t="shared" ca="1" si="14"/>
        <v>1576843.7716295563</v>
      </c>
      <c r="CC15" s="10">
        <f t="shared" ca="1" si="14"/>
        <v>1553654.8926350041</v>
      </c>
      <c r="CD15" s="10">
        <f t="shared" ca="1" si="14"/>
        <v>1530466.0136404519</v>
      </c>
      <c r="CE15" s="10">
        <f t="shared" ca="1" si="14"/>
        <v>1507277.1346458998</v>
      </c>
      <c r="CF15" s="10">
        <f t="shared" ca="1" si="14"/>
        <v>1484088.2556513476</v>
      </c>
      <c r="CG15" s="10">
        <f t="shared" ca="1" si="14"/>
        <v>1460899.3766567954</v>
      </c>
      <c r="CH15" s="10">
        <f t="shared" ca="1" si="14"/>
        <v>1437710.4976622432</v>
      </c>
      <c r="CI15" s="10">
        <f t="shared" ca="1" si="14"/>
        <v>1414521.618667691</v>
      </c>
      <c r="CJ15" s="10">
        <f t="shared" ca="1" si="14"/>
        <v>1391332.7396731388</v>
      </c>
      <c r="CK15" s="10">
        <f t="shared" ca="1" si="14"/>
        <v>1368143.8606785866</v>
      </c>
      <c r="CL15" s="10">
        <f t="shared" ca="1" si="14"/>
        <v>1344954.9816840345</v>
      </c>
      <c r="CM15" s="10">
        <f t="shared" ca="1" si="14"/>
        <v>1321766.1026894823</v>
      </c>
      <c r="CN15" s="10">
        <f t="shared" ca="1" si="14"/>
        <v>1298577.2236949301</v>
      </c>
      <c r="CO15" s="10">
        <f t="shared" ca="1" si="14"/>
        <v>1275388.3447003779</v>
      </c>
    </row>
    <row r="16" spans="1:93" s="133" customFormat="1" ht="14.25">
      <c r="A16" s="10"/>
      <c r="B16" s="10"/>
      <c r="C16" s="10"/>
      <c r="D16" s="10"/>
      <c r="E16" s="10"/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33" customFormat="1">
      <c r="A17" s="10"/>
      <c r="B17" s="130" t="s">
        <v>66</v>
      </c>
      <c r="C17" s="35" t="s">
        <v>67</v>
      </c>
      <c r="D17" s="130"/>
      <c r="E17" s="130"/>
      <c r="F17" s="130"/>
      <c r="G17" s="131" t="str">
        <f>Monetary_Unit</f>
        <v>тыс. руб.</v>
      </c>
      <c r="H17" s="130"/>
      <c r="I17" s="10"/>
      <c r="J17" s="10"/>
      <c r="K17" s="10"/>
      <c r="L17" s="132">
        <f ca="1">SUM(L18:L21)</f>
        <v>3371.9255688267931</v>
      </c>
      <c r="M17" s="132">
        <f t="shared" ref="M17:BX17" ca="1" si="15">SUM(M18:M21)</f>
        <v>6791.7152414601769</v>
      </c>
      <c r="N17" s="132">
        <f t="shared" ca="1" si="15"/>
        <v>10260.048443464699</v>
      </c>
      <c r="O17" s="132">
        <f t="shared" ca="1" si="15"/>
        <v>13777.614244774297</v>
      </c>
      <c r="P17" s="132">
        <f t="shared" ca="1" si="15"/>
        <v>43359.362682235027</v>
      </c>
      <c r="Q17" s="132">
        <f t="shared" ca="1" si="15"/>
        <v>73232.59211347939</v>
      </c>
      <c r="R17" s="132">
        <f t="shared" ca="1" si="15"/>
        <v>103400.17461924042</v>
      </c>
      <c r="S17" s="132">
        <f t="shared" ca="1" si="15"/>
        <v>133865.01058003027</v>
      </c>
      <c r="T17" s="132">
        <f t="shared" ca="1" si="15"/>
        <v>164630.02895498942</v>
      </c>
      <c r="U17" s="132">
        <f t="shared" ca="1" si="15"/>
        <v>195698.18756348355</v>
      </c>
      <c r="V17" s="132">
        <f t="shared" ca="1" si="15"/>
        <v>227072.47336947499</v>
      </c>
      <c r="W17" s="132">
        <f t="shared" ca="1" si="15"/>
        <v>258755.90276869643</v>
      </c>
      <c r="X17" s="132">
        <f t="shared" ca="1" si="15"/>
        <v>320018.48440477223</v>
      </c>
      <c r="Y17" s="132">
        <f t="shared" ca="1" si="15"/>
        <v>381884.71116394771</v>
      </c>
      <c r="Z17" s="132">
        <f t="shared" ca="1" si="15"/>
        <v>444360.53100703203</v>
      </c>
      <c r="AA17" s="132">
        <f t="shared" ca="1" si="15"/>
        <v>507451.95050251036</v>
      </c>
      <c r="AB17" s="132">
        <f t="shared" ca="1" si="15"/>
        <v>617457.09245746897</v>
      </c>
      <c r="AC17" s="132">
        <f t="shared" ca="1" si="15"/>
        <v>266557.28498914343</v>
      </c>
      <c r="AD17" s="132">
        <f t="shared" ca="1" si="15"/>
        <v>303620.12146555382</v>
      </c>
      <c r="AE17" s="132">
        <f t="shared" ca="1" si="15"/>
        <v>133681.73161656427</v>
      </c>
      <c r="AF17" s="132">
        <f t="shared" ca="1" si="15"/>
        <v>110221.06567980396</v>
      </c>
      <c r="AG17" s="132">
        <f t="shared" ca="1" si="15"/>
        <v>189507.15068444365</v>
      </c>
      <c r="AH17" s="132">
        <f t="shared" ca="1" si="15"/>
        <v>353052.85411759734</v>
      </c>
      <c r="AI17" s="132">
        <f t="shared" ca="1" si="15"/>
        <v>155028.43835663795</v>
      </c>
      <c r="AJ17" s="132">
        <f t="shared" ca="1" si="15"/>
        <v>127410.743713232</v>
      </c>
      <c r="AK17" s="132">
        <f t="shared" ca="1" si="15"/>
        <v>218458.33155036188</v>
      </c>
      <c r="AL17" s="132">
        <f t="shared" ca="1" si="15"/>
        <v>405954.4131874594</v>
      </c>
      <c r="AM17" s="132">
        <f t="shared" ca="1" si="15"/>
        <v>177868.99086533117</v>
      </c>
      <c r="AN17" s="132">
        <f t="shared" ca="1" si="15"/>
        <v>145900.29570059365</v>
      </c>
      <c r="AO17" s="132">
        <f t="shared" ca="1" si="15"/>
        <v>249523.30953885001</v>
      </c>
      <c r="AP17" s="132">
        <f t="shared" ca="1" si="15"/>
        <v>452829.15709507861</v>
      </c>
      <c r="AQ17" s="132">
        <f t="shared" ca="1" si="15"/>
        <v>194406.80700962117</v>
      </c>
      <c r="AR17" s="132">
        <f t="shared" ca="1" si="15"/>
        <v>155336.71170020365</v>
      </c>
      <c r="AS17" s="132">
        <f t="shared" ca="1" si="15"/>
        <v>259614.38378825039</v>
      </c>
      <c r="AT17" s="132">
        <f t="shared" ca="1" si="15"/>
        <v>470942.84894235048</v>
      </c>
      <c r="AU17" s="132">
        <f t="shared" ca="1" si="15"/>
        <v>202183.61161455337</v>
      </c>
      <c r="AV17" s="132">
        <f t="shared" ca="1" si="15"/>
        <v>161550.32719167479</v>
      </c>
      <c r="AW17" s="132">
        <f t="shared" ca="1" si="15"/>
        <v>222940.2594952666</v>
      </c>
      <c r="AX17" s="132">
        <f t="shared" ca="1" si="15"/>
        <v>397806.98896325286</v>
      </c>
      <c r="AY17" s="132">
        <f t="shared" ca="1" si="15"/>
        <v>149201.44232900592</v>
      </c>
      <c r="AZ17" s="132">
        <f t="shared" ca="1" si="15"/>
        <v>135322.45463284862</v>
      </c>
      <c r="BA17" s="132">
        <f t="shared" ca="1" si="15"/>
        <v>231857.86987507719</v>
      </c>
      <c r="BB17" s="132">
        <f t="shared" ca="1" si="15"/>
        <v>413719.26852178271</v>
      </c>
      <c r="BC17" s="132">
        <f t="shared" ca="1" si="15"/>
        <v>155169.50002216606</v>
      </c>
      <c r="BD17" s="132">
        <f t="shared" ca="1" si="15"/>
        <v>140735.09099076246</v>
      </c>
      <c r="BE17" s="132">
        <f t="shared" ca="1" si="15"/>
        <v>241131.92026278836</v>
      </c>
      <c r="BF17" s="132">
        <f t="shared" ca="1" si="15"/>
        <v>430267.77225004957</v>
      </c>
      <c r="BG17" s="132">
        <f t="shared" ca="1" si="15"/>
        <v>161376.01037946448</v>
      </c>
      <c r="BH17" s="132">
        <f t="shared" ca="1" si="15"/>
        <v>146364.76693088908</v>
      </c>
      <c r="BI17" s="132">
        <f t="shared" ca="1" si="15"/>
        <v>250777.47205688339</v>
      </c>
      <c r="BJ17" s="132">
        <f t="shared" ca="1" si="15"/>
        <v>447478.76083316002</v>
      </c>
      <c r="BK17" s="132">
        <f t="shared" ca="1" si="15"/>
        <v>167831.33122397476</v>
      </c>
      <c r="BL17" s="132">
        <f t="shared" ca="1" si="15"/>
        <v>152219.35760812461</v>
      </c>
      <c r="BM17" s="132">
        <f t="shared" ca="1" si="15"/>
        <v>260808.57093915873</v>
      </c>
      <c r="BN17" s="132">
        <f t="shared" ca="1" si="15"/>
        <v>465377.91126648639</v>
      </c>
      <c r="BO17" s="132">
        <f t="shared" ca="1" si="15"/>
        <v>174544.58447293378</v>
      </c>
      <c r="BP17" s="132">
        <f t="shared" ca="1" si="15"/>
        <v>158308.13191244952</v>
      </c>
      <c r="BQ17" s="132">
        <f t="shared" ca="1" si="15"/>
        <v>271240.91377672512</v>
      </c>
      <c r="BR17" s="132">
        <f t="shared" ca="1" si="15"/>
        <v>483993.02771714586</v>
      </c>
      <c r="BS17" s="132">
        <f t="shared" ca="1" si="15"/>
        <v>181526.36785185116</v>
      </c>
      <c r="BT17" s="132">
        <f t="shared" ca="1" si="15"/>
        <v>164640.15088792227</v>
      </c>
      <c r="BU17" s="132">
        <f t="shared" ca="1" si="15"/>
        <v>282090.24100866006</v>
      </c>
      <c r="BV17" s="132">
        <f t="shared" ca="1" si="15"/>
        <v>503352.43645885045</v>
      </c>
      <c r="BW17" s="132">
        <f t="shared" ca="1" si="15"/>
        <v>188787.10712106538</v>
      </c>
      <c r="BX17" s="132">
        <f t="shared" ca="1" si="15"/>
        <v>171226.07547650533</v>
      </c>
      <c r="BY17" s="132">
        <f t="shared" ref="BY17:CO17" ca="1" si="16">SUM(BY18:BY21)</f>
        <v>293374.17234090576</v>
      </c>
      <c r="BZ17" s="132">
        <f t="shared" ca="1" si="16"/>
        <v>523486.85877886455</v>
      </c>
      <c r="CA17" s="132">
        <f t="shared" ca="1" si="16"/>
        <v>196338.91946856212</v>
      </c>
      <c r="CB17" s="132">
        <f t="shared" ca="1" si="16"/>
        <v>178075.11849556555</v>
      </c>
      <c r="CC17" s="132">
        <f t="shared" ca="1" si="16"/>
        <v>305109.13923454192</v>
      </c>
      <c r="CD17" s="132">
        <f t="shared" ca="1" si="16"/>
        <v>544426.33313001925</v>
      </c>
      <c r="CE17" s="132">
        <f t="shared" ca="1" si="16"/>
        <v>204192.47624730458</v>
      </c>
      <c r="CF17" s="132">
        <f t="shared" ca="1" si="16"/>
        <v>185198.12323538811</v>
      </c>
      <c r="CG17" s="132">
        <f t="shared" ca="1" si="16"/>
        <v>317313.50480392354</v>
      </c>
      <c r="CH17" s="132">
        <f t="shared" ca="1" si="16"/>
        <v>566203.38645522005</v>
      </c>
      <c r="CI17" s="132">
        <f t="shared" ca="1" si="16"/>
        <v>212360.17529719666</v>
      </c>
      <c r="CJ17" s="132">
        <f t="shared" ca="1" si="16"/>
        <v>192605.68983592739</v>
      </c>
      <c r="CK17" s="132">
        <f t="shared" ca="1" si="16"/>
        <v>330005.68313644413</v>
      </c>
      <c r="CL17" s="132">
        <f t="shared" ca="1" si="16"/>
        <v>588851.15648824233</v>
      </c>
      <c r="CM17" s="132">
        <f t="shared" ca="1" si="16"/>
        <v>220854.21328321507</v>
      </c>
      <c r="CN17" s="132">
        <f t="shared" ca="1" si="16"/>
        <v>200310.29009139581</v>
      </c>
      <c r="CO17" s="132">
        <f t="shared" ca="1" si="16"/>
        <v>343206.28679592372</v>
      </c>
    </row>
    <row r="18" spans="1:93" s="133" customFormat="1" ht="14.25">
      <c r="A18" s="10"/>
      <c r="B18" s="10"/>
      <c r="C18" s="10" t="s">
        <v>68</v>
      </c>
      <c r="D18" s="10"/>
      <c r="E18" s="10"/>
      <c r="F18" s="10"/>
      <c r="G18" s="134" t="str">
        <f>Monetary_Unit</f>
        <v>тыс. руб.</v>
      </c>
      <c r="H18" s="10"/>
      <c r="I18" s="10"/>
      <c r="J18" s="10"/>
      <c r="K18" s="10"/>
      <c r="L18" s="52">
        <f t="shared" ref="L18:BW18" ca="1" si="17">Inventories_EoP</f>
        <v>0</v>
      </c>
      <c r="M18" s="52">
        <f t="shared" ca="1" si="17"/>
        <v>0</v>
      </c>
      <c r="N18" s="52">
        <f t="shared" ca="1" si="17"/>
        <v>0</v>
      </c>
      <c r="O18" s="52">
        <f t="shared" ca="1" si="17"/>
        <v>0</v>
      </c>
      <c r="P18" s="52">
        <f t="shared" ca="1" si="17"/>
        <v>0</v>
      </c>
      <c r="Q18" s="52">
        <f t="shared" ca="1" si="17"/>
        <v>0</v>
      </c>
      <c r="R18" s="52">
        <f t="shared" ca="1" si="17"/>
        <v>0</v>
      </c>
      <c r="S18" s="52">
        <f t="shared" ca="1" si="17"/>
        <v>0</v>
      </c>
      <c r="T18" s="52">
        <f t="shared" ca="1" si="17"/>
        <v>0</v>
      </c>
      <c r="U18" s="52">
        <f t="shared" ca="1" si="17"/>
        <v>0</v>
      </c>
      <c r="V18" s="52">
        <f t="shared" ca="1" si="17"/>
        <v>0</v>
      </c>
      <c r="W18" s="52">
        <f t="shared" ca="1" si="17"/>
        <v>0</v>
      </c>
      <c r="X18" s="52">
        <f t="shared" ca="1" si="17"/>
        <v>0</v>
      </c>
      <c r="Y18" s="52">
        <f t="shared" ca="1" si="17"/>
        <v>0</v>
      </c>
      <c r="Z18" s="52">
        <f t="shared" ca="1" si="17"/>
        <v>0</v>
      </c>
      <c r="AA18" s="52">
        <f t="shared" ca="1" si="17"/>
        <v>0</v>
      </c>
      <c r="AB18" s="52">
        <f t="shared" ca="1" si="17"/>
        <v>0</v>
      </c>
      <c r="AC18" s="52">
        <f t="shared" ca="1" si="17"/>
        <v>50468.593819338494</v>
      </c>
      <c r="AD18" s="52">
        <f t="shared" ca="1" si="17"/>
        <v>90347.385494619375</v>
      </c>
      <c r="AE18" s="52">
        <f t="shared" ca="1" si="17"/>
        <v>36328.397898193245</v>
      </c>
      <c r="AF18" s="52">
        <f t="shared" ca="1" si="17"/>
        <v>34139.357696625942</v>
      </c>
      <c r="AG18" s="52">
        <f t="shared" ca="1" si="17"/>
        <v>58860.756530625164</v>
      </c>
      <c r="AH18" s="52">
        <f t="shared" ca="1" si="17"/>
        <v>105041.20129303297</v>
      </c>
      <c r="AI18" s="52">
        <f t="shared" ca="1" si="17"/>
        <v>42103.673465703789</v>
      </c>
      <c r="AJ18" s="52">
        <f t="shared" ca="1" si="17"/>
        <v>39452.863010277972</v>
      </c>
      <c r="AK18" s="52">
        <f t="shared" ca="1" si="17"/>
        <v>67843.542508703831</v>
      </c>
      <c r="AL18" s="52">
        <f t="shared" ca="1" si="17"/>
        <v>120765.96653852839</v>
      </c>
      <c r="AM18" s="52">
        <f t="shared" ca="1" si="17"/>
        <v>48282.845641978143</v>
      </c>
      <c r="AN18" s="52">
        <f t="shared" ca="1" si="17"/>
        <v>45136.601965548587</v>
      </c>
      <c r="AO18" s="52">
        <f t="shared" ca="1" si="17"/>
        <v>77450.548138118495</v>
      </c>
      <c r="AP18" s="52">
        <f t="shared" ca="1" si="17"/>
        <v>134584.40836771985</v>
      </c>
      <c r="AQ18" s="52">
        <f t="shared" ca="1" si="17"/>
        <v>52551.342098763911</v>
      </c>
      <c r="AR18" s="52">
        <f t="shared" ca="1" si="17"/>
        <v>48009.819351740647</v>
      </c>
      <c r="AS18" s="52">
        <f t="shared" ca="1" si="17"/>
        <v>80548.805120762903</v>
      </c>
      <c r="AT18" s="52">
        <f t="shared" ca="1" si="17"/>
        <v>139968.02207566175</v>
      </c>
      <c r="AU18" s="52">
        <f t="shared" ca="1" si="17"/>
        <v>54653.635494882561</v>
      </c>
      <c r="AV18" s="52">
        <f t="shared" ca="1" si="17"/>
        <v>49930.212125810212</v>
      </c>
      <c r="AW18" s="52">
        <f t="shared" ca="1" si="17"/>
        <v>83770.75732559344</v>
      </c>
      <c r="AX18" s="52">
        <f t="shared" ca="1" si="17"/>
        <v>145566.74295868818</v>
      </c>
      <c r="AY18" s="52">
        <f t="shared" ca="1" si="17"/>
        <v>56839.780914677831</v>
      </c>
      <c r="AZ18" s="52">
        <f t="shared" ca="1" si="17"/>
        <v>51927.420610842615</v>
      </c>
      <c r="BA18" s="52">
        <f t="shared" ca="1" si="17"/>
        <v>87121.587618617137</v>
      </c>
      <c r="BB18" s="52">
        <f t="shared" ca="1" si="17"/>
        <v>151389.41267703555</v>
      </c>
      <c r="BC18" s="52">
        <f t="shared" ca="1" si="17"/>
        <v>59113.372151264921</v>
      </c>
      <c r="BD18" s="52">
        <f t="shared" ca="1" si="17"/>
        <v>54004.255607876228</v>
      </c>
      <c r="BE18" s="52">
        <f t="shared" ca="1" si="17"/>
        <v>90606.186716069933</v>
      </c>
      <c r="BF18" s="52">
        <f t="shared" ca="1" si="17"/>
        <v>157444.72217151272</v>
      </c>
      <c r="BG18" s="52">
        <f t="shared" ca="1" si="17"/>
        <v>61477.637393727258</v>
      </c>
      <c r="BH18" s="52">
        <f t="shared" ca="1" si="17"/>
        <v>56164.698132687394</v>
      </c>
      <c r="BI18" s="52">
        <f t="shared" ca="1" si="17"/>
        <v>94230.709168296307</v>
      </c>
      <c r="BJ18" s="52">
        <f t="shared" ca="1" si="17"/>
        <v>163742.78875148168</v>
      </c>
      <c r="BK18" s="52">
        <f t="shared" ca="1" si="17"/>
        <v>63937.023318808118</v>
      </c>
      <c r="BL18" s="52">
        <f t="shared" ca="1" si="17"/>
        <v>58411.286057994876</v>
      </c>
      <c r="BM18" s="52">
        <f t="shared" ca="1" si="17"/>
        <v>97999.937535028148</v>
      </c>
      <c r="BN18" s="52">
        <f t="shared" ca="1" si="17"/>
        <v>170292.50030154095</v>
      </c>
      <c r="BO18" s="52">
        <f t="shared" ca="1" si="17"/>
        <v>66494.504251560429</v>
      </c>
      <c r="BP18" s="52">
        <f t="shared" ca="1" si="17"/>
        <v>60747.73750031463</v>
      </c>
      <c r="BQ18" s="52">
        <f t="shared" ca="1" si="17"/>
        <v>101919.93503642932</v>
      </c>
      <c r="BR18" s="52">
        <f t="shared" ca="1" si="17"/>
        <v>177104.20031360257</v>
      </c>
      <c r="BS18" s="52">
        <f t="shared" ca="1" si="17"/>
        <v>69154.28442162287</v>
      </c>
      <c r="BT18" s="52">
        <f t="shared" ca="1" si="17"/>
        <v>63177.340699301974</v>
      </c>
      <c r="BU18" s="52">
        <f t="shared" ca="1" si="17"/>
        <v>105996.4231187526</v>
      </c>
      <c r="BV18" s="52">
        <f t="shared" ca="1" si="17"/>
        <v>184188.05595916574</v>
      </c>
      <c r="BW18" s="52">
        <f t="shared" ca="1" si="17"/>
        <v>71920.140353627969</v>
      </c>
      <c r="BX18" s="52">
        <f t="shared" ref="BX18:CO18" ca="1" si="18">Inventories_EoP</f>
        <v>65704.752880340267</v>
      </c>
      <c r="BY18" s="52">
        <f t="shared" ca="1" si="18"/>
        <v>110236.60173540184</v>
      </c>
      <c r="BZ18" s="52">
        <f t="shared" ca="1" si="18"/>
        <v>191555.90305919241</v>
      </c>
      <c r="CA18" s="52">
        <f t="shared" ca="1" si="18"/>
        <v>74797.274030427216</v>
      </c>
      <c r="CB18" s="52">
        <f t="shared" ca="1" si="18"/>
        <v>68332.942995553894</v>
      </c>
      <c r="CC18" s="52">
        <f t="shared" ca="1" si="18"/>
        <v>114646.06580481795</v>
      </c>
      <c r="CD18" s="52">
        <f t="shared" ca="1" si="18"/>
        <v>199218.13918156014</v>
      </c>
      <c r="CE18" s="52">
        <f t="shared" ca="1" si="18"/>
        <v>77789.164991644328</v>
      </c>
      <c r="CF18" s="52">
        <f t="shared" ca="1" si="18"/>
        <v>71066.260715376033</v>
      </c>
      <c r="CG18" s="52">
        <f t="shared" ca="1" si="18"/>
        <v>119231.90843701066</v>
      </c>
      <c r="CH18" s="52">
        <f t="shared" ca="1" si="18"/>
        <v>207186.86474882264</v>
      </c>
      <c r="CI18" s="52">
        <f t="shared" ca="1" si="18"/>
        <v>80900.731591310061</v>
      </c>
      <c r="CJ18" s="52">
        <f t="shared" ca="1" si="18"/>
        <v>73908.552815114788</v>
      </c>
      <c r="CK18" s="52">
        <f t="shared" ca="1" si="18"/>
        <v>124000.82291485468</v>
      </c>
      <c r="CL18" s="52">
        <f t="shared" ca="1" si="18"/>
        <v>215473.97391358903</v>
      </c>
      <c r="CM18" s="52">
        <f t="shared" ca="1" si="18"/>
        <v>84136.391829092987</v>
      </c>
      <c r="CN18" s="52">
        <f t="shared" ca="1" si="18"/>
        <v>76865.267589750729</v>
      </c>
      <c r="CO18" s="52">
        <f t="shared" ca="1" si="18"/>
        <v>128961.23216547072</v>
      </c>
    </row>
    <row r="19" spans="1:93" s="133" customFormat="1" ht="14.25">
      <c r="A19" s="10"/>
      <c r="B19" s="10"/>
      <c r="C19" s="10" t="s">
        <v>69</v>
      </c>
      <c r="D19" s="10"/>
      <c r="E19" s="10"/>
      <c r="F19" s="10"/>
      <c r="G19" s="134" t="str">
        <f>Monetary_Unit</f>
        <v>тыс. руб.</v>
      </c>
      <c r="H19" s="10"/>
      <c r="I19" s="10"/>
      <c r="J19" s="10"/>
      <c r="K19" s="10"/>
      <c r="L19" s="52">
        <f t="shared" ref="L19:BW19" ca="1" si="19">Accounts_Receivable_EoP</f>
        <v>0</v>
      </c>
      <c r="M19" s="52">
        <f t="shared" ca="1" si="19"/>
        <v>0</v>
      </c>
      <c r="N19" s="52">
        <f t="shared" ca="1" si="19"/>
        <v>0</v>
      </c>
      <c r="O19" s="52">
        <f t="shared" ca="1" si="19"/>
        <v>0</v>
      </c>
      <c r="P19" s="52">
        <f t="shared" ca="1" si="19"/>
        <v>0</v>
      </c>
      <c r="Q19" s="52">
        <f t="shared" ca="1" si="19"/>
        <v>0</v>
      </c>
      <c r="R19" s="52">
        <f t="shared" ca="1" si="19"/>
        <v>0</v>
      </c>
      <c r="S19" s="52">
        <f t="shared" ca="1" si="19"/>
        <v>0</v>
      </c>
      <c r="T19" s="52">
        <f t="shared" ca="1" si="19"/>
        <v>0</v>
      </c>
      <c r="U19" s="52">
        <f t="shared" ca="1" si="19"/>
        <v>0</v>
      </c>
      <c r="V19" s="52">
        <f t="shared" ca="1" si="19"/>
        <v>0</v>
      </c>
      <c r="W19" s="52">
        <f t="shared" ca="1" si="19"/>
        <v>0</v>
      </c>
      <c r="X19" s="52">
        <f t="shared" ca="1" si="19"/>
        <v>0</v>
      </c>
      <c r="Y19" s="52">
        <f t="shared" ca="1" si="19"/>
        <v>0</v>
      </c>
      <c r="Z19" s="52">
        <f t="shared" ca="1" si="19"/>
        <v>0</v>
      </c>
      <c r="AA19" s="52">
        <f t="shared" ca="1" si="19"/>
        <v>0</v>
      </c>
      <c r="AB19" s="52">
        <f t="shared" ca="1" si="19"/>
        <v>0</v>
      </c>
      <c r="AC19" s="52">
        <f t="shared" ca="1" si="19"/>
        <v>94660.661967625027</v>
      </c>
      <c r="AD19" s="52">
        <f t="shared" ca="1" si="19"/>
        <v>178571.02742185368</v>
      </c>
      <c r="AE19" s="52">
        <f t="shared" ca="1" si="19"/>
        <v>66282.695074242889</v>
      </c>
      <c r="AF19" s="52">
        <f t="shared" ca="1" si="19"/>
        <v>61381.040167154017</v>
      </c>
      <c r="AG19" s="52">
        <f t="shared" ca="1" si="19"/>
        <v>110418.74055986514</v>
      </c>
      <c r="AH19" s="52">
        <f t="shared" ca="1" si="19"/>
        <v>207631.27579636127</v>
      </c>
      <c r="AI19" s="52">
        <f t="shared" ca="1" si="19"/>
        <v>76836.242369101325</v>
      </c>
      <c r="AJ19" s="52">
        <f t="shared" ca="1" si="19"/>
        <v>70950.267071221955</v>
      </c>
      <c r="AK19" s="52">
        <f t="shared" ca="1" si="19"/>
        <v>127286.0083803364</v>
      </c>
      <c r="AL19" s="52">
        <f t="shared" ca="1" si="19"/>
        <v>238730.63039695437</v>
      </c>
      <c r="AM19" s="52">
        <f t="shared" ca="1" si="19"/>
        <v>88128.021135429735</v>
      </c>
      <c r="AN19" s="52">
        <f t="shared" ca="1" si="19"/>
        <v>81186.822463347751</v>
      </c>
      <c r="AO19" s="52">
        <f t="shared" ca="1" si="19"/>
        <v>145325.98764154949</v>
      </c>
      <c r="AP19" s="52">
        <f t="shared" ca="1" si="19"/>
        <v>266059.25639644847</v>
      </c>
      <c r="AQ19" s="52">
        <f t="shared" ca="1" si="19"/>
        <v>95926.673098060361</v>
      </c>
      <c r="AR19" s="52">
        <f t="shared" ca="1" si="19"/>
        <v>86357.916986293683</v>
      </c>
      <c r="AS19" s="52">
        <f t="shared" ca="1" si="19"/>
        <v>151139.02714721148</v>
      </c>
      <c r="AT19" s="52">
        <f t="shared" ca="1" si="19"/>
        <v>276701.62665230641</v>
      </c>
      <c r="AU19" s="52">
        <f t="shared" ca="1" si="19"/>
        <v>99763.740021982696</v>
      </c>
      <c r="AV19" s="52">
        <f t="shared" ca="1" si="19"/>
        <v>89812.233665745414</v>
      </c>
      <c r="AW19" s="52">
        <f t="shared" ca="1" si="19"/>
        <v>139169.50216967316</v>
      </c>
      <c r="AX19" s="52">
        <f t="shared" ca="1" si="19"/>
        <v>252240.24600456469</v>
      </c>
      <c r="AY19" s="52">
        <f t="shared" ca="1" si="19"/>
        <v>92361.661414328089</v>
      </c>
      <c r="AZ19" s="52">
        <f t="shared" ca="1" si="19"/>
        <v>83395.034022006002</v>
      </c>
      <c r="BA19" s="52">
        <f t="shared" ca="1" si="19"/>
        <v>144736.28225646005</v>
      </c>
      <c r="BB19" s="52">
        <f t="shared" ca="1" si="19"/>
        <v>262329.85584474716</v>
      </c>
      <c r="BC19" s="52">
        <f t="shared" ca="1" si="19"/>
        <v>96056.127870901139</v>
      </c>
      <c r="BD19" s="52">
        <f t="shared" ca="1" si="19"/>
        <v>86730.835382886231</v>
      </c>
      <c r="BE19" s="52">
        <f t="shared" ca="1" si="19"/>
        <v>150525.73354671843</v>
      </c>
      <c r="BF19" s="52">
        <f t="shared" ca="1" si="19"/>
        <v>272823.05007853685</v>
      </c>
      <c r="BG19" s="52">
        <f t="shared" ca="1" si="19"/>
        <v>99898.372985737224</v>
      </c>
      <c r="BH19" s="52">
        <f t="shared" ca="1" si="19"/>
        <v>90200.068798201683</v>
      </c>
      <c r="BI19" s="52">
        <f t="shared" ca="1" si="19"/>
        <v>156546.76288858708</v>
      </c>
      <c r="BJ19" s="52">
        <f t="shared" ca="1" si="19"/>
        <v>283735.97208167834</v>
      </c>
      <c r="BK19" s="52">
        <f t="shared" ca="1" si="19"/>
        <v>103894.30790516664</v>
      </c>
      <c r="BL19" s="52">
        <f t="shared" ca="1" si="19"/>
        <v>93808.071550129738</v>
      </c>
      <c r="BM19" s="52">
        <f t="shared" ca="1" si="19"/>
        <v>162808.63340413058</v>
      </c>
      <c r="BN19" s="52">
        <f t="shared" ca="1" si="19"/>
        <v>295085.41096494545</v>
      </c>
      <c r="BO19" s="52">
        <f t="shared" ca="1" si="19"/>
        <v>108050.08022137336</v>
      </c>
      <c r="BP19" s="52">
        <f t="shared" ca="1" si="19"/>
        <v>97560.39441213489</v>
      </c>
      <c r="BQ19" s="52">
        <f t="shared" ca="1" si="19"/>
        <v>169320.9787402958</v>
      </c>
      <c r="BR19" s="52">
        <f t="shared" ca="1" si="19"/>
        <v>306888.82740354328</v>
      </c>
      <c r="BS19" s="52">
        <f t="shared" ca="1" si="19"/>
        <v>112372.08343022829</v>
      </c>
      <c r="BT19" s="52">
        <f t="shared" ca="1" si="19"/>
        <v>101462.81018862029</v>
      </c>
      <c r="BU19" s="52">
        <f t="shared" ca="1" si="19"/>
        <v>176093.81788990746</v>
      </c>
      <c r="BV19" s="52">
        <f t="shared" ca="1" si="19"/>
        <v>319164.38049968472</v>
      </c>
      <c r="BW19" s="52">
        <f t="shared" ca="1" si="19"/>
        <v>116866.96676743741</v>
      </c>
      <c r="BX19" s="52">
        <f t="shared" ref="BX19:CO19" ca="1" si="20">Accounts_Receivable_EoP</f>
        <v>105521.32259616506</v>
      </c>
      <c r="BY19" s="52">
        <f t="shared" ca="1" si="20"/>
        <v>183137.57060550392</v>
      </c>
      <c r="BZ19" s="52">
        <f t="shared" ca="1" si="20"/>
        <v>331930.95571967214</v>
      </c>
      <c r="CA19" s="52">
        <f t="shared" ca="1" si="20"/>
        <v>121541.6454381349</v>
      </c>
      <c r="CB19" s="52">
        <f t="shared" ca="1" si="20"/>
        <v>109742.17550001165</v>
      </c>
      <c r="CC19" s="52">
        <f t="shared" ca="1" si="20"/>
        <v>190463.07342972397</v>
      </c>
      <c r="CD19" s="52">
        <f t="shared" ca="1" si="20"/>
        <v>345208.19394845911</v>
      </c>
      <c r="CE19" s="52">
        <f t="shared" ca="1" si="20"/>
        <v>126403.31125566026</v>
      </c>
      <c r="CF19" s="52">
        <f t="shared" ca="1" si="20"/>
        <v>114131.86252001207</v>
      </c>
      <c r="CG19" s="52">
        <f t="shared" ca="1" si="20"/>
        <v>198081.59636691288</v>
      </c>
      <c r="CH19" s="52">
        <f t="shared" ca="1" si="20"/>
        <v>359016.52170639741</v>
      </c>
      <c r="CI19" s="52">
        <f t="shared" ca="1" si="20"/>
        <v>131459.4437058866</v>
      </c>
      <c r="CJ19" s="52">
        <f t="shared" ca="1" si="20"/>
        <v>118697.1370208126</v>
      </c>
      <c r="CK19" s="52">
        <f t="shared" ca="1" si="20"/>
        <v>206004.86022158945</v>
      </c>
      <c r="CL19" s="52">
        <f t="shared" ca="1" si="20"/>
        <v>373377.1825746533</v>
      </c>
      <c r="CM19" s="52">
        <f t="shared" ca="1" si="20"/>
        <v>136717.82145412208</v>
      </c>
      <c r="CN19" s="52">
        <f t="shared" ca="1" si="20"/>
        <v>123445.02250164509</v>
      </c>
      <c r="CO19" s="52">
        <f t="shared" ca="1" si="20"/>
        <v>214245.054630453</v>
      </c>
    </row>
    <row r="20" spans="1:93" s="133" customFormat="1" ht="14.25">
      <c r="A20" s="10"/>
      <c r="B20" s="10"/>
      <c r="C20" s="10" t="s">
        <v>151</v>
      </c>
      <c r="D20" s="10"/>
      <c r="E20" s="10"/>
      <c r="F20" s="10"/>
      <c r="G20" s="134" t="str">
        <f>Monetary_Unit</f>
        <v>тыс. руб.</v>
      </c>
      <c r="H20" s="10"/>
      <c r="I20" s="10"/>
      <c r="J20" s="10"/>
      <c r="K20" s="10"/>
      <c r="L20" s="52">
        <f t="shared" ref="L20:AQ20" ca="1" si="21">VAT_EoP*(VAT_EoP&gt;0)*(ABS(VAT_EoP)&gt;Accuracy)</f>
        <v>3371.9255688267931</v>
      </c>
      <c r="M20" s="52">
        <f t="shared" ca="1" si="21"/>
        <v>6791.7152414601769</v>
      </c>
      <c r="N20" s="52">
        <f t="shared" ca="1" si="21"/>
        <v>10260.048443464699</v>
      </c>
      <c r="O20" s="52">
        <f t="shared" ca="1" si="21"/>
        <v>13777.614244774297</v>
      </c>
      <c r="P20" s="52">
        <f t="shared" ca="1" si="21"/>
        <v>43359.362682235027</v>
      </c>
      <c r="Q20" s="52">
        <f t="shared" ca="1" si="21"/>
        <v>73232.59211347939</v>
      </c>
      <c r="R20" s="52">
        <f t="shared" ca="1" si="21"/>
        <v>103400.17461924042</v>
      </c>
      <c r="S20" s="52">
        <f t="shared" ca="1" si="21"/>
        <v>133865.01058003027</v>
      </c>
      <c r="T20" s="52">
        <f t="shared" ca="1" si="21"/>
        <v>164630.02895498942</v>
      </c>
      <c r="U20" s="52">
        <f t="shared" ca="1" si="21"/>
        <v>195698.18756348355</v>
      </c>
      <c r="V20" s="52">
        <f t="shared" ca="1" si="21"/>
        <v>227072.47336947499</v>
      </c>
      <c r="W20" s="52">
        <f t="shared" ca="1" si="21"/>
        <v>258755.90276869643</v>
      </c>
      <c r="X20" s="52">
        <f t="shared" ca="1" si="21"/>
        <v>320018.48440477223</v>
      </c>
      <c r="Y20" s="52">
        <f t="shared" ca="1" si="21"/>
        <v>381884.71116394771</v>
      </c>
      <c r="Z20" s="52">
        <f t="shared" ca="1" si="21"/>
        <v>444360.53100703203</v>
      </c>
      <c r="AA20" s="52">
        <f t="shared" ca="1" si="21"/>
        <v>507451.95050251036</v>
      </c>
      <c r="AB20" s="52">
        <f t="shared" ca="1" si="21"/>
        <v>617457.09245746897</v>
      </c>
      <c r="AC20" s="52">
        <f t="shared" ca="1" si="21"/>
        <v>121428.02920217993</v>
      </c>
      <c r="AD20" s="52">
        <f t="shared" ca="1" si="21"/>
        <v>34701.708549080751</v>
      </c>
      <c r="AE20" s="52">
        <f t="shared" ca="1" si="21"/>
        <v>31070.638644128147</v>
      </c>
      <c r="AF20" s="52">
        <f t="shared" ca="1" si="21"/>
        <v>14700.667816023994</v>
      </c>
      <c r="AG20" s="52">
        <f t="shared" ca="1" si="21"/>
        <v>20227.653593953357</v>
      </c>
      <c r="AH20" s="52">
        <f t="shared" ca="1" si="21"/>
        <v>40380.377028203075</v>
      </c>
      <c r="AI20" s="52">
        <f t="shared" ca="1" si="21"/>
        <v>36088.522521832834</v>
      </c>
      <c r="AJ20" s="52">
        <f t="shared" ca="1" si="21"/>
        <v>17007.613631732082</v>
      </c>
      <c r="AK20" s="52">
        <f t="shared" ca="1" si="21"/>
        <v>23328.78066132166</v>
      </c>
      <c r="AL20" s="52">
        <f t="shared" ca="1" si="21"/>
        <v>46457.816251976634</v>
      </c>
      <c r="AM20" s="52">
        <f t="shared" ca="1" si="21"/>
        <v>41458.124087923301</v>
      </c>
      <c r="AN20" s="52">
        <f t="shared" ca="1" si="21"/>
        <v>19576.871271697313</v>
      </c>
      <c r="AO20" s="52">
        <f t="shared" ca="1" si="21"/>
        <v>26746.773759182026</v>
      </c>
      <c r="AP20" s="52">
        <f t="shared" ca="1" si="21"/>
        <v>52185.492330910318</v>
      </c>
      <c r="AQ20" s="52">
        <f t="shared" ca="1" si="21"/>
        <v>45928.791812796888</v>
      </c>
      <c r="AR20" s="52">
        <f t="shared" ref="AR20:BW20" ca="1" si="22">VAT_EoP*(VAT_EoP&gt;0)*(ABS(VAT_EoP)&gt;Accuracy)</f>
        <v>20968.975362169323</v>
      </c>
      <c r="AS20" s="52">
        <f t="shared" ca="1" si="22"/>
        <v>27926.551520276014</v>
      </c>
      <c r="AT20" s="52">
        <f t="shared" ca="1" si="22"/>
        <v>54273.200214382341</v>
      </c>
      <c r="AU20" s="52">
        <f t="shared" ca="1" si="22"/>
        <v>47766.236097688132</v>
      </c>
      <c r="AV20" s="52">
        <f t="shared" ca="1" si="22"/>
        <v>21807.881400119149</v>
      </c>
      <c r="AW20" s="52">
        <f t="shared" ca="1" si="22"/>
        <v>0</v>
      </c>
      <c r="AX20" s="52">
        <f t="shared" ca="1" si="22"/>
        <v>0</v>
      </c>
      <c r="AY20" s="52">
        <f t="shared" ca="1" si="22"/>
        <v>0</v>
      </c>
      <c r="AZ20" s="52">
        <f t="shared" ca="1" si="22"/>
        <v>0</v>
      </c>
      <c r="BA20" s="52">
        <f t="shared" ca="1" si="22"/>
        <v>0</v>
      </c>
      <c r="BB20" s="52">
        <f t="shared" ca="1" si="22"/>
        <v>0</v>
      </c>
      <c r="BC20" s="52">
        <f t="shared" ca="1" si="22"/>
        <v>0</v>
      </c>
      <c r="BD20" s="52">
        <f t="shared" ca="1" si="22"/>
        <v>0</v>
      </c>
      <c r="BE20" s="52">
        <f t="shared" ca="1" si="22"/>
        <v>0</v>
      </c>
      <c r="BF20" s="52">
        <f t="shared" ca="1" si="22"/>
        <v>0</v>
      </c>
      <c r="BG20" s="52">
        <f t="shared" ca="1" si="22"/>
        <v>0</v>
      </c>
      <c r="BH20" s="52">
        <f t="shared" ca="1" si="22"/>
        <v>0</v>
      </c>
      <c r="BI20" s="52">
        <f t="shared" ca="1" si="22"/>
        <v>0</v>
      </c>
      <c r="BJ20" s="52">
        <f t="shared" ca="1" si="22"/>
        <v>0</v>
      </c>
      <c r="BK20" s="52">
        <f t="shared" ca="1" si="22"/>
        <v>0</v>
      </c>
      <c r="BL20" s="52">
        <f t="shared" ca="1" si="22"/>
        <v>0</v>
      </c>
      <c r="BM20" s="52">
        <f t="shared" ca="1" si="22"/>
        <v>0</v>
      </c>
      <c r="BN20" s="52">
        <f t="shared" ca="1" si="22"/>
        <v>0</v>
      </c>
      <c r="BO20" s="52">
        <f t="shared" ca="1" si="22"/>
        <v>0</v>
      </c>
      <c r="BP20" s="52">
        <f t="shared" ca="1" si="22"/>
        <v>0</v>
      </c>
      <c r="BQ20" s="52">
        <f t="shared" ca="1" si="22"/>
        <v>0</v>
      </c>
      <c r="BR20" s="52">
        <f t="shared" ca="1" si="22"/>
        <v>0</v>
      </c>
      <c r="BS20" s="52">
        <f t="shared" ca="1" si="22"/>
        <v>0</v>
      </c>
      <c r="BT20" s="52">
        <f t="shared" ca="1" si="22"/>
        <v>0</v>
      </c>
      <c r="BU20" s="52">
        <f t="shared" ca="1" si="22"/>
        <v>0</v>
      </c>
      <c r="BV20" s="52">
        <f t="shared" ca="1" si="22"/>
        <v>0</v>
      </c>
      <c r="BW20" s="52">
        <f t="shared" ca="1" si="22"/>
        <v>0</v>
      </c>
      <c r="BX20" s="52">
        <f t="shared" ref="BX20:CO20" ca="1" si="23">VAT_EoP*(VAT_EoP&gt;0)*(ABS(VAT_EoP)&gt;Accuracy)</f>
        <v>0</v>
      </c>
      <c r="BY20" s="52">
        <f t="shared" ca="1" si="23"/>
        <v>0</v>
      </c>
      <c r="BZ20" s="52">
        <f t="shared" ca="1" si="23"/>
        <v>0</v>
      </c>
      <c r="CA20" s="52">
        <f t="shared" ca="1" si="23"/>
        <v>0</v>
      </c>
      <c r="CB20" s="52">
        <f t="shared" ca="1" si="23"/>
        <v>0</v>
      </c>
      <c r="CC20" s="52">
        <f t="shared" ca="1" si="23"/>
        <v>0</v>
      </c>
      <c r="CD20" s="52">
        <f t="shared" ca="1" si="23"/>
        <v>0</v>
      </c>
      <c r="CE20" s="52">
        <f t="shared" ca="1" si="23"/>
        <v>0</v>
      </c>
      <c r="CF20" s="52">
        <f t="shared" ca="1" si="23"/>
        <v>0</v>
      </c>
      <c r="CG20" s="52">
        <f t="shared" ca="1" si="23"/>
        <v>0</v>
      </c>
      <c r="CH20" s="52">
        <f t="shared" ca="1" si="23"/>
        <v>0</v>
      </c>
      <c r="CI20" s="52">
        <f t="shared" ca="1" si="23"/>
        <v>0</v>
      </c>
      <c r="CJ20" s="52">
        <f t="shared" ca="1" si="23"/>
        <v>0</v>
      </c>
      <c r="CK20" s="52">
        <f t="shared" ca="1" si="23"/>
        <v>0</v>
      </c>
      <c r="CL20" s="52">
        <f t="shared" ca="1" si="23"/>
        <v>0</v>
      </c>
      <c r="CM20" s="52">
        <f t="shared" ca="1" si="23"/>
        <v>0</v>
      </c>
      <c r="CN20" s="52">
        <f t="shared" ca="1" si="23"/>
        <v>0</v>
      </c>
      <c r="CO20" s="52">
        <f t="shared" ca="1" si="23"/>
        <v>0</v>
      </c>
    </row>
    <row r="21" spans="1:93" s="133" customFormat="1" ht="14.25">
      <c r="A21" s="10"/>
      <c r="B21" s="10"/>
      <c r="C21" s="10" t="s">
        <v>70</v>
      </c>
      <c r="D21" s="10"/>
      <c r="E21" s="10"/>
      <c r="F21" s="10"/>
      <c r="G21" s="134" t="str">
        <f>Monetary_Unit</f>
        <v>тыс. руб.</v>
      </c>
      <c r="H21" s="10"/>
      <c r="I21" s="10"/>
      <c r="J21" s="10"/>
      <c r="K21" s="10"/>
      <c r="L21" s="10">
        <f t="shared" ref="L21:BW21" ca="1" si="24">Cash_EoP</f>
        <v>0</v>
      </c>
      <c r="M21" s="10">
        <f t="shared" ca="1" si="24"/>
        <v>0</v>
      </c>
      <c r="N21" s="10">
        <f t="shared" ca="1" si="24"/>
        <v>0</v>
      </c>
      <c r="O21" s="10">
        <f t="shared" ca="1" si="24"/>
        <v>0</v>
      </c>
      <c r="P21" s="10">
        <f t="shared" ca="1" si="24"/>
        <v>0</v>
      </c>
      <c r="Q21" s="10">
        <f t="shared" ca="1" si="24"/>
        <v>0</v>
      </c>
      <c r="R21" s="10">
        <f t="shared" ca="1" si="24"/>
        <v>0</v>
      </c>
      <c r="S21" s="10">
        <f t="shared" ca="1" si="24"/>
        <v>0</v>
      </c>
      <c r="T21" s="10">
        <f t="shared" ca="1" si="24"/>
        <v>0</v>
      </c>
      <c r="U21" s="10">
        <f t="shared" ca="1" si="24"/>
        <v>0</v>
      </c>
      <c r="V21" s="10">
        <f t="shared" ca="1" si="24"/>
        <v>0</v>
      </c>
      <c r="W21" s="10">
        <f t="shared" ca="1" si="24"/>
        <v>0</v>
      </c>
      <c r="X21" s="10">
        <f t="shared" ca="1" si="24"/>
        <v>0</v>
      </c>
      <c r="Y21" s="10">
        <f t="shared" ca="1" si="24"/>
        <v>0</v>
      </c>
      <c r="Z21" s="10">
        <f t="shared" ca="1" si="24"/>
        <v>0</v>
      </c>
      <c r="AA21" s="10">
        <f t="shared" ca="1" si="24"/>
        <v>0</v>
      </c>
      <c r="AB21" s="10">
        <f t="shared" ca="1" si="24"/>
        <v>0</v>
      </c>
      <c r="AC21" s="10">
        <f t="shared" ca="1" si="24"/>
        <v>0</v>
      </c>
      <c r="AD21" s="10">
        <f t="shared" ca="1" si="24"/>
        <v>0</v>
      </c>
      <c r="AE21" s="10">
        <f t="shared" ca="1" si="24"/>
        <v>0</v>
      </c>
      <c r="AF21" s="10">
        <f t="shared" ca="1" si="24"/>
        <v>0</v>
      </c>
      <c r="AG21" s="10">
        <f t="shared" ca="1" si="24"/>
        <v>0</v>
      </c>
      <c r="AH21" s="10">
        <f t="shared" ca="1" si="24"/>
        <v>0</v>
      </c>
      <c r="AI21" s="10">
        <f t="shared" ca="1" si="24"/>
        <v>0</v>
      </c>
      <c r="AJ21" s="10">
        <f t="shared" ca="1" si="24"/>
        <v>0</v>
      </c>
      <c r="AK21" s="10">
        <f t="shared" ca="1" si="24"/>
        <v>0</v>
      </c>
      <c r="AL21" s="10">
        <f t="shared" ca="1" si="24"/>
        <v>0</v>
      </c>
      <c r="AM21" s="10">
        <f t="shared" ca="1" si="24"/>
        <v>0</v>
      </c>
      <c r="AN21" s="10">
        <f t="shared" ca="1" si="24"/>
        <v>0</v>
      </c>
      <c r="AO21" s="10">
        <f t="shared" ca="1" si="24"/>
        <v>0</v>
      </c>
      <c r="AP21" s="10">
        <f t="shared" ca="1" si="24"/>
        <v>0</v>
      </c>
      <c r="AQ21" s="10">
        <f t="shared" ca="1" si="24"/>
        <v>0</v>
      </c>
      <c r="AR21" s="10">
        <f t="shared" ca="1" si="24"/>
        <v>0</v>
      </c>
      <c r="AS21" s="10">
        <f t="shared" ca="1" si="24"/>
        <v>0</v>
      </c>
      <c r="AT21" s="10">
        <f t="shared" ca="1" si="24"/>
        <v>0</v>
      </c>
      <c r="AU21" s="10">
        <f t="shared" ca="1" si="24"/>
        <v>0</v>
      </c>
      <c r="AV21" s="10">
        <f t="shared" ca="1" si="24"/>
        <v>0</v>
      </c>
      <c r="AW21" s="10">
        <f t="shared" ca="1" si="24"/>
        <v>0</v>
      </c>
      <c r="AX21" s="10">
        <f t="shared" ca="1" si="24"/>
        <v>0</v>
      </c>
      <c r="AY21" s="10">
        <f t="shared" ca="1" si="24"/>
        <v>0</v>
      </c>
      <c r="AZ21" s="10">
        <f t="shared" ca="1" si="24"/>
        <v>0</v>
      </c>
      <c r="BA21" s="10">
        <f t="shared" ca="1" si="24"/>
        <v>0</v>
      </c>
      <c r="BB21" s="10">
        <f t="shared" ca="1" si="24"/>
        <v>0</v>
      </c>
      <c r="BC21" s="10">
        <f t="shared" ca="1" si="24"/>
        <v>0</v>
      </c>
      <c r="BD21" s="10">
        <f t="shared" ca="1" si="24"/>
        <v>0</v>
      </c>
      <c r="BE21" s="10">
        <f t="shared" ca="1" si="24"/>
        <v>0</v>
      </c>
      <c r="BF21" s="10">
        <f t="shared" ca="1" si="24"/>
        <v>0</v>
      </c>
      <c r="BG21" s="10">
        <f t="shared" ca="1" si="24"/>
        <v>0</v>
      </c>
      <c r="BH21" s="10">
        <f t="shared" ca="1" si="24"/>
        <v>0</v>
      </c>
      <c r="BI21" s="10">
        <f t="shared" ca="1" si="24"/>
        <v>0</v>
      </c>
      <c r="BJ21" s="10">
        <f t="shared" ca="1" si="24"/>
        <v>0</v>
      </c>
      <c r="BK21" s="10">
        <f t="shared" ca="1" si="24"/>
        <v>0</v>
      </c>
      <c r="BL21" s="10">
        <f t="shared" ca="1" si="24"/>
        <v>0</v>
      </c>
      <c r="BM21" s="10">
        <f t="shared" ca="1" si="24"/>
        <v>0</v>
      </c>
      <c r="BN21" s="10">
        <f t="shared" ca="1" si="24"/>
        <v>0</v>
      </c>
      <c r="BO21" s="10">
        <f t="shared" ca="1" si="24"/>
        <v>0</v>
      </c>
      <c r="BP21" s="10">
        <f t="shared" ca="1" si="24"/>
        <v>0</v>
      </c>
      <c r="BQ21" s="10">
        <f t="shared" ca="1" si="24"/>
        <v>0</v>
      </c>
      <c r="BR21" s="10">
        <f t="shared" ca="1" si="24"/>
        <v>0</v>
      </c>
      <c r="BS21" s="10">
        <f t="shared" ca="1" si="24"/>
        <v>0</v>
      </c>
      <c r="BT21" s="10">
        <f t="shared" ca="1" si="24"/>
        <v>0</v>
      </c>
      <c r="BU21" s="10">
        <f t="shared" ca="1" si="24"/>
        <v>0</v>
      </c>
      <c r="BV21" s="10">
        <f t="shared" ca="1" si="24"/>
        <v>0</v>
      </c>
      <c r="BW21" s="10">
        <f t="shared" ca="1" si="24"/>
        <v>0</v>
      </c>
      <c r="BX21" s="10">
        <f t="shared" ref="BX21:CO21" ca="1" si="25">Cash_EoP</f>
        <v>0</v>
      </c>
      <c r="BY21" s="10">
        <f t="shared" ca="1" si="25"/>
        <v>0</v>
      </c>
      <c r="BZ21" s="10">
        <f t="shared" ca="1" si="25"/>
        <v>0</v>
      </c>
      <c r="CA21" s="10">
        <f t="shared" ca="1" si="25"/>
        <v>0</v>
      </c>
      <c r="CB21" s="10">
        <f t="shared" ca="1" si="25"/>
        <v>0</v>
      </c>
      <c r="CC21" s="10">
        <f t="shared" ca="1" si="25"/>
        <v>0</v>
      </c>
      <c r="CD21" s="10">
        <f t="shared" ca="1" si="25"/>
        <v>0</v>
      </c>
      <c r="CE21" s="10">
        <f t="shared" ca="1" si="25"/>
        <v>0</v>
      </c>
      <c r="CF21" s="10">
        <f t="shared" ca="1" si="25"/>
        <v>0</v>
      </c>
      <c r="CG21" s="10">
        <f t="shared" ca="1" si="25"/>
        <v>0</v>
      </c>
      <c r="CH21" s="10">
        <f t="shared" ca="1" si="25"/>
        <v>0</v>
      </c>
      <c r="CI21" s="10">
        <f t="shared" ca="1" si="25"/>
        <v>0</v>
      </c>
      <c r="CJ21" s="10">
        <f t="shared" ca="1" si="25"/>
        <v>0</v>
      </c>
      <c r="CK21" s="10">
        <f t="shared" ca="1" si="25"/>
        <v>0</v>
      </c>
      <c r="CL21" s="10">
        <f t="shared" ca="1" si="25"/>
        <v>0</v>
      </c>
      <c r="CM21" s="10">
        <f t="shared" ca="1" si="25"/>
        <v>0</v>
      </c>
      <c r="CN21" s="10">
        <f t="shared" ca="1" si="25"/>
        <v>0</v>
      </c>
      <c r="CO21" s="10">
        <f t="shared" ca="1" si="25"/>
        <v>0</v>
      </c>
    </row>
    <row r="22" spans="1:93" s="133" customFormat="1" ht="14.25">
      <c r="A22" s="10"/>
      <c r="B22" s="10"/>
      <c r="C22" s="10"/>
      <c r="D22" s="10"/>
      <c r="E22" s="10"/>
      <c r="F22" s="10"/>
      <c r="G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s="133" customFormat="1" ht="14.25">
      <c r="A23" s="10"/>
      <c r="B23" s="10"/>
      <c r="C23" s="24" t="s">
        <v>329</v>
      </c>
      <c r="D23" s="24"/>
      <c r="E23" s="24"/>
      <c r="F23" s="24"/>
      <c r="G23" s="135"/>
      <c r="H23" s="24"/>
      <c r="I23" s="24"/>
      <c r="J23" s="24"/>
      <c r="K23" s="24"/>
      <c r="L23" s="24">
        <f t="shared" ref="L23:AQ23" ca="1" si="26">SUM(L13,L17)</f>
        <v>20493.455029060045</v>
      </c>
      <c r="M23" s="24">
        <f t="shared" ca="1" si="26"/>
        <v>41824.099102423454</v>
      </c>
      <c r="N23" s="24">
        <f t="shared" ca="1" si="26"/>
        <v>64044.799891047522</v>
      </c>
      <c r="O23" s="24">
        <f t="shared" ca="1" si="26"/>
        <v>87190.228077079839</v>
      </c>
      <c r="P23" s="24">
        <f t="shared" ca="1" si="26"/>
        <v>268240.47792152874</v>
      </c>
      <c r="Q23" s="24">
        <f t="shared" ca="1" si="26"/>
        <v>454778.69211818883</v>
      </c>
      <c r="R23" s="24">
        <f t="shared" ca="1" si="26"/>
        <v>647089.64277460636</v>
      </c>
      <c r="S23" s="24">
        <f t="shared" ca="1" si="26"/>
        <v>845307.89527488186</v>
      </c>
      <c r="T23" s="24">
        <f t="shared" ca="1" si="26"/>
        <v>1046126.1844124676</v>
      </c>
      <c r="U23" s="24">
        <f t="shared" ca="1" si="26"/>
        <v>1254307.5441635351</v>
      </c>
      <c r="V23" s="24">
        <f t="shared" ca="1" si="26"/>
        <v>1467737.3847753345</v>
      </c>
      <c r="W23" s="24">
        <f t="shared" ca="1" si="26"/>
        <v>1686291.947902899</v>
      </c>
      <c r="X23" s="24">
        <f t="shared" ca="1" si="26"/>
        <v>2086473.4232467371</v>
      </c>
      <c r="Y23" s="24">
        <f t="shared" ca="1" si="26"/>
        <v>2496021.7184904646</v>
      </c>
      <c r="Z23" s="24">
        <f t="shared" ca="1" si="26"/>
        <v>2915620.7452176441</v>
      </c>
      <c r="AA23" s="24">
        <f t="shared" ca="1" si="26"/>
        <v>3345062.5364159807</v>
      </c>
      <c r="AB23" s="24">
        <f t="shared" ca="1" si="26"/>
        <v>4063130.2102480987</v>
      </c>
      <c r="AC23" s="24">
        <f t="shared" ca="1" si="26"/>
        <v>3665362.679555065</v>
      </c>
      <c r="AD23" s="24">
        <f t="shared" ca="1" si="26"/>
        <v>3655557.7928067679</v>
      </c>
      <c r="AE23" s="24">
        <f t="shared" ca="1" si="26"/>
        <v>3438751.6797330701</v>
      </c>
      <c r="AF23" s="24">
        <f t="shared" ca="1" si="26"/>
        <v>3368423.2905716021</v>
      </c>
      <c r="AG23" s="24">
        <f t="shared" ca="1" si="26"/>
        <v>3400841.652351534</v>
      </c>
      <c r="AH23" s="24">
        <f t="shared" ca="1" si="26"/>
        <v>3517519.6325599798</v>
      </c>
      <c r="AI23" s="24">
        <f t="shared" ca="1" si="26"/>
        <v>3272627.4935743124</v>
      </c>
      <c r="AJ23" s="24">
        <f t="shared" ca="1" si="26"/>
        <v>3198142.0757061988</v>
      </c>
      <c r="AK23" s="24">
        <f t="shared" ca="1" si="26"/>
        <v>3242321.9403186208</v>
      </c>
      <c r="AL23" s="24">
        <f t="shared" ca="1" si="26"/>
        <v>3382950.2987310104</v>
      </c>
      <c r="AM23" s="24">
        <f t="shared" ca="1" si="26"/>
        <v>3107997.1531841741</v>
      </c>
      <c r="AN23" s="24">
        <f t="shared" ca="1" si="26"/>
        <v>3029160.7347947289</v>
      </c>
      <c r="AO23" s="24">
        <f t="shared" ca="1" si="26"/>
        <v>3085916.0254082773</v>
      </c>
      <c r="AP23" s="24">
        <f t="shared" ca="1" si="26"/>
        <v>3242354.1497397982</v>
      </c>
      <c r="AQ23" s="24">
        <f t="shared" ca="1" si="26"/>
        <v>2937064.0764296325</v>
      </c>
      <c r="AR23" s="24">
        <f t="shared" ref="AR23:BW23" ca="1" si="27">SUM(AR13,AR17)</f>
        <v>2851126.2578955074</v>
      </c>
      <c r="AS23" s="24">
        <f t="shared" ca="1" si="27"/>
        <v>2908536.2067588461</v>
      </c>
      <c r="AT23" s="24">
        <f t="shared" ca="1" si="27"/>
        <v>3072996.9486882384</v>
      </c>
      <c r="AU23" s="24">
        <f t="shared" ca="1" si="27"/>
        <v>2757369.9881357332</v>
      </c>
      <c r="AV23" s="24">
        <f t="shared" ca="1" si="27"/>
        <v>2669868.9804881467</v>
      </c>
      <c r="AW23" s="24">
        <f t="shared" ca="1" si="27"/>
        <v>2684391.1895670309</v>
      </c>
      <c r="AX23" s="24">
        <f t="shared" ca="1" si="27"/>
        <v>2812390.1958103091</v>
      </c>
      <c r="AY23" s="24">
        <f t="shared" ca="1" si="27"/>
        <v>2516916.9259513542</v>
      </c>
      <c r="AZ23" s="24">
        <f t="shared" ca="1" si="27"/>
        <v>2456170.215030489</v>
      </c>
      <c r="BA23" s="24">
        <f t="shared" ca="1" si="27"/>
        <v>2505837.9070480098</v>
      </c>
      <c r="BB23" s="24">
        <f t="shared" ca="1" si="27"/>
        <v>2640831.5824700072</v>
      </c>
      <c r="BC23" s="24">
        <f t="shared" ca="1" si="27"/>
        <v>2335414.0907456828</v>
      </c>
      <c r="BD23" s="24">
        <f t="shared" ca="1" si="27"/>
        <v>2274111.9584895717</v>
      </c>
      <c r="BE23" s="24">
        <f t="shared" ca="1" si="27"/>
        <v>2351319.908767045</v>
      </c>
      <c r="BF23" s="24">
        <f t="shared" ca="1" si="27"/>
        <v>2517266.8817597539</v>
      </c>
      <c r="BG23" s="24">
        <f t="shared" ca="1" si="27"/>
        <v>2225186.2408946166</v>
      </c>
      <c r="BH23" s="24">
        <f t="shared" ca="1" si="27"/>
        <v>2186986.1184514891</v>
      </c>
      <c r="BI23" s="24">
        <f t="shared" ca="1" si="27"/>
        <v>2268209.9445829312</v>
      </c>
      <c r="BJ23" s="24">
        <f t="shared" ca="1" si="27"/>
        <v>2441722.3543646559</v>
      </c>
      <c r="BK23" s="24">
        <f t="shared" ca="1" si="27"/>
        <v>2138886.0457609184</v>
      </c>
      <c r="BL23" s="24">
        <f t="shared" ca="1" si="27"/>
        <v>2100085.1931505157</v>
      </c>
      <c r="BM23" s="24">
        <f t="shared" ca="1" si="27"/>
        <v>2185485.5274869977</v>
      </c>
      <c r="BN23" s="24">
        <f t="shared" ca="1" si="27"/>
        <v>2366865.9888197733</v>
      </c>
      <c r="BO23" s="24">
        <f t="shared" ca="1" si="27"/>
        <v>2052843.7830316685</v>
      </c>
      <c r="BP23" s="24">
        <f t="shared" ca="1" si="27"/>
        <v>2013418.4514766322</v>
      </c>
      <c r="BQ23" s="24">
        <f t="shared" ca="1" si="27"/>
        <v>2103162.3543463554</v>
      </c>
      <c r="BR23" s="24">
        <f t="shared" ca="1" si="27"/>
        <v>2292725.589292224</v>
      </c>
      <c r="BS23" s="24">
        <f t="shared" ca="1" si="27"/>
        <v>1967070.050432377</v>
      </c>
      <c r="BT23" s="24">
        <f t="shared" ca="1" si="27"/>
        <v>1926994.954473896</v>
      </c>
      <c r="BU23" s="24">
        <f t="shared" ca="1" si="27"/>
        <v>2021256.1656000817</v>
      </c>
      <c r="BV23" s="24">
        <f t="shared" ca="1" si="27"/>
        <v>2219329.4820557199</v>
      </c>
      <c r="BW23" s="24">
        <f t="shared" ca="1" si="27"/>
        <v>1881575.2737233825</v>
      </c>
      <c r="BX23" s="24">
        <f t="shared" ref="BX23:CO23" ca="1" si="28">SUM(BX13,BX17)</f>
        <v>1840825.3630842704</v>
      </c>
      <c r="BY23" s="24">
        <f t="shared" ca="1" si="28"/>
        <v>1939784.5809541186</v>
      </c>
      <c r="BZ23" s="24">
        <f t="shared" ca="1" si="28"/>
        <v>2146708.3883975251</v>
      </c>
      <c r="CA23" s="24">
        <f t="shared" ca="1" si="28"/>
        <v>1796371.5700926706</v>
      </c>
      <c r="CB23" s="24">
        <f t="shared" ca="1" si="28"/>
        <v>1754918.8901251219</v>
      </c>
      <c r="CC23" s="24">
        <f t="shared" ca="1" si="28"/>
        <v>1858764.031869546</v>
      </c>
      <c r="CD23" s="24">
        <f t="shared" ca="1" si="28"/>
        <v>2074892.3467704712</v>
      </c>
      <c r="CE23" s="24">
        <f t="shared" ca="1" si="28"/>
        <v>1711469.6108932043</v>
      </c>
      <c r="CF23" s="24">
        <f t="shared" ca="1" si="28"/>
        <v>1669286.3788867358</v>
      </c>
      <c r="CG23" s="24">
        <f t="shared" ca="1" si="28"/>
        <v>1778212.8814607188</v>
      </c>
      <c r="CH23" s="24">
        <f t="shared" ca="1" si="28"/>
        <v>2003913.8841174631</v>
      </c>
      <c r="CI23" s="24">
        <f t="shared" ca="1" si="28"/>
        <v>1626881.7939648877</v>
      </c>
      <c r="CJ23" s="24">
        <f t="shared" ca="1" si="28"/>
        <v>1583938.4295090663</v>
      </c>
      <c r="CK23" s="24">
        <f t="shared" ca="1" si="28"/>
        <v>1698149.5438150307</v>
      </c>
      <c r="CL23" s="24">
        <f t="shared" ca="1" si="28"/>
        <v>1933806.1381722768</v>
      </c>
      <c r="CM23" s="24">
        <f t="shared" ca="1" si="28"/>
        <v>1542620.3159726975</v>
      </c>
      <c r="CN23" s="24">
        <f t="shared" ca="1" si="28"/>
        <v>1498887.5137863259</v>
      </c>
      <c r="CO23" s="24">
        <f t="shared" ca="1" si="28"/>
        <v>1618594.6314963016</v>
      </c>
    </row>
    <row r="24" spans="1:93" s="133" customFormat="1" ht="14.25">
      <c r="A24" s="10"/>
      <c r="B24" s="10"/>
      <c r="C24" s="10"/>
      <c r="D24" s="10"/>
      <c r="E24" s="10"/>
      <c r="F24" s="10"/>
      <c r="G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93" s="133" customFormat="1">
      <c r="A25" s="10"/>
      <c r="B25" s="130" t="s">
        <v>71</v>
      </c>
      <c r="C25" s="35" t="s">
        <v>72</v>
      </c>
      <c r="D25" s="130"/>
      <c r="E25" s="130"/>
      <c r="F25" s="130"/>
      <c r="G25" s="131" t="str">
        <f>Monetary_Unit</f>
        <v>тыс. руб.</v>
      </c>
      <c r="H25" s="130"/>
      <c r="I25" s="10"/>
      <c r="J25" s="10"/>
      <c r="K25" s="10"/>
      <c r="L25" s="132">
        <f ca="1">SUM(L26:L28)</f>
        <v>20493.455029060042</v>
      </c>
      <c r="M25" s="132">
        <f t="shared" ref="M25:BX25" ca="1" si="29">SUM(M26:M28)</f>
        <v>41824.099102423454</v>
      </c>
      <c r="N25" s="132">
        <f t="shared" ca="1" si="29"/>
        <v>64044.799891047514</v>
      </c>
      <c r="O25" s="132">
        <f t="shared" ca="1" si="29"/>
        <v>87190.228077079839</v>
      </c>
      <c r="P25" s="132">
        <f t="shared" ca="1" si="29"/>
        <v>268240.47792152874</v>
      </c>
      <c r="Q25" s="132">
        <f t="shared" ca="1" si="29"/>
        <v>454778.69211818883</v>
      </c>
      <c r="R25" s="132">
        <f t="shared" ca="1" si="29"/>
        <v>647089.64277460624</v>
      </c>
      <c r="S25" s="132">
        <f t="shared" ca="1" si="29"/>
        <v>845307.89527488174</v>
      </c>
      <c r="T25" s="132">
        <f t="shared" ca="1" si="29"/>
        <v>991200.18596727541</v>
      </c>
      <c r="U25" s="132">
        <f t="shared" ca="1" si="29"/>
        <v>1012972.594067378</v>
      </c>
      <c r="V25" s="132">
        <f t="shared" ca="1" si="29"/>
        <v>1038156.7198432287</v>
      </c>
      <c r="W25" s="132">
        <f t="shared" ca="1" si="29"/>
        <v>1066610.7065754647</v>
      </c>
      <c r="X25" s="132">
        <f t="shared" ca="1" si="29"/>
        <v>1099216.6921028483</v>
      </c>
      <c r="Y25" s="132">
        <f t="shared" ca="1" si="29"/>
        <v>1137567.6267915226</v>
      </c>
      <c r="Z25" s="132">
        <f t="shared" ca="1" si="29"/>
        <v>1182311.7344601969</v>
      </c>
      <c r="AA25" s="132">
        <f t="shared" ca="1" si="29"/>
        <v>1233205.0086856633</v>
      </c>
      <c r="AB25" s="132">
        <f t="shared" ca="1" si="29"/>
        <v>1291241.8307880303</v>
      </c>
      <c r="AC25" s="132">
        <f t="shared" ca="1" si="29"/>
        <v>1244702.5371813111</v>
      </c>
      <c r="AD25" s="132">
        <f t="shared" ca="1" si="29"/>
        <v>1383267.0144932393</v>
      </c>
      <c r="AE25" s="132">
        <f t="shared" ca="1" si="29"/>
        <v>1366265.3551659836</v>
      </c>
      <c r="AF25" s="132">
        <f t="shared" ca="1" si="29"/>
        <v>1354619.7600580479</v>
      </c>
      <c r="AG25" s="132">
        <f t="shared" ca="1" si="29"/>
        <v>1415440.456233582</v>
      </c>
      <c r="AH25" s="132">
        <f t="shared" ca="1" si="29"/>
        <v>1616063.3786696927</v>
      </c>
      <c r="AI25" s="132">
        <f t="shared" ca="1" si="29"/>
        <v>1614146.341114558</v>
      </c>
      <c r="AJ25" s="132">
        <f t="shared" ca="1" si="29"/>
        <v>1618217.9612399205</v>
      </c>
      <c r="AK25" s="132">
        <f t="shared" ca="1" si="29"/>
        <v>1705869.8967838588</v>
      </c>
      <c r="AL25" s="132">
        <f t="shared" ca="1" si="29"/>
        <v>1954105.1224698136</v>
      </c>
      <c r="AM25" s="132">
        <f t="shared" ca="1" si="29"/>
        <v>1969374.3354682541</v>
      </c>
      <c r="AN25" s="132">
        <f t="shared" ca="1" si="29"/>
        <v>1992139.9459769106</v>
      </c>
      <c r="AO25" s="132">
        <f t="shared" ca="1" si="29"/>
        <v>2109606.9448273848</v>
      </c>
      <c r="AP25" s="132">
        <f t="shared" ca="1" si="29"/>
        <v>2401600.3624637891</v>
      </c>
      <c r="AQ25" s="132">
        <f t="shared" ca="1" si="29"/>
        <v>2431434.0005279873</v>
      </c>
      <c r="AR25" s="132">
        <f t="shared" ca="1" si="29"/>
        <v>2466397.9455423141</v>
      </c>
      <c r="AS25" s="132">
        <f t="shared" ca="1" si="29"/>
        <v>2598365.8645760911</v>
      </c>
      <c r="AT25" s="132">
        <f t="shared" ca="1" si="29"/>
        <v>2863044.9155747443</v>
      </c>
      <c r="AU25" s="132">
        <f t="shared" ca="1" si="29"/>
        <v>2675389.5348934084</v>
      </c>
      <c r="AV25" s="132">
        <f t="shared" ca="1" si="29"/>
        <v>2594973.66229943</v>
      </c>
      <c r="AW25" s="132">
        <f t="shared" ca="1" si="29"/>
        <v>2522351.4431021479</v>
      </c>
      <c r="AX25" s="132">
        <f t="shared" ca="1" si="29"/>
        <v>2506867.1041210643</v>
      </c>
      <c r="AY25" s="132">
        <f t="shared" ca="1" si="29"/>
        <v>2400875.1424179976</v>
      </c>
      <c r="AZ25" s="132">
        <f t="shared" ca="1" si="29"/>
        <v>2351280.0290813856</v>
      </c>
      <c r="BA25" s="132">
        <f t="shared" ca="1" si="29"/>
        <v>2326817.1010581609</v>
      </c>
      <c r="BB25" s="132">
        <f t="shared" ca="1" si="29"/>
        <v>2323087.5671131928</v>
      </c>
      <c r="BC25" s="132">
        <f t="shared" ca="1" si="29"/>
        <v>2214730.6358709917</v>
      </c>
      <c r="BD25" s="132">
        <f t="shared" ca="1" si="29"/>
        <v>2164714.4099212685</v>
      </c>
      <c r="BE25" s="132">
        <f t="shared" ca="1" si="29"/>
        <v>2165138.5067414497</v>
      </c>
      <c r="BF25" s="132">
        <f t="shared" ca="1" si="29"/>
        <v>2186813.3425398427</v>
      </c>
      <c r="BG25" s="132">
        <f t="shared" ca="1" si="29"/>
        <v>2099675.6869089194</v>
      </c>
      <c r="BH25" s="132">
        <f t="shared" ca="1" si="29"/>
        <v>2073536.8933289386</v>
      </c>
      <c r="BI25" s="132">
        <f t="shared" ca="1" si="29"/>
        <v>2074581.0408243109</v>
      </c>
      <c r="BJ25" s="132">
        <f t="shared" ca="1" si="29"/>
        <v>2098050.4273547251</v>
      </c>
      <c r="BK25" s="132">
        <f t="shared" ca="1" si="29"/>
        <v>2008354.8209684519</v>
      </c>
      <c r="BL25" s="132">
        <f t="shared" ca="1" si="29"/>
        <v>1982097.9990230631</v>
      </c>
      <c r="BM25" s="132">
        <f t="shared" ca="1" si="29"/>
        <v>1984111.4675780325</v>
      </c>
      <c r="BN25" s="132">
        <f t="shared" ca="1" si="29"/>
        <v>2009447.1847294453</v>
      </c>
      <c r="BO25" s="132">
        <f t="shared" ca="1" si="29"/>
        <v>1917091.3092475035</v>
      </c>
      <c r="BP25" s="132">
        <f t="shared" ca="1" si="29"/>
        <v>1890711.7695840816</v>
      </c>
      <c r="BQ25" s="132">
        <f t="shared" ca="1" si="29"/>
        <v>1893733.3320410317</v>
      </c>
      <c r="BR25" s="132">
        <f t="shared" ca="1" si="29"/>
        <v>1921010.0330382828</v>
      </c>
      <c r="BS25" s="132">
        <f t="shared" ca="1" si="29"/>
        <v>1825887.4776968453</v>
      </c>
      <c r="BT25" s="132">
        <f t="shared" ca="1" si="29"/>
        <v>1799015.2958382508</v>
      </c>
      <c r="BU25" s="132">
        <f t="shared" ca="1" si="29"/>
        <v>1803450.2587276376</v>
      </c>
      <c r="BV25" s="132">
        <f t="shared" ca="1" si="29"/>
        <v>1832745.5805170108</v>
      </c>
      <c r="BW25" s="132">
        <f t="shared" ca="1" si="29"/>
        <v>1734745.6777728721</v>
      </c>
      <c r="BX25" s="132">
        <f t="shared" ca="1" si="29"/>
        <v>1708105.8159492873</v>
      </c>
      <c r="BY25" s="132">
        <f t="shared" ref="BY25:CO25" ca="1" si="30">SUM(BY26:BY28)</f>
        <v>1713266.1504286802</v>
      </c>
      <c r="BZ25" s="132">
        <f t="shared" ca="1" si="30"/>
        <v>1744660.8427532623</v>
      </c>
      <c r="CA25" s="132">
        <f t="shared" ca="1" si="30"/>
        <v>1643668.4994219197</v>
      </c>
      <c r="CB25" s="132">
        <f t="shared" ca="1" si="30"/>
        <v>1616890.5611047396</v>
      </c>
      <c r="CC25" s="132">
        <f t="shared" ca="1" si="30"/>
        <v>1623184.8641230897</v>
      </c>
      <c r="CD25" s="132">
        <f t="shared" ca="1" si="30"/>
        <v>1656762.8993004379</v>
      </c>
      <c r="CE25" s="132">
        <f t="shared" ca="1" si="30"/>
        <v>1552658.4173956232</v>
      </c>
      <c r="CF25" s="132">
        <f t="shared" ca="1" si="30"/>
        <v>1525736.9167055381</v>
      </c>
      <c r="CG25" s="132">
        <f t="shared" ca="1" si="30"/>
        <v>1533210.5470044045</v>
      </c>
      <c r="CH25" s="132">
        <f t="shared" ca="1" si="30"/>
        <v>1569059.2587486282</v>
      </c>
      <c r="CI25" s="132">
        <f t="shared" ca="1" si="30"/>
        <v>1461718.1527274032</v>
      </c>
      <c r="CJ25" s="132">
        <f t="shared" ca="1" si="30"/>
        <v>1434220.3303482784</v>
      </c>
      <c r="CK25" s="132">
        <f t="shared" ca="1" si="30"/>
        <v>1443347.439241739</v>
      </c>
      <c r="CL25" s="132">
        <f t="shared" ca="1" si="30"/>
        <v>1481557.6517990204</v>
      </c>
      <c r="CM25" s="132">
        <f t="shared" ca="1" si="30"/>
        <v>1370850.4562886509</v>
      </c>
      <c r="CN25" s="132">
        <f t="shared" ca="1" si="30"/>
        <v>1343624.4154911423</v>
      </c>
      <c r="CO25" s="132">
        <f t="shared" ca="1" si="30"/>
        <v>1353600.1065483517</v>
      </c>
    </row>
    <row r="26" spans="1:93" s="133" customFormat="1" ht="14.25">
      <c r="A26" s="10"/>
      <c r="B26" s="10"/>
      <c r="C26" s="10" t="s">
        <v>73</v>
      </c>
      <c r="D26" s="10"/>
      <c r="E26" s="10"/>
      <c r="F26" s="10"/>
      <c r="G26" s="134" t="str">
        <f>Monetary_Unit</f>
        <v>тыс. руб.</v>
      </c>
      <c r="H26" s="10"/>
      <c r="I26" s="10"/>
      <c r="J26" s="10"/>
      <c r="K26" s="10"/>
      <c r="L26" s="52">
        <f t="shared" ref="L26:BW26" si="31">Equity_EoP*Flag_Financial_Model</f>
        <v>10115.776706480377</v>
      </c>
      <c r="M26" s="52">
        <f t="shared" ca="1" si="31"/>
        <v>20375.145724380531</v>
      </c>
      <c r="N26" s="52">
        <f t="shared" ca="1" si="31"/>
        <v>30780.145330394098</v>
      </c>
      <c r="O26" s="52">
        <f t="shared" ca="1" si="31"/>
        <v>41332.842734322898</v>
      </c>
      <c r="P26" s="52">
        <f t="shared" ca="1" si="31"/>
        <v>130078.08804670507</v>
      </c>
      <c r="Q26" s="52">
        <f t="shared" ca="1" si="31"/>
        <v>219697.77634043814</v>
      </c>
      <c r="R26" s="52">
        <f t="shared" ca="1" si="31"/>
        <v>310200.52385772124</v>
      </c>
      <c r="S26" s="52">
        <f t="shared" ca="1" si="31"/>
        <v>401595.03174009075</v>
      </c>
      <c r="T26" s="52">
        <f t="shared" ca="1" si="31"/>
        <v>466615.00227403903</v>
      </c>
      <c r="U26" s="52">
        <f t="shared" ca="1" si="31"/>
        <v>468655.91143886244</v>
      </c>
      <c r="V26" s="52">
        <f t="shared" ca="1" si="31"/>
        <v>471959.03515348106</v>
      </c>
      <c r="W26" s="52">
        <f t="shared" ca="1" si="31"/>
        <v>476514.16196976916</v>
      </c>
      <c r="X26" s="52">
        <f t="shared" ca="1" si="31"/>
        <v>482860.4361004979</v>
      </c>
      <c r="Y26" s="52">
        <f t="shared" ca="1" si="31"/>
        <v>491618.23759691074</v>
      </c>
      <c r="Z26" s="52">
        <f t="shared" ca="1" si="31"/>
        <v>502934.32921438781</v>
      </c>
      <c r="AA26" s="52">
        <f t="shared" ca="1" si="31"/>
        <v>516736.73096100148</v>
      </c>
      <c r="AB26" s="52">
        <f t="shared" ca="1" si="31"/>
        <v>533689.28402014531</v>
      </c>
      <c r="AC26" s="52">
        <f t="shared" ca="1" si="31"/>
        <v>533689.28402014531</v>
      </c>
      <c r="AD26" s="52">
        <f t="shared" ca="1" si="31"/>
        <v>533689.28402014531</v>
      </c>
      <c r="AE26" s="52">
        <f t="shared" ca="1" si="31"/>
        <v>533689.28402014531</v>
      </c>
      <c r="AF26" s="52">
        <f t="shared" ca="1" si="31"/>
        <v>533689.28402014531</v>
      </c>
      <c r="AG26" s="52">
        <f t="shared" ca="1" si="31"/>
        <v>533689.28402014531</v>
      </c>
      <c r="AH26" s="52">
        <f t="shared" ca="1" si="31"/>
        <v>533689.28402014531</v>
      </c>
      <c r="AI26" s="52">
        <f t="shared" ca="1" si="31"/>
        <v>533689.28402014531</v>
      </c>
      <c r="AJ26" s="52">
        <f t="shared" ca="1" si="31"/>
        <v>533689.28402014531</v>
      </c>
      <c r="AK26" s="52">
        <f t="shared" ca="1" si="31"/>
        <v>533689.28402014531</v>
      </c>
      <c r="AL26" s="52">
        <f t="shared" ca="1" si="31"/>
        <v>533689.28402014531</v>
      </c>
      <c r="AM26" s="52">
        <f t="shared" ca="1" si="31"/>
        <v>533689.28402014531</v>
      </c>
      <c r="AN26" s="52">
        <f t="shared" ca="1" si="31"/>
        <v>533689.28402014531</v>
      </c>
      <c r="AO26" s="52">
        <f t="shared" ca="1" si="31"/>
        <v>533689.28402014531</v>
      </c>
      <c r="AP26" s="52">
        <f t="shared" ca="1" si="31"/>
        <v>533689.28402014531</v>
      </c>
      <c r="AQ26" s="52">
        <f t="shared" ca="1" si="31"/>
        <v>533689.28402014531</v>
      </c>
      <c r="AR26" s="52">
        <f t="shared" ca="1" si="31"/>
        <v>533689.28402014531</v>
      </c>
      <c r="AS26" s="52">
        <f t="shared" ca="1" si="31"/>
        <v>533689.28402014531</v>
      </c>
      <c r="AT26" s="52">
        <f t="shared" ca="1" si="31"/>
        <v>533689.28402014531</v>
      </c>
      <c r="AU26" s="52">
        <f t="shared" ca="1" si="31"/>
        <v>533689.28402014531</v>
      </c>
      <c r="AV26" s="52">
        <f t="shared" ca="1" si="31"/>
        <v>533689.28402014531</v>
      </c>
      <c r="AW26" s="52">
        <f t="shared" ca="1" si="31"/>
        <v>533689.28402014531</v>
      </c>
      <c r="AX26" s="52">
        <f t="shared" ca="1" si="31"/>
        <v>533689.28402014531</v>
      </c>
      <c r="AY26" s="52">
        <f t="shared" ca="1" si="31"/>
        <v>533689.28402014531</v>
      </c>
      <c r="AZ26" s="52">
        <f t="shared" ca="1" si="31"/>
        <v>533689.28402014531</v>
      </c>
      <c r="BA26" s="52">
        <f t="shared" ca="1" si="31"/>
        <v>533689.28402014531</v>
      </c>
      <c r="BB26" s="52">
        <f t="shared" ca="1" si="31"/>
        <v>533689.28402014531</v>
      </c>
      <c r="BC26" s="52">
        <f t="shared" ca="1" si="31"/>
        <v>533689.28402014531</v>
      </c>
      <c r="BD26" s="52">
        <f t="shared" ca="1" si="31"/>
        <v>533689.28402014531</v>
      </c>
      <c r="BE26" s="52">
        <f t="shared" ca="1" si="31"/>
        <v>533689.28402014531</v>
      </c>
      <c r="BF26" s="52">
        <f t="shared" ca="1" si="31"/>
        <v>533689.28402014531</v>
      </c>
      <c r="BG26" s="52">
        <f t="shared" ca="1" si="31"/>
        <v>533689.28402014531</v>
      </c>
      <c r="BH26" s="52">
        <f t="shared" ca="1" si="31"/>
        <v>533689.28402014531</v>
      </c>
      <c r="BI26" s="52">
        <f t="shared" ca="1" si="31"/>
        <v>533689.28402014531</v>
      </c>
      <c r="BJ26" s="52">
        <f t="shared" ca="1" si="31"/>
        <v>533689.28402014531</v>
      </c>
      <c r="BK26" s="52">
        <f t="shared" ca="1" si="31"/>
        <v>533689.28402014531</v>
      </c>
      <c r="BL26" s="52">
        <f t="shared" ca="1" si="31"/>
        <v>533689.28402014531</v>
      </c>
      <c r="BM26" s="52">
        <f t="shared" ca="1" si="31"/>
        <v>533689.28402014531</v>
      </c>
      <c r="BN26" s="52">
        <f t="shared" ca="1" si="31"/>
        <v>533689.28402014531</v>
      </c>
      <c r="BO26" s="52">
        <f t="shared" ca="1" si="31"/>
        <v>533689.28402014531</v>
      </c>
      <c r="BP26" s="52">
        <f t="shared" ca="1" si="31"/>
        <v>533689.28402014531</v>
      </c>
      <c r="BQ26" s="52">
        <f t="shared" ca="1" si="31"/>
        <v>533689.28402014531</v>
      </c>
      <c r="BR26" s="52">
        <f t="shared" ca="1" si="31"/>
        <v>533689.28402014531</v>
      </c>
      <c r="BS26" s="52">
        <f t="shared" ca="1" si="31"/>
        <v>533689.28402014531</v>
      </c>
      <c r="BT26" s="52">
        <f t="shared" ca="1" si="31"/>
        <v>533689.28402014531</v>
      </c>
      <c r="BU26" s="52">
        <f t="shared" ca="1" si="31"/>
        <v>533689.28402014531</v>
      </c>
      <c r="BV26" s="52">
        <f t="shared" ca="1" si="31"/>
        <v>533689.28402014531</v>
      </c>
      <c r="BW26" s="52">
        <f t="shared" ca="1" si="31"/>
        <v>533689.28402014531</v>
      </c>
      <c r="BX26" s="52">
        <f t="shared" ref="BX26:CO26" ca="1" si="32">Equity_EoP*Flag_Financial_Model</f>
        <v>533689.28402014531</v>
      </c>
      <c r="BY26" s="52">
        <f t="shared" ca="1" si="32"/>
        <v>533689.28402014531</v>
      </c>
      <c r="BZ26" s="52">
        <f t="shared" ca="1" si="32"/>
        <v>533689.28402014531</v>
      </c>
      <c r="CA26" s="52">
        <f t="shared" ca="1" si="32"/>
        <v>533689.28402014531</v>
      </c>
      <c r="CB26" s="52">
        <f t="shared" ca="1" si="32"/>
        <v>533689.28402014531</v>
      </c>
      <c r="CC26" s="52">
        <f t="shared" ca="1" si="32"/>
        <v>533689.28402014531</v>
      </c>
      <c r="CD26" s="52">
        <f t="shared" ca="1" si="32"/>
        <v>533689.28402014531</v>
      </c>
      <c r="CE26" s="52">
        <f t="shared" ca="1" si="32"/>
        <v>533689.28402014531</v>
      </c>
      <c r="CF26" s="52">
        <f t="shared" ca="1" si="32"/>
        <v>533689.28402014531</v>
      </c>
      <c r="CG26" s="52">
        <f t="shared" ca="1" si="32"/>
        <v>533689.28402014531</v>
      </c>
      <c r="CH26" s="52">
        <f t="shared" ca="1" si="32"/>
        <v>533689.28402014531</v>
      </c>
      <c r="CI26" s="52">
        <f t="shared" ca="1" si="32"/>
        <v>533689.28402014531</v>
      </c>
      <c r="CJ26" s="52">
        <f t="shared" ca="1" si="32"/>
        <v>533689.28402014531</v>
      </c>
      <c r="CK26" s="52">
        <f t="shared" ca="1" si="32"/>
        <v>533689.28402014531</v>
      </c>
      <c r="CL26" s="52">
        <f t="shared" ca="1" si="32"/>
        <v>533689.28402014531</v>
      </c>
      <c r="CM26" s="52">
        <f t="shared" ca="1" si="32"/>
        <v>533689.28402014531</v>
      </c>
      <c r="CN26" s="52">
        <f t="shared" ca="1" si="32"/>
        <v>533689.28402014531</v>
      </c>
      <c r="CO26" s="52">
        <f t="shared" ca="1" si="32"/>
        <v>533689.28402014531</v>
      </c>
    </row>
    <row r="27" spans="1:93" s="133" customFormat="1" ht="14.25">
      <c r="A27" s="10"/>
      <c r="B27" s="10"/>
      <c r="C27" s="10" t="s">
        <v>553</v>
      </c>
      <c r="D27" s="10"/>
      <c r="E27" s="10"/>
      <c r="F27" s="10"/>
      <c r="G27" s="134" t="str">
        <f>Monetary_Unit</f>
        <v>тыс. руб.</v>
      </c>
      <c r="H27" s="10"/>
      <c r="I27" s="10"/>
      <c r="J27" s="10"/>
      <c r="K27" s="10"/>
      <c r="L27" s="52">
        <f t="shared" ref="L27:BW27" ca="1" si="33">Subord_EoP*Flag_Financial_Model</f>
        <v>10377.678322579664</v>
      </c>
      <c r="M27" s="52">
        <f t="shared" ca="1" si="33"/>
        <v>21448.953378042923</v>
      </c>
      <c r="N27" s="52">
        <f t="shared" ca="1" si="33"/>
        <v>33264.65456065342</v>
      </c>
      <c r="O27" s="52">
        <f t="shared" ca="1" si="33"/>
        <v>45857.385342756948</v>
      </c>
      <c r="P27" s="52">
        <f t="shared" ca="1" si="33"/>
        <v>138162.38987482365</v>
      </c>
      <c r="Q27" s="52">
        <f t="shared" ca="1" si="33"/>
        <v>235080.91577775072</v>
      </c>
      <c r="R27" s="52">
        <f t="shared" ca="1" si="33"/>
        <v>336889.118916885</v>
      </c>
      <c r="S27" s="52">
        <f t="shared" ca="1" si="33"/>
        <v>443712.86353479093</v>
      </c>
      <c r="T27" s="52">
        <f t="shared" ca="1" si="33"/>
        <v>524585.18369323632</v>
      </c>
      <c r="U27" s="52">
        <f t="shared" ca="1" si="33"/>
        <v>544316.68262851553</v>
      </c>
      <c r="V27" s="52">
        <f t="shared" ca="1" si="33"/>
        <v>566197.68468974764</v>
      </c>
      <c r="W27" s="52">
        <f t="shared" ca="1" si="33"/>
        <v>590096.54460569553</v>
      </c>
      <c r="X27" s="52">
        <f t="shared" ca="1" si="33"/>
        <v>616356.25600235036</v>
      </c>
      <c r="Y27" s="52">
        <f t="shared" ca="1" si="33"/>
        <v>645949.38919461181</v>
      </c>
      <c r="Z27" s="52">
        <f t="shared" ca="1" si="33"/>
        <v>679377.40524580923</v>
      </c>
      <c r="AA27" s="52">
        <f t="shared" ca="1" si="33"/>
        <v>716468.27772466175</v>
      </c>
      <c r="AB27" s="52">
        <f t="shared" ca="1" si="33"/>
        <v>757552.54676788498</v>
      </c>
      <c r="AC27" s="52">
        <f t="shared" ca="1" si="33"/>
        <v>689992.75568413804</v>
      </c>
      <c r="AD27" s="52">
        <f t="shared" ca="1" si="33"/>
        <v>665273.16230161104</v>
      </c>
      <c r="AE27" s="52">
        <f t="shared" ca="1" si="33"/>
        <v>658177.21018213511</v>
      </c>
      <c r="AF27" s="52">
        <f t="shared" ca="1" si="33"/>
        <v>663483.3288283943</v>
      </c>
      <c r="AG27" s="52">
        <f t="shared" ca="1" si="33"/>
        <v>667286.37653550995</v>
      </c>
      <c r="AH27" s="52">
        <f t="shared" ca="1" si="33"/>
        <v>654041.52315974503</v>
      </c>
      <c r="AI27" s="52">
        <f t="shared" ca="1" si="33"/>
        <v>641704.0097240617</v>
      </c>
      <c r="AJ27" s="52">
        <f t="shared" ca="1" si="33"/>
        <v>643782.29293741449</v>
      </c>
      <c r="AK27" s="52">
        <f t="shared" ca="1" si="33"/>
        <v>644030.2944251555</v>
      </c>
      <c r="AL27" s="52">
        <f t="shared" ca="1" si="33"/>
        <v>624532.89011305012</v>
      </c>
      <c r="AM27" s="52">
        <f t="shared" ca="1" si="33"/>
        <v>605993.76866953482</v>
      </c>
      <c r="AN27" s="52">
        <f t="shared" ca="1" si="33"/>
        <v>604015.23133028811</v>
      </c>
      <c r="AO27" s="52">
        <f t="shared" ca="1" si="33"/>
        <v>599777.67069609324</v>
      </c>
      <c r="AP27" s="52">
        <f t="shared" ca="1" si="33"/>
        <v>573479.65229026391</v>
      </c>
      <c r="AQ27" s="52">
        <f t="shared" ca="1" si="33"/>
        <v>548742.96079940174</v>
      </c>
      <c r="AR27" s="52">
        <f t="shared" ca="1" si="33"/>
        <v>543023.28604812501</v>
      </c>
      <c r="AS27" s="52">
        <f t="shared" ca="1" si="33"/>
        <v>535761.41841643769</v>
      </c>
      <c r="AT27" s="52">
        <f t="shared" ca="1" si="33"/>
        <v>458456.69337976928</v>
      </c>
      <c r="AU27" s="52">
        <f t="shared" ca="1" si="33"/>
        <v>203345.64714190544</v>
      </c>
      <c r="AV27" s="52">
        <f t="shared" ca="1" si="33"/>
        <v>64597.087566401984</v>
      </c>
      <c r="AW27" s="52">
        <f t="shared" ca="1" si="33"/>
        <v>0</v>
      </c>
      <c r="AX27" s="52">
        <f t="shared" ca="1" si="33"/>
        <v>0</v>
      </c>
      <c r="AY27" s="52">
        <f t="shared" ca="1" si="33"/>
        <v>0</v>
      </c>
      <c r="AZ27" s="52">
        <f t="shared" ca="1" si="33"/>
        <v>0</v>
      </c>
      <c r="BA27" s="52">
        <f t="shared" ca="1" si="33"/>
        <v>0</v>
      </c>
      <c r="BB27" s="52">
        <f t="shared" ca="1" si="33"/>
        <v>0</v>
      </c>
      <c r="BC27" s="52">
        <f t="shared" ca="1" si="33"/>
        <v>0</v>
      </c>
      <c r="BD27" s="52">
        <f t="shared" ca="1" si="33"/>
        <v>0</v>
      </c>
      <c r="BE27" s="52">
        <f t="shared" ca="1" si="33"/>
        <v>0</v>
      </c>
      <c r="BF27" s="52">
        <f t="shared" ca="1" si="33"/>
        <v>0</v>
      </c>
      <c r="BG27" s="52">
        <f t="shared" ca="1" si="33"/>
        <v>0</v>
      </c>
      <c r="BH27" s="52">
        <f t="shared" ca="1" si="33"/>
        <v>0</v>
      </c>
      <c r="BI27" s="52">
        <f t="shared" ca="1" si="33"/>
        <v>0</v>
      </c>
      <c r="BJ27" s="52">
        <f t="shared" ca="1" si="33"/>
        <v>0</v>
      </c>
      <c r="BK27" s="52">
        <f t="shared" ca="1" si="33"/>
        <v>0</v>
      </c>
      <c r="BL27" s="52">
        <f t="shared" ca="1" si="33"/>
        <v>0</v>
      </c>
      <c r="BM27" s="52">
        <f t="shared" ca="1" si="33"/>
        <v>0</v>
      </c>
      <c r="BN27" s="52">
        <f t="shared" ca="1" si="33"/>
        <v>0</v>
      </c>
      <c r="BO27" s="52">
        <f t="shared" ca="1" si="33"/>
        <v>0</v>
      </c>
      <c r="BP27" s="52">
        <f t="shared" ca="1" si="33"/>
        <v>0</v>
      </c>
      <c r="BQ27" s="52">
        <f t="shared" ca="1" si="33"/>
        <v>0</v>
      </c>
      <c r="BR27" s="52">
        <f t="shared" ca="1" si="33"/>
        <v>0</v>
      </c>
      <c r="BS27" s="52">
        <f t="shared" ca="1" si="33"/>
        <v>0</v>
      </c>
      <c r="BT27" s="52">
        <f t="shared" ca="1" si="33"/>
        <v>0</v>
      </c>
      <c r="BU27" s="52">
        <f t="shared" ca="1" si="33"/>
        <v>0</v>
      </c>
      <c r="BV27" s="52">
        <f t="shared" ca="1" si="33"/>
        <v>0</v>
      </c>
      <c r="BW27" s="52">
        <f t="shared" ca="1" si="33"/>
        <v>0</v>
      </c>
      <c r="BX27" s="52">
        <f t="shared" ref="BX27:CO27" ca="1" si="34">Subord_EoP*Flag_Financial_Model</f>
        <v>0</v>
      </c>
      <c r="BY27" s="52">
        <f t="shared" ca="1" si="34"/>
        <v>0</v>
      </c>
      <c r="BZ27" s="52">
        <f t="shared" ca="1" si="34"/>
        <v>0</v>
      </c>
      <c r="CA27" s="52">
        <f t="shared" ca="1" si="34"/>
        <v>0</v>
      </c>
      <c r="CB27" s="52">
        <f t="shared" ca="1" si="34"/>
        <v>0</v>
      </c>
      <c r="CC27" s="52">
        <f t="shared" ca="1" si="34"/>
        <v>0</v>
      </c>
      <c r="CD27" s="52">
        <f t="shared" ca="1" si="34"/>
        <v>0</v>
      </c>
      <c r="CE27" s="52">
        <f t="shared" ca="1" si="34"/>
        <v>0</v>
      </c>
      <c r="CF27" s="52">
        <f t="shared" ca="1" si="34"/>
        <v>0</v>
      </c>
      <c r="CG27" s="52">
        <f t="shared" ca="1" si="34"/>
        <v>0</v>
      </c>
      <c r="CH27" s="52">
        <f t="shared" ca="1" si="34"/>
        <v>0</v>
      </c>
      <c r="CI27" s="52">
        <f t="shared" ca="1" si="34"/>
        <v>0</v>
      </c>
      <c r="CJ27" s="52">
        <f t="shared" ca="1" si="34"/>
        <v>0</v>
      </c>
      <c r="CK27" s="52">
        <f t="shared" ca="1" si="34"/>
        <v>0</v>
      </c>
      <c r="CL27" s="52">
        <f t="shared" ca="1" si="34"/>
        <v>0</v>
      </c>
      <c r="CM27" s="52">
        <f t="shared" ca="1" si="34"/>
        <v>0</v>
      </c>
      <c r="CN27" s="52">
        <f t="shared" ca="1" si="34"/>
        <v>0</v>
      </c>
      <c r="CO27" s="52">
        <f t="shared" ca="1" si="34"/>
        <v>0</v>
      </c>
    </row>
    <row r="28" spans="1:93" s="133" customFormat="1" ht="14.25">
      <c r="A28" s="10"/>
      <c r="B28" s="10"/>
      <c r="C28" s="10" t="s">
        <v>74</v>
      </c>
      <c r="D28" s="10"/>
      <c r="E28" s="10"/>
      <c r="F28" s="10"/>
      <c r="G28" s="134" t="str">
        <f>Monetary_Unit</f>
        <v>тыс. руб.</v>
      </c>
      <c r="H28" s="10"/>
      <c r="I28" s="10"/>
      <c r="J28" s="10"/>
      <c r="K28" s="10"/>
      <c r="L28" s="52">
        <f t="shared" ref="L28:AQ28" ca="1" si="35">(K28+L59)*(Flag_Historical+Flag_Financial_Model)</f>
        <v>0</v>
      </c>
      <c r="M28" s="52">
        <f t="shared" ca="1" si="35"/>
        <v>0</v>
      </c>
      <c r="N28" s="52">
        <f t="shared" ca="1" si="35"/>
        <v>0</v>
      </c>
      <c r="O28" s="52">
        <f t="shared" ca="1" si="35"/>
        <v>0</v>
      </c>
      <c r="P28" s="52">
        <f t="shared" ca="1" si="35"/>
        <v>0</v>
      </c>
      <c r="Q28" s="52">
        <f t="shared" ca="1" si="35"/>
        <v>0</v>
      </c>
      <c r="R28" s="52">
        <f t="shared" ca="1" si="35"/>
        <v>0</v>
      </c>
      <c r="S28" s="52">
        <f t="shared" ca="1" si="35"/>
        <v>0</v>
      </c>
      <c r="T28" s="52">
        <f t="shared" ca="1" si="35"/>
        <v>0</v>
      </c>
      <c r="U28" s="52">
        <f t="shared" ca="1" si="35"/>
        <v>0</v>
      </c>
      <c r="V28" s="52">
        <f t="shared" ca="1" si="35"/>
        <v>0</v>
      </c>
      <c r="W28" s="52">
        <f t="shared" ca="1" si="35"/>
        <v>0</v>
      </c>
      <c r="X28" s="52">
        <f t="shared" ca="1" si="35"/>
        <v>0</v>
      </c>
      <c r="Y28" s="52">
        <f t="shared" ca="1" si="35"/>
        <v>0</v>
      </c>
      <c r="Z28" s="52">
        <f t="shared" ca="1" si="35"/>
        <v>0</v>
      </c>
      <c r="AA28" s="52">
        <f t="shared" ca="1" si="35"/>
        <v>0</v>
      </c>
      <c r="AB28" s="52">
        <f t="shared" ca="1" si="35"/>
        <v>0</v>
      </c>
      <c r="AC28" s="52">
        <f t="shared" ca="1" si="35"/>
        <v>21020.497477027762</v>
      </c>
      <c r="AD28" s="52">
        <f t="shared" ca="1" si="35"/>
        <v>184304.56817148303</v>
      </c>
      <c r="AE28" s="52">
        <f t="shared" ca="1" si="35"/>
        <v>174398.8609637031</v>
      </c>
      <c r="AF28" s="52">
        <f t="shared" ca="1" si="35"/>
        <v>157447.14720950837</v>
      </c>
      <c r="AG28" s="52">
        <f t="shared" ca="1" si="35"/>
        <v>214464.79567792697</v>
      </c>
      <c r="AH28" s="52">
        <f t="shared" ca="1" si="35"/>
        <v>428332.57148980233</v>
      </c>
      <c r="AI28" s="52">
        <f t="shared" ca="1" si="35"/>
        <v>438753.04737035115</v>
      </c>
      <c r="AJ28" s="52">
        <f t="shared" ca="1" si="35"/>
        <v>440746.38428236073</v>
      </c>
      <c r="AK28" s="52">
        <f t="shared" ca="1" si="35"/>
        <v>528150.31833855784</v>
      </c>
      <c r="AL28" s="52">
        <f t="shared" ca="1" si="35"/>
        <v>795882.94833661802</v>
      </c>
      <c r="AM28" s="52">
        <f t="shared" ca="1" si="35"/>
        <v>829691.28277857392</v>
      </c>
      <c r="AN28" s="52">
        <f t="shared" ca="1" si="35"/>
        <v>854435.430626477</v>
      </c>
      <c r="AO28" s="52">
        <f t="shared" ca="1" si="35"/>
        <v>976139.99011114624</v>
      </c>
      <c r="AP28" s="52">
        <f t="shared" ca="1" si="35"/>
        <v>1294431.4261533802</v>
      </c>
      <c r="AQ28" s="52">
        <f t="shared" ca="1" si="35"/>
        <v>1349001.7557084402</v>
      </c>
      <c r="AR28" s="52">
        <f t="shared" ref="AR28:BW28" ca="1" si="36">(AQ28+AR59)*(Flag_Historical+Flag_Financial_Model)</f>
        <v>1389685.3754740439</v>
      </c>
      <c r="AS28" s="52">
        <f t="shared" ca="1" si="36"/>
        <v>1528915.1621395079</v>
      </c>
      <c r="AT28" s="52">
        <f t="shared" ca="1" si="36"/>
        <v>1870898.9381748298</v>
      </c>
      <c r="AU28" s="52">
        <f t="shared" ca="1" si="36"/>
        <v>1938354.6037313575</v>
      </c>
      <c r="AV28" s="52">
        <f t="shared" ca="1" si="36"/>
        <v>1996687.2907128828</v>
      </c>
      <c r="AW28" s="52">
        <f t="shared" ca="1" si="36"/>
        <v>1988662.1590820027</v>
      </c>
      <c r="AX28" s="52">
        <f t="shared" ca="1" si="36"/>
        <v>1973177.8201009191</v>
      </c>
      <c r="AY28" s="52">
        <f t="shared" ca="1" si="36"/>
        <v>1867185.8583978522</v>
      </c>
      <c r="AZ28" s="52">
        <f t="shared" ca="1" si="36"/>
        <v>1817590.7450612404</v>
      </c>
      <c r="BA28" s="52">
        <f t="shared" ca="1" si="36"/>
        <v>1793127.8170380157</v>
      </c>
      <c r="BB28" s="52">
        <f t="shared" ca="1" si="36"/>
        <v>1789398.2830930473</v>
      </c>
      <c r="BC28" s="52">
        <f t="shared" ca="1" si="36"/>
        <v>1681041.3518508463</v>
      </c>
      <c r="BD28" s="52">
        <f t="shared" ca="1" si="36"/>
        <v>1631025.125901123</v>
      </c>
      <c r="BE28" s="52">
        <f t="shared" ca="1" si="36"/>
        <v>1631449.2227213045</v>
      </c>
      <c r="BF28" s="52">
        <f t="shared" ca="1" si="36"/>
        <v>1653124.0585196973</v>
      </c>
      <c r="BG28" s="52">
        <f t="shared" ca="1" si="36"/>
        <v>1565986.4028887742</v>
      </c>
      <c r="BH28" s="52">
        <f t="shared" ca="1" si="36"/>
        <v>1539847.6093087934</v>
      </c>
      <c r="BI28" s="52">
        <f t="shared" ca="1" si="36"/>
        <v>1540891.7568041657</v>
      </c>
      <c r="BJ28" s="52">
        <f t="shared" ca="1" si="36"/>
        <v>1564361.1433345797</v>
      </c>
      <c r="BK28" s="52">
        <f t="shared" ca="1" si="36"/>
        <v>1474665.5369483067</v>
      </c>
      <c r="BL28" s="52">
        <f t="shared" ca="1" si="36"/>
        <v>1448408.7150029179</v>
      </c>
      <c r="BM28" s="52">
        <f t="shared" ca="1" si="36"/>
        <v>1450422.1835578871</v>
      </c>
      <c r="BN28" s="52">
        <f t="shared" ca="1" si="36"/>
        <v>1475757.9007092998</v>
      </c>
      <c r="BO28" s="52">
        <f t="shared" ca="1" si="36"/>
        <v>1383402.0252273583</v>
      </c>
      <c r="BP28" s="52">
        <f t="shared" ca="1" si="36"/>
        <v>1357022.4855639362</v>
      </c>
      <c r="BQ28" s="52">
        <f t="shared" ca="1" si="36"/>
        <v>1360044.0480208863</v>
      </c>
      <c r="BR28" s="52">
        <f t="shared" ca="1" si="36"/>
        <v>1387320.7490181373</v>
      </c>
      <c r="BS28" s="52">
        <f t="shared" ca="1" si="36"/>
        <v>1292198.1936767001</v>
      </c>
      <c r="BT28" s="52">
        <f t="shared" ca="1" si="36"/>
        <v>1265326.0118181054</v>
      </c>
      <c r="BU28" s="52">
        <f t="shared" ca="1" si="36"/>
        <v>1269760.9747074922</v>
      </c>
      <c r="BV28" s="52">
        <f t="shared" ca="1" si="36"/>
        <v>1299056.2964968653</v>
      </c>
      <c r="BW28" s="52">
        <f t="shared" ca="1" si="36"/>
        <v>1201056.3937527267</v>
      </c>
      <c r="BX28" s="52">
        <f t="shared" ref="BX28:CO28" ca="1" si="37">(BW28+BX59)*(Flag_Historical+Flag_Financial_Model)</f>
        <v>1174416.5319291421</v>
      </c>
      <c r="BY28" s="52">
        <f t="shared" ca="1" si="37"/>
        <v>1179576.8664085348</v>
      </c>
      <c r="BZ28" s="52">
        <f t="shared" ca="1" si="37"/>
        <v>1210971.5587331168</v>
      </c>
      <c r="CA28" s="52">
        <f t="shared" ca="1" si="37"/>
        <v>1109979.2154017743</v>
      </c>
      <c r="CB28" s="52">
        <f t="shared" ca="1" si="37"/>
        <v>1083201.2770845941</v>
      </c>
      <c r="CC28" s="52">
        <f t="shared" ca="1" si="37"/>
        <v>1089495.5801029445</v>
      </c>
      <c r="CD28" s="52">
        <f t="shared" ca="1" si="37"/>
        <v>1123073.6152802925</v>
      </c>
      <c r="CE28" s="52">
        <f t="shared" ca="1" si="37"/>
        <v>1018969.1333754779</v>
      </c>
      <c r="CF28" s="52">
        <f t="shared" ca="1" si="37"/>
        <v>992047.63268539263</v>
      </c>
      <c r="CG28" s="52">
        <f t="shared" ca="1" si="37"/>
        <v>999521.26298425917</v>
      </c>
      <c r="CH28" s="52">
        <f t="shared" ca="1" si="37"/>
        <v>1035369.974728483</v>
      </c>
      <c r="CI28" s="52">
        <f t="shared" ca="1" si="37"/>
        <v>928028.86870725791</v>
      </c>
      <c r="CJ28" s="52">
        <f t="shared" ca="1" si="37"/>
        <v>900531.04632813297</v>
      </c>
      <c r="CK28" s="52">
        <f t="shared" ca="1" si="37"/>
        <v>909658.15522159357</v>
      </c>
      <c r="CL28" s="52">
        <f t="shared" ca="1" si="37"/>
        <v>947868.36777887505</v>
      </c>
      <c r="CM28" s="52">
        <f t="shared" ca="1" si="37"/>
        <v>837161.17226850556</v>
      </c>
      <c r="CN28" s="52">
        <f t="shared" ca="1" si="37"/>
        <v>809935.13147099689</v>
      </c>
      <c r="CO28" s="52">
        <f t="shared" ca="1" si="37"/>
        <v>819910.82252820639</v>
      </c>
    </row>
    <row r="29" spans="1:93" s="133" customFormat="1" ht="14.25">
      <c r="A29" s="10"/>
      <c r="B29" s="10"/>
      <c r="C29" s="10"/>
      <c r="D29" s="10"/>
      <c r="E29" s="10"/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s="133" customFormat="1">
      <c r="A30" s="10"/>
      <c r="B30" s="130" t="s">
        <v>75</v>
      </c>
      <c r="C30" s="35" t="s">
        <v>76</v>
      </c>
      <c r="D30" s="130"/>
      <c r="E30" s="130"/>
      <c r="F30" s="130"/>
      <c r="G30" s="131" t="str">
        <f>Monetary_Unit</f>
        <v>тыс. руб.</v>
      </c>
      <c r="H30" s="130"/>
      <c r="I30" s="10"/>
      <c r="J30" s="10"/>
      <c r="K30" s="10"/>
      <c r="L30" s="132">
        <f t="shared" ref="L30:AQ30" ca="1" si="38">SUM(L31:L31)</f>
        <v>0</v>
      </c>
      <c r="M30" s="132">
        <f t="shared" ca="1" si="38"/>
        <v>0</v>
      </c>
      <c r="N30" s="132">
        <f t="shared" ca="1" si="38"/>
        <v>0</v>
      </c>
      <c r="O30" s="132">
        <f t="shared" ca="1" si="38"/>
        <v>0</v>
      </c>
      <c r="P30" s="132">
        <f t="shared" ca="1" si="38"/>
        <v>0</v>
      </c>
      <c r="Q30" s="132">
        <f t="shared" ca="1" si="38"/>
        <v>0</v>
      </c>
      <c r="R30" s="132">
        <f t="shared" ca="1" si="38"/>
        <v>0</v>
      </c>
      <c r="S30" s="132">
        <f t="shared" ca="1" si="38"/>
        <v>0</v>
      </c>
      <c r="T30" s="132">
        <f t="shared" ca="1" si="38"/>
        <v>54925.998445192294</v>
      </c>
      <c r="U30" s="132">
        <f t="shared" ca="1" si="38"/>
        <v>241334.95009615706</v>
      </c>
      <c r="V30" s="132">
        <f t="shared" ca="1" si="38"/>
        <v>429580.66493210581</v>
      </c>
      <c r="W30" s="132">
        <f t="shared" ca="1" si="38"/>
        <v>619681.24132743443</v>
      </c>
      <c r="X30" s="132">
        <f t="shared" ca="1" si="38"/>
        <v>987256.73114388925</v>
      </c>
      <c r="Y30" s="132">
        <f t="shared" ca="1" si="38"/>
        <v>1358454.091698942</v>
      </c>
      <c r="Z30" s="132">
        <f t="shared" ca="1" si="38"/>
        <v>1733309.0107574479</v>
      </c>
      <c r="AA30" s="132">
        <f t="shared" ca="1" si="38"/>
        <v>2111857.5277303178</v>
      </c>
      <c r="AB30" s="132">
        <f t="shared" ca="1" si="38"/>
        <v>2771888.3794600694</v>
      </c>
      <c r="AC30" s="132">
        <f t="shared" ca="1" si="38"/>
        <v>2344957.2516447473</v>
      </c>
      <c r="AD30" s="132">
        <f t="shared" ca="1" si="38"/>
        <v>2136769.7000716003</v>
      </c>
      <c r="AE30" s="132">
        <f t="shared" ca="1" si="38"/>
        <v>2017993.7277197978</v>
      </c>
      <c r="AF30" s="132">
        <f t="shared" ca="1" si="38"/>
        <v>1962594.493968616</v>
      </c>
      <c r="AG30" s="132">
        <f t="shared" ca="1" si="38"/>
        <v>1897110.0613220145</v>
      </c>
      <c r="AH30" s="132">
        <f t="shared" ca="1" si="38"/>
        <v>1743894.451950738</v>
      </c>
      <c r="AI30" s="132">
        <f t="shared" ca="1" si="38"/>
        <v>1595325.642261199</v>
      </c>
      <c r="AJ30" s="132">
        <f t="shared" ca="1" si="38"/>
        <v>1520744.8199508614</v>
      </c>
      <c r="AK30" s="132">
        <f t="shared" ca="1" si="38"/>
        <v>1434686.7297717063</v>
      </c>
      <c r="AL30" s="132">
        <f t="shared" ca="1" si="38"/>
        <v>1247696.2264534044</v>
      </c>
      <c r="AM30" s="132">
        <f t="shared" ca="1" si="38"/>
        <v>1066198.5492529529</v>
      </c>
      <c r="AN30" s="132">
        <f t="shared" ca="1" si="38"/>
        <v>969315.88586949522</v>
      </c>
      <c r="AO30" s="132">
        <f t="shared" ca="1" si="38"/>
        <v>860133.2583737144</v>
      </c>
      <c r="AP30" s="132">
        <f t="shared" ca="1" si="38"/>
        <v>638877.17472442822</v>
      </c>
      <c r="AQ30" s="132">
        <f t="shared" ca="1" si="38"/>
        <v>426803.06275349879</v>
      </c>
      <c r="AR30" s="132">
        <f t="shared" ref="AR30:BW30" ca="1" si="39">SUM(AR31:AR31)</f>
        <v>312713.58332558116</v>
      </c>
      <c r="AS30" s="132">
        <f t="shared" ca="1" si="39"/>
        <v>189347.13450160954</v>
      </c>
      <c r="AT30" s="132">
        <f t="shared" ca="1" si="39"/>
        <v>0</v>
      </c>
      <c r="AU30" s="132">
        <f t="shared" ca="1" si="39"/>
        <v>0</v>
      </c>
      <c r="AV30" s="132">
        <f t="shared" ca="1" si="39"/>
        <v>0</v>
      </c>
      <c r="AW30" s="132">
        <f t="shared" ca="1" si="39"/>
        <v>0</v>
      </c>
      <c r="AX30" s="132">
        <f t="shared" ca="1" si="39"/>
        <v>0</v>
      </c>
      <c r="AY30" s="132">
        <f t="shared" ca="1" si="39"/>
        <v>0</v>
      </c>
      <c r="AZ30" s="132">
        <f t="shared" ca="1" si="39"/>
        <v>0</v>
      </c>
      <c r="BA30" s="132">
        <f t="shared" ca="1" si="39"/>
        <v>0</v>
      </c>
      <c r="BB30" s="132">
        <f t="shared" ca="1" si="39"/>
        <v>0</v>
      </c>
      <c r="BC30" s="132">
        <f t="shared" ca="1" si="39"/>
        <v>0</v>
      </c>
      <c r="BD30" s="132">
        <f t="shared" ca="1" si="39"/>
        <v>0</v>
      </c>
      <c r="BE30" s="132">
        <f t="shared" ca="1" si="39"/>
        <v>0</v>
      </c>
      <c r="BF30" s="132">
        <f t="shared" ca="1" si="39"/>
        <v>0</v>
      </c>
      <c r="BG30" s="132">
        <f t="shared" ca="1" si="39"/>
        <v>0</v>
      </c>
      <c r="BH30" s="132">
        <f t="shared" ca="1" si="39"/>
        <v>0</v>
      </c>
      <c r="BI30" s="132">
        <f t="shared" ca="1" si="39"/>
        <v>0</v>
      </c>
      <c r="BJ30" s="132">
        <f t="shared" ca="1" si="39"/>
        <v>0</v>
      </c>
      <c r="BK30" s="132">
        <f t="shared" ca="1" si="39"/>
        <v>0</v>
      </c>
      <c r="BL30" s="132">
        <f t="shared" ca="1" si="39"/>
        <v>0</v>
      </c>
      <c r="BM30" s="132">
        <f t="shared" ca="1" si="39"/>
        <v>0</v>
      </c>
      <c r="BN30" s="132">
        <f t="shared" ca="1" si="39"/>
        <v>0</v>
      </c>
      <c r="BO30" s="132">
        <f t="shared" ca="1" si="39"/>
        <v>0</v>
      </c>
      <c r="BP30" s="132">
        <f t="shared" ca="1" si="39"/>
        <v>0</v>
      </c>
      <c r="BQ30" s="132">
        <f t="shared" ca="1" si="39"/>
        <v>0</v>
      </c>
      <c r="BR30" s="132">
        <f t="shared" ca="1" si="39"/>
        <v>0</v>
      </c>
      <c r="BS30" s="132">
        <f t="shared" ca="1" si="39"/>
        <v>0</v>
      </c>
      <c r="BT30" s="132">
        <f t="shared" ca="1" si="39"/>
        <v>0</v>
      </c>
      <c r="BU30" s="132">
        <f t="shared" ca="1" si="39"/>
        <v>0</v>
      </c>
      <c r="BV30" s="132">
        <f t="shared" ca="1" si="39"/>
        <v>0</v>
      </c>
      <c r="BW30" s="132">
        <f t="shared" ca="1" si="39"/>
        <v>0</v>
      </c>
      <c r="BX30" s="132">
        <f t="shared" ref="BX30:CO30" ca="1" si="40">SUM(BX31:BX31)</f>
        <v>0</v>
      </c>
      <c r="BY30" s="132">
        <f t="shared" ca="1" si="40"/>
        <v>0</v>
      </c>
      <c r="BZ30" s="132">
        <f t="shared" ca="1" si="40"/>
        <v>0</v>
      </c>
      <c r="CA30" s="132">
        <f t="shared" ca="1" si="40"/>
        <v>0</v>
      </c>
      <c r="CB30" s="132">
        <f t="shared" ca="1" si="40"/>
        <v>0</v>
      </c>
      <c r="CC30" s="132">
        <f t="shared" ca="1" si="40"/>
        <v>0</v>
      </c>
      <c r="CD30" s="132">
        <f t="shared" ca="1" si="40"/>
        <v>0</v>
      </c>
      <c r="CE30" s="132">
        <f t="shared" ca="1" si="40"/>
        <v>0</v>
      </c>
      <c r="CF30" s="132">
        <f t="shared" ca="1" si="40"/>
        <v>0</v>
      </c>
      <c r="CG30" s="132">
        <f t="shared" ca="1" si="40"/>
        <v>0</v>
      </c>
      <c r="CH30" s="132">
        <f t="shared" ca="1" si="40"/>
        <v>0</v>
      </c>
      <c r="CI30" s="132">
        <f t="shared" ca="1" si="40"/>
        <v>0</v>
      </c>
      <c r="CJ30" s="132">
        <f t="shared" ca="1" si="40"/>
        <v>0</v>
      </c>
      <c r="CK30" s="132">
        <f t="shared" ca="1" si="40"/>
        <v>0</v>
      </c>
      <c r="CL30" s="132">
        <f t="shared" ca="1" si="40"/>
        <v>0</v>
      </c>
      <c r="CM30" s="132">
        <f t="shared" ca="1" si="40"/>
        <v>0</v>
      </c>
      <c r="CN30" s="132">
        <f t="shared" ca="1" si="40"/>
        <v>0</v>
      </c>
      <c r="CO30" s="132">
        <f t="shared" ca="1" si="40"/>
        <v>0</v>
      </c>
    </row>
    <row r="31" spans="1:93" s="133" customFormat="1" ht="14.25">
      <c r="A31" s="10"/>
      <c r="B31" s="10"/>
      <c r="C31" s="10" t="s">
        <v>539</v>
      </c>
      <c r="D31" s="10"/>
      <c r="E31" s="10"/>
      <c r="F31" s="10"/>
      <c r="G31" s="134" t="str">
        <f>Monetary_Unit</f>
        <v>тыс. руб.</v>
      </c>
      <c r="H31" s="10"/>
      <c r="I31" s="10"/>
      <c r="J31" s="10"/>
      <c r="K31" s="10"/>
      <c r="L31" s="10">
        <f t="shared" ref="L31:AQ31" ca="1" si="41">Debt_EoP*(ABS(Debt_EoP)&gt;Accuracy)*Flag_Financial_Model</f>
        <v>0</v>
      </c>
      <c r="M31" s="10">
        <f t="shared" ca="1" si="41"/>
        <v>0</v>
      </c>
      <c r="N31" s="10">
        <f t="shared" ca="1" si="41"/>
        <v>0</v>
      </c>
      <c r="O31" s="10">
        <f t="shared" ca="1" si="41"/>
        <v>0</v>
      </c>
      <c r="P31" s="10">
        <f t="shared" ca="1" si="41"/>
        <v>0</v>
      </c>
      <c r="Q31" s="10">
        <f t="shared" ca="1" si="41"/>
        <v>0</v>
      </c>
      <c r="R31" s="10">
        <f t="shared" ca="1" si="41"/>
        <v>0</v>
      </c>
      <c r="S31" s="10">
        <f t="shared" ca="1" si="41"/>
        <v>0</v>
      </c>
      <c r="T31" s="10">
        <f t="shared" ca="1" si="41"/>
        <v>54925.998445192294</v>
      </c>
      <c r="U31" s="10">
        <f t="shared" ca="1" si="41"/>
        <v>241334.95009615706</v>
      </c>
      <c r="V31" s="10">
        <f t="shared" ca="1" si="41"/>
        <v>429580.66493210581</v>
      </c>
      <c r="W31" s="10">
        <f t="shared" ca="1" si="41"/>
        <v>619681.24132743443</v>
      </c>
      <c r="X31" s="10">
        <f t="shared" ca="1" si="41"/>
        <v>987256.73114388925</v>
      </c>
      <c r="Y31" s="10">
        <f t="shared" ca="1" si="41"/>
        <v>1358454.091698942</v>
      </c>
      <c r="Z31" s="10">
        <f t="shared" ca="1" si="41"/>
        <v>1733309.0107574479</v>
      </c>
      <c r="AA31" s="10">
        <f t="shared" ca="1" si="41"/>
        <v>2111857.5277303178</v>
      </c>
      <c r="AB31" s="10">
        <f t="shared" ca="1" si="41"/>
        <v>2771888.3794600694</v>
      </c>
      <c r="AC31" s="10">
        <f t="shared" ca="1" si="41"/>
        <v>2344957.2516447473</v>
      </c>
      <c r="AD31" s="10">
        <f t="shared" ca="1" si="41"/>
        <v>2136769.7000716003</v>
      </c>
      <c r="AE31" s="10">
        <f t="shared" ca="1" si="41"/>
        <v>2017993.7277197978</v>
      </c>
      <c r="AF31" s="10">
        <f t="shared" ca="1" si="41"/>
        <v>1962594.493968616</v>
      </c>
      <c r="AG31" s="10">
        <f t="shared" ca="1" si="41"/>
        <v>1897110.0613220145</v>
      </c>
      <c r="AH31" s="10">
        <f t="shared" ca="1" si="41"/>
        <v>1743894.451950738</v>
      </c>
      <c r="AI31" s="10">
        <f t="shared" ca="1" si="41"/>
        <v>1595325.642261199</v>
      </c>
      <c r="AJ31" s="10">
        <f t="shared" ca="1" si="41"/>
        <v>1520744.8199508614</v>
      </c>
      <c r="AK31" s="10">
        <f t="shared" ca="1" si="41"/>
        <v>1434686.7297717063</v>
      </c>
      <c r="AL31" s="10">
        <f t="shared" ca="1" si="41"/>
        <v>1247696.2264534044</v>
      </c>
      <c r="AM31" s="10">
        <f t="shared" ca="1" si="41"/>
        <v>1066198.5492529529</v>
      </c>
      <c r="AN31" s="10">
        <f t="shared" ca="1" si="41"/>
        <v>969315.88586949522</v>
      </c>
      <c r="AO31" s="10">
        <f t="shared" ca="1" si="41"/>
        <v>860133.2583737144</v>
      </c>
      <c r="AP31" s="10">
        <f t="shared" ca="1" si="41"/>
        <v>638877.17472442822</v>
      </c>
      <c r="AQ31" s="10">
        <f t="shared" ca="1" si="41"/>
        <v>426803.06275349879</v>
      </c>
      <c r="AR31" s="10">
        <f t="shared" ref="AR31:BW31" ca="1" si="42">Debt_EoP*(ABS(Debt_EoP)&gt;Accuracy)*Flag_Financial_Model</f>
        <v>312713.58332558116</v>
      </c>
      <c r="AS31" s="10">
        <f t="shared" ca="1" si="42"/>
        <v>189347.13450160954</v>
      </c>
      <c r="AT31" s="10">
        <f t="shared" ca="1" si="42"/>
        <v>0</v>
      </c>
      <c r="AU31" s="10">
        <f t="shared" ca="1" si="42"/>
        <v>0</v>
      </c>
      <c r="AV31" s="10">
        <f t="shared" ca="1" si="42"/>
        <v>0</v>
      </c>
      <c r="AW31" s="10">
        <f t="shared" ca="1" si="42"/>
        <v>0</v>
      </c>
      <c r="AX31" s="10">
        <f t="shared" ca="1" si="42"/>
        <v>0</v>
      </c>
      <c r="AY31" s="10">
        <f t="shared" ca="1" si="42"/>
        <v>0</v>
      </c>
      <c r="AZ31" s="10">
        <f t="shared" ca="1" si="42"/>
        <v>0</v>
      </c>
      <c r="BA31" s="10">
        <f t="shared" ca="1" si="42"/>
        <v>0</v>
      </c>
      <c r="BB31" s="10">
        <f t="shared" ca="1" si="42"/>
        <v>0</v>
      </c>
      <c r="BC31" s="10">
        <f t="shared" ca="1" si="42"/>
        <v>0</v>
      </c>
      <c r="BD31" s="10">
        <f t="shared" ca="1" si="42"/>
        <v>0</v>
      </c>
      <c r="BE31" s="10">
        <f t="shared" ca="1" si="42"/>
        <v>0</v>
      </c>
      <c r="BF31" s="10">
        <f t="shared" ca="1" si="42"/>
        <v>0</v>
      </c>
      <c r="BG31" s="10">
        <f t="shared" ca="1" si="42"/>
        <v>0</v>
      </c>
      <c r="BH31" s="10">
        <f t="shared" ca="1" si="42"/>
        <v>0</v>
      </c>
      <c r="BI31" s="10">
        <f t="shared" ca="1" si="42"/>
        <v>0</v>
      </c>
      <c r="BJ31" s="10">
        <f t="shared" ca="1" si="42"/>
        <v>0</v>
      </c>
      <c r="BK31" s="10">
        <f t="shared" ca="1" si="42"/>
        <v>0</v>
      </c>
      <c r="BL31" s="10">
        <f t="shared" ca="1" si="42"/>
        <v>0</v>
      </c>
      <c r="BM31" s="10">
        <f t="shared" ca="1" si="42"/>
        <v>0</v>
      </c>
      <c r="BN31" s="10">
        <f t="shared" ca="1" si="42"/>
        <v>0</v>
      </c>
      <c r="BO31" s="10">
        <f t="shared" ca="1" si="42"/>
        <v>0</v>
      </c>
      <c r="BP31" s="10">
        <f t="shared" ca="1" si="42"/>
        <v>0</v>
      </c>
      <c r="BQ31" s="10">
        <f t="shared" ca="1" si="42"/>
        <v>0</v>
      </c>
      <c r="BR31" s="10">
        <f t="shared" ca="1" si="42"/>
        <v>0</v>
      </c>
      <c r="BS31" s="10">
        <f t="shared" ca="1" si="42"/>
        <v>0</v>
      </c>
      <c r="BT31" s="10">
        <f t="shared" ca="1" si="42"/>
        <v>0</v>
      </c>
      <c r="BU31" s="10">
        <f t="shared" ca="1" si="42"/>
        <v>0</v>
      </c>
      <c r="BV31" s="10">
        <f t="shared" ca="1" si="42"/>
        <v>0</v>
      </c>
      <c r="BW31" s="10">
        <f t="shared" ca="1" si="42"/>
        <v>0</v>
      </c>
      <c r="BX31" s="10">
        <f t="shared" ref="BX31:CO31" ca="1" si="43">Debt_EoP*(ABS(Debt_EoP)&gt;Accuracy)*Flag_Financial_Model</f>
        <v>0</v>
      </c>
      <c r="BY31" s="10">
        <f t="shared" ca="1" si="43"/>
        <v>0</v>
      </c>
      <c r="BZ31" s="10">
        <f t="shared" ca="1" si="43"/>
        <v>0</v>
      </c>
      <c r="CA31" s="10">
        <f t="shared" ca="1" si="43"/>
        <v>0</v>
      </c>
      <c r="CB31" s="10">
        <f t="shared" ca="1" si="43"/>
        <v>0</v>
      </c>
      <c r="CC31" s="10">
        <f t="shared" ca="1" si="43"/>
        <v>0</v>
      </c>
      <c r="CD31" s="10">
        <f t="shared" ca="1" si="43"/>
        <v>0</v>
      </c>
      <c r="CE31" s="10">
        <f t="shared" ca="1" si="43"/>
        <v>0</v>
      </c>
      <c r="CF31" s="10">
        <f t="shared" ca="1" si="43"/>
        <v>0</v>
      </c>
      <c r="CG31" s="10">
        <f t="shared" ca="1" si="43"/>
        <v>0</v>
      </c>
      <c r="CH31" s="10">
        <f t="shared" ca="1" si="43"/>
        <v>0</v>
      </c>
      <c r="CI31" s="10">
        <f t="shared" ca="1" si="43"/>
        <v>0</v>
      </c>
      <c r="CJ31" s="10">
        <f t="shared" ca="1" si="43"/>
        <v>0</v>
      </c>
      <c r="CK31" s="10">
        <f t="shared" ca="1" si="43"/>
        <v>0</v>
      </c>
      <c r="CL31" s="10">
        <f t="shared" ca="1" si="43"/>
        <v>0</v>
      </c>
      <c r="CM31" s="10">
        <f t="shared" ca="1" si="43"/>
        <v>0</v>
      </c>
      <c r="CN31" s="10">
        <f t="shared" ca="1" si="43"/>
        <v>0</v>
      </c>
      <c r="CO31" s="10">
        <f t="shared" ca="1" si="43"/>
        <v>0</v>
      </c>
    </row>
    <row r="32" spans="1:93" s="133" customFormat="1" ht="14.25">
      <c r="A32" s="10"/>
      <c r="B32" s="10"/>
      <c r="C32" s="10"/>
      <c r="D32" s="10"/>
      <c r="E32" s="10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</row>
    <row r="33" spans="1:93" s="133" customFormat="1">
      <c r="A33" s="10"/>
      <c r="B33" s="130" t="s">
        <v>77</v>
      </c>
      <c r="C33" s="35" t="s">
        <v>78</v>
      </c>
      <c r="D33" s="130"/>
      <c r="E33" s="130"/>
      <c r="F33" s="130"/>
      <c r="G33" s="131" t="str">
        <f>Monetary_Unit</f>
        <v>тыс. руб.</v>
      </c>
      <c r="H33" s="130"/>
      <c r="I33" s="10"/>
      <c r="J33" s="10"/>
      <c r="K33" s="10"/>
      <c r="L33" s="132">
        <f ca="1">SUM(L34:L35)</f>
        <v>0</v>
      </c>
      <c r="M33" s="132">
        <f t="shared" ref="M33:BX33" ca="1" si="44">SUM(M34:M35)</f>
        <v>0</v>
      </c>
      <c r="N33" s="132">
        <f t="shared" ca="1" si="44"/>
        <v>0</v>
      </c>
      <c r="O33" s="132">
        <f t="shared" ca="1" si="44"/>
        <v>0</v>
      </c>
      <c r="P33" s="132">
        <f t="shared" ca="1" si="44"/>
        <v>0</v>
      </c>
      <c r="Q33" s="132">
        <f t="shared" ca="1" si="44"/>
        <v>0</v>
      </c>
      <c r="R33" s="132">
        <f t="shared" ca="1" si="44"/>
        <v>0</v>
      </c>
      <c r="S33" s="132">
        <f t="shared" ca="1" si="44"/>
        <v>0</v>
      </c>
      <c r="T33" s="132">
        <f t="shared" ca="1" si="44"/>
        <v>0</v>
      </c>
      <c r="U33" s="132">
        <f t="shared" ca="1" si="44"/>
        <v>0</v>
      </c>
      <c r="V33" s="132">
        <f t="shared" ca="1" si="44"/>
        <v>0</v>
      </c>
      <c r="W33" s="132">
        <f t="shared" ca="1" si="44"/>
        <v>0</v>
      </c>
      <c r="X33" s="132">
        <f t="shared" ca="1" si="44"/>
        <v>0</v>
      </c>
      <c r="Y33" s="132">
        <f t="shared" ca="1" si="44"/>
        <v>0</v>
      </c>
      <c r="Z33" s="132">
        <f t="shared" ca="1" si="44"/>
        <v>0</v>
      </c>
      <c r="AA33" s="132">
        <f t="shared" ca="1" si="44"/>
        <v>0</v>
      </c>
      <c r="AB33" s="132">
        <f t="shared" ca="1" si="44"/>
        <v>0</v>
      </c>
      <c r="AC33" s="132">
        <f t="shared" ca="1" si="44"/>
        <v>75702.890729007733</v>
      </c>
      <c r="AD33" s="132">
        <f t="shared" ca="1" si="44"/>
        <v>135521.078241929</v>
      </c>
      <c r="AE33" s="132">
        <f t="shared" ca="1" si="44"/>
        <v>54492.596847289882</v>
      </c>
      <c r="AF33" s="132">
        <f t="shared" ca="1" si="44"/>
        <v>51209.036544938906</v>
      </c>
      <c r="AG33" s="132">
        <f t="shared" ca="1" si="44"/>
        <v>88291.134795937745</v>
      </c>
      <c r="AH33" s="132">
        <f t="shared" ca="1" si="44"/>
        <v>157561.80193954951</v>
      </c>
      <c r="AI33" s="132">
        <f t="shared" ca="1" si="44"/>
        <v>63155.510198555712</v>
      </c>
      <c r="AJ33" s="132">
        <f t="shared" ca="1" si="44"/>
        <v>59179.294515416943</v>
      </c>
      <c r="AK33" s="132">
        <f t="shared" ca="1" si="44"/>
        <v>101765.31376305575</v>
      </c>
      <c r="AL33" s="132">
        <f t="shared" ca="1" si="44"/>
        <v>181148.94980779244</v>
      </c>
      <c r="AM33" s="132">
        <f t="shared" ca="1" si="44"/>
        <v>72424.268462967128</v>
      </c>
      <c r="AN33" s="132">
        <f t="shared" ca="1" si="44"/>
        <v>67704.902948322881</v>
      </c>
      <c r="AO33" s="132">
        <f t="shared" ca="1" si="44"/>
        <v>116175.82220717776</v>
      </c>
      <c r="AP33" s="132">
        <f t="shared" ca="1" si="44"/>
        <v>201876.61255157983</v>
      </c>
      <c r="AQ33" s="132">
        <f t="shared" ca="1" si="44"/>
        <v>78827.013148145867</v>
      </c>
      <c r="AR33" s="132">
        <f t="shared" ca="1" si="44"/>
        <v>72014.729027610942</v>
      </c>
      <c r="AS33" s="132">
        <f t="shared" ca="1" si="44"/>
        <v>120823.20768114441</v>
      </c>
      <c r="AT33" s="132">
        <f t="shared" ca="1" si="44"/>
        <v>209952.03311349265</v>
      </c>
      <c r="AU33" s="132">
        <f t="shared" ca="1" si="44"/>
        <v>81980.453242323769</v>
      </c>
      <c r="AV33" s="132">
        <f t="shared" ca="1" si="44"/>
        <v>74895.318188715348</v>
      </c>
      <c r="AW33" s="132">
        <f t="shared" ca="1" si="44"/>
        <v>162039.7464648812</v>
      </c>
      <c r="AX33" s="132">
        <f t="shared" ca="1" si="44"/>
        <v>305523.0916892431</v>
      </c>
      <c r="AY33" s="132">
        <f t="shared" ca="1" si="44"/>
        <v>116041.783533355</v>
      </c>
      <c r="AZ33" s="132">
        <f t="shared" ca="1" si="44"/>
        <v>104890.18594910145</v>
      </c>
      <c r="BA33" s="132">
        <f t="shared" ca="1" si="44"/>
        <v>179020.80598984665</v>
      </c>
      <c r="BB33" s="132">
        <f t="shared" ca="1" si="44"/>
        <v>317744.01535681263</v>
      </c>
      <c r="BC33" s="132">
        <f t="shared" ca="1" si="44"/>
        <v>120683.45487468909</v>
      </c>
      <c r="BD33" s="132">
        <f t="shared" ca="1" si="44"/>
        <v>109397.54856830087</v>
      </c>
      <c r="BE33" s="132">
        <f t="shared" ca="1" si="44"/>
        <v>186181.40202559298</v>
      </c>
      <c r="BF33" s="132">
        <f t="shared" ca="1" si="44"/>
        <v>330453.53921990917</v>
      </c>
      <c r="BG33" s="132">
        <f t="shared" ca="1" si="44"/>
        <v>125510.55398569506</v>
      </c>
      <c r="BH33" s="132">
        <f t="shared" ca="1" si="44"/>
        <v>113449.22512254812</v>
      </c>
      <c r="BI33" s="132">
        <f t="shared" ca="1" si="44"/>
        <v>193628.90375861796</v>
      </c>
      <c r="BJ33" s="132">
        <f t="shared" ca="1" si="44"/>
        <v>343671.92700992845</v>
      </c>
      <c r="BK33" s="132">
        <f t="shared" ca="1" si="44"/>
        <v>130531.22479246375</v>
      </c>
      <c r="BL33" s="132">
        <f t="shared" ca="1" si="44"/>
        <v>117987.19412745006</v>
      </c>
      <c r="BM33" s="132">
        <f t="shared" ca="1" si="44"/>
        <v>201374.05990896281</v>
      </c>
      <c r="BN33" s="132">
        <f t="shared" ca="1" si="44"/>
        <v>357418.80409032549</v>
      </c>
      <c r="BO33" s="132">
        <f t="shared" ca="1" si="44"/>
        <v>135752.47378416226</v>
      </c>
      <c r="BP33" s="132">
        <f t="shared" ca="1" si="44"/>
        <v>122706.681892548</v>
      </c>
      <c r="BQ33" s="132">
        <f t="shared" ca="1" si="44"/>
        <v>209429.02230532121</v>
      </c>
      <c r="BR33" s="132">
        <f t="shared" ca="1" si="44"/>
        <v>371715.55625393847</v>
      </c>
      <c r="BS33" s="132">
        <f t="shared" ca="1" si="44"/>
        <v>141182.57273552869</v>
      </c>
      <c r="BT33" s="132">
        <f t="shared" ca="1" si="44"/>
        <v>127979.65863564244</v>
      </c>
      <c r="BU33" s="132">
        <f t="shared" ca="1" si="44"/>
        <v>217805.90687244121</v>
      </c>
      <c r="BV33" s="132">
        <f t="shared" ca="1" si="44"/>
        <v>386583.90153870615</v>
      </c>
      <c r="BW33" s="132">
        <f t="shared" ca="1" si="44"/>
        <v>146829.59595050744</v>
      </c>
      <c r="BX33" s="132">
        <f t="shared" ca="1" si="44"/>
        <v>132719.54713497989</v>
      </c>
      <c r="BY33" s="132">
        <f t="shared" ref="BY33:CO33" ca="1" si="45">SUM(BY34:BY35)</f>
        <v>226518.43052543537</v>
      </c>
      <c r="BZ33" s="132">
        <f t="shared" ca="1" si="45"/>
        <v>402047.5456442599</v>
      </c>
      <c r="CA33" s="132">
        <f t="shared" ca="1" si="45"/>
        <v>152703.07067074784</v>
      </c>
      <c r="CB33" s="132">
        <f t="shared" ca="1" si="45"/>
        <v>138028.32902037911</v>
      </c>
      <c r="CC33" s="132">
        <f t="shared" ca="1" si="45"/>
        <v>235579.16774645279</v>
      </c>
      <c r="CD33" s="132">
        <f t="shared" ca="1" si="45"/>
        <v>418129.44747003005</v>
      </c>
      <c r="CE33" s="132">
        <f t="shared" ca="1" si="45"/>
        <v>158811.19349757774</v>
      </c>
      <c r="CF33" s="132">
        <f t="shared" ca="1" si="45"/>
        <v>143549.46218119422</v>
      </c>
      <c r="CG33" s="132">
        <f t="shared" ca="1" si="45"/>
        <v>245002.33445631084</v>
      </c>
      <c r="CH33" s="132">
        <f t="shared" ca="1" si="45"/>
        <v>434854.62536883133</v>
      </c>
      <c r="CI33" s="132">
        <f t="shared" ca="1" si="45"/>
        <v>165163.64123748092</v>
      </c>
      <c r="CJ33" s="132">
        <f t="shared" ca="1" si="45"/>
        <v>149718.09916078427</v>
      </c>
      <c r="CK33" s="132">
        <f t="shared" ca="1" si="45"/>
        <v>254802.10457328812</v>
      </c>
      <c r="CL33" s="132">
        <f t="shared" ca="1" si="45"/>
        <v>452248.48637325253</v>
      </c>
      <c r="CM33" s="132">
        <f t="shared" ca="1" si="45"/>
        <v>171769.85968404252</v>
      </c>
      <c r="CN33" s="132">
        <f t="shared" ca="1" si="45"/>
        <v>155263.09829517966</v>
      </c>
      <c r="CO33" s="132">
        <f t="shared" ca="1" si="45"/>
        <v>264994.52494794579</v>
      </c>
    </row>
    <row r="34" spans="1:93" s="133" customFormat="1" ht="14.25">
      <c r="A34" s="10"/>
      <c r="B34" s="10"/>
      <c r="C34" s="10" t="s">
        <v>79</v>
      </c>
      <c r="D34" s="10"/>
      <c r="E34" s="10"/>
      <c r="F34" s="10"/>
      <c r="G34" s="134" t="str">
        <f>Monetary_Unit</f>
        <v>тыс. руб.</v>
      </c>
      <c r="H34" s="10"/>
      <c r="I34" s="10"/>
      <c r="J34" s="10"/>
      <c r="K34" s="10"/>
      <c r="L34" s="52">
        <f t="shared" ref="L34:BW34" ca="1" si="46">Accounts_Payable_EoP</f>
        <v>0</v>
      </c>
      <c r="M34" s="52">
        <f t="shared" ca="1" si="46"/>
        <v>0</v>
      </c>
      <c r="N34" s="52">
        <f t="shared" ca="1" si="46"/>
        <v>0</v>
      </c>
      <c r="O34" s="52">
        <f t="shared" ca="1" si="46"/>
        <v>0</v>
      </c>
      <c r="P34" s="52">
        <f t="shared" ca="1" si="46"/>
        <v>0</v>
      </c>
      <c r="Q34" s="52">
        <f t="shared" ca="1" si="46"/>
        <v>0</v>
      </c>
      <c r="R34" s="52">
        <f t="shared" ca="1" si="46"/>
        <v>0</v>
      </c>
      <c r="S34" s="52">
        <f t="shared" ca="1" si="46"/>
        <v>0</v>
      </c>
      <c r="T34" s="52">
        <f t="shared" ca="1" si="46"/>
        <v>0</v>
      </c>
      <c r="U34" s="52">
        <f t="shared" ca="1" si="46"/>
        <v>0</v>
      </c>
      <c r="V34" s="52">
        <f t="shared" ca="1" si="46"/>
        <v>0</v>
      </c>
      <c r="W34" s="52">
        <f t="shared" ca="1" si="46"/>
        <v>0</v>
      </c>
      <c r="X34" s="52">
        <f t="shared" ca="1" si="46"/>
        <v>0</v>
      </c>
      <c r="Y34" s="52">
        <f t="shared" ca="1" si="46"/>
        <v>0</v>
      </c>
      <c r="Z34" s="52">
        <f t="shared" ca="1" si="46"/>
        <v>0</v>
      </c>
      <c r="AA34" s="52">
        <f t="shared" ca="1" si="46"/>
        <v>0</v>
      </c>
      <c r="AB34" s="52">
        <f t="shared" ca="1" si="46"/>
        <v>0</v>
      </c>
      <c r="AC34" s="52">
        <f t="shared" ca="1" si="46"/>
        <v>75702.890729007733</v>
      </c>
      <c r="AD34" s="52">
        <f t="shared" ca="1" si="46"/>
        <v>135521.078241929</v>
      </c>
      <c r="AE34" s="52">
        <f t="shared" ca="1" si="46"/>
        <v>54492.596847289882</v>
      </c>
      <c r="AF34" s="52">
        <f t="shared" ca="1" si="46"/>
        <v>51209.036544938906</v>
      </c>
      <c r="AG34" s="52">
        <f t="shared" ca="1" si="46"/>
        <v>88291.134795937745</v>
      </c>
      <c r="AH34" s="52">
        <f t="shared" ca="1" si="46"/>
        <v>157561.80193954951</v>
      </c>
      <c r="AI34" s="52">
        <f t="shared" ca="1" si="46"/>
        <v>63155.510198555712</v>
      </c>
      <c r="AJ34" s="52">
        <f t="shared" ca="1" si="46"/>
        <v>59179.294515416943</v>
      </c>
      <c r="AK34" s="52">
        <f t="shared" ca="1" si="46"/>
        <v>101765.31376305575</v>
      </c>
      <c r="AL34" s="52">
        <f t="shared" ca="1" si="46"/>
        <v>181148.94980779244</v>
      </c>
      <c r="AM34" s="52">
        <f t="shared" ca="1" si="46"/>
        <v>72424.268462967128</v>
      </c>
      <c r="AN34" s="52">
        <f t="shared" ca="1" si="46"/>
        <v>67704.902948322881</v>
      </c>
      <c r="AO34" s="52">
        <f t="shared" ca="1" si="46"/>
        <v>116175.82220717776</v>
      </c>
      <c r="AP34" s="52">
        <f t="shared" ca="1" si="46"/>
        <v>201876.61255157983</v>
      </c>
      <c r="AQ34" s="52">
        <f t="shared" ca="1" si="46"/>
        <v>78827.013148145867</v>
      </c>
      <c r="AR34" s="52">
        <f t="shared" ca="1" si="46"/>
        <v>72014.729027610942</v>
      </c>
      <c r="AS34" s="52">
        <f t="shared" ca="1" si="46"/>
        <v>120823.20768114441</v>
      </c>
      <c r="AT34" s="52">
        <f t="shared" ca="1" si="46"/>
        <v>209952.03311349265</v>
      </c>
      <c r="AU34" s="52">
        <f t="shared" ca="1" si="46"/>
        <v>81980.453242323769</v>
      </c>
      <c r="AV34" s="52">
        <f t="shared" ca="1" si="46"/>
        <v>74895.318188715348</v>
      </c>
      <c r="AW34" s="52">
        <f t="shared" ca="1" si="46"/>
        <v>125656.13598839013</v>
      </c>
      <c r="AX34" s="52">
        <f t="shared" ca="1" si="46"/>
        <v>218350.11443803227</v>
      </c>
      <c r="AY34" s="52">
        <f t="shared" ca="1" si="46"/>
        <v>85259.671372016775</v>
      </c>
      <c r="AZ34" s="52">
        <f t="shared" ca="1" si="46"/>
        <v>77891.130916263937</v>
      </c>
      <c r="BA34" s="52">
        <f t="shared" ca="1" si="46"/>
        <v>130682.38142792578</v>
      </c>
      <c r="BB34" s="52">
        <f t="shared" ca="1" si="46"/>
        <v>227084.11901555344</v>
      </c>
      <c r="BC34" s="52">
        <f t="shared" ca="1" si="46"/>
        <v>88670.058226897381</v>
      </c>
      <c r="BD34" s="52">
        <f t="shared" ca="1" si="46"/>
        <v>81006.383411814371</v>
      </c>
      <c r="BE34" s="52">
        <f t="shared" ca="1" si="46"/>
        <v>135909.28007410487</v>
      </c>
      <c r="BF34" s="52">
        <f t="shared" ca="1" si="46"/>
        <v>236167.08325726894</v>
      </c>
      <c r="BG34" s="52">
        <f t="shared" ca="1" si="46"/>
        <v>92216.456090590917</v>
      </c>
      <c r="BH34" s="52">
        <f t="shared" ca="1" si="46"/>
        <v>84247.047199031076</v>
      </c>
      <c r="BI34" s="52">
        <f t="shared" ca="1" si="46"/>
        <v>141346.0637524444</v>
      </c>
      <c r="BJ34" s="52">
        <f t="shared" ca="1" si="46"/>
        <v>245614.18312722258</v>
      </c>
      <c r="BK34" s="52">
        <f t="shared" ca="1" si="46"/>
        <v>95905.534978212207</v>
      </c>
      <c r="BL34" s="52">
        <f t="shared" ca="1" si="46"/>
        <v>87616.929086992313</v>
      </c>
      <c r="BM34" s="52">
        <f t="shared" ca="1" si="46"/>
        <v>146999.90630254225</v>
      </c>
      <c r="BN34" s="52">
        <f t="shared" ca="1" si="46"/>
        <v>255438.75045231142</v>
      </c>
      <c r="BO34" s="52">
        <f t="shared" ca="1" si="46"/>
        <v>99741.756377340644</v>
      </c>
      <c r="BP34" s="52">
        <f t="shared" ca="1" si="46"/>
        <v>91121.606250471959</v>
      </c>
      <c r="BQ34" s="52">
        <f t="shared" ca="1" si="46"/>
        <v>152879.90255464386</v>
      </c>
      <c r="BR34" s="52">
        <f t="shared" ca="1" si="46"/>
        <v>265656.3004704038</v>
      </c>
      <c r="BS34" s="52">
        <f t="shared" ca="1" si="46"/>
        <v>103731.42663243425</v>
      </c>
      <c r="BT34" s="52">
        <f t="shared" ca="1" si="46"/>
        <v>94766.011048952932</v>
      </c>
      <c r="BU34" s="52">
        <f t="shared" ca="1" si="46"/>
        <v>158994.63467812893</v>
      </c>
      <c r="BV34" s="52">
        <f t="shared" ca="1" si="46"/>
        <v>276282.08393874846</v>
      </c>
      <c r="BW34" s="52">
        <f t="shared" ca="1" si="46"/>
        <v>107880.21053044184</v>
      </c>
      <c r="BX34" s="52">
        <f t="shared" ref="BX34:CO34" ca="1" si="47">Accounts_Payable_EoP</f>
        <v>98557.12932051043</v>
      </c>
      <c r="BY34" s="52">
        <f t="shared" ca="1" si="47"/>
        <v>165354.90260310273</v>
      </c>
      <c r="BZ34" s="52">
        <f t="shared" ca="1" si="47"/>
        <v>287333.85458878876</v>
      </c>
      <c r="CA34" s="52">
        <f t="shared" ca="1" si="47"/>
        <v>112195.91104564082</v>
      </c>
      <c r="CB34" s="52">
        <f t="shared" ca="1" si="47"/>
        <v>102499.41449333087</v>
      </c>
      <c r="CC34" s="52">
        <f t="shared" ca="1" si="47"/>
        <v>171969.09870722686</v>
      </c>
      <c r="CD34" s="52">
        <f t="shared" ca="1" si="47"/>
        <v>298827.20877234015</v>
      </c>
      <c r="CE34" s="52">
        <f t="shared" ca="1" si="47"/>
        <v>116683.74748746649</v>
      </c>
      <c r="CF34" s="52">
        <f t="shared" ca="1" si="47"/>
        <v>106599.39107306406</v>
      </c>
      <c r="CG34" s="52">
        <f t="shared" ca="1" si="47"/>
        <v>178847.8626555159</v>
      </c>
      <c r="CH34" s="52">
        <f t="shared" ca="1" si="47"/>
        <v>310780.29712323385</v>
      </c>
      <c r="CI34" s="52">
        <f t="shared" ca="1" si="47"/>
        <v>121351.09738696518</v>
      </c>
      <c r="CJ34" s="52">
        <f t="shared" ca="1" si="47"/>
        <v>110862.82922267218</v>
      </c>
      <c r="CK34" s="52">
        <f t="shared" ca="1" si="47"/>
        <v>186001.23437228194</v>
      </c>
      <c r="CL34" s="52">
        <f t="shared" ca="1" si="47"/>
        <v>323210.96087038337</v>
      </c>
      <c r="CM34" s="52">
        <f t="shared" ca="1" si="47"/>
        <v>126204.5877436396</v>
      </c>
      <c r="CN34" s="52">
        <f t="shared" ca="1" si="47"/>
        <v>115297.90138462608</v>
      </c>
      <c r="CO34" s="52">
        <f t="shared" ca="1" si="47"/>
        <v>193441.84824820596</v>
      </c>
    </row>
    <row r="35" spans="1:93" s="133" customFormat="1" ht="14.25">
      <c r="A35" s="10"/>
      <c r="B35" s="10"/>
      <c r="C35" s="10" t="s">
        <v>145</v>
      </c>
      <c r="D35" s="10"/>
      <c r="E35" s="10"/>
      <c r="F35" s="10"/>
      <c r="G35" s="134" t="str">
        <f>Monetary_Unit</f>
        <v>тыс. руб.</v>
      </c>
      <c r="H35" s="10"/>
      <c r="I35" s="10"/>
      <c r="J35" s="10"/>
      <c r="K35" s="10"/>
      <c r="L35" s="52">
        <f t="shared" ref="L35:BW35" ca="1" si="48">-VAT_EoP*(VAT_EoP&lt;0)</f>
        <v>0</v>
      </c>
      <c r="M35" s="52">
        <f t="shared" ca="1" si="48"/>
        <v>0</v>
      </c>
      <c r="N35" s="52">
        <f t="shared" ca="1" si="48"/>
        <v>0</v>
      </c>
      <c r="O35" s="52">
        <f t="shared" ca="1" si="48"/>
        <v>0</v>
      </c>
      <c r="P35" s="52">
        <f t="shared" ca="1" si="48"/>
        <v>0</v>
      </c>
      <c r="Q35" s="52">
        <f t="shared" ca="1" si="48"/>
        <v>0</v>
      </c>
      <c r="R35" s="52">
        <f t="shared" ca="1" si="48"/>
        <v>0</v>
      </c>
      <c r="S35" s="52">
        <f t="shared" ca="1" si="48"/>
        <v>0</v>
      </c>
      <c r="T35" s="52">
        <f t="shared" ca="1" si="48"/>
        <v>0</v>
      </c>
      <c r="U35" s="52">
        <f t="shared" ca="1" si="48"/>
        <v>0</v>
      </c>
      <c r="V35" s="52">
        <f t="shared" ca="1" si="48"/>
        <v>0</v>
      </c>
      <c r="W35" s="52">
        <f t="shared" ca="1" si="48"/>
        <v>0</v>
      </c>
      <c r="X35" s="52">
        <f t="shared" ca="1" si="48"/>
        <v>0</v>
      </c>
      <c r="Y35" s="52">
        <f t="shared" ca="1" si="48"/>
        <v>0</v>
      </c>
      <c r="Z35" s="52">
        <f t="shared" ca="1" si="48"/>
        <v>0</v>
      </c>
      <c r="AA35" s="52">
        <f t="shared" ca="1" si="48"/>
        <v>0</v>
      </c>
      <c r="AB35" s="52">
        <f t="shared" ca="1" si="48"/>
        <v>0</v>
      </c>
      <c r="AC35" s="52">
        <f t="shared" ca="1" si="48"/>
        <v>0</v>
      </c>
      <c r="AD35" s="52">
        <f t="shared" ca="1" si="48"/>
        <v>0</v>
      </c>
      <c r="AE35" s="52">
        <f t="shared" ca="1" si="48"/>
        <v>0</v>
      </c>
      <c r="AF35" s="52">
        <f t="shared" ca="1" si="48"/>
        <v>0</v>
      </c>
      <c r="AG35" s="52">
        <f t="shared" ca="1" si="48"/>
        <v>0</v>
      </c>
      <c r="AH35" s="52">
        <f t="shared" ca="1" si="48"/>
        <v>0</v>
      </c>
      <c r="AI35" s="52">
        <f t="shared" ca="1" si="48"/>
        <v>0</v>
      </c>
      <c r="AJ35" s="52">
        <f t="shared" ca="1" si="48"/>
        <v>0</v>
      </c>
      <c r="AK35" s="52">
        <f t="shared" ca="1" si="48"/>
        <v>0</v>
      </c>
      <c r="AL35" s="52">
        <f t="shared" ca="1" si="48"/>
        <v>0</v>
      </c>
      <c r="AM35" s="52">
        <f t="shared" ca="1" si="48"/>
        <v>0</v>
      </c>
      <c r="AN35" s="52">
        <f t="shared" ca="1" si="48"/>
        <v>0</v>
      </c>
      <c r="AO35" s="52">
        <f t="shared" ca="1" si="48"/>
        <v>0</v>
      </c>
      <c r="AP35" s="52">
        <f t="shared" ca="1" si="48"/>
        <v>0</v>
      </c>
      <c r="AQ35" s="52">
        <f t="shared" ca="1" si="48"/>
        <v>0</v>
      </c>
      <c r="AR35" s="52">
        <f t="shared" ca="1" si="48"/>
        <v>0</v>
      </c>
      <c r="AS35" s="52">
        <f t="shared" ca="1" si="48"/>
        <v>0</v>
      </c>
      <c r="AT35" s="52">
        <f t="shared" ca="1" si="48"/>
        <v>0</v>
      </c>
      <c r="AU35" s="52">
        <f t="shared" ca="1" si="48"/>
        <v>0</v>
      </c>
      <c r="AV35" s="52">
        <f t="shared" ca="1" si="48"/>
        <v>0</v>
      </c>
      <c r="AW35" s="52">
        <f t="shared" ca="1" si="48"/>
        <v>36383.610476491071</v>
      </c>
      <c r="AX35" s="52">
        <f t="shared" ca="1" si="48"/>
        <v>87172.977251210803</v>
      </c>
      <c r="AY35" s="52">
        <f t="shared" ca="1" si="48"/>
        <v>30782.112161338227</v>
      </c>
      <c r="AZ35" s="52">
        <f t="shared" ca="1" si="48"/>
        <v>26999.055032837514</v>
      </c>
      <c r="BA35" s="52">
        <f t="shared" ca="1" si="48"/>
        <v>48338.424561920867</v>
      </c>
      <c r="BB35" s="52">
        <f t="shared" ca="1" si="48"/>
        <v>90659.896341259184</v>
      </c>
      <c r="BC35" s="52">
        <f t="shared" ca="1" si="48"/>
        <v>32013.396647791713</v>
      </c>
      <c r="BD35" s="52">
        <f t="shared" ca="1" si="48"/>
        <v>28391.16515648651</v>
      </c>
      <c r="BE35" s="52">
        <f t="shared" ca="1" si="48"/>
        <v>50272.121951488123</v>
      </c>
      <c r="BF35" s="52">
        <f t="shared" ca="1" si="48"/>
        <v>94286.455962640233</v>
      </c>
      <c r="BG35" s="52">
        <f t="shared" ca="1" si="48"/>
        <v>33294.097895104147</v>
      </c>
      <c r="BH35" s="52">
        <f t="shared" ca="1" si="48"/>
        <v>29202.177923517032</v>
      </c>
      <c r="BI35" s="52">
        <f t="shared" ca="1" si="48"/>
        <v>52282.840006173567</v>
      </c>
      <c r="BJ35" s="52">
        <f t="shared" ca="1" si="48"/>
        <v>98057.743882705865</v>
      </c>
      <c r="BK35" s="52">
        <f t="shared" ca="1" si="48"/>
        <v>34625.689814251542</v>
      </c>
      <c r="BL35" s="52">
        <f t="shared" ca="1" si="48"/>
        <v>30370.265040457743</v>
      </c>
      <c r="BM35" s="52">
        <f t="shared" ca="1" si="48"/>
        <v>54374.153606420543</v>
      </c>
      <c r="BN35" s="52">
        <f t="shared" ca="1" si="48"/>
        <v>101980.05363801408</v>
      </c>
      <c r="BO35" s="52">
        <f t="shared" ca="1" si="48"/>
        <v>36010.717406821597</v>
      </c>
      <c r="BP35" s="52">
        <f t="shared" ca="1" si="48"/>
        <v>31585.075642076044</v>
      </c>
      <c r="BQ35" s="52">
        <f t="shared" ca="1" si="48"/>
        <v>56549.119750677346</v>
      </c>
      <c r="BR35" s="52">
        <f t="shared" ca="1" si="48"/>
        <v>106059.2557835347</v>
      </c>
      <c r="BS35" s="52">
        <f t="shared" ca="1" si="48"/>
        <v>37451.146103094463</v>
      </c>
      <c r="BT35" s="52">
        <f t="shared" ca="1" si="48"/>
        <v>33213.647586689505</v>
      </c>
      <c r="BU35" s="52">
        <f t="shared" ca="1" si="48"/>
        <v>58811.272194312267</v>
      </c>
      <c r="BV35" s="52">
        <f t="shared" ca="1" si="48"/>
        <v>110301.81759995769</v>
      </c>
      <c r="BW35" s="52">
        <f t="shared" ca="1" si="48"/>
        <v>38949.385420065606</v>
      </c>
      <c r="BX35" s="52">
        <f t="shared" ref="BX35:CO35" ca="1" si="49">-VAT_EoP*(VAT_EoP&lt;0)</f>
        <v>34162.41781446946</v>
      </c>
      <c r="BY35" s="52">
        <f t="shared" ca="1" si="49"/>
        <v>61163.527922332636</v>
      </c>
      <c r="BZ35" s="52">
        <f t="shared" ca="1" si="49"/>
        <v>114713.69105547111</v>
      </c>
      <c r="CA35" s="52">
        <f t="shared" ca="1" si="49"/>
        <v>40507.159625107</v>
      </c>
      <c r="CB35" s="52">
        <f t="shared" ca="1" si="49"/>
        <v>35528.914527048248</v>
      </c>
      <c r="CC35" s="52">
        <f t="shared" ca="1" si="49"/>
        <v>63610.069039225935</v>
      </c>
      <c r="CD35" s="52">
        <f t="shared" ca="1" si="49"/>
        <v>119302.23869768993</v>
      </c>
      <c r="CE35" s="52">
        <f t="shared" ca="1" si="49"/>
        <v>42127.446010111264</v>
      </c>
      <c r="CF35" s="52">
        <f t="shared" ca="1" si="49"/>
        <v>36950.071108130171</v>
      </c>
      <c r="CG35" s="52">
        <f t="shared" ca="1" si="49"/>
        <v>66154.471800794956</v>
      </c>
      <c r="CH35" s="52">
        <f t="shared" ca="1" si="49"/>
        <v>124074.32824559751</v>
      </c>
      <c r="CI35" s="52">
        <f t="shared" ca="1" si="49"/>
        <v>43812.543850515722</v>
      </c>
      <c r="CJ35" s="52">
        <f t="shared" ca="1" si="49"/>
        <v>38855.269938112076</v>
      </c>
      <c r="CK35" s="52">
        <f t="shared" ca="1" si="49"/>
        <v>68800.870201006168</v>
      </c>
      <c r="CL35" s="52">
        <f t="shared" ca="1" si="49"/>
        <v>129037.52550286916</v>
      </c>
      <c r="CM35" s="52">
        <f t="shared" ca="1" si="49"/>
        <v>45565.271940402919</v>
      </c>
      <c r="CN35" s="52">
        <f t="shared" ca="1" si="49"/>
        <v>39965.196910553583</v>
      </c>
      <c r="CO35" s="52">
        <f t="shared" ca="1" si="49"/>
        <v>71552.676699739823</v>
      </c>
    </row>
    <row r="36" spans="1:93" s="133" customFormat="1" ht="14.25">
      <c r="A36" s="10"/>
      <c r="B36" s="10"/>
      <c r="C36" s="10"/>
      <c r="D36" s="10"/>
      <c r="E36" s="10"/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s="133" customFormat="1" ht="14.25">
      <c r="A37" s="10"/>
      <c r="B37" s="10"/>
      <c r="C37" s="24" t="s">
        <v>330</v>
      </c>
      <c r="D37" s="24"/>
      <c r="E37" s="24"/>
      <c r="F37" s="24"/>
      <c r="G37" s="135"/>
      <c r="H37" s="24"/>
      <c r="I37" s="24"/>
      <c r="J37" s="24"/>
      <c r="K37" s="24"/>
      <c r="L37" s="24">
        <f t="shared" ref="L37:AQ37" ca="1" si="50">SUM(L25,L30,L33)*(ABS(SUM(L25,L30,L33))&gt;Accuracy)</f>
        <v>20493.455029060042</v>
      </c>
      <c r="M37" s="24">
        <f t="shared" ca="1" si="50"/>
        <v>41824.099102423454</v>
      </c>
      <c r="N37" s="24">
        <f t="shared" ca="1" si="50"/>
        <v>64044.799891047514</v>
      </c>
      <c r="O37" s="24">
        <f t="shared" ca="1" si="50"/>
        <v>87190.228077079839</v>
      </c>
      <c r="P37" s="24">
        <f t="shared" ca="1" si="50"/>
        <v>268240.47792152874</v>
      </c>
      <c r="Q37" s="24">
        <f t="shared" ca="1" si="50"/>
        <v>454778.69211818883</v>
      </c>
      <c r="R37" s="24">
        <f t="shared" ca="1" si="50"/>
        <v>647089.64277460624</v>
      </c>
      <c r="S37" s="24">
        <f t="shared" ca="1" si="50"/>
        <v>845307.89527488174</v>
      </c>
      <c r="T37" s="24">
        <f t="shared" ca="1" si="50"/>
        <v>1046126.1844124678</v>
      </c>
      <c r="U37" s="24">
        <f t="shared" ca="1" si="50"/>
        <v>1254307.5441635351</v>
      </c>
      <c r="V37" s="24">
        <f t="shared" ca="1" si="50"/>
        <v>1467737.3847753345</v>
      </c>
      <c r="W37" s="24">
        <f t="shared" ca="1" si="50"/>
        <v>1686291.9479028992</v>
      </c>
      <c r="X37" s="24">
        <f t="shared" ca="1" si="50"/>
        <v>2086473.4232467376</v>
      </c>
      <c r="Y37" s="24">
        <f t="shared" ca="1" si="50"/>
        <v>2496021.7184904646</v>
      </c>
      <c r="Z37" s="24">
        <f t="shared" ca="1" si="50"/>
        <v>2915620.7452176446</v>
      </c>
      <c r="AA37" s="24">
        <f t="shared" ca="1" si="50"/>
        <v>3345062.5364159811</v>
      </c>
      <c r="AB37" s="24">
        <f t="shared" ca="1" si="50"/>
        <v>4063130.2102480996</v>
      </c>
      <c r="AC37" s="24">
        <f t="shared" ca="1" si="50"/>
        <v>3665362.6795550664</v>
      </c>
      <c r="AD37" s="24">
        <f t="shared" ca="1" si="50"/>
        <v>3655557.7928067683</v>
      </c>
      <c r="AE37" s="24">
        <f t="shared" ca="1" si="50"/>
        <v>3438751.679733071</v>
      </c>
      <c r="AF37" s="24">
        <f t="shared" ca="1" si="50"/>
        <v>3368423.290571603</v>
      </c>
      <c r="AG37" s="24">
        <f t="shared" ca="1" si="50"/>
        <v>3400841.652351534</v>
      </c>
      <c r="AH37" s="24">
        <f t="shared" ca="1" si="50"/>
        <v>3517519.6325599798</v>
      </c>
      <c r="AI37" s="24">
        <f t="shared" ca="1" si="50"/>
        <v>3272627.4935743129</v>
      </c>
      <c r="AJ37" s="24">
        <f t="shared" ca="1" si="50"/>
        <v>3198142.0757061988</v>
      </c>
      <c r="AK37" s="24">
        <f t="shared" ca="1" si="50"/>
        <v>3242321.9403186208</v>
      </c>
      <c r="AL37" s="24">
        <f t="shared" ca="1" si="50"/>
        <v>3382950.2987310104</v>
      </c>
      <c r="AM37" s="24">
        <f t="shared" ca="1" si="50"/>
        <v>3107997.1531841741</v>
      </c>
      <c r="AN37" s="24">
        <f t="shared" ca="1" si="50"/>
        <v>3029160.7347947285</v>
      </c>
      <c r="AO37" s="24">
        <f t="shared" ca="1" si="50"/>
        <v>3085916.0254082773</v>
      </c>
      <c r="AP37" s="24">
        <f t="shared" ca="1" si="50"/>
        <v>3242354.1497397968</v>
      </c>
      <c r="AQ37" s="24">
        <f t="shared" ca="1" si="50"/>
        <v>2937064.0764296316</v>
      </c>
      <c r="AR37" s="24">
        <f t="shared" ref="AR37:BW37" ca="1" si="51">SUM(AR25,AR30,AR33)*(ABS(SUM(AR25,AR30,AR33))&gt;Accuracy)</f>
        <v>2851126.257895506</v>
      </c>
      <c r="AS37" s="24">
        <f t="shared" ca="1" si="51"/>
        <v>2908536.2067588451</v>
      </c>
      <c r="AT37" s="24">
        <f t="shared" ca="1" si="51"/>
        <v>3072996.948688237</v>
      </c>
      <c r="AU37" s="24">
        <f t="shared" ca="1" si="51"/>
        <v>2757369.9881357322</v>
      </c>
      <c r="AV37" s="24">
        <f t="shared" ca="1" si="51"/>
        <v>2669868.9804881453</v>
      </c>
      <c r="AW37" s="24">
        <f t="shared" ca="1" si="51"/>
        <v>2684391.189567029</v>
      </c>
      <c r="AX37" s="24">
        <f t="shared" ca="1" si="51"/>
        <v>2812390.1958103073</v>
      </c>
      <c r="AY37" s="24">
        <f t="shared" ca="1" si="51"/>
        <v>2516916.9259513528</v>
      </c>
      <c r="AZ37" s="24">
        <f t="shared" ca="1" si="51"/>
        <v>2456170.2150304872</v>
      </c>
      <c r="BA37" s="24">
        <f t="shared" ca="1" si="51"/>
        <v>2505837.9070480075</v>
      </c>
      <c r="BB37" s="24">
        <f t="shared" ca="1" si="51"/>
        <v>2640831.5824700054</v>
      </c>
      <c r="BC37" s="24">
        <f t="shared" ca="1" si="51"/>
        <v>2335414.090745681</v>
      </c>
      <c r="BD37" s="24">
        <f t="shared" ca="1" si="51"/>
        <v>2274111.9584895694</v>
      </c>
      <c r="BE37" s="24">
        <f t="shared" ca="1" si="51"/>
        <v>2351319.9087670427</v>
      </c>
      <c r="BF37" s="24">
        <f t="shared" ca="1" si="51"/>
        <v>2517266.8817597521</v>
      </c>
      <c r="BG37" s="24">
        <f t="shared" ca="1" si="51"/>
        <v>2225186.2408946143</v>
      </c>
      <c r="BH37" s="24">
        <f t="shared" ca="1" si="51"/>
        <v>2186986.1184514868</v>
      </c>
      <c r="BI37" s="24">
        <f t="shared" ca="1" si="51"/>
        <v>2268209.9445829289</v>
      </c>
      <c r="BJ37" s="24">
        <f t="shared" ca="1" si="51"/>
        <v>2441722.3543646536</v>
      </c>
      <c r="BK37" s="24">
        <f t="shared" ca="1" si="51"/>
        <v>2138886.0457609156</v>
      </c>
      <c r="BL37" s="24">
        <f t="shared" ca="1" si="51"/>
        <v>2100085.1931505133</v>
      </c>
      <c r="BM37" s="24">
        <f t="shared" ca="1" si="51"/>
        <v>2185485.5274869953</v>
      </c>
      <c r="BN37" s="24">
        <f t="shared" ca="1" si="51"/>
        <v>2366865.9888197705</v>
      </c>
      <c r="BO37" s="24">
        <f t="shared" ca="1" si="51"/>
        <v>2052843.7830316657</v>
      </c>
      <c r="BP37" s="24">
        <f t="shared" ca="1" si="51"/>
        <v>2013418.4514766296</v>
      </c>
      <c r="BQ37" s="24">
        <f t="shared" ca="1" si="51"/>
        <v>2103162.3543463531</v>
      </c>
      <c r="BR37" s="24">
        <f t="shared" ca="1" si="51"/>
        <v>2292725.5892922212</v>
      </c>
      <c r="BS37" s="24">
        <f t="shared" ca="1" si="51"/>
        <v>1967070.050432374</v>
      </c>
      <c r="BT37" s="24">
        <f t="shared" ca="1" si="51"/>
        <v>1926994.9544738932</v>
      </c>
      <c r="BU37" s="24">
        <f t="shared" ca="1" si="51"/>
        <v>2021256.1656000789</v>
      </c>
      <c r="BV37" s="24">
        <f t="shared" ca="1" si="51"/>
        <v>2219329.4820557171</v>
      </c>
      <c r="BW37" s="24">
        <f t="shared" ca="1" si="51"/>
        <v>1881575.2737233797</v>
      </c>
      <c r="BX37" s="24">
        <f t="shared" ref="BX37:CO37" ca="1" si="52">SUM(BX25,BX30,BX33)*(ABS(SUM(BX25,BX30,BX33))&gt;Accuracy)</f>
        <v>1840825.3630842671</v>
      </c>
      <c r="BY37" s="24">
        <f t="shared" ca="1" si="52"/>
        <v>1939784.5809541156</v>
      </c>
      <c r="BZ37" s="24">
        <f t="shared" ca="1" si="52"/>
        <v>2146708.3883975223</v>
      </c>
      <c r="CA37" s="24">
        <f t="shared" ca="1" si="52"/>
        <v>1796371.5700926676</v>
      </c>
      <c r="CB37" s="24">
        <f t="shared" ca="1" si="52"/>
        <v>1754918.8901251187</v>
      </c>
      <c r="CC37" s="24">
        <f t="shared" ca="1" si="52"/>
        <v>1858764.0318695426</v>
      </c>
      <c r="CD37" s="24">
        <f t="shared" ca="1" si="52"/>
        <v>2074892.3467704679</v>
      </c>
      <c r="CE37" s="24">
        <f t="shared" ca="1" si="52"/>
        <v>1711469.6108932009</v>
      </c>
      <c r="CF37" s="24">
        <f t="shared" ca="1" si="52"/>
        <v>1669286.3788867323</v>
      </c>
      <c r="CG37" s="24">
        <f t="shared" ca="1" si="52"/>
        <v>1778212.8814607153</v>
      </c>
      <c r="CH37" s="24">
        <f t="shared" ca="1" si="52"/>
        <v>2003913.8841174594</v>
      </c>
      <c r="CI37" s="24">
        <f t="shared" ca="1" si="52"/>
        <v>1626881.7939648842</v>
      </c>
      <c r="CJ37" s="24">
        <f t="shared" ca="1" si="52"/>
        <v>1583938.4295090628</v>
      </c>
      <c r="CK37" s="24">
        <f t="shared" ca="1" si="52"/>
        <v>1698149.543815027</v>
      </c>
      <c r="CL37" s="24">
        <f t="shared" ca="1" si="52"/>
        <v>1933806.1381722728</v>
      </c>
      <c r="CM37" s="24">
        <f t="shared" ca="1" si="52"/>
        <v>1542620.3159726933</v>
      </c>
      <c r="CN37" s="24">
        <f t="shared" ca="1" si="52"/>
        <v>1498887.513786322</v>
      </c>
      <c r="CO37" s="24">
        <f t="shared" ca="1" si="52"/>
        <v>1618594.6314962974</v>
      </c>
    </row>
    <row r="38" spans="1:93" s="75" customFormat="1">
      <c r="A38" s="73"/>
      <c r="B38" s="73"/>
      <c r="C38" s="73"/>
      <c r="D38" s="73"/>
      <c r="E38" s="73"/>
      <c r="F38" s="73"/>
      <c r="G38" s="72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</row>
    <row r="39" spans="1:93" s="46" customFormat="1" ht="12.75">
      <c r="C39" s="46" t="s">
        <v>351</v>
      </c>
      <c r="G39" s="89" t="str">
        <f>Monetary_Unit</f>
        <v>тыс. руб.</v>
      </c>
      <c r="H39" s="73"/>
      <c r="I39" s="46">
        <f ca="1">SUM(L39:CQ39)</f>
        <v>0</v>
      </c>
      <c r="L39" s="46">
        <f t="shared" ref="L39:AQ39" ca="1" si="53">(L37-L23)*(ABS(L37-L23)&gt;Accuracy)</f>
        <v>0</v>
      </c>
      <c r="M39" s="46">
        <f t="shared" ca="1" si="53"/>
        <v>0</v>
      </c>
      <c r="N39" s="46">
        <f t="shared" ca="1" si="53"/>
        <v>0</v>
      </c>
      <c r="O39" s="46">
        <f t="shared" ca="1" si="53"/>
        <v>0</v>
      </c>
      <c r="P39" s="46">
        <f t="shared" ca="1" si="53"/>
        <v>0</v>
      </c>
      <c r="Q39" s="46">
        <f t="shared" ca="1" si="53"/>
        <v>0</v>
      </c>
      <c r="R39" s="46">
        <f t="shared" ca="1" si="53"/>
        <v>0</v>
      </c>
      <c r="S39" s="46">
        <f t="shared" ca="1" si="53"/>
        <v>0</v>
      </c>
      <c r="T39" s="46">
        <f t="shared" ca="1" si="53"/>
        <v>0</v>
      </c>
      <c r="U39" s="46">
        <f t="shared" ca="1" si="53"/>
        <v>0</v>
      </c>
      <c r="V39" s="46">
        <f t="shared" ca="1" si="53"/>
        <v>0</v>
      </c>
      <c r="W39" s="46">
        <f t="shared" ca="1" si="53"/>
        <v>0</v>
      </c>
      <c r="X39" s="46">
        <f t="shared" ca="1" si="53"/>
        <v>0</v>
      </c>
      <c r="Y39" s="46">
        <f t="shared" ca="1" si="53"/>
        <v>0</v>
      </c>
      <c r="Z39" s="46">
        <f t="shared" ca="1" si="53"/>
        <v>0</v>
      </c>
      <c r="AA39" s="46">
        <f t="shared" ca="1" si="53"/>
        <v>0</v>
      </c>
      <c r="AB39" s="46">
        <f t="shared" ca="1" si="53"/>
        <v>0</v>
      </c>
      <c r="AC39" s="46">
        <f t="shared" ca="1" si="53"/>
        <v>0</v>
      </c>
      <c r="AD39" s="46">
        <f t="shared" ca="1" si="53"/>
        <v>0</v>
      </c>
      <c r="AE39" s="46">
        <f t="shared" ca="1" si="53"/>
        <v>0</v>
      </c>
      <c r="AF39" s="46">
        <f t="shared" ca="1" si="53"/>
        <v>0</v>
      </c>
      <c r="AG39" s="46">
        <f t="shared" ca="1" si="53"/>
        <v>0</v>
      </c>
      <c r="AH39" s="46">
        <f t="shared" ca="1" si="53"/>
        <v>0</v>
      </c>
      <c r="AI39" s="46">
        <f t="shared" ca="1" si="53"/>
        <v>0</v>
      </c>
      <c r="AJ39" s="46">
        <f t="shared" ca="1" si="53"/>
        <v>0</v>
      </c>
      <c r="AK39" s="46">
        <f t="shared" ca="1" si="53"/>
        <v>0</v>
      </c>
      <c r="AL39" s="46">
        <f t="shared" ca="1" si="53"/>
        <v>0</v>
      </c>
      <c r="AM39" s="46">
        <f t="shared" ca="1" si="53"/>
        <v>0</v>
      </c>
      <c r="AN39" s="46">
        <f t="shared" ca="1" si="53"/>
        <v>0</v>
      </c>
      <c r="AO39" s="46">
        <f t="shared" ca="1" si="53"/>
        <v>0</v>
      </c>
      <c r="AP39" s="46">
        <f t="shared" ca="1" si="53"/>
        <v>0</v>
      </c>
      <c r="AQ39" s="46">
        <f t="shared" ca="1" si="53"/>
        <v>0</v>
      </c>
      <c r="AR39" s="46">
        <f t="shared" ref="AR39:BW39" ca="1" si="54">(AR37-AR23)*(ABS(AR37-AR23)&gt;Accuracy)</f>
        <v>0</v>
      </c>
      <c r="AS39" s="46">
        <f t="shared" ca="1" si="54"/>
        <v>0</v>
      </c>
      <c r="AT39" s="46">
        <f t="shared" ca="1" si="54"/>
        <v>0</v>
      </c>
      <c r="AU39" s="46">
        <f t="shared" ca="1" si="54"/>
        <v>0</v>
      </c>
      <c r="AV39" s="46">
        <f t="shared" ca="1" si="54"/>
        <v>0</v>
      </c>
      <c r="AW39" s="46">
        <f t="shared" ca="1" si="54"/>
        <v>0</v>
      </c>
      <c r="AX39" s="46">
        <f t="shared" ca="1" si="54"/>
        <v>0</v>
      </c>
      <c r="AY39" s="46">
        <f t="shared" ca="1" si="54"/>
        <v>0</v>
      </c>
      <c r="AZ39" s="46">
        <f t="shared" ca="1" si="54"/>
        <v>0</v>
      </c>
      <c r="BA39" s="46">
        <f t="shared" ca="1" si="54"/>
        <v>0</v>
      </c>
      <c r="BB39" s="46">
        <f t="shared" ca="1" si="54"/>
        <v>0</v>
      </c>
      <c r="BC39" s="46">
        <f t="shared" ca="1" si="54"/>
        <v>0</v>
      </c>
      <c r="BD39" s="46">
        <f t="shared" ca="1" si="54"/>
        <v>0</v>
      </c>
      <c r="BE39" s="46">
        <f t="shared" ca="1" si="54"/>
        <v>0</v>
      </c>
      <c r="BF39" s="46">
        <f t="shared" ca="1" si="54"/>
        <v>0</v>
      </c>
      <c r="BG39" s="46">
        <f t="shared" ca="1" si="54"/>
        <v>0</v>
      </c>
      <c r="BH39" s="46">
        <f t="shared" ca="1" si="54"/>
        <v>0</v>
      </c>
      <c r="BI39" s="46">
        <f t="shared" ca="1" si="54"/>
        <v>0</v>
      </c>
      <c r="BJ39" s="46">
        <f t="shared" ca="1" si="54"/>
        <v>0</v>
      </c>
      <c r="BK39" s="46">
        <f t="shared" ca="1" si="54"/>
        <v>0</v>
      </c>
      <c r="BL39" s="46">
        <f t="shared" ca="1" si="54"/>
        <v>0</v>
      </c>
      <c r="BM39" s="46">
        <f t="shared" ca="1" si="54"/>
        <v>0</v>
      </c>
      <c r="BN39" s="46">
        <f t="shared" ca="1" si="54"/>
        <v>0</v>
      </c>
      <c r="BO39" s="46">
        <f t="shared" ca="1" si="54"/>
        <v>0</v>
      </c>
      <c r="BP39" s="46">
        <f t="shared" ca="1" si="54"/>
        <v>0</v>
      </c>
      <c r="BQ39" s="46">
        <f t="shared" ca="1" si="54"/>
        <v>0</v>
      </c>
      <c r="BR39" s="46">
        <f t="shared" ca="1" si="54"/>
        <v>0</v>
      </c>
      <c r="BS39" s="46">
        <f t="shared" ca="1" si="54"/>
        <v>0</v>
      </c>
      <c r="BT39" s="46">
        <f t="shared" ca="1" si="54"/>
        <v>0</v>
      </c>
      <c r="BU39" s="46">
        <f t="shared" ca="1" si="54"/>
        <v>0</v>
      </c>
      <c r="BV39" s="46">
        <f t="shared" ca="1" si="54"/>
        <v>0</v>
      </c>
      <c r="BW39" s="46">
        <f t="shared" ca="1" si="54"/>
        <v>0</v>
      </c>
      <c r="BX39" s="46">
        <f t="shared" ref="BX39:CO39" ca="1" si="55">(BX37-BX23)*(ABS(BX37-BX23)&gt;Accuracy)</f>
        <v>0</v>
      </c>
      <c r="BY39" s="46">
        <f t="shared" ca="1" si="55"/>
        <v>0</v>
      </c>
      <c r="BZ39" s="46">
        <f t="shared" ca="1" si="55"/>
        <v>0</v>
      </c>
      <c r="CA39" s="46">
        <f t="shared" ca="1" si="55"/>
        <v>0</v>
      </c>
      <c r="CB39" s="46">
        <f t="shared" ca="1" si="55"/>
        <v>0</v>
      </c>
      <c r="CC39" s="46">
        <f t="shared" ca="1" si="55"/>
        <v>0</v>
      </c>
      <c r="CD39" s="46">
        <f t="shared" ca="1" si="55"/>
        <v>0</v>
      </c>
      <c r="CE39" s="46">
        <f t="shared" ca="1" si="55"/>
        <v>0</v>
      </c>
      <c r="CF39" s="46">
        <f t="shared" ca="1" si="55"/>
        <v>0</v>
      </c>
      <c r="CG39" s="46">
        <f t="shared" ca="1" si="55"/>
        <v>0</v>
      </c>
      <c r="CH39" s="46">
        <f t="shared" ca="1" si="55"/>
        <v>0</v>
      </c>
      <c r="CI39" s="46">
        <f t="shared" ca="1" si="55"/>
        <v>0</v>
      </c>
      <c r="CJ39" s="46">
        <f t="shared" ca="1" si="55"/>
        <v>0</v>
      </c>
      <c r="CK39" s="46">
        <f t="shared" ca="1" si="55"/>
        <v>0</v>
      </c>
      <c r="CL39" s="46">
        <f t="shared" ca="1" si="55"/>
        <v>0</v>
      </c>
      <c r="CM39" s="46">
        <f t="shared" ca="1" si="55"/>
        <v>0</v>
      </c>
      <c r="CN39" s="46">
        <f t="shared" ca="1" si="55"/>
        <v>0</v>
      </c>
      <c r="CO39" s="46">
        <f t="shared" ca="1" si="55"/>
        <v>0</v>
      </c>
    </row>
    <row r="40" spans="1:93" s="46" customFormat="1" ht="12.75">
      <c r="C40" s="46" t="s">
        <v>352</v>
      </c>
      <c r="G40" s="89" t="str">
        <f>Monetary_Unit</f>
        <v>тыс. руб.</v>
      </c>
      <c r="H40" s="73"/>
      <c r="I40" s="46">
        <f ca="1">SUM(L40:CQ40)</f>
        <v>0</v>
      </c>
      <c r="L40" s="46">
        <f t="shared" ref="L40:AQ40" ca="1" si="56">(L39-K39)*(ABS(L39-K39)&gt;Accuracy)</f>
        <v>0</v>
      </c>
      <c r="M40" s="46">
        <f t="shared" ca="1" si="56"/>
        <v>0</v>
      </c>
      <c r="N40" s="46">
        <f t="shared" ca="1" si="56"/>
        <v>0</v>
      </c>
      <c r="O40" s="46">
        <f t="shared" ca="1" si="56"/>
        <v>0</v>
      </c>
      <c r="P40" s="46">
        <f t="shared" ca="1" si="56"/>
        <v>0</v>
      </c>
      <c r="Q40" s="46">
        <f t="shared" ca="1" si="56"/>
        <v>0</v>
      </c>
      <c r="R40" s="46">
        <f t="shared" ca="1" si="56"/>
        <v>0</v>
      </c>
      <c r="S40" s="46">
        <f t="shared" ca="1" si="56"/>
        <v>0</v>
      </c>
      <c r="T40" s="46">
        <f t="shared" ca="1" si="56"/>
        <v>0</v>
      </c>
      <c r="U40" s="46">
        <f t="shared" ca="1" si="56"/>
        <v>0</v>
      </c>
      <c r="V40" s="46">
        <f t="shared" ca="1" si="56"/>
        <v>0</v>
      </c>
      <c r="W40" s="46">
        <f t="shared" ca="1" si="56"/>
        <v>0</v>
      </c>
      <c r="X40" s="46">
        <f t="shared" ca="1" si="56"/>
        <v>0</v>
      </c>
      <c r="Y40" s="46">
        <f t="shared" ca="1" si="56"/>
        <v>0</v>
      </c>
      <c r="Z40" s="46">
        <f t="shared" ca="1" si="56"/>
        <v>0</v>
      </c>
      <c r="AA40" s="46">
        <f t="shared" ca="1" si="56"/>
        <v>0</v>
      </c>
      <c r="AB40" s="46">
        <f t="shared" ca="1" si="56"/>
        <v>0</v>
      </c>
      <c r="AC40" s="46">
        <f t="shared" ca="1" si="56"/>
        <v>0</v>
      </c>
      <c r="AD40" s="46">
        <f t="shared" ca="1" si="56"/>
        <v>0</v>
      </c>
      <c r="AE40" s="46">
        <f t="shared" ca="1" si="56"/>
        <v>0</v>
      </c>
      <c r="AF40" s="46">
        <f t="shared" ca="1" si="56"/>
        <v>0</v>
      </c>
      <c r="AG40" s="46">
        <f t="shared" ca="1" si="56"/>
        <v>0</v>
      </c>
      <c r="AH40" s="46">
        <f t="shared" ca="1" si="56"/>
        <v>0</v>
      </c>
      <c r="AI40" s="46">
        <f t="shared" ca="1" si="56"/>
        <v>0</v>
      </c>
      <c r="AJ40" s="46">
        <f t="shared" ca="1" si="56"/>
        <v>0</v>
      </c>
      <c r="AK40" s="46">
        <f t="shared" ca="1" si="56"/>
        <v>0</v>
      </c>
      <c r="AL40" s="46">
        <f t="shared" ca="1" si="56"/>
        <v>0</v>
      </c>
      <c r="AM40" s="46">
        <f t="shared" ca="1" si="56"/>
        <v>0</v>
      </c>
      <c r="AN40" s="46">
        <f t="shared" ca="1" si="56"/>
        <v>0</v>
      </c>
      <c r="AO40" s="46">
        <f t="shared" ca="1" si="56"/>
        <v>0</v>
      </c>
      <c r="AP40" s="46">
        <f t="shared" ca="1" si="56"/>
        <v>0</v>
      </c>
      <c r="AQ40" s="46">
        <f t="shared" ca="1" si="56"/>
        <v>0</v>
      </c>
      <c r="AR40" s="46">
        <f t="shared" ref="AR40:BW40" ca="1" si="57">(AR39-AQ39)*(ABS(AR39-AQ39)&gt;Accuracy)</f>
        <v>0</v>
      </c>
      <c r="AS40" s="46">
        <f t="shared" ca="1" si="57"/>
        <v>0</v>
      </c>
      <c r="AT40" s="46">
        <f t="shared" ca="1" si="57"/>
        <v>0</v>
      </c>
      <c r="AU40" s="46">
        <f t="shared" ca="1" si="57"/>
        <v>0</v>
      </c>
      <c r="AV40" s="46">
        <f t="shared" ca="1" si="57"/>
        <v>0</v>
      </c>
      <c r="AW40" s="46">
        <f t="shared" ca="1" si="57"/>
        <v>0</v>
      </c>
      <c r="AX40" s="46">
        <f t="shared" ca="1" si="57"/>
        <v>0</v>
      </c>
      <c r="AY40" s="46">
        <f t="shared" ca="1" si="57"/>
        <v>0</v>
      </c>
      <c r="AZ40" s="46">
        <f t="shared" ca="1" si="57"/>
        <v>0</v>
      </c>
      <c r="BA40" s="46">
        <f t="shared" ca="1" si="57"/>
        <v>0</v>
      </c>
      <c r="BB40" s="46">
        <f t="shared" ca="1" si="57"/>
        <v>0</v>
      </c>
      <c r="BC40" s="46">
        <f t="shared" ca="1" si="57"/>
        <v>0</v>
      </c>
      <c r="BD40" s="46">
        <f t="shared" ca="1" si="57"/>
        <v>0</v>
      </c>
      <c r="BE40" s="46">
        <f t="shared" ca="1" si="57"/>
        <v>0</v>
      </c>
      <c r="BF40" s="46">
        <f t="shared" ca="1" si="57"/>
        <v>0</v>
      </c>
      <c r="BG40" s="46">
        <f t="shared" ca="1" si="57"/>
        <v>0</v>
      </c>
      <c r="BH40" s="46">
        <f t="shared" ca="1" si="57"/>
        <v>0</v>
      </c>
      <c r="BI40" s="46">
        <f t="shared" ca="1" si="57"/>
        <v>0</v>
      </c>
      <c r="BJ40" s="46">
        <f t="shared" ca="1" si="57"/>
        <v>0</v>
      </c>
      <c r="BK40" s="46">
        <f t="shared" ca="1" si="57"/>
        <v>0</v>
      </c>
      <c r="BL40" s="46">
        <f t="shared" ca="1" si="57"/>
        <v>0</v>
      </c>
      <c r="BM40" s="46">
        <f t="shared" ca="1" si="57"/>
        <v>0</v>
      </c>
      <c r="BN40" s="46">
        <f t="shared" ca="1" si="57"/>
        <v>0</v>
      </c>
      <c r="BO40" s="46">
        <f t="shared" ca="1" si="57"/>
        <v>0</v>
      </c>
      <c r="BP40" s="46">
        <f t="shared" ca="1" si="57"/>
        <v>0</v>
      </c>
      <c r="BQ40" s="46">
        <f t="shared" ca="1" si="57"/>
        <v>0</v>
      </c>
      <c r="BR40" s="46">
        <f t="shared" ca="1" si="57"/>
        <v>0</v>
      </c>
      <c r="BS40" s="46">
        <f t="shared" ca="1" si="57"/>
        <v>0</v>
      </c>
      <c r="BT40" s="46">
        <f t="shared" ca="1" si="57"/>
        <v>0</v>
      </c>
      <c r="BU40" s="46">
        <f t="shared" ca="1" si="57"/>
        <v>0</v>
      </c>
      <c r="BV40" s="46">
        <f t="shared" ca="1" si="57"/>
        <v>0</v>
      </c>
      <c r="BW40" s="46">
        <f t="shared" ca="1" si="57"/>
        <v>0</v>
      </c>
      <c r="BX40" s="46">
        <f t="shared" ref="BX40:CO40" ca="1" si="58">(BX39-BW39)*(ABS(BX39-BW39)&gt;Accuracy)</f>
        <v>0</v>
      </c>
      <c r="BY40" s="46">
        <f t="shared" ca="1" si="58"/>
        <v>0</v>
      </c>
      <c r="BZ40" s="46">
        <f t="shared" ca="1" si="58"/>
        <v>0</v>
      </c>
      <c r="CA40" s="46">
        <f t="shared" ca="1" si="58"/>
        <v>0</v>
      </c>
      <c r="CB40" s="46">
        <f t="shared" ca="1" si="58"/>
        <v>0</v>
      </c>
      <c r="CC40" s="46">
        <f t="shared" ca="1" si="58"/>
        <v>0</v>
      </c>
      <c r="CD40" s="46">
        <f t="shared" ca="1" si="58"/>
        <v>0</v>
      </c>
      <c r="CE40" s="46">
        <f t="shared" ca="1" si="58"/>
        <v>0</v>
      </c>
      <c r="CF40" s="46">
        <f t="shared" ca="1" si="58"/>
        <v>0</v>
      </c>
      <c r="CG40" s="46">
        <f t="shared" ca="1" si="58"/>
        <v>0</v>
      </c>
      <c r="CH40" s="46">
        <f t="shared" ca="1" si="58"/>
        <v>0</v>
      </c>
      <c r="CI40" s="46">
        <f t="shared" ca="1" si="58"/>
        <v>0</v>
      </c>
      <c r="CJ40" s="46">
        <f t="shared" ca="1" si="58"/>
        <v>0</v>
      </c>
      <c r="CK40" s="46">
        <f t="shared" ca="1" si="58"/>
        <v>0</v>
      </c>
      <c r="CL40" s="46">
        <f t="shared" ca="1" si="58"/>
        <v>0</v>
      </c>
      <c r="CM40" s="46">
        <f t="shared" ca="1" si="58"/>
        <v>0</v>
      </c>
      <c r="CN40" s="46">
        <f t="shared" ca="1" si="58"/>
        <v>0</v>
      </c>
      <c r="CO40" s="46">
        <f t="shared" ca="1" si="58"/>
        <v>0</v>
      </c>
    </row>
    <row r="41" spans="1:93" s="75" customFormat="1">
      <c r="A41" s="73"/>
      <c r="B41" s="73"/>
      <c r="C41" s="73"/>
      <c r="D41" s="73"/>
      <c r="E41" s="73"/>
      <c r="F41" s="73"/>
      <c r="G41" s="72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</row>
    <row r="42" spans="1:93" ht="22.5" customHeight="1">
      <c r="A42" s="10"/>
      <c r="B42" s="5" t="s">
        <v>312</v>
      </c>
      <c r="C42" s="5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</row>
    <row r="43" spans="1:93" s="75" customFormat="1">
      <c r="A43" s="73"/>
      <c r="B43" s="73"/>
      <c r="C43" s="73"/>
      <c r="D43" s="73"/>
      <c r="E43" s="73"/>
      <c r="F43" s="73"/>
      <c r="G43" s="72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</row>
    <row r="44" spans="1:93" s="133" customFormat="1" ht="14.25">
      <c r="A44" s="10"/>
      <c r="B44" s="10"/>
      <c r="C44" s="17" t="s">
        <v>96</v>
      </c>
      <c r="D44" s="10"/>
      <c r="E44" s="10"/>
      <c r="F44" s="10"/>
      <c r="G44" s="134" t="str">
        <f t="shared" ref="G44:G59" si="59">Monetary_Unit</f>
        <v>тыс. руб.</v>
      </c>
      <c r="H44" s="10"/>
      <c r="I44" s="23">
        <f t="shared" ref="I44:I51" ca="1" si="60">SUM(L44:CQ44)</f>
        <v>31948941.046733905</v>
      </c>
      <c r="J44" s="10"/>
      <c r="K44" s="10"/>
      <c r="L44" s="52">
        <f t="shared" ref="L44:BW44" ca="1" si="61">Revenue</f>
        <v>0</v>
      </c>
      <c r="M44" s="52">
        <f t="shared" ca="1" si="61"/>
        <v>0</v>
      </c>
      <c r="N44" s="52">
        <f t="shared" ca="1" si="61"/>
        <v>0</v>
      </c>
      <c r="O44" s="52">
        <f t="shared" ca="1" si="61"/>
        <v>0</v>
      </c>
      <c r="P44" s="52">
        <f t="shared" ca="1" si="61"/>
        <v>0</v>
      </c>
      <c r="Q44" s="52">
        <f t="shared" ca="1" si="61"/>
        <v>0</v>
      </c>
      <c r="R44" s="52">
        <f t="shared" ca="1" si="61"/>
        <v>0</v>
      </c>
      <c r="S44" s="52">
        <f t="shared" ca="1" si="61"/>
        <v>0</v>
      </c>
      <c r="T44" s="52">
        <f t="shared" ca="1" si="61"/>
        <v>0</v>
      </c>
      <c r="U44" s="52">
        <f t="shared" ca="1" si="61"/>
        <v>0</v>
      </c>
      <c r="V44" s="52">
        <f t="shared" ca="1" si="61"/>
        <v>0</v>
      </c>
      <c r="W44" s="52">
        <f t="shared" ca="1" si="61"/>
        <v>0</v>
      </c>
      <c r="X44" s="52">
        <f t="shared" ca="1" si="61"/>
        <v>0</v>
      </c>
      <c r="Y44" s="52">
        <f t="shared" ca="1" si="61"/>
        <v>0</v>
      </c>
      <c r="Z44" s="52">
        <f t="shared" ca="1" si="61"/>
        <v>0</v>
      </c>
      <c r="AA44" s="52">
        <f t="shared" ca="1" si="61"/>
        <v>0</v>
      </c>
      <c r="AB44" s="52">
        <f t="shared" ca="1" si="61"/>
        <v>0</v>
      </c>
      <c r="AC44" s="52">
        <f t="shared" ca="1" si="61"/>
        <v>287137.34130179585</v>
      </c>
      <c r="AD44" s="52">
        <f t="shared" ca="1" si="61"/>
        <v>547617.81742701808</v>
      </c>
      <c r="AE44" s="52">
        <f t="shared" ca="1" si="61"/>
        <v>203266.93156101141</v>
      </c>
      <c r="AF44" s="52">
        <f t="shared" ca="1" si="61"/>
        <v>184143.12050146211</v>
      </c>
      <c r="AG44" s="52">
        <f t="shared" ca="1" si="61"/>
        <v>334936.84636492439</v>
      </c>
      <c r="AH44" s="52">
        <f t="shared" ca="1" si="61"/>
        <v>636735.91244217439</v>
      </c>
      <c r="AI44" s="52">
        <f t="shared" ca="1" si="61"/>
        <v>235631.14326524414</v>
      </c>
      <c r="AJ44" s="52">
        <f t="shared" ca="1" si="61"/>
        <v>212850.80121366578</v>
      </c>
      <c r="AK44" s="52">
        <f t="shared" ca="1" si="61"/>
        <v>386100.89208702045</v>
      </c>
      <c r="AL44" s="52">
        <f t="shared" ca="1" si="61"/>
        <v>732107.2665506599</v>
      </c>
      <c r="AM44" s="52">
        <f t="shared" ca="1" si="61"/>
        <v>270259.26481531787</v>
      </c>
      <c r="AN44" s="52">
        <f t="shared" ca="1" si="61"/>
        <v>246266.69480548825</v>
      </c>
      <c r="AO44" s="52">
        <f t="shared" ca="1" si="61"/>
        <v>440822.16251270013</v>
      </c>
      <c r="AP44" s="52">
        <f t="shared" ca="1" si="61"/>
        <v>815915.05294910888</v>
      </c>
      <c r="AQ44" s="52">
        <f t="shared" ca="1" si="61"/>
        <v>294175.13083405176</v>
      </c>
      <c r="AR44" s="52">
        <f t="shared" ca="1" si="61"/>
        <v>259073.75095888102</v>
      </c>
      <c r="AS44" s="52">
        <f t="shared" ca="1" si="61"/>
        <v>458455.04901320807</v>
      </c>
      <c r="AT44" s="52">
        <f t="shared" ca="1" si="61"/>
        <v>848551.65506707318</v>
      </c>
      <c r="AU44" s="52">
        <f t="shared" ca="1" si="61"/>
        <v>305942.13606741378</v>
      </c>
      <c r="AV44" s="52">
        <f t="shared" ca="1" si="61"/>
        <v>269436.70099723624</v>
      </c>
      <c r="AW44" s="52">
        <f t="shared" ca="1" si="61"/>
        <v>422147.48991467513</v>
      </c>
      <c r="AX44" s="52">
        <f t="shared" ca="1" si="61"/>
        <v>773536.7544139981</v>
      </c>
      <c r="AY44" s="52">
        <f t="shared" ca="1" si="61"/>
        <v>283242.42833727284</v>
      </c>
      <c r="AZ44" s="52">
        <f t="shared" ca="1" si="61"/>
        <v>250185.10206601798</v>
      </c>
      <c r="BA44" s="52">
        <f t="shared" ca="1" si="61"/>
        <v>439033.38951126201</v>
      </c>
      <c r="BB44" s="52">
        <f t="shared" ca="1" si="61"/>
        <v>804478.22459055774</v>
      </c>
      <c r="BC44" s="52">
        <f t="shared" ca="1" si="61"/>
        <v>294572.12547076365</v>
      </c>
      <c r="BD44" s="52">
        <f t="shared" ca="1" si="61"/>
        <v>263083.53399475489</v>
      </c>
      <c r="BE44" s="52">
        <f t="shared" ca="1" si="61"/>
        <v>456594.72509171249</v>
      </c>
      <c r="BF44" s="52">
        <f t="shared" ca="1" si="61"/>
        <v>836657.35357417993</v>
      </c>
      <c r="BG44" s="52">
        <f t="shared" ca="1" si="61"/>
        <v>306355.01048959419</v>
      </c>
      <c r="BH44" s="52">
        <f t="shared" ca="1" si="61"/>
        <v>270600.20639460499</v>
      </c>
      <c r="BI44" s="52">
        <f t="shared" ca="1" si="61"/>
        <v>474858.51409538084</v>
      </c>
      <c r="BJ44" s="52">
        <f t="shared" ca="1" si="61"/>
        <v>870123.6477171469</v>
      </c>
      <c r="BK44" s="52">
        <f t="shared" ca="1" si="61"/>
        <v>318609.21090917796</v>
      </c>
      <c r="BL44" s="52">
        <f t="shared" ca="1" si="61"/>
        <v>281424.21465038921</v>
      </c>
      <c r="BM44" s="52">
        <f t="shared" ca="1" si="61"/>
        <v>493852.85465919605</v>
      </c>
      <c r="BN44" s="52">
        <f t="shared" ca="1" si="61"/>
        <v>904928.59362583258</v>
      </c>
      <c r="BO44" s="52">
        <f t="shared" ca="1" si="61"/>
        <v>331353.57934554503</v>
      </c>
      <c r="BP44" s="52">
        <f t="shared" ca="1" si="61"/>
        <v>292681.18323640467</v>
      </c>
      <c r="BQ44" s="52">
        <f t="shared" ca="1" si="61"/>
        <v>513606.96884556377</v>
      </c>
      <c r="BR44" s="52">
        <f t="shared" ca="1" si="61"/>
        <v>941125.73737086589</v>
      </c>
      <c r="BS44" s="52">
        <f t="shared" ca="1" si="61"/>
        <v>344607.72251936671</v>
      </c>
      <c r="BT44" s="52">
        <f t="shared" ca="1" si="61"/>
        <v>307770.52423881477</v>
      </c>
      <c r="BU44" s="52">
        <f t="shared" ca="1" si="61"/>
        <v>534151.24759938626</v>
      </c>
      <c r="BV44" s="52">
        <f t="shared" ca="1" si="61"/>
        <v>978770.76686570025</v>
      </c>
      <c r="BW44" s="52">
        <f t="shared" ca="1" si="61"/>
        <v>358392.03142014134</v>
      </c>
      <c r="BX44" s="52">
        <f t="shared" ref="BX44:CO44" ca="1" si="62">Revenue</f>
        <v>316563.96778849518</v>
      </c>
      <c r="BY44" s="52">
        <f t="shared" ca="1" si="62"/>
        <v>555517.29750336171</v>
      </c>
      <c r="BZ44" s="52">
        <f t="shared" ca="1" si="62"/>
        <v>1017921.5975403283</v>
      </c>
      <c r="CA44" s="52">
        <f t="shared" ca="1" si="62"/>
        <v>372727.71267694695</v>
      </c>
      <c r="CB44" s="52">
        <f t="shared" ca="1" si="62"/>
        <v>329226.52650003496</v>
      </c>
      <c r="CC44" s="52">
        <f t="shared" ca="1" si="62"/>
        <v>577737.98940349603</v>
      </c>
      <c r="CD44" s="52">
        <f t="shared" ca="1" si="62"/>
        <v>1058638.4614419413</v>
      </c>
      <c r="CE44" s="52">
        <f t="shared" ca="1" si="62"/>
        <v>387636.8211840248</v>
      </c>
      <c r="CF44" s="52">
        <f t="shared" ca="1" si="62"/>
        <v>342395.58756003634</v>
      </c>
      <c r="CG44" s="52">
        <f t="shared" ca="1" si="62"/>
        <v>600847.50897963578</v>
      </c>
      <c r="CH44" s="52">
        <f t="shared" ca="1" si="62"/>
        <v>1100983.9998996188</v>
      </c>
      <c r="CI44" s="52">
        <f t="shared" ca="1" si="62"/>
        <v>403142.2940313858</v>
      </c>
      <c r="CJ44" s="52">
        <f t="shared" ca="1" si="62"/>
        <v>360047.98229646485</v>
      </c>
      <c r="CK44" s="52">
        <f t="shared" ca="1" si="62"/>
        <v>624881.40933882119</v>
      </c>
      <c r="CL44" s="52">
        <f t="shared" ca="1" si="62"/>
        <v>1145023.3598956035</v>
      </c>
      <c r="CM44" s="52">
        <f t="shared" ca="1" si="62"/>
        <v>419267.98579264118</v>
      </c>
      <c r="CN44" s="52">
        <f t="shared" ca="1" si="62"/>
        <v>370335.06750493526</v>
      </c>
      <c r="CO44" s="52">
        <f t="shared" ca="1" si="62"/>
        <v>649876.66571237403</v>
      </c>
    </row>
    <row r="45" spans="1:93" s="133" customFormat="1" thickBot="1">
      <c r="A45" s="10"/>
      <c r="B45" s="10"/>
      <c r="C45" s="17" t="s">
        <v>700</v>
      </c>
      <c r="D45" s="10"/>
      <c r="E45" s="10"/>
      <c r="F45" s="10"/>
      <c r="G45" s="134" t="str">
        <f t="shared" si="59"/>
        <v>тыс. руб.</v>
      </c>
      <c r="H45" s="10"/>
      <c r="I45" s="23">
        <f t="shared" ca="1" si="60"/>
        <v>-18493633.551309194</v>
      </c>
      <c r="J45" s="10"/>
      <c r="K45" s="10"/>
      <c r="L45" s="52">
        <f t="shared" ref="L45:BW45" ca="1" si="63">COGS_PL</f>
        <v>0</v>
      </c>
      <c r="M45" s="52">
        <f t="shared" ca="1" si="63"/>
        <v>0</v>
      </c>
      <c r="N45" s="52">
        <f t="shared" ca="1" si="63"/>
        <v>0</v>
      </c>
      <c r="O45" s="52">
        <f t="shared" ca="1" si="63"/>
        <v>0</v>
      </c>
      <c r="P45" s="52">
        <f t="shared" ca="1" si="63"/>
        <v>0</v>
      </c>
      <c r="Q45" s="52">
        <f t="shared" ca="1" si="63"/>
        <v>0</v>
      </c>
      <c r="R45" s="52">
        <f t="shared" ca="1" si="63"/>
        <v>0</v>
      </c>
      <c r="S45" s="52">
        <f t="shared" ca="1" si="63"/>
        <v>0</v>
      </c>
      <c r="T45" s="52">
        <f t="shared" ca="1" si="63"/>
        <v>0</v>
      </c>
      <c r="U45" s="52">
        <f t="shared" ca="1" si="63"/>
        <v>0</v>
      </c>
      <c r="V45" s="52">
        <f t="shared" ca="1" si="63"/>
        <v>0</v>
      </c>
      <c r="W45" s="52">
        <f t="shared" ca="1" si="63"/>
        <v>0</v>
      </c>
      <c r="X45" s="52">
        <f t="shared" ca="1" si="63"/>
        <v>0</v>
      </c>
      <c r="Y45" s="52">
        <f t="shared" ca="1" si="63"/>
        <v>0</v>
      </c>
      <c r="Z45" s="52">
        <f t="shared" ca="1" si="63"/>
        <v>0</v>
      </c>
      <c r="AA45" s="52">
        <f t="shared" ca="1" si="63"/>
        <v>0</v>
      </c>
      <c r="AB45" s="52">
        <f t="shared" ca="1" si="63"/>
        <v>0</v>
      </c>
      <c r="AC45" s="52">
        <f t="shared" ca="1" si="63"/>
        <v>-153088.06791866009</v>
      </c>
      <c r="AD45" s="52">
        <f t="shared" ca="1" si="63"/>
        <v>-277065.31551683269</v>
      </c>
      <c r="AE45" s="52">
        <f t="shared" ca="1" si="63"/>
        <v>-111407.08688779266</v>
      </c>
      <c r="AF45" s="52">
        <f t="shared" ca="1" si="63"/>
        <v>-102418.07308987781</v>
      </c>
      <c r="AG45" s="52">
        <f t="shared" ca="1" si="63"/>
        <v>-178544.29480956297</v>
      </c>
      <c r="AH45" s="52">
        <f t="shared" ca="1" si="63"/>
        <v>-322126.35063196789</v>
      </c>
      <c r="AI45" s="52">
        <f t="shared" ca="1" si="63"/>
        <v>-129117.93196149165</v>
      </c>
      <c r="AJ45" s="52">
        <f t="shared" ca="1" si="63"/>
        <v>-118358.58903083384</v>
      </c>
      <c r="AK45" s="52">
        <f t="shared" ca="1" si="63"/>
        <v>-205792.07894306828</v>
      </c>
      <c r="AL45" s="52">
        <f t="shared" ca="1" si="63"/>
        <v>-370348.96405148692</v>
      </c>
      <c r="AM45" s="52">
        <f t="shared" ca="1" si="63"/>
        <v>-148067.39330206616</v>
      </c>
      <c r="AN45" s="52">
        <f t="shared" ca="1" si="63"/>
        <v>-136914.35929549739</v>
      </c>
      <c r="AO45" s="52">
        <f t="shared" ca="1" si="63"/>
        <v>-234933.32935229276</v>
      </c>
      <c r="AP45" s="52">
        <f t="shared" ca="1" si="63"/>
        <v>-412725.51899434091</v>
      </c>
      <c r="AQ45" s="52">
        <f t="shared" ca="1" si="63"/>
        <v>-161157.44910287601</v>
      </c>
      <c r="AR45" s="52">
        <f t="shared" ca="1" si="63"/>
        <v>-144029.45805522188</v>
      </c>
      <c r="AS45" s="52">
        <f t="shared" ca="1" si="63"/>
        <v>-244331.37553298092</v>
      </c>
      <c r="AT45" s="52">
        <f t="shared" ca="1" si="63"/>
        <v>-429235.267698696</v>
      </c>
      <c r="AU45" s="52">
        <f t="shared" ca="1" si="63"/>
        <v>-167604.4821843064</v>
      </c>
      <c r="AV45" s="52">
        <f t="shared" ca="1" si="63"/>
        <v>-149790.63637743067</v>
      </c>
      <c r="AW45" s="52">
        <f t="shared" ca="1" si="63"/>
        <v>-254104.63055430009</v>
      </c>
      <c r="AX45" s="52">
        <f t="shared" ca="1" si="63"/>
        <v>-446404.67840664374</v>
      </c>
      <c r="AY45" s="52">
        <f t="shared" ca="1" si="63"/>
        <v>-174308.66147167861</v>
      </c>
      <c r="AZ45" s="52">
        <f t="shared" ca="1" si="63"/>
        <v>-155782.26183252787</v>
      </c>
      <c r="BA45" s="52">
        <f t="shared" ca="1" si="63"/>
        <v>-264268.81577647204</v>
      </c>
      <c r="BB45" s="52">
        <f t="shared" ca="1" si="63"/>
        <v>-464260.86554290925</v>
      </c>
      <c r="BC45" s="52">
        <f t="shared" ca="1" si="63"/>
        <v>-181281.00793054575</v>
      </c>
      <c r="BD45" s="52">
        <f t="shared" ca="1" si="63"/>
        <v>-163812.90867722456</v>
      </c>
      <c r="BE45" s="52">
        <f t="shared" ca="1" si="63"/>
        <v>-274838.7663720788</v>
      </c>
      <c r="BF45" s="52">
        <f t="shared" ca="1" si="63"/>
        <v>-482830.48132597207</v>
      </c>
      <c r="BG45" s="52">
        <f t="shared" ca="1" si="63"/>
        <v>-188531.42134076369</v>
      </c>
      <c r="BH45" s="52">
        <f t="shared" ca="1" si="63"/>
        <v>-168494.09439806215</v>
      </c>
      <c r="BI45" s="52">
        <f t="shared" ca="1" si="63"/>
        <v>-285833.15114383207</v>
      </c>
      <c r="BJ45" s="52">
        <f t="shared" ca="1" si="63"/>
        <v>-502144.55217121053</v>
      </c>
      <c r="BK45" s="52">
        <f t="shared" ca="1" si="63"/>
        <v>-196073.53817767825</v>
      </c>
      <c r="BL45" s="52">
        <f t="shared" ca="1" si="63"/>
        <v>-175233.85817398463</v>
      </c>
      <c r="BM45" s="52">
        <f t="shared" ca="1" si="63"/>
        <v>-297266.47718958539</v>
      </c>
      <c r="BN45" s="52">
        <f t="shared" ca="1" si="63"/>
        <v>-522230.33425805887</v>
      </c>
      <c r="BO45" s="52">
        <f t="shared" ca="1" si="63"/>
        <v>-203916.47970478528</v>
      </c>
      <c r="BP45" s="52">
        <f t="shared" ca="1" si="63"/>
        <v>-182243.21250094395</v>
      </c>
      <c r="BQ45" s="52">
        <f t="shared" ca="1" si="63"/>
        <v>-309157.1362771687</v>
      </c>
      <c r="BR45" s="52">
        <f t="shared" ca="1" si="63"/>
        <v>-543119.54762838129</v>
      </c>
      <c r="BS45" s="52">
        <f t="shared" ca="1" si="63"/>
        <v>-212073.13889297668</v>
      </c>
      <c r="BT45" s="52">
        <f t="shared" ca="1" si="63"/>
        <v>-191637.93345454932</v>
      </c>
      <c r="BU45" s="52">
        <f t="shared" ca="1" si="63"/>
        <v>-321522.48346021632</v>
      </c>
      <c r="BV45" s="52">
        <f t="shared" ca="1" si="63"/>
        <v>-564843.37160810805</v>
      </c>
      <c r="BW45" s="52">
        <f t="shared" ca="1" si="63"/>
        <v>-220555.09708445895</v>
      </c>
      <c r="BX45" s="52">
        <f t="shared" ref="BX45:CO45" ca="1" si="64">COGS_PL</f>
        <v>-197114.25864102089</v>
      </c>
      <c r="BY45" s="52">
        <f t="shared" ca="1" si="64"/>
        <v>-334384.35859738558</v>
      </c>
      <c r="BZ45" s="52">
        <f t="shared" ca="1" si="64"/>
        <v>-587438.10271485697</v>
      </c>
      <c r="CA45" s="52">
        <f t="shared" ca="1" si="64"/>
        <v>-229378.30702664348</v>
      </c>
      <c r="CB45" s="52">
        <f t="shared" ca="1" si="64"/>
        <v>-204998.82898666174</v>
      </c>
      <c r="CC45" s="52">
        <f t="shared" ca="1" si="64"/>
        <v>-347759.73294128099</v>
      </c>
      <c r="CD45" s="52">
        <f t="shared" ca="1" si="64"/>
        <v>-610935.62682345114</v>
      </c>
      <c r="CE45" s="52">
        <f t="shared" ca="1" si="64"/>
        <v>-238553.43930770928</v>
      </c>
      <c r="CF45" s="52">
        <f t="shared" ca="1" si="64"/>
        <v>-213198.78214612813</v>
      </c>
      <c r="CG45" s="52">
        <f t="shared" ca="1" si="64"/>
        <v>-361670.12225893216</v>
      </c>
      <c r="CH45" s="52">
        <f t="shared" ca="1" si="64"/>
        <v>-635373.05189638922</v>
      </c>
      <c r="CI45" s="52">
        <f t="shared" ca="1" si="64"/>
        <v>-248095.57688001767</v>
      </c>
      <c r="CJ45" s="52">
        <f t="shared" ca="1" si="64"/>
        <v>-224189.27687251486</v>
      </c>
      <c r="CK45" s="52">
        <f t="shared" ca="1" si="64"/>
        <v>-376135.82950839237</v>
      </c>
      <c r="CL45" s="52">
        <f t="shared" ca="1" si="64"/>
        <v>-660786.85333500605</v>
      </c>
      <c r="CM45" s="52">
        <f t="shared" ca="1" si="64"/>
        <v>-258018.26827588529</v>
      </c>
      <c r="CN45" s="52">
        <f t="shared" ca="1" si="64"/>
        <v>-230595.80276925216</v>
      </c>
      <c r="CO45" s="52">
        <f t="shared" ca="1" si="64"/>
        <v>-391182.40423526097</v>
      </c>
    </row>
    <row r="46" spans="1:93" s="133" customFormat="1" thickTop="1">
      <c r="A46" s="10"/>
      <c r="B46" s="10"/>
      <c r="C46" s="49" t="s">
        <v>135</v>
      </c>
      <c r="D46" s="136"/>
      <c r="E46" s="136"/>
      <c r="F46" s="136"/>
      <c r="G46" s="137" t="str">
        <f t="shared" si="59"/>
        <v>тыс. руб.</v>
      </c>
      <c r="H46" s="136"/>
      <c r="I46" s="23">
        <f t="shared" ca="1" si="60"/>
        <v>13455307.495424716</v>
      </c>
      <c r="J46" s="136"/>
      <c r="K46" s="136"/>
      <c r="L46" s="49">
        <f ca="1">SUM(L44:L45)</f>
        <v>0</v>
      </c>
      <c r="M46" s="49">
        <f t="shared" ref="M46:BX46" ca="1" si="65">SUM(M44:M45)</f>
        <v>0</v>
      </c>
      <c r="N46" s="49">
        <f t="shared" ca="1" si="65"/>
        <v>0</v>
      </c>
      <c r="O46" s="49">
        <f t="shared" ca="1" si="65"/>
        <v>0</v>
      </c>
      <c r="P46" s="49">
        <f t="shared" ca="1" si="65"/>
        <v>0</v>
      </c>
      <c r="Q46" s="49">
        <f t="shared" ca="1" si="65"/>
        <v>0</v>
      </c>
      <c r="R46" s="49">
        <f t="shared" ca="1" si="65"/>
        <v>0</v>
      </c>
      <c r="S46" s="49">
        <f t="shared" ca="1" si="65"/>
        <v>0</v>
      </c>
      <c r="T46" s="49">
        <f t="shared" ca="1" si="65"/>
        <v>0</v>
      </c>
      <c r="U46" s="49">
        <f t="shared" ca="1" si="65"/>
        <v>0</v>
      </c>
      <c r="V46" s="49">
        <f t="shared" ca="1" si="65"/>
        <v>0</v>
      </c>
      <c r="W46" s="49">
        <f t="shared" ca="1" si="65"/>
        <v>0</v>
      </c>
      <c r="X46" s="49">
        <f t="shared" ca="1" si="65"/>
        <v>0</v>
      </c>
      <c r="Y46" s="49">
        <f t="shared" ca="1" si="65"/>
        <v>0</v>
      </c>
      <c r="Z46" s="49">
        <f t="shared" ca="1" si="65"/>
        <v>0</v>
      </c>
      <c r="AA46" s="49">
        <f t="shared" ca="1" si="65"/>
        <v>0</v>
      </c>
      <c r="AB46" s="49">
        <f t="shared" ca="1" si="65"/>
        <v>0</v>
      </c>
      <c r="AC46" s="49">
        <f t="shared" ca="1" si="65"/>
        <v>134049.27338313576</v>
      </c>
      <c r="AD46" s="49">
        <f t="shared" ca="1" si="65"/>
        <v>270552.50191018538</v>
      </c>
      <c r="AE46" s="49">
        <f t="shared" ca="1" si="65"/>
        <v>91859.844673218759</v>
      </c>
      <c r="AF46" s="49">
        <f t="shared" ca="1" si="65"/>
        <v>81725.047411584295</v>
      </c>
      <c r="AG46" s="49">
        <f t="shared" ca="1" si="65"/>
        <v>156392.55155536142</v>
      </c>
      <c r="AH46" s="49">
        <f t="shared" ca="1" si="65"/>
        <v>314609.56181020651</v>
      </c>
      <c r="AI46" s="49">
        <f t="shared" ca="1" si="65"/>
        <v>106513.2113037525</v>
      </c>
      <c r="AJ46" s="49">
        <f t="shared" ca="1" si="65"/>
        <v>94492.212182831936</v>
      </c>
      <c r="AK46" s="49">
        <f t="shared" ca="1" si="65"/>
        <v>180308.81314395217</v>
      </c>
      <c r="AL46" s="49">
        <f t="shared" ca="1" si="65"/>
        <v>361758.30249917298</v>
      </c>
      <c r="AM46" s="49">
        <f t="shared" ca="1" si="65"/>
        <v>122191.87151325171</v>
      </c>
      <c r="AN46" s="49">
        <f t="shared" ca="1" si="65"/>
        <v>109352.33550999087</v>
      </c>
      <c r="AO46" s="49">
        <f t="shared" ca="1" si="65"/>
        <v>205888.83316040738</v>
      </c>
      <c r="AP46" s="49">
        <f t="shared" ca="1" si="65"/>
        <v>403189.53395476798</v>
      </c>
      <c r="AQ46" s="49">
        <f t="shared" ca="1" si="65"/>
        <v>133017.68173117575</v>
      </c>
      <c r="AR46" s="49">
        <f t="shared" ca="1" si="65"/>
        <v>115044.29290365914</v>
      </c>
      <c r="AS46" s="49">
        <f t="shared" ca="1" si="65"/>
        <v>214123.67348022715</v>
      </c>
      <c r="AT46" s="49">
        <f t="shared" ca="1" si="65"/>
        <v>419316.38736837718</v>
      </c>
      <c r="AU46" s="49">
        <f t="shared" ca="1" si="65"/>
        <v>138337.65388310738</v>
      </c>
      <c r="AV46" s="49">
        <f t="shared" ca="1" si="65"/>
        <v>119646.06461980558</v>
      </c>
      <c r="AW46" s="49">
        <f t="shared" ca="1" si="65"/>
        <v>168042.85936037503</v>
      </c>
      <c r="AX46" s="49">
        <f t="shared" ca="1" si="65"/>
        <v>327132.07600735436</v>
      </c>
      <c r="AY46" s="49">
        <f t="shared" ca="1" si="65"/>
        <v>108933.76686559423</v>
      </c>
      <c r="AZ46" s="49">
        <f t="shared" ca="1" si="65"/>
        <v>94402.840233490104</v>
      </c>
      <c r="BA46" s="49">
        <f t="shared" ca="1" si="65"/>
        <v>174764.57373478997</v>
      </c>
      <c r="BB46" s="49">
        <f t="shared" ca="1" si="65"/>
        <v>340217.3590476485</v>
      </c>
      <c r="BC46" s="49">
        <f t="shared" ca="1" si="65"/>
        <v>113291.11754021791</v>
      </c>
      <c r="BD46" s="49">
        <f t="shared" ca="1" si="65"/>
        <v>99270.625317530328</v>
      </c>
      <c r="BE46" s="49">
        <f t="shared" ca="1" si="65"/>
        <v>181755.95871963369</v>
      </c>
      <c r="BF46" s="49">
        <f t="shared" ca="1" si="65"/>
        <v>353826.87224820786</v>
      </c>
      <c r="BG46" s="49">
        <f t="shared" ca="1" si="65"/>
        <v>117823.58914883051</v>
      </c>
      <c r="BH46" s="49">
        <f t="shared" ca="1" si="65"/>
        <v>102106.11199654284</v>
      </c>
      <c r="BI46" s="49">
        <f t="shared" ca="1" si="65"/>
        <v>189025.36295154877</v>
      </c>
      <c r="BJ46" s="49">
        <f t="shared" ca="1" si="65"/>
        <v>367979.09554593638</v>
      </c>
      <c r="BK46" s="49">
        <f t="shared" ca="1" si="65"/>
        <v>122535.67273149971</v>
      </c>
      <c r="BL46" s="49">
        <f t="shared" ca="1" si="65"/>
        <v>106190.35647640459</v>
      </c>
      <c r="BM46" s="49">
        <f t="shared" ca="1" si="65"/>
        <v>196586.37746961066</v>
      </c>
      <c r="BN46" s="49">
        <f t="shared" ca="1" si="65"/>
        <v>382698.25936777372</v>
      </c>
      <c r="BO46" s="49">
        <f t="shared" ca="1" si="65"/>
        <v>127437.09964075976</v>
      </c>
      <c r="BP46" s="49">
        <f t="shared" ca="1" si="65"/>
        <v>110437.97073546072</v>
      </c>
      <c r="BQ46" s="49">
        <f t="shared" ca="1" si="65"/>
        <v>204449.83256839507</v>
      </c>
      <c r="BR46" s="49">
        <f t="shared" ca="1" si="65"/>
        <v>398006.1897424846</v>
      </c>
      <c r="BS46" s="49">
        <f t="shared" ca="1" si="65"/>
        <v>132534.58362639003</v>
      </c>
      <c r="BT46" s="49">
        <f t="shared" ca="1" si="65"/>
        <v>116132.59078426546</v>
      </c>
      <c r="BU46" s="49">
        <f t="shared" ca="1" si="65"/>
        <v>212628.76413916994</v>
      </c>
      <c r="BV46" s="49">
        <f t="shared" ca="1" si="65"/>
        <v>413927.3952575922</v>
      </c>
      <c r="BW46" s="49">
        <f t="shared" ca="1" si="65"/>
        <v>137836.9343356824</v>
      </c>
      <c r="BX46" s="49">
        <f t="shared" ca="1" si="65"/>
        <v>119449.70914747429</v>
      </c>
      <c r="BY46" s="49">
        <f t="shared" ref="BY46:CO46" ca="1" si="66">SUM(BY44:BY45)</f>
        <v>221132.93890597613</v>
      </c>
      <c r="BZ46" s="49">
        <f t="shared" ca="1" si="66"/>
        <v>430483.49482547131</v>
      </c>
      <c r="CA46" s="49">
        <f t="shared" ca="1" si="66"/>
        <v>143349.40565030347</v>
      </c>
      <c r="CB46" s="49">
        <f t="shared" ca="1" si="66"/>
        <v>124227.69751337322</v>
      </c>
      <c r="CC46" s="49">
        <f t="shared" ca="1" si="66"/>
        <v>229978.25646221504</v>
      </c>
      <c r="CD46" s="49">
        <f t="shared" ca="1" si="66"/>
        <v>447702.83461849019</v>
      </c>
      <c r="CE46" s="49">
        <f t="shared" ca="1" si="66"/>
        <v>149083.38187631551</v>
      </c>
      <c r="CF46" s="49">
        <f t="shared" ca="1" si="66"/>
        <v>129196.80541390821</v>
      </c>
      <c r="CG46" s="49">
        <f t="shared" ca="1" si="66"/>
        <v>239177.38672070362</v>
      </c>
      <c r="CH46" s="49">
        <f t="shared" ca="1" si="66"/>
        <v>465610.94800322957</v>
      </c>
      <c r="CI46" s="49">
        <f t="shared" ca="1" si="66"/>
        <v>155046.71715136812</v>
      </c>
      <c r="CJ46" s="49">
        <f t="shared" ca="1" si="66"/>
        <v>135858.70542394998</v>
      </c>
      <c r="CK46" s="49">
        <f t="shared" ca="1" si="66"/>
        <v>248745.57983042882</v>
      </c>
      <c r="CL46" s="49">
        <f t="shared" ca="1" si="66"/>
        <v>484236.50656059745</v>
      </c>
      <c r="CM46" s="49">
        <f t="shared" ca="1" si="66"/>
        <v>161249.71751675589</v>
      </c>
      <c r="CN46" s="49">
        <f t="shared" ca="1" si="66"/>
        <v>139739.2647356831</v>
      </c>
      <c r="CO46" s="49">
        <f t="shared" ca="1" si="66"/>
        <v>258694.26147711306</v>
      </c>
    </row>
    <row r="47" spans="1:93" s="133" customFormat="1" thickBot="1">
      <c r="A47" s="10"/>
      <c r="B47" s="10"/>
      <c r="C47" s="17" t="s">
        <v>728</v>
      </c>
      <c r="D47" s="10"/>
      <c r="E47" s="10"/>
      <c r="F47" s="10"/>
      <c r="G47" s="134" t="str">
        <f t="shared" si="59"/>
        <v>тыс. руб.</v>
      </c>
      <c r="H47" s="10"/>
      <c r="I47" s="23">
        <f t="shared" ca="1" si="60"/>
        <v>-355606.44199776108</v>
      </c>
      <c r="J47" s="10"/>
      <c r="K47" s="10"/>
      <c r="L47" s="52">
        <f t="shared" ref="L47:BW47" ca="1" si="67">SGA_PL</f>
        <v>0</v>
      </c>
      <c r="M47" s="52">
        <f t="shared" ca="1" si="67"/>
        <v>0</v>
      </c>
      <c r="N47" s="52">
        <f t="shared" ca="1" si="67"/>
        <v>0</v>
      </c>
      <c r="O47" s="52">
        <f t="shared" ca="1" si="67"/>
        <v>0</v>
      </c>
      <c r="P47" s="52">
        <f t="shared" ca="1" si="67"/>
        <v>0</v>
      </c>
      <c r="Q47" s="52">
        <f t="shared" ca="1" si="67"/>
        <v>0</v>
      </c>
      <c r="R47" s="52">
        <f t="shared" ca="1" si="67"/>
        <v>0</v>
      </c>
      <c r="S47" s="52">
        <f t="shared" ca="1" si="67"/>
        <v>0</v>
      </c>
      <c r="T47" s="52">
        <f t="shared" ca="1" si="67"/>
        <v>0</v>
      </c>
      <c r="U47" s="52">
        <f t="shared" ca="1" si="67"/>
        <v>0</v>
      </c>
      <c r="V47" s="52">
        <f t="shared" ca="1" si="67"/>
        <v>0</v>
      </c>
      <c r="W47" s="52">
        <f t="shared" ca="1" si="67"/>
        <v>0</v>
      </c>
      <c r="X47" s="52">
        <f t="shared" ca="1" si="67"/>
        <v>0</v>
      </c>
      <c r="Y47" s="52">
        <f t="shared" ca="1" si="67"/>
        <v>0</v>
      </c>
      <c r="Z47" s="52">
        <f t="shared" ca="1" si="67"/>
        <v>0</v>
      </c>
      <c r="AA47" s="52">
        <f t="shared" ca="1" si="67"/>
        <v>0</v>
      </c>
      <c r="AB47" s="52">
        <f t="shared" ca="1" si="67"/>
        <v>0</v>
      </c>
      <c r="AC47" s="52">
        <f t="shared" ca="1" si="67"/>
        <v>-2309.1203594642329</v>
      </c>
      <c r="AD47" s="52">
        <f t="shared" ca="1" si="67"/>
        <v>-2334.4953084693348</v>
      </c>
      <c r="AE47" s="52">
        <f t="shared" ca="1" si="67"/>
        <v>-2334.4953084693348</v>
      </c>
      <c r="AF47" s="52">
        <f t="shared" ca="1" si="67"/>
        <v>-2283.7454104591311</v>
      </c>
      <c r="AG47" s="52">
        <f t="shared" ca="1" si="67"/>
        <v>-2309.1203594642329</v>
      </c>
      <c r="AH47" s="52">
        <f t="shared" ca="1" si="67"/>
        <v>-2334.4953084693348</v>
      </c>
      <c r="AI47" s="52">
        <f t="shared" ca="1" si="67"/>
        <v>-2334.4953084693348</v>
      </c>
      <c r="AJ47" s="52">
        <f t="shared" ca="1" si="67"/>
        <v>-2283.7454104591311</v>
      </c>
      <c r="AK47" s="52">
        <f t="shared" ca="1" si="67"/>
        <v>-2309.1203594642329</v>
      </c>
      <c r="AL47" s="52">
        <f t="shared" ca="1" si="67"/>
        <v>-2334.4953084693348</v>
      </c>
      <c r="AM47" s="52">
        <f t="shared" ca="1" si="67"/>
        <v>-2334.4953084693348</v>
      </c>
      <c r="AN47" s="52">
        <f t="shared" ca="1" si="67"/>
        <v>-2302.8112874438389</v>
      </c>
      <c r="AO47" s="52">
        <f t="shared" ca="1" si="67"/>
        <v>-2302.8112874438389</v>
      </c>
      <c r="AP47" s="52">
        <f t="shared" ca="1" si="67"/>
        <v>-2328.1169059871777</v>
      </c>
      <c r="AQ47" s="52">
        <f t="shared" ca="1" si="67"/>
        <v>-2328.1169059871777</v>
      </c>
      <c r="AR47" s="52">
        <f t="shared" ca="1" si="67"/>
        <v>-2283.7454104591311</v>
      </c>
      <c r="AS47" s="52">
        <f t="shared" ca="1" si="67"/>
        <v>-2309.1203594642329</v>
      </c>
      <c r="AT47" s="52">
        <f t="shared" ca="1" si="67"/>
        <v>-2334.4953084693348</v>
      </c>
      <c r="AU47" s="52">
        <f t="shared" ca="1" si="67"/>
        <v>-2334.4953084693348</v>
      </c>
      <c r="AV47" s="52">
        <f t="shared" ca="1" si="67"/>
        <v>-2283.7454104591311</v>
      </c>
      <c r="AW47" s="52">
        <f t="shared" ca="1" si="67"/>
        <v>-2309.1203594642329</v>
      </c>
      <c r="AX47" s="52">
        <f t="shared" ca="1" si="67"/>
        <v>-2334.4953084693348</v>
      </c>
      <c r="AY47" s="52">
        <f t="shared" ca="1" si="67"/>
        <v>-2334.4953084693348</v>
      </c>
      <c r="AZ47" s="52">
        <f t="shared" ca="1" si="67"/>
        <v>-2283.7454104591311</v>
      </c>
      <c r="BA47" s="52">
        <f t="shared" ca="1" si="67"/>
        <v>-2309.1203594642329</v>
      </c>
      <c r="BB47" s="52">
        <f t="shared" ca="1" si="67"/>
        <v>-2334.4953084693348</v>
      </c>
      <c r="BC47" s="52">
        <f t="shared" ca="1" si="67"/>
        <v>-2334.4953084693348</v>
      </c>
      <c r="BD47" s="52">
        <f t="shared" ca="1" si="67"/>
        <v>-2302.8112874438389</v>
      </c>
      <c r="BE47" s="52">
        <f t="shared" ca="1" si="67"/>
        <v>-2302.8112874438389</v>
      </c>
      <c r="BF47" s="52">
        <f t="shared" ca="1" si="67"/>
        <v>-2328.1169059871777</v>
      </c>
      <c r="BG47" s="52">
        <f t="shared" ca="1" si="67"/>
        <v>-2328.1169059871777</v>
      </c>
      <c r="BH47" s="52">
        <f t="shared" ca="1" si="67"/>
        <v>-2283.7454104591311</v>
      </c>
      <c r="BI47" s="52">
        <f t="shared" ca="1" si="67"/>
        <v>-2309.1203594642329</v>
      </c>
      <c r="BJ47" s="52">
        <f t="shared" ca="1" si="67"/>
        <v>-2334.4953084693348</v>
      </c>
      <c r="BK47" s="52">
        <f t="shared" ca="1" si="67"/>
        <v>-2334.4953084693348</v>
      </c>
      <c r="BL47" s="52">
        <f t="shared" ca="1" si="67"/>
        <v>-2283.7454104591311</v>
      </c>
      <c r="BM47" s="52">
        <f t="shared" ca="1" si="67"/>
        <v>-2309.1203594642329</v>
      </c>
      <c r="BN47" s="52">
        <f t="shared" ca="1" si="67"/>
        <v>-2334.4953084693348</v>
      </c>
      <c r="BO47" s="52">
        <f t="shared" ca="1" si="67"/>
        <v>-2334.4953084693348</v>
      </c>
      <c r="BP47" s="52">
        <f t="shared" ca="1" si="67"/>
        <v>-2283.7454104591311</v>
      </c>
      <c r="BQ47" s="52">
        <f t="shared" ca="1" si="67"/>
        <v>-2309.1203594642329</v>
      </c>
      <c r="BR47" s="52">
        <f t="shared" ca="1" si="67"/>
        <v>-12428.582569210232</v>
      </c>
      <c r="BS47" s="52">
        <f t="shared" ca="1" si="67"/>
        <v>-12299.99547034729</v>
      </c>
      <c r="BT47" s="52">
        <f t="shared" ca="1" si="67"/>
        <v>-12006.216709992057</v>
      </c>
      <c r="BU47" s="52">
        <f t="shared" ca="1" si="67"/>
        <v>-11879.374809043717</v>
      </c>
      <c r="BV47" s="52">
        <f t="shared" ca="1" si="67"/>
        <v>-11881.681621371145</v>
      </c>
      <c r="BW47" s="52">
        <f t="shared" ca="1" si="67"/>
        <v>-11753.445853379415</v>
      </c>
      <c r="BX47" s="52">
        <f t="shared" ref="BX47:CO47" ca="1" si="68">SGA_PL</f>
        <v>-11403.645628727523</v>
      </c>
      <c r="BY47" s="52">
        <f t="shared" ca="1" si="68"/>
        <v>-11403.16338937432</v>
      </c>
      <c r="BZ47" s="52">
        <f t="shared" ca="1" si="68"/>
        <v>-11399.8857783067</v>
      </c>
      <c r="CA47" s="52">
        <f t="shared" ca="1" si="68"/>
        <v>-11271.298679443758</v>
      </c>
      <c r="CB47" s="52">
        <f t="shared" ca="1" si="68"/>
        <v>-10900.478720133406</v>
      </c>
      <c r="CC47" s="52">
        <f t="shared" ca="1" si="68"/>
        <v>-10894.405737351375</v>
      </c>
      <c r="CD47" s="52">
        <f t="shared" ca="1" si="68"/>
        <v>-10885.537382854933</v>
      </c>
      <c r="CE47" s="52">
        <f t="shared" ca="1" si="68"/>
        <v>-10756.950283991993</v>
      </c>
      <c r="CF47" s="52">
        <f t="shared" ca="1" si="68"/>
        <v>-10397.311811539286</v>
      </c>
      <c r="CG47" s="52">
        <f t="shared" ca="1" si="68"/>
        <v>-10385.648085328434</v>
      </c>
      <c r="CH47" s="52">
        <f t="shared" ca="1" si="68"/>
        <v>-10371.188987403168</v>
      </c>
      <c r="CI47" s="52">
        <f t="shared" ca="1" si="68"/>
        <v>-10242.601888540228</v>
      </c>
      <c r="CJ47" s="52">
        <f t="shared" ca="1" si="68"/>
        <v>-9976.746294818573</v>
      </c>
      <c r="CK47" s="52">
        <f t="shared" ca="1" si="68"/>
        <v>-9849.9043938702307</v>
      </c>
      <c r="CL47" s="52">
        <f t="shared" ca="1" si="68"/>
        <v>-9829.9093335034468</v>
      </c>
      <c r="CM47" s="52">
        <f t="shared" ca="1" si="68"/>
        <v>-9701.6735655117154</v>
      </c>
      <c r="CN47" s="52">
        <f t="shared" ca="1" si="68"/>
        <v>-9390.9779943510493</v>
      </c>
      <c r="CO47" s="52">
        <f t="shared" ca="1" si="68"/>
        <v>-9368.1327812825512</v>
      </c>
    </row>
    <row r="48" spans="1:93" s="133" customFormat="1" thickTop="1">
      <c r="A48" s="10"/>
      <c r="B48" s="10"/>
      <c r="C48" s="49" t="s">
        <v>742</v>
      </c>
      <c r="D48" s="136"/>
      <c r="E48" s="136"/>
      <c r="F48" s="136"/>
      <c r="G48" s="137" t="str">
        <f t="shared" si="59"/>
        <v>тыс. руб.</v>
      </c>
      <c r="H48" s="136"/>
      <c r="I48" s="23">
        <f t="shared" ca="1" si="60"/>
        <v>13099701.05342696</v>
      </c>
      <c r="J48" s="136"/>
      <c r="K48" s="136"/>
      <c r="L48" s="49">
        <f ca="1">SUM(L46:L47)</f>
        <v>0</v>
      </c>
      <c r="M48" s="49">
        <f t="shared" ref="M48:BX48" ca="1" si="69">SUM(M46:M47)</f>
        <v>0</v>
      </c>
      <c r="N48" s="49">
        <f t="shared" ca="1" si="69"/>
        <v>0</v>
      </c>
      <c r="O48" s="49">
        <f t="shared" ca="1" si="69"/>
        <v>0</v>
      </c>
      <c r="P48" s="49">
        <f t="shared" ca="1" si="69"/>
        <v>0</v>
      </c>
      <c r="Q48" s="49">
        <f t="shared" ca="1" si="69"/>
        <v>0</v>
      </c>
      <c r="R48" s="49">
        <f t="shared" ca="1" si="69"/>
        <v>0</v>
      </c>
      <c r="S48" s="49">
        <f t="shared" ca="1" si="69"/>
        <v>0</v>
      </c>
      <c r="T48" s="49">
        <f t="shared" ca="1" si="69"/>
        <v>0</v>
      </c>
      <c r="U48" s="49">
        <f t="shared" ca="1" si="69"/>
        <v>0</v>
      </c>
      <c r="V48" s="49">
        <f t="shared" ca="1" si="69"/>
        <v>0</v>
      </c>
      <c r="W48" s="49">
        <f t="shared" ca="1" si="69"/>
        <v>0</v>
      </c>
      <c r="X48" s="49">
        <f t="shared" ca="1" si="69"/>
        <v>0</v>
      </c>
      <c r="Y48" s="49">
        <f t="shared" ca="1" si="69"/>
        <v>0</v>
      </c>
      <c r="Z48" s="49">
        <f t="shared" ca="1" si="69"/>
        <v>0</v>
      </c>
      <c r="AA48" s="49">
        <f t="shared" ca="1" si="69"/>
        <v>0</v>
      </c>
      <c r="AB48" s="49">
        <f t="shared" ca="1" si="69"/>
        <v>0</v>
      </c>
      <c r="AC48" s="49">
        <f t="shared" ca="1" si="69"/>
        <v>131740.15302367153</v>
      </c>
      <c r="AD48" s="49">
        <f t="shared" ca="1" si="69"/>
        <v>268218.00660171604</v>
      </c>
      <c r="AE48" s="49">
        <f t="shared" ca="1" si="69"/>
        <v>89525.349364749418</v>
      </c>
      <c r="AF48" s="49">
        <f t="shared" ca="1" si="69"/>
        <v>79441.302001125165</v>
      </c>
      <c r="AG48" s="49">
        <f t="shared" ca="1" si="69"/>
        <v>154083.4311958972</v>
      </c>
      <c r="AH48" s="49">
        <f t="shared" ca="1" si="69"/>
        <v>312275.06650173716</v>
      </c>
      <c r="AI48" s="49">
        <f t="shared" ca="1" si="69"/>
        <v>104178.71599528316</v>
      </c>
      <c r="AJ48" s="49">
        <f t="shared" ca="1" si="69"/>
        <v>92208.466772372805</v>
      </c>
      <c r="AK48" s="49">
        <f t="shared" ca="1" si="69"/>
        <v>177999.69278448794</v>
      </c>
      <c r="AL48" s="49">
        <f t="shared" ca="1" si="69"/>
        <v>359423.80719070364</v>
      </c>
      <c r="AM48" s="49">
        <f t="shared" ca="1" si="69"/>
        <v>119857.37620478237</v>
      </c>
      <c r="AN48" s="49">
        <f t="shared" ca="1" si="69"/>
        <v>107049.52422254703</v>
      </c>
      <c r="AO48" s="49">
        <f t="shared" ca="1" si="69"/>
        <v>203586.02187296352</v>
      </c>
      <c r="AP48" s="49">
        <f t="shared" ca="1" si="69"/>
        <v>400861.41704878077</v>
      </c>
      <c r="AQ48" s="49">
        <f t="shared" ca="1" si="69"/>
        <v>130689.56482518857</v>
      </c>
      <c r="AR48" s="49">
        <f t="shared" ca="1" si="69"/>
        <v>112760.54749320001</v>
      </c>
      <c r="AS48" s="49">
        <f t="shared" ca="1" si="69"/>
        <v>211814.55312076292</v>
      </c>
      <c r="AT48" s="49">
        <f t="shared" ca="1" si="69"/>
        <v>416981.89205990784</v>
      </c>
      <c r="AU48" s="49">
        <f t="shared" ca="1" si="69"/>
        <v>136003.15857463804</v>
      </c>
      <c r="AV48" s="49">
        <f t="shared" ca="1" si="69"/>
        <v>117362.31920934645</v>
      </c>
      <c r="AW48" s="49">
        <f t="shared" ca="1" si="69"/>
        <v>165733.73900091081</v>
      </c>
      <c r="AX48" s="49">
        <f t="shared" ca="1" si="69"/>
        <v>324797.58069888502</v>
      </c>
      <c r="AY48" s="49">
        <f t="shared" ca="1" si="69"/>
        <v>106599.27155712488</v>
      </c>
      <c r="AZ48" s="49">
        <f t="shared" ca="1" si="69"/>
        <v>92119.094823030973</v>
      </c>
      <c r="BA48" s="49">
        <f t="shared" ca="1" si="69"/>
        <v>172455.45337532574</v>
      </c>
      <c r="BB48" s="49">
        <f t="shared" ca="1" si="69"/>
        <v>337882.86373917916</v>
      </c>
      <c r="BC48" s="49">
        <f t="shared" ca="1" si="69"/>
        <v>110956.62223174857</v>
      </c>
      <c r="BD48" s="49">
        <f t="shared" ca="1" si="69"/>
        <v>96967.814030086491</v>
      </c>
      <c r="BE48" s="49">
        <f t="shared" ca="1" si="69"/>
        <v>179453.14743218984</v>
      </c>
      <c r="BF48" s="49">
        <f t="shared" ca="1" si="69"/>
        <v>351498.75534222065</v>
      </c>
      <c r="BG48" s="49">
        <f t="shared" ca="1" si="69"/>
        <v>115495.47224284333</v>
      </c>
      <c r="BH48" s="49">
        <f t="shared" ca="1" si="69"/>
        <v>99822.366586083706</v>
      </c>
      <c r="BI48" s="49">
        <f t="shared" ca="1" si="69"/>
        <v>186716.24259208454</v>
      </c>
      <c r="BJ48" s="49">
        <f t="shared" ca="1" si="69"/>
        <v>365644.60023746704</v>
      </c>
      <c r="BK48" s="49">
        <f t="shared" ca="1" si="69"/>
        <v>120201.17742303037</v>
      </c>
      <c r="BL48" s="49">
        <f t="shared" ca="1" si="69"/>
        <v>103906.61106594546</v>
      </c>
      <c r="BM48" s="49">
        <f t="shared" ca="1" si="69"/>
        <v>194277.25711014643</v>
      </c>
      <c r="BN48" s="49">
        <f t="shared" ca="1" si="69"/>
        <v>380363.76405930438</v>
      </c>
      <c r="BO48" s="49">
        <f t="shared" ca="1" si="69"/>
        <v>125102.60433229042</v>
      </c>
      <c r="BP48" s="49">
        <f t="shared" ca="1" si="69"/>
        <v>108154.22532500159</v>
      </c>
      <c r="BQ48" s="49">
        <f t="shared" ca="1" si="69"/>
        <v>202140.71220893084</v>
      </c>
      <c r="BR48" s="49">
        <f t="shared" ca="1" si="69"/>
        <v>385577.60717327439</v>
      </c>
      <c r="BS48" s="49">
        <f t="shared" ca="1" si="69"/>
        <v>120234.58815604274</v>
      </c>
      <c r="BT48" s="49">
        <f t="shared" ca="1" si="69"/>
        <v>104126.37407427339</v>
      </c>
      <c r="BU48" s="49">
        <f t="shared" ca="1" si="69"/>
        <v>200749.38933012623</v>
      </c>
      <c r="BV48" s="49">
        <f t="shared" ca="1" si="69"/>
        <v>402045.71363622107</v>
      </c>
      <c r="BW48" s="49">
        <f t="shared" ca="1" si="69"/>
        <v>126083.48848230299</v>
      </c>
      <c r="BX48" s="49">
        <f t="shared" ca="1" si="69"/>
        <v>108046.06351874677</v>
      </c>
      <c r="BY48" s="49">
        <f t="shared" ref="BY48:CO48" ca="1" si="70">SUM(BY46:BY47)</f>
        <v>209729.7755166018</v>
      </c>
      <c r="BZ48" s="49">
        <f t="shared" ca="1" si="70"/>
        <v>419083.60904716462</v>
      </c>
      <c r="CA48" s="49">
        <f t="shared" ca="1" si="70"/>
        <v>132078.10697085972</v>
      </c>
      <c r="CB48" s="49">
        <f t="shared" ca="1" si="70"/>
        <v>113327.21879323981</v>
      </c>
      <c r="CC48" s="49">
        <f t="shared" ca="1" si="70"/>
        <v>219083.85072486367</v>
      </c>
      <c r="CD48" s="49">
        <f t="shared" ca="1" si="70"/>
        <v>436817.29723563528</v>
      </c>
      <c r="CE48" s="49">
        <f t="shared" ca="1" si="70"/>
        <v>138326.43159232353</v>
      </c>
      <c r="CF48" s="49">
        <f t="shared" ca="1" si="70"/>
        <v>118799.49360236892</v>
      </c>
      <c r="CG48" s="49">
        <f t="shared" ca="1" si="70"/>
        <v>228791.73863537519</v>
      </c>
      <c r="CH48" s="49">
        <f t="shared" ca="1" si="70"/>
        <v>455239.75901582639</v>
      </c>
      <c r="CI48" s="49">
        <f t="shared" ca="1" si="70"/>
        <v>144804.11526282789</v>
      </c>
      <c r="CJ48" s="49">
        <f t="shared" ca="1" si="70"/>
        <v>125881.95912913141</v>
      </c>
      <c r="CK48" s="49">
        <f t="shared" ca="1" si="70"/>
        <v>238895.67543655858</v>
      </c>
      <c r="CL48" s="49">
        <f t="shared" ca="1" si="70"/>
        <v>474406.597227094</v>
      </c>
      <c r="CM48" s="49">
        <f t="shared" ca="1" si="70"/>
        <v>151548.04395124418</v>
      </c>
      <c r="CN48" s="49">
        <f t="shared" ca="1" si="70"/>
        <v>130348.28674133205</v>
      </c>
      <c r="CO48" s="49">
        <f t="shared" ca="1" si="70"/>
        <v>249326.1286958305</v>
      </c>
    </row>
    <row r="49" spans="1:93" s="133" customFormat="1" ht="14.25">
      <c r="A49" s="10"/>
      <c r="B49" s="10"/>
      <c r="C49" s="17" t="s">
        <v>138</v>
      </c>
      <c r="D49" s="10"/>
      <c r="E49" s="10"/>
      <c r="F49" s="10"/>
      <c r="G49" s="134" t="str">
        <f t="shared" si="59"/>
        <v>тыс. руб.</v>
      </c>
      <c r="H49" s="10"/>
      <c r="I49" s="23">
        <f t="shared" ca="1" si="60"/>
        <v>0</v>
      </c>
      <c r="J49" s="10"/>
      <c r="K49" s="10"/>
      <c r="L49" s="52">
        <f t="shared" ref="L49:BW49" si="71">L50</f>
        <v>0</v>
      </c>
      <c r="M49" s="52">
        <f t="shared" ca="1" si="71"/>
        <v>0</v>
      </c>
      <c r="N49" s="52">
        <f t="shared" ca="1" si="71"/>
        <v>0</v>
      </c>
      <c r="O49" s="52">
        <f t="shared" ca="1" si="71"/>
        <v>0</v>
      </c>
      <c r="P49" s="52">
        <f t="shared" ca="1" si="71"/>
        <v>0</v>
      </c>
      <c r="Q49" s="52">
        <f t="shared" ca="1" si="71"/>
        <v>0</v>
      </c>
      <c r="R49" s="52">
        <f t="shared" ca="1" si="71"/>
        <v>0</v>
      </c>
      <c r="S49" s="52">
        <f t="shared" ca="1" si="71"/>
        <v>0</v>
      </c>
      <c r="T49" s="52">
        <f t="shared" ca="1" si="71"/>
        <v>0</v>
      </c>
      <c r="U49" s="52">
        <f t="shared" ca="1" si="71"/>
        <v>0</v>
      </c>
      <c r="V49" s="52">
        <f t="shared" ca="1" si="71"/>
        <v>0</v>
      </c>
      <c r="W49" s="52">
        <f t="shared" ca="1" si="71"/>
        <v>0</v>
      </c>
      <c r="X49" s="52">
        <f t="shared" ca="1" si="71"/>
        <v>0</v>
      </c>
      <c r="Y49" s="52">
        <f t="shared" ca="1" si="71"/>
        <v>0</v>
      </c>
      <c r="Z49" s="52">
        <f t="shared" ca="1" si="71"/>
        <v>0</v>
      </c>
      <c r="AA49" s="52">
        <f t="shared" ca="1" si="71"/>
        <v>0</v>
      </c>
      <c r="AB49" s="52">
        <f t="shared" ca="1" si="71"/>
        <v>0</v>
      </c>
      <c r="AC49" s="52">
        <f t="shared" ca="1" si="71"/>
        <v>0</v>
      </c>
      <c r="AD49" s="52">
        <f t="shared" ca="1" si="71"/>
        <v>0</v>
      </c>
      <c r="AE49" s="52">
        <f t="shared" ca="1" si="71"/>
        <v>0</v>
      </c>
      <c r="AF49" s="52">
        <f t="shared" ca="1" si="71"/>
        <v>0</v>
      </c>
      <c r="AG49" s="52">
        <f t="shared" ca="1" si="71"/>
        <v>0</v>
      </c>
      <c r="AH49" s="52">
        <f t="shared" ca="1" si="71"/>
        <v>0</v>
      </c>
      <c r="AI49" s="52">
        <f t="shared" ca="1" si="71"/>
        <v>0</v>
      </c>
      <c r="AJ49" s="52">
        <f t="shared" ca="1" si="71"/>
        <v>0</v>
      </c>
      <c r="AK49" s="52">
        <f t="shared" ca="1" si="71"/>
        <v>0</v>
      </c>
      <c r="AL49" s="52">
        <f t="shared" ca="1" si="71"/>
        <v>0</v>
      </c>
      <c r="AM49" s="52">
        <f t="shared" ca="1" si="71"/>
        <v>0</v>
      </c>
      <c r="AN49" s="52">
        <f t="shared" ca="1" si="71"/>
        <v>0</v>
      </c>
      <c r="AO49" s="52">
        <f t="shared" ca="1" si="71"/>
        <v>0</v>
      </c>
      <c r="AP49" s="52">
        <f t="shared" ca="1" si="71"/>
        <v>0</v>
      </c>
      <c r="AQ49" s="52">
        <f t="shared" ca="1" si="71"/>
        <v>0</v>
      </c>
      <c r="AR49" s="52">
        <f t="shared" ca="1" si="71"/>
        <v>0</v>
      </c>
      <c r="AS49" s="52">
        <f t="shared" ca="1" si="71"/>
        <v>0</v>
      </c>
      <c r="AT49" s="52">
        <f t="shared" ca="1" si="71"/>
        <v>0</v>
      </c>
      <c r="AU49" s="52">
        <f t="shared" ca="1" si="71"/>
        <v>0</v>
      </c>
      <c r="AV49" s="52">
        <f t="shared" ca="1" si="71"/>
        <v>0</v>
      </c>
      <c r="AW49" s="52">
        <f t="shared" ca="1" si="71"/>
        <v>0</v>
      </c>
      <c r="AX49" s="52">
        <f t="shared" ca="1" si="71"/>
        <v>0</v>
      </c>
      <c r="AY49" s="52">
        <f t="shared" ca="1" si="71"/>
        <v>0</v>
      </c>
      <c r="AZ49" s="52">
        <f t="shared" ca="1" si="71"/>
        <v>0</v>
      </c>
      <c r="BA49" s="52">
        <f t="shared" ca="1" si="71"/>
        <v>0</v>
      </c>
      <c r="BB49" s="52">
        <f t="shared" ca="1" si="71"/>
        <v>0</v>
      </c>
      <c r="BC49" s="52">
        <f t="shared" ca="1" si="71"/>
        <v>0</v>
      </c>
      <c r="BD49" s="52">
        <f t="shared" ca="1" si="71"/>
        <v>0</v>
      </c>
      <c r="BE49" s="52">
        <f t="shared" ca="1" si="71"/>
        <v>0</v>
      </c>
      <c r="BF49" s="52">
        <f t="shared" ca="1" si="71"/>
        <v>0</v>
      </c>
      <c r="BG49" s="52">
        <f t="shared" ca="1" si="71"/>
        <v>0</v>
      </c>
      <c r="BH49" s="52">
        <f t="shared" ca="1" si="71"/>
        <v>0</v>
      </c>
      <c r="BI49" s="52">
        <f t="shared" ca="1" si="71"/>
        <v>0</v>
      </c>
      <c r="BJ49" s="52">
        <f t="shared" ca="1" si="71"/>
        <v>0</v>
      </c>
      <c r="BK49" s="52">
        <f t="shared" ca="1" si="71"/>
        <v>0</v>
      </c>
      <c r="BL49" s="52">
        <f t="shared" ca="1" si="71"/>
        <v>0</v>
      </c>
      <c r="BM49" s="52">
        <f t="shared" ca="1" si="71"/>
        <v>0</v>
      </c>
      <c r="BN49" s="52">
        <f t="shared" ca="1" si="71"/>
        <v>0</v>
      </c>
      <c r="BO49" s="52">
        <f t="shared" ca="1" si="71"/>
        <v>0</v>
      </c>
      <c r="BP49" s="52">
        <f t="shared" ca="1" si="71"/>
        <v>0</v>
      </c>
      <c r="BQ49" s="52">
        <f t="shared" ca="1" si="71"/>
        <v>0</v>
      </c>
      <c r="BR49" s="52">
        <f t="shared" ca="1" si="71"/>
        <v>0</v>
      </c>
      <c r="BS49" s="52">
        <f t="shared" ca="1" si="71"/>
        <v>0</v>
      </c>
      <c r="BT49" s="52">
        <f t="shared" ca="1" si="71"/>
        <v>0</v>
      </c>
      <c r="BU49" s="52">
        <f t="shared" ca="1" si="71"/>
        <v>0</v>
      </c>
      <c r="BV49" s="52">
        <f t="shared" ca="1" si="71"/>
        <v>0</v>
      </c>
      <c r="BW49" s="52">
        <f t="shared" ca="1" si="71"/>
        <v>0</v>
      </c>
      <c r="BX49" s="52">
        <f t="shared" ref="BX49:CO49" ca="1" si="72">BX50</f>
        <v>0</v>
      </c>
      <c r="BY49" s="52">
        <f t="shared" ca="1" si="72"/>
        <v>0</v>
      </c>
      <c r="BZ49" s="52">
        <f t="shared" ca="1" si="72"/>
        <v>0</v>
      </c>
      <c r="CA49" s="52">
        <f t="shared" ca="1" si="72"/>
        <v>0</v>
      </c>
      <c r="CB49" s="52">
        <f t="shared" ca="1" si="72"/>
        <v>0</v>
      </c>
      <c r="CC49" s="52">
        <f t="shared" ca="1" si="72"/>
        <v>0</v>
      </c>
      <c r="CD49" s="52">
        <f t="shared" ca="1" si="72"/>
        <v>0</v>
      </c>
      <c r="CE49" s="52">
        <f t="shared" ca="1" si="72"/>
        <v>0</v>
      </c>
      <c r="CF49" s="52">
        <f t="shared" ca="1" si="72"/>
        <v>0</v>
      </c>
      <c r="CG49" s="52">
        <f t="shared" ca="1" si="72"/>
        <v>0</v>
      </c>
      <c r="CH49" s="52">
        <f t="shared" ca="1" si="72"/>
        <v>0</v>
      </c>
      <c r="CI49" s="52">
        <f t="shared" ca="1" si="72"/>
        <v>0</v>
      </c>
      <c r="CJ49" s="52">
        <f t="shared" ca="1" si="72"/>
        <v>0</v>
      </c>
      <c r="CK49" s="52">
        <f t="shared" ca="1" si="72"/>
        <v>0</v>
      </c>
      <c r="CL49" s="52">
        <f t="shared" ca="1" si="72"/>
        <v>0</v>
      </c>
      <c r="CM49" s="52">
        <f t="shared" ca="1" si="72"/>
        <v>0</v>
      </c>
      <c r="CN49" s="52">
        <f t="shared" ca="1" si="72"/>
        <v>0</v>
      </c>
      <c r="CO49" s="52">
        <f t="shared" ca="1" si="72"/>
        <v>0</v>
      </c>
    </row>
    <row r="50" spans="1:93" s="133" customFormat="1" ht="14.25">
      <c r="A50" s="10"/>
      <c r="B50" s="10"/>
      <c r="C50" s="138" t="s">
        <v>56</v>
      </c>
      <c r="D50" s="10"/>
      <c r="E50" s="10"/>
      <c r="F50" s="10"/>
      <c r="G50" s="134" t="str">
        <f t="shared" si="59"/>
        <v>тыс. руб.</v>
      </c>
      <c r="H50" s="10"/>
      <c r="I50" s="23">
        <f t="shared" ca="1" si="60"/>
        <v>0</v>
      </c>
      <c r="J50" s="10"/>
      <c r="K50" s="10"/>
      <c r="L50" s="52">
        <f t="shared" ref="L50:BW50" si="73">Bank_Fees*Flag_Operations</f>
        <v>0</v>
      </c>
      <c r="M50" s="52">
        <f t="shared" ca="1" si="73"/>
        <v>0</v>
      </c>
      <c r="N50" s="52">
        <f t="shared" ca="1" si="73"/>
        <v>0</v>
      </c>
      <c r="O50" s="52">
        <f t="shared" ca="1" si="73"/>
        <v>0</v>
      </c>
      <c r="P50" s="52">
        <f t="shared" ca="1" si="73"/>
        <v>0</v>
      </c>
      <c r="Q50" s="52">
        <f t="shared" ca="1" si="73"/>
        <v>0</v>
      </c>
      <c r="R50" s="52">
        <f t="shared" ca="1" si="73"/>
        <v>0</v>
      </c>
      <c r="S50" s="52">
        <f t="shared" ca="1" si="73"/>
        <v>0</v>
      </c>
      <c r="T50" s="52">
        <f t="shared" ca="1" si="73"/>
        <v>0</v>
      </c>
      <c r="U50" s="52">
        <f t="shared" ca="1" si="73"/>
        <v>0</v>
      </c>
      <c r="V50" s="52">
        <f t="shared" ca="1" si="73"/>
        <v>0</v>
      </c>
      <c r="W50" s="52">
        <f t="shared" ca="1" si="73"/>
        <v>0</v>
      </c>
      <c r="X50" s="52">
        <f t="shared" ca="1" si="73"/>
        <v>0</v>
      </c>
      <c r="Y50" s="52">
        <f t="shared" ca="1" si="73"/>
        <v>0</v>
      </c>
      <c r="Z50" s="52">
        <f t="shared" ca="1" si="73"/>
        <v>0</v>
      </c>
      <c r="AA50" s="52">
        <f t="shared" ca="1" si="73"/>
        <v>0</v>
      </c>
      <c r="AB50" s="52">
        <f t="shared" ca="1" si="73"/>
        <v>0</v>
      </c>
      <c r="AC50" s="52">
        <f t="shared" ca="1" si="73"/>
        <v>0</v>
      </c>
      <c r="AD50" s="52">
        <f t="shared" ca="1" si="73"/>
        <v>0</v>
      </c>
      <c r="AE50" s="52">
        <f t="shared" ca="1" si="73"/>
        <v>0</v>
      </c>
      <c r="AF50" s="52">
        <f t="shared" ca="1" si="73"/>
        <v>0</v>
      </c>
      <c r="AG50" s="52">
        <f t="shared" ca="1" si="73"/>
        <v>0</v>
      </c>
      <c r="AH50" s="52">
        <f t="shared" ca="1" si="73"/>
        <v>0</v>
      </c>
      <c r="AI50" s="52">
        <f t="shared" ca="1" si="73"/>
        <v>0</v>
      </c>
      <c r="AJ50" s="52">
        <f t="shared" ca="1" si="73"/>
        <v>0</v>
      </c>
      <c r="AK50" s="52">
        <f t="shared" ca="1" si="73"/>
        <v>0</v>
      </c>
      <c r="AL50" s="52">
        <f t="shared" ca="1" si="73"/>
        <v>0</v>
      </c>
      <c r="AM50" s="52">
        <f t="shared" ca="1" si="73"/>
        <v>0</v>
      </c>
      <c r="AN50" s="52">
        <f t="shared" ca="1" si="73"/>
        <v>0</v>
      </c>
      <c r="AO50" s="52">
        <f t="shared" ca="1" si="73"/>
        <v>0</v>
      </c>
      <c r="AP50" s="52">
        <f t="shared" ca="1" si="73"/>
        <v>0</v>
      </c>
      <c r="AQ50" s="52">
        <f t="shared" ca="1" si="73"/>
        <v>0</v>
      </c>
      <c r="AR50" s="52">
        <f t="shared" ca="1" si="73"/>
        <v>0</v>
      </c>
      <c r="AS50" s="52">
        <f t="shared" ca="1" si="73"/>
        <v>0</v>
      </c>
      <c r="AT50" s="52">
        <f t="shared" ca="1" si="73"/>
        <v>0</v>
      </c>
      <c r="AU50" s="52">
        <f t="shared" ca="1" si="73"/>
        <v>0</v>
      </c>
      <c r="AV50" s="52">
        <f t="shared" ca="1" si="73"/>
        <v>0</v>
      </c>
      <c r="AW50" s="52">
        <f t="shared" ca="1" si="73"/>
        <v>0</v>
      </c>
      <c r="AX50" s="52">
        <f t="shared" ca="1" si="73"/>
        <v>0</v>
      </c>
      <c r="AY50" s="52">
        <f t="shared" ca="1" si="73"/>
        <v>0</v>
      </c>
      <c r="AZ50" s="52">
        <f t="shared" ca="1" si="73"/>
        <v>0</v>
      </c>
      <c r="BA50" s="52">
        <f t="shared" ca="1" si="73"/>
        <v>0</v>
      </c>
      <c r="BB50" s="52">
        <f t="shared" ca="1" si="73"/>
        <v>0</v>
      </c>
      <c r="BC50" s="52">
        <f t="shared" ca="1" si="73"/>
        <v>0</v>
      </c>
      <c r="BD50" s="52">
        <f t="shared" ca="1" si="73"/>
        <v>0</v>
      </c>
      <c r="BE50" s="52">
        <f t="shared" ca="1" si="73"/>
        <v>0</v>
      </c>
      <c r="BF50" s="52">
        <f t="shared" ca="1" si="73"/>
        <v>0</v>
      </c>
      <c r="BG50" s="52">
        <f t="shared" ca="1" si="73"/>
        <v>0</v>
      </c>
      <c r="BH50" s="52">
        <f t="shared" ca="1" si="73"/>
        <v>0</v>
      </c>
      <c r="BI50" s="52">
        <f t="shared" ca="1" si="73"/>
        <v>0</v>
      </c>
      <c r="BJ50" s="52">
        <f t="shared" ca="1" si="73"/>
        <v>0</v>
      </c>
      <c r="BK50" s="52">
        <f t="shared" ca="1" si="73"/>
        <v>0</v>
      </c>
      <c r="BL50" s="52">
        <f t="shared" ca="1" si="73"/>
        <v>0</v>
      </c>
      <c r="BM50" s="52">
        <f t="shared" ca="1" si="73"/>
        <v>0</v>
      </c>
      <c r="BN50" s="52">
        <f t="shared" ca="1" si="73"/>
        <v>0</v>
      </c>
      <c r="BO50" s="52">
        <f t="shared" ca="1" si="73"/>
        <v>0</v>
      </c>
      <c r="BP50" s="52">
        <f t="shared" ca="1" si="73"/>
        <v>0</v>
      </c>
      <c r="BQ50" s="52">
        <f t="shared" ca="1" si="73"/>
        <v>0</v>
      </c>
      <c r="BR50" s="52">
        <f t="shared" ca="1" si="73"/>
        <v>0</v>
      </c>
      <c r="BS50" s="52">
        <f t="shared" ca="1" si="73"/>
        <v>0</v>
      </c>
      <c r="BT50" s="52">
        <f t="shared" ca="1" si="73"/>
        <v>0</v>
      </c>
      <c r="BU50" s="52">
        <f t="shared" ca="1" si="73"/>
        <v>0</v>
      </c>
      <c r="BV50" s="52">
        <f t="shared" ca="1" si="73"/>
        <v>0</v>
      </c>
      <c r="BW50" s="52">
        <f t="shared" ca="1" si="73"/>
        <v>0</v>
      </c>
      <c r="BX50" s="52">
        <f t="shared" ref="BX50:CO50" ca="1" si="74">Bank_Fees*Flag_Operations</f>
        <v>0</v>
      </c>
      <c r="BY50" s="52">
        <f t="shared" ca="1" si="74"/>
        <v>0</v>
      </c>
      <c r="BZ50" s="52">
        <f t="shared" ca="1" si="74"/>
        <v>0</v>
      </c>
      <c r="CA50" s="52">
        <f t="shared" ca="1" si="74"/>
        <v>0</v>
      </c>
      <c r="CB50" s="52">
        <f t="shared" ca="1" si="74"/>
        <v>0</v>
      </c>
      <c r="CC50" s="52">
        <f t="shared" ca="1" si="74"/>
        <v>0</v>
      </c>
      <c r="CD50" s="52">
        <f t="shared" ca="1" si="74"/>
        <v>0</v>
      </c>
      <c r="CE50" s="52">
        <f t="shared" ca="1" si="74"/>
        <v>0</v>
      </c>
      <c r="CF50" s="52">
        <f t="shared" ca="1" si="74"/>
        <v>0</v>
      </c>
      <c r="CG50" s="52">
        <f t="shared" ca="1" si="74"/>
        <v>0</v>
      </c>
      <c r="CH50" s="52">
        <f t="shared" ca="1" si="74"/>
        <v>0</v>
      </c>
      <c r="CI50" s="52">
        <f t="shared" ca="1" si="74"/>
        <v>0</v>
      </c>
      <c r="CJ50" s="52">
        <f t="shared" ca="1" si="74"/>
        <v>0</v>
      </c>
      <c r="CK50" s="52">
        <f t="shared" ca="1" si="74"/>
        <v>0</v>
      </c>
      <c r="CL50" s="52">
        <f t="shared" ca="1" si="74"/>
        <v>0</v>
      </c>
      <c r="CM50" s="52">
        <f t="shared" ca="1" si="74"/>
        <v>0</v>
      </c>
      <c r="CN50" s="52">
        <f t="shared" ca="1" si="74"/>
        <v>0</v>
      </c>
      <c r="CO50" s="52">
        <f t="shared" ca="1" si="74"/>
        <v>0</v>
      </c>
    </row>
    <row r="51" spans="1:93" s="133" customFormat="1" ht="14.25">
      <c r="A51" s="10"/>
      <c r="B51" s="10"/>
      <c r="C51" s="17" t="s">
        <v>299</v>
      </c>
      <c r="D51" s="10"/>
      <c r="E51" s="10"/>
      <c r="F51" s="10"/>
      <c r="G51" s="134" t="str">
        <f t="shared" si="59"/>
        <v>тыс. руб.</v>
      </c>
      <c r="H51" s="10"/>
      <c r="I51" s="23">
        <f t="shared" ca="1" si="60"/>
        <v>-2170284.7730902564</v>
      </c>
      <c r="J51" s="10"/>
      <c r="K51" s="10"/>
      <c r="L51" s="52">
        <f t="shared" ref="L51:BW51" ca="1" si="75">Depreciation_PL</f>
        <v>0</v>
      </c>
      <c r="M51" s="52">
        <f t="shared" ca="1" si="75"/>
        <v>0</v>
      </c>
      <c r="N51" s="52">
        <f t="shared" ca="1" si="75"/>
        <v>0</v>
      </c>
      <c r="O51" s="52">
        <f t="shared" ca="1" si="75"/>
        <v>0</v>
      </c>
      <c r="P51" s="52">
        <f t="shared" ca="1" si="75"/>
        <v>0</v>
      </c>
      <c r="Q51" s="52">
        <f t="shared" ca="1" si="75"/>
        <v>0</v>
      </c>
      <c r="R51" s="52">
        <f t="shared" ca="1" si="75"/>
        <v>0</v>
      </c>
      <c r="S51" s="52">
        <f t="shared" ca="1" si="75"/>
        <v>0</v>
      </c>
      <c r="T51" s="52">
        <f t="shared" ca="1" si="75"/>
        <v>0</v>
      </c>
      <c r="U51" s="52">
        <f t="shared" ca="1" si="75"/>
        <v>0</v>
      </c>
      <c r="V51" s="52">
        <f t="shared" ca="1" si="75"/>
        <v>0</v>
      </c>
      <c r="W51" s="52">
        <f t="shared" ca="1" si="75"/>
        <v>0</v>
      </c>
      <c r="X51" s="52">
        <f t="shared" ca="1" si="75"/>
        <v>0</v>
      </c>
      <c r="Y51" s="52">
        <f t="shared" ca="1" si="75"/>
        <v>0</v>
      </c>
      <c r="Z51" s="52">
        <f t="shared" ca="1" si="75"/>
        <v>0</v>
      </c>
      <c r="AA51" s="52">
        <f t="shared" ca="1" si="75"/>
        <v>0</v>
      </c>
      <c r="AB51" s="52">
        <f t="shared" ca="1" si="75"/>
        <v>0</v>
      </c>
      <c r="AC51" s="52">
        <f t="shared" ca="1" si="75"/>
        <v>-46867.723224708025</v>
      </c>
      <c r="AD51" s="52">
        <f t="shared" ca="1" si="75"/>
        <v>-46867.723224708025</v>
      </c>
      <c r="AE51" s="52">
        <f t="shared" ca="1" si="75"/>
        <v>-46867.723224708025</v>
      </c>
      <c r="AF51" s="52">
        <f t="shared" ca="1" si="75"/>
        <v>-46867.723224708025</v>
      </c>
      <c r="AG51" s="52">
        <f t="shared" ca="1" si="75"/>
        <v>-46867.723224708025</v>
      </c>
      <c r="AH51" s="52">
        <f t="shared" ca="1" si="75"/>
        <v>-46867.723224708025</v>
      </c>
      <c r="AI51" s="52">
        <f t="shared" ca="1" si="75"/>
        <v>-46867.723224708025</v>
      </c>
      <c r="AJ51" s="52">
        <f t="shared" ca="1" si="75"/>
        <v>-46867.723224708025</v>
      </c>
      <c r="AK51" s="52">
        <f t="shared" ca="1" si="75"/>
        <v>-46867.723224708025</v>
      </c>
      <c r="AL51" s="52">
        <f t="shared" ca="1" si="75"/>
        <v>-46867.723224708025</v>
      </c>
      <c r="AM51" s="52">
        <f t="shared" ca="1" si="75"/>
        <v>-46867.723224708025</v>
      </c>
      <c r="AN51" s="52">
        <f t="shared" ca="1" si="75"/>
        <v>-46867.723224708025</v>
      </c>
      <c r="AO51" s="52">
        <f t="shared" ca="1" si="75"/>
        <v>-46867.723224708025</v>
      </c>
      <c r="AP51" s="52">
        <f t="shared" ca="1" si="75"/>
        <v>-46867.723224708025</v>
      </c>
      <c r="AQ51" s="52">
        <f t="shared" ca="1" si="75"/>
        <v>-46867.723224708025</v>
      </c>
      <c r="AR51" s="52">
        <f t="shared" ca="1" si="75"/>
        <v>-46867.723224708025</v>
      </c>
      <c r="AS51" s="52">
        <f t="shared" ca="1" si="75"/>
        <v>-46867.723224708025</v>
      </c>
      <c r="AT51" s="52">
        <f t="shared" ca="1" si="75"/>
        <v>-46867.723224708025</v>
      </c>
      <c r="AU51" s="52">
        <f t="shared" ca="1" si="75"/>
        <v>-46867.723224708025</v>
      </c>
      <c r="AV51" s="52">
        <f t="shared" ca="1" si="75"/>
        <v>-46867.723224708025</v>
      </c>
      <c r="AW51" s="52">
        <f t="shared" ca="1" si="75"/>
        <v>-46867.723224708025</v>
      </c>
      <c r="AX51" s="52">
        <f t="shared" ca="1" si="75"/>
        <v>-46867.723224708025</v>
      </c>
      <c r="AY51" s="52">
        <f t="shared" ca="1" si="75"/>
        <v>-46867.723224708025</v>
      </c>
      <c r="AZ51" s="52">
        <f t="shared" ca="1" si="75"/>
        <v>-46867.723224708025</v>
      </c>
      <c r="BA51" s="52">
        <f t="shared" ca="1" si="75"/>
        <v>-46867.723224708025</v>
      </c>
      <c r="BB51" s="52">
        <f t="shared" ca="1" si="75"/>
        <v>-46867.723224708025</v>
      </c>
      <c r="BC51" s="52">
        <f t="shared" ca="1" si="75"/>
        <v>-46867.723224708025</v>
      </c>
      <c r="BD51" s="52">
        <f t="shared" ca="1" si="75"/>
        <v>-46867.723224708003</v>
      </c>
      <c r="BE51" s="52">
        <f t="shared" ca="1" si="75"/>
        <v>-23188.87899455224</v>
      </c>
      <c r="BF51" s="52">
        <f t="shared" ca="1" si="75"/>
        <v>-23188.87899455224</v>
      </c>
      <c r="BG51" s="52">
        <f t="shared" ca="1" si="75"/>
        <v>-23188.87899455224</v>
      </c>
      <c r="BH51" s="52">
        <f t="shared" ca="1" si="75"/>
        <v>-23188.87899455224</v>
      </c>
      <c r="BI51" s="52">
        <f t="shared" ca="1" si="75"/>
        <v>-23188.87899455224</v>
      </c>
      <c r="BJ51" s="52">
        <f t="shared" ca="1" si="75"/>
        <v>-23188.87899455224</v>
      </c>
      <c r="BK51" s="52">
        <f t="shared" ca="1" si="75"/>
        <v>-23188.87899455224</v>
      </c>
      <c r="BL51" s="52">
        <f t="shared" ca="1" si="75"/>
        <v>-23188.87899455224</v>
      </c>
      <c r="BM51" s="52">
        <f t="shared" ca="1" si="75"/>
        <v>-23188.87899455224</v>
      </c>
      <c r="BN51" s="52">
        <f t="shared" ca="1" si="75"/>
        <v>-23188.87899455224</v>
      </c>
      <c r="BO51" s="52">
        <f t="shared" ca="1" si="75"/>
        <v>-23188.87899455224</v>
      </c>
      <c r="BP51" s="52">
        <f t="shared" ca="1" si="75"/>
        <v>-23188.87899455224</v>
      </c>
      <c r="BQ51" s="52">
        <f t="shared" ca="1" si="75"/>
        <v>-23188.87899455224</v>
      </c>
      <c r="BR51" s="52">
        <f t="shared" ca="1" si="75"/>
        <v>-23188.87899455224</v>
      </c>
      <c r="BS51" s="52">
        <f t="shared" ca="1" si="75"/>
        <v>-23188.87899455224</v>
      </c>
      <c r="BT51" s="52">
        <f t="shared" ca="1" si="75"/>
        <v>-23188.87899455224</v>
      </c>
      <c r="BU51" s="52">
        <f t="shared" ca="1" si="75"/>
        <v>-23188.87899455224</v>
      </c>
      <c r="BV51" s="52">
        <f t="shared" ca="1" si="75"/>
        <v>-23188.87899455224</v>
      </c>
      <c r="BW51" s="52">
        <f t="shared" ca="1" si="75"/>
        <v>-23188.87899455224</v>
      </c>
      <c r="BX51" s="52">
        <f t="shared" ref="BX51:CO51" ca="1" si="76">Depreciation_PL</f>
        <v>-23188.87899455224</v>
      </c>
      <c r="BY51" s="52">
        <f t="shared" ca="1" si="76"/>
        <v>-23188.87899455224</v>
      </c>
      <c r="BZ51" s="52">
        <f t="shared" ca="1" si="76"/>
        <v>-23188.87899455224</v>
      </c>
      <c r="CA51" s="52">
        <f t="shared" ca="1" si="76"/>
        <v>-23188.87899455224</v>
      </c>
      <c r="CB51" s="52">
        <f t="shared" ca="1" si="76"/>
        <v>-23188.87899455224</v>
      </c>
      <c r="CC51" s="52">
        <f t="shared" ca="1" si="76"/>
        <v>-23188.87899455224</v>
      </c>
      <c r="CD51" s="52">
        <f t="shared" ca="1" si="76"/>
        <v>-23188.87899455224</v>
      </c>
      <c r="CE51" s="52">
        <f t="shared" ca="1" si="76"/>
        <v>-23188.87899455224</v>
      </c>
      <c r="CF51" s="52">
        <f t="shared" ca="1" si="76"/>
        <v>-23188.87899455224</v>
      </c>
      <c r="CG51" s="52">
        <f t="shared" ca="1" si="76"/>
        <v>-23188.87899455224</v>
      </c>
      <c r="CH51" s="52">
        <f t="shared" ca="1" si="76"/>
        <v>-23188.87899455224</v>
      </c>
      <c r="CI51" s="52">
        <f t="shared" ca="1" si="76"/>
        <v>-23188.87899455224</v>
      </c>
      <c r="CJ51" s="52">
        <f t="shared" ca="1" si="76"/>
        <v>-23188.87899455224</v>
      </c>
      <c r="CK51" s="52">
        <f t="shared" ca="1" si="76"/>
        <v>-23188.87899455224</v>
      </c>
      <c r="CL51" s="52">
        <f t="shared" ca="1" si="76"/>
        <v>-23188.87899455224</v>
      </c>
      <c r="CM51" s="52">
        <f t="shared" ca="1" si="76"/>
        <v>-23188.87899455224</v>
      </c>
      <c r="CN51" s="52">
        <f t="shared" ca="1" si="76"/>
        <v>-23188.87899455224</v>
      </c>
      <c r="CO51" s="52">
        <f t="shared" ca="1" si="76"/>
        <v>-23188.87899455224</v>
      </c>
    </row>
    <row r="52" spans="1:93" s="133" customFormat="1" ht="14.25">
      <c r="A52" s="10"/>
      <c r="B52" s="10"/>
      <c r="C52" s="17" t="s">
        <v>137</v>
      </c>
      <c r="D52" s="10"/>
      <c r="E52" s="10"/>
      <c r="F52" s="10"/>
      <c r="G52" s="134" t="str">
        <f t="shared" si="59"/>
        <v>тыс. руб.</v>
      </c>
      <c r="H52" s="10"/>
      <c r="I52" s="23">
        <f t="shared" ref="I52:I59" ca="1" si="77">SUM(L52:CQ52)</f>
        <v>-755727.6701774234</v>
      </c>
      <c r="J52" s="10"/>
      <c r="K52" s="10"/>
      <c r="L52" s="52">
        <f>SUM(L53:L54)</f>
        <v>0</v>
      </c>
      <c r="M52" s="52">
        <f t="shared" ref="M52:BX52" ca="1" si="78">SUM(M53:M54)</f>
        <v>0</v>
      </c>
      <c r="N52" s="52">
        <f t="shared" ca="1" si="78"/>
        <v>0</v>
      </c>
      <c r="O52" s="52">
        <f t="shared" ca="1" si="78"/>
        <v>0</v>
      </c>
      <c r="P52" s="52">
        <f t="shared" ca="1" si="78"/>
        <v>0</v>
      </c>
      <c r="Q52" s="52">
        <f t="shared" ca="1" si="78"/>
        <v>0</v>
      </c>
      <c r="R52" s="52">
        <f t="shared" ca="1" si="78"/>
        <v>0</v>
      </c>
      <c r="S52" s="52">
        <f t="shared" ca="1" si="78"/>
        <v>0</v>
      </c>
      <c r="T52" s="52">
        <f t="shared" ca="1" si="78"/>
        <v>0</v>
      </c>
      <c r="U52" s="52">
        <f t="shared" ca="1" si="78"/>
        <v>0</v>
      </c>
      <c r="V52" s="52">
        <f t="shared" ca="1" si="78"/>
        <v>0</v>
      </c>
      <c r="W52" s="52">
        <f t="shared" ca="1" si="78"/>
        <v>0</v>
      </c>
      <c r="X52" s="52">
        <f t="shared" ca="1" si="78"/>
        <v>0</v>
      </c>
      <c r="Y52" s="52">
        <f t="shared" ca="1" si="78"/>
        <v>0</v>
      </c>
      <c r="Z52" s="52">
        <f t="shared" ca="1" si="78"/>
        <v>0</v>
      </c>
      <c r="AA52" s="52">
        <f t="shared" ca="1" si="78"/>
        <v>0</v>
      </c>
      <c r="AB52" s="52">
        <f t="shared" ca="1" si="78"/>
        <v>0</v>
      </c>
      <c r="AC52" s="52">
        <f t="shared" ca="1" si="78"/>
        <v>-63851.932321935747</v>
      </c>
      <c r="AD52" s="52">
        <f t="shared" ca="1" si="78"/>
        <v>-56282.360965739936</v>
      </c>
      <c r="AE52" s="52">
        <f t="shared" ca="1" si="78"/>
        <v>-52528.873326990695</v>
      </c>
      <c r="AF52" s="52">
        <f t="shared" ca="1" si="78"/>
        <v>-49525.29253061187</v>
      </c>
      <c r="AG52" s="52">
        <f t="shared" ca="1" si="78"/>
        <v>-49487.605990261152</v>
      </c>
      <c r="AH52" s="52">
        <f t="shared" ca="1" si="78"/>
        <v>-49244.769232003404</v>
      </c>
      <c r="AI52" s="52">
        <f t="shared" ca="1" si="78"/>
        <v>-46650.741888505494</v>
      </c>
      <c r="AJ52" s="52">
        <f t="shared" ca="1" si="78"/>
        <v>-43192.754249978192</v>
      </c>
      <c r="AK52" s="52">
        <f t="shared" ca="1" si="78"/>
        <v>-42710.649813419077</v>
      </c>
      <c r="AL52" s="52">
        <f t="shared" ca="1" si="78"/>
        <v>-41984.566298561003</v>
      </c>
      <c r="AM52" s="52">
        <f t="shared" ca="1" si="78"/>
        <v>-38705.30254102785</v>
      </c>
      <c r="AN52" s="52">
        <f t="shared" ca="1" si="78"/>
        <v>-35053.19459318927</v>
      </c>
      <c r="AO52" s="52">
        <f t="shared" ca="1" si="78"/>
        <v>-33649.882509498566</v>
      </c>
      <c r="AP52" s="52">
        <f t="shared" ca="1" si="78"/>
        <v>-32352.675101917113</v>
      </c>
      <c r="AQ52" s="52">
        <f t="shared" ca="1" si="78"/>
        <v>-28373.563211989094</v>
      </c>
      <c r="AR52" s="52">
        <f t="shared" ca="1" si="78"/>
        <v>-24107.145951140985</v>
      </c>
      <c r="AS52" s="52">
        <f t="shared" ca="1" si="78"/>
        <v>-22603.838415580998</v>
      </c>
      <c r="AT52" s="52">
        <f t="shared" ca="1" si="78"/>
        <v>-20879.351467116099</v>
      </c>
      <c r="AU52" s="52">
        <f t="shared" ca="1" si="78"/>
        <v>-15600.088032265026</v>
      </c>
      <c r="AV52" s="52">
        <f t="shared" ca="1" si="78"/>
        <v>-6768.903048696302</v>
      </c>
      <c r="AW52" s="52">
        <f t="shared" ca="1" si="78"/>
        <v>-2174.1786869951966</v>
      </c>
      <c r="AX52" s="52">
        <f t="shared" ca="1" si="78"/>
        <v>0</v>
      </c>
      <c r="AY52" s="52">
        <f t="shared" ca="1" si="78"/>
        <v>0</v>
      </c>
      <c r="AZ52" s="52">
        <f t="shared" ca="1" si="78"/>
        <v>0</v>
      </c>
      <c r="BA52" s="52">
        <f t="shared" ca="1" si="78"/>
        <v>0</v>
      </c>
      <c r="BB52" s="52">
        <f t="shared" ca="1" si="78"/>
        <v>0</v>
      </c>
      <c r="BC52" s="52">
        <f t="shared" ca="1" si="78"/>
        <v>0</v>
      </c>
      <c r="BD52" s="52">
        <f t="shared" ca="1" si="78"/>
        <v>0</v>
      </c>
      <c r="BE52" s="52">
        <f t="shared" ca="1" si="78"/>
        <v>0</v>
      </c>
      <c r="BF52" s="52">
        <f t="shared" ca="1" si="78"/>
        <v>0</v>
      </c>
      <c r="BG52" s="52">
        <f t="shared" ca="1" si="78"/>
        <v>0</v>
      </c>
      <c r="BH52" s="52">
        <f t="shared" ca="1" si="78"/>
        <v>0</v>
      </c>
      <c r="BI52" s="52">
        <f t="shared" ca="1" si="78"/>
        <v>0</v>
      </c>
      <c r="BJ52" s="52">
        <f t="shared" ca="1" si="78"/>
        <v>0</v>
      </c>
      <c r="BK52" s="52">
        <f t="shared" ca="1" si="78"/>
        <v>0</v>
      </c>
      <c r="BL52" s="52">
        <f t="shared" ca="1" si="78"/>
        <v>0</v>
      </c>
      <c r="BM52" s="52">
        <f t="shared" ca="1" si="78"/>
        <v>0</v>
      </c>
      <c r="BN52" s="52">
        <f t="shared" ca="1" si="78"/>
        <v>0</v>
      </c>
      <c r="BO52" s="52">
        <f t="shared" ca="1" si="78"/>
        <v>0</v>
      </c>
      <c r="BP52" s="52">
        <f t="shared" ca="1" si="78"/>
        <v>0</v>
      </c>
      <c r="BQ52" s="52">
        <f t="shared" ca="1" si="78"/>
        <v>0</v>
      </c>
      <c r="BR52" s="52">
        <f t="shared" ca="1" si="78"/>
        <v>0</v>
      </c>
      <c r="BS52" s="52">
        <f t="shared" ca="1" si="78"/>
        <v>0</v>
      </c>
      <c r="BT52" s="52">
        <f t="shared" ca="1" si="78"/>
        <v>0</v>
      </c>
      <c r="BU52" s="52">
        <f t="shared" ca="1" si="78"/>
        <v>0</v>
      </c>
      <c r="BV52" s="52">
        <f t="shared" ca="1" si="78"/>
        <v>0</v>
      </c>
      <c r="BW52" s="52">
        <f t="shared" ca="1" si="78"/>
        <v>0</v>
      </c>
      <c r="BX52" s="52">
        <f t="shared" ca="1" si="78"/>
        <v>0</v>
      </c>
      <c r="BY52" s="52">
        <f t="shared" ref="BY52:CO52" ca="1" si="79">SUM(BY53:BY54)</f>
        <v>0</v>
      </c>
      <c r="BZ52" s="52">
        <f t="shared" ca="1" si="79"/>
        <v>0</v>
      </c>
      <c r="CA52" s="52">
        <f t="shared" ca="1" si="79"/>
        <v>0</v>
      </c>
      <c r="CB52" s="52">
        <f t="shared" ca="1" si="79"/>
        <v>0</v>
      </c>
      <c r="CC52" s="52">
        <f t="shared" ca="1" si="79"/>
        <v>0</v>
      </c>
      <c r="CD52" s="52">
        <f t="shared" ca="1" si="79"/>
        <v>0</v>
      </c>
      <c r="CE52" s="52">
        <f t="shared" ca="1" si="79"/>
        <v>0</v>
      </c>
      <c r="CF52" s="52">
        <f t="shared" ca="1" si="79"/>
        <v>0</v>
      </c>
      <c r="CG52" s="52">
        <f t="shared" ca="1" si="79"/>
        <v>0</v>
      </c>
      <c r="CH52" s="52">
        <f t="shared" ca="1" si="79"/>
        <v>0</v>
      </c>
      <c r="CI52" s="52">
        <f t="shared" ca="1" si="79"/>
        <v>0</v>
      </c>
      <c r="CJ52" s="52">
        <f t="shared" ca="1" si="79"/>
        <v>0</v>
      </c>
      <c r="CK52" s="52">
        <f t="shared" ca="1" si="79"/>
        <v>0</v>
      </c>
      <c r="CL52" s="52">
        <f t="shared" ca="1" si="79"/>
        <v>0</v>
      </c>
      <c r="CM52" s="52">
        <f t="shared" ca="1" si="79"/>
        <v>0</v>
      </c>
      <c r="CN52" s="52">
        <f t="shared" ca="1" si="79"/>
        <v>0</v>
      </c>
      <c r="CO52" s="52">
        <f t="shared" ca="1" si="79"/>
        <v>0</v>
      </c>
    </row>
    <row r="53" spans="1:93" s="133" customFormat="1" ht="14.25">
      <c r="A53" s="10"/>
      <c r="B53" s="10"/>
      <c r="C53" s="138" t="s">
        <v>540</v>
      </c>
      <c r="D53" s="10"/>
      <c r="E53" s="10"/>
      <c r="F53" s="10"/>
      <c r="G53" s="134" t="str">
        <f t="shared" si="59"/>
        <v>тыс. руб.</v>
      </c>
      <c r="H53" s="10"/>
      <c r="I53" s="23">
        <f t="shared" ca="1" si="77"/>
        <v>-348972.14176435355</v>
      </c>
      <c r="J53" s="10"/>
      <c r="K53" s="10"/>
      <c r="L53" s="52">
        <f t="shared" ref="L53:BW53" si="80">Debt_Interest_PL</f>
        <v>0</v>
      </c>
      <c r="M53" s="52">
        <f t="shared" ca="1" si="80"/>
        <v>0</v>
      </c>
      <c r="N53" s="52">
        <f t="shared" ca="1" si="80"/>
        <v>0</v>
      </c>
      <c r="O53" s="52">
        <f t="shared" ca="1" si="80"/>
        <v>0</v>
      </c>
      <c r="P53" s="52">
        <f t="shared" ca="1" si="80"/>
        <v>0</v>
      </c>
      <c r="Q53" s="52">
        <f t="shared" ca="1" si="80"/>
        <v>0</v>
      </c>
      <c r="R53" s="52">
        <f t="shared" ca="1" si="80"/>
        <v>0</v>
      </c>
      <c r="S53" s="52">
        <f t="shared" ca="1" si="80"/>
        <v>0</v>
      </c>
      <c r="T53" s="52">
        <f t="shared" ca="1" si="80"/>
        <v>0</v>
      </c>
      <c r="U53" s="52">
        <f t="shared" ca="1" si="80"/>
        <v>0</v>
      </c>
      <c r="V53" s="52">
        <f t="shared" ca="1" si="80"/>
        <v>0</v>
      </c>
      <c r="W53" s="52">
        <f t="shared" ca="1" si="80"/>
        <v>0</v>
      </c>
      <c r="X53" s="52">
        <f t="shared" ca="1" si="80"/>
        <v>0</v>
      </c>
      <c r="Y53" s="52">
        <f t="shared" ca="1" si="80"/>
        <v>0</v>
      </c>
      <c r="Z53" s="52">
        <f t="shared" ca="1" si="80"/>
        <v>0</v>
      </c>
      <c r="AA53" s="52">
        <f t="shared" ca="1" si="80"/>
        <v>0</v>
      </c>
      <c r="AB53" s="52">
        <f t="shared" ca="1" si="80"/>
        <v>0</v>
      </c>
      <c r="AC53" s="52">
        <f t="shared" ca="1" si="80"/>
        <v>-38354.581535515288</v>
      </c>
      <c r="AD53" s="52">
        <f t="shared" ca="1" si="80"/>
        <v>-32803.703361364605</v>
      </c>
      <c r="AE53" s="52">
        <f t="shared" ca="1" si="80"/>
        <v>-29891.359146755047</v>
      </c>
      <c r="AF53" s="52">
        <f t="shared" ca="1" si="80"/>
        <v>-27616.105945096959</v>
      </c>
      <c r="AG53" s="52">
        <f t="shared" ca="1" si="80"/>
        <v>-27156.393128187661</v>
      </c>
      <c r="AH53" s="52">
        <f t="shared" ca="1" si="80"/>
        <v>-26538.750611260843</v>
      </c>
      <c r="AI53" s="52">
        <f t="shared" ca="1" si="80"/>
        <v>-24395.411155234164</v>
      </c>
      <c r="AJ53" s="52">
        <f t="shared" ca="1" si="80"/>
        <v>-21831.922145464901</v>
      </c>
      <c r="AK53" s="52">
        <f t="shared" ca="1" si="80"/>
        <v>-21042.52524153925</v>
      </c>
      <c r="AL53" s="52">
        <f t="shared" ca="1" si="80"/>
        <v>-20069.891622505023</v>
      </c>
      <c r="AM53" s="52">
        <f t="shared" ca="1" si="80"/>
        <v>-17454.073787044064</v>
      </c>
      <c r="AN53" s="52">
        <f t="shared" ca="1" si="80"/>
        <v>-14712.666046453658</v>
      </c>
      <c r="AO53" s="52">
        <f t="shared" ca="1" si="80"/>
        <v>-13375.764703781109</v>
      </c>
      <c r="AP53" s="52">
        <f t="shared" ca="1" si="80"/>
        <v>-11999.563981574278</v>
      </c>
      <c r="AQ53" s="52">
        <f t="shared" ca="1" si="80"/>
        <v>-8912.8602572211221</v>
      </c>
      <c r="AR53" s="52">
        <f t="shared" ca="1" si="80"/>
        <v>-5840.770680695141</v>
      </c>
      <c r="AS53" s="52">
        <f t="shared" ca="1" si="80"/>
        <v>-4327.01356872835</v>
      </c>
      <c r="AT53" s="52">
        <f t="shared" ca="1" si="80"/>
        <v>-2648.7848459321053</v>
      </c>
      <c r="AU53" s="52">
        <f t="shared" ca="1" si="80"/>
        <v>0</v>
      </c>
      <c r="AV53" s="52">
        <f t="shared" ca="1" si="80"/>
        <v>0</v>
      </c>
      <c r="AW53" s="52">
        <f t="shared" ca="1" si="80"/>
        <v>0</v>
      </c>
      <c r="AX53" s="52">
        <f t="shared" ca="1" si="80"/>
        <v>0</v>
      </c>
      <c r="AY53" s="52">
        <f t="shared" ca="1" si="80"/>
        <v>0</v>
      </c>
      <c r="AZ53" s="52">
        <f t="shared" ca="1" si="80"/>
        <v>0</v>
      </c>
      <c r="BA53" s="52">
        <f t="shared" ca="1" si="80"/>
        <v>0</v>
      </c>
      <c r="BB53" s="52">
        <f t="shared" ca="1" si="80"/>
        <v>0</v>
      </c>
      <c r="BC53" s="52">
        <f t="shared" ca="1" si="80"/>
        <v>0</v>
      </c>
      <c r="BD53" s="52">
        <f t="shared" ca="1" si="80"/>
        <v>0</v>
      </c>
      <c r="BE53" s="52">
        <f t="shared" ca="1" si="80"/>
        <v>0</v>
      </c>
      <c r="BF53" s="52">
        <f t="shared" ca="1" si="80"/>
        <v>0</v>
      </c>
      <c r="BG53" s="52">
        <f t="shared" ca="1" si="80"/>
        <v>0</v>
      </c>
      <c r="BH53" s="52">
        <f t="shared" ca="1" si="80"/>
        <v>0</v>
      </c>
      <c r="BI53" s="52">
        <f t="shared" ca="1" si="80"/>
        <v>0</v>
      </c>
      <c r="BJ53" s="52">
        <f t="shared" ca="1" si="80"/>
        <v>0</v>
      </c>
      <c r="BK53" s="52">
        <f t="shared" ca="1" si="80"/>
        <v>0</v>
      </c>
      <c r="BL53" s="52">
        <f t="shared" ca="1" si="80"/>
        <v>0</v>
      </c>
      <c r="BM53" s="52">
        <f t="shared" ca="1" si="80"/>
        <v>0</v>
      </c>
      <c r="BN53" s="52">
        <f t="shared" ca="1" si="80"/>
        <v>0</v>
      </c>
      <c r="BO53" s="52">
        <f t="shared" ca="1" si="80"/>
        <v>0</v>
      </c>
      <c r="BP53" s="52">
        <f t="shared" ca="1" si="80"/>
        <v>0</v>
      </c>
      <c r="BQ53" s="52">
        <f t="shared" ca="1" si="80"/>
        <v>0</v>
      </c>
      <c r="BR53" s="52">
        <f t="shared" ca="1" si="80"/>
        <v>0</v>
      </c>
      <c r="BS53" s="52">
        <f t="shared" ca="1" si="80"/>
        <v>0</v>
      </c>
      <c r="BT53" s="52">
        <f t="shared" ca="1" si="80"/>
        <v>0</v>
      </c>
      <c r="BU53" s="52">
        <f t="shared" ca="1" si="80"/>
        <v>0</v>
      </c>
      <c r="BV53" s="52">
        <f t="shared" ca="1" si="80"/>
        <v>0</v>
      </c>
      <c r="BW53" s="52">
        <f t="shared" ca="1" si="80"/>
        <v>0</v>
      </c>
      <c r="BX53" s="52">
        <f t="shared" ref="BX53:CO53" ca="1" si="81">Debt_Interest_PL</f>
        <v>0</v>
      </c>
      <c r="BY53" s="52">
        <f t="shared" ca="1" si="81"/>
        <v>0</v>
      </c>
      <c r="BZ53" s="52">
        <f t="shared" ca="1" si="81"/>
        <v>0</v>
      </c>
      <c r="CA53" s="52">
        <f t="shared" ca="1" si="81"/>
        <v>0</v>
      </c>
      <c r="CB53" s="52">
        <f t="shared" ca="1" si="81"/>
        <v>0</v>
      </c>
      <c r="CC53" s="52">
        <f t="shared" ca="1" si="81"/>
        <v>0</v>
      </c>
      <c r="CD53" s="52">
        <f t="shared" ca="1" si="81"/>
        <v>0</v>
      </c>
      <c r="CE53" s="52">
        <f t="shared" ca="1" si="81"/>
        <v>0</v>
      </c>
      <c r="CF53" s="52">
        <f t="shared" ca="1" si="81"/>
        <v>0</v>
      </c>
      <c r="CG53" s="52">
        <f t="shared" ca="1" si="81"/>
        <v>0</v>
      </c>
      <c r="CH53" s="52">
        <f t="shared" ca="1" si="81"/>
        <v>0</v>
      </c>
      <c r="CI53" s="52">
        <f t="shared" ca="1" si="81"/>
        <v>0</v>
      </c>
      <c r="CJ53" s="52">
        <f t="shared" ca="1" si="81"/>
        <v>0</v>
      </c>
      <c r="CK53" s="52">
        <f t="shared" ca="1" si="81"/>
        <v>0</v>
      </c>
      <c r="CL53" s="52">
        <f t="shared" ca="1" si="81"/>
        <v>0</v>
      </c>
      <c r="CM53" s="52">
        <f t="shared" ca="1" si="81"/>
        <v>0</v>
      </c>
      <c r="CN53" s="52">
        <f t="shared" ca="1" si="81"/>
        <v>0</v>
      </c>
      <c r="CO53" s="52">
        <f t="shared" ca="1" si="81"/>
        <v>0</v>
      </c>
    </row>
    <row r="54" spans="1:93" s="133" customFormat="1" thickBot="1">
      <c r="A54" s="10"/>
      <c r="B54" s="10"/>
      <c r="C54" s="138" t="s">
        <v>554</v>
      </c>
      <c r="D54" s="10"/>
      <c r="E54" s="10"/>
      <c r="F54" s="10"/>
      <c r="G54" s="134" t="str">
        <f t="shared" si="59"/>
        <v>тыс. руб.</v>
      </c>
      <c r="H54" s="10"/>
      <c r="I54" s="23">
        <f t="shared" si="77"/>
        <v>-406755.52841306943</v>
      </c>
      <c r="J54" s="10"/>
      <c r="K54" s="10"/>
      <c r="L54" s="52">
        <f t="shared" ref="L54:BW54" si="82">-(Subord_Interest_Accrued) * (Flag_Operations)</f>
        <v>0</v>
      </c>
      <c r="M54" s="52">
        <f t="shared" si="82"/>
        <v>0</v>
      </c>
      <c r="N54" s="52">
        <f t="shared" si="82"/>
        <v>0</v>
      </c>
      <c r="O54" s="52">
        <f t="shared" si="82"/>
        <v>0</v>
      </c>
      <c r="P54" s="52">
        <f t="shared" si="82"/>
        <v>0</v>
      </c>
      <c r="Q54" s="52">
        <f t="shared" si="82"/>
        <v>0</v>
      </c>
      <c r="R54" s="52">
        <f t="shared" si="82"/>
        <v>0</v>
      </c>
      <c r="S54" s="52">
        <f t="shared" si="82"/>
        <v>0</v>
      </c>
      <c r="T54" s="52">
        <f t="shared" si="82"/>
        <v>0</v>
      </c>
      <c r="U54" s="52">
        <f t="shared" si="82"/>
        <v>0</v>
      </c>
      <c r="V54" s="52">
        <f t="shared" si="82"/>
        <v>0</v>
      </c>
      <c r="W54" s="52">
        <f t="shared" si="82"/>
        <v>0</v>
      </c>
      <c r="X54" s="52">
        <f t="shared" si="82"/>
        <v>0</v>
      </c>
      <c r="Y54" s="52">
        <f t="shared" si="82"/>
        <v>0</v>
      </c>
      <c r="Z54" s="52">
        <f t="shared" si="82"/>
        <v>0</v>
      </c>
      <c r="AA54" s="52">
        <f t="shared" si="82"/>
        <v>0</v>
      </c>
      <c r="AB54" s="52">
        <f t="shared" si="82"/>
        <v>0</v>
      </c>
      <c r="AC54" s="52">
        <f t="shared" si="82"/>
        <v>-25497.350786420462</v>
      </c>
      <c r="AD54" s="52">
        <f t="shared" si="82"/>
        <v>-23478.65760437533</v>
      </c>
      <c r="AE54" s="52">
        <f t="shared" si="82"/>
        <v>-22637.514180235645</v>
      </c>
      <c r="AF54" s="52">
        <f t="shared" si="82"/>
        <v>-21909.186585514912</v>
      </c>
      <c r="AG54" s="52">
        <f t="shared" si="82"/>
        <v>-22331.212862073491</v>
      </c>
      <c r="AH54" s="52">
        <f t="shared" si="82"/>
        <v>-22706.018620742561</v>
      </c>
      <c r="AI54" s="52">
        <f t="shared" si="82"/>
        <v>-22255.330733271327</v>
      </c>
      <c r="AJ54" s="52">
        <f t="shared" si="82"/>
        <v>-21360.832104513291</v>
      </c>
      <c r="AK54" s="52">
        <f t="shared" si="82"/>
        <v>-21668.124571879831</v>
      </c>
      <c r="AL54" s="52">
        <f t="shared" si="82"/>
        <v>-21914.67467605598</v>
      </c>
      <c r="AM54" s="52">
        <f t="shared" si="82"/>
        <v>-21251.228753983789</v>
      </c>
      <c r="AN54" s="52">
        <f t="shared" si="82"/>
        <v>-20340.528546735615</v>
      </c>
      <c r="AO54" s="52">
        <f t="shared" si="82"/>
        <v>-20274.117805717458</v>
      </c>
      <c r="AP54" s="52">
        <f t="shared" si="82"/>
        <v>-20353.111120342837</v>
      </c>
      <c r="AQ54" s="52">
        <f t="shared" si="82"/>
        <v>-19460.702954767974</v>
      </c>
      <c r="AR54" s="52">
        <f t="shared" si="82"/>
        <v>-18266.375270445842</v>
      </c>
      <c r="AS54" s="52">
        <f t="shared" si="82"/>
        <v>-18276.824846852647</v>
      </c>
      <c r="AT54" s="52">
        <f t="shared" si="82"/>
        <v>-18230.566621183993</v>
      </c>
      <c r="AU54" s="52">
        <f t="shared" si="82"/>
        <v>-15600.088032265026</v>
      </c>
      <c r="AV54" s="52">
        <f t="shared" si="82"/>
        <v>-6768.903048696302</v>
      </c>
      <c r="AW54" s="52">
        <f t="shared" si="82"/>
        <v>-2174.1786869951966</v>
      </c>
      <c r="AX54" s="52">
        <f t="shared" si="82"/>
        <v>0</v>
      </c>
      <c r="AY54" s="52">
        <f t="shared" si="82"/>
        <v>0</v>
      </c>
      <c r="AZ54" s="52">
        <f t="shared" si="82"/>
        <v>0</v>
      </c>
      <c r="BA54" s="52">
        <f t="shared" si="82"/>
        <v>0</v>
      </c>
      <c r="BB54" s="52">
        <f t="shared" si="82"/>
        <v>0</v>
      </c>
      <c r="BC54" s="52">
        <f t="shared" si="82"/>
        <v>0</v>
      </c>
      <c r="BD54" s="52">
        <f t="shared" si="82"/>
        <v>0</v>
      </c>
      <c r="BE54" s="52">
        <f t="shared" si="82"/>
        <v>0</v>
      </c>
      <c r="BF54" s="52">
        <f t="shared" si="82"/>
        <v>0</v>
      </c>
      <c r="BG54" s="52">
        <f t="shared" si="82"/>
        <v>0</v>
      </c>
      <c r="BH54" s="52">
        <f t="shared" si="82"/>
        <v>0</v>
      </c>
      <c r="BI54" s="52">
        <f t="shared" si="82"/>
        <v>0</v>
      </c>
      <c r="BJ54" s="52">
        <f t="shared" si="82"/>
        <v>0</v>
      </c>
      <c r="BK54" s="52">
        <f t="shared" si="82"/>
        <v>0</v>
      </c>
      <c r="BL54" s="52">
        <f t="shared" si="82"/>
        <v>0</v>
      </c>
      <c r="BM54" s="52">
        <f t="shared" si="82"/>
        <v>0</v>
      </c>
      <c r="BN54" s="52">
        <f t="shared" si="82"/>
        <v>0</v>
      </c>
      <c r="BO54" s="52">
        <f t="shared" si="82"/>
        <v>0</v>
      </c>
      <c r="BP54" s="52">
        <f t="shared" si="82"/>
        <v>0</v>
      </c>
      <c r="BQ54" s="52">
        <f t="shared" si="82"/>
        <v>0</v>
      </c>
      <c r="BR54" s="52">
        <f t="shared" si="82"/>
        <v>0</v>
      </c>
      <c r="BS54" s="52">
        <f t="shared" si="82"/>
        <v>0</v>
      </c>
      <c r="BT54" s="52">
        <f t="shared" si="82"/>
        <v>0</v>
      </c>
      <c r="BU54" s="52">
        <f t="shared" si="82"/>
        <v>0</v>
      </c>
      <c r="BV54" s="52">
        <f t="shared" si="82"/>
        <v>0</v>
      </c>
      <c r="BW54" s="52">
        <f t="shared" si="82"/>
        <v>0</v>
      </c>
      <c r="BX54" s="52">
        <f t="shared" ref="BX54:CO54" si="83">-(Subord_Interest_Accrued) * (Flag_Operations)</f>
        <v>0</v>
      </c>
      <c r="BY54" s="52">
        <f t="shared" si="83"/>
        <v>0</v>
      </c>
      <c r="BZ54" s="52">
        <f t="shared" si="83"/>
        <v>0</v>
      </c>
      <c r="CA54" s="52">
        <f t="shared" si="83"/>
        <v>0</v>
      </c>
      <c r="CB54" s="52">
        <f t="shared" si="83"/>
        <v>0</v>
      </c>
      <c r="CC54" s="52">
        <f t="shared" si="83"/>
        <v>0</v>
      </c>
      <c r="CD54" s="52">
        <f t="shared" si="83"/>
        <v>0</v>
      </c>
      <c r="CE54" s="52">
        <f t="shared" si="83"/>
        <v>0</v>
      </c>
      <c r="CF54" s="52">
        <f t="shared" si="83"/>
        <v>0</v>
      </c>
      <c r="CG54" s="52">
        <f t="shared" si="83"/>
        <v>0</v>
      </c>
      <c r="CH54" s="52">
        <f t="shared" si="83"/>
        <v>0</v>
      </c>
      <c r="CI54" s="52">
        <f t="shared" si="83"/>
        <v>0</v>
      </c>
      <c r="CJ54" s="52">
        <f t="shared" si="83"/>
        <v>0</v>
      </c>
      <c r="CK54" s="52">
        <f t="shared" si="83"/>
        <v>0</v>
      </c>
      <c r="CL54" s="52">
        <f t="shared" si="83"/>
        <v>0</v>
      </c>
      <c r="CM54" s="52">
        <f t="shared" si="83"/>
        <v>0</v>
      </c>
      <c r="CN54" s="52">
        <f t="shared" si="83"/>
        <v>0</v>
      </c>
      <c r="CO54" s="52">
        <f t="shared" si="83"/>
        <v>0</v>
      </c>
    </row>
    <row r="55" spans="1:93" s="133" customFormat="1" thickTop="1">
      <c r="A55" s="10"/>
      <c r="B55" s="10"/>
      <c r="C55" s="49" t="s">
        <v>139</v>
      </c>
      <c r="D55" s="136"/>
      <c r="E55" s="136"/>
      <c r="F55" s="136"/>
      <c r="G55" s="137" t="str">
        <f t="shared" si="59"/>
        <v>тыс. руб.</v>
      </c>
      <c r="H55" s="136"/>
      <c r="I55" s="23">
        <f t="shared" ca="1" si="77"/>
        <v>10173688.610159278</v>
      </c>
      <c r="J55" s="136"/>
      <c r="K55" s="136"/>
      <c r="L55" s="49">
        <f t="shared" ref="L55:AH55" ca="1" si="84">SUM(L48:L49,L51:L52)</f>
        <v>0</v>
      </c>
      <c r="M55" s="49">
        <f t="shared" ca="1" si="84"/>
        <v>0</v>
      </c>
      <c r="N55" s="49">
        <f t="shared" ca="1" si="84"/>
        <v>0</v>
      </c>
      <c r="O55" s="49">
        <f t="shared" ca="1" si="84"/>
        <v>0</v>
      </c>
      <c r="P55" s="49">
        <f t="shared" ca="1" si="84"/>
        <v>0</v>
      </c>
      <c r="Q55" s="49">
        <f t="shared" ca="1" si="84"/>
        <v>0</v>
      </c>
      <c r="R55" s="49">
        <f t="shared" ca="1" si="84"/>
        <v>0</v>
      </c>
      <c r="S55" s="49">
        <f t="shared" ca="1" si="84"/>
        <v>0</v>
      </c>
      <c r="T55" s="49">
        <f t="shared" ca="1" si="84"/>
        <v>0</v>
      </c>
      <c r="U55" s="49">
        <f t="shared" ca="1" si="84"/>
        <v>0</v>
      </c>
      <c r="V55" s="49">
        <f t="shared" ca="1" si="84"/>
        <v>0</v>
      </c>
      <c r="W55" s="49">
        <f t="shared" ca="1" si="84"/>
        <v>0</v>
      </c>
      <c r="X55" s="49">
        <f t="shared" ca="1" si="84"/>
        <v>0</v>
      </c>
      <c r="Y55" s="49">
        <f t="shared" ca="1" si="84"/>
        <v>0</v>
      </c>
      <c r="Z55" s="49">
        <f t="shared" ca="1" si="84"/>
        <v>0</v>
      </c>
      <c r="AA55" s="49">
        <f t="shared" ca="1" si="84"/>
        <v>0</v>
      </c>
      <c r="AB55" s="49">
        <f t="shared" ca="1" si="84"/>
        <v>0</v>
      </c>
      <c r="AC55" s="49">
        <f t="shared" ca="1" si="84"/>
        <v>21020.497477027762</v>
      </c>
      <c r="AD55" s="49">
        <f t="shared" ca="1" si="84"/>
        <v>165067.92241126808</v>
      </c>
      <c r="AE55" s="49">
        <f t="shared" ca="1" si="84"/>
        <v>-9871.247186949302</v>
      </c>
      <c r="AF55" s="49">
        <f t="shared" ca="1" si="84"/>
        <v>-16951.71375419473</v>
      </c>
      <c r="AG55" s="49">
        <f t="shared" ca="1" si="84"/>
        <v>57728.101980928019</v>
      </c>
      <c r="AH55" s="49">
        <f t="shared" ca="1" si="84"/>
        <v>216162.57404502571</v>
      </c>
      <c r="AI55" s="49">
        <f ca="1">SUM(AI48:AI49,AI51:AI52)</f>
        <v>10660.250882069638</v>
      </c>
      <c r="AJ55" s="49">
        <f t="shared" ref="AJ55:CO55" ca="1" si="85">SUM(AJ48:AJ49,AJ51:AJ52)</f>
        <v>2147.9892976865885</v>
      </c>
      <c r="AK55" s="49">
        <f t="shared" ca="1" si="85"/>
        <v>88421.319746360838</v>
      </c>
      <c r="AL55" s="49">
        <f t="shared" ca="1" si="85"/>
        <v>270571.51766743459</v>
      </c>
      <c r="AM55" s="49">
        <f t="shared" ca="1" si="85"/>
        <v>34284.350439046495</v>
      </c>
      <c r="AN55" s="49">
        <f t="shared" ca="1" si="85"/>
        <v>25128.606404649734</v>
      </c>
      <c r="AO55" s="49">
        <f t="shared" ca="1" si="85"/>
        <v>123068.41613875693</v>
      </c>
      <c r="AP55" s="49">
        <f t="shared" ca="1" si="85"/>
        <v>321641.0187221556</v>
      </c>
      <c r="AQ55" s="49">
        <f t="shared" ca="1" si="85"/>
        <v>55448.278388491453</v>
      </c>
      <c r="AR55" s="49">
        <f t="shared" ca="1" si="85"/>
        <v>41785.678317350998</v>
      </c>
      <c r="AS55" s="49">
        <f t="shared" ca="1" si="85"/>
        <v>142342.99148047389</v>
      </c>
      <c r="AT55" s="49">
        <f t="shared" ca="1" si="85"/>
        <v>349234.81736808369</v>
      </c>
      <c r="AU55" s="49">
        <f t="shared" ca="1" si="85"/>
        <v>73535.347317665</v>
      </c>
      <c r="AV55" s="49">
        <f t="shared" ca="1" si="85"/>
        <v>63725.692935942119</v>
      </c>
      <c r="AW55" s="49">
        <f t="shared" ca="1" si="85"/>
        <v>116691.83708920759</v>
      </c>
      <c r="AX55" s="49">
        <f t="shared" ca="1" si="85"/>
        <v>277929.85747417703</v>
      </c>
      <c r="AY55" s="49">
        <f t="shared" ca="1" si="85"/>
        <v>59731.54833241686</v>
      </c>
      <c r="AZ55" s="49">
        <f t="shared" ca="1" si="85"/>
        <v>45251.371598322949</v>
      </c>
      <c r="BA55" s="49">
        <f t="shared" ca="1" si="85"/>
        <v>125587.73015061772</v>
      </c>
      <c r="BB55" s="49">
        <f t="shared" ca="1" si="85"/>
        <v>291015.1405144711</v>
      </c>
      <c r="BC55" s="49">
        <f t="shared" ca="1" si="85"/>
        <v>64088.899007040542</v>
      </c>
      <c r="BD55" s="49">
        <f t="shared" ca="1" si="85"/>
        <v>50100.090805378488</v>
      </c>
      <c r="BE55" s="49">
        <f t="shared" ca="1" si="85"/>
        <v>156264.2684376376</v>
      </c>
      <c r="BF55" s="49">
        <f t="shared" ca="1" si="85"/>
        <v>328309.87634766841</v>
      </c>
      <c r="BG55" s="49">
        <f t="shared" ca="1" si="85"/>
        <v>92306.593248291087</v>
      </c>
      <c r="BH55" s="49">
        <f t="shared" ca="1" si="85"/>
        <v>76633.487591531462</v>
      </c>
      <c r="BI55" s="49">
        <f t="shared" ca="1" si="85"/>
        <v>163527.3635975323</v>
      </c>
      <c r="BJ55" s="49">
        <f t="shared" ca="1" si="85"/>
        <v>342455.72124291479</v>
      </c>
      <c r="BK55" s="49">
        <f t="shared" ca="1" si="85"/>
        <v>97012.298428478127</v>
      </c>
      <c r="BL55" s="49">
        <f t="shared" ca="1" si="85"/>
        <v>80717.732071393213</v>
      </c>
      <c r="BM55" s="49">
        <f t="shared" ca="1" si="85"/>
        <v>171088.37811559418</v>
      </c>
      <c r="BN55" s="49">
        <f t="shared" ca="1" si="85"/>
        <v>357174.88506475213</v>
      </c>
      <c r="BO55" s="49">
        <f t="shared" ca="1" si="85"/>
        <v>101913.72533773817</v>
      </c>
      <c r="BP55" s="49">
        <f t="shared" ca="1" si="85"/>
        <v>84965.346330449349</v>
      </c>
      <c r="BQ55" s="49">
        <f t="shared" ca="1" si="85"/>
        <v>178951.8332143786</v>
      </c>
      <c r="BR55" s="49">
        <f t="shared" ca="1" si="85"/>
        <v>362388.72817872214</v>
      </c>
      <c r="BS55" s="49">
        <f t="shared" ca="1" si="85"/>
        <v>97045.709161490493</v>
      </c>
      <c r="BT55" s="49">
        <f t="shared" ca="1" si="85"/>
        <v>80937.49507972115</v>
      </c>
      <c r="BU55" s="49">
        <f t="shared" ca="1" si="85"/>
        <v>177560.51033557398</v>
      </c>
      <c r="BV55" s="49">
        <f t="shared" ca="1" si="85"/>
        <v>378856.83464166883</v>
      </c>
      <c r="BW55" s="49">
        <f t="shared" ca="1" si="85"/>
        <v>102894.60948775074</v>
      </c>
      <c r="BX55" s="49">
        <f t="shared" ca="1" si="85"/>
        <v>84857.184524194527</v>
      </c>
      <c r="BY55" s="49">
        <f t="shared" ca="1" si="85"/>
        <v>186540.89652204956</v>
      </c>
      <c r="BZ55" s="49">
        <f t="shared" ca="1" si="85"/>
        <v>395894.73005261237</v>
      </c>
      <c r="CA55" s="49">
        <f t="shared" ca="1" si="85"/>
        <v>108889.22797630748</v>
      </c>
      <c r="CB55" s="49">
        <f t="shared" ca="1" si="85"/>
        <v>90138.339798687564</v>
      </c>
      <c r="CC55" s="49">
        <f t="shared" ca="1" si="85"/>
        <v>195894.97173031143</v>
      </c>
      <c r="CD55" s="49">
        <f t="shared" ca="1" si="85"/>
        <v>413628.41824108304</v>
      </c>
      <c r="CE55" s="49">
        <f t="shared" ca="1" si="85"/>
        <v>115137.55259777128</v>
      </c>
      <c r="CF55" s="49">
        <f t="shared" ca="1" si="85"/>
        <v>95610.614607816678</v>
      </c>
      <c r="CG55" s="49">
        <f t="shared" ca="1" si="85"/>
        <v>205602.85964082295</v>
      </c>
      <c r="CH55" s="49">
        <f t="shared" ca="1" si="85"/>
        <v>432050.88002127415</v>
      </c>
      <c r="CI55" s="49">
        <f t="shared" ca="1" si="85"/>
        <v>121615.23626827565</v>
      </c>
      <c r="CJ55" s="49">
        <f t="shared" ca="1" si="85"/>
        <v>102693.08013457917</v>
      </c>
      <c r="CK55" s="49">
        <f t="shared" ca="1" si="85"/>
        <v>215706.79644200634</v>
      </c>
      <c r="CL55" s="49">
        <f t="shared" ca="1" si="85"/>
        <v>451217.71823254175</v>
      </c>
      <c r="CM55" s="49">
        <f t="shared" ca="1" si="85"/>
        <v>128359.16495669194</v>
      </c>
      <c r="CN55" s="49">
        <f t="shared" ca="1" si="85"/>
        <v>107159.40774677981</v>
      </c>
      <c r="CO55" s="49">
        <f t="shared" ca="1" si="85"/>
        <v>226137.24970127826</v>
      </c>
    </row>
    <row r="56" spans="1:93" s="133" customFormat="1" thickBot="1">
      <c r="A56" s="10"/>
      <c r="B56" s="10"/>
      <c r="C56" s="17" t="s">
        <v>140</v>
      </c>
      <c r="D56" s="10"/>
      <c r="E56" s="10"/>
      <c r="F56" s="10"/>
      <c r="G56" s="134" t="str">
        <f t="shared" si="59"/>
        <v>тыс. руб.</v>
      </c>
      <c r="H56" s="10"/>
      <c r="I56" s="23">
        <f t="shared" ca="1" si="77"/>
        <v>-1083177.1599277665</v>
      </c>
      <c r="J56" s="10"/>
      <c r="K56" s="10"/>
      <c r="L56" s="52">
        <f t="shared" ref="L56:AQ56" ca="1" si="86">Profits_Tax</f>
        <v>0</v>
      </c>
      <c r="M56" s="52">
        <f t="shared" ca="1" si="86"/>
        <v>0</v>
      </c>
      <c r="N56" s="52">
        <f t="shared" ca="1" si="86"/>
        <v>0</v>
      </c>
      <c r="O56" s="52">
        <f t="shared" ca="1" si="86"/>
        <v>0</v>
      </c>
      <c r="P56" s="52">
        <f t="shared" ca="1" si="86"/>
        <v>0</v>
      </c>
      <c r="Q56" s="52">
        <f t="shared" ca="1" si="86"/>
        <v>0</v>
      </c>
      <c r="R56" s="52">
        <f t="shared" ca="1" si="86"/>
        <v>0</v>
      </c>
      <c r="S56" s="52">
        <f t="shared" ca="1" si="86"/>
        <v>0</v>
      </c>
      <c r="T56" s="52">
        <f t="shared" ca="1" si="86"/>
        <v>0</v>
      </c>
      <c r="U56" s="52">
        <f t="shared" ca="1" si="86"/>
        <v>0</v>
      </c>
      <c r="V56" s="52">
        <f t="shared" ca="1" si="86"/>
        <v>0</v>
      </c>
      <c r="W56" s="52">
        <f t="shared" ca="1" si="86"/>
        <v>0</v>
      </c>
      <c r="X56" s="52">
        <f t="shared" ca="1" si="86"/>
        <v>0</v>
      </c>
      <c r="Y56" s="52">
        <f t="shared" ca="1" si="86"/>
        <v>0</v>
      </c>
      <c r="Z56" s="52">
        <f t="shared" ca="1" si="86"/>
        <v>0</v>
      </c>
      <c r="AA56" s="52">
        <f t="shared" ca="1" si="86"/>
        <v>0</v>
      </c>
      <c r="AB56" s="52">
        <f t="shared" ca="1" si="86"/>
        <v>0</v>
      </c>
      <c r="AC56" s="52">
        <f t="shared" ca="1" si="86"/>
        <v>0</v>
      </c>
      <c r="AD56" s="52">
        <f t="shared" ca="1" si="86"/>
        <v>-1783.8517168128092</v>
      </c>
      <c r="AE56" s="52">
        <f t="shared" ca="1" si="86"/>
        <v>-34.460020830635514</v>
      </c>
      <c r="AF56" s="52">
        <f t="shared" ca="1" si="86"/>
        <v>0</v>
      </c>
      <c r="AG56" s="52">
        <f t="shared" ca="1" si="86"/>
        <v>-710.4535125094086</v>
      </c>
      <c r="AH56" s="52">
        <f t="shared" ca="1" si="86"/>
        <v>-2294.7982331503858</v>
      </c>
      <c r="AI56" s="52">
        <f t="shared" ca="1" si="86"/>
        <v>-239.77500152082479</v>
      </c>
      <c r="AJ56" s="52">
        <f t="shared" ca="1" si="86"/>
        <v>-154.6523856769943</v>
      </c>
      <c r="AK56" s="52">
        <f t="shared" ca="1" si="86"/>
        <v>-1017.3856901637367</v>
      </c>
      <c r="AL56" s="52">
        <f t="shared" ca="1" si="86"/>
        <v>-2838.8876693744746</v>
      </c>
      <c r="AM56" s="52">
        <f t="shared" ca="1" si="86"/>
        <v>-476.01599709059332</v>
      </c>
      <c r="AN56" s="52">
        <f t="shared" ca="1" si="86"/>
        <v>-384.45855674662567</v>
      </c>
      <c r="AO56" s="52">
        <f t="shared" ca="1" si="86"/>
        <v>-1363.8566540876977</v>
      </c>
      <c r="AP56" s="52">
        <f t="shared" ca="1" si="86"/>
        <v>-3349.5826799216848</v>
      </c>
      <c r="AQ56" s="52">
        <f t="shared" ca="1" si="86"/>
        <v>-877.94883343143158</v>
      </c>
      <c r="AR56" s="52">
        <f t="shared" ref="AR56:BW56" ca="1" si="87">Profits_Tax</f>
        <v>-1102.0585517472766</v>
      </c>
      <c r="AS56" s="52">
        <f t="shared" ca="1" si="87"/>
        <v>-3113.2048150097348</v>
      </c>
      <c r="AT56" s="52">
        <f t="shared" ca="1" si="87"/>
        <v>-7251.0413327619317</v>
      </c>
      <c r="AU56" s="52">
        <f t="shared" ca="1" si="87"/>
        <v>-6079.681761137449</v>
      </c>
      <c r="AV56" s="52">
        <f t="shared" ca="1" si="87"/>
        <v>-5393.0059544168471</v>
      </c>
      <c r="AW56" s="52">
        <f t="shared" ca="1" si="87"/>
        <v>-9100.6360451454311</v>
      </c>
      <c r="AX56" s="52">
        <f t="shared" ca="1" si="87"/>
        <v>-20387.297472093291</v>
      </c>
      <c r="AY56" s="52">
        <f t="shared" ca="1" si="87"/>
        <v>-5113.4158321700788</v>
      </c>
      <c r="AZ56" s="52">
        <f t="shared" ca="1" si="87"/>
        <v>-4099.8034607835061</v>
      </c>
      <c r="BA56" s="52">
        <f t="shared" ca="1" si="87"/>
        <v>-9723.348559444139</v>
      </c>
      <c r="BB56" s="52">
        <f t="shared" ca="1" si="87"/>
        <v>-21303.267284913883</v>
      </c>
      <c r="BC56" s="52">
        <f t="shared" ca="1" si="87"/>
        <v>-5418.430379393737</v>
      </c>
      <c r="BD56" s="52">
        <f t="shared" ca="1" si="87"/>
        <v>-4439.213805277408</v>
      </c>
      <c r="BE56" s="52">
        <f t="shared" ca="1" si="87"/>
        <v>-11252.770442178638</v>
      </c>
      <c r="BF56" s="52">
        <f t="shared" ca="1" si="87"/>
        <v>-23295.962995880793</v>
      </c>
      <c r="BG56" s="52">
        <f t="shared" ca="1" si="87"/>
        <v>-6775.7331789243817</v>
      </c>
      <c r="BH56" s="52">
        <f t="shared" ca="1" si="87"/>
        <v>-5678.6157829512076</v>
      </c>
      <c r="BI56" s="52">
        <f t="shared" ca="1" si="87"/>
        <v>-11761.187103371267</v>
      </c>
      <c r="BJ56" s="52">
        <f t="shared" ca="1" si="87"/>
        <v>-24286.172138548041</v>
      </c>
      <c r="BK56" s="52">
        <f t="shared" ca="1" si="87"/>
        <v>-7105.132541537474</v>
      </c>
      <c r="BL56" s="52">
        <f t="shared" ca="1" si="87"/>
        <v>-5964.5128965415306</v>
      </c>
      <c r="BM56" s="52">
        <f t="shared" ca="1" si="87"/>
        <v>-12290.458119635599</v>
      </c>
      <c r="BN56" s="52">
        <f t="shared" ca="1" si="87"/>
        <v>-25316.513606076656</v>
      </c>
      <c r="BO56" s="52">
        <f t="shared" ca="1" si="87"/>
        <v>-16492.514655768286</v>
      </c>
      <c r="BP56" s="52">
        <f t="shared" ca="1" si="87"/>
        <v>-13865.515909638518</v>
      </c>
      <c r="BQ56" s="52">
        <f t="shared" ca="1" si="87"/>
        <v>-28433.421376647551</v>
      </c>
      <c r="BR56" s="52">
        <f t="shared" ca="1" si="87"/>
        <v>-56866.140096120798</v>
      </c>
      <c r="BS56" s="52">
        <f t="shared" ca="1" si="87"/>
        <v>-15737.972148449895</v>
      </c>
      <c r="BT56" s="52">
        <f t="shared" ca="1" si="87"/>
        <v>-13241.198965775646</v>
      </c>
      <c r="BU56" s="52">
        <f t="shared" ca="1" si="87"/>
        <v>-28217.766330432834</v>
      </c>
      <c r="BV56" s="52">
        <f t="shared" ca="1" si="87"/>
        <v>-59418.696597877533</v>
      </c>
      <c r="BW56" s="52">
        <f t="shared" ca="1" si="87"/>
        <v>-16644.551699020234</v>
      </c>
      <c r="BX56" s="52">
        <f t="shared" ref="BX56:CO56" ca="1" si="88">Profits_Tax</f>
        <v>-13848.750829669019</v>
      </c>
      <c r="BY56" s="52">
        <f t="shared" ca="1" si="88"/>
        <v>-29609.72618933655</v>
      </c>
      <c r="BZ56" s="52">
        <f t="shared" ca="1" si="88"/>
        <v>-62059.570386573781</v>
      </c>
      <c r="CA56" s="52">
        <f t="shared" ca="1" si="88"/>
        <v>-17573.717564746523</v>
      </c>
      <c r="CB56" s="52">
        <f t="shared" ca="1" si="88"/>
        <v>-14667.329897215441</v>
      </c>
      <c r="CC56" s="52">
        <f t="shared" ca="1" si="88"/>
        <v>-31059.607846617138</v>
      </c>
      <c r="CD56" s="52">
        <f t="shared" ca="1" si="88"/>
        <v>-64808.292055786733</v>
      </c>
      <c r="CE56" s="52">
        <f t="shared" ca="1" si="88"/>
        <v>-18542.207881073417</v>
      </c>
      <c r="CF56" s="52">
        <f t="shared" ca="1" si="88"/>
        <v>-15515.532492630453</v>
      </c>
      <c r="CG56" s="52">
        <f t="shared" ca="1" si="88"/>
        <v>-32564.330472746424</v>
      </c>
      <c r="CH56" s="52">
        <f t="shared" ca="1" si="88"/>
        <v>-67663.773631716351</v>
      </c>
      <c r="CI56" s="52">
        <f t="shared" ca="1" si="88"/>
        <v>-19546.248850001593</v>
      </c>
      <c r="CJ56" s="52">
        <f t="shared" ca="1" si="88"/>
        <v>-16613.31464927864</v>
      </c>
      <c r="CK56" s="52">
        <f t="shared" ca="1" si="88"/>
        <v>-34130.440676929851</v>
      </c>
      <c r="CL56" s="52">
        <f t="shared" ca="1" si="88"/>
        <v>-70634.633554462838</v>
      </c>
      <c r="CM56" s="52">
        <f t="shared" ca="1" si="88"/>
        <v>-20591.557796706118</v>
      </c>
      <c r="CN56" s="52">
        <f t="shared" ca="1" si="88"/>
        <v>-17305.595429169738</v>
      </c>
      <c r="CO56" s="52">
        <f t="shared" ca="1" si="88"/>
        <v>-35747.160932116996</v>
      </c>
    </row>
    <row r="57" spans="1:93" s="133" customFormat="1" thickTop="1">
      <c r="A57" s="10"/>
      <c r="B57" s="10"/>
      <c r="C57" s="49" t="s">
        <v>543</v>
      </c>
      <c r="D57" s="136"/>
      <c r="E57" s="136"/>
      <c r="F57" s="136"/>
      <c r="G57" s="137" t="str">
        <f t="shared" si="59"/>
        <v>тыс. руб.</v>
      </c>
      <c r="H57" s="136"/>
      <c r="I57" s="23">
        <f t="shared" ca="1" si="77"/>
        <v>9090511.4502315111</v>
      </c>
      <c r="J57" s="136"/>
      <c r="K57" s="136"/>
      <c r="L57" s="49">
        <f t="shared" ref="L57:BW57" ca="1" si="89">SUM(L55:L56)</f>
        <v>0</v>
      </c>
      <c r="M57" s="49">
        <f t="shared" ca="1" si="89"/>
        <v>0</v>
      </c>
      <c r="N57" s="49">
        <f t="shared" ca="1" si="89"/>
        <v>0</v>
      </c>
      <c r="O57" s="49">
        <f t="shared" ca="1" si="89"/>
        <v>0</v>
      </c>
      <c r="P57" s="49">
        <f t="shared" ca="1" si="89"/>
        <v>0</v>
      </c>
      <c r="Q57" s="49">
        <f t="shared" ca="1" si="89"/>
        <v>0</v>
      </c>
      <c r="R57" s="49">
        <f t="shared" ca="1" si="89"/>
        <v>0</v>
      </c>
      <c r="S57" s="49">
        <f t="shared" ca="1" si="89"/>
        <v>0</v>
      </c>
      <c r="T57" s="49">
        <f t="shared" ca="1" si="89"/>
        <v>0</v>
      </c>
      <c r="U57" s="49">
        <f t="shared" ca="1" si="89"/>
        <v>0</v>
      </c>
      <c r="V57" s="49">
        <f t="shared" ca="1" si="89"/>
        <v>0</v>
      </c>
      <c r="W57" s="49">
        <f t="shared" ca="1" si="89"/>
        <v>0</v>
      </c>
      <c r="X57" s="49">
        <f t="shared" ca="1" si="89"/>
        <v>0</v>
      </c>
      <c r="Y57" s="49">
        <f t="shared" ca="1" si="89"/>
        <v>0</v>
      </c>
      <c r="Z57" s="49">
        <f t="shared" ca="1" si="89"/>
        <v>0</v>
      </c>
      <c r="AA57" s="49">
        <f t="shared" ca="1" si="89"/>
        <v>0</v>
      </c>
      <c r="AB57" s="49">
        <f t="shared" ca="1" si="89"/>
        <v>0</v>
      </c>
      <c r="AC57" s="49">
        <f t="shared" ca="1" si="89"/>
        <v>21020.497477027762</v>
      </c>
      <c r="AD57" s="49">
        <f t="shared" ca="1" si="89"/>
        <v>163284.07069445527</v>
      </c>
      <c r="AE57" s="49">
        <f t="shared" ca="1" si="89"/>
        <v>-9905.7072077799367</v>
      </c>
      <c r="AF57" s="49">
        <f t="shared" ca="1" si="89"/>
        <v>-16951.71375419473</v>
      </c>
      <c r="AG57" s="49">
        <f t="shared" ca="1" si="89"/>
        <v>57017.648468418607</v>
      </c>
      <c r="AH57" s="49">
        <f t="shared" ca="1" si="89"/>
        <v>213867.77581187533</v>
      </c>
      <c r="AI57" s="49">
        <f t="shared" ca="1" si="89"/>
        <v>10420.475880548815</v>
      </c>
      <c r="AJ57" s="49">
        <f t="shared" ca="1" si="89"/>
        <v>1993.3369120095942</v>
      </c>
      <c r="AK57" s="49">
        <f t="shared" ca="1" si="89"/>
        <v>87403.934056197104</v>
      </c>
      <c r="AL57" s="49">
        <f t="shared" ca="1" si="89"/>
        <v>267732.62999806012</v>
      </c>
      <c r="AM57" s="49">
        <f t="shared" ca="1" si="89"/>
        <v>33808.3344419559</v>
      </c>
      <c r="AN57" s="49">
        <f t="shared" ca="1" si="89"/>
        <v>24744.147847903107</v>
      </c>
      <c r="AO57" s="49">
        <f t="shared" ca="1" si="89"/>
        <v>121704.55948466924</v>
      </c>
      <c r="AP57" s="49">
        <f t="shared" ca="1" si="89"/>
        <v>318291.43604223389</v>
      </c>
      <c r="AQ57" s="49">
        <f t="shared" ca="1" si="89"/>
        <v>54570.329555060023</v>
      </c>
      <c r="AR57" s="49">
        <f t="shared" ca="1" si="89"/>
        <v>40683.619765603718</v>
      </c>
      <c r="AS57" s="49">
        <f t="shared" ca="1" si="89"/>
        <v>139229.78666546417</v>
      </c>
      <c r="AT57" s="49">
        <f t="shared" ca="1" si="89"/>
        <v>341983.77603532176</v>
      </c>
      <c r="AU57" s="49">
        <f t="shared" ca="1" si="89"/>
        <v>67455.665556527558</v>
      </c>
      <c r="AV57" s="49">
        <f t="shared" ca="1" si="89"/>
        <v>58332.686981525272</v>
      </c>
      <c r="AW57" s="49">
        <f t="shared" ca="1" si="89"/>
        <v>107591.20104406215</v>
      </c>
      <c r="AX57" s="49">
        <f t="shared" ca="1" si="89"/>
        <v>257542.56000208374</v>
      </c>
      <c r="AY57" s="49">
        <f t="shared" ca="1" si="89"/>
        <v>54618.132500246778</v>
      </c>
      <c r="AZ57" s="49">
        <f t="shared" ca="1" si="89"/>
        <v>41151.568137539442</v>
      </c>
      <c r="BA57" s="49">
        <f t="shared" ca="1" si="89"/>
        <v>115864.38159117357</v>
      </c>
      <c r="BB57" s="49">
        <f t="shared" ca="1" si="89"/>
        <v>269711.87322955724</v>
      </c>
      <c r="BC57" s="49">
        <f t="shared" ca="1" si="89"/>
        <v>58670.468627646806</v>
      </c>
      <c r="BD57" s="49">
        <f t="shared" ca="1" si="89"/>
        <v>45660.877000101078</v>
      </c>
      <c r="BE57" s="49">
        <f t="shared" ca="1" si="89"/>
        <v>145011.49799545895</v>
      </c>
      <c r="BF57" s="49">
        <f t="shared" ca="1" si="89"/>
        <v>305013.9133517876</v>
      </c>
      <c r="BG57" s="49">
        <f t="shared" ca="1" si="89"/>
        <v>85530.86006936671</v>
      </c>
      <c r="BH57" s="49">
        <f t="shared" ca="1" si="89"/>
        <v>70954.871808580254</v>
      </c>
      <c r="BI57" s="49">
        <f t="shared" ca="1" si="89"/>
        <v>151766.17649416102</v>
      </c>
      <c r="BJ57" s="49">
        <f t="shared" ca="1" si="89"/>
        <v>318169.54910436674</v>
      </c>
      <c r="BK57" s="49">
        <f t="shared" ca="1" si="89"/>
        <v>89907.165886940653</v>
      </c>
      <c r="BL57" s="49">
        <f t="shared" ca="1" si="89"/>
        <v>74753.219174851678</v>
      </c>
      <c r="BM57" s="49">
        <f t="shared" ca="1" si="89"/>
        <v>158797.9199959586</v>
      </c>
      <c r="BN57" s="49">
        <f t="shared" ca="1" si="89"/>
        <v>331858.37145867548</v>
      </c>
      <c r="BO57" s="49">
        <f t="shared" ca="1" si="89"/>
        <v>85421.210681969882</v>
      </c>
      <c r="BP57" s="49">
        <f t="shared" ca="1" si="89"/>
        <v>71099.830420810831</v>
      </c>
      <c r="BQ57" s="49">
        <f t="shared" ca="1" si="89"/>
        <v>150518.41183773105</v>
      </c>
      <c r="BR57" s="49">
        <f t="shared" ca="1" si="89"/>
        <v>305522.58808260132</v>
      </c>
      <c r="BS57" s="49">
        <f t="shared" ca="1" si="89"/>
        <v>81307.737013040605</v>
      </c>
      <c r="BT57" s="49">
        <f t="shared" ca="1" si="89"/>
        <v>67696.2961139455</v>
      </c>
      <c r="BU57" s="49">
        <f t="shared" ca="1" si="89"/>
        <v>149342.74400514114</v>
      </c>
      <c r="BV57" s="49">
        <f t="shared" ca="1" si="89"/>
        <v>319438.13804379129</v>
      </c>
      <c r="BW57" s="49">
        <f t="shared" ca="1" si="89"/>
        <v>86250.057788730512</v>
      </c>
      <c r="BX57" s="49">
        <f t="shared" ref="BX57:CO57" ca="1" si="90">SUM(BX55:BX56)</f>
        <v>71008.433694525505</v>
      </c>
      <c r="BY57" s="49">
        <f t="shared" ca="1" si="90"/>
        <v>156931.17033271299</v>
      </c>
      <c r="BZ57" s="49">
        <f t="shared" ca="1" si="90"/>
        <v>333835.15966603858</v>
      </c>
      <c r="CA57" s="49">
        <f t="shared" ca="1" si="90"/>
        <v>91315.510411560957</v>
      </c>
      <c r="CB57" s="49">
        <f t="shared" ca="1" si="90"/>
        <v>75471.00990147212</v>
      </c>
      <c r="CC57" s="49">
        <f t="shared" ca="1" si="90"/>
        <v>164835.36388369428</v>
      </c>
      <c r="CD57" s="49">
        <f t="shared" ca="1" si="90"/>
        <v>348820.12618529634</v>
      </c>
      <c r="CE57" s="49">
        <f t="shared" ca="1" si="90"/>
        <v>96595.344716697873</v>
      </c>
      <c r="CF57" s="49">
        <f t="shared" ca="1" si="90"/>
        <v>80095.082115186233</v>
      </c>
      <c r="CG57" s="49">
        <f t="shared" ca="1" si="90"/>
        <v>173038.52916807652</v>
      </c>
      <c r="CH57" s="49">
        <f t="shared" ca="1" si="90"/>
        <v>364387.10638955783</v>
      </c>
      <c r="CI57" s="49">
        <f t="shared" ca="1" si="90"/>
        <v>102068.98741827406</v>
      </c>
      <c r="CJ57" s="49">
        <f t="shared" ca="1" si="90"/>
        <v>86079.765485300537</v>
      </c>
      <c r="CK57" s="49">
        <f t="shared" ca="1" si="90"/>
        <v>181576.35576507647</v>
      </c>
      <c r="CL57" s="49">
        <f t="shared" ca="1" si="90"/>
        <v>380583.08467807889</v>
      </c>
      <c r="CM57" s="49">
        <f t="shared" ca="1" si="90"/>
        <v>107767.60715998581</v>
      </c>
      <c r="CN57" s="49">
        <f t="shared" ca="1" si="90"/>
        <v>89853.812317610063</v>
      </c>
      <c r="CO57" s="49">
        <f t="shared" ca="1" si="90"/>
        <v>190390.08876916126</v>
      </c>
    </row>
    <row r="58" spans="1:93" s="133" customFormat="1" thickBot="1">
      <c r="A58" s="10"/>
      <c r="B58" s="10"/>
      <c r="C58" s="17" t="s">
        <v>141</v>
      </c>
      <c r="D58" s="10"/>
      <c r="E58" s="10"/>
      <c r="F58" s="10"/>
      <c r="G58" s="134" t="str">
        <f t="shared" si="59"/>
        <v>тыс. руб.</v>
      </c>
      <c r="H58" s="10"/>
      <c r="I58" s="23">
        <f t="shared" ca="1" si="77"/>
        <v>-8270600.6277033035</v>
      </c>
      <c r="J58" s="10"/>
      <c r="K58" s="10"/>
      <c r="L58" s="52">
        <f t="shared" ref="L58:BW58" ca="1" si="91">Dividends</f>
        <v>0</v>
      </c>
      <c r="M58" s="52">
        <f t="shared" ca="1" si="91"/>
        <v>0</v>
      </c>
      <c r="N58" s="52">
        <f t="shared" ca="1" si="91"/>
        <v>0</v>
      </c>
      <c r="O58" s="52">
        <f t="shared" ca="1" si="91"/>
        <v>0</v>
      </c>
      <c r="P58" s="52">
        <f t="shared" ca="1" si="91"/>
        <v>0</v>
      </c>
      <c r="Q58" s="52">
        <f t="shared" ca="1" si="91"/>
        <v>0</v>
      </c>
      <c r="R58" s="52">
        <f t="shared" ca="1" si="91"/>
        <v>0</v>
      </c>
      <c r="S58" s="52">
        <f t="shared" ca="1" si="91"/>
        <v>0</v>
      </c>
      <c r="T58" s="52">
        <f t="shared" ca="1" si="91"/>
        <v>0</v>
      </c>
      <c r="U58" s="52">
        <f t="shared" ca="1" si="91"/>
        <v>0</v>
      </c>
      <c r="V58" s="52">
        <f t="shared" ca="1" si="91"/>
        <v>0</v>
      </c>
      <c r="W58" s="52">
        <f t="shared" ca="1" si="91"/>
        <v>0</v>
      </c>
      <c r="X58" s="52">
        <f t="shared" ca="1" si="91"/>
        <v>0</v>
      </c>
      <c r="Y58" s="52">
        <f t="shared" ca="1" si="91"/>
        <v>0</v>
      </c>
      <c r="Z58" s="52">
        <f t="shared" ca="1" si="91"/>
        <v>0</v>
      </c>
      <c r="AA58" s="52">
        <f t="shared" ca="1" si="91"/>
        <v>0</v>
      </c>
      <c r="AB58" s="52">
        <f t="shared" ca="1" si="91"/>
        <v>0</v>
      </c>
      <c r="AC58" s="52">
        <f t="shared" ca="1" si="91"/>
        <v>0</v>
      </c>
      <c r="AD58" s="52">
        <f t="shared" ca="1" si="91"/>
        <v>0</v>
      </c>
      <c r="AE58" s="52">
        <f t="shared" ca="1" si="91"/>
        <v>0</v>
      </c>
      <c r="AF58" s="52">
        <f t="shared" ca="1" si="91"/>
        <v>0</v>
      </c>
      <c r="AG58" s="52">
        <f t="shared" ca="1" si="91"/>
        <v>0</v>
      </c>
      <c r="AH58" s="52">
        <f t="shared" ca="1" si="91"/>
        <v>0</v>
      </c>
      <c r="AI58" s="52">
        <f t="shared" ca="1" si="91"/>
        <v>0</v>
      </c>
      <c r="AJ58" s="52">
        <f t="shared" ca="1" si="91"/>
        <v>0</v>
      </c>
      <c r="AK58" s="52">
        <f t="shared" ca="1" si="91"/>
        <v>0</v>
      </c>
      <c r="AL58" s="52">
        <f t="shared" ca="1" si="91"/>
        <v>0</v>
      </c>
      <c r="AM58" s="52">
        <f t="shared" ca="1" si="91"/>
        <v>0</v>
      </c>
      <c r="AN58" s="52">
        <f t="shared" ca="1" si="91"/>
        <v>0</v>
      </c>
      <c r="AO58" s="52">
        <f t="shared" ca="1" si="91"/>
        <v>0</v>
      </c>
      <c r="AP58" s="52">
        <f t="shared" ca="1" si="91"/>
        <v>0</v>
      </c>
      <c r="AQ58" s="52">
        <f t="shared" ca="1" si="91"/>
        <v>0</v>
      </c>
      <c r="AR58" s="52">
        <f t="shared" ca="1" si="91"/>
        <v>0</v>
      </c>
      <c r="AS58" s="52">
        <f t="shared" ca="1" si="91"/>
        <v>0</v>
      </c>
      <c r="AT58" s="52">
        <f t="shared" ca="1" si="91"/>
        <v>0</v>
      </c>
      <c r="AU58" s="52">
        <f t="shared" ca="1" si="91"/>
        <v>0</v>
      </c>
      <c r="AV58" s="52">
        <f t="shared" ca="1" si="91"/>
        <v>0</v>
      </c>
      <c r="AW58" s="52">
        <f t="shared" ca="1" si="91"/>
        <v>-115616.33267494224</v>
      </c>
      <c r="AX58" s="52">
        <f t="shared" ca="1" si="91"/>
        <v>-273026.89898316731</v>
      </c>
      <c r="AY58" s="52">
        <f t="shared" ca="1" si="91"/>
        <v>-160610.09420331367</v>
      </c>
      <c r="AZ58" s="52">
        <f t="shared" ca="1" si="91"/>
        <v>-90746.681474151221</v>
      </c>
      <c r="BA58" s="52">
        <f t="shared" ca="1" si="91"/>
        <v>-140327.30961439823</v>
      </c>
      <c r="BB58" s="52">
        <f t="shared" ca="1" si="91"/>
        <v>-273441.40717452572</v>
      </c>
      <c r="BC58" s="52">
        <f t="shared" ca="1" si="91"/>
        <v>-167027.39986984793</v>
      </c>
      <c r="BD58" s="52">
        <f t="shared" ca="1" si="91"/>
        <v>-95677.102949824461</v>
      </c>
      <c r="BE58" s="52">
        <f t="shared" ca="1" si="91"/>
        <v>-144587.40117527739</v>
      </c>
      <c r="BF58" s="52">
        <f t="shared" ca="1" si="91"/>
        <v>-283339.07755339477</v>
      </c>
      <c r="BG58" s="52">
        <f t="shared" ca="1" si="91"/>
        <v>-172668.51570028992</v>
      </c>
      <c r="BH58" s="52">
        <f t="shared" ca="1" si="91"/>
        <v>-97093.665388560941</v>
      </c>
      <c r="BI58" s="52">
        <f t="shared" ca="1" si="91"/>
        <v>-150722.02899878885</v>
      </c>
      <c r="BJ58" s="52">
        <f t="shared" ca="1" si="91"/>
        <v>-294700.16257395281</v>
      </c>
      <c r="BK58" s="52">
        <f t="shared" ca="1" si="91"/>
        <v>-179602.77227321349</v>
      </c>
      <c r="BL58" s="52">
        <f t="shared" ca="1" si="91"/>
        <v>-101010.04112024038</v>
      </c>
      <c r="BM58" s="52">
        <f t="shared" ca="1" si="91"/>
        <v>-156784.45144098948</v>
      </c>
      <c r="BN58" s="52">
        <f t="shared" ca="1" si="91"/>
        <v>-306522.65430726274</v>
      </c>
      <c r="BO58" s="52">
        <f t="shared" ca="1" si="91"/>
        <v>-177777.08616391147</v>
      </c>
      <c r="BP58" s="52">
        <f t="shared" ca="1" si="91"/>
        <v>-97479.370084233102</v>
      </c>
      <c r="BQ58" s="52">
        <f t="shared" ca="1" si="91"/>
        <v>-147496.84938078091</v>
      </c>
      <c r="BR58" s="52">
        <f t="shared" ca="1" si="91"/>
        <v>-278245.88708535011</v>
      </c>
      <c r="BS58" s="52">
        <f t="shared" ca="1" si="91"/>
        <v>-176430.29235447777</v>
      </c>
      <c r="BT58" s="52">
        <f t="shared" ca="1" si="91"/>
        <v>-94568.477972540364</v>
      </c>
      <c r="BU58" s="52">
        <f t="shared" ca="1" si="91"/>
        <v>-144907.78111575436</v>
      </c>
      <c r="BV58" s="52">
        <f t="shared" ca="1" si="91"/>
        <v>-290142.81625441811</v>
      </c>
      <c r="BW58" s="52">
        <f t="shared" ca="1" si="91"/>
        <v>-184249.96053286913</v>
      </c>
      <c r="BX58" s="52">
        <f t="shared" ref="BX58:CO58" ca="1" si="92">Dividends</f>
        <v>-97648.295518110244</v>
      </c>
      <c r="BY58" s="52">
        <f t="shared" ca="1" si="92"/>
        <v>-151770.83585332031</v>
      </c>
      <c r="BZ58" s="52">
        <f t="shared" ca="1" si="92"/>
        <v>-302440.46734145656</v>
      </c>
      <c r="CA58" s="52">
        <f t="shared" ca="1" si="92"/>
        <v>-192307.85374290359</v>
      </c>
      <c r="CB58" s="52">
        <f t="shared" ca="1" si="92"/>
        <v>-102248.94821865222</v>
      </c>
      <c r="CC58" s="52">
        <f t="shared" ca="1" si="92"/>
        <v>-158541.06086534384</v>
      </c>
      <c r="CD58" s="52">
        <f t="shared" ca="1" si="92"/>
        <v>-315242.0910079485</v>
      </c>
      <c r="CE58" s="52">
        <f t="shared" ca="1" si="92"/>
        <v>-200699.82662151247</v>
      </c>
      <c r="CF58" s="52">
        <f t="shared" ca="1" si="92"/>
        <v>-107016.58280527144</v>
      </c>
      <c r="CG58" s="52">
        <f t="shared" ca="1" si="92"/>
        <v>-165564.89886920995</v>
      </c>
      <c r="CH58" s="52">
        <f t="shared" ca="1" si="92"/>
        <v>-328538.39464533399</v>
      </c>
      <c r="CI58" s="52">
        <f t="shared" ca="1" si="92"/>
        <v>-209410.09343949921</v>
      </c>
      <c r="CJ58" s="52">
        <f t="shared" ca="1" si="92"/>
        <v>-113577.58786442541</v>
      </c>
      <c r="CK58" s="52">
        <f t="shared" ca="1" si="92"/>
        <v>-172449.24687161582</v>
      </c>
      <c r="CL58" s="52">
        <f t="shared" ca="1" si="92"/>
        <v>-342372.8721207974</v>
      </c>
      <c r="CM58" s="52">
        <f t="shared" ca="1" si="92"/>
        <v>-218474.8026703553</v>
      </c>
      <c r="CN58" s="52">
        <f t="shared" ca="1" si="92"/>
        <v>-117079.85311511872</v>
      </c>
      <c r="CO58" s="52">
        <f t="shared" ca="1" si="92"/>
        <v>-180414.39771195172</v>
      </c>
    </row>
    <row r="59" spans="1:93" s="133" customFormat="1" thickTop="1">
      <c r="A59" s="10"/>
      <c r="B59" s="10"/>
      <c r="C59" s="49" t="s">
        <v>142</v>
      </c>
      <c r="D59" s="136"/>
      <c r="E59" s="136"/>
      <c r="F59" s="136"/>
      <c r="G59" s="137" t="str">
        <f t="shared" si="59"/>
        <v>тыс. руб.</v>
      </c>
      <c r="H59" s="136"/>
      <c r="I59" s="23">
        <f t="shared" ca="1" si="77"/>
        <v>819910.82252820639</v>
      </c>
      <c r="J59" s="136"/>
      <c r="K59" s="136"/>
      <c r="L59" s="49">
        <f t="shared" ref="L59:BW59" ca="1" si="93">SUM(L57:L58)</f>
        <v>0</v>
      </c>
      <c r="M59" s="49">
        <f t="shared" ca="1" si="93"/>
        <v>0</v>
      </c>
      <c r="N59" s="49">
        <f t="shared" ca="1" si="93"/>
        <v>0</v>
      </c>
      <c r="O59" s="49">
        <f t="shared" ca="1" si="93"/>
        <v>0</v>
      </c>
      <c r="P59" s="49">
        <f t="shared" ca="1" si="93"/>
        <v>0</v>
      </c>
      <c r="Q59" s="49">
        <f t="shared" ca="1" si="93"/>
        <v>0</v>
      </c>
      <c r="R59" s="49">
        <f t="shared" ca="1" si="93"/>
        <v>0</v>
      </c>
      <c r="S59" s="49">
        <f t="shared" ca="1" si="93"/>
        <v>0</v>
      </c>
      <c r="T59" s="49">
        <f t="shared" ca="1" si="93"/>
        <v>0</v>
      </c>
      <c r="U59" s="49">
        <f t="shared" ca="1" si="93"/>
        <v>0</v>
      </c>
      <c r="V59" s="49">
        <f t="shared" ca="1" si="93"/>
        <v>0</v>
      </c>
      <c r="W59" s="49">
        <f t="shared" ca="1" si="93"/>
        <v>0</v>
      </c>
      <c r="X59" s="49">
        <f t="shared" ca="1" si="93"/>
        <v>0</v>
      </c>
      <c r="Y59" s="49">
        <f t="shared" ca="1" si="93"/>
        <v>0</v>
      </c>
      <c r="Z59" s="49">
        <f t="shared" ca="1" si="93"/>
        <v>0</v>
      </c>
      <c r="AA59" s="49">
        <f t="shared" ca="1" si="93"/>
        <v>0</v>
      </c>
      <c r="AB59" s="49">
        <f t="shared" ca="1" si="93"/>
        <v>0</v>
      </c>
      <c r="AC59" s="49">
        <f t="shared" ca="1" si="93"/>
        <v>21020.497477027762</v>
      </c>
      <c r="AD59" s="49">
        <f t="shared" ca="1" si="93"/>
        <v>163284.07069445527</v>
      </c>
      <c r="AE59" s="49">
        <f t="shared" ca="1" si="93"/>
        <v>-9905.7072077799367</v>
      </c>
      <c r="AF59" s="49">
        <f t="shared" ca="1" si="93"/>
        <v>-16951.71375419473</v>
      </c>
      <c r="AG59" s="49">
        <f t="shared" ca="1" si="93"/>
        <v>57017.648468418607</v>
      </c>
      <c r="AH59" s="49">
        <f t="shared" ca="1" si="93"/>
        <v>213867.77581187533</v>
      </c>
      <c r="AI59" s="49">
        <f t="shared" ca="1" si="93"/>
        <v>10420.475880548815</v>
      </c>
      <c r="AJ59" s="49">
        <f t="shared" ca="1" si="93"/>
        <v>1993.3369120095942</v>
      </c>
      <c r="AK59" s="49">
        <f t="shared" ca="1" si="93"/>
        <v>87403.934056197104</v>
      </c>
      <c r="AL59" s="49">
        <f t="shared" ca="1" si="93"/>
        <v>267732.62999806012</v>
      </c>
      <c r="AM59" s="49">
        <f t="shared" ca="1" si="93"/>
        <v>33808.3344419559</v>
      </c>
      <c r="AN59" s="49">
        <f t="shared" ca="1" si="93"/>
        <v>24744.147847903107</v>
      </c>
      <c r="AO59" s="49">
        <f t="shared" ca="1" si="93"/>
        <v>121704.55948466924</v>
      </c>
      <c r="AP59" s="49">
        <f t="shared" ca="1" si="93"/>
        <v>318291.43604223389</v>
      </c>
      <c r="AQ59" s="49">
        <f t="shared" ca="1" si="93"/>
        <v>54570.329555060023</v>
      </c>
      <c r="AR59" s="49">
        <f t="shared" ca="1" si="93"/>
        <v>40683.619765603718</v>
      </c>
      <c r="AS59" s="49">
        <f t="shared" ca="1" si="93"/>
        <v>139229.78666546417</v>
      </c>
      <c r="AT59" s="49">
        <f t="shared" ca="1" si="93"/>
        <v>341983.77603532176</v>
      </c>
      <c r="AU59" s="49">
        <f t="shared" ca="1" si="93"/>
        <v>67455.665556527558</v>
      </c>
      <c r="AV59" s="49">
        <f t="shared" ca="1" si="93"/>
        <v>58332.686981525272</v>
      </c>
      <c r="AW59" s="49">
        <f t="shared" ca="1" si="93"/>
        <v>-8025.1316308800888</v>
      </c>
      <c r="AX59" s="49">
        <f t="shared" ca="1" si="93"/>
        <v>-15484.338981083565</v>
      </c>
      <c r="AY59" s="49">
        <f t="shared" ca="1" si="93"/>
        <v>-105991.96170306689</v>
      </c>
      <c r="AZ59" s="49">
        <f t="shared" ca="1" si="93"/>
        <v>-49595.113336611779</v>
      </c>
      <c r="BA59" s="49">
        <f t="shared" ca="1" si="93"/>
        <v>-24462.928023224653</v>
      </c>
      <c r="BB59" s="49">
        <f t="shared" ca="1" si="93"/>
        <v>-3729.5339449684834</v>
      </c>
      <c r="BC59" s="49">
        <f t="shared" ca="1" si="93"/>
        <v>-108356.93124220113</v>
      </c>
      <c r="BD59" s="49">
        <f t="shared" ca="1" si="93"/>
        <v>-50016.225949723383</v>
      </c>
      <c r="BE59" s="49">
        <f t="shared" ca="1" si="93"/>
        <v>424.09682018155581</v>
      </c>
      <c r="BF59" s="49">
        <f t="shared" ca="1" si="93"/>
        <v>21674.835798392829</v>
      </c>
      <c r="BG59" s="49">
        <f t="shared" ca="1" si="93"/>
        <v>-87137.655630923211</v>
      </c>
      <c r="BH59" s="49">
        <f t="shared" ca="1" si="93"/>
        <v>-26138.793579980687</v>
      </c>
      <c r="BI59" s="49">
        <f t="shared" ca="1" si="93"/>
        <v>1044.1474953721627</v>
      </c>
      <c r="BJ59" s="49">
        <f t="shared" ca="1" si="93"/>
        <v>23469.386530413933</v>
      </c>
      <c r="BK59" s="49">
        <f t="shared" ca="1" si="93"/>
        <v>-89695.606386272833</v>
      </c>
      <c r="BL59" s="49">
        <f t="shared" ca="1" si="93"/>
        <v>-26256.8219453887</v>
      </c>
      <c r="BM59" s="49">
        <f t="shared" ca="1" si="93"/>
        <v>2013.4685549691203</v>
      </c>
      <c r="BN59" s="49">
        <f t="shared" ca="1" si="93"/>
        <v>25335.71715141274</v>
      </c>
      <c r="BO59" s="49">
        <f t="shared" ca="1" si="93"/>
        <v>-92355.875481941592</v>
      </c>
      <c r="BP59" s="49">
        <f t="shared" ca="1" si="93"/>
        <v>-26379.539663422271</v>
      </c>
      <c r="BQ59" s="49">
        <f t="shared" ca="1" si="93"/>
        <v>3021.5624569501379</v>
      </c>
      <c r="BR59" s="49">
        <f t="shared" ca="1" si="93"/>
        <v>27276.700997251202</v>
      </c>
      <c r="BS59" s="49">
        <f t="shared" ca="1" si="93"/>
        <v>-95122.555341437168</v>
      </c>
      <c r="BT59" s="49">
        <f t="shared" ca="1" si="93"/>
        <v>-26872.181858594864</v>
      </c>
      <c r="BU59" s="49">
        <f t="shared" ca="1" si="93"/>
        <v>4434.9628893867775</v>
      </c>
      <c r="BV59" s="49">
        <f t="shared" ca="1" si="93"/>
        <v>29295.321789373178</v>
      </c>
      <c r="BW59" s="49">
        <f t="shared" ca="1" si="93"/>
        <v>-97999.902744138613</v>
      </c>
      <c r="BX59" s="49">
        <f t="shared" ref="BX59:CO59" ca="1" si="94">SUM(BX57:BX58)</f>
        <v>-26639.861823584739</v>
      </c>
      <c r="BY59" s="49">
        <f t="shared" ca="1" si="94"/>
        <v>5160.3344793926808</v>
      </c>
      <c r="BZ59" s="49">
        <f t="shared" ca="1" si="94"/>
        <v>31394.692324582022</v>
      </c>
      <c r="CA59" s="49">
        <f t="shared" ca="1" si="94"/>
        <v>-100992.34333134264</v>
      </c>
      <c r="CB59" s="49">
        <f t="shared" ca="1" si="94"/>
        <v>-26777.938317180102</v>
      </c>
      <c r="CC59" s="49">
        <f t="shared" ca="1" si="94"/>
        <v>6294.3030183504452</v>
      </c>
      <c r="CD59" s="49">
        <f t="shared" ca="1" si="94"/>
        <v>33578.035177347832</v>
      </c>
      <c r="CE59" s="49">
        <f t="shared" ca="1" si="94"/>
        <v>-104104.4819048146</v>
      </c>
      <c r="CF59" s="49">
        <f t="shared" ca="1" si="94"/>
        <v>-26921.500690085202</v>
      </c>
      <c r="CG59" s="49">
        <f t="shared" ca="1" si="94"/>
        <v>7473.6302988665702</v>
      </c>
      <c r="CH59" s="49">
        <f t="shared" ca="1" si="94"/>
        <v>35848.711744223838</v>
      </c>
      <c r="CI59" s="49">
        <f t="shared" ca="1" si="94"/>
        <v>-107341.10602122515</v>
      </c>
      <c r="CJ59" s="49">
        <f t="shared" ca="1" si="94"/>
        <v>-27497.822379124875</v>
      </c>
      <c r="CK59" s="49">
        <f t="shared" ca="1" si="94"/>
        <v>9127.1088934606523</v>
      </c>
      <c r="CL59" s="49">
        <f t="shared" ca="1" si="94"/>
        <v>38210.212557281484</v>
      </c>
      <c r="CM59" s="49">
        <f t="shared" ca="1" si="94"/>
        <v>-110707.19551036949</v>
      </c>
      <c r="CN59" s="49">
        <f t="shared" ca="1" si="94"/>
        <v>-27226.040797508656</v>
      </c>
      <c r="CO59" s="49">
        <f t="shared" ca="1" si="94"/>
        <v>9975.6910572095367</v>
      </c>
    </row>
    <row r="60" spans="1:93" s="133" customFormat="1" ht="14.25">
      <c r="A60" s="10"/>
      <c r="B60" s="10"/>
      <c r="C60" s="17"/>
      <c r="D60" s="10"/>
      <c r="E60" s="10"/>
      <c r="F60" s="10"/>
      <c r="G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</row>
    <row r="61" spans="1:93" s="133" customFormat="1" ht="14.25">
      <c r="A61" s="10"/>
      <c r="B61" s="10"/>
      <c r="C61" s="17" t="s">
        <v>81</v>
      </c>
      <c r="D61" s="10"/>
      <c r="E61" s="10"/>
      <c r="F61" s="10"/>
      <c r="G61" s="134" t="str">
        <f>Monetary_Unit</f>
        <v>тыс. руб.</v>
      </c>
      <c r="H61" s="10"/>
      <c r="I61" s="23">
        <f ca="1">SUM(L61:CQ61)</f>
        <v>13099701.05342696</v>
      </c>
      <c r="J61" s="10"/>
      <c r="K61" s="10"/>
      <c r="L61" s="52">
        <f ca="1">SUM(L44:L45,L47)</f>
        <v>0</v>
      </c>
      <c r="M61" s="52">
        <f t="shared" ref="M61:BX61" ca="1" si="95">SUM(M44:M45,M47)</f>
        <v>0</v>
      </c>
      <c r="N61" s="52">
        <f t="shared" ca="1" si="95"/>
        <v>0</v>
      </c>
      <c r="O61" s="52">
        <f t="shared" ca="1" si="95"/>
        <v>0</v>
      </c>
      <c r="P61" s="52">
        <f t="shared" ca="1" si="95"/>
        <v>0</v>
      </c>
      <c r="Q61" s="52">
        <f t="shared" ca="1" si="95"/>
        <v>0</v>
      </c>
      <c r="R61" s="52">
        <f t="shared" ca="1" si="95"/>
        <v>0</v>
      </c>
      <c r="S61" s="52">
        <f ca="1">SUM(S44:S45,S47)</f>
        <v>0</v>
      </c>
      <c r="T61" s="52">
        <f t="shared" ca="1" si="95"/>
        <v>0</v>
      </c>
      <c r="U61" s="52">
        <f t="shared" ca="1" si="95"/>
        <v>0</v>
      </c>
      <c r="V61" s="52">
        <f t="shared" ca="1" si="95"/>
        <v>0</v>
      </c>
      <c r="W61" s="52">
        <f t="shared" ca="1" si="95"/>
        <v>0</v>
      </c>
      <c r="X61" s="52">
        <f t="shared" ca="1" si="95"/>
        <v>0</v>
      </c>
      <c r="Y61" s="52">
        <f t="shared" ca="1" si="95"/>
        <v>0</v>
      </c>
      <c r="Z61" s="52">
        <f t="shared" ca="1" si="95"/>
        <v>0</v>
      </c>
      <c r="AA61" s="52">
        <f t="shared" ca="1" si="95"/>
        <v>0</v>
      </c>
      <c r="AB61" s="52">
        <f t="shared" ca="1" si="95"/>
        <v>0</v>
      </c>
      <c r="AC61" s="52">
        <f t="shared" ca="1" si="95"/>
        <v>131740.15302367153</v>
      </c>
      <c r="AD61" s="52">
        <f t="shared" ca="1" si="95"/>
        <v>268218.00660171604</v>
      </c>
      <c r="AE61" s="52">
        <f t="shared" ca="1" si="95"/>
        <v>89525.349364749418</v>
      </c>
      <c r="AF61" s="52">
        <f t="shared" ca="1" si="95"/>
        <v>79441.302001125165</v>
      </c>
      <c r="AG61" s="52">
        <f t="shared" ca="1" si="95"/>
        <v>154083.4311958972</v>
      </c>
      <c r="AH61" s="52">
        <f t="shared" ca="1" si="95"/>
        <v>312275.06650173716</v>
      </c>
      <c r="AI61" s="52">
        <f t="shared" ca="1" si="95"/>
        <v>104178.71599528316</v>
      </c>
      <c r="AJ61" s="52">
        <f t="shared" ca="1" si="95"/>
        <v>92208.466772372805</v>
      </c>
      <c r="AK61" s="52">
        <f t="shared" ca="1" si="95"/>
        <v>177999.69278448794</v>
      </c>
      <c r="AL61" s="52">
        <f t="shared" ca="1" si="95"/>
        <v>359423.80719070364</v>
      </c>
      <c r="AM61" s="52">
        <f t="shared" ca="1" si="95"/>
        <v>119857.37620478237</v>
      </c>
      <c r="AN61" s="52">
        <f t="shared" ca="1" si="95"/>
        <v>107049.52422254703</v>
      </c>
      <c r="AO61" s="52">
        <f t="shared" ca="1" si="95"/>
        <v>203586.02187296352</v>
      </c>
      <c r="AP61" s="52">
        <f t="shared" ca="1" si="95"/>
        <v>400861.41704878077</v>
      </c>
      <c r="AQ61" s="52">
        <f t="shared" ca="1" si="95"/>
        <v>130689.56482518857</v>
      </c>
      <c r="AR61" s="52">
        <f t="shared" ca="1" si="95"/>
        <v>112760.54749320001</v>
      </c>
      <c r="AS61" s="52">
        <f t="shared" ca="1" si="95"/>
        <v>211814.55312076292</v>
      </c>
      <c r="AT61" s="52">
        <f t="shared" ca="1" si="95"/>
        <v>416981.89205990784</v>
      </c>
      <c r="AU61" s="52">
        <f t="shared" ca="1" si="95"/>
        <v>136003.15857463804</v>
      </c>
      <c r="AV61" s="52">
        <f t="shared" ca="1" si="95"/>
        <v>117362.31920934645</v>
      </c>
      <c r="AW61" s="52">
        <f t="shared" ca="1" si="95"/>
        <v>165733.73900091081</v>
      </c>
      <c r="AX61" s="52">
        <f t="shared" ca="1" si="95"/>
        <v>324797.58069888502</v>
      </c>
      <c r="AY61" s="52">
        <f t="shared" ca="1" si="95"/>
        <v>106599.27155712488</v>
      </c>
      <c r="AZ61" s="52">
        <f t="shared" ca="1" si="95"/>
        <v>92119.094823030973</v>
      </c>
      <c r="BA61" s="52">
        <f t="shared" ca="1" si="95"/>
        <v>172455.45337532574</v>
      </c>
      <c r="BB61" s="52">
        <f t="shared" ca="1" si="95"/>
        <v>337882.86373917916</v>
      </c>
      <c r="BC61" s="52">
        <f t="shared" ca="1" si="95"/>
        <v>110956.62223174857</v>
      </c>
      <c r="BD61" s="52">
        <f t="shared" ca="1" si="95"/>
        <v>96967.814030086491</v>
      </c>
      <c r="BE61" s="52">
        <f t="shared" ca="1" si="95"/>
        <v>179453.14743218984</v>
      </c>
      <c r="BF61" s="52">
        <f t="shared" ca="1" si="95"/>
        <v>351498.75534222065</v>
      </c>
      <c r="BG61" s="52">
        <f t="shared" ca="1" si="95"/>
        <v>115495.47224284333</v>
      </c>
      <c r="BH61" s="52">
        <f t="shared" ca="1" si="95"/>
        <v>99822.366586083706</v>
      </c>
      <c r="BI61" s="52">
        <f t="shared" ca="1" si="95"/>
        <v>186716.24259208454</v>
      </c>
      <c r="BJ61" s="52">
        <f t="shared" ca="1" si="95"/>
        <v>365644.60023746704</v>
      </c>
      <c r="BK61" s="52">
        <f t="shared" ca="1" si="95"/>
        <v>120201.17742303037</v>
      </c>
      <c r="BL61" s="52">
        <f t="shared" ca="1" si="95"/>
        <v>103906.61106594546</v>
      </c>
      <c r="BM61" s="52">
        <f t="shared" ca="1" si="95"/>
        <v>194277.25711014643</v>
      </c>
      <c r="BN61" s="52">
        <f t="shared" ca="1" si="95"/>
        <v>380363.76405930438</v>
      </c>
      <c r="BO61" s="52">
        <f t="shared" ca="1" si="95"/>
        <v>125102.60433229042</v>
      </c>
      <c r="BP61" s="52">
        <f t="shared" ca="1" si="95"/>
        <v>108154.22532500159</v>
      </c>
      <c r="BQ61" s="52">
        <f t="shared" ca="1" si="95"/>
        <v>202140.71220893084</v>
      </c>
      <c r="BR61" s="52">
        <f t="shared" ca="1" si="95"/>
        <v>385577.60717327439</v>
      </c>
      <c r="BS61" s="52">
        <f t="shared" ca="1" si="95"/>
        <v>120234.58815604274</v>
      </c>
      <c r="BT61" s="52">
        <f t="shared" ca="1" si="95"/>
        <v>104126.37407427339</v>
      </c>
      <c r="BU61" s="52">
        <f t="shared" ca="1" si="95"/>
        <v>200749.38933012623</v>
      </c>
      <c r="BV61" s="52">
        <f t="shared" ca="1" si="95"/>
        <v>402045.71363622107</v>
      </c>
      <c r="BW61" s="52">
        <f t="shared" ca="1" si="95"/>
        <v>126083.48848230299</v>
      </c>
      <c r="BX61" s="52">
        <f t="shared" ca="1" si="95"/>
        <v>108046.06351874677</v>
      </c>
      <c r="BY61" s="52">
        <f t="shared" ref="BY61:CO61" ca="1" si="96">SUM(BY44:BY45,BY47)</f>
        <v>209729.7755166018</v>
      </c>
      <c r="BZ61" s="52">
        <f t="shared" ca="1" si="96"/>
        <v>419083.60904716462</v>
      </c>
      <c r="CA61" s="52">
        <f t="shared" ca="1" si="96"/>
        <v>132078.10697085972</v>
      </c>
      <c r="CB61" s="52">
        <f t="shared" ca="1" si="96"/>
        <v>113327.21879323981</v>
      </c>
      <c r="CC61" s="52">
        <f t="shared" ca="1" si="96"/>
        <v>219083.85072486367</v>
      </c>
      <c r="CD61" s="52">
        <f t="shared" ca="1" si="96"/>
        <v>436817.29723563528</v>
      </c>
      <c r="CE61" s="52">
        <f t="shared" ca="1" si="96"/>
        <v>138326.43159232353</v>
      </c>
      <c r="CF61" s="52">
        <f t="shared" ca="1" si="96"/>
        <v>118799.49360236892</v>
      </c>
      <c r="CG61" s="52">
        <f t="shared" ca="1" si="96"/>
        <v>228791.73863537519</v>
      </c>
      <c r="CH61" s="52">
        <f t="shared" ca="1" si="96"/>
        <v>455239.75901582639</v>
      </c>
      <c r="CI61" s="52">
        <f t="shared" ca="1" si="96"/>
        <v>144804.11526282789</v>
      </c>
      <c r="CJ61" s="52">
        <f t="shared" ca="1" si="96"/>
        <v>125881.95912913141</v>
      </c>
      <c r="CK61" s="52">
        <f t="shared" ca="1" si="96"/>
        <v>238895.67543655858</v>
      </c>
      <c r="CL61" s="52">
        <f t="shared" ca="1" si="96"/>
        <v>474406.597227094</v>
      </c>
      <c r="CM61" s="52">
        <f t="shared" ca="1" si="96"/>
        <v>151548.04395124418</v>
      </c>
      <c r="CN61" s="52">
        <f t="shared" ca="1" si="96"/>
        <v>130348.28674133205</v>
      </c>
      <c r="CO61" s="52">
        <f t="shared" ca="1" si="96"/>
        <v>249326.1286958305</v>
      </c>
    </row>
    <row r="62" spans="1:93" s="133" customFormat="1" ht="14.25">
      <c r="A62" s="10"/>
      <c r="B62" s="10"/>
      <c r="C62" s="17" t="s">
        <v>82</v>
      </c>
      <c r="D62" s="10"/>
      <c r="E62" s="10"/>
      <c r="F62" s="10"/>
      <c r="G62" s="134" t="str">
        <f>Monetary_Unit</f>
        <v>тыс. руб.</v>
      </c>
      <c r="H62" s="10"/>
      <c r="I62" s="23">
        <f ca="1">SUM(L62:CQ62)</f>
        <v>10929416.2803367</v>
      </c>
      <c r="J62" s="10"/>
      <c r="K62" s="10"/>
      <c r="L62" s="52">
        <f ca="1">SUM(L44:L45,L47,L51)</f>
        <v>0</v>
      </c>
      <c r="M62" s="52">
        <f t="shared" ref="M62:BX62" ca="1" si="97">SUM(M44:M45,M47,M51)</f>
        <v>0</v>
      </c>
      <c r="N62" s="52">
        <f t="shared" ca="1" si="97"/>
        <v>0</v>
      </c>
      <c r="O62" s="52">
        <f t="shared" ca="1" si="97"/>
        <v>0</v>
      </c>
      <c r="P62" s="52">
        <f t="shared" ca="1" si="97"/>
        <v>0</v>
      </c>
      <c r="Q62" s="52">
        <f t="shared" ca="1" si="97"/>
        <v>0</v>
      </c>
      <c r="R62" s="52">
        <f t="shared" ca="1" si="97"/>
        <v>0</v>
      </c>
      <c r="S62" s="52">
        <f t="shared" ca="1" si="97"/>
        <v>0</v>
      </c>
      <c r="T62" s="52">
        <f t="shared" ca="1" si="97"/>
        <v>0</v>
      </c>
      <c r="U62" s="52">
        <f t="shared" ca="1" si="97"/>
        <v>0</v>
      </c>
      <c r="V62" s="52">
        <f t="shared" ca="1" si="97"/>
        <v>0</v>
      </c>
      <c r="W62" s="52">
        <f t="shared" ca="1" si="97"/>
        <v>0</v>
      </c>
      <c r="X62" s="52">
        <f t="shared" ca="1" si="97"/>
        <v>0</v>
      </c>
      <c r="Y62" s="52">
        <f t="shared" ca="1" si="97"/>
        <v>0</v>
      </c>
      <c r="Z62" s="52">
        <f t="shared" ca="1" si="97"/>
        <v>0</v>
      </c>
      <c r="AA62" s="52">
        <f t="shared" ca="1" si="97"/>
        <v>0</v>
      </c>
      <c r="AB62" s="52">
        <f t="shared" ca="1" si="97"/>
        <v>0</v>
      </c>
      <c r="AC62" s="52">
        <f t="shared" ca="1" si="97"/>
        <v>84872.429798963509</v>
      </c>
      <c r="AD62" s="52">
        <f t="shared" ca="1" si="97"/>
        <v>221350.28337700802</v>
      </c>
      <c r="AE62" s="52">
        <f t="shared" ca="1" si="97"/>
        <v>42657.626140041393</v>
      </c>
      <c r="AF62" s="52">
        <f t="shared" ca="1" si="97"/>
        <v>32573.57877641714</v>
      </c>
      <c r="AG62" s="52">
        <f t="shared" ca="1" si="97"/>
        <v>107215.70797118917</v>
      </c>
      <c r="AH62" s="52">
        <f t="shared" ca="1" si="97"/>
        <v>265407.34327702911</v>
      </c>
      <c r="AI62" s="52">
        <f t="shared" ca="1" si="97"/>
        <v>57310.992770575132</v>
      </c>
      <c r="AJ62" s="52">
        <f t="shared" ca="1" si="97"/>
        <v>45340.743547664781</v>
      </c>
      <c r="AK62" s="52">
        <f t="shared" ca="1" si="97"/>
        <v>131131.96955977991</v>
      </c>
      <c r="AL62" s="52">
        <f t="shared" ca="1" si="97"/>
        <v>312556.08396599558</v>
      </c>
      <c r="AM62" s="52">
        <f t="shared" ca="1" si="97"/>
        <v>72989.652980074345</v>
      </c>
      <c r="AN62" s="52">
        <f t="shared" ca="1" si="97"/>
        <v>60181.800997839004</v>
      </c>
      <c r="AO62" s="52">
        <f t="shared" ca="1" si="97"/>
        <v>156718.2986482555</v>
      </c>
      <c r="AP62" s="52">
        <f t="shared" ca="1" si="97"/>
        <v>353993.69382407272</v>
      </c>
      <c r="AQ62" s="52">
        <f t="shared" ca="1" si="97"/>
        <v>83821.841600480548</v>
      </c>
      <c r="AR62" s="52">
        <f t="shared" ca="1" si="97"/>
        <v>65892.824268491982</v>
      </c>
      <c r="AS62" s="52">
        <f t="shared" ca="1" si="97"/>
        <v>164946.8298960549</v>
      </c>
      <c r="AT62" s="52">
        <f t="shared" ca="1" si="97"/>
        <v>370114.16883519979</v>
      </c>
      <c r="AU62" s="52">
        <f t="shared" ca="1" si="97"/>
        <v>89135.43534993002</v>
      </c>
      <c r="AV62" s="52">
        <f t="shared" ca="1" si="97"/>
        <v>70494.595984638421</v>
      </c>
      <c r="AW62" s="52">
        <f t="shared" ca="1" si="97"/>
        <v>118866.01577620278</v>
      </c>
      <c r="AX62" s="52">
        <f t="shared" ca="1" si="97"/>
        <v>277929.85747417703</v>
      </c>
      <c r="AY62" s="52">
        <f t="shared" ca="1" si="97"/>
        <v>59731.54833241686</v>
      </c>
      <c r="AZ62" s="52">
        <f t="shared" ca="1" si="97"/>
        <v>45251.371598322949</v>
      </c>
      <c r="BA62" s="52">
        <f t="shared" ca="1" si="97"/>
        <v>125587.73015061772</v>
      </c>
      <c r="BB62" s="52">
        <f t="shared" ca="1" si="97"/>
        <v>291015.1405144711</v>
      </c>
      <c r="BC62" s="52">
        <f t="shared" ca="1" si="97"/>
        <v>64088.899007040542</v>
      </c>
      <c r="BD62" s="52">
        <f t="shared" ca="1" si="97"/>
        <v>50100.090805378488</v>
      </c>
      <c r="BE62" s="52">
        <f t="shared" ca="1" si="97"/>
        <v>156264.2684376376</v>
      </c>
      <c r="BF62" s="52">
        <f t="shared" ca="1" si="97"/>
        <v>328309.87634766841</v>
      </c>
      <c r="BG62" s="52">
        <f t="shared" ca="1" si="97"/>
        <v>92306.593248291087</v>
      </c>
      <c r="BH62" s="52">
        <f t="shared" ca="1" si="97"/>
        <v>76633.487591531462</v>
      </c>
      <c r="BI62" s="52">
        <f t="shared" ca="1" si="97"/>
        <v>163527.3635975323</v>
      </c>
      <c r="BJ62" s="52">
        <f t="shared" ca="1" si="97"/>
        <v>342455.72124291479</v>
      </c>
      <c r="BK62" s="52">
        <f t="shared" ca="1" si="97"/>
        <v>97012.298428478127</v>
      </c>
      <c r="BL62" s="52">
        <f t="shared" ca="1" si="97"/>
        <v>80717.732071393213</v>
      </c>
      <c r="BM62" s="52">
        <f t="shared" ca="1" si="97"/>
        <v>171088.37811559418</v>
      </c>
      <c r="BN62" s="52">
        <f t="shared" ca="1" si="97"/>
        <v>357174.88506475213</v>
      </c>
      <c r="BO62" s="52">
        <f t="shared" ca="1" si="97"/>
        <v>101913.72533773817</v>
      </c>
      <c r="BP62" s="52">
        <f t="shared" ca="1" si="97"/>
        <v>84965.346330449349</v>
      </c>
      <c r="BQ62" s="52">
        <f t="shared" ca="1" si="97"/>
        <v>178951.8332143786</v>
      </c>
      <c r="BR62" s="52">
        <f t="shared" ca="1" si="97"/>
        <v>362388.72817872214</v>
      </c>
      <c r="BS62" s="52">
        <f t="shared" ca="1" si="97"/>
        <v>97045.709161490493</v>
      </c>
      <c r="BT62" s="52">
        <f t="shared" ca="1" si="97"/>
        <v>80937.49507972115</v>
      </c>
      <c r="BU62" s="52">
        <f t="shared" ca="1" si="97"/>
        <v>177560.51033557398</v>
      </c>
      <c r="BV62" s="52">
        <f t="shared" ca="1" si="97"/>
        <v>378856.83464166883</v>
      </c>
      <c r="BW62" s="52">
        <f t="shared" ca="1" si="97"/>
        <v>102894.60948775074</v>
      </c>
      <c r="BX62" s="52">
        <f t="shared" ca="1" si="97"/>
        <v>84857.184524194527</v>
      </c>
      <c r="BY62" s="52">
        <f t="shared" ref="BY62:CO62" ca="1" si="98">SUM(BY44:BY45,BY47,BY51)</f>
        <v>186540.89652204956</v>
      </c>
      <c r="BZ62" s="52">
        <f t="shared" ca="1" si="98"/>
        <v>395894.73005261237</v>
      </c>
      <c r="CA62" s="52">
        <f t="shared" ca="1" si="98"/>
        <v>108889.22797630748</v>
      </c>
      <c r="CB62" s="52">
        <f t="shared" ca="1" si="98"/>
        <v>90138.339798687564</v>
      </c>
      <c r="CC62" s="52">
        <f t="shared" ca="1" si="98"/>
        <v>195894.97173031143</v>
      </c>
      <c r="CD62" s="52">
        <f t="shared" ca="1" si="98"/>
        <v>413628.41824108304</v>
      </c>
      <c r="CE62" s="52">
        <f t="shared" ca="1" si="98"/>
        <v>115137.55259777128</v>
      </c>
      <c r="CF62" s="52">
        <f t="shared" ca="1" si="98"/>
        <v>95610.614607816678</v>
      </c>
      <c r="CG62" s="52">
        <f t="shared" ca="1" si="98"/>
        <v>205602.85964082295</v>
      </c>
      <c r="CH62" s="52">
        <f t="shared" ca="1" si="98"/>
        <v>432050.88002127415</v>
      </c>
      <c r="CI62" s="52">
        <f t="shared" ca="1" si="98"/>
        <v>121615.23626827565</v>
      </c>
      <c r="CJ62" s="52">
        <f t="shared" ca="1" si="98"/>
        <v>102693.08013457917</v>
      </c>
      <c r="CK62" s="52">
        <f t="shared" ca="1" si="98"/>
        <v>215706.79644200634</v>
      </c>
      <c r="CL62" s="52">
        <f t="shared" ca="1" si="98"/>
        <v>451217.71823254175</v>
      </c>
      <c r="CM62" s="52">
        <f t="shared" ca="1" si="98"/>
        <v>128359.16495669194</v>
      </c>
      <c r="CN62" s="52">
        <f t="shared" ca="1" si="98"/>
        <v>107159.40774677981</v>
      </c>
      <c r="CO62" s="52">
        <f t="shared" ca="1" si="98"/>
        <v>226137.24970127826</v>
      </c>
    </row>
    <row r="63" spans="1:93" s="133" customFormat="1" ht="14.25">
      <c r="A63" s="10"/>
      <c r="B63" s="10"/>
      <c r="C63" s="17" t="s">
        <v>513</v>
      </c>
      <c r="D63" s="10"/>
      <c r="E63" s="10"/>
      <c r="F63" s="10"/>
      <c r="G63" s="134" t="s">
        <v>28</v>
      </c>
      <c r="H63" s="10"/>
      <c r="I63" s="10"/>
      <c r="J63" s="10"/>
      <c r="K63" s="10"/>
      <c r="L63" s="43">
        <f t="shared" ref="L63:BW63" ca="1" si="99">IFERROR(EBITDA/Revenue,0)</f>
        <v>0</v>
      </c>
      <c r="M63" s="43">
        <f t="shared" ca="1" si="99"/>
        <v>0</v>
      </c>
      <c r="N63" s="43">
        <f t="shared" ca="1" si="99"/>
        <v>0</v>
      </c>
      <c r="O63" s="43">
        <f t="shared" ca="1" si="99"/>
        <v>0</v>
      </c>
      <c r="P63" s="43">
        <f t="shared" ca="1" si="99"/>
        <v>0</v>
      </c>
      <c r="Q63" s="43">
        <f t="shared" ca="1" si="99"/>
        <v>0</v>
      </c>
      <c r="R63" s="43">
        <f t="shared" ca="1" si="99"/>
        <v>0</v>
      </c>
      <c r="S63" s="43">
        <f t="shared" ca="1" si="99"/>
        <v>0</v>
      </c>
      <c r="T63" s="43">
        <f t="shared" ca="1" si="99"/>
        <v>0</v>
      </c>
      <c r="U63" s="43">
        <f t="shared" ca="1" si="99"/>
        <v>0</v>
      </c>
      <c r="V63" s="43">
        <f t="shared" ca="1" si="99"/>
        <v>0</v>
      </c>
      <c r="W63" s="43">
        <f t="shared" ca="1" si="99"/>
        <v>0</v>
      </c>
      <c r="X63" s="43">
        <f t="shared" ca="1" si="99"/>
        <v>0</v>
      </c>
      <c r="Y63" s="43">
        <f t="shared" ca="1" si="99"/>
        <v>0</v>
      </c>
      <c r="Z63" s="43">
        <f t="shared" ca="1" si="99"/>
        <v>0</v>
      </c>
      <c r="AA63" s="43">
        <f t="shared" ca="1" si="99"/>
        <v>0</v>
      </c>
      <c r="AB63" s="43">
        <f t="shared" ca="1" si="99"/>
        <v>0</v>
      </c>
      <c r="AC63" s="43">
        <f t="shared" ca="1" si="99"/>
        <v>0.45880536619305806</v>
      </c>
      <c r="AD63" s="43">
        <f t="shared" ca="1" si="99"/>
        <v>0.48979050364346827</v>
      </c>
      <c r="AE63" s="43">
        <f t="shared" ca="1" si="99"/>
        <v>0.44043243373247859</v>
      </c>
      <c r="AF63" s="43">
        <f t="shared" ca="1" si="99"/>
        <v>0.43141064289987635</v>
      </c>
      <c r="AG63" s="43">
        <f t="shared" ca="1" si="99"/>
        <v>0.46003726633294439</v>
      </c>
      <c r="AH63" s="43">
        <f t="shared" ca="1" si="99"/>
        <v>0.49043105689455929</v>
      </c>
      <c r="AI63" s="43">
        <f t="shared" ca="1" si="99"/>
        <v>0.44212625950726619</v>
      </c>
      <c r="AJ63" s="43">
        <f t="shared" ca="1" si="99"/>
        <v>0.43320704571748964</v>
      </c>
      <c r="AK63" s="43">
        <f t="shared" ca="1" si="99"/>
        <v>0.46101860014446661</v>
      </c>
      <c r="AL63" s="43">
        <f t="shared" ca="1" si="99"/>
        <v>0.49094418756985858</v>
      </c>
      <c r="AM63" s="43">
        <f t="shared" ca="1" si="99"/>
        <v>0.44349035096608846</v>
      </c>
      <c r="AN63" s="43">
        <f t="shared" ca="1" si="99"/>
        <v>0.43468940981686227</v>
      </c>
      <c r="AO63" s="43">
        <f t="shared" ca="1" si="99"/>
        <v>0.4618325465138069</v>
      </c>
      <c r="AP63" s="43">
        <f t="shared" ca="1" si="99"/>
        <v>0.49130288208297551</v>
      </c>
      <c r="AQ63" s="43">
        <f t="shared" ca="1" si="99"/>
        <v>0.44425769253388164</v>
      </c>
      <c r="AR63" s="43">
        <f t="shared" ca="1" si="99"/>
        <v>0.43524497204310303</v>
      </c>
      <c r="AS63" s="43">
        <f t="shared" ca="1" si="99"/>
        <v>0.46201814894759846</v>
      </c>
      <c r="AT63" s="43">
        <f t="shared" ca="1" si="99"/>
        <v>0.49140425284651384</v>
      </c>
      <c r="AU63" s="43">
        <f t="shared" ca="1" si="99"/>
        <v>0.44453882790656202</v>
      </c>
      <c r="AV63" s="43">
        <f t="shared" ca="1" si="99"/>
        <v>0.43558401203312797</v>
      </c>
      <c r="AW63" s="43">
        <f t="shared" ca="1" si="99"/>
        <v>0.39259676525474324</v>
      </c>
      <c r="AX63" s="43">
        <f t="shared" ca="1" si="99"/>
        <v>0.41988642277888821</v>
      </c>
      <c r="AY63" s="43">
        <f t="shared" ca="1" si="99"/>
        <v>0.37635347282855197</v>
      </c>
      <c r="AZ63" s="43">
        <f t="shared" ca="1" si="99"/>
        <v>0.36820375818670015</v>
      </c>
      <c r="BA63" s="43">
        <f t="shared" ca="1" si="99"/>
        <v>0.39280714746389911</v>
      </c>
      <c r="BB63" s="43">
        <f t="shared" ca="1" si="99"/>
        <v>0.42000249778189575</v>
      </c>
      <c r="BC63" s="43">
        <f t="shared" ca="1" si="99"/>
        <v>0.37667047435131817</v>
      </c>
      <c r="BD63" s="43">
        <f t="shared" ca="1" si="99"/>
        <v>0.36858184378813968</v>
      </c>
      <c r="BE63" s="43">
        <f t="shared" ca="1" si="99"/>
        <v>0.39302501227131903</v>
      </c>
      <c r="BF63" s="43">
        <f t="shared" ca="1" si="99"/>
        <v>0.42012271073770702</v>
      </c>
      <c r="BG63" s="43">
        <f t="shared" ca="1" si="99"/>
        <v>0.37699880298437721</v>
      </c>
      <c r="BH63" s="43">
        <f t="shared" ca="1" si="99"/>
        <v>0.36889242590050697</v>
      </c>
      <c r="BI63" s="43">
        <f t="shared" ca="1" si="99"/>
        <v>0.39320394822820931</v>
      </c>
      <c r="BJ63" s="43">
        <f t="shared" ca="1" si="99"/>
        <v>0.42022142622691711</v>
      </c>
      <c r="BK63" s="43">
        <f t="shared" ca="1" si="99"/>
        <v>0.37726836923523427</v>
      </c>
      <c r="BL63" s="43">
        <f t="shared" ca="1" si="99"/>
        <v>0.36921702418190172</v>
      </c>
      <c r="BM63" s="43">
        <f t="shared" ca="1" si="99"/>
        <v>0.39339097724607791</v>
      </c>
      <c r="BN63" s="43">
        <f t="shared" ca="1" si="99"/>
        <v>0.42032461648192337</v>
      </c>
      <c r="BO63" s="43">
        <f t="shared" ca="1" si="99"/>
        <v>0.37755018243466693</v>
      </c>
      <c r="BP63" s="43">
        <f t="shared" ca="1" si="99"/>
        <v>0.36952913791401198</v>
      </c>
      <c r="BQ63" s="43">
        <f t="shared" ca="1" si="99"/>
        <v>0.39357081284018253</v>
      </c>
      <c r="BR63" s="43">
        <f t="shared" ca="1" si="99"/>
        <v>0.40969829201614033</v>
      </c>
      <c r="BS63" s="43">
        <f t="shared" ca="1" si="99"/>
        <v>0.34890276769489875</v>
      </c>
      <c r="BT63" s="43">
        <f t="shared" ca="1" si="99"/>
        <v>0.3383247123219521</v>
      </c>
      <c r="BU63" s="43">
        <f t="shared" ca="1" si="99"/>
        <v>0.3758287380818558</v>
      </c>
      <c r="BV63" s="43">
        <f t="shared" ca="1" si="99"/>
        <v>0.41076595996392978</v>
      </c>
      <c r="BW63" s="43">
        <f t="shared" ca="1" si="99"/>
        <v>0.35180326968401787</v>
      </c>
      <c r="BX63" s="43">
        <f t="shared" ref="BX63:CO63" ca="1" si="100">IFERROR(EBITDA/Revenue,0)</f>
        <v>0.34130878594159908</v>
      </c>
      <c r="BY63" s="43">
        <f t="shared" ca="1" si="100"/>
        <v>0.3775395950030388</v>
      </c>
      <c r="BZ63" s="43">
        <f t="shared" ca="1" si="100"/>
        <v>0.41170519425054369</v>
      </c>
      <c r="CA63" s="43">
        <f t="shared" ca="1" si="100"/>
        <v>0.35435547848661131</v>
      </c>
      <c r="CB63" s="43">
        <f t="shared" ca="1" si="100"/>
        <v>0.34422262385114272</v>
      </c>
      <c r="CC63" s="43">
        <f t="shared" ca="1" si="100"/>
        <v>0.37920970187725367</v>
      </c>
      <c r="CD63" s="43">
        <f t="shared" ca="1" si="100"/>
        <v>0.41262179029529955</v>
      </c>
      <c r="CE63" s="43">
        <f t="shared" ca="1" si="100"/>
        <v>0.3568454389080214</v>
      </c>
      <c r="CF63" s="43">
        <f t="shared" ca="1" si="100"/>
        <v>0.34696560913343655</v>
      </c>
      <c r="CG63" s="43">
        <f t="shared" ca="1" si="100"/>
        <v>0.38078170453583343</v>
      </c>
      <c r="CH63" s="43">
        <f t="shared" ca="1" si="100"/>
        <v>0.41348444578425525</v>
      </c>
      <c r="CI63" s="43">
        <f t="shared" ca="1" si="100"/>
        <v>0.35918859769040873</v>
      </c>
      <c r="CJ63" s="43">
        <f t="shared" ca="1" si="100"/>
        <v>0.3496255091508324</v>
      </c>
      <c r="CK63" s="43">
        <f t="shared" ca="1" si="100"/>
        <v>0.38230562130073764</v>
      </c>
      <c r="CL63" s="43">
        <f t="shared" ca="1" si="100"/>
        <v>0.41432045305202125</v>
      </c>
      <c r="CM63" s="43">
        <f t="shared" ca="1" si="100"/>
        <v>0.36145865910734198</v>
      </c>
      <c r="CN63" s="43">
        <f t="shared" ca="1" si="100"/>
        <v>0.35197392355935875</v>
      </c>
      <c r="CO63" s="43">
        <f t="shared" ca="1" si="100"/>
        <v>0.38365145549967877</v>
      </c>
    </row>
    <row r="64" spans="1:93" s="133" customFormat="1" ht="14.25">
      <c r="A64" s="10"/>
      <c r="B64" s="10"/>
      <c r="C64" s="17" t="s">
        <v>514</v>
      </c>
      <c r="D64" s="10"/>
      <c r="E64" s="10"/>
      <c r="F64" s="10"/>
      <c r="G64" s="134" t="s">
        <v>28</v>
      </c>
      <c r="H64" s="10"/>
      <c r="I64" s="10"/>
      <c r="J64" s="10"/>
      <c r="K64" s="10"/>
      <c r="L64" s="43">
        <f t="shared" ref="L64:BW64" ca="1" si="101">IFERROR(EBIT/Revenue,0)</f>
        <v>0</v>
      </c>
      <c r="M64" s="43">
        <f t="shared" ca="1" si="101"/>
        <v>0</v>
      </c>
      <c r="N64" s="43">
        <f t="shared" ca="1" si="101"/>
        <v>0</v>
      </c>
      <c r="O64" s="43">
        <f t="shared" ca="1" si="101"/>
        <v>0</v>
      </c>
      <c r="P64" s="43">
        <f t="shared" ca="1" si="101"/>
        <v>0</v>
      </c>
      <c r="Q64" s="43">
        <f t="shared" ca="1" si="101"/>
        <v>0</v>
      </c>
      <c r="R64" s="43">
        <f t="shared" ca="1" si="101"/>
        <v>0</v>
      </c>
      <c r="S64" s="43">
        <f t="shared" ca="1" si="101"/>
        <v>0</v>
      </c>
      <c r="T64" s="43">
        <f t="shared" ca="1" si="101"/>
        <v>0</v>
      </c>
      <c r="U64" s="43">
        <f t="shared" ca="1" si="101"/>
        <v>0</v>
      </c>
      <c r="V64" s="43">
        <f t="shared" ca="1" si="101"/>
        <v>0</v>
      </c>
      <c r="W64" s="43">
        <f t="shared" ca="1" si="101"/>
        <v>0</v>
      </c>
      <c r="X64" s="43">
        <f t="shared" ca="1" si="101"/>
        <v>0</v>
      </c>
      <c r="Y64" s="43">
        <f t="shared" ca="1" si="101"/>
        <v>0</v>
      </c>
      <c r="Z64" s="43">
        <f t="shared" ca="1" si="101"/>
        <v>0</v>
      </c>
      <c r="AA64" s="43">
        <f t="shared" ca="1" si="101"/>
        <v>0</v>
      </c>
      <c r="AB64" s="43">
        <f t="shared" ca="1" si="101"/>
        <v>0</v>
      </c>
      <c r="AC64" s="43">
        <f t="shared" ca="1" si="101"/>
        <v>0.29558130410408134</v>
      </c>
      <c r="AD64" s="43">
        <f t="shared" ca="1" si="101"/>
        <v>0.40420577332020013</v>
      </c>
      <c r="AE64" s="43">
        <f t="shared" ca="1" si="101"/>
        <v>0.20986013717257068</v>
      </c>
      <c r="AF64" s="43">
        <f t="shared" ca="1" si="101"/>
        <v>0.176892727177166</v>
      </c>
      <c r="AG64" s="43">
        <f t="shared" ca="1" si="101"/>
        <v>0.32010723554247067</v>
      </c>
      <c r="AH64" s="43">
        <f t="shared" ca="1" si="101"/>
        <v>0.41682483756738359</v>
      </c>
      <c r="AI64" s="43">
        <f t="shared" ca="1" si="101"/>
        <v>0.24322333617021738</v>
      </c>
      <c r="AJ64" s="43">
        <f t="shared" ca="1" si="101"/>
        <v>0.21301655097906083</v>
      </c>
      <c r="AK64" s="43">
        <f t="shared" ca="1" si="101"/>
        <v>0.33963135607110961</v>
      </c>
      <c r="AL64" s="43">
        <f t="shared" ca="1" si="101"/>
        <v>0.42692662434373957</v>
      </c>
      <c r="AM64" s="43">
        <f t="shared" ca="1" si="101"/>
        <v>0.27007271343667699</v>
      </c>
      <c r="AN64" s="43">
        <f t="shared" ca="1" si="101"/>
        <v>0.24437653270724696</v>
      </c>
      <c r="AO64" s="43">
        <f t="shared" ca="1" si="101"/>
        <v>0.35551365601710289</v>
      </c>
      <c r="AP64" s="43">
        <f t="shared" ca="1" si="101"/>
        <v>0.43386096695307863</v>
      </c>
      <c r="AQ64" s="43">
        <f t="shared" ca="1" si="101"/>
        <v>0.28493857166928771</v>
      </c>
      <c r="AR64" s="43">
        <f t="shared" ca="1" si="101"/>
        <v>0.25434002489488095</v>
      </c>
      <c r="AS64" s="43">
        <f t="shared" ca="1" si="101"/>
        <v>0.35978844654692155</v>
      </c>
      <c r="AT64" s="43">
        <f t="shared" ca="1" si="101"/>
        <v>0.4361716421446899</v>
      </c>
      <c r="AU64" s="43">
        <f t="shared" ca="1" si="101"/>
        <v>0.29134736553676016</v>
      </c>
      <c r="AV64" s="43">
        <f t="shared" ca="1" si="101"/>
        <v>0.26163694746752975</v>
      </c>
      <c r="AW64" s="43">
        <f t="shared" ca="1" si="101"/>
        <v>0.28157461222907687</v>
      </c>
      <c r="AX64" s="43">
        <f t="shared" ca="1" si="101"/>
        <v>0.3592975458350729</v>
      </c>
      <c r="AY64" s="43">
        <f t="shared" ca="1" si="101"/>
        <v>0.21088488996179314</v>
      </c>
      <c r="AZ64" s="43">
        <f t="shared" ca="1" si="101"/>
        <v>0.18087156758991257</v>
      </c>
      <c r="BA64" s="43">
        <f t="shared" ca="1" si="101"/>
        <v>0.28605507724691215</v>
      </c>
      <c r="BB64" s="43">
        <f t="shared" ca="1" si="101"/>
        <v>0.36174396225899635</v>
      </c>
      <c r="BC64" s="43">
        <f t="shared" ca="1" si="101"/>
        <v>0.21756606774866544</v>
      </c>
      <c r="BD64" s="43">
        <f t="shared" ca="1" si="101"/>
        <v>0.19043415619609752</v>
      </c>
      <c r="BE64" s="43">
        <f t="shared" ca="1" si="101"/>
        <v>0.34223844440219947</v>
      </c>
      <c r="BF64" s="43">
        <f t="shared" ca="1" si="101"/>
        <v>0.39240661059767967</v>
      </c>
      <c r="BG64" s="43">
        <f t="shared" ca="1" si="101"/>
        <v>0.30130596885219352</v>
      </c>
      <c r="BH64" s="43">
        <f t="shared" ca="1" si="101"/>
        <v>0.28319818603456659</v>
      </c>
      <c r="BI64" s="43">
        <f t="shared" ca="1" si="101"/>
        <v>0.34437070989251745</v>
      </c>
      <c r="BJ64" s="43">
        <f t="shared" ca="1" si="101"/>
        <v>0.39357132993842925</v>
      </c>
      <c r="BK64" s="43">
        <f t="shared" ca="1" si="101"/>
        <v>0.3044867979542884</v>
      </c>
      <c r="BL64" s="43">
        <f t="shared" ca="1" si="101"/>
        <v>0.28681871661849756</v>
      </c>
      <c r="BM64" s="43">
        <f t="shared" ca="1" si="101"/>
        <v>0.34643594038483572</v>
      </c>
      <c r="BN64" s="43">
        <f t="shared" ca="1" si="101"/>
        <v>0.39469952389683893</v>
      </c>
      <c r="BO64" s="43">
        <f t="shared" ca="1" si="101"/>
        <v>0.3075679023568344</v>
      </c>
      <c r="BP64" s="43">
        <f t="shared" ca="1" si="101"/>
        <v>0.29029999602612333</v>
      </c>
      <c r="BQ64" s="43">
        <f t="shared" ca="1" si="101"/>
        <v>0.34842173893514194</v>
      </c>
      <c r="BR64" s="43">
        <f t="shared" ca="1" si="101"/>
        <v>0.38505877991509757</v>
      </c>
      <c r="BS64" s="43">
        <f t="shared" ca="1" si="101"/>
        <v>0.28161211377390588</v>
      </c>
      <c r="BT64" s="43">
        <f t="shared" ca="1" si="101"/>
        <v>0.26298000849788211</v>
      </c>
      <c r="BU64" s="43">
        <f t="shared" ca="1" si="101"/>
        <v>0.3324161670193167</v>
      </c>
      <c r="BV64" s="43">
        <f t="shared" ca="1" si="101"/>
        <v>0.38707412140523478</v>
      </c>
      <c r="BW64" s="43">
        <f t="shared" ca="1" si="101"/>
        <v>0.28710071783690932</v>
      </c>
      <c r="BX64" s="43">
        <f t="shared" ref="BX64:CO64" ca="1" si="102">IFERROR(EBIT/Revenue,0)</f>
        <v>0.26805699055708665</v>
      </c>
      <c r="BY64" s="43">
        <f t="shared" ca="1" si="102"/>
        <v>0.3357967382121359</v>
      </c>
      <c r="BZ64" s="43">
        <f t="shared" ca="1" si="102"/>
        <v>0.38892458025179855</v>
      </c>
      <c r="CA64" s="43">
        <f t="shared" ca="1" si="102"/>
        <v>0.29214148632593001</v>
      </c>
      <c r="CB64" s="43">
        <f t="shared" ca="1" si="102"/>
        <v>0.27378820521218844</v>
      </c>
      <c r="CC64" s="43">
        <f t="shared" ca="1" si="102"/>
        <v>0.33907233957830857</v>
      </c>
      <c r="CD64" s="43">
        <f t="shared" ca="1" si="102"/>
        <v>0.39071735375804462</v>
      </c>
      <c r="CE64" s="43">
        <f t="shared" ca="1" si="102"/>
        <v>0.297024292599674</v>
      </c>
      <c r="CF64" s="43">
        <f t="shared" ca="1" si="102"/>
        <v>0.27924020659598048</v>
      </c>
      <c r="CG64" s="43">
        <f t="shared" ca="1" si="102"/>
        <v>0.34218808694069386</v>
      </c>
      <c r="CH64" s="43">
        <f t="shared" ca="1" si="102"/>
        <v>0.39242248757535619</v>
      </c>
      <c r="CI64" s="43">
        <f t="shared" ca="1" si="102"/>
        <v>0.30166826470161318</v>
      </c>
      <c r="CJ64" s="43">
        <f t="shared" ca="1" si="102"/>
        <v>0.28522054055012397</v>
      </c>
      <c r="CK64" s="43">
        <f t="shared" ca="1" si="102"/>
        <v>0.3451963736131034</v>
      </c>
      <c r="CL64" s="43">
        <f t="shared" ca="1" si="102"/>
        <v>0.39406857015884911</v>
      </c>
      <c r="CM64" s="43">
        <f t="shared" ca="1" si="102"/>
        <v>0.30615064661811542</v>
      </c>
      <c r="CN64" s="43">
        <f t="shared" ca="1" si="102"/>
        <v>0.28935798186422557</v>
      </c>
      <c r="CO64" s="43">
        <f t="shared" ca="1" si="102"/>
        <v>0.3479694865692613</v>
      </c>
    </row>
    <row r="65" spans="1:93" s="75" customFormat="1">
      <c r="A65" s="73"/>
      <c r="B65" s="72"/>
      <c r="C65" s="73"/>
      <c r="D65" s="73"/>
      <c r="E65" s="44"/>
      <c r="F65" s="73"/>
      <c r="G65" s="72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</row>
    <row r="66" spans="1:93" ht="22.5" customHeight="1">
      <c r="A66" s="10"/>
      <c r="B66" s="34" t="s">
        <v>313</v>
      </c>
      <c r="C66" s="5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</row>
    <row r="67" spans="1:93" s="75" customFormat="1">
      <c r="A67" s="73"/>
      <c r="B67" s="72"/>
      <c r="C67" s="73"/>
      <c r="D67" s="73"/>
      <c r="E67" s="44"/>
      <c r="F67" s="73"/>
      <c r="G67" s="72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</row>
    <row r="68" spans="1:93" s="133" customFormat="1">
      <c r="A68" s="10"/>
      <c r="B68" s="11"/>
      <c r="C68" s="139" t="s">
        <v>83</v>
      </c>
      <c r="D68" s="10"/>
      <c r="E68" s="140"/>
      <c r="F68" s="10"/>
      <c r="G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</row>
    <row r="69" spans="1:93" s="133" customFormat="1" ht="14.25">
      <c r="A69" s="10"/>
      <c r="B69" s="11"/>
      <c r="C69" s="17" t="s">
        <v>84</v>
      </c>
      <c r="D69" s="10"/>
      <c r="E69" s="140"/>
      <c r="F69" s="10"/>
      <c r="G69" s="134" t="str">
        <f t="shared" ref="G69:G78" si="103">Monetary_Unit</f>
        <v>тыс. руб.</v>
      </c>
      <c r="H69" s="10"/>
      <c r="I69" s="23">
        <f t="shared" ref="I69:I78" ca="1" si="104">SUM(L69:CQ69)</f>
        <v>31948941.046733905</v>
      </c>
      <c r="J69" s="10"/>
      <c r="K69" s="10"/>
      <c r="L69" s="52">
        <f t="shared" ref="L69:BW69" ca="1" si="105">Revenue</f>
        <v>0</v>
      </c>
      <c r="M69" s="52">
        <f t="shared" ca="1" si="105"/>
        <v>0</v>
      </c>
      <c r="N69" s="52">
        <f t="shared" ca="1" si="105"/>
        <v>0</v>
      </c>
      <c r="O69" s="52">
        <f t="shared" ca="1" si="105"/>
        <v>0</v>
      </c>
      <c r="P69" s="52">
        <f t="shared" ca="1" si="105"/>
        <v>0</v>
      </c>
      <c r="Q69" s="52">
        <f t="shared" ca="1" si="105"/>
        <v>0</v>
      </c>
      <c r="R69" s="52">
        <f t="shared" ca="1" si="105"/>
        <v>0</v>
      </c>
      <c r="S69" s="52">
        <f t="shared" ca="1" si="105"/>
        <v>0</v>
      </c>
      <c r="T69" s="52">
        <f t="shared" ca="1" si="105"/>
        <v>0</v>
      </c>
      <c r="U69" s="52">
        <f t="shared" ca="1" si="105"/>
        <v>0</v>
      </c>
      <c r="V69" s="52">
        <f t="shared" ca="1" si="105"/>
        <v>0</v>
      </c>
      <c r="W69" s="52">
        <f t="shared" ca="1" si="105"/>
        <v>0</v>
      </c>
      <c r="X69" s="52">
        <f t="shared" ca="1" si="105"/>
        <v>0</v>
      </c>
      <c r="Y69" s="52">
        <f t="shared" ca="1" si="105"/>
        <v>0</v>
      </c>
      <c r="Z69" s="52">
        <f t="shared" ca="1" si="105"/>
        <v>0</v>
      </c>
      <c r="AA69" s="52">
        <f t="shared" ca="1" si="105"/>
        <v>0</v>
      </c>
      <c r="AB69" s="52">
        <f t="shared" ca="1" si="105"/>
        <v>0</v>
      </c>
      <c r="AC69" s="52">
        <f t="shared" ca="1" si="105"/>
        <v>287137.34130179585</v>
      </c>
      <c r="AD69" s="52">
        <f t="shared" ca="1" si="105"/>
        <v>547617.81742701808</v>
      </c>
      <c r="AE69" s="52">
        <f t="shared" ca="1" si="105"/>
        <v>203266.93156101141</v>
      </c>
      <c r="AF69" s="52">
        <f t="shared" ca="1" si="105"/>
        <v>184143.12050146211</v>
      </c>
      <c r="AG69" s="52">
        <f t="shared" ca="1" si="105"/>
        <v>334936.84636492439</v>
      </c>
      <c r="AH69" s="52">
        <f t="shared" ca="1" si="105"/>
        <v>636735.91244217439</v>
      </c>
      <c r="AI69" s="52">
        <f t="shared" ca="1" si="105"/>
        <v>235631.14326524414</v>
      </c>
      <c r="AJ69" s="52">
        <f t="shared" ca="1" si="105"/>
        <v>212850.80121366578</v>
      </c>
      <c r="AK69" s="52">
        <f t="shared" ca="1" si="105"/>
        <v>386100.89208702045</v>
      </c>
      <c r="AL69" s="52">
        <f t="shared" ca="1" si="105"/>
        <v>732107.2665506599</v>
      </c>
      <c r="AM69" s="52">
        <f t="shared" ca="1" si="105"/>
        <v>270259.26481531787</v>
      </c>
      <c r="AN69" s="52">
        <f t="shared" ca="1" si="105"/>
        <v>246266.69480548825</v>
      </c>
      <c r="AO69" s="52">
        <f t="shared" ca="1" si="105"/>
        <v>440822.16251270013</v>
      </c>
      <c r="AP69" s="52">
        <f t="shared" ca="1" si="105"/>
        <v>815915.05294910888</v>
      </c>
      <c r="AQ69" s="52">
        <f t="shared" ca="1" si="105"/>
        <v>294175.13083405176</v>
      </c>
      <c r="AR69" s="52">
        <f t="shared" ca="1" si="105"/>
        <v>259073.75095888102</v>
      </c>
      <c r="AS69" s="52">
        <f t="shared" ca="1" si="105"/>
        <v>458455.04901320807</v>
      </c>
      <c r="AT69" s="52">
        <f t="shared" ca="1" si="105"/>
        <v>848551.65506707318</v>
      </c>
      <c r="AU69" s="52">
        <f t="shared" ca="1" si="105"/>
        <v>305942.13606741378</v>
      </c>
      <c r="AV69" s="52">
        <f t="shared" ca="1" si="105"/>
        <v>269436.70099723624</v>
      </c>
      <c r="AW69" s="52">
        <f t="shared" ca="1" si="105"/>
        <v>422147.48991467513</v>
      </c>
      <c r="AX69" s="52">
        <f t="shared" ca="1" si="105"/>
        <v>773536.7544139981</v>
      </c>
      <c r="AY69" s="459">
        <f t="shared" ca="1" si="105"/>
        <v>283242.42833727284</v>
      </c>
      <c r="AZ69" s="459">
        <f t="shared" ca="1" si="105"/>
        <v>250185.10206601798</v>
      </c>
      <c r="BA69" s="459">
        <f t="shared" ca="1" si="105"/>
        <v>439033.38951126201</v>
      </c>
      <c r="BB69" s="459">
        <f t="shared" ca="1" si="105"/>
        <v>804478.22459055774</v>
      </c>
      <c r="BC69" s="52">
        <f t="shared" ca="1" si="105"/>
        <v>294572.12547076365</v>
      </c>
      <c r="BD69" s="52">
        <f t="shared" ca="1" si="105"/>
        <v>263083.53399475489</v>
      </c>
      <c r="BE69" s="52">
        <f t="shared" ca="1" si="105"/>
        <v>456594.72509171249</v>
      </c>
      <c r="BF69" s="52">
        <f t="shared" ca="1" si="105"/>
        <v>836657.35357417993</v>
      </c>
      <c r="BG69" s="52">
        <f t="shared" ca="1" si="105"/>
        <v>306355.01048959419</v>
      </c>
      <c r="BH69" s="52">
        <f t="shared" ca="1" si="105"/>
        <v>270600.20639460499</v>
      </c>
      <c r="BI69" s="52">
        <f t="shared" ca="1" si="105"/>
        <v>474858.51409538084</v>
      </c>
      <c r="BJ69" s="52">
        <f t="shared" ca="1" si="105"/>
        <v>870123.6477171469</v>
      </c>
      <c r="BK69" s="52">
        <f t="shared" ca="1" si="105"/>
        <v>318609.21090917796</v>
      </c>
      <c r="BL69" s="52">
        <f t="shared" ca="1" si="105"/>
        <v>281424.21465038921</v>
      </c>
      <c r="BM69" s="52">
        <f t="shared" ca="1" si="105"/>
        <v>493852.85465919605</v>
      </c>
      <c r="BN69" s="52">
        <f t="shared" ca="1" si="105"/>
        <v>904928.59362583258</v>
      </c>
      <c r="BO69" s="52">
        <f t="shared" ca="1" si="105"/>
        <v>331353.57934554503</v>
      </c>
      <c r="BP69" s="52">
        <f t="shared" ca="1" si="105"/>
        <v>292681.18323640467</v>
      </c>
      <c r="BQ69" s="52">
        <f t="shared" ca="1" si="105"/>
        <v>513606.96884556377</v>
      </c>
      <c r="BR69" s="52">
        <f t="shared" ca="1" si="105"/>
        <v>941125.73737086589</v>
      </c>
      <c r="BS69" s="52">
        <f t="shared" ca="1" si="105"/>
        <v>344607.72251936671</v>
      </c>
      <c r="BT69" s="52">
        <f t="shared" ca="1" si="105"/>
        <v>307770.52423881477</v>
      </c>
      <c r="BU69" s="52">
        <f t="shared" ca="1" si="105"/>
        <v>534151.24759938626</v>
      </c>
      <c r="BV69" s="52">
        <f t="shared" ca="1" si="105"/>
        <v>978770.76686570025</v>
      </c>
      <c r="BW69" s="52">
        <f t="shared" ca="1" si="105"/>
        <v>358392.03142014134</v>
      </c>
      <c r="BX69" s="52">
        <f t="shared" ref="BX69:CO69" ca="1" si="106">Revenue</f>
        <v>316563.96778849518</v>
      </c>
      <c r="BY69" s="52">
        <f t="shared" ca="1" si="106"/>
        <v>555517.29750336171</v>
      </c>
      <c r="BZ69" s="52">
        <f t="shared" ca="1" si="106"/>
        <v>1017921.5975403283</v>
      </c>
      <c r="CA69" s="52">
        <f t="shared" ca="1" si="106"/>
        <v>372727.71267694695</v>
      </c>
      <c r="CB69" s="52">
        <f t="shared" ca="1" si="106"/>
        <v>329226.52650003496</v>
      </c>
      <c r="CC69" s="52">
        <f t="shared" ca="1" si="106"/>
        <v>577737.98940349603</v>
      </c>
      <c r="CD69" s="52">
        <f t="shared" ca="1" si="106"/>
        <v>1058638.4614419413</v>
      </c>
      <c r="CE69" s="52">
        <f t="shared" ca="1" si="106"/>
        <v>387636.8211840248</v>
      </c>
      <c r="CF69" s="52">
        <f t="shared" ca="1" si="106"/>
        <v>342395.58756003634</v>
      </c>
      <c r="CG69" s="52">
        <f t="shared" ca="1" si="106"/>
        <v>600847.50897963578</v>
      </c>
      <c r="CH69" s="52">
        <f t="shared" ca="1" si="106"/>
        <v>1100983.9998996188</v>
      </c>
      <c r="CI69" s="52">
        <f t="shared" ca="1" si="106"/>
        <v>403142.2940313858</v>
      </c>
      <c r="CJ69" s="52">
        <f t="shared" ca="1" si="106"/>
        <v>360047.98229646485</v>
      </c>
      <c r="CK69" s="52">
        <f t="shared" ca="1" si="106"/>
        <v>624881.40933882119</v>
      </c>
      <c r="CL69" s="52">
        <f t="shared" ca="1" si="106"/>
        <v>1145023.3598956035</v>
      </c>
      <c r="CM69" s="52">
        <f t="shared" ca="1" si="106"/>
        <v>419267.98579264118</v>
      </c>
      <c r="CN69" s="52">
        <f t="shared" ca="1" si="106"/>
        <v>370335.06750493526</v>
      </c>
      <c r="CO69" s="52">
        <f t="shared" ca="1" si="106"/>
        <v>649876.66571237403</v>
      </c>
    </row>
    <row r="70" spans="1:93" s="133" customFormat="1" ht="14.25">
      <c r="A70" s="10"/>
      <c r="B70" s="11"/>
      <c r="C70" s="17" t="s">
        <v>80</v>
      </c>
      <c r="D70" s="10"/>
      <c r="E70" s="140"/>
      <c r="F70" s="10"/>
      <c r="G70" s="134" t="str">
        <f t="shared" si="103"/>
        <v>тыс. руб.</v>
      </c>
      <c r="H70" s="10"/>
      <c r="I70" s="23">
        <f t="shared" ca="1" si="104"/>
        <v>-18493633.551309194</v>
      </c>
      <c r="J70" s="10"/>
      <c r="K70" s="10"/>
      <c r="L70" s="52">
        <f t="shared" ref="L70:BW70" ca="1" si="107">COGS</f>
        <v>0</v>
      </c>
      <c r="M70" s="52">
        <f t="shared" ca="1" si="107"/>
        <v>0</v>
      </c>
      <c r="N70" s="52">
        <f t="shared" ca="1" si="107"/>
        <v>0</v>
      </c>
      <c r="O70" s="52">
        <f t="shared" ca="1" si="107"/>
        <v>0</v>
      </c>
      <c r="P70" s="52">
        <f t="shared" ca="1" si="107"/>
        <v>0</v>
      </c>
      <c r="Q70" s="52">
        <f t="shared" ca="1" si="107"/>
        <v>0</v>
      </c>
      <c r="R70" s="52">
        <f t="shared" ca="1" si="107"/>
        <v>0</v>
      </c>
      <c r="S70" s="52">
        <f t="shared" ca="1" si="107"/>
        <v>0</v>
      </c>
      <c r="T70" s="52">
        <f t="shared" ca="1" si="107"/>
        <v>0</v>
      </c>
      <c r="U70" s="52">
        <f t="shared" ca="1" si="107"/>
        <v>0</v>
      </c>
      <c r="V70" s="52">
        <f t="shared" ca="1" si="107"/>
        <v>0</v>
      </c>
      <c r="W70" s="52">
        <f t="shared" ca="1" si="107"/>
        <v>0</v>
      </c>
      <c r="X70" s="52">
        <f t="shared" ca="1" si="107"/>
        <v>0</v>
      </c>
      <c r="Y70" s="52">
        <f t="shared" ca="1" si="107"/>
        <v>0</v>
      </c>
      <c r="Z70" s="52">
        <f t="shared" ca="1" si="107"/>
        <v>0</v>
      </c>
      <c r="AA70" s="52">
        <f t="shared" ca="1" si="107"/>
        <v>0</v>
      </c>
      <c r="AB70" s="52">
        <f t="shared" ca="1" si="107"/>
        <v>0</v>
      </c>
      <c r="AC70" s="52">
        <f t="shared" ca="1" si="107"/>
        <v>-153088.06791866009</v>
      </c>
      <c r="AD70" s="52">
        <f t="shared" ca="1" si="107"/>
        <v>-277065.31551683269</v>
      </c>
      <c r="AE70" s="52">
        <f t="shared" ca="1" si="107"/>
        <v>-111407.08688779266</v>
      </c>
      <c r="AF70" s="52">
        <f t="shared" ca="1" si="107"/>
        <v>-102418.07308987781</v>
      </c>
      <c r="AG70" s="52">
        <f t="shared" ca="1" si="107"/>
        <v>-178544.29480956297</v>
      </c>
      <c r="AH70" s="52">
        <f t="shared" ca="1" si="107"/>
        <v>-322126.35063196789</v>
      </c>
      <c r="AI70" s="52">
        <f t="shared" ca="1" si="107"/>
        <v>-129117.93196149165</v>
      </c>
      <c r="AJ70" s="52">
        <f t="shared" ca="1" si="107"/>
        <v>-118358.58903083384</v>
      </c>
      <c r="AK70" s="52">
        <f t="shared" ca="1" si="107"/>
        <v>-205792.07894306828</v>
      </c>
      <c r="AL70" s="52">
        <f t="shared" ca="1" si="107"/>
        <v>-370348.96405148692</v>
      </c>
      <c r="AM70" s="52">
        <f t="shared" ca="1" si="107"/>
        <v>-148067.39330206616</v>
      </c>
      <c r="AN70" s="52">
        <f t="shared" ca="1" si="107"/>
        <v>-136914.35929549739</v>
      </c>
      <c r="AO70" s="52">
        <f t="shared" ca="1" si="107"/>
        <v>-234933.32935229276</v>
      </c>
      <c r="AP70" s="52">
        <f t="shared" ca="1" si="107"/>
        <v>-412725.51899434091</v>
      </c>
      <c r="AQ70" s="52">
        <f t="shared" ca="1" si="107"/>
        <v>-161157.44910287601</v>
      </c>
      <c r="AR70" s="52">
        <f t="shared" ca="1" si="107"/>
        <v>-144029.45805522188</v>
      </c>
      <c r="AS70" s="52">
        <f t="shared" ca="1" si="107"/>
        <v>-244331.37553298092</v>
      </c>
      <c r="AT70" s="52">
        <f t="shared" ca="1" si="107"/>
        <v>-429235.267698696</v>
      </c>
      <c r="AU70" s="52">
        <f t="shared" ca="1" si="107"/>
        <v>-167604.4821843064</v>
      </c>
      <c r="AV70" s="52">
        <f t="shared" ca="1" si="107"/>
        <v>-149790.63637743067</v>
      </c>
      <c r="AW70" s="52">
        <f t="shared" ca="1" si="107"/>
        <v>-254104.63055430009</v>
      </c>
      <c r="AX70" s="52">
        <f t="shared" ca="1" si="107"/>
        <v>-446404.67840664374</v>
      </c>
      <c r="AY70" s="459">
        <f t="shared" ca="1" si="107"/>
        <v>-174308.66147167861</v>
      </c>
      <c r="AZ70" s="459">
        <f t="shared" ca="1" si="107"/>
        <v>-155782.26183252787</v>
      </c>
      <c r="BA70" s="459">
        <f t="shared" ca="1" si="107"/>
        <v>-264268.81577647204</v>
      </c>
      <c r="BB70" s="459">
        <f t="shared" ca="1" si="107"/>
        <v>-464260.86554290925</v>
      </c>
      <c r="BC70" s="52">
        <f t="shared" ca="1" si="107"/>
        <v>-181281.00793054575</v>
      </c>
      <c r="BD70" s="52">
        <f t="shared" ca="1" si="107"/>
        <v>-163812.90867722456</v>
      </c>
      <c r="BE70" s="52">
        <f t="shared" ca="1" si="107"/>
        <v>-274838.7663720788</v>
      </c>
      <c r="BF70" s="52">
        <f t="shared" ca="1" si="107"/>
        <v>-482830.48132597207</v>
      </c>
      <c r="BG70" s="52">
        <f t="shared" ca="1" si="107"/>
        <v>-188531.42134076369</v>
      </c>
      <c r="BH70" s="52">
        <f t="shared" ca="1" si="107"/>
        <v>-168494.09439806215</v>
      </c>
      <c r="BI70" s="52">
        <f t="shared" ca="1" si="107"/>
        <v>-285833.15114383207</v>
      </c>
      <c r="BJ70" s="52">
        <f t="shared" ca="1" si="107"/>
        <v>-502144.55217121053</v>
      </c>
      <c r="BK70" s="52">
        <f t="shared" ca="1" si="107"/>
        <v>-196073.53817767825</v>
      </c>
      <c r="BL70" s="52">
        <f t="shared" ca="1" si="107"/>
        <v>-175233.85817398463</v>
      </c>
      <c r="BM70" s="52">
        <f t="shared" ca="1" si="107"/>
        <v>-297266.47718958539</v>
      </c>
      <c r="BN70" s="52">
        <f t="shared" ca="1" si="107"/>
        <v>-522230.33425805887</v>
      </c>
      <c r="BO70" s="52">
        <f t="shared" ca="1" si="107"/>
        <v>-203916.47970478528</v>
      </c>
      <c r="BP70" s="52">
        <f t="shared" ca="1" si="107"/>
        <v>-182243.21250094395</v>
      </c>
      <c r="BQ70" s="52">
        <f t="shared" ca="1" si="107"/>
        <v>-309157.1362771687</v>
      </c>
      <c r="BR70" s="52">
        <f t="shared" ca="1" si="107"/>
        <v>-543119.54762838129</v>
      </c>
      <c r="BS70" s="52">
        <f t="shared" ca="1" si="107"/>
        <v>-212073.13889297668</v>
      </c>
      <c r="BT70" s="52">
        <f t="shared" ca="1" si="107"/>
        <v>-191637.93345454932</v>
      </c>
      <c r="BU70" s="52">
        <f t="shared" ca="1" si="107"/>
        <v>-321522.48346021632</v>
      </c>
      <c r="BV70" s="52">
        <f t="shared" ca="1" si="107"/>
        <v>-564843.37160810805</v>
      </c>
      <c r="BW70" s="52">
        <f t="shared" ca="1" si="107"/>
        <v>-220555.09708445895</v>
      </c>
      <c r="BX70" s="52">
        <f t="shared" ref="BX70:CO70" ca="1" si="108">COGS</f>
        <v>-197114.25864102089</v>
      </c>
      <c r="BY70" s="52">
        <f t="shared" ca="1" si="108"/>
        <v>-334384.35859738558</v>
      </c>
      <c r="BZ70" s="52">
        <f t="shared" ca="1" si="108"/>
        <v>-587438.10271485697</v>
      </c>
      <c r="CA70" s="52">
        <f t="shared" ca="1" si="108"/>
        <v>-229378.30702664348</v>
      </c>
      <c r="CB70" s="52">
        <f t="shared" ca="1" si="108"/>
        <v>-204998.82898666174</v>
      </c>
      <c r="CC70" s="52">
        <f t="shared" ca="1" si="108"/>
        <v>-347759.73294128099</v>
      </c>
      <c r="CD70" s="52">
        <f t="shared" ca="1" si="108"/>
        <v>-610935.62682345114</v>
      </c>
      <c r="CE70" s="52">
        <f t="shared" ca="1" si="108"/>
        <v>-238553.43930770928</v>
      </c>
      <c r="CF70" s="52">
        <f t="shared" ca="1" si="108"/>
        <v>-213198.78214612813</v>
      </c>
      <c r="CG70" s="52">
        <f t="shared" ca="1" si="108"/>
        <v>-361670.12225893216</v>
      </c>
      <c r="CH70" s="52">
        <f t="shared" ca="1" si="108"/>
        <v>-635373.05189638922</v>
      </c>
      <c r="CI70" s="52">
        <f t="shared" ca="1" si="108"/>
        <v>-248095.57688001767</v>
      </c>
      <c r="CJ70" s="52">
        <f t="shared" ca="1" si="108"/>
        <v>-224189.27687251486</v>
      </c>
      <c r="CK70" s="52">
        <f t="shared" ca="1" si="108"/>
        <v>-376135.82950839237</v>
      </c>
      <c r="CL70" s="52">
        <f t="shared" ca="1" si="108"/>
        <v>-660786.85333500605</v>
      </c>
      <c r="CM70" s="52">
        <f t="shared" ca="1" si="108"/>
        <v>-258018.26827588529</v>
      </c>
      <c r="CN70" s="52">
        <f t="shared" ca="1" si="108"/>
        <v>-230595.80276925216</v>
      </c>
      <c r="CO70" s="52">
        <f t="shared" ca="1" si="108"/>
        <v>-391182.40423526097</v>
      </c>
    </row>
    <row r="71" spans="1:93" s="133" customFormat="1" ht="14.25">
      <c r="A71" s="10"/>
      <c r="B71" s="11"/>
      <c r="C71" s="17" t="s">
        <v>735</v>
      </c>
      <c r="D71" s="10"/>
      <c r="E71" s="10"/>
      <c r="F71" s="10"/>
      <c r="G71" s="134" t="str">
        <f t="shared" si="103"/>
        <v>тыс. руб.</v>
      </c>
      <c r="H71" s="10"/>
      <c r="I71" s="23">
        <f t="shared" ca="1" si="104"/>
        <v>-355606.44199776108</v>
      </c>
      <c r="J71" s="10"/>
      <c r="K71" s="10"/>
      <c r="L71" s="52">
        <f t="shared" ref="L71:BW71" ca="1" si="109">SGA</f>
        <v>0</v>
      </c>
      <c r="M71" s="52">
        <f t="shared" ca="1" si="109"/>
        <v>0</v>
      </c>
      <c r="N71" s="52">
        <f t="shared" ca="1" si="109"/>
        <v>0</v>
      </c>
      <c r="O71" s="52">
        <f t="shared" ca="1" si="109"/>
        <v>0</v>
      </c>
      <c r="P71" s="52">
        <f t="shared" ca="1" si="109"/>
        <v>0</v>
      </c>
      <c r="Q71" s="52">
        <f t="shared" ca="1" si="109"/>
        <v>0</v>
      </c>
      <c r="R71" s="52">
        <f t="shared" ca="1" si="109"/>
        <v>0</v>
      </c>
      <c r="S71" s="52">
        <f t="shared" ca="1" si="109"/>
        <v>0</v>
      </c>
      <c r="T71" s="52">
        <f t="shared" ca="1" si="109"/>
        <v>0</v>
      </c>
      <c r="U71" s="52">
        <f t="shared" ca="1" si="109"/>
        <v>0</v>
      </c>
      <c r="V71" s="52">
        <f t="shared" ca="1" si="109"/>
        <v>0</v>
      </c>
      <c r="W71" s="52">
        <f t="shared" ca="1" si="109"/>
        <v>0</v>
      </c>
      <c r="X71" s="52">
        <f t="shared" ca="1" si="109"/>
        <v>0</v>
      </c>
      <c r="Y71" s="52">
        <f t="shared" ca="1" si="109"/>
        <v>0</v>
      </c>
      <c r="Z71" s="52">
        <f t="shared" ca="1" si="109"/>
        <v>0</v>
      </c>
      <c r="AA71" s="52">
        <f t="shared" ca="1" si="109"/>
        <v>0</v>
      </c>
      <c r="AB71" s="52">
        <f t="shared" ca="1" si="109"/>
        <v>0</v>
      </c>
      <c r="AC71" s="52">
        <f t="shared" ca="1" si="109"/>
        <v>-2309.1203594642329</v>
      </c>
      <c r="AD71" s="52">
        <f t="shared" ca="1" si="109"/>
        <v>-2334.4953084693348</v>
      </c>
      <c r="AE71" s="52">
        <f t="shared" ca="1" si="109"/>
        <v>-2334.4953084693348</v>
      </c>
      <c r="AF71" s="52">
        <f t="shared" ca="1" si="109"/>
        <v>-2283.7454104591311</v>
      </c>
      <c r="AG71" s="52">
        <f t="shared" ca="1" si="109"/>
        <v>-2309.1203594642329</v>
      </c>
      <c r="AH71" s="52">
        <f t="shared" ca="1" si="109"/>
        <v>-2334.4953084693348</v>
      </c>
      <c r="AI71" s="52">
        <f t="shared" ca="1" si="109"/>
        <v>-2334.4953084693348</v>
      </c>
      <c r="AJ71" s="52">
        <f t="shared" ca="1" si="109"/>
        <v>-2283.7454104591311</v>
      </c>
      <c r="AK71" s="52">
        <f t="shared" ca="1" si="109"/>
        <v>-2309.1203594642329</v>
      </c>
      <c r="AL71" s="52">
        <f t="shared" ca="1" si="109"/>
        <v>-2334.4953084693348</v>
      </c>
      <c r="AM71" s="52">
        <f t="shared" ca="1" si="109"/>
        <v>-2334.4953084693348</v>
      </c>
      <c r="AN71" s="52">
        <f t="shared" ca="1" si="109"/>
        <v>-2302.8112874438389</v>
      </c>
      <c r="AO71" s="52">
        <f t="shared" ca="1" si="109"/>
        <v>-2302.8112874438389</v>
      </c>
      <c r="AP71" s="52">
        <f t="shared" ca="1" si="109"/>
        <v>-2328.1169059871777</v>
      </c>
      <c r="AQ71" s="52">
        <f t="shared" ca="1" si="109"/>
        <v>-2328.1169059871777</v>
      </c>
      <c r="AR71" s="52">
        <f t="shared" ca="1" si="109"/>
        <v>-2283.7454104591311</v>
      </c>
      <c r="AS71" s="52">
        <f t="shared" ca="1" si="109"/>
        <v>-2309.1203594642329</v>
      </c>
      <c r="AT71" s="52">
        <f t="shared" ca="1" si="109"/>
        <v>-2334.4953084693348</v>
      </c>
      <c r="AU71" s="52">
        <f t="shared" ca="1" si="109"/>
        <v>-2334.4953084693348</v>
      </c>
      <c r="AV71" s="52">
        <f t="shared" ca="1" si="109"/>
        <v>-2283.7454104591311</v>
      </c>
      <c r="AW71" s="52">
        <f t="shared" ca="1" si="109"/>
        <v>-2309.1203594642329</v>
      </c>
      <c r="AX71" s="52">
        <f t="shared" ca="1" si="109"/>
        <v>-2334.4953084693348</v>
      </c>
      <c r="AY71" s="459">
        <f t="shared" ca="1" si="109"/>
        <v>-2334.4953084693348</v>
      </c>
      <c r="AZ71" s="459">
        <f t="shared" ca="1" si="109"/>
        <v>-2283.7454104591311</v>
      </c>
      <c r="BA71" s="459">
        <f t="shared" ca="1" si="109"/>
        <v>-2309.1203594642329</v>
      </c>
      <c r="BB71" s="459">
        <f t="shared" ca="1" si="109"/>
        <v>-2334.4953084693348</v>
      </c>
      <c r="BC71" s="52">
        <f t="shared" ca="1" si="109"/>
        <v>-2334.4953084693348</v>
      </c>
      <c r="BD71" s="52">
        <f t="shared" ca="1" si="109"/>
        <v>-2302.8112874438389</v>
      </c>
      <c r="BE71" s="52">
        <f t="shared" ca="1" si="109"/>
        <v>-2302.8112874438389</v>
      </c>
      <c r="BF71" s="52">
        <f t="shared" ca="1" si="109"/>
        <v>-2328.1169059871777</v>
      </c>
      <c r="BG71" s="52">
        <f t="shared" ca="1" si="109"/>
        <v>-2328.1169059871777</v>
      </c>
      <c r="BH71" s="52">
        <f t="shared" ca="1" si="109"/>
        <v>-2283.7454104591311</v>
      </c>
      <c r="BI71" s="52">
        <f t="shared" ca="1" si="109"/>
        <v>-2309.1203594642329</v>
      </c>
      <c r="BJ71" s="52">
        <f t="shared" ca="1" si="109"/>
        <v>-2334.4953084693348</v>
      </c>
      <c r="BK71" s="52">
        <f t="shared" ca="1" si="109"/>
        <v>-2334.4953084693348</v>
      </c>
      <c r="BL71" s="52">
        <f t="shared" ca="1" si="109"/>
        <v>-2283.7454104591311</v>
      </c>
      <c r="BM71" s="52">
        <f t="shared" ca="1" si="109"/>
        <v>-2309.1203594642329</v>
      </c>
      <c r="BN71" s="52">
        <f t="shared" ca="1" si="109"/>
        <v>-2334.4953084693348</v>
      </c>
      <c r="BO71" s="52">
        <f t="shared" ca="1" si="109"/>
        <v>-2334.4953084693348</v>
      </c>
      <c r="BP71" s="52">
        <f t="shared" ca="1" si="109"/>
        <v>-2283.7454104591311</v>
      </c>
      <c r="BQ71" s="52">
        <f t="shared" ca="1" si="109"/>
        <v>-2309.1203594642329</v>
      </c>
      <c r="BR71" s="52">
        <f t="shared" ca="1" si="109"/>
        <v>-12428.582569210232</v>
      </c>
      <c r="BS71" s="52">
        <f t="shared" ca="1" si="109"/>
        <v>-12299.99547034729</v>
      </c>
      <c r="BT71" s="52">
        <f t="shared" ca="1" si="109"/>
        <v>-12006.216709992057</v>
      </c>
      <c r="BU71" s="52">
        <f t="shared" ca="1" si="109"/>
        <v>-11879.374809043717</v>
      </c>
      <c r="BV71" s="52">
        <f t="shared" ca="1" si="109"/>
        <v>-11881.681621371145</v>
      </c>
      <c r="BW71" s="52">
        <f t="shared" ca="1" si="109"/>
        <v>-11753.445853379415</v>
      </c>
      <c r="BX71" s="52">
        <f t="shared" ref="BX71:CO71" ca="1" si="110">SGA</f>
        <v>-11403.645628727523</v>
      </c>
      <c r="BY71" s="52">
        <f t="shared" ca="1" si="110"/>
        <v>-11403.16338937432</v>
      </c>
      <c r="BZ71" s="52">
        <f t="shared" ca="1" si="110"/>
        <v>-11399.8857783067</v>
      </c>
      <c r="CA71" s="52">
        <f t="shared" ca="1" si="110"/>
        <v>-11271.298679443758</v>
      </c>
      <c r="CB71" s="52">
        <f t="shared" ca="1" si="110"/>
        <v>-10900.478720133406</v>
      </c>
      <c r="CC71" s="52">
        <f t="shared" ca="1" si="110"/>
        <v>-10894.405737351375</v>
      </c>
      <c r="CD71" s="52">
        <f t="shared" ca="1" si="110"/>
        <v>-10885.537382854933</v>
      </c>
      <c r="CE71" s="52">
        <f t="shared" ca="1" si="110"/>
        <v>-10756.950283991993</v>
      </c>
      <c r="CF71" s="52">
        <f t="shared" ca="1" si="110"/>
        <v>-10397.311811539286</v>
      </c>
      <c r="CG71" s="52">
        <f t="shared" ca="1" si="110"/>
        <v>-10385.648085328434</v>
      </c>
      <c r="CH71" s="52">
        <f t="shared" ca="1" si="110"/>
        <v>-10371.188987403168</v>
      </c>
      <c r="CI71" s="52">
        <f t="shared" ca="1" si="110"/>
        <v>-10242.601888540228</v>
      </c>
      <c r="CJ71" s="52">
        <f t="shared" ca="1" si="110"/>
        <v>-9976.746294818573</v>
      </c>
      <c r="CK71" s="52">
        <f t="shared" ca="1" si="110"/>
        <v>-9849.9043938702307</v>
      </c>
      <c r="CL71" s="52">
        <f t="shared" ca="1" si="110"/>
        <v>-9829.9093335034468</v>
      </c>
      <c r="CM71" s="52">
        <f t="shared" ca="1" si="110"/>
        <v>-9701.6735655117154</v>
      </c>
      <c r="CN71" s="52">
        <f t="shared" ca="1" si="110"/>
        <v>-9390.9779943510493</v>
      </c>
      <c r="CO71" s="52">
        <f t="shared" ca="1" si="110"/>
        <v>-9368.1327812825512</v>
      </c>
    </row>
    <row r="72" spans="1:93" s="133" customFormat="1" ht="14.25">
      <c r="A72" s="10"/>
      <c r="B72" s="11"/>
      <c r="C72" s="17" t="s">
        <v>85</v>
      </c>
      <c r="D72" s="10"/>
      <c r="E72" s="10"/>
      <c r="F72" s="10"/>
      <c r="G72" s="134" t="str">
        <f t="shared" si="103"/>
        <v>тыс. руб.</v>
      </c>
      <c r="H72" s="10"/>
      <c r="I72" s="23">
        <f t="shared" ca="1" si="104"/>
        <v>-10990.619012601321</v>
      </c>
      <c r="J72" s="10"/>
      <c r="K72" s="10"/>
      <c r="L72" s="52">
        <f t="shared" ref="L72:BW72" si="111">Bank_Fees</f>
        <v>0</v>
      </c>
      <c r="M72" s="52">
        <f t="shared" ca="1" si="111"/>
        <v>0</v>
      </c>
      <c r="N72" s="52">
        <f t="shared" ca="1" si="111"/>
        <v>0</v>
      </c>
      <c r="O72" s="52">
        <f t="shared" ca="1" si="111"/>
        <v>0</v>
      </c>
      <c r="P72" s="52">
        <f t="shared" ca="1" si="111"/>
        <v>0</v>
      </c>
      <c r="Q72" s="52">
        <f t="shared" ca="1" si="111"/>
        <v>0</v>
      </c>
      <c r="R72" s="52">
        <f t="shared" ca="1" si="111"/>
        <v>0</v>
      </c>
      <c r="S72" s="52">
        <f t="shared" ca="1" si="111"/>
        <v>0</v>
      </c>
      <c r="T72" s="52">
        <f t="shared" ca="1" si="111"/>
        <v>0</v>
      </c>
      <c r="U72" s="52">
        <f t="shared" ca="1" si="111"/>
        <v>-2032.1389863481136</v>
      </c>
      <c r="V72" s="52">
        <f t="shared" ca="1" si="111"/>
        <v>-1913.5143739847667</v>
      </c>
      <c r="W72" s="52">
        <f t="shared" ca="1" si="111"/>
        <v>-1771.1696690677206</v>
      </c>
      <c r="X72" s="52">
        <f t="shared" ca="1" si="111"/>
        <v>-1605.3348325415557</v>
      </c>
      <c r="Y72" s="52">
        <f t="shared" ca="1" si="111"/>
        <v>-1331.1596721046919</v>
      </c>
      <c r="Z72" s="52">
        <f t="shared" ca="1" si="111"/>
        <v>-1065.8684792952763</v>
      </c>
      <c r="AA72" s="52">
        <f t="shared" ca="1" si="111"/>
        <v>-783.19099934951782</v>
      </c>
      <c r="AB72" s="52">
        <f t="shared" ca="1" si="111"/>
        <v>-488.24199990967918</v>
      </c>
      <c r="AC72" s="52">
        <f t="shared" ca="1" si="111"/>
        <v>0</v>
      </c>
      <c r="AD72" s="52">
        <f t="shared" ca="1" si="111"/>
        <v>0</v>
      </c>
      <c r="AE72" s="52">
        <f t="shared" ca="1" si="111"/>
        <v>0</v>
      </c>
      <c r="AF72" s="52">
        <f t="shared" ca="1" si="111"/>
        <v>0</v>
      </c>
      <c r="AG72" s="52">
        <f t="shared" ca="1" si="111"/>
        <v>0</v>
      </c>
      <c r="AH72" s="52">
        <f t="shared" ca="1" si="111"/>
        <v>0</v>
      </c>
      <c r="AI72" s="52">
        <f t="shared" ca="1" si="111"/>
        <v>0</v>
      </c>
      <c r="AJ72" s="52">
        <f t="shared" ca="1" si="111"/>
        <v>0</v>
      </c>
      <c r="AK72" s="52">
        <f t="shared" ca="1" si="111"/>
        <v>0</v>
      </c>
      <c r="AL72" s="52">
        <f t="shared" ca="1" si="111"/>
        <v>0</v>
      </c>
      <c r="AM72" s="52">
        <f t="shared" ca="1" si="111"/>
        <v>0</v>
      </c>
      <c r="AN72" s="52">
        <f t="shared" ca="1" si="111"/>
        <v>0</v>
      </c>
      <c r="AO72" s="52">
        <f t="shared" ca="1" si="111"/>
        <v>0</v>
      </c>
      <c r="AP72" s="52">
        <f t="shared" ca="1" si="111"/>
        <v>0</v>
      </c>
      <c r="AQ72" s="52">
        <f t="shared" ca="1" si="111"/>
        <v>0</v>
      </c>
      <c r="AR72" s="52">
        <f t="shared" ca="1" si="111"/>
        <v>0</v>
      </c>
      <c r="AS72" s="52">
        <f t="shared" ca="1" si="111"/>
        <v>0</v>
      </c>
      <c r="AT72" s="52">
        <f t="shared" ca="1" si="111"/>
        <v>0</v>
      </c>
      <c r="AU72" s="52">
        <f t="shared" ca="1" si="111"/>
        <v>0</v>
      </c>
      <c r="AV72" s="52">
        <f t="shared" ca="1" si="111"/>
        <v>0</v>
      </c>
      <c r="AW72" s="52">
        <f t="shared" ca="1" si="111"/>
        <v>0</v>
      </c>
      <c r="AX72" s="52">
        <f t="shared" ca="1" si="111"/>
        <v>0</v>
      </c>
      <c r="AY72" s="459">
        <f t="shared" ca="1" si="111"/>
        <v>0</v>
      </c>
      <c r="AZ72" s="459">
        <f t="shared" ca="1" si="111"/>
        <v>0</v>
      </c>
      <c r="BA72" s="459">
        <f t="shared" ca="1" si="111"/>
        <v>0</v>
      </c>
      <c r="BB72" s="459">
        <f t="shared" ca="1" si="111"/>
        <v>0</v>
      </c>
      <c r="BC72" s="52">
        <f t="shared" ca="1" si="111"/>
        <v>0</v>
      </c>
      <c r="BD72" s="52">
        <f t="shared" ca="1" si="111"/>
        <v>0</v>
      </c>
      <c r="BE72" s="52">
        <f t="shared" ca="1" si="111"/>
        <v>0</v>
      </c>
      <c r="BF72" s="52">
        <f t="shared" ca="1" si="111"/>
        <v>0</v>
      </c>
      <c r="BG72" s="52">
        <f t="shared" ca="1" si="111"/>
        <v>0</v>
      </c>
      <c r="BH72" s="52">
        <f t="shared" ca="1" si="111"/>
        <v>0</v>
      </c>
      <c r="BI72" s="52">
        <f t="shared" ca="1" si="111"/>
        <v>0</v>
      </c>
      <c r="BJ72" s="52">
        <f t="shared" ca="1" si="111"/>
        <v>0</v>
      </c>
      <c r="BK72" s="52">
        <f t="shared" ca="1" si="111"/>
        <v>0</v>
      </c>
      <c r="BL72" s="52">
        <f t="shared" ca="1" si="111"/>
        <v>0</v>
      </c>
      <c r="BM72" s="52">
        <f t="shared" ca="1" si="111"/>
        <v>0</v>
      </c>
      <c r="BN72" s="52">
        <f t="shared" ca="1" si="111"/>
        <v>0</v>
      </c>
      <c r="BO72" s="52">
        <f t="shared" ca="1" si="111"/>
        <v>0</v>
      </c>
      <c r="BP72" s="52">
        <f t="shared" ca="1" si="111"/>
        <v>0</v>
      </c>
      <c r="BQ72" s="52">
        <f t="shared" ca="1" si="111"/>
        <v>0</v>
      </c>
      <c r="BR72" s="52">
        <f t="shared" ca="1" si="111"/>
        <v>0</v>
      </c>
      <c r="BS72" s="52">
        <f t="shared" ca="1" si="111"/>
        <v>0</v>
      </c>
      <c r="BT72" s="52">
        <f t="shared" ca="1" si="111"/>
        <v>0</v>
      </c>
      <c r="BU72" s="52">
        <f t="shared" ca="1" si="111"/>
        <v>0</v>
      </c>
      <c r="BV72" s="52">
        <f t="shared" ca="1" si="111"/>
        <v>0</v>
      </c>
      <c r="BW72" s="52">
        <f t="shared" ca="1" si="111"/>
        <v>0</v>
      </c>
      <c r="BX72" s="52">
        <f t="shared" ref="BX72:CO72" ca="1" si="112">Bank_Fees</f>
        <v>0</v>
      </c>
      <c r="BY72" s="52">
        <f t="shared" ca="1" si="112"/>
        <v>0</v>
      </c>
      <c r="BZ72" s="52">
        <f t="shared" ca="1" si="112"/>
        <v>0</v>
      </c>
      <c r="CA72" s="52">
        <f t="shared" ca="1" si="112"/>
        <v>0</v>
      </c>
      <c r="CB72" s="52">
        <f t="shared" ca="1" si="112"/>
        <v>0</v>
      </c>
      <c r="CC72" s="52">
        <f t="shared" ca="1" si="112"/>
        <v>0</v>
      </c>
      <c r="CD72" s="52">
        <f t="shared" ca="1" si="112"/>
        <v>0</v>
      </c>
      <c r="CE72" s="52">
        <f t="shared" ca="1" si="112"/>
        <v>0</v>
      </c>
      <c r="CF72" s="52">
        <f t="shared" ca="1" si="112"/>
        <v>0</v>
      </c>
      <c r="CG72" s="52">
        <f t="shared" ca="1" si="112"/>
        <v>0</v>
      </c>
      <c r="CH72" s="52">
        <f t="shared" ca="1" si="112"/>
        <v>0</v>
      </c>
      <c r="CI72" s="52">
        <f t="shared" ca="1" si="112"/>
        <v>0</v>
      </c>
      <c r="CJ72" s="52">
        <f t="shared" ca="1" si="112"/>
        <v>0</v>
      </c>
      <c r="CK72" s="52">
        <f t="shared" ca="1" si="112"/>
        <v>0</v>
      </c>
      <c r="CL72" s="52">
        <f t="shared" ca="1" si="112"/>
        <v>0</v>
      </c>
      <c r="CM72" s="52">
        <f t="shared" ca="1" si="112"/>
        <v>0</v>
      </c>
      <c r="CN72" s="52">
        <f t="shared" ca="1" si="112"/>
        <v>0</v>
      </c>
      <c r="CO72" s="52">
        <f t="shared" ca="1" si="112"/>
        <v>0</v>
      </c>
    </row>
    <row r="73" spans="1:93" s="133" customFormat="1" ht="14.25">
      <c r="A73" s="10"/>
      <c r="B73" s="11"/>
      <c r="C73" s="17" t="s">
        <v>86</v>
      </c>
      <c r="D73" s="10"/>
      <c r="E73" s="10"/>
      <c r="F73" s="10"/>
      <c r="G73" s="134" t="str">
        <f t="shared" si="103"/>
        <v>тыс. руб.</v>
      </c>
      <c r="H73" s="10"/>
      <c r="I73" s="23">
        <f t="shared" ca="1" si="104"/>
        <v>-472505.91550729872</v>
      </c>
      <c r="J73" s="10"/>
      <c r="K73" s="10"/>
      <c r="L73" s="52">
        <f t="shared" ref="L73:BW73" si="113">Debt_Interest_Paid</f>
        <v>0</v>
      </c>
      <c r="M73" s="52">
        <f t="shared" ca="1" si="113"/>
        <v>0</v>
      </c>
      <c r="N73" s="52">
        <f t="shared" ca="1" si="113"/>
        <v>0</v>
      </c>
      <c r="O73" s="52">
        <f t="shared" ca="1" si="113"/>
        <v>0</v>
      </c>
      <c r="P73" s="52">
        <f t="shared" ca="1" si="113"/>
        <v>0</v>
      </c>
      <c r="Q73" s="52">
        <f t="shared" ca="1" si="113"/>
        <v>0</v>
      </c>
      <c r="R73" s="52">
        <f t="shared" ca="1" si="113"/>
        <v>0</v>
      </c>
      <c r="S73" s="52">
        <f t="shared" ca="1" si="113"/>
        <v>0</v>
      </c>
      <c r="T73" s="52">
        <f t="shared" ca="1" si="113"/>
        <v>-375.82926333388428</v>
      </c>
      <c r="U73" s="52">
        <f t="shared" ca="1" si="113"/>
        <v>-2049.679343298747</v>
      </c>
      <c r="V73" s="52">
        <f t="shared" ca="1" si="113"/>
        <v>-4692.73305525248</v>
      </c>
      <c r="W73" s="52">
        <f t="shared" ca="1" si="113"/>
        <v>-7339.0839635085113</v>
      </c>
      <c r="X73" s="52">
        <f t="shared" ca="1" si="113"/>
        <v>-11087.213428915877</v>
      </c>
      <c r="Y73" s="52">
        <f t="shared" ca="1" si="113"/>
        <v>-16184.443320720929</v>
      </c>
      <c r="Z73" s="52">
        <f t="shared" ca="1" si="113"/>
        <v>-21566.314755658917</v>
      </c>
      <c r="AA73" s="52">
        <f t="shared" ca="1" si="113"/>
        <v>-26821.612493877776</v>
      </c>
      <c r="AB73" s="52">
        <f t="shared" ca="1" si="113"/>
        <v>-33416.864118378056</v>
      </c>
      <c r="AC73" s="52">
        <f t="shared" ca="1" si="113"/>
        <v>-38354.581535515288</v>
      </c>
      <c r="AD73" s="52">
        <f t="shared" ca="1" si="113"/>
        <v>-32803.703361364605</v>
      </c>
      <c r="AE73" s="52">
        <f t="shared" ca="1" si="113"/>
        <v>-29891.359146755047</v>
      </c>
      <c r="AF73" s="52">
        <f t="shared" ca="1" si="113"/>
        <v>-27616.105945096959</v>
      </c>
      <c r="AG73" s="52">
        <f t="shared" ca="1" si="113"/>
        <v>-27156.393128187661</v>
      </c>
      <c r="AH73" s="52">
        <f t="shared" ca="1" si="113"/>
        <v>-26538.750611260843</v>
      </c>
      <c r="AI73" s="52">
        <f t="shared" ca="1" si="113"/>
        <v>-24395.411155234164</v>
      </c>
      <c r="AJ73" s="52">
        <f t="shared" ca="1" si="113"/>
        <v>-21831.922145464901</v>
      </c>
      <c r="AK73" s="52">
        <f t="shared" ca="1" si="113"/>
        <v>-21042.52524153925</v>
      </c>
      <c r="AL73" s="52">
        <f t="shared" ca="1" si="113"/>
        <v>-20069.891622505023</v>
      </c>
      <c r="AM73" s="52">
        <f t="shared" ca="1" si="113"/>
        <v>-17454.073787044064</v>
      </c>
      <c r="AN73" s="52">
        <f t="shared" ca="1" si="113"/>
        <v>-14712.666046453658</v>
      </c>
      <c r="AO73" s="52">
        <f t="shared" ca="1" si="113"/>
        <v>-13375.764703781109</v>
      </c>
      <c r="AP73" s="52">
        <f t="shared" ca="1" si="113"/>
        <v>-11999.563981574278</v>
      </c>
      <c r="AQ73" s="52">
        <f t="shared" ca="1" si="113"/>
        <v>-8912.8602572211221</v>
      </c>
      <c r="AR73" s="52">
        <f t="shared" ca="1" si="113"/>
        <v>-5840.770680695141</v>
      </c>
      <c r="AS73" s="52">
        <f t="shared" ca="1" si="113"/>
        <v>-4327.01356872835</v>
      </c>
      <c r="AT73" s="52">
        <f t="shared" ca="1" si="113"/>
        <v>-2648.7848459321053</v>
      </c>
      <c r="AU73" s="52">
        <f t="shared" ca="1" si="113"/>
        <v>0</v>
      </c>
      <c r="AV73" s="52">
        <f t="shared" ca="1" si="113"/>
        <v>0</v>
      </c>
      <c r="AW73" s="52">
        <f t="shared" ca="1" si="113"/>
        <v>0</v>
      </c>
      <c r="AX73" s="52">
        <f t="shared" ca="1" si="113"/>
        <v>0</v>
      </c>
      <c r="AY73" s="459">
        <f t="shared" ca="1" si="113"/>
        <v>0</v>
      </c>
      <c r="AZ73" s="459">
        <f t="shared" ca="1" si="113"/>
        <v>0</v>
      </c>
      <c r="BA73" s="459">
        <f t="shared" ca="1" si="113"/>
        <v>0</v>
      </c>
      <c r="BB73" s="459">
        <f t="shared" ca="1" si="113"/>
        <v>0</v>
      </c>
      <c r="BC73" s="52">
        <f t="shared" ca="1" si="113"/>
        <v>0</v>
      </c>
      <c r="BD73" s="52">
        <f t="shared" ca="1" si="113"/>
        <v>0</v>
      </c>
      <c r="BE73" s="52">
        <f t="shared" ca="1" si="113"/>
        <v>0</v>
      </c>
      <c r="BF73" s="52">
        <f t="shared" ca="1" si="113"/>
        <v>0</v>
      </c>
      <c r="BG73" s="52">
        <f t="shared" ca="1" si="113"/>
        <v>0</v>
      </c>
      <c r="BH73" s="52">
        <f t="shared" ca="1" si="113"/>
        <v>0</v>
      </c>
      <c r="BI73" s="52">
        <f t="shared" ca="1" si="113"/>
        <v>0</v>
      </c>
      <c r="BJ73" s="52">
        <f t="shared" ca="1" si="113"/>
        <v>0</v>
      </c>
      <c r="BK73" s="52">
        <f t="shared" ca="1" si="113"/>
        <v>0</v>
      </c>
      <c r="BL73" s="52">
        <f t="shared" ca="1" si="113"/>
        <v>0</v>
      </c>
      <c r="BM73" s="52">
        <f t="shared" ca="1" si="113"/>
        <v>0</v>
      </c>
      <c r="BN73" s="52">
        <f t="shared" ca="1" si="113"/>
        <v>0</v>
      </c>
      <c r="BO73" s="52">
        <f t="shared" ca="1" si="113"/>
        <v>0</v>
      </c>
      <c r="BP73" s="52">
        <f t="shared" ca="1" si="113"/>
        <v>0</v>
      </c>
      <c r="BQ73" s="52">
        <f t="shared" ca="1" si="113"/>
        <v>0</v>
      </c>
      <c r="BR73" s="52">
        <f t="shared" ca="1" si="113"/>
        <v>0</v>
      </c>
      <c r="BS73" s="52">
        <f t="shared" ca="1" si="113"/>
        <v>0</v>
      </c>
      <c r="BT73" s="52">
        <f t="shared" ca="1" si="113"/>
        <v>0</v>
      </c>
      <c r="BU73" s="52">
        <f t="shared" ca="1" si="113"/>
        <v>0</v>
      </c>
      <c r="BV73" s="52">
        <f t="shared" ca="1" si="113"/>
        <v>0</v>
      </c>
      <c r="BW73" s="52">
        <f t="shared" ca="1" si="113"/>
        <v>0</v>
      </c>
      <c r="BX73" s="52">
        <f t="shared" ref="BX73:CO73" ca="1" si="114">Debt_Interest_Paid</f>
        <v>0</v>
      </c>
      <c r="BY73" s="52">
        <f t="shared" ca="1" si="114"/>
        <v>0</v>
      </c>
      <c r="BZ73" s="52">
        <f t="shared" ca="1" si="114"/>
        <v>0</v>
      </c>
      <c r="CA73" s="52">
        <f t="shared" ca="1" si="114"/>
        <v>0</v>
      </c>
      <c r="CB73" s="52">
        <f t="shared" ca="1" si="114"/>
        <v>0</v>
      </c>
      <c r="CC73" s="52">
        <f t="shared" ca="1" si="114"/>
        <v>0</v>
      </c>
      <c r="CD73" s="52">
        <f t="shared" ca="1" si="114"/>
        <v>0</v>
      </c>
      <c r="CE73" s="52">
        <f t="shared" ca="1" si="114"/>
        <v>0</v>
      </c>
      <c r="CF73" s="52">
        <f t="shared" ca="1" si="114"/>
        <v>0</v>
      </c>
      <c r="CG73" s="52">
        <f t="shared" ca="1" si="114"/>
        <v>0</v>
      </c>
      <c r="CH73" s="52">
        <f t="shared" ca="1" si="114"/>
        <v>0</v>
      </c>
      <c r="CI73" s="52">
        <f t="shared" ca="1" si="114"/>
        <v>0</v>
      </c>
      <c r="CJ73" s="52">
        <f t="shared" ca="1" si="114"/>
        <v>0</v>
      </c>
      <c r="CK73" s="52">
        <f t="shared" ca="1" si="114"/>
        <v>0</v>
      </c>
      <c r="CL73" s="52">
        <f t="shared" ca="1" si="114"/>
        <v>0</v>
      </c>
      <c r="CM73" s="52">
        <f t="shared" ca="1" si="114"/>
        <v>0</v>
      </c>
      <c r="CN73" s="52">
        <f t="shared" ca="1" si="114"/>
        <v>0</v>
      </c>
      <c r="CO73" s="52">
        <f t="shared" ca="1" si="114"/>
        <v>0</v>
      </c>
    </row>
    <row r="74" spans="1:93" s="133" customFormat="1" ht="14.25">
      <c r="A74" s="10"/>
      <c r="B74" s="11"/>
      <c r="C74" s="17" t="s">
        <v>355</v>
      </c>
      <c r="D74" s="10"/>
      <c r="E74" s="10"/>
      <c r="F74" s="10"/>
      <c r="G74" s="134" t="str">
        <f t="shared" si="103"/>
        <v>тыс. руб.</v>
      </c>
      <c r="H74" s="10"/>
      <c r="I74" s="23">
        <f t="shared" ca="1" si="104"/>
        <v>-395320.07735860086</v>
      </c>
      <c r="J74" s="10"/>
      <c r="K74" s="10"/>
      <c r="L74" s="52">
        <f t="shared" ref="L74:BW74" ca="1" si="115">Subord_Interest_Paid</f>
        <v>0</v>
      </c>
      <c r="M74" s="52">
        <f t="shared" ca="1" si="115"/>
        <v>0</v>
      </c>
      <c r="N74" s="52">
        <f t="shared" ca="1" si="115"/>
        <v>0</v>
      </c>
      <c r="O74" s="52">
        <f t="shared" ca="1" si="115"/>
        <v>0</v>
      </c>
      <c r="P74" s="52">
        <f t="shared" ca="1" si="115"/>
        <v>0</v>
      </c>
      <c r="Q74" s="52">
        <f t="shared" ca="1" si="115"/>
        <v>0</v>
      </c>
      <c r="R74" s="52">
        <f t="shared" ca="1" si="115"/>
        <v>0</v>
      </c>
      <c r="S74" s="52">
        <f t="shared" ca="1" si="115"/>
        <v>0</v>
      </c>
      <c r="T74" s="52">
        <f t="shared" ca="1" si="115"/>
        <v>0</v>
      </c>
      <c r="U74" s="52">
        <f t="shared" ca="1" si="115"/>
        <v>0</v>
      </c>
      <c r="V74" s="52">
        <f t="shared" ca="1" si="115"/>
        <v>0</v>
      </c>
      <c r="W74" s="52">
        <f t="shared" ca="1" si="115"/>
        <v>0</v>
      </c>
      <c r="X74" s="52">
        <f t="shared" ca="1" si="115"/>
        <v>0</v>
      </c>
      <c r="Y74" s="52">
        <f t="shared" ca="1" si="115"/>
        <v>0</v>
      </c>
      <c r="Z74" s="52">
        <f t="shared" ca="1" si="115"/>
        <v>0</v>
      </c>
      <c r="AA74" s="52">
        <f t="shared" ca="1" si="115"/>
        <v>0</v>
      </c>
      <c r="AB74" s="52">
        <f t="shared" ca="1" si="115"/>
        <v>0</v>
      </c>
      <c r="AC74" s="52">
        <f t="shared" ca="1" si="115"/>
        <v>-25497.350786420462</v>
      </c>
      <c r="AD74" s="52">
        <f t="shared" ca="1" si="115"/>
        <v>-23478.65760437533</v>
      </c>
      <c r="AE74" s="52">
        <f t="shared" ca="1" si="115"/>
        <v>-22637.514180235645</v>
      </c>
      <c r="AF74" s="52">
        <f t="shared" ca="1" si="115"/>
        <v>-16603.06793925575</v>
      </c>
      <c r="AG74" s="52">
        <f t="shared" ca="1" si="115"/>
        <v>-18528.165154957809</v>
      </c>
      <c r="AH74" s="52">
        <f t="shared" ca="1" si="115"/>
        <v>-22706.018620742561</v>
      </c>
      <c r="AI74" s="52">
        <f t="shared" ca="1" si="115"/>
        <v>-22255.330733271327</v>
      </c>
      <c r="AJ74" s="52">
        <f t="shared" ca="1" si="115"/>
        <v>-19282.548891160492</v>
      </c>
      <c r="AK74" s="52">
        <f t="shared" ca="1" si="115"/>
        <v>-21420.123084138846</v>
      </c>
      <c r="AL74" s="52">
        <f t="shared" ca="1" si="115"/>
        <v>-21914.67467605598</v>
      </c>
      <c r="AM74" s="52">
        <f t="shared" ca="1" si="115"/>
        <v>-21251.228753983789</v>
      </c>
      <c r="AN74" s="52">
        <f t="shared" ca="1" si="115"/>
        <v>-20340.528546735615</v>
      </c>
      <c r="AO74" s="52">
        <f t="shared" ca="1" si="115"/>
        <v>-20274.117805717458</v>
      </c>
      <c r="AP74" s="52">
        <f t="shared" ca="1" si="115"/>
        <v>-20353.111120342837</v>
      </c>
      <c r="AQ74" s="52">
        <f t="shared" ca="1" si="115"/>
        <v>-19460.702954767974</v>
      </c>
      <c r="AR74" s="52">
        <f t="shared" ca="1" si="115"/>
        <v>-18266.375270445842</v>
      </c>
      <c r="AS74" s="52">
        <f t="shared" ca="1" si="115"/>
        <v>-18276.824846852647</v>
      </c>
      <c r="AT74" s="52">
        <f t="shared" ca="1" si="115"/>
        <v>-18230.566621183993</v>
      </c>
      <c r="AU74" s="52">
        <f t="shared" ca="1" si="115"/>
        <v>-15600.088032265026</v>
      </c>
      <c r="AV74" s="52">
        <f t="shared" ca="1" si="115"/>
        <v>-6768.903048696302</v>
      </c>
      <c r="AW74" s="52">
        <f t="shared" ca="1" si="115"/>
        <v>-2174.1786869951966</v>
      </c>
      <c r="AX74" s="52">
        <f t="shared" ca="1" si="115"/>
        <v>0</v>
      </c>
      <c r="AY74" s="459">
        <f t="shared" ca="1" si="115"/>
        <v>0</v>
      </c>
      <c r="AZ74" s="459">
        <f t="shared" ca="1" si="115"/>
        <v>0</v>
      </c>
      <c r="BA74" s="459">
        <f t="shared" ca="1" si="115"/>
        <v>0</v>
      </c>
      <c r="BB74" s="459">
        <f t="shared" ca="1" si="115"/>
        <v>0</v>
      </c>
      <c r="BC74" s="52">
        <f t="shared" ca="1" si="115"/>
        <v>0</v>
      </c>
      <c r="BD74" s="52">
        <f t="shared" ca="1" si="115"/>
        <v>0</v>
      </c>
      <c r="BE74" s="52">
        <f t="shared" ca="1" si="115"/>
        <v>0</v>
      </c>
      <c r="BF74" s="52">
        <f t="shared" ca="1" si="115"/>
        <v>0</v>
      </c>
      <c r="BG74" s="52">
        <f t="shared" ca="1" si="115"/>
        <v>0</v>
      </c>
      <c r="BH74" s="52">
        <f t="shared" ca="1" si="115"/>
        <v>0</v>
      </c>
      <c r="BI74" s="52">
        <f t="shared" ca="1" si="115"/>
        <v>0</v>
      </c>
      <c r="BJ74" s="52">
        <f t="shared" ca="1" si="115"/>
        <v>0</v>
      </c>
      <c r="BK74" s="52">
        <f t="shared" ca="1" si="115"/>
        <v>0</v>
      </c>
      <c r="BL74" s="52">
        <f t="shared" ca="1" si="115"/>
        <v>0</v>
      </c>
      <c r="BM74" s="52">
        <f t="shared" ca="1" si="115"/>
        <v>0</v>
      </c>
      <c r="BN74" s="52">
        <f t="shared" ca="1" si="115"/>
        <v>0</v>
      </c>
      <c r="BO74" s="52">
        <f t="shared" ca="1" si="115"/>
        <v>0</v>
      </c>
      <c r="BP74" s="52">
        <f t="shared" ca="1" si="115"/>
        <v>0</v>
      </c>
      <c r="BQ74" s="52">
        <f t="shared" ca="1" si="115"/>
        <v>0</v>
      </c>
      <c r="BR74" s="52">
        <f t="shared" ca="1" si="115"/>
        <v>0</v>
      </c>
      <c r="BS74" s="52">
        <f t="shared" ca="1" si="115"/>
        <v>0</v>
      </c>
      <c r="BT74" s="52">
        <f t="shared" ca="1" si="115"/>
        <v>0</v>
      </c>
      <c r="BU74" s="52">
        <f t="shared" ca="1" si="115"/>
        <v>0</v>
      </c>
      <c r="BV74" s="52">
        <f t="shared" ca="1" si="115"/>
        <v>0</v>
      </c>
      <c r="BW74" s="52">
        <f t="shared" ca="1" si="115"/>
        <v>0</v>
      </c>
      <c r="BX74" s="52">
        <f t="shared" ref="BX74:CO74" ca="1" si="116">Subord_Interest_Paid</f>
        <v>0</v>
      </c>
      <c r="BY74" s="52">
        <f t="shared" ca="1" si="116"/>
        <v>0</v>
      </c>
      <c r="BZ74" s="52">
        <f t="shared" ca="1" si="116"/>
        <v>0</v>
      </c>
      <c r="CA74" s="52">
        <f t="shared" ca="1" si="116"/>
        <v>0</v>
      </c>
      <c r="CB74" s="52">
        <f t="shared" ca="1" si="116"/>
        <v>0</v>
      </c>
      <c r="CC74" s="52">
        <f t="shared" ca="1" si="116"/>
        <v>0</v>
      </c>
      <c r="CD74" s="52">
        <f t="shared" ca="1" si="116"/>
        <v>0</v>
      </c>
      <c r="CE74" s="52">
        <f t="shared" ca="1" si="116"/>
        <v>0</v>
      </c>
      <c r="CF74" s="52">
        <f t="shared" ca="1" si="116"/>
        <v>0</v>
      </c>
      <c r="CG74" s="52">
        <f t="shared" ca="1" si="116"/>
        <v>0</v>
      </c>
      <c r="CH74" s="52">
        <f t="shared" ca="1" si="116"/>
        <v>0</v>
      </c>
      <c r="CI74" s="52">
        <f t="shared" ca="1" si="116"/>
        <v>0</v>
      </c>
      <c r="CJ74" s="52">
        <f t="shared" ca="1" si="116"/>
        <v>0</v>
      </c>
      <c r="CK74" s="52">
        <f t="shared" ca="1" si="116"/>
        <v>0</v>
      </c>
      <c r="CL74" s="52">
        <f t="shared" ca="1" si="116"/>
        <v>0</v>
      </c>
      <c r="CM74" s="52">
        <f t="shared" ca="1" si="116"/>
        <v>0</v>
      </c>
      <c r="CN74" s="52">
        <f t="shared" ca="1" si="116"/>
        <v>0</v>
      </c>
      <c r="CO74" s="52">
        <f t="shared" ca="1" si="116"/>
        <v>0</v>
      </c>
    </row>
    <row r="75" spans="1:93" s="133" customFormat="1" ht="14.25">
      <c r="A75" s="10"/>
      <c r="B75" s="11"/>
      <c r="C75" s="17" t="s">
        <v>87</v>
      </c>
      <c r="D75" s="10"/>
      <c r="E75" s="10"/>
      <c r="F75" s="10"/>
      <c r="G75" s="134" t="str">
        <f t="shared" si="103"/>
        <v>тыс. руб.</v>
      </c>
      <c r="H75" s="10"/>
      <c r="I75" s="23">
        <f t="shared" ca="1" si="104"/>
        <v>-1083177.1599277665</v>
      </c>
      <c r="J75" s="10"/>
      <c r="K75" s="10"/>
      <c r="L75" s="52">
        <f t="shared" ref="L75:BW75" ca="1" si="117">Profits_Tax</f>
        <v>0</v>
      </c>
      <c r="M75" s="52">
        <f t="shared" ca="1" si="117"/>
        <v>0</v>
      </c>
      <c r="N75" s="52">
        <f t="shared" ca="1" si="117"/>
        <v>0</v>
      </c>
      <c r="O75" s="52">
        <f t="shared" ca="1" si="117"/>
        <v>0</v>
      </c>
      <c r="P75" s="52">
        <f t="shared" ca="1" si="117"/>
        <v>0</v>
      </c>
      <c r="Q75" s="52">
        <f t="shared" ca="1" si="117"/>
        <v>0</v>
      </c>
      <c r="R75" s="52">
        <f t="shared" ca="1" si="117"/>
        <v>0</v>
      </c>
      <c r="S75" s="52">
        <f t="shared" ca="1" si="117"/>
        <v>0</v>
      </c>
      <c r="T75" s="52">
        <f t="shared" ca="1" si="117"/>
        <v>0</v>
      </c>
      <c r="U75" s="52">
        <f t="shared" ca="1" si="117"/>
        <v>0</v>
      </c>
      <c r="V75" s="52">
        <f t="shared" ca="1" si="117"/>
        <v>0</v>
      </c>
      <c r="W75" s="52">
        <f t="shared" ca="1" si="117"/>
        <v>0</v>
      </c>
      <c r="X75" s="52">
        <f t="shared" ca="1" si="117"/>
        <v>0</v>
      </c>
      <c r="Y75" s="52">
        <f t="shared" ca="1" si="117"/>
        <v>0</v>
      </c>
      <c r="Z75" s="52">
        <f t="shared" ca="1" si="117"/>
        <v>0</v>
      </c>
      <c r="AA75" s="52">
        <f t="shared" ca="1" si="117"/>
        <v>0</v>
      </c>
      <c r="AB75" s="52">
        <f t="shared" ca="1" si="117"/>
        <v>0</v>
      </c>
      <c r="AC75" s="52">
        <f t="shared" ca="1" si="117"/>
        <v>0</v>
      </c>
      <c r="AD75" s="52">
        <f t="shared" ca="1" si="117"/>
        <v>-1783.8517168128092</v>
      </c>
      <c r="AE75" s="52">
        <f t="shared" ca="1" si="117"/>
        <v>-34.460020830635514</v>
      </c>
      <c r="AF75" s="52">
        <f t="shared" ca="1" si="117"/>
        <v>0</v>
      </c>
      <c r="AG75" s="52">
        <f t="shared" ca="1" si="117"/>
        <v>-710.4535125094086</v>
      </c>
      <c r="AH75" s="52">
        <f t="shared" ca="1" si="117"/>
        <v>-2294.7982331503858</v>
      </c>
      <c r="AI75" s="52">
        <f t="shared" ca="1" si="117"/>
        <v>-239.77500152082479</v>
      </c>
      <c r="AJ75" s="52">
        <f t="shared" ca="1" si="117"/>
        <v>-154.6523856769943</v>
      </c>
      <c r="AK75" s="52">
        <f t="shared" ca="1" si="117"/>
        <v>-1017.3856901637367</v>
      </c>
      <c r="AL75" s="52">
        <f t="shared" ca="1" si="117"/>
        <v>-2838.8876693744746</v>
      </c>
      <c r="AM75" s="52">
        <f t="shared" ca="1" si="117"/>
        <v>-476.01599709059332</v>
      </c>
      <c r="AN75" s="52">
        <f t="shared" ca="1" si="117"/>
        <v>-384.45855674662567</v>
      </c>
      <c r="AO75" s="52">
        <f t="shared" ca="1" si="117"/>
        <v>-1363.8566540876977</v>
      </c>
      <c r="AP75" s="52">
        <f t="shared" ca="1" si="117"/>
        <v>-3349.5826799216848</v>
      </c>
      <c r="AQ75" s="52">
        <f t="shared" ca="1" si="117"/>
        <v>-877.94883343143158</v>
      </c>
      <c r="AR75" s="52">
        <f t="shared" ca="1" si="117"/>
        <v>-1102.0585517472766</v>
      </c>
      <c r="AS75" s="52">
        <f t="shared" ca="1" si="117"/>
        <v>-3113.2048150097348</v>
      </c>
      <c r="AT75" s="52">
        <f t="shared" ca="1" si="117"/>
        <v>-7251.0413327619317</v>
      </c>
      <c r="AU75" s="52">
        <f t="shared" ca="1" si="117"/>
        <v>-6079.681761137449</v>
      </c>
      <c r="AV75" s="52">
        <f t="shared" ca="1" si="117"/>
        <v>-5393.0059544168471</v>
      </c>
      <c r="AW75" s="52">
        <f t="shared" ca="1" si="117"/>
        <v>-9100.6360451454311</v>
      </c>
      <c r="AX75" s="52">
        <f t="shared" ca="1" si="117"/>
        <v>-20387.297472093291</v>
      </c>
      <c r="AY75" s="459">
        <f t="shared" ca="1" si="117"/>
        <v>-5113.4158321700788</v>
      </c>
      <c r="AZ75" s="459">
        <f t="shared" ca="1" si="117"/>
        <v>-4099.8034607835061</v>
      </c>
      <c r="BA75" s="459">
        <f t="shared" ca="1" si="117"/>
        <v>-9723.348559444139</v>
      </c>
      <c r="BB75" s="459">
        <f t="shared" ca="1" si="117"/>
        <v>-21303.267284913883</v>
      </c>
      <c r="BC75" s="52">
        <f t="shared" ca="1" si="117"/>
        <v>-5418.430379393737</v>
      </c>
      <c r="BD75" s="52">
        <f t="shared" ca="1" si="117"/>
        <v>-4439.213805277408</v>
      </c>
      <c r="BE75" s="52">
        <f t="shared" ca="1" si="117"/>
        <v>-11252.770442178638</v>
      </c>
      <c r="BF75" s="52">
        <f t="shared" ca="1" si="117"/>
        <v>-23295.962995880793</v>
      </c>
      <c r="BG75" s="52">
        <f t="shared" ca="1" si="117"/>
        <v>-6775.7331789243817</v>
      </c>
      <c r="BH75" s="52">
        <f t="shared" ca="1" si="117"/>
        <v>-5678.6157829512076</v>
      </c>
      <c r="BI75" s="52">
        <f t="shared" ca="1" si="117"/>
        <v>-11761.187103371267</v>
      </c>
      <c r="BJ75" s="52">
        <f t="shared" ca="1" si="117"/>
        <v>-24286.172138548041</v>
      </c>
      <c r="BK75" s="52">
        <f t="shared" ca="1" si="117"/>
        <v>-7105.132541537474</v>
      </c>
      <c r="BL75" s="52">
        <f t="shared" ca="1" si="117"/>
        <v>-5964.5128965415306</v>
      </c>
      <c r="BM75" s="52">
        <f t="shared" ca="1" si="117"/>
        <v>-12290.458119635599</v>
      </c>
      <c r="BN75" s="52">
        <f t="shared" ca="1" si="117"/>
        <v>-25316.513606076656</v>
      </c>
      <c r="BO75" s="52">
        <f t="shared" ca="1" si="117"/>
        <v>-16492.514655768286</v>
      </c>
      <c r="BP75" s="52">
        <f t="shared" ca="1" si="117"/>
        <v>-13865.515909638518</v>
      </c>
      <c r="BQ75" s="52">
        <f t="shared" ca="1" si="117"/>
        <v>-28433.421376647551</v>
      </c>
      <c r="BR75" s="52">
        <f t="shared" ca="1" si="117"/>
        <v>-56866.140096120798</v>
      </c>
      <c r="BS75" s="52">
        <f t="shared" ca="1" si="117"/>
        <v>-15737.972148449895</v>
      </c>
      <c r="BT75" s="52">
        <f t="shared" ca="1" si="117"/>
        <v>-13241.198965775646</v>
      </c>
      <c r="BU75" s="52">
        <f t="shared" ca="1" si="117"/>
        <v>-28217.766330432834</v>
      </c>
      <c r="BV75" s="52">
        <f t="shared" ca="1" si="117"/>
        <v>-59418.696597877533</v>
      </c>
      <c r="BW75" s="52">
        <f t="shared" ca="1" si="117"/>
        <v>-16644.551699020234</v>
      </c>
      <c r="BX75" s="52">
        <f t="shared" ref="BX75:CO75" ca="1" si="118">Profits_Tax</f>
        <v>-13848.750829669019</v>
      </c>
      <c r="BY75" s="52">
        <f t="shared" ca="1" si="118"/>
        <v>-29609.72618933655</v>
      </c>
      <c r="BZ75" s="52">
        <f t="shared" ca="1" si="118"/>
        <v>-62059.570386573781</v>
      </c>
      <c r="CA75" s="52">
        <f t="shared" ca="1" si="118"/>
        <v>-17573.717564746523</v>
      </c>
      <c r="CB75" s="52">
        <f t="shared" ca="1" si="118"/>
        <v>-14667.329897215441</v>
      </c>
      <c r="CC75" s="52">
        <f t="shared" ca="1" si="118"/>
        <v>-31059.607846617138</v>
      </c>
      <c r="CD75" s="52">
        <f t="shared" ca="1" si="118"/>
        <v>-64808.292055786733</v>
      </c>
      <c r="CE75" s="52">
        <f t="shared" ca="1" si="118"/>
        <v>-18542.207881073417</v>
      </c>
      <c r="CF75" s="52">
        <f t="shared" ca="1" si="118"/>
        <v>-15515.532492630453</v>
      </c>
      <c r="CG75" s="52">
        <f t="shared" ca="1" si="118"/>
        <v>-32564.330472746424</v>
      </c>
      <c r="CH75" s="52">
        <f t="shared" ca="1" si="118"/>
        <v>-67663.773631716351</v>
      </c>
      <c r="CI75" s="52">
        <f t="shared" ca="1" si="118"/>
        <v>-19546.248850001593</v>
      </c>
      <c r="CJ75" s="52">
        <f t="shared" ca="1" si="118"/>
        <v>-16613.31464927864</v>
      </c>
      <c r="CK75" s="52">
        <f t="shared" ca="1" si="118"/>
        <v>-34130.440676929851</v>
      </c>
      <c r="CL75" s="52">
        <f t="shared" ca="1" si="118"/>
        <v>-70634.633554462838</v>
      </c>
      <c r="CM75" s="52">
        <f t="shared" ca="1" si="118"/>
        <v>-20591.557796706118</v>
      </c>
      <c r="CN75" s="52">
        <f t="shared" ca="1" si="118"/>
        <v>-17305.595429169738</v>
      </c>
      <c r="CO75" s="52">
        <f t="shared" ca="1" si="118"/>
        <v>-35747.160932116996</v>
      </c>
    </row>
    <row r="76" spans="1:93" s="133" customFormat="1" ht="14.25">
      <c r="A76" s="10"/>
      <c r="B76" s="11"/>
      <c r="C76" s="17" t="s">
        <v>112</v>
      </c>
      <c r="D76" s="10"/>
      <c r="E76" s="10"/>
      <c r="F76" s="10"/>
      <c r="G76" s="134" t="str">
        <f t="shared" si="103"/>
        <v>тыс. руб.</v>
      </c>
      <c r="H76" s="10"/>
      <c r="I76" s="23">
        <f t="shared" ca="1" si="104"/>
        <v>71552.676699739823</v>
      </c>
      <c r="J76" s="10"/>
      <c r="K76" s="10"/>
      <c r="L76" s="52">
        <f t="shared" ref="L76:BW76" ca="1" si="119">VAT_Cash_Flow</f>
        <v>-3371.9255688267931</v>
      </c>
      <c r="M76" s="52">
        <f t="shared" ca="1" si="119"/>
        <v>-3419.7896726333838</v>
      </c>
      <c r="N76" s="52">
        <f t="shared" ca="1" si="119"/>
        <v>-3468.3332020045218</v>
      </c>
      <c r="O76" s="52">
        <f t="shared" ca="1" si="119"/>
        <v>-3517.5658013095981</v>
      </c>
      <c r="P76" s="52">
        <f t="shared" ca="1" si="119"/>
        <v>-29581.74843746073</v>
      </c>
      <c r="Q76" s="52">
        <f t="shared" ca="1" si="119"/>
        <v>-29873.229431244363</v>
      </c>
      <c r="R76" s="52">
        <f t="shared" ca="1" si="119"/>
        <v>-30167.582505761035</v>
      </c>
      <c r="S76" s="52">
        <f t="shared" ca="1" si="119"/>
        <v>-30464.835960789846</v>
      </c>
      <c r="T76" s="52">
        <f t="shared" ca="1" si="119"/>
        <v>-30765.018374959152</v>
      </c>
      <c r="U76" s="52">
        <f t="shared" ca="1" si="119"/>
        <v>-31068.158608494123</v>
      </c>
      <c r="V76" s="52">
        <f t="shared" ca="1" si="119"/>
        <v>-31374.285805991443</v>
      </c>
      <c r="W76" s="52">
        <f t="shared" ca="1" si="119"/>
        <v>-31683.429399221437</v>
      </c>
      <c r="X76" s="52">
        <f t="shared" ca="1" si="119"/>
        <v>-61262.581636075804</v>
      </c>
      <c r="Y76" s="52">
        <f t="shared" ca="1" si="119"/>
        <v>-61866.226759175479</v>
      </c>
      <c r="Z76" s="52">
        <f t="shared" ca="1" si="119"/>
        <v>-62475.819843084319</v>
      </c>
      <c r="AA76" s="52">
        <f t="shared" ca="1" si="119"/>
        <v>-63091.419495478331</v>
      </c>
      <c r="AB76" s="52">
        <f t="shared" ca="1" si="119"/>
        <v>-110005.14195495861</v>
      </c>
      <c r="AC76" s="52">
        <f t="shared" ca="1" si="119"/>
        <v>496029.06325528905</v>
      </c>
      <c r="AD76" s="52">
        <f t="shared" ca="1" si="119"/>
        <v>86726.320653099174</v>
      </c>
      <c r="AE76" s="52">
        <f t="shared" ca="1" si="119"/>
        <v>3631.0699049526047</v>
      </c>
      <c r="AF76" s="52">
        <f t="shared" ca="1" si="119"/>
        <v>16369.970828104153</v>
      </c>
      <c r="AG76" s="52">
        <f t="shared" ca="1" si="119"/>
        <v>-5526.9857779293634</v>
      </c>
      <c r="AH76" s="52">
        <f t="shared" ca="1" si="119"/>
        <v>-20152.723434249718</v>
      </c>
      <c r="AI76" s="52">
        <f t="shared" ca="1" si="119"/>
        <v>4291.8545063702404</v>
      </c>
      <c r="AJ76" s="52">
        <f t="shared" ca="1" si="119"/>
        <v>19080.908890100753</v>
      </c>
      <c r="AK76" s="52">
        <f t="shared" ca="1" si="119"/>
        <v>-6321.1670295895783</v>
      </c>
      <c r="AL76" s="52">
        <f t="shared" ca="1" si="119"/>
        <v>-23129.035590654974</v>
      </c>
      <c r="AM76" s="52">
        <f t="shared" ca="1" si="119"/>
        <v>4999.6921640533328</v>
      </c>
      <c r="AN76" s="52">
        <f t="shared" ca="1" si="119"/>
        <v>21881.252816225988</v>
      </c>
      <c r="AO76" s="52">
        <f t="shared" ca="1" si="119"/>
        <v>-7169.9024874847128</v>
      </c>
      <c r="AP76" s="52">
        <f t="shared" ca="1" si="119"/>
        <v>-25438.718571728292</v>
      </c>
      <c r="AQ76" s="52">
        <f t="shared" ca="1" si="119"/>
        <v>6256.70051811343</v>
      </c>
      <c r="AR76" s="52">
        <f t="shared" ca="1" si="119"/>
        <v>24959.816450627564</v>
      </c>
      <c r="AS76" s="52">
        <f t="shared" ca="1" si="119"/>
        <v>-6957.5761581066909</v>
      </c>
      <c r="AT76" s="52">
        <f t="shared" ca="1" si="119"/>
        <v>-26346.648694106327</v>
      </c>
      <c r="AU76" s="52">
        <f t="shared" ca="1" si="119"/>
        <v>6506.9641166942092</v>
      </c>
      <c r="AV76" s="52">
        <f t="shared" ca="1" si="119"/>
        <v>25958.354697568982</v>
      </c>
      <c r="AW76" s="52">
        <f t="shared" ca="1" si="119"/>
        <v>58191.49187661022</v>
      </c>
      <c r="AX76" s="52">
        <f t="shared" ca="1" si="119"/>
        <v>50789.366774719732</v>
      </c>
      <c r="AY76" s="52">
        <f t="shared" ca="1" si="119"/>
        <v>-56390.865089872575</v>
      </c>
      <c r="AZ76" s="52">
        <f t="shared" ca="1" si="119"/>
        <v>-3783.0571285007136</v>
      </c>
      <c r="BA76" s="52">
        <f t="shared" ca="1" si="119"/>
        <v>21339.369529083353</v>
      </c>
      <c r="BB76" s="52">
        <f t="shared" ca="1" si="119"/>
        <v>42321.471779338317</v>
      </c>
      <c r="BC76" s="52">
        <f t="shared" ca="1" si="119"/>
        <v>-58646.499693467471</v>
      </c>
      <c r="BD76" s="52">
        <f t="shared" ca="1" si="119"/>
        <v>-3622.2314913052032</v>
      </c>
      <c r="BE76" s="52">
        <f t="shared" ca="1" si="119"/>
        <v>21880.956795001614</v>
      </c>
      <c r="BF76" s="52">
        <f t="shared" ca="1" si="119"/>
        <v>44014.33401115211</v>
      </c>
      <c r="BG76" s="52">
        <f t="shared" ca="1" si="119"/>
        <v>-60992.358067536086</v>
      </c>
      <c r="BH76" s="52">
        <f t="shared" ca="1" si="119"/>
        <v>-4091.9199715871146</v>
      </c>
      <c r="BI76" s="52">
        <f t="shared" ca="1" si="119"/>
        <v>23080.662082656534</v>
      </c>
      <c r="BJ76" s="52">
        <f t="shared" ca="1" si="119"/>
        <v>45774.903876532298</v>
      </c>
      <c r="BK76" s="52">
        <f t="shared" ca="1" si="119"/>
        <v>-63432.054068454323</v>
      </c>
      <c r="BL76" s="52">
        <f t="shared" ca="1" si="119"/>
        <v>-4255.4247737937985</v>
      </c>
      <c r="BM76" s="52">
        <f t="shared" ca="1" si="119"/>
        <v>24003.888565962799</v>
      </c>
      <c r="BN76" s="52">
        <f t="shared" ca="1" si="119"/>
        <v>47605.900031593541</v>
      </c>
      <c r="BO76" s="52">
        <f t="shared" ca="1" si="119"/>
        <v>-65969.336231192487</v>
      </c>
      <c r="BP76" s="52">
        <f t="shared" ca="1" si="119"/>
        <v>-4425.6417647455528</v>
      </c>
      <c r="BQ76" s="52">
        <f t="shared" ca="1" si="119"/>
        <v>24964.044108601302</v>
      </c>
      <c r="BR76" s="52">
        <f t="shared" ca="1" si="119"/>
        <v>49510.13603285735</v>
      </c>
      <c r="BS76" s="52">
        <f t="shared" ca="1" si="119"/>
        <v>-68608.109680440233</v>
      </c>
      <c r="BT76" s="52">
        <f t="shared" ca="1" si="119"/>
        <v>-4237.4985164049576</v>
      </c>
      <c r="BU76" s="52">
        <f t="shared" ca="1" si="119"/>
        <v>25597.624607622762</v>
      </c>
      <c r="BV76" s="52">
        <f t="shared" ca="1" si="119"/>
        <v>51490.545405645425</v>
      </c>
      <c r="BW76" s="52">
        <f t="shared" ca="1" si="119"/>
        <v>-71352.432179892086</v>
      </c>
      <c r="BX76" s="52">
        <f t="shared" ref="BX76:CO76" ca="1" si="120">VAT_Cash_Flow</f>
        <v>-4786.9676055961463</v>
      </c>
      <c r="BY76" s="52">
        <f t="shared" ca="1" si="120"/>
        <v>27001.110107863176</v>
      </c>
      <c r="BZ76" s="52">
        <f t="shared" ca="1" si="120"/>
        <v>53550.163133138471</v>
      </c>
      <c r="CA76" s="52">
        <f t="shared" ca="1" si="120"/>
        <v>-74206.531430364106</v>
      </c>
      <c r="CB76" s="52">
        <f t="shared" ca="1" si="120"/>
        <v>-4978.2450980587528</v>
      </c>
      <c r="CC76" s="52">
        <f t="shared" ca="1" si="120"/>
        <v>28081.154512177687</v>
      </c>
      <c r="CD76" s="52">
        <f t="shared" ca="1" si="120"/>
        <v>55692.169658463994</v>
      </c>
      <c r="CE76" s="52">
        <f t="shared" ca="1" si="120"/>
        <v>-77174.792687578665</v>
      </c>
      <c r="CF76" s="52">
        <f t="shared" ca="1" si="120"/>
        <v>-5177.374901981093</v>
      </c>
      <c r="CG76" s="52">
        <f t="shared" ca="1" si="120"/>
        <v>29204.400692664785</v>
      </c>
      <c r="CH76" s="52">
        <f t="shared" ca="1" si="120"/>
        <v>57919.856444802557</v>
      </c>
      <c r="CI76" s="52">
        <f t="shared" ca="1" si="120"/>
        <v>-80261.784395081791</v>
      </c>
      <c r="CJ76" s="52">
        <f t="shared" ca="1" si="120"/>
        <v>-4957.2739124036452</v>
      </c>
      <c r="CK76" s="52">
        <f t="shared" ca="1" si="120"/>
        <v>29945.600262894091</v>
      </c>
      <c r="CL76" s="52">
        <f t="shared" ca="1" si="120"/>
        <v>60236.655301862993</v>
      </c>
      <c r="CM76" s="52">
        <f t="shared" ca="1" si="120"/>
        <v>-83472.253562466241</v>
      </c>
      <c r="CN76" s="52">
        <f t="shared" ca="1" si="120"/>
        <v>-5600.0750298493367</v>
      </c>
      <c r="CO76" s="52">
        <f t="shared" ca="1" si="120"/>
        <v>31587.47978918624</v>
      </c>
    </row>
    <row r="77" spans="1:93" s="133" customFormat="1" thickBot="1">
      <c r="A77" s="10"/>
      <c r="B77" s="11"/>
      <c r="C77" s="17" t="s">
        <v>88</v>
      </c>
      <c r="D77" s="10"/>
      <c r="E77" s="10"/>
      <c r="F77" s="10"/>
      <c r="G77" s="134" t="str">
        <f t="shared" si="103"/>
        <v>тыс. руб.</v>
      </c>
      <c r="H77" s="10"/>
      <c r="I77" s="23">
        <f t="shared" ca="1" si="104"/>
        <v>-149764.4385477177</v>
      </c>
      <c r="J77" s="10"/>
      <c r="K77" s="10"/>
      <c r="L77" s="52">
        <f t="shared" ref="L77:BW77" ca="1" si="121">WC_Cash_Flow</f>
        <v>0</v>
      </c>
      <c r="M77" s="52">
        <f t="shared" ca="1" si="121"/>
        <v>0</v>
      </c>
      <c r="N77" s="52">
        <f t="shared" ca="1" si="121"/>
        <v>0</v>
      </c>
      <c r="O77" s="52">
        <f t="shared" ca="1" si="121"/>
        <v>0</v>
      </c>
      <c r="P77" s="52">
        <f t="shared" ca="1" si="121"/>
        <v>0</v>
      </c>
      <c r="Q77" s="52">
        <f t="shared" ca="1" si="121"/>
        <v>0</v>
      </c>
      <c r="R77" s="52">
        <f t="shared" ca="1" si="121"/>
        <v>0</v>
      </c>
      <c r="S77" s="52">
        <f t="shared" ca="1" si="121"/>
        <v>0</v>
      </c>
      <c r="T77" s="52">
        <f t="shared" ca="1" si="121"/>
        <v>0</v>
      </c>
      <c r="U77" s="52">
        <f t="shared" ca="1" si="121"/>
        <v>0</v>
      </c>
      <c r="V77" s="52">
        <f t="shared" ca="1" si="121"/>
        <v>0</v>
      </c>
      <c r="W77" s="52">
        <f t="shared" ca="1" si="121"/>
        <v>0</v>
      </c>
      <c r="X77" s="52">
        <f t="shared" ca="1" si="121"/>
        <v>0</v>
      </c>
      <c r="Y77" s="52">
        <f t="shared" ca="1" si="121"/>
        <v>0</v>
      </c>
      <c r="Z77" s="52">
        <f t="shared" ca="1" si="121"/>
        <v>0</v>
      </c>
      <c r="AA77" s="52">
        <f t="shared" ca="1" si="121"/>
        <v>0</v>
      </c>
      <c r="AB77" s="52">
        <f t="shared" ca="1" si="121"/>
        <v>0</v>
      </c>
      <c r="AC77" s="52">
        <f t="shared" ca="1" si="121"/>
        <v>-69426.365057955772</v>
      </c>
      <c r="AD77" s="52">
        <f t="shared" ca="1" si="121"/>
        <v>-63970.969616588263</v>
      </c>
      <c r="AE77" s="52">
        <f t="shared" ca="1" si="121"/>
        <v>85278.838549397798</v>
      </c>
      <c r="AF77" s="52">
        <f t="shared" ca="1" si="121"/>
        <v>3807.1348063051992</v>
      </c>
      <c r="AG77" s="52">
        <f t="shared" ca="1" si="121"/>
        <v>-36677.000975711504</v>
      </c>
      <c r="AH77" s="52">
        <f t="shared" ca="1" si="121"/>
        <v>-74122.31285529217</v>
      </c>
      <c r="AI77" s="52">
        <f t="shared" ca="1" si="121"/>
        <v>99326.269513595325</v>
      </c>
      <c r="AJ77" s="52">
        <f t="shared" ca="1" si="121"/>
        <v>4560.5700701664173</v>
      </c>
      <c r="AK77" s="52">
        <f t="shared" ca="1" si="121"/>
        <v>-42140.401559901497</v>
      </c>
      <c r="AL77" s="52">
        <f t="shared" ca="1" si="121"/>
        <v>-84983.410001705837</v>
      </c>
      <c r="AM77" s="52">
        <f t="shared" ca="1" si="121"/>
        <v>114361.04881324957</v>
      </c>
      <c r="AN77" s="52">
        <f t="shared" ca="1" si="121"/>
        <v>5368.0768338672933</v>
      </c>
      <c r="AO77" s="52">
        <f t="shared" ca="1" si="121"/>
        <v>-47982.192091916775</v>
      </c>
      <c r="AP77" s="52">
        <f t="shared" ca="1" si="121"/>
        <v>-92166.338640098256</v>
      </c>
      <c r="AQ77" s="52">
        <f t="shared" ca="1" si="121"/>
        <v>129116.05016391008</v>
      </c>
      <c r="AR77" s="52">
        <f t="shared" ca="1" si="121"/>
        <v>7297.9947382550163</v>
      </c>
      <c r="AS77" s="52">
        <f t="shared" ca="1" si="121"/>
        <v>-48511.617276406585</v>
      </c>
      <c r="AT77" s="52">
        <f t="shared" ca="1" si="121"/>
        <v>-95852.991027645534</v>
      </c>
      <c r="AU77" s="52">
        <f t="shared" ca="1" si="121"/>
        <v>134280.69333993405</v>
      </c>
      <c r="AV77" s="52">
        <f t="shared" ca="1" si="121"/>
        <v>7589.7946717012092</v>
      </c>
      <c r="AW77" s="52">
        <f t="shared" ca="1" si="121"/>
        <v>-32436.995904036186</v>
      </c>
      <c r="AX77" s="52">
        <f t="shared" ca="1" si="121"/>
        <v>-82172.751018344134</v>
      </c>
      <c r="AY77" s="52">
        <f t="shared" ca="1" si="121"/>
        <v>115515.10356823145</v>
      </c>
      <c r="AZ77" s="52">
        <f t="shared" ca="1" si="121"/>
        <v>6510.4472404044645</v>
      </c>
      <c r="BA77" s="52">
        <f t="shared" ca="1" si="121"/>
        <v>-43744.164730566728</v>
      </c>
      <c r="BB77" s="52">
        <f t="shared" ca="1" si="121"/>
        <v>-85459.661059077858</v>
      </c>
      <c r="BC77" s="52">
        <f t="shared" ca="1" si="121"/>
        <v>120135.70771096059</v>
      </c>
      <c r="BD77" s="52">
        <f t="shared" ca="1" si="121"/>
        <v>6770.7342163205903</v>
      </c>
      <c r="BE77" s="52">
        <f t="shared" ca="1" si="121"/>
        <v>-45493.932609735406</v>
      </c>
      <c r="BF77" s="52">
        <f t="shared" ca="1" si="121"/>
        <v>-88878.04880409714</v>
      </c>
      <c r="BG77" s="52">
        <f t="shared" ca="1" si="121"/>
        <v>124941.13470390707</v>
      </c>
      <c r="BH77" s="52">
        <f t="shared" ca="1" si="121"/>
        <v>7041.8345570155652</v>
      </c>
      <c r="BI77" s="52">
        <f t="shared" ca="1" si="121"/>
        <v>-47313.688572580984</v>
      </c>
      <c r="BJ77" s="52">
        <f t="shared" ca="1" si="121"/>
        <v>-92433.169401498453</v>
      </c>
      <c r="BK77" s="52">
        <f t="shared" ca="1" si="121"/>
        <v>129938.78146017488</v>
      </c>
      <c r="BL77" s="52">
        <f t="shared" ca="1" si="121"/>
        <v>7323.3677246302541</v>
      </c>
      <c r="BM77" s="52">
        <f t="shared" ca="1" si="121"/>
        <v>-49206.236115484178</v>
      </c>
      <c r="BN77" s="52">
        <f t="shared" ca="1" si="121"/>
        <v>-96130.496177558496</v>
      </c>
      <c r="BO77" s="52">
        <f t="shared" ca="1" si="121"/>
        <v>135136.33271858183</v>
      </c>
      <c r="BP77" s="52">
        <f t="shared" ca="1" si="121"/>
        <v>7616.3024336155795</v>
      </c>
      <c r="BQ77" s="52">
        <f t="shared" ca="1" si="121"/>
        <v>-51174.485560103698</v>
      </c>
      <c r="BR77" s="52">
        <f t="shared" ca="1" si="121"/>
        <v>-99975.716024660796</v>
      </c>
      <c r="BS77" s="52">
        <f t="shared" ca="1" si="121"/>
        <v>140541.78602732514</v>
      </c>
      <c r="BT77" s="52">
        <f t="shared" ca="1" si="121"/>
        <v>7920.8013804475777</v>
      </c>
      <c r="BU77" s="52">
        <f t="shared" ca="1" si="121"/>
        <v>-53221.46649156179</v>
      </c>
      <c r="BV77" s="52">
        <f t="shared" ca="1" si="121"/>
        <v>-103974.74618957087</v>
      </c>
      <c r="BW77" s="52">
        <f t="shared" ca="1" si="121"/>
        <v>146163.45592947846</v>
      </c>
      <c r="BX77" s="52">
        <f t="shared" ref="BX77:CO77" ca="1" si="122">WC_Cash_Flow</f>
        <v>8237.9504346286412</v>
      </c>
      <c r="BY77" s="52">
        <f t="shared" ca="1" si="122"/>
        <v>-55350.32358180813</v>
      </c>
      <c r="BZ77" s="52">
        <f t="shared" ca="1" si="122"/>
        <v>-108133.73445227277</v>
      </c>
      <c r="CA77" s="52">
        <f t="shared" ca="1" si="122"/>
        <v>152009.9957671545</v>
      </c>
      <c r="CB77" s="52">
        <f t="shared" ca="1" si="122"/>
        <v>8567.304420686618</v>
      </c>
      <c r="CC77" s="52">
        <f t="shared" ca="1" si="122"/>
        <v>-57564.336525080376</v>
      </c>
      <c r="CD77" s="52">
        <f t="shared" ca="1" si="122"/>
        <v>-112459.08383036405</v>
      </c>
      <c r="CE77" s="52">
        <f t="shared" ca="1" si="122"/>
        <v>158090.39559784101</v>
      </c>
      <c r="CF77" s="52">
        <f t="shared" ca="1" si="122"/>
        <v>8909.9965975140512</v>
      </c>
      <c r="CG77" s="52">
        <f t="shared" ca="1" si="122"/>
        <v>-59866.9099860836</v>
      </c>
      <c r="CH77" s="52">
        <f t="shared" ca="1" si="122"/>
        <v>-116957.44718357857</v>
      </c>
      <c r="CI77" s="52">
        <f t="shared" ca="1" si="122"/>
        <v>164414.01142175472</v>
      </c>
      <c r="CJ77" s="52">
        <f t="shared" ca="1" si="122"/>
        <v>9266.217296976276</v>
      </c>
      <c r="CK77" s="52">
        <f t="shared" ca="1" si="122"/>
        <v>-62261.588150906988</v>
      </c>
      <c r="CL77" s="52">
        <f t="shared" ca="1" si="122"/>
        <v>-121635.74685369676</v>
      </c>
      <c r="CM77" s="52">
        <f t="shared" ca="1" si="122"/>
        <v>170990.57007828349</v>
      </c>
      <c r="CN77" s="52">
        <f t="shared" ca="1" si="122"/>
        <v>9637.2368328057346</v>
      </c>
      <c r="CO77" s="52">
        <f t="shared" ca="1" si="122"/>
        <v>-64752.049840948021</v>
      </c>
    </row>
    <row r="78" spans="1:93" s="133" customFormat="1" thickTop="1">
      <c r="A78" s="10"/>
      <c r="B78" s="11"/>
      <c r="C78" s="49" t="s">
        <v>494</v>
      </c>
      <c r="D78" s="136"/>
      <c r="E78" s="136"/>
      <c r="F78" s="136"/>
      <c r="G78" s="137" t="str">
        <f t="shared" si="103"/>
        <v>тыс. руб.</v>
      </c>
      <c r="H78" s="136"/>
      <c r="I78" s="23">
        <f t="shared" ca="1" si="104"/>
        <v>11059495.519772714</v>
      </c>
      <c r="J78" s="136"/>
      <c r="K78" s="136"/>
      <c r="L78" s="136">
        <f ca="1">SUM(L69:L77)</f>
        <v>-3371.9255688267931</v>
      </c>
      <c r="M78" s="136">
        <f t="shared" ref="M78:BX78" ca="1" si="123">SUM(M69:M77)</f>
        <v>-3419.7896726333838</v>
      </c>
      <c r="N78" s="136">
        <f t="shared" ca="1" si="123"/>
        <v>-3468.3332020045218</v>
      </c>
      <c r="O78" s="136">
        <f t="shared" ca="1" si="123"/>
        <v>-3517.5658013095981</v>
      </c>
      <c r="P78" s="136">
        <f t="shared" ca="1" si="123"/>
        <v>-29581.74843746073</v>
      </c>
      <c r="Q78" s="136">
        <f t="shared" ca="1" si="123"/>
        <v>-29873.229431244363</v>
      </c>
      <c r="R78" s="136">
        <f t="shared" ca="1" si="123"/>
        <v>-30167.582505761035</v>
      </c>
      <c r="S78" s="136">
        <f t="shared" ca="1" si="123"/>
        <v>-30464.835960789846</v>
      </c>
      <c r="T78" s="136">
        <f t="shared" ca="1" si="123"/>
        <v>-31140.847638293038</v>
      </c>
      <c r="U78" s="136">
        <f t="shared" ca="1" si="123"/>
        <v>-35149.976938140986</v>
      </c>
      <c r="V78" s="136">
        <f t="shared" ca="1" si="123"/>
        <v>-37980.533235228693</v>
      </c>
      <c r="W78" s="136">
        <f t="shared" ca="1" si="123"/>
        <v>-40793.683031797671</v>
      </c>
      <c r="X78" s="136">
        <f t="shared" ca="1" si="123"/>
        <v>-73955.129897533232</v>
      </c>
      <c r="Y78" s="136">
        <f t="shared" ca="1" si="123"/>
        <v>-79381.829752001096</v>
      </c>
      <c r="Z78" s="136">
        <f t="shared" ca="1" si="123"/>
        <v>-85108.003078038513</v>
      </c>
      <c r="AA78" s="136">
        <f t="shared" ca="1" si="123"/>
        <v>-90696.222988705616</v>
      </c>
      <c r="AB78" s="136">
        <f t="shared" ca="1" si="123"/>
        <v>-143910.24807324636</v>
      </c>
      <c r="AC78" s="136">
        <f t="shared" ca="1" si="123"/>
        <v>494490.91889906902</v>
      </c>
      <c r="AD78" s="136">
        <f t="shared" ca="1" si="123"/>
        <v>232907.14495567419</v>
      </c>
      <c r="AE78" s="136">
        <f t="shared" ca="1" si="123"/>
        <v>125871.9244712785</v>
      </c>
      <c r="AF78" s="136">
        <f t="shared" ca="1" si="123"/>
        <v>55399.233751181804</v>
      </c>
      <c r="AG78" s="136">
        <f t="shared" ca="1" si="123"/>
        <v>65484.432646601446</v>
      </c>
      <c r="AH78" s="136">
        <f t="shared" ca="1" si="123"/>
        <v>166460.46274704151</v>
      </c>
      <c r="AI78" s="136">
        <f t="shared" ca="1" si="123"/>
        <v>160906.32312522241</v>
      </c>
      <c r="AJ78" s="136">
        <f t="shared" ca="1" si="123"/>
        <v>74580.822310337593</v>
      </c>
      <c r="AK78" s="136">
        <f t="shared" ca="1" si="123"/>
        <v>86058.090179155028</v>
      </c>
      <c r="AL78" s="136">
        <f t="shared" ca="1" si="123"/>
        <v>206487.90763040734</v>
      </c>
      <c r="AM78" s="136">
        <f t="shared" ca="1" si="123"/>
        <v>200036.79864396682</v>
      </c>
      <c r="AN78" s="136">
        <f t="shared" ca="1" si="123"/>
        <v>98861.200722704409</v>
      </c>
      <c r="AO78" s="136">
        <f t="shared" ca="1" si="123"/>
        <v>113420.18812997578</v>
      </c>
      <c r="AP78" s="136">
        <f t="shared" ca="1" si="123"/>
        <v>247554.10205511542</v>
      </c>
      <c r="AQ78" s="136">
        <f t="shared" ca="1" si="123"/>
        <v>236810.80346179154</v>
      </c>
      <c r="AR78" s="136">
        <f t="shared" ca="1" si="123"/>
        <v>119809.15417919432</v>
      </c>
      <c r="AS78" s="136">
        <f t="shared" ca="1" si="123"/>
        <v>130628.3164556589</v>
      </c>
      <c r="AT78" s="136">
        <f t="shared" ca="1" si="123"/>
        <v>266651.85953827796</v>
      </c>
      <c r="AU78" s="136">
        <f t="shared" ca="1" si="123"/>
        <v>255111.04623786383</v>
      </c>
      <c r="AV78" s="136">
        <f t="shared" ca="1" si="123"/>
        <v>138748.55957550349</v>
      </c>
      <c r="AW78" s="136">
        <f t="shared" ca="1" si="123"/>
        <v>180213.42024134423</v>
      </c>
      <c r="AX78" s="136">
        <f t="shared" ca="1" si="123"/>
        <v>273026.89898316731</v>
      </c>
      <c r="AY78" s="136">
        <f t="shared" ca="1" si="123"/>
        <v>160610.0942033137</v>
      </c>
      <c r="AZ78" s="136">
        <f t="shared" ca="1" si="123"/>
        <v>90746.681474151221</v>
      </c>
      <c r="BA78" s="136">
        <f t="shared" ca="1" si="123"/>
        <v>140327.30961439823</v>
      </c>
      <c r="BB78" s="136">
        <f t="shared" ca="1" si="123"/>
        <v>273441.40717452578</v>
      </c>
      <c r="BC78" s="136">
        <f t="shared" ca="1" si="123"/>
        <v>167027.39986984793</v>
      </c>
      <c r="BD78" s="136">
        <f t="shared" ca="1" si="123"/>
        <v>95677.102949824475</v>
      </c>
      <c r="BE78" s="136">
        <f t="shared" ca="1" si="123"/>
        <v>144587.40117527739</v>
      </c>
      <c r="BF78" s="136">
        <f t="shared" ca="1" si="123"/>
        <v>283339.07755339483</v>
      </c>
      <c r="BG78" s="136">
        <f t="shared" ca="1" si="123"/>
        <v>172668.51570028992</v>
      </c>
      <c r="BH78" s="136">
        <f t="shared" ca="1" si="123"/>
        <v>97093.665388560941</v>
      </c>
      <c r="BI78" s="136">
        <f t="shared" ca="1" si="123"/>
        <v>150722.0289987888</v>
      </c>
      <c r="BJ78" s="136">
        <f t="shared" ca="1" si="123"/>
        <v>294700.16257395281</v>
      </c>
      <c r="BK78" s="136">
        <f t="shared" ca="1" si="123"/>
        <v>179602.77227321346</v>
      </c>
      <c r="BL78" s="136">
        <f t="shared" ca="1" si="123"/>
        <v>101010.04112024038</v>
      </c>
      <c r="BM78" s="136">
        <f t="shared" ca="1" si="123"/>
        <v>156784.45144098948</v>
      </c>
      <c r="BN78" s="136">
        <f t="shared" ca="1" si="123"/>
        <v>306522.6543072628</v>
      </c>
      <c r="BO78" s="136">
        <f t="shared" ca="1" si="123"/>
        <v>177777.08616391147</v>
      </c>
      <c r="BP78" s="136">
        <f t="shared" ca="1" si="123"/>
        <v>97479.370084233102</v>
      </c>
      <c r="BQ78" s="136">
        <f t="shared" ca="1" si="123"/>
        <v>147496.84938078091</v>
      </c>
      <c r="BR78" s="136">
        <f t="shared" ca="1" si="123"/>
        <v>278245.88708535017</v>
      </c>
      <c r="BS78" s="136">
        <f t="shared" ca="1" si="123"/>
        <v>176430.29235447774</v>
      </c>
      <c r="BT78" s="136">
        <f t="shared" ca="1" si="123"/>
        <v>94568.477972540364</v>
      </c>
      <c r="BU78" s="136">
        <f t="shared" ca="1" si="123"/>
        <v>144907.78111575436</v>
      </c>
      <c r="BV78" s="136">
        <f t="shared" ca="1" si="123"/>
        <v>290142.81625441811</v>
      </c>
      <c r="BW78" s="136">
        <f t="shared" ca="1" si="123"/>
        <v>184249.96053286913</v>
      </c>
      <c r="BX78" s="136">
        <f t="shared" ca="1" si="123"/>
        <v>97648.295518110244</v>
      </c>
      <c r="BY78" s="136">
        <f t="shared" ref="BY78:CO78" ca="1" si="124">SUM(BY69:BY77)</f>
        <v>151770.83585332028</v>
      </c>
      <c r="BZ78" s="136">
        <f t="shared" ca="1" si="124"/>
        <v>302440.46734145656</v>
      </c>
      <c r="CA78" s="136">
        <f t="shared" ca="1" si="124"/>
        <v>192307.85374290359</v>
      </c>
      <c r="CB78" s="136">
        <f t="shared" ca="1" si="124"/>
        <v>102248.94821865222</v>
      </c>
      <c r="CC78" s="136">
        <f t="shared" ca="1" si="124"/>
        <v>158541.06086534384</v>
      </c>
      <c r="CD78" s="136">
        <f t="shared" ca="1" si="124"/>
        <v>315242.09100794845</v>
      </c>
      <c r="CE78" s="136">
        <f t="shared" ca="1" si="124"/>
        <v>200699.82662151247</v>
      </c>
      <c r="CF78" s="136">
        <f t="shared" ca="1" si="124"/>
        <v>107016.58280527144</v>
      </c>
      <c r="CG78" s="136">
        <f t="shared" ca="1" si="124"/>
        <v>165564.89886920995</v>
      </c>
      <c r="CH78" s="136">
        <f t="shared" ca="1" si="124"/>
        <v>328538.39464533399</v>
      </c>
      <c r="CI78" s="136">
        <f t="shared" ca="1" si="124"/>
        <v>209410.09343949924</v>
      </c>
      <c r="CJ78" s="136">
        <f t="shared" ca="1" si="124"/>
        <v>113577.58786442541</v>
      </c>
      <c r="CK78" s="136">
        <f t="shared" ca="1" si="124"/>
        <v>172449.24687161582</v>
      </c>
      <c r="CL78" s="136">
        <f t="shared" ca="1" si="124"/>
        <v>342372.8721207974</v>
      </c>
      <c r="CM78" s="136">
        <f t="shared" ca="1" si="124"/>
        <v>218474.8026703553</v>
      </c>
      <c r="CN78" s="136">
        <f t="shared" ca="1" si="124"/>
        <v>117079.85311511871</v>
      </c>
      <c r="CO78" s="136">
        <f t="shared" ca="1" si="124"/>
        <v>180414.39771195172</v>
      </c>
    </row>
    <row r="79" spans="1:93" s="133" customFormat="1" ht="14.25">
      <c r="A79" s="10"/>
      <c r="B79" s="11"/>
      <c r="C79" s="10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s="10" customFormat="1">
      <c r="C80" s="139" t="s">
        <v>89</v>
      </c>
      <c r="G80" s="11"/>
    </row>
    <row r="81" spans="1:93" s="133" customFormat="1" thickBot="1">
      <c r="A81" s="10"/>
      <c r="B81" s="11"/>
      <c r="C81" s="17" t="s">
        <v>538</v>
      </c>
      <c r="D81" s="10"/>
      <c r="E81" s="10"/>
      <c r="F81" s="10"/>
      <c r="G81" s="134" t="str">
        <f>Monetary_Unit</f>
        <v>тыс. руб.</v>
      </c>
      <c r="H81" s="10"/>
      <c r="I81" s="23">
        <f ca="1">SUM(L81:CQ81)</f>
        <v>-3087285.4622873445</v>
      </c>
      <c r="J81" s="10"/>
      <c r="K81" s="10"/>
      <c r="L81" s="52">
        <f t="shared" ref="L81:BW81" ca="1" si="125">-CAPEX</f>
        <v>-16859.627844133964</v>
      </c>
      <c r="M81" s="52">
        <f t="shared" ca="1" si="125"/>
        <v>-17098.948363166921</v>
      </c>
      <c r="N81" s="52">
        <f t="shared" ca="1" si="125"/>
        <v>-17341.666010022611</v>
      </c>
      <c r="O81" s="52">
        <f t="shared" ca="1" si="125"/>
        <v>-17587.829006547992</v>
      </c>
      <c r="P81" s="52">
        <f t="shared" ca="1" si="125"/>
        <v>-147908.74218730364</v>
      </c>
      <c r="Q81" s="52">
        <f t="shared" ca="1" si="125"/>
        <v>-149366.14715622176</v>
      </c>
      <c r="R81" s="52">
        <f t="shared" ca="1" si="125"/>
        <v>-150837.91252880514</v>
      </c>
      <c r="S81" s="52">
        <f t="shared" ca="1" si="125"/>
        <v>-152324.1798039492</v>
      </c>
      <c r="T81" s="52">
        <f t="shared" ca="1" si="125"/>
        <v>-153825.09187479576</v>
      </c>
      <c r="U81" s="52">
        <f t="shared" ca="1" si="125"/>
        <v>-155340.79304247064</v>
      </c>
      <c r="V81" s="52">
        <f t="shared" ca="1" si="125"/>
        <v>-156871.42902995727</v>
      </c>
      <c r="W81" s="52">
        <f t="shared" ca="1" si="125"/>
        <v>-158417.14699610716</v>
      </c>
      <c r="X81" s="52">
        <f t="shared" ca="1" si="125"/>
        <v>-306312.90818037902</v>
      </c>
      <c r="Y81" s="52">
        <f t="shared" ca="1" si="125"/>
        <v>-309331.13379587734</v>
      </c>
      <c r="Z81" s="52">
        <f t="shared" ca="1" si="125"/>
        <v>-312379.09921542153</v>
      </c>
      <c r="AA81" s="52">
        <f t="shared" ca="1" si="125"/>
        <v>-315457.09747739154</v>
      </c>
      <c r="AB81" s="52">
        <f t="shared" ca="1" si="125"/>
        <v>-550025.70977479313</v>
      </c>
      <c r="AC81" s="52">
        <f t="shared" ca="1" si="125"/>
        <v>0</v>
      </c>
      <c r="AD81" s="52">
        <f t="shared" ca="1" si="125"/>
        <v>0</v>
      </c>
      <c r="AE81" s="52">
        <f t="shared" ca="1" si="125"/>
        <v>0</v>
      </c>
      <c r="AF81" s="52">
        <f t="shared" ca="1" si="125"/>
        <v>0</v>
      </c>
      <c r="AG81" s="52">
        <f t="shared" ca="1" si="125"/>
        <v>0</v>
      </c>
      <c r="AH81" s="52">
        <f t="shared" ca="1" si="125"/>
        <v>0</v>
      </c>
      <c r="AI81" s="52">
        <f t="shared" ca="1" si="125"/>
        <v>0</v>
      </c>
      <c r="AJ81" s="52">
        <f t="shared" ca="1" si="125"/>
        <v>0</v>
      </c>
      <c r="AK81" s="52">
        <f t="shared" ca="1" si="125"/>
        <v>0</v>
      </c>
      <c r="AL81" s="52">
        <f t="shared" ca="1" si="125"/>
        <v>0</v>
      </c>
      <c r="AM81" s="52">
        <f t="shared" ca="1" si="125"/>
        <v>0</v>
      </c>
      <c r="AN81" s="52">
        <f t="shared" ca="1" si="125"/>
        <v>0</v>
      </c>
      <c r="AO81" s="52">
        <f t="shared" ca="1" si="125"/>
        <v>0</v>
      </c>
      <c r="AP81" s="52">
        <f t="shared" ca="1" si="125"/>
        <v>0</v>
      </c>
      <c r="AQ81" s="52">
        <f t="shared" ca="1" si="125"/>
        <v>0</v>
      </c>
      <c r="AR81" s="52">
        <f t="shared" ca="1" si="125"/>
        <v>0</v>
      </c>
      <c r="AS81" s="52">
        <f t="shared" ca="1" si="125"/>
        <v>0</v>
      </c>
      <c r="AT81" s="52">
        <f t="shared" ca="1" si="125"/>
        <v>0</v>
      </c>
      <c r="AU81" s="52">
        <f t="shared" ca="1" si="125"/>
        <v>0</v>
      </c>
      <c r="AV81" s="52">
        <f t="shared" ca="1" si="125"/>
        <v>0</v>
      </c>
      <c r="AW81" s="52">
        <f t="shared" ca="1" si="125"/>
        <v>0</v>
      </c>
      <c r="AX81" s="52">
        <f t="shared" ca="1" si="125"/>
        <v>0</v>
      </c>
      <c r="AY81" s="52">
        <f t="shared" ca="1" si="125"/>
        <v>0</v>
      </c>
      <c r="AZ81" s="52">
        <f t="shared" ca="1" si="125"/>
        <v>0</v>
      </c>
      <c r="BA81" s="52">
        <f t="shared" ca="1" si="125"/>
        <v>0</v>
      </c>
      <c r="BB81" s="52">
        <f t="shared" ca="1" si="125"/>
        <v>0</v>
      </c>
      <c r="BC81" s="52">
        <f t="shared" ca="1" si="125"/>
        <v>0</v>
      </c>
      <c r="BD81" s="52">
        <f t="shared" ca="1" si="125"/>
        <v>0</v>
      </c>
      <c r="BE81" s="52">
        <f t="shared" ca="1" si="125"/>
        <v>0</v>
      </c>
      <c r="BF81" s="52">
        <f t="shared" ca="1" si="125"/>
        <v>0</v>
      </c>
      <c r="BG81" s="52">
        <f t="shared" ca="1" si="125"/>
        <v>0</v>
      </c>
      <c r="BH81" s="52">
        <f t="shared" ca="1" si="125"/>
        <v>0</v>
      </c>
      <c r="BI81" s="52">
        <f t="shared" ca="1" si="125"/>
        <v>0</v>
      </c>
      <c r="BJ81" s="52">
        <f t="shared" ca="1" si="125"/>
        <v>0</v>
      </c>
      <c r="BK81" s="52">
        <f t="shared" ca="1" si="125"/>
        <v>0</v>
      </c>
      <c r="BL81" s="52">
        <f t="shared" ca="1" si="125"/>
        <v>0</v>
      </c>
      <c r="BM81" s="52">
        <f t="shared" ca="1" si="125"/>
        <v>0</v>
      </c>
      <c r="BN81" s="52">
        <f t="shared" ca="1" si="125"/>
        <v>0</v>
      </c>
      <c r="BO81" s="52">
        <f t="shared" ca="1" si="125"/>
        <v>0</v>
      </c>
      <c r="BP81" s="52">
        <f t="shared" ca="1" si="125"/>
        <v>0</v>
      </c>
      <c r="BQ81" s="52">
        <f t="shared" ca="1" si="125"/>
        <v>0</v>
      </c>
      <c r="BR81" s="52">
        <f t="shared" ca="1" si="125"/>
        <v>0</v>
      </c>
      <c r="BS81" s="52">
        <f t="shared" ca="1" si="125"/>
        <v>0</v>
      </c>
      <c r="BT81" s="52">
        <f t="shared" ca="1" si="125"/>
        <v>0</v>
      </c>
      <c r="BU81" s="52">
        <f t="shared" ca="1" si="125"/>
        <v>0</v>
      </c>
      <c r="BV81" s="52">
        <f t="shared" ca="1" si="125"/>
        <v>0</v>
      </c>
      <c r="BW81" s="52">
        <f t="shared" ca="1" si="125"/>
        <v>0</v>
      </c>
      <c r="BX81" s="52">
        <f t="shared" ref="BX81:CO81" ca="1" si="126">-CAPEX</f>
        <v>0</v>
      </c>
      <c r="BY81" s="52">
        <f t="shared" ca="1" si="126"/>
        <v>0</v>
      </c>
      <c r="BZ81" s="52">
        <f t="shared" ca="1" si="126"/>
        <v>0</v>
      </c>
      <c r="CA81" s="52">
        <f t="shared" ca="1" si="126"/>
        <v>0</v>
      </c>
      <c r="CB81" s="52">
        <f t="shared" ca="1" si="126"/>
        <v>0</v>
      </c>
      <c r="CC81" s="52">
        <f t="shared" ca="1" si="126"/>
        <v>0</v>
      </c>
      <c r="CD81" s="52">
        <f t="shared" ca="1" si="126"/>
        <v>0</v>
      </c>
      <c r="CE81" s="52">
        <f t="shared" ca="1" si="126"/>
        <v>0</v>
      </c>
      <c r="CF81" s="52">
        <f t="shared" ca="1" si="126"/>
        <v>0</v>
      </c>
      <c r="CG81" s="52">
        <f t="shared" ca="1" si="126"/>
        <v>0</v>
      </c>
      <c r="CH81" s="52">
        <f t="shared" ca="1" si="126"/>
        <v>0</v>
      </c>
      <c r="CI81" s="52">
        <f t="shared" ca="1" si="126"/>
        <v>0</v>
      </c>
      <c r="CJ81" s="52">
        <f t="shared" ca="1" si="126"/>
        <v>0</v>
      </c>
      <c r="CK81" s="52">
        <f t="shared" ca="1" si="126"/>
        <v>0</v>
      </c>
      <c r="CL81" s="52">
        <f t="shared" ca="1" si="126"/>
        <v>0</v>
      </c>
      <c r="CM81" s="52">
        <f t="shared" ca="1" si="126"/>
        <v>0</v>
      </c>
      <c r="CN81" s="52">
        <f t="shared" ca="1" si="126"/>
        <v>0</v>
      </c>
      <c r="CO81" s="52">
        <f t="shared" ca="1" si="126"/>
        <v>0</v>
      </c>
    </row>
    <row r="82" spans="1:93" s="133" customFormat="1" thickTop="1">
      <c r="A82" s="10"/>
      <c r="B82" s="11"/>
      <c r="C82" s="49" t="s">
        <v>495</v>
      </c>
      <c r="D82" s="136"/>
      <c r="E82" s="136"/>
      <c r="F82" s="136"/>
      <c r="G82" s="137" t="str">
        <f>Monetary_Unit</f>
        <v>тыс. руб.</v>
      </c>
      <c r="H82" s="136"/>
      <c r="I82" s="23">
        <f ca="1">SUM(L82:CQ82)</f>
        <v>-3087285.4622873445</v>
      </c>
      <c r="J82" s="136"/>
      <c r="K82" s="136"/>
      <c r="L82" s="136">
        <f ca="1">SUM(L81:L81)</f>
        <v>-16859.627844133964</v>
      </c>
      <c r="M82" s="136">
        <f t="shared" ref="M82:BX82" ca="1" si="127">SUM(M81:M81)</f>
        <v>-17098.948363166921</v>
      </c>
      <c r="N82" s="136">
        <f t="shared" ca="1" si="127"/>
        <v>-17341.666010022611</v>
      </c>
      <c r="O82" s="136">
        <f t="shared" ca="1" si="127"/>
        <v>-17587.829006547992</v>
      </c>
      <c r="P82" s="136">
        <f t="shared" ca="1" si="127"/>
        <v>-147908.74218730364</v>
      </c>
      <c r="Q82" s="136">
        <f t="shared" ca="1" si="127"/>
        <v>-149366.14715622176</v>
      </c>
      <c r="R82" s="136">
        <f t="shared" ca="1" si="127"/>
        <v>-150837.91252880514</v>
      </c>
      <c r="S82" s="136">
        <f t="shared" ca="1" si="127"/>
        <v>-152324.1798039492</v>
      </c>
      <c r="T82" s="136">
        <f t="shared" ca="1" si="127"/>
        <v>-153825.09187479576</v>
      </c>
      <c r="U82" s="136">
        <f t="shared" ca="1" si="127"/>
        <v>-155340.79304247064</v>
      </c>
      <c r="V82" s="136">
        <f t="shared" ca="1" si="127"/>
        <v>-156871.42902995727</v>
      </c>
      <c r="W82" s="136">
        <f t="shared" ca="1" si="127"/>
        <v>-158417.14699610716</v>
      </c>
      <c r="X82" s="136">
        <f t="shared" ca="1" si="127"/>
        <v>-306312.90818037902</v>
      </c>
      <c r="Y82" s="136">
        <f t="shared" ca="1" si="127"/>
        <v>-309331.13379587734</v>
      </c>
      <c r="Z82" s="136">
        <f t="shared" ca="1" si="127"/>
        <v>-312379.09921542153</v>
      </c>
      <c r="AA82" s="136">
        <f t="shared" ca="1" si="127"/>
        <v>-315457.09747739154</v>
      </c>
      <c r="AB82" s="136">
        <f t="shared" ca="1" si="127"/>
        <v>-550025.70977479313</v>
      </c>
      <c r="AC82" s="136">
        <f t="shared" ca="1" si="127"/>
        <v>0</v>
      </c>
      <c r="AD82" s="136">
        <f t="shared" ca="1" si="127"/>
        <v>0</v>
      </c>
      <c r="AE82" s="136">
        <f t="shared" ca="1" si="127"/>
        <v>0</v>
      </c>
      <c r="AF82" s="136">
        <f t="shared" ca="1" si="127"/>
        <v>0</v>
      </c>
      <c r="AG82" s="136">
        <f t="shared" ca="1" si="127"/>
        <v>0</v>
      </c>
      <c r="AH82" s="136">
        <f t="shared" ca="1" si="127"/>
        <v>0</v>
      </c>
      <c r="AI82" s="136">
        <f t="shared" ca="1" si="127"/>
        <v>0</v>
      </c>
      <c r="AJ82" s="136">
        <f t="shared" ca="1" si="127"/>
        <v>0</v>
      </c>
      <c r="AK82" s="136">
        <f t="shared" ca="1" si="127"/>
        <v>0</v>
      </c>
      <c r="AL82" s="136">
        <f t="shared" ca="1" si="127"/>
        <v>0</v>
      </c>
      <c r="AM82" s="136">
        <f t="shared" ca="1" si="127"/>
        <v>0</v>
      </c>
      <c r="AN82" s="136">
        <f t="shared" ca="1" si="127"/>
        <v>0</v>
      </c>
      <c r="AO82" s="136">
        <f t="shared" ca="1" si="127"/>
        <v>0</v>
      </c>
      <c r="AP82" s="136">
        <f t="shared" ca="1" si="127"/>
        <v>0</v>
      </c>
      <c r="AQ82" s="136">
        <f t="shared" ca="1" si="127"/>
        <v>0</v>
      </c>
      <c r="AR82" s="136">
        <f t="shared" ca="1" si="127"/>
        <v>0</v>
      </c>
      <c r="AS82" s="136">
        <f t="shared" ca="1" si="127"/>
        <v>0</v>
      </c>
      <c r="AT82" s="136">
        <f t="shared" ca="1" si="127"/>
        <v>0</v>
      </c>
      <c r="AU82" s="136">
        <f t="shared" ca="1" si="127"/>
        <v>0</v>
      </c>
      <c r="AV82" s="136">
        <f t="shared" ca="1" si="127"/>
        <v>0</v>
      </c>
      <c r="AW82" s="136">
        <f t="shared" ca="1" si="127"/>
        <v>0</v>
      </c>
      <c r="AX82" s="136">
        <f t="shared" ca="1" si="127"/>
        <v>0</v>
      </c>
      <c r="AY82" s="136">
        <f t="shared" ca="1" si="127"/>
        <v>0</v>
      </c>
      <c r="AZ82" s="136">
        <f t="shared" ca="1" si="127"/>
        <v>0</v>
      </c>
      <c r="BA82" s="136">
        <f t="shared" ca="1" si="127"/>
        <v>0</v>
      </c>
      <c r="BB82" s="136">
        <f t="shared" ca="1" si="127"/>
        <v>0</v>
      </c>
      <c r="BC82" s="136">
        <f t="shared" ca="1" si="127"/>
        <v>0</v>
      </c>
      <c r="BD82" s="136">
        <f t="shared" ca="1" si="127"/>
        <v>0</v>
      </c>
      <c r="BE82" s="136">
        <f t="shared" ca="1" si="127"/>
        <v>0</v>
      </c>
      <c r="BF82" s="136">
        <f t="shared" ca="1" si="127"/>
        <v>0</v>
      </c>
      <c r="BG82" s="136">
        <f t="shared" ca="1" si="127"/>
        <v>0</v>
      </c>
      <c r="BH82" s="136">
        <f t="shared" ca="1" si="127"/>
        <v>0</v>
      </c>
      <c r="BI82" s="136">
        <f t="shared" ca="1" si="127"/>
        <v>0</v>
      </c>
      <c r="BJ82" s="136">
        <f t="shared" ca="1" si="127"/>
        <v>0</v>
      </c>
      <c r="BK82" s="136">
        <f t="shared" ca="1" si="127"/>
        <v>0</v>
      </c>
      <c r="BL82" s="136">
        <f t="shared" ca="1" si="127"/>
        <v>0</v>
      </c>
      <c r="BM82" s="136">
        <f t="shared" ca="1" si="127"/>
        <v>0</v>
      </c>
      <c r="BN82" s="136">
        <f t="shared" ca="1" si="127"/>
        <v>0</v>
      </c>
      <c r="BO82" s="136">
        <f t="shared" ca="1" si="127"/>
        <v>0</v>
      </c>
      <c r="BP82" s="136">
        <f t="shared" ca="1" si="127"/>
        <v>0</v>
      </c>
      <c r="BQ82" s="136">
        <f t="shared" ca="1" si="127"/>
        <v>0</v>
      </c>
      <c r="BR82" s="136">
        <f t="shared" ca="1" si="127"/>
        <v>0</v>
      </c>
      <c r="BS82" s="136">
        <f t="shared" ca="1" si="127"/>
        <v>0</v>
      </c>
      <c r="BT82" s="136">
        <f t="shared" ca="1" si="127"/>
        <v>0</v>
      </c>
      <c r="BU82" s="136">
        <f t="shared" ca="1" si="127"/>
        <v>0</v>
      </c>
      <c r="BV82" s="136">
        <f t="shared" ca="1" si="127"/>
        <v>0</v>
      </c>
      <c r="BW82" s="136">
        <f t="shared" ca="1" si="127"/>
        <v>0</v>
      </c>
      <c r="BX82" s="136">
        <f t="shared" ca="1" si="127"/>
        <v>0</v>
      </c>
      <c r="BY82" s="136">
        <f t="shared" ref="BY82:CO82" ca="1" si="128">SUM(BY81:BY81)</f>
        <v>0</v>
      </c>
      <c r="BZ82" s="136">
        <f t="shared" ca="1" si="128"/>
        <v>0</v>
      </c>
      <c r="CA82" s="136">
        <f t="shared" ca="1" si="128"/>
        <v>0</v>
      </c>
      <c r="CB82" s="136">
        <f t="shared" ca="1" si="128"/>
        <v>0</v>
      </c>
      <c r="CC82" s="136">
        <f t="shared" ca="1" si="128"/>
        <v>0</v>
      </c>
      <c r="CD82" s="136">
        <f t="shared" ca="1" si="128"/>
        <v>0</v>
      </c>
      <c r="CE82" s="136">
        <f t="shared" ca="1" si="128"/>
        <v>0</v>
      </c>
      <c r="CF82" s="136">
        <f t="shared" ca="1" si="128"/>
        <v>0</v>
      </c>
      <c r="CG82" s="136">
        <f t="shared" ca="1" si="128"/>
        <v>0</v>
      </c>
      <c r="CH82" s="136">
        <f t="shared" ca="1" si="128"/>
        <v>0</v>
      </c>
      <c r="CI82" s="136">
        <f t="shared" ca="1" si="128"/>
        <v>0</v>
      </c>
      <c r="CJ82" s="136">
        <f t="shared" ca="1" si="128"/>
        <v>0</v>
      </c>
      <c r="CK82" s="136">
        <f t="shared" ca="1" si="128"/>
        <v>0</v>
      </c>
      <c r="CL82" s="136">
        <f t="shared" ca="1" si="128"/>
        <v>0</v>
      </c>
      <c r="CM82" s="136">
        <f t="shared" ca="1" si="128"/>
        <v>0</v>
      </c>
      <c r="CN82" s="136">
        <f t="shared" ca="1" si="128"/>
        <v>0</v>
      </c>
      <c r="CO82" s="136">
        <f t="shared" ca="1" si="128"/>
        <v>0</v>
      </c>
    </row>
    <row r="83" spans="1:93" s="10" customFormat="1" ht="12.75">
      <c r="G83" s="11"/>
    </row>
    <row r="84" spans="1:93" s="133" customFormat="1">
      <c r="A84" s="10"/>
      <c r="B84" s="11"/>
      <c r="C84" s="139" t="s">
        <v>90</v>
      </c>
      <c r="D84" s="10"/>
      <c r="E84" s="10"/>
      <c r="F84" s="10"/>
      <c r="G84" s="11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s="133" customFormat="1" ht="14.25">
      <c r="A85" s="10"/>
      <c r="B85" s="11"/>
      <c r="C85" s="17" t="s">
        <v>91</v>
      </c>
      <c r="D85" s="10"/>
      <c r="E85" s="10"/>
      <c r="F85" s="10"/>
      <c r="G85" s="134" t="str">
        <f t="shared" ref="G85:G91" si="129">Monetary_Unit</f>
        <v>тыс. руб.</v>
      </c>
      <c r="H85" s="10"/>
      <c r="I85" s="23">
        <f t="shared" ref="I85:I91" ca="1" si="130">SUM(L85:CQ85)</f>
        <v>533689.28402014531</v>
      </c>
      <c r="J85" s="10"/>
      <c r="K85" s="10"/>
      <c r="L85" s="52">
        <f t="shared" ref="L85:BW85" si="131">Equity_Drawdown</f>
        <v>10115.776706480377</v>
      </c>
      <c r="M85" s="52">
        <f t="shared" ca="1" si="131"/>
        <v>10259.369017900153</v>
      </c>
      <c r="N85" s="52">
        <f t="shared" ca="1" si="131"/>
        <v>10404.999606013567</v>
      </c>
      <c r="O85" s="52">
        <f t="shared" ca="1" si="131"/>
        <v>10552.697403928796</v>
      </c>
      <c r="P85" s="52">
        <f t="shared" ca="1" si="131"/>
        <v>88745.245312382176</v>
      </c>
      <c r="Q85" s="52">
        <f t="shared" ca="1" si="131"/>
        <v>89619.688293733067</v>
      </c>
      <c r="R85" s="52">
        <f t="shared" ca="1" si="131"/>
        <v>90502.747517283089</v>
      </c>
      <c r="S85" s="52">
        <f t="shared" ca="1" si="131"/>
        <v>91394.507882369522</v>
      </c>
      <c r="T85" s="52">
        <f t="shared" ca="1" si="131"/>
        <v>65019.970533948253</v>
      </c>
      <c r="U85" s="52">
        <f t="shared" ca="1" si="131"/>
        <v>2040.9091648234303</v>
      </c>
      <c r="V85" s="52">
        <f t="shared" ca="1" si="131"/>
        <v>3303.1237146186231</v>
      </c>
      <c r="W85" s="52">
        <f t="shared" ca="1" si="131"/>
        <v>4555.1268162881161</v>
      </c>
      <c r="X85" s="52">
        <f t="shared" ca="1" si="131"/>
        <v>6346.274130728716</v>
      </c>
      <c r="Y85" s="52">
        <f t="shared" ca="1" si="131"/>
        <v>8757.8014964128106</v>
      </c>
      <c r="Z85" s="52">
        <f t="shared" ca="1" si="131"/>
        <v>11316.091617477097</v>
      </c>
      <c r="AA85" s="52">
        <f t="shared" ca="1" si="131"/>
        <v>13802.401746613647</v>
      </c>
      <c r="AB85" s="52">
        <f t="shared" ca="1" si="131"/>
        <v>16952.553059143869</v>
      </c>
      <c r="AC85" s="52">
        <f t="shared" ca="1" si="131"/>
        <v>0</v>
      </c>
      <c r="AD85" s="52">
        <f t="shared" ca="1" si="131"/>
        <v>0</v>
      </c>
      <c r="AE85" s="52">
        <f t="shared" ca="1" si="131"/>
        <v>0</v>
      </c>
      <c r="AF85" s="52">
        <f t="shared" ca="1" si="131"/>
        <v>0</v>
      </c>
      <c r="AG85" s="52">
        <f t="shared" ca="1" si="131"/>
        <v>0</v>
      </c>
      <c r="AH85" s="52">
        <f t="shared" ca="1" si="131"/>
        <v>0</v>
      </c>
      <c r="AI85" s="52">
        <f t="shared" ca="1" si="131"/>
        <v>0</v>
      </c>
      <c r="AJ85" s="52">
        <f t="shared" ca="1" si="131"/>
        <v>0</v>
      </c>
      <c r="AK85" s="52">
        <f t="shared" ca="1" si="131"/>
        <v>0</v>
      </c>
      <c r="AL85" s="52">
        <f t="shared" ca="1" si="131"/>
        <v>0</v>
      </c>
      <c r="AM85" s="52">
        <f t="shared" ca="1" si="131"/>
        <v>0</v>
      </c>
      <c r="AN85" s="52">
        <f t="shared" ca="1" si="131"/>
        <v>0</v>
      </c>
      <c r="AO85" s="52">
        <f t="shared" ca="1" si="131"/>
        <v>0</v>
      </c>
      <c r="AP85" s="52">
        <f t="shared" ca="1" si="131"/>
        <v>0</v>
      </c>
      <c r="AQ85" s="52">
        <f t="shared" ca="1" si="131"/>
        <v>0</v>
      </c>
      <c r="AR85" s="52">
        <f t="shared" ca="1" si="131"/>
        <v>0</v>
      </c>
      <c r="AS85" s="52">
        <f t="shared" ca="1" si="131"/>
        <v>0</v>
      </c>
      <c r="AT85" s="52">
        <f t="shared" ca="1" si="131"/>
        <v>0</v>
      </c>
      <c r="AU85" s="52">
        <f t="shared" ca="1" si="131"/>
        <v>0</v>
      </c>
      <c r="AV85" s="52">
        <f t="shared" ca="1" si="131"/>
        <v>0</v>
      </c>
      <c r="AW85" s="52">
        <f t="shared" ca="1" si="131"/>
        <v>0</v>
      </c>
      <c r="AX85" s="52">
        <f t="shared" ca="1" si="131"/>
        <v>0</v>
      </c>
      <c r="AY85" s="52">
        <f t="shared" ca="1" si="131"/>
        <v>0</v>
      </c>
      <c r="AZ85" s="52">
        <f t="shared" ca="1" si="131"/>
        <v>0</v>
      </c>
      <c r="BA85" s="52">
        <f t="shared" ca="1" si="131"/>
        <v>0</v>
      </c>
      <c r="BB85" s="52">
        <f t="shared" ca="1" si="131"/>
        <v>0</v>
      </c>
      <c r="BC85" s="52">
        <f t="shared" ca="1" si="131"/>
        <v>0</v>
      </c>
      <c r="BD85" s="52">
        <f t="shared" ca="1" si="131"/>
        <v>0</v>
      </c>
      <c r="BE85" s="52">
        <f t="shared" ca="1" si="131"/>
        <v>0</v>
      </c>
      <c r="BF85" s="52">
        <f t="shared" ca="1" si="131"/>
        <v>0</v>
      </c>
      <c r="BG85" s="52">
        <f t="shared" ca="1" si="131"/>
        <v>0</v>
      </c>
      <c r="BH85" s="52">
        <f t="shared" ca="1" si="131"/>
        <v>0</v>
      </c>
      <c r="BI85" s="52">
        <f t="shared" ca="1" si="131"/>
        <v>0</v>
      </c>
      <c r="BJ85" s="52">
        <f t="shared" ca="1" si="131"/>
        <v>0</v>
      </c>
      <c r="BK85" s="52">
        <f t="shared" ca="1" si="131"/>
        <v>0</v>
      </c>
      <c r="BL85" s="52">
        <f t="shared" ca="1" si="131"/>
        <v>0</v>
      </c>
      <c r="BM85" s="52">
        <f t="shared" ca="1" si="131"/>
        <v>0</v>
      </c>
      <c r="BN85" s="52">
        <f t="shared" ca="1" si="131"/>
        <v>0</v>
      </c>
      <c r="BO85" s="52">
        <f t="shared" ca="1" si="131"/>
        <v>0</v>
      </c>
      <c r="BP85" s="52">
        <f t="shared" ca="1" si="131"/>
        <v>0</v>
      </c>
      <c r="BQ85" s="52">
        <f t="shared" ca="1" si="131"/>
        <v>0</v>
      </c>
      <c r="BR85" s="52">
        <f t="shared" ca="1" si="131"/>
        <v>0</v>
      </c>
      <c r="BS85" s="52">
        <f t="shared" ca="1" si="131"/>
        <v>0</v>
      </c>
      <c r="BT85" s="52">
        <f t="shared" ca="1" si="131"/>
        <v>0</v>
      </c>
      <c r="BU85" s="52">
        <f t="shared" ca="1" si="131"/>
        <v>0</v>
      </c>
      <c r="BV85" s="52">
        <f t="shared" ca="1" si="131"/>
        <v>0</v>
      </c>
      <c r="BW85" s="52">
        <f t="shared" ca="1" si="131"/>
        <v>0</v>
      </c>
      <c r="BX85" s="52">
        <f t="shared" ref="BX85:CO85" ca="1" si="132">Equity_Drawdown</f>
        <v>0</v>
      </c>
      <c r="BY85" s="52">
        <f t="shared" ca="1" si="132"/>
        <v>0</v>
      </c>
      <c r="BZ85" s="52">
        <f t="shared" ca="1" si="132"/>
        <v>0</v>
      </c>
      <c r="CA85" s="52">
        <f t="shared" ca="1" si="132"/>
        <v>0</v>
      </c>
      <c r="CB85" s="52">
        <f t="shared" ca="1" si="132"/>
        <v>0</v>
      </c>
      <c r="CC85" s="52">
        <f t="shared" ca="1" si="132"/>
        <v>0</v>
      </c>
      <c r="CD85" s="52">
        <f t="shared" ca="1" si="132"/>
        <v>0</v>
      </c>
      <c r="CE85" s="52">
        <f t="shared" ca="1" si="132"/>
        <v>0</v>
      </c>
      <c r="CF85" s="52">
        <f t="shared" ca="1" si="132"/>
        <v>0</v>
      </c>
      <c r="CG85" s="52">
        <f t="shared" ca="1" si="132"/>
        <v>0</v>
      </c>
      <c r="CH85" s="52">
        <f t="shared" ca="1" si="132"/>
        <v>0</v>
      </c>
      <c r="CI85" s="52">
        <f t="shared" ca="1" si="132"/>
        <v>0</v>
      </c>
      <c r="CJ85" s="52">
        <f t="shared" ca="1" si="132"/>
        <v>0</v>
      </c>
      <c r="CK85" s="52">
        <f t="shared" ca="1" si="132"/>
        <v>0</v>
      </c>
      <c r="CL85" s="52">
        <f t="shared" ca="1" si="132"/>
        <v>0</v>
      </c>
      <c r="CM85" s="52">
        <f t="shared" ca="1" si="132"/>
        <v>0</v>
      </c>
      <c r="CN85" s="52">
        <f t="shared" ca="1" si="132"/>
        <v>0</v>
      </c>
      <c r="CO85" s="52">
        <f t="shared" ca="1" si="132"/>
        <v>0</v>
      </c>
    </row>
    <row r="86" spans="1:93" s="133" customFormat="1" ht="14.25">
      <c r="A86" s="10"/>
      <c r="B86" s="11"/>
      <c r="C86" s="17" t="s">
        <v>545</v>
      </c>
      <c r="D86" s="10"/>
      <c r="E86" s="10"/>
      <c r="F86" s="10"/>
      <c r="G86" s="134" t="str">
        <f t="shared" si="129"/>
        <v>тыс. руб.</v>
      </c>
      <c r="H86" s="10"/>
      <c r="I86" s="23">
        <f t="shared" ca="1" si="130"/>
        <v>533689.28402014542</v>
      </c>
      <c r="J86" s="10"/>
      <c r="K86" s="10"/>
      <c r="L86" s="52">
        <f t="shared" ref="L86:BW86" ca="1" si="133">Subord_Drawdown</f>
        <v>10115.776706480377</v>
      </c>
      <c r="M86" s="52">
        <f t="shared" ca="1" si="133"/>
        <v>10259.369017900153</v>
      </c>
      <c r="N86" s="52">
        <f t="shared" ca="1" si="133"/>
        <v>10404.999606013567</v>
      </c>
      <c r="O86" s="52">
        <f t="shared" ca="1" si="133"/>
        <v>10552.697403928796</v>
      </c>
      <c r="P86" s="52">
        <f t="shared" ca="1" si="133"/>
        <v>88745.245312382176</v>
      </c>
      <c r="Q86" s="52">
        <f t="shared" ca="1" si="133"/>
        <v>89619.688293733067</v>
      </c>
      <c r="R86" s="52">
        <f t="shared" ca="1" si="133"/>
        <v>90502.747517283089</v>
      </c>
      <c r="S86" s="52">
        <f t="shared" ca="1" si="133"/>
        <v>91394.507882369522</v>
      </c>
      <c r="T86" s="52">
        <f t="shared" ca="1" si="133"/>
        <v>65019.970533948253</v>
      </c>
      <c r="U86" s="52">
        <f t="shared" ca="1" si="133"/>
        <v>2040.9091648234303</v>
      </c>
      <c r="V86" s="52">
        <f t="shared" ca="1" si="133"/>
        <v>3303.1237146186231</v>
      </c>
      <c r="W86" s="52">
        <f t="shared" ca="1" si="133"/>
        <v>4555.1268162881161</v>
      </c>
      <c r="X86" s="52">
        <f t="shared" ca="1" si="133"/>
        <v>6346.274130728716</v>
      </c>
      <c r="Y86" s="52">
        <f t="shared" ca="1" si="133"/>
        <v>8757.8014964128106</v>
      </c>
      <c r="Z86" s="52">
        <f t="shared" ca="1" si="133"/>
        <v>11316.091617477097</v>
      </c>
      <c r="AA86" s="52">
        <f t="shared" ca="1" si="133"/>
        <v>13802.401746613647</v>
      </c>
      <c r="AB86" s="52">
        <f t="shared" ca="1" si="133"/>
        <v>16952.553059143986</v>
      </c>
      <c r="AC86" s="52">
        <f t="shared" ca="1" si="133"/>
        <v>0</v>
      </c>
      <c r="AD86" s="52">
        <f t="shared" ca="1" si="133"/>
        <v>0</v>
      </c>
      <c r="AE86" s="52">
        <f t="shared" ca="1" si="133"/>
        <v>0</v>
      </c>
      <c r="AF86" s="52">
        <f t="shared" ca="1" si="133"/>
        <v>0</v>
      </c>
      <c r="AG86" s="52">
        <f t="shared" ca="1" si="133"/>
        <v>0</v>
      </c>
      <c r="AH86" s="52">
        <f t="shared" ca="1" si="133"/>
        <v>0</v>
      </c>
      <c r="AI86" s="52">
        <f t="shared" ca="1" si="133"/>
        <v>0</v>
      </c>
      <c r="AJ86" s="52">
        <f t="shared" ca="1" si="133"/>
        <v>0</v>
      </c>
      <c r="AK86" s="52">
        <f t="shared" ca="1" si="133"/>
        <v>0</v>
      </c>
      <c r="AL86" s="52">
        <f t="shared" ca="1" si="133"/>
        <v>0</v>
      </c>
      <c r="AM86" s="52">
        <f t="shared" ca="1" si="133"/>
        <v>0</v>
      </c>
      <c r="AN86" s="52">
        <f t="shared" ca="1" si="133"/>
        <v>0</v>
      </c>
      <c r="AO86" s="52">
        <f t="shared" ca="1" si="133"/>
        <v>0</v>
      </c>
      <c r="AP86" s="52">
        <f t="shared" ca="1" si="133"/>
        <v>0</v>
      </c>
      <c r="AQ86" s="52">
        <f t="shared" ca="1" si="133"/>
        <v>0</v>
      </c>
      <c r="AR86" s="52">
        <f t="shared" ca="1" si="133"/>
        <v>0</v>
      </c>
      <c r="AS86" s="52">
        <f t="shared" ca="1" si="133"/>
        <v>0</v>
      </c>
      <c r="AT86" s="52">
        <f t="shared" ca="1" si="133"/>
        <v>0</v>
      </c>
      <c r="AU86" s="52">
        <f t="shared" ca="1" si="133"/>
        <v>0</v>
      </c>
      <c r="AV86" s="52">
        <f t="shared" ca="1" si="133"/>
        <v>0</v>
      </c>
      <c r="AW86" s="52">
        <f t="shared" ca="1" si="133"/>
        <v>0</v>
      </c>
      <c r="AX86" s="52">
        <f t="shared" ca="1" si="133"/>
        <v>0</v>
      </c>
      <c r="AY86" s="52">
        <f t="shared" ca="1" si="133"/>
        <v>0</v>
      </c>
      <c r="AZ86" s="52">
        <f t="shared" ca="1" si="133"/>
        <v>0</v>
      </c>
      <c r="BA86" s="52">
        <f t="shared" ca="1" si="133"/>
        <v>0</v>
      </c>
      <c r="BB86" s="52">
        <f t="shared" ca="1" si="133"/>
        <v>0</v>
      </c>
      <c r="BC86" s="52">
        <f t="shared" ca="1" si="133"/>
        <v>0</v>
      </c>
      <c r="BD86" s="52">
        <f t="shared" ca="1" si="133"/>
        <v>0</v>
      </c>
      <c r="BE86" s="52">
        <f t="shared" ca="1" si="133"/>
        <v>0</v>
      </c>
      <c r="BF86" s="52">
        <f t="shared" ca="1" si="133"/>
        <v>0</v>
      </c>
      <c r="BG86" s="52">
        <f t="shared" ca="1" si="133"/>
        <v>0</v>
      </c>
      <c r="BH86" s="52">
        <f t="shared" ca="1" si="133"/>
        <v>0</v>
      </c>
      <c r="BI86" s="52">
        <f t="shared" ca="1" si="133"/>
        <v>0</v>
      </c>
      <c r="BJ86" s="52">
        <f t="shared" ca="1" si="133"/>
        <v>0</v>
      </c>
      <c r="BK86" s="52">
        <f t="shared" ca="1" si="133"/>
        <v>0</v>
      </c>
      <c r="BL86" s="52">
        <f t="shared" ca="1" si="133"/>
        <v>0</v>
      </c>
      <c r="BM86" s="52">
        <f t="shared" ca="1" si="133"/>
        <v>0</v>
      </c>
      <c r="BN86" s="52">
        <f t="shared" ca="1" si="133"/>
        <v>0</v>
      </c>
      <c r="BO86" s="52">
        <f t="shared" ca="1" si="133"/>
        <v>0</v>
      </c>
      <c r="BP86" s="52">
        <f t="shared" ca="1" si="133"/>
        <v>0</v>
      </c>
      <c r="BQ86" s="52">
        <f t="shared" ca="1" si="133"/>
        <v>0</v>
      </c>
      <c r="BR86" s="52">
        <f t="shared" ca="1" si="133"/>
        <v>0</v>
      </c>
      <c r="BS86" s="52">
        <f t="shared" ca="1" si="133"/>
        <v>0</v>
      </c>
      <c r="BT86" s="52">
        <f t="shared" ca="1" si="133"/>
        <v>0</v>
      </c>
      <c r="BU86" s="52">
        <f t="shared" ca="1" si="133"/>
        <v>0</v>
      </c>
      <c r="BV86" s="52">
        <f t="shared" ca="1" si="133"/>
        <v>0</v>
      </c>
      <c r="BW86" s="52">
        <f t="shared" ca="1" si="133"/>
        <v>0</v>
      </c>
      <c r="BX86" s="52">
        <f t="shared" ref="BX86:CO86" ca="1" si="134">Subord_Drawdown</f>
        <v>0</v>
      </c>
      <c r="BY86" s="52">
        <f t="shared" ca="1" si="134"/>
        <v>0</v>
      </c>
      <c r="BZ86" s="52">
        <f t="shared" ca="1" si="134"/>
        <v>0</v>
      </c>
      <c r="CA86" s="52">
        <f t="shared" ca="1" si="134"/>
        <v>0</v>
      </c>
      <c r="CB86" s="52">
        <f t="shared" ca="1" si="134"/>
        <v>0</v>
      </c>
      <c r="CC86" s="52">
        <f t="shared" ca="1" si="134"/>
        <v>0</v>
      </c>
      <c r="CD86" s="52">
        <f t="shared" ca="1" si="134"/>
        <v>0</v>
      </c>
      <c r="CE86" s="52">
        <f t="shared" ca="1" si="134"/>
        <v>0</v>
      </c>
      <c r="CF86" s="52">
        <f t="shared" ca="1" si="134"/>
        <v>0</v>
      </c>
      <c r="CG86" s="52">
        <f t="shared" ca="1" si="134"/>
        <v>0</v>
      </c>
      <c r="CH86" s="52">
        <f t="shared" ca="1" si="134"/>
        <v>0</v>
      </c>
      <c r="CI86" s="52">
        <f t="shared" ca="1" si="134"/>
        <v>0</v>
      </c>
      <c r="CJ86" s="52">
        <f t="shared" ca="1" si="134"/>
        <v>0</v>
      </c>
      <c r="CK86" s="52">
        <f t="shared" ca="1" si="134"/>
        <v>0</v>
      </c>
      <c r="CL86" s="52">
        <f t="shared" ca="1" si="134"/>
        <v>0</v>
      </c>
      <c r="CM86" s="52">
        <f t="shared" ca="1" si="134"/>
        <v>0</v>
      </c>
      <c r="CN86" s="52">
        <f t="shared" ca="1" si="134"/>
        <v>0</v>
      </c>
      <c r="CO86" s="52">
        <f t="shared" ca="1" si="134"/>
        <v>0</v>
      </c>
    </row>
    <row r="87" spans="1:93" s="133" customFormat="1" ht="14.25">
      <c r="A87" s="10"/>
      <c r="B87" s="11"/>
      <c r="C87" s="17" t="s">
        <v>541</v>
      </c>
      <c r="D87" s="10"/>
      <c r="E87" s="10"/>
      <c r="F87" s="10"/>
      <c r="G87" s="134" t="str">
        <f t="shared" si="129"/>
        <v>тыс. руб.</v>
      </c>
      <c r="H87" s="10"/>
      <c r="I87" s="23">
        <f t="shared" ca="1" si="130"/>
        <v>2771888.3794600694</v>
      </c>
      <c r="J87" s="10"/>
      <c r="K87" s="10"/>
      <c r="L87" s="52">
        <f t="shared" ref="L87:BW87" si="135">Debt_Drawdown</f>
        <v>0</v>
      </c>
      <c r="M87" s="52">
        <f t="shared" ca="1" si="135"/>
        <v>0</v>
      </c>
      <c r="N87" s="52">
        <f t="shared" ca="1" si="135"/>
        <v>0</v>
      </c>
      <c r="O87" s="52">
        <f t="shared" ca="1" si="135"/>
        <v>0</v>
      </c>
      <c r="P87" s="52">
        <f t="shared" ca="1" si="135"/>
        <v>0</v>
      </c>
      <c r="Q87" s="52">
        <f t="shared" ca="1" si="135"/>
        <v>0</v>
      </c>
      <c r="R87" s="52">
        <f t="shared" ca="1" si="135"/>
        <v>0</v>
      </c>
      <c r="S87" s="52">
        <f t="shared" ca="1" si="135"/>
        <v>0</v>
      </c>
      <c r="T87" s="52">
        <f t="shared" ca="1" si="135"/>
        <v>54925.998445192294</v>
      </c>
      <c r="U87" s="52">
        <f t="shared" ca="1" si="135"/>
        <v>186408.95165096477</v>
      </c>
      <c r="V87" s="52">
        <f t="shared" ca="1" si="135"/>
        <v>188245.71483594872</v>
      </c>
      <c r="W87" s="52">
        <f t="shared" ca="1" si="135"/>
        <v>190100.57639532859</v>
      </c>
      <c r="X87" s="52">
        <f t="shared" ca="1" si="135"/>
        <v>367575.48981645482</v>
      </c>
      <c r="Y87" s="52">
        <f t="shared" ca="1" si="135"/>
        <v>371197.36055505282</v>
      </c>
      <c r="Z87" s="52">
        <f t="shared" ca="1" si="135"/>
        <v>374854.91905850585</v>
      </c>
      <c r="AA87" s="52">
        <f t="shared" ca="1" si="135"/>
        <v>378548.51697286987</v>
      </c>
      <c r="AB87" s="52">
        <f t="shared" ca="1" si="135"/>
        <v>660030.85172975156</v>
      </c>
      <c r="AC87" s="52">
        <f t="shared" ca="1" si="135"/>
        <v>0</v>
      </c>
      <c r="AD87" s="52">
        <f t="shared" ca="1" si="135"/>
        <v>0</v>
      </c>
      <c r="AE87" s="52">
        <f t="shared" ca="1" si="135"/>
        <v>0</v>
      </c>
      <c r="AF87" s="52">
        <f t="shared" ca="1" si="135"/>
        <v>0</v>
      </c>
      <c r="AG87" s="52">
        <f t="shared" ca="1" si="135"/>
        <v>0</v>
      </c>
      <c r="AH87" s="52">
        <f t="shared" ca="1" si="135"/>
        <v>0</v>
      </c>
      <c r="AI87" s="52">
        <f t="shared" ca="1" si="135"/>
        <v>0</v>
      </c>
      <c r="AJ87" s="52">
        <f t="shared" ca="1" si="135"/>
        <v>0</v>
      </c>
      <c r="AK87" s="52">
        <f t="shared" ca="1" si="135"/>
        <v>0</v>
      </c>
      <c r="AL87" s="52">
        <f t="shared" ca="1" si="135"/>
        <v>0</v>
      </c>
      <c r="AM87" s="52">
        <f t="shared" ca="1" si="135"/>
        <v>0</v>
      </c>
      <c r="AN87" s="52">
        <f t="shared" ca="1" si="135"/>
        <v>0</v>
      </c>
      <c r="AO87" s="52">
        <f t="shared" ca="1" si="135"/>
        <v>0</v>
      </c>
      <c r="AP87" s="52">
        <f t="shared" ca="1" si="135"/>
        <v>0</v>
      </c>
      <c r="AQ87" s="52">
        <f t="shared" ca="1" si="135"/>
        <v>0</v>
      </c>
      <c r="AR87" s="52">
        <f t="shared" ca="1" si="135"/>
        <v>0</v>
      </c>
      <c r="AS87" s="52">
        <f t="shared" ca="1" si="135"/>
        <v>0</v>
      </c>
      <c r="AT87" s="52">
        <f t="shared" ca="1" si="135"/>
        <v>0</v>
      </c>
      <c r="AU87" s="52">
        <f t="shared" ca="1" si="135"/>
        <v>0</v>
      </c>
      <c r="AV87" s="52">
        <f t="shared" ca="1" si="135"/>
        <v>0</v>
      </c>
      <c r="AW87" s="52">
        <f t="shared" ca="1" si="135"/>
        <v>0</v>
      </c>
      <c r="AX87" s="52">
        <f t="shared" ca="1" si="135"/>
        <v>0</v>
      </c>
      <c r="AY87" s="52">
        <f t="shared" ca="1" si="135"/>
        <v>0</v>
      </c>
      <c r="AZ87" s="52">
        <f t="shared" ca="1" si="135"/>
        <v>0</v>
      </c>
      <c r="BA87" s="52">
        <f t="shared" ca="1" si="135"/>
        <v>0</v>
      </c>
      <c r="BB87" s="52">
        <f t="shared" ca="1" si="135"/>
        <v>0</v>
      </c>
      <c r="BC87" s="52">
        <f t="shared" ca="1" si="135"/>
        <v>0</v>
      </c>
      <c r="BD87" s="52">
        <f t="shared" ca="1" si="135"/>
        <v>0</v>
      </c>
      <c r="BE87" s="52">
        <f t="shared" ca="1" si="135"/>
        <v>0</v>
      </c>
      <c r="BF87" s="52">
        <f t="shared" ca="1" si="135"/>
        <v>0</v>
      </c>
      <c r="BG87" s="52">
        <f t="shared" ca="1" si="135"/>
        <v>0</v>
      </c>
      <c r="BH87" s="52">
        <f t="shared" ca="1" si="135"/>
        <v>0</v>
      </c>
      <c r="BI87" s="52">
        <f t="shared" ca="1" si="135"/>
        <v>0</v>
      </c>
      <c r="BJ87" s="52">
        <f t="shared" ca="1" si="135"/>
        <v>0</v>
      </c>
      <c r="BK87" s="52">
        <f t="shared" ca="1" si="135"/>
        <v>0</v>
      </c>
      <c r="BL87" s="52">
        <f t="shared" ca="1" si="135"/>
        <v>0</v>
      </c>
      <c r="BM87" s="52">
        <f t="shared" ca="1" si="135"/>
        <v>0</v>
      </c>
      <c r="BN87" s="52">
        <f t="shared" ca="1" si="135"/>
        <v>0</v>
      </c>
      <c r="BO87" s="52">
        <f t="shared" ca="1" si="135"/>
        <v>0</v>
      </c>
      <c r="BP87" s="52">
        <f t="shared" ca="1" si="135"/>
        <v>0</v>
      </c>
      <c r="BQ87" s="52">
        <f t="shared" ca="1" si="135"/>
        <v>0</v>
      </c>
      <c r="BR87" s="52">
        <f t="shared" ca="1" si="135"/>
        <v>0</v>
      </c>
      <c r="BS87" s="52">
        <f t="shared" ca="1" si="135"/>
        <v>0</v>
      </c>
      <c r="BT87" s="52">
        <f t="shared" ca="1" si="135"/>
        <v>0</v>
      </c>
      <c r="BU87" s="52">
        <f t="shared" ca="1" si="135"/>
        <v>0</v>
      </c>
      <c r="BV87" s="52">
        <f t="shared" ca="1" si="135"/>
        <v>0</v>
      </c>
      <c r="BW87" s="52">
        <f t="shared" ca="1" si="135"/>
        <v>0</v>
      </c>
      <c r="BX87" s="52">
        <f t="shared" ref="BX87:CO87" ca="1" si="136">Debt_Drawdown</f>
        <v>0</v>
      </c>
      <c r="BY87" s="52">
        <f t="shared" ca="1" si="136"/>
        <v>0</v>
      </c>
      <c r="BZ87" s="52">
        <f t="shared" ca="1" si="136"/>
        <v>0</v>
      </c>
      <c r="CA87" s="52">
        <f t="shared" ca="1" si="136"/>
        <v>0</v>
      </c>
      <c r="CB87" s="52">
        <f t="shared" ca="1" si="136"/>
        <v>0</v>
      </c>
      <c r="CC87" s="52">
        <f t="shared" ca="1" si="136"/>
        <v>0</v>
      </c>
      <c r="CD87" s="52">
        <f t="shared" ca="1" si="136"/>
        <v>0</v>
      </c>
      <c r="CE87" s="52">
        <f t="shared" ca="1" si="136"/>
        <v>0</v>
      </c>
      <c r="CF87" s="52">
        <f t="shared" ca="1" si="136"/>
        <v>0</v>
      </c>
      <c r="CG87" s="52">
        <f t="shared" ca="1" si="136"/>
        <v>0</v>
      </c>
      <c r="CH87" s="52">
        <f t="shared" ca="1" si="136"/>
        <v>0</v>
      </c>
      <c r="CI87" s="52">
        <f t="shared" ca="1" si="136"/>
        <v>0</v>
      </c>
      <c r="CJ87" s="52">
        <f t="shared" ca="1" si="136"/>
        <v>0</v>
      </c>
      <c r="CK87" s="52">
        <f t="shared" ca="1" si="136"/>
        <v>0</v>
      </c>
      <c r="CL87" s="52">
        <f t="shared" ca="1" si="136"/>
        <v>0</v>
      </c>
      <c r="CM87" s="52">
        <f t="shared" ca="1" si="136"/>
        <v>0</v>
      </c>
      <c r="CN87" s="52">
        <f t="shared" ca="1" si="136"/>
        <v>0</v>
      </c>
      <c r="CO87" s="52">
        <f t="shared" ca="1" si="136"/>
        <v>0</v>
      </c>
    </row>
    <row r="88" spans="1:93" s="133" customFormat="1" ht="14.25">
      <c r="A88" s="10"/>
      <c r="B88" s="11"/>
      <c r="C88" s="17" t="s">
        <v>542</v>
      </c>
      <c r="D88" s="10"/>
      <c r="E88" s="10"/>
      <c r="F88" s="10"/>
      <c r="G88" s="134" t="str">
        <f t="shared" si="129"/>
        <v>тыс. руб.</v>
      </c>
      <c r="H88" s="10"/>
      <c r="I88" s="23">
        <f t="shared" ca="1" si="130"/>
        <v>-2771888.3794600698</v>
      </c>
      <c r="J88" s="10"/>
      <c r="K88" s="10"/>
      <c r="L88" s="52">
        <f t="shared" ref="L88:BW88" ca="1" si="137">Debt_Repaiment</f>
        <v>0</v>
      </c>
      <c r="M88" s="52">
        <f t="shared" ca="1" si="137"/>
        <v>0</v>
      </c>
      <c r="N88" s="52">
        <f t="shared" ca="1" si="137"/>
        <v>0</v>
      </c>
      <c r="O88" s="52">
        <f t="shared" ca="1" si="137"/>
        <v>0</v>
      </c>
      <c r="P88" s="52">
        <f t="shared" ca="1" si="137"/>
        <v>0</v>
      </c>
      <c r="Q88" s="52">
        <f t="shared" ca="1" si="137"/>
        <v>0</v>
      </c>
      <c r="R88" s="52">
        <f t="shared" ca="1" si="137"/>
        <v>0</v>
      </c>
      <c r="S88" s="52">
        <f t="shared" ca="1" si="137"/>
        <v>0</v>
      </c>
      <c r="T88" s="52">
        <f t="shared" ca="1" si="137"/>
        <v>0</v>
      </c>
      <c r="U88" s="52">
        <f t="shared" ca="1" si="137"/>
        <v>0</v>
      </c>
      <c r="V88" s="52">
        <f t="shared" ca="1" si="137"/>
        <v>0</v>
      </c>
      <c r="W88" s="52">
        <f t="shared" ca="1" si="137"/>
        <v>0</v>
      </c>
      <c r="X88" s="52">
        <f t="shared" ca="1" si="137"/>
        <v>0</v>
      </c>
      <c r="Y88" s="52">
        <f t="shared" ca="1" si="137"/>
        <v>0</v>
      </c>
      <c r="Z88" s="52">
        <f t="shared" ca="1" si="137"/>
        <v>0</v>
      </c>
      <c r="AA88" s="52">
        <f t="shared" ca="1" si="137"/>
        <v>0</v>
      </c>
      <c r="AB88" s="52">
        <f t="shared" ca="1" si="137"/>
        <v>0</v>
      </c>
      <c r="AC88" s="52">
        <f t="shared" ca="1" si="137"/>
        <v>-426931.12781532214</v>
      </c>
      <c r="AD88" s="52">
        <f t="shared" ca="1" si="137"/>
        <v>-208187.55157314718</v>
      </c>
      <c r="AE88" s="52">
        <f t="shared" ca="1" si="137"/>
        <v>-118775.97235180263</v>
      </c>
      <c r="AF88" s="52">
        <f t="shared" ca="1" si="137"/>
        <v>-55399.233751181804</v>
      </c>
      <c r="AG88" s="52">
        <f t="shared" ca="1" si="137"/>
        <v>-65484.432646601446</v>
      </c>
      <c r="AH88" s="52">
        <f t="shared" ca="1" si="137"/>
        <v>-153215.60937127657</v>
      </c>
      <c r="AI88" s="52">
        <f t="shared" ca="1" si="137"/>
        <v>-148568.80968953908</v>
      </c>
      <c r="AJ88" s="52">
        <f t="shared" ca="1" si="137"/>
        <v>-74580.822310337593</v>
      </c>
      <c r="AK88" s="52">
        <f t="shared" ca="1" si="137"/>
        <v>-86058.090179155028</v>
      </c>
      <c r="AL88" s="52">
        <f t="shared" ca="1" si="137"/>
        <v>-186990.50331830193</v>
      </c>
      <c r="AM88" s="52">
        <f t="shared" ca="1" si="137"/>
        <v>-181497.67720045152</v>
      </c>
      <c r="AN88" s="52">
        <f t="shared" ca="1" si="137"/>
        <v>-96882.663383457737</v>
      </c>
      <c r="AO88" s="52">
        <f t="shared" ca="1" si="137"/>
        <v>-109182.62749578085</v>
      </c>
      <c r="AP88" s="52">
        <f t="shared" ca="1" si="137"/>
        <v>-221256.08364928619</v>
      </c>
      <c r="AQ88" s="52">
        <f t="shared" ca="1" si="137"/>
        <v>-212074.11197092943</v>
      </c>
      <c r="AR88" s="52">
        <f t="shared" ca="1" si="137"/>
        <v>-114089.47942791763</v>
      </c>
      <c r="AS88" s="52">
        <f t="shared" ca="1" si="137"/>
        <v>-123366.4488239716</v>
      </c>
      <c r="AT88" s="52">
        <f t="shared" ca="1" si="137"/>
        <v>-189347.13450160954</v>
      </c>
      <c r="AU88" s="52">
        <f t="shared" ca="1" si="137"/>
        <v>0</v>
      </c>
      <c r="AV88" s="52">
        <f t="shared" ca="1" si="137"/>
        <v>0</v>
      </c>
      <c r="AW88" s="52">
        <f t="shared" ca="1" si="137"/>
        <v>0</v>
      </c>
      <c r="AX88" s="52">
        <f t="shared" ca="1" si="137"/>
        <v>0</v>
      </c>
      <c r="AY88" s="52">
        <f t="shared" ca="1" si="137"/>
        <v>0</v>
      </c>
      <c r="AZ88" s="52">
        <f t="shared" ca="1" si="137"/>
        <v>0</v>
      </c>
      <c r="BA88" s="52">
        <f t="shared" ca="1" si="137"/>
        <v>0</v>
      </c>
      <c r="BB88" s="52">
        <f t="shared" ca="1" si="137"/>
        <v>0</v>
      </c>
      <c r="BC88" s="52">
        <f t="shared" ca="1" si="137"/>
        <v>0</v>
      </c>
      <c r="BD88" s="52">
        <f t="shared" ca="1" si="137"/>
        <v>0</v>
      </c>
      <c r="BE88" s="52">
        <f t="shared" ca="1" si="137"/>
        <v>0</v>
      </c>
      <c r="BF88" s="52">
        <f t="shared" ca="1" si="137"/>
        <v>0</v>
      </c>
      <c r="BG88" s="52">
        <f t="shared" ca="1" si="137"/>
        <v>0</v>
      </c>
      <c r="BH88" s="52">
        <f t="shared" ca="1" si="137"/>
        <v>0</v>
      </c>
      <c r="BI88" s="52">
        <f t="shared" ca="1" si="137"/>
        <v>0</v>
      </c>
      <c r="BJ88" s="52">
        <f t="shared" ca="1" si="137"/>
        <v>0</v>
      </c>
      <c r="BK88" s="52">
        <f t="shared" ca="1" si="137"/>
        <v>0</v>
      </c>
      <c r="BL88" s="52">
        <f t="shared" ca="1" si="137"/>
        <v>0</v>
      </c>
      <c r="BM88" s="52">
        <f t="shared" ca="1" si="137"/>
        <v>0</v>
      </c>
      <c r="BN88" s="52">
        <f t="shared" ca="1" si="137"/>
        <v>0</v>
      </c>
      <c r="BO88" s="52">
        <f t="shared" ca="1" si="137"/>
        <v>0</v>
      </c>
      <c r="BP88" s="52">
        <f t="shared" ca="1" si="137"/>
        <v>0</v>
      </c>
      <c r="BQ88" s="52">
        <f t="shared" ca="1" si="137"/>
        <v>0</v>
      </c>
      <c r="BR88" s="52">
        <f t="shared" ca="1" si="137"/>
        <v>0</v>
      </c>
      <c r="BS88" s="52">
        <f t="shared" ca="1" si="137"/>
        <v>0</v>
      </c>
      <c r="BT88" s="52">
        <f t="shared" ca="1" si="137"/>
        <v>0</v>
      </c>
      <c r="BU88" s="52">
        <f t="shared" ca="1" si="137"/>
        <v>0</v>
      </c>
      <c r="BV88" s="52">
        <f t="shared" ca="1" si="137"/>
        <v>0</v>
      </c>
      <c r="BW88" s="52">
        <f t="shared" ca="1" si="137"/>
        <v>0</v>
      </c>
      <c r="BX88" s="52">
        <f t="shared" ref="BX88:CO88" ca="1" si="138">Debt_Repaiment</f>
        <v>0</v>
      </c>
      <c r="BY88" s="52">
        <f t="shared" ca="1" si="138"/>
        <v>0</v>
      </c>
      <c r="BZ88" s="52">
        <f t="shared" ca="1" si="138"/>
        <v>0</v>
      </c>
      <c r="CA88" s="52">
        <f t="shared" ca="1" si="138"/>
        <v>0</v>
      </c>
      <c r="CB88" s="52">
        <f t="shared" ca="1" si="138"/>
        <v>0</v>
      </c>
      <c r="CC88" s="52">
        <f t="shared" ca="1" si="138"/>
        <v>0</v>
      </c>
      <c r="CD88" s="52">
        <f t="shared" ca="1" si="138"/>
        <v>0</v>
      </c>
      <c r="CE88" s="52">
        <f t="shared" ca="1" si="138"/>
        <v>0</v>
      </c>
      <c r="CF88" s="52">
        <f t="shared" ca="1" si="138"/>
        <v>0</v>
      </c>
      <c r="CG88" s="52">
        <f t="shared" ca="1" si="138"/>
        <v>0</v>
      </c>
      <c r="CH88" s="52">
        <f t="shared" ca="1" si="138"/>
        <v>0</v>
      </c>
      <c r="CI88" s="52">
        <f t="shared" ca="1" si="138"/>
        <v>0</v>
      </c>
      <c r="CJ88" s="52">
        <f t="shared" ca="1" si="138"/>
        <v>0</v>
      </c>
      <c r="CK88" s="52">
        <f t="shared" ca="1" si="138"/>
        <v>0</v>
      </c>
      <c r="CL88" s="52">
        <f t="shared" ca="1" si="138"/>
        <v>0</v>
      </c>
      <c r="CM88" s="52">
        <f t="shared" ca="1" si="138"/>
        <v>0</v>
      </c>
      <c r="CN88" s="52">
        <f t="shared" ca="1" si="138"/>
        <v>0</v>
      </c>
      <c r="CO88" s="52">
        <f t="shared" ca="1" si="138"/>
        <v>0</v>
      </c>
    </row>
    <row r="89" spans="1:93" s="133" customFormat="1" ht="14.25">
      <c r="A89" s="10"/>
      <c r="B89" s="11"/>
      <c r="C89" s="17" t="s">
        <v>551</v>
      </c>
      <c r="D89" s="10"/>
      <c r="E89" s="10"/>
      <c r="F89" s="10"/>
      <c r="G89" s="134" t="str">
        <f t="shared" si="129"/>
        <v>тыс. руб.</v>
      </c>
      <c r="H89" s="10"/>
      <c r="I89" s="23">
        <f t="shared" ca="1" si="130"/>
        <v>-768987.99782235362</v>
      </c>
      <c r="J89" s="10"/>
      <c r="K89" s="10"/>
      <c r="L89" s="52">
        <f t="shared" ref="L89:BW89" ca="1" si="139">Subord_Repayment</f>
        <v>0</v>
      </c>
      <c r="M89" s="52">
        <f t="shared" ca="1" si="139"/>
        <v>0</v>
      </c>
      <c r="N89" s="52">
        <f t="shared" ca="1" si="139"/>
        <v>0</v>
      </c>
      <c r="O89" s="52">
        <f t="shared" ca="1" si="139"/>
        <v>0</v>
      </c>
      <c r="P89" s="52">
        <f t="shared" ca="1" si="139"/>
        <v>0</v>
      </c>
      <c r="Q89" s="52">
        <f t="shared" ca="1" si="139"/>
        <v>0</v>
      </c>
      <c r="R89" s="52">
        <f t="shared" ca="1" si="139"/>
        <v>0</v>
      </c>
      <c r="S89" s="52">
        <f t="shared" ca="1" si="139"/>
        <v>0</v>
      </c>
      <c r="T89" s="52">
        <f t="shared" ca="1" si="139"/>
        <v>0</v>
      </c>
      <c r="U89" s="52">
        <f t="shared" ca="1" si="139"/>
        <v>0</v>
      </c>
      <c r="V89" s="52">
        <f t="shared" ca="1" si="139"/>
        <v>0</v>
      </c>
      <c r="W89" s="52">
        <f t="shared" ca="1" si="139"/>
        <v>0</v>
      </c>
      <c r="X89" s="52">
        <f t="shared" ca="1" si="139"/>
        <v>0</v>
      </c>
      <c r="Y89" s="52">
        <f t="shared" ca="1" si="139"/>
        <v>0</v>
      </c>
      <c r="Z89" s="52">
        <f t="shared" ca="1" si="139"/>
        <v>0</v>
      </c>
      <c r="AA89" s="52">
        <f t="shared" ca="1" si="139"/>
        <v>0</v>
      </c>
      <c r="AB89" s="52">
        <f t="shared" ca="1" si="139"/>
        <v>0</v>
      </c>
      <c r="AC89" s="52">
        <f t="shared" ca="1" si="139"/>
        <v>-67559.791083746997</v>
      </c>
      <c r="AD89" s="52">
        <f t="shared" ca="1" si="139"/>
        <v>-24719.593382527004</v>
      </c>
      <c r="AE89" s="52">
        <f t="shared" ca="1" si="139"/>
        <v>-7095.9521194758781</v>
      </c>
      <c r="AF89" s="52">
        <f t="shared" ca="1" si="139"/>
        <v>0</v>
      </c>
      <c r="AG89" s="52">
        <f t="shared" ca="1" si="139"/>
        <v>0</v>
      </c>
      <c r="AH89" s="52">
        <f t="shared" ca="1" si="139"/>
        <v>-13244.853375764924</v>
      </c>
      <c r="AI89" s="52">
        <f t="shared" ca="1" si="139"/>
        <v>-12337.513435683319</v>
      </c>
      <c r="AJ89" s="52">
        <f t="shared" ca="1" si="139"/>
        <v>0</v>
      </c>
      <c r="AK89" s="52">
        <f t="shared" ca="1" si="139"/>
        <v>0</v>
      </c>
      <c r="AL89" s="52">
        <f t="shared" ca="1" si="139"/>
        <v>-19497.404312105395</v>
      </c>
      <c r="AM89" s="52">
        <f t="shared" ca="1" si="139"/>
        <v>-18539.121443515305</v>
      </c>
      <c r="AN89" s="52">
        <f t="shared" ca="1" si="139"/>
        <v>-1978.5373392466572</v>
      </c>
      <c r="AO89" s="52">
        <f t="shared" ca="1" si="139"/>
        <v>-4237.5606341949278</v>
      </c>
      <c r="AP89" s="52">
        <f t="shared" ca="1" si="139"/>
        <v>-26298.018405829287</v>
      </c>
      <c r="AQ89" s="52">
        <f t="shared" ca="1" si="139"/>
        <v>-24736.691490862137</v>
      </c>
      <c r="AR89" s="52">
        <f t="shared" ca="1" si="139"/>
        <v>-5719.6747512767215</v>
      </c>
      <c r="AS89" s="52">
        <f t="shared" ca="1" si="139"/>
        <v>-7261.8676316873425</v>
      </c>
      <c r="AT89" s="52">
        <f t="shared" ca="1" si="139"/>
        <v>-77304.725036668417</v>
      </c>
      <c r="AU89" s="52">
        <f t="shared" ca="1" si="139"/>
        <v>-255111.04623786383</v>
      </c>
      <c r="AV89" s="52">
        <f t="shared" ca="1" si="139"/>
        <v>-138748.55957550346</v>
      </c>
      <c r="AW89" s="52">
        <f t="shared" ca="1" si="139"/>
        <v>-64597.087566401984</v>
      </c>
      <c r="AX89" s="52">
        <f t="shared" ca="1" si="139"/>
        <v>0</v>
      </c>
      <c r="AY89" s="52">
        <f t="shared" ca="1" si="139"/>
        <v>0</v>
      </c>
      <c r="AZ89" s="52">
        <f t="shared" ca="1" si="139"/>
        <v>0</v>
      </c>
      <c r="BA89" s="52">
        <f t="shared" ca="1" si="139"/>
        <v>0</v>
      </c>
      <c r="BB89" s="52">
        <f t="shared" ca="1" si="139"/>
        <v>0</v>
      </c>
      <c r="BC89" s="52">
        <f t="shared" ca="1" si="139"/>
        <v>0</v>
      </c>
      <c r="BD89" s="52">
        <f t="shared" ca="1" si="139"/>
        <v>0</v>
      </c>
      <c r="BE89" s="52">
        <f t="shared" ca="1" si="139"/>
        <v>0</v>
      </c>
      <c r="BF89" s="52">
        <f t="shared" ca="1" si="139"/>
        <v>0</v>
      </c>
      <c r="BG89" s="52">
        <f t="shared" ca="1" si="139"/>
        <v>0</v>
      </c>
      <c r="BH89" s="52">
        <f t="shared" ca="1" si="139"/>
        <v>0</v>
      </c>
      <c r="BI89" s="52">
        <f t="shared" ca="1" si="139"/>
        <v>0</v>
      </c>
      <c r="BJ89" s="52">
        <f t="shared" ca="1" si="139"/>
        <v>0</v>
      </c>
      <c r="BK89" s="52">
        <f t="shared" ca="1" si="139"/>
        <v>0</v>
      </c>
      <c r="BL89" s="52">
        <f t="shared" ca="1" si="139"/>
        <v>0</v>
      </c>
      <c r="BM89" s="52">
        <f t="shared" ca="1" si="139"/>
        <v>0</v>
      </c>
      <c r="BN89" s="52">
        <f t="shared" ca="1" si="139"/>
        <v>0</v>
      </c>
      <c r="BO89" s="52">
        <f t="shared" ca="1" si="139"/>
        <v>0</v>
      </c>
      <c r="BP89" s="52">
        <f t="shared" ca="1" si="139"/>
        <v>0</v>
      </c>
      <c r="BQ89" s="52">
        <f t="shared" ca="1" si="139"/>
        <v>0</v>
      </c>
      <c r="BR89" s="52">
        <f t="shared" ca="1" si="139"/>
        <v>0</v>
      </c>
      <c r="BS89" s="52">
        <f t="shared" ca="1" si="139"/>
        <v>0</v>
      </c>
      <c r="BT89" s="52">
        <f t="shared" ca="1" si="139"/>
        <v>0</v>
      </c>
      <c r="BU89" s="52">
        <f t="shared" ca="1" si="139"/>
        <v>0</v>
      </c>
      <c r="BV89" s="52">
        <f t="shared" ca="1" si="139"/>
        <v>0</v>
      </c>
      <c r="BW89" s="52">
        <f t="shared" ca="1" si="139"/>
        <v>0</v>
      </c>
      <c r="BX89" s="52">
        <f t="shared" ref="BX89:CO89" ca="1" si="140">Subord_Repayment</f>
        <v>0</v>
      </c>
      <c r="BY89" s="52">
        <f t="shared" ca="1" si="140"/>
        <v>0</v>
      </c>
      <c r="BZ89" s="52">
        <f t="shared" ca="1" si="140"/>
        <v>0</v>
      </c>
      <c r="CA89" s="52">
        <f t="shared" ca="1" si="140"/>
        <v>0</v>
      </c>
      <c r="CB89" s="52">
        <f t="shared" ca="1" si="140"/>
        <v>0</v>
      </c>
      <c r="CC89" s="52">
        <f t="shared" ca="1" si="140"/>
        <v>0</v>
      </c>
      <c r="CD89" s="52">
        <f t="shared" ca="1" si="140"/>
        <v>0</v>
      </c>
      <c r="CE89" s="52">
        <f t="shared" ca="1" si="140"/>
        <v>0</v>
      </c>
      <c r="CF89" s="52">
        <f t="shared" ca="1" si="140"/>
        <v>0</v>
      </c>
      <c r="CG89" s="52">
        <f t="shared" ca="1" si="140"/>
        <v>0</v>
      </c>
      <c r="CH89" s="52">
        <f t="shared" ca="1" si="140"/>
        <v>0</v>
      </c>
      <c r="CI89" s="52">
        <f t="shared" ca="1" si="140"/>
        <v>0</v>
      </c>
      <c r="CJ89" s="52">
        <f t="shared" ca="1" si="140"/>
        <v>0</v>
      </c>
      <c r="CK89" s="52">
        <f t="shared" ca="1" si="140"/>
        <v>0</v>
      </c>
      <c r="CL89" s="52">
        <f t="shared" ca="1" si="140"/>
        <v>0</v>
      </c>
      <c r="CM89" s="52">
        <f t="shared" ca="1" si="140"/>
        <v>0</v>
      </c>
      <c r="CN89" s="52">
        <f t="shared" ca="1" si="140"/>
        <v>0</v>
      </c>
      <c r="CO89" s="52">
        <f t="shared" ca="1" si="140"/>
        <v>0</v>
      </c>
    </row>
    <row r="90" spans="1:93" s="133" customFormat="1" thickBot="1">
      <c r="A90" s="10"/>
      <c r="B90" s="11"/>
      <c r="C90" s="17" t="s">
        <v>92</v>
      </c>
      <c r="D90" s="10"/>
      <c r="E90" s="10"/>
      <c r="F90" s="10"/>
      <c r="G90" s="134" t="str">
        <f t="shared" si="129"/>
        <v>тыс. руб.</v>
      </c>
      <c r="H90" s="10"/>
      <c r="I90" s="23">
        <f t="shared" ca="1" si="130"/>
        <v>-8270600.6277033035</v>
      </c>
      <c r="J90" s="10"/>
      <c r="K90" s="10"/>
      <c r="L90" s="52">
        <f t="shared" ref="L90:BW90" ca="1" si="141">Dividends</f>
        <v>0</v>
      </c>
      <c r="M90" s="52">
        <f t="shared" ca="1" si="141"/>
        <v>0</v>
      </c>
      <c r="N90" s="52">
        <f t="shared" ca="1" si="141"/>
        <v>0</v>
      </c>
      <c r="O90" s="52">
        <f t="shared" ca="1" si="141"/>
        <v>0</v>
      </c>
      <c r="P90" s="52">
        <f t="shared" ca="1" si="141"/>
        <v>0</v>
      </c>
      <c r="Q90" s="52">
        <f t="shared" ca="1" si="141"/>
        <v>0</v>
      </c>
      <c r="R90" s="52">
        <f t="shared" ca="1" si="141"/>
        <v>0</v>
      </c>
      <c r="S90" s="52">
        <f t="shared" ca="1" si="141"/>
        <v>0</v>
      </c>
      <c r="T90" s="52">
        <f t="shared" ca="1" si="141"/>
        <v>0</v>
      </c>
      <c r="U90" s="52">
        <f t="shared" ca="1" si="141"/>
        <v>0</v>
      </c>
      <c r="V90" s="52">
        <f t="shared" ca="1" si="141"/>
        <v>0</v>
      </c>
      <c r="W90" s="52">
        <f t="shared" ca="1" si="141"/>
        <v>0</v>
      </c>
      <c r="X90" s="52">
        <f t="shared" ca="1" si="141"/>
        <v>0</v>
      </c>
      <c r="Y90" s="52">
        <f t="shared" ca="1" si="141"/>
        <v>0</v>
      </c>
      <c r="Z90" s="52">
        <f t="shared" ca="1" si="141"/>
        <v>0</v>
      </c>
      <c r="AA90" s="52">
        <f t="shared" ca="1" si="141"/>
        <v>0</v>
      </c>
      <c r="AB90" s="52">
        <f t="shared" ca="1" si="141"/>
        <v>0</v>
      </c>
      <c r="AC90" s="52">
        <f t="shared" ca="1" si="141"/>
        <v>0</v>
      </c>
      <c r="AD90" s="52">
        <f t="shared" ca="1" si="141"/>
        <v>0</v>
      </c>
      <c r="AE90" s="52">
        <f t="shared" ca="1" si="141"/>
        <v>0</v>
      </c>
      <c r="AF90" s="52">
        <f t="shared" ca="1" si="141"/>
        <v>0</v>
      </c>
      <c r="AG90" s="52">
        <f t="shared" ca="1" si="141"/>
        <v>0</v>
      </c>
      <c r="AH90" s="52">
        <f t="shared" ca="1" si="141"/>
        <v>0</v>
      </c>
      <c r="AI90" s="52">
        <f t="shared" ca="1" si="141"/>
        <v>0</v>
      </c>
      <c r="AJ90" s="52">
        <f t="shared" ca="1" si="141"/>
        <v>0</v>
      </c>
      <c r="AK90" s="52">
        <f t="shared" ca="1" si="141"/>
        <v>0</v>
      </c>
      <c r="AL90" s="52">
        <f t="shared" ca="1" si="141"/>
        <v>0</v>
      </c>
      <c r="AM90" s="52">
        <f t="shared" ca="1" si="141"/>
        <v>0</v>
      </c>
      <c r="AN90" s="52">
        <f t="shared" ca="1" si="141"/>
        <v>0</v>
      </c>
      <c r="AO90" s="52">
        <f t="shared" ca="1" si="141"/>
        <v>0</v>
      </c>
      <c r="AP90" s="52">
        <f t="shared" ca="1" si="141"/>
        <v>0</v>
      </c>
      <c r="AQ90" s="52">
        <f t="shared" ca="1" si="141"/>
        <v>0</v>
      </c>
      <c r="AR90" s="52">
        <f t="shared" ca="1" si="141"/>
        <v>0</v>
      </c>
      <c r="AS90" s="52">
        <f t="shared" ca="1" si="141"/>
        <v>0</v>
      </c>
      <c r="AT90" s="52">
        <f t="shared" ca="1" si="141"/>
        <v>0</v>
      </c>
      <c r="AU90" s="52">
        <f t="shared" ca="1" si="141"/>
        <v>0</v>
      </c>
      <c r="AV90" s="52">
        <f t="shared" ca="1" si="141"/>
        <v>0</v>
      </c>
      <c r="AW90" s="52">
        <f t="shared" ca="1" si="141"/>
        <v>-115616.33267494224</v>
      </c>
      <c r="AX90" s="52">
        <f t="shared" ca="1" si="141"/>
        <v>-273026.89898316731</v>
      </c>
      <c r="AY90" s="52">
        <f t="shared" ca="1" si="141"/>
        <v>-160610.09420331367</v>
      </c>
      <c r="AZ90" s="52">
        <f t="shared" ca="1" si="141"/>
        <v>-90746.681474151221</v>
      </c>
      <c r="BA90" s="52">
        <f t="shared" ca="1" si="141"/>
        <v>-140327.30961439823</v>
      </c>
      <c r="BB90" s="52">
        <f t="shared" ca="1" si="141"/>
        <v>-273441.40717452572</v>
      </c>
      <c r="BC90" s="52">
        <f t="shared" ca="1" si="141"/>
        <v>-167027.39986984793</v>
      </c>
      <c r="BD90" s="52">
        <f t="shared" ca="1" si="141"/>
        <v>-95677.102949824461</v>
      </c>
      <c r="BE90" s="52">
        <f t="shared" ca="1" si="141"/>
        <v>-144587.40117527739</v>
      </c>
      <c r="BF90" s="52">
        <f t="shared" ca="1" si="141"/>
        <v>-283339.07755339477</v>
      </c>
      <c r="BG90" s="52">
        <f t="shared" ca="1" si="141"/>
        <v>-172668.51570028992</v>
      </c>
      <c r="BH90" s="52">
        <f t="shared" ca="1" si="141"/>
        <v>-97093.665388560941</v>
      </c>
      <c r="BI90" s="52">
        <f t="shared" ca="1" si="141"/>
        <v>-150722.02899878885</v>
      </c>
      <c r="BJ90" s="52">
        <f t="shared" ca="1" si="141"/>
        <v>-294700.16257395281</v>
      </c>
      <c r="BK90" s="52">
        <f t="shared" ca="1" si="141"/>
        <v>-179602.77227321349</v>
      </c>
      <c r="BL90" s="52">
        <f t="shared" ca="1" si="141"/>
        <v>-101010.04112024038</v>
      </c>
      <c r="BM90" s="52">
        <f t="shared" ca="1" si="141"/>
        <v>-156784.45144098948</v>
      </c>
      <c r="BN90" s="52">
        <f t="shared" ca="1" si="141"/>
        <v>-306522.65430726274</v>
      </c>
      <c r="BO90" s="52">
        <f t="shared" ca="1" si="141"/>
        <v>-177777.08616391147</v>
      </c>
      <c r="BP90" s="52">
        <f t="shared" ca="1" si="141"/>
        <v>-97479.370084233102</v>
      </c>
      <c r="BQ90" s="52">
        <f t="shared" ca="1" si="141"/>
        <v>-147496.84938078091</v>
      </c>
      <c r="BR90" s="52">
        <f t="shared" ca="1" si="141"/>
        <v>-278245.88708535011</v>
      </c>
      <c r="BS90" s="52">
        <f t="shared" ca="1" si="141"/>
        <v>-176430.29235447777</v>
      </c>
      <c r="BT90" s="52">
        <f t="shared" ca="1" si="141"/>
        <v>-94568.477972540364</v>
      </c>
      <c r="BU90" s="52">
        <f t="shared" ca="1" si="141"/>
        <v>-144907.78111575436</v>
      </c>
      <c r="BV90" s="52">
        <f t="shared" ca="1" si="141"/>
        <v>-290142.81625441811</v>
      </c>
      <c r="BW90" s="52">
        <f t="shared" ca="1" si="141"/>
        <v>-184249.96053286913</v>
      </c>
      <c r="BX90" s="52">
        <f t="shared" ref="BX90:CO90" ca="1" si="142">Dividends</f>
        <v>-97648.295518110244</v>
      </c>
      <c r="BY90" s="52">
        <f t="shared" ca="1" si="142"/>
        <v>-151770.83585332031</v>
      </c>
      <c r="BZ90" s="52">
        <f t="shared" ca="1" si="142"/>
        <v>-302440.46734145656</v>
      </c>
      <c r="CA90" s="52">
        <f t="shared" ca="1" si="142"/>
        <v>-192307.85374290359</v>
      </c>
      <c r="CB90" s="52">
        <f t="shared" ca="1" si="142"/>
        <v>-102248.94821865222</v>
      </c>
      <c r="CC90" s="52">
        <f t="shared" ca="1" si="142"/>
        <v>-158541.06086534384</v>
      </c>
      <c r="CD90" s="52">
        <f t="shared" ca="1" si="142"/>
        <v>-315242.0910079485</v>
      </c>
      <c r="CE90" s="52">
        <f t="shared" ca="1" si="142"/>
        <v>-200699.82662151247</v>
      </c>
      <c r="CF90" s="52">
        <f t="shared" ca="1" si="142"/>
        <v>-107016.58280527144</v>
      </c>
      <c r="CG90" s="52">
        <f t="shared" ca="1" si="142"/>
        <v>-165564.89886920995</v>
      </c>
      <c r="CH90" s="52">
        <f t="shared" ca="1" si="142"/>
        <v>-328538.39464533399</v>
      </c>
      <c r="CI90" s="52">
        <f t="shared" ca="1" si="142"/>
        <v>-209410.09343949921</v>
      </c>
      <c r="CJ90" s="52">
        <f t="shared" ca="1" si="142"/>
        <v>-113577.58786442541</v>
      </c>
      <c r="CK90" s="52">
        <f t="shared" ca="1" si="142"/>
        <v>-172449.24687161582</v>
      </c>
      <c r="CL90" s="52">
        <f t="shared" ca="1" si="142"/>
        <v>-342372.8721207974</v>
      </c>
      <c r="CM90" s="52">
        <f t="shared" ca="1" si="142"/>
        <v>-218474.8026703553</v>
      </c>
      <c r="CN90" s="52">
        <f t="shared" ca="1" si="142"/>
        <v>-117079.85311511872</v>
      </c>
      <c r="CO90" s="52">
        <f t="shared" ca="1" si="142"/>
        <v>-180414.39771195172</v>
      </c>
    </row>
    <row r="91" spans="1:93" s="133" customFormat="1" thickTop="1">
      <c r="A91" s="10"/>
      <c r="B91" s="11"/>
      <c r="C91" s="49" t="s">
        <v>496</v>
      </c>
      <c r="D91" s="136"/>
      <c r="E91" s="136"/>
      <c r="F91" s="136"/>
      <c r="G91" s="137" t="str">
        <f t="shared" si="129"/>
        <v>тыс. руб.</v>
      </c>
      <c r="H91" s="136"/>
      <c r="I91" s="23">
        <f t="shared" ca="1" si="130"/>
        <v>-7972210.0574853681</v>
      </c>
      <c r="J91" s="136"/>
      <c r="K91" s="136"/>
      <c r="L91" s="136">
        <f ca="1">SUM(L85:L90)</f>
        <v>20231.553412960755</v>
      </c>
      <c r="M91" s="136">
        <f t="shared" ref="M91:BX91" ca="1" si="143">SUM(M85:M90)</f>
        <v>20518.738035800307</v>
      </c>
      <c r="N91" s="136">
        <f t="shared" ca="1" si="143"/>
        <v>20809.999212027134</v>
      </c>
      <c r="O91" s="136">
        <f t="shared" ca="1" si="143"/>
        <v>21105.394807857592</v>
      </c>
      <c r="P91" s="136">
        <f t="shared" ca="1" si="143"/>
        <v>177490.49062476435</v>
      </c>
      <c r="Q91" s="136">
        <f t="shared" ca="1" si="143"/>
        <v>179239.37658746613</v>
      </c>
      <c r="R91" s="136">
        <f t="shared" ca="1" si="143"/>
        <v>181005.49503456618</v>
      </c>
      <c r="S91" s="136">
        <f t="shared" ca="1" si="143"/>
        <v>182789.01576473904</v>
      </c>
      <c r="T91" s="136">
        <f t="shared" ca="1" si="143"/>
        <v>184965.93951308879</v>
      </c>
      <c r="U91" s="136">
        <f t="shared" ca="1" si="143"/>
        <v>190490.76998061163</v>
      </c>
      <c r="V91" s="136">
        <f t="shared" ca="1" si="143"/>
        <v>194851.96226518595</v>
      </c>
      <c r="W91" s="136">
        <f t="shared" ca="1" si="143"/>
        <v>199210.83002790483</v>
      </c>
      <c r="X91" s="136">
        <f t="shared" ca="1" si="143"/>
        <v>380268.03807791224</v>
      </c>
      <c r="Y91" s="136">
        <f t="shared" ca="1" si="143"/>
        <v>388712.96354787843</v>
      </c>
      <c r="Z91" s="136">
        <f t="shared" ca="1" si="143"/>
        <v>397487.10229346005</v>
      </c>
      <c r="AA91" s="136">
        <f t="shared" ca="1" si="143"/>
        <v>406153.32046609715</v>
      </c>
      <c r="AB91" s="136">
        <f t="shared" ca="1" si="143"/>
        <v>693935.95784803946</v>
      </c>
      <c r="AC91" s="136">
        <f t="shared" ca="1" si="143"/>
        <v>-494490.91889906913</v>
      </c>
      <c r="AD91" s="136">
        <f t="shared" ca="1" si="143"/>
        <v>-232907.14495567419</v>
      </c>
      <c r="AE91" s="136">
        <f t="shared" ca="1" si="143"/>
        <v>-125871.9244712785</v>
      </c>
      <c r="AF91" s="136">
        <f t="shared" ca="1" si="143"/>
        <v>-55399.233751181804</v>
      </c>
      <c r="AG91" s="136">
        <f t="shared" ca="1" si="143"/>
        <v>-65484.432646601446</v>
      </c>
      <c r="AH91" s="136">
        <f t="shared" ca="1" si="143"/>
        <v>-166460.46274704149</v>
      </c>
      <c r="AI91" s="136">
        <f t="shared" ca="1" si="143"/>
        <v>-160906.32312522241</v>
      </c>
      <c r="AJ91" s="136">
        <f t="shared" ca="1" si="143"/>
        <v>-74580.822310337593</v>
      </c>
      <c r="AK91" s="136">
        <f t="shared" ca="1" si="143"/>
        <v>-86058.090179155028</v>
      </c>
      <c r="AL91" s="136">
        <f t="shared" ca="1" si="143"/>
        <v>-206487.90763040731</v>
      </c>
      <c r="AM91" s="136">
        <f t="shared" ca="1" si="143"/>
        <v>-200036.79864396682</v>
      </c>
      <c r="AN91" s="136">
        <f t="shared" ca="1" si="143"/>
        <v>-98861.200722704394</v>
      </c>
      <c r="AO91" s="136">
        <f t="shared" ca="1" si="143"/>
        <v>-113420.18812997578</v>
      </c>
      <c r="AP91" s="136">
        <f t="shared" ca="1" si="143"/>
        <v>-247554.10205511548</v>
      </c>
      <c r="AQ91" s="136">
        <f t="shared" ca="1" si="143"/>
        <v>-236810.80346179157</v>
      </c>
      <c r="AR91" s="136">
        <f t="shared" ca="1" si="143"/>
        <v>-119809.15417919435</v>
      </c>
      <c r="AS91" s="136">
        <f t="shared" ca="1" si="143"/>
        <v>-130628.31645565895</v>
      </c>
      <c r="AT91" s="136">
        <f t="shared" ca="1" si="143"/>
        <v>-266651.85953827796</v>
      </c>
      <c r="AU91" s="136">
        <f t="shared" ca="1" si="143"/>
        <v>-255111.04623786383</v>
      </c>
      <c r="AV91" s="136">
        <f t="shared" ca="1" si="143"/>
        <v>-138748.55957550346</v>
      </c>
      <c r="AW91" s="136">
        <f t="shared" ca="1" si="143"/>
        <v>-180213.42024134423</v>
      </c>
      <c r="AX91" s="136">
        <f t="shared" ca="1" si="143"/>
        <v>-273026.89898316731</v>
      </c>
      <c r="AY91" s="136">
        <f t="shared" ca="1" si="143"/>
        <v>-160610.09420331367</v>
      </c>
      <c r="AZ91" s="136">
        <f t="shared" ca="1" si="143"/>
        <v>-90746.681474151221</v>
      </c>
      <c r="BA91" s="136">
        <f t="shared" ca="1" si="143"/>
        <v>-140327.30961439823</v>
      </c>
      <c r="BB91" s="136">
        <f t="shared" ca="1" si="143"/>
        <v>-273441.40717452572</v>
      </c>
      <c r="BC91" s="136">
        <f t="shared" ca="1" si="143"/>
        <v>-167027.39986984793</v>
      </c>
      <c r="BD91" s="136">
        <f t="shared" ca="1" si="143"/>
        <v>-95677.102949824461</v>
      </c>
      <c r="BE91" s="136">
        <f t="shared" ca="1" si="143"/>
        <v>-144587.40117527739</v>
      </c>
      <c r="BF91" s="136">
        <f t="shared" ca="1" si="143"/>
        <v>-283339.07755339477</v>
      </c>
      <c r="BG91" s="136">
        <f t="shared" ca="1" si="143"/>
        <v>-172668.51570028992</v>
      </c>
      <c r="BH91" s="136">
        <f t="shared" ca="1" si="143"/>
        <v>-97093.665388560941</v>
      </c>
      <c r="BI91" s="136">
        <f t="shared" ca="1" si="143"/>
        <v>-150722.02899878885</v>
      </c>
      <c r="BJ91" s="136">
        <f t="shared" ca="1" si="143"/>
        <v>-294700.16257395281</v>
      </c>
      <c r="BK91" s="136">
        <f t="shared" ca="1" si="143"/>
        <v>-179602.77227321349</v>
      </c>
      <c r="BL91" s="136">
        <f t="shared" ca="1" si="143"/>
        <v>-101010.04112024038</v>
      </c>
      <c r="BM91" s="136">
        <f t="shared" ca="1" si="143"/>
        <v>-156784.45144098948</v>
      </c>
      <c r="BN91" s="136">
        <f t="shared" ca="1" si="143"/>
        <v>-306522.65430726274</v>
      </c>
      <c r="BO91" s="136">
        <f t="shared" ca="1" si="143"/>
        <v>-177777.08616391147</v>
      </c>
      <c r="BP91" s="136">
        <f t="shared" ca="1" si="143"/>
        <v>-97479.370084233102</v>
      </c>
      <c r="BQ91" s="136">
        <f t="shared" ca="1" si="143"/>
        <v>-147496.84938078091</v>
      </c>
      <c r="BR91" s="136">
        <f t="shared" ca="1" si="143"/>
        <v>-278245.88708535011</v>
      </c>
      <c r="BS91" s="136">
        <f t="shared" ca="1" si="143"/>
        <v>-176430.29235447777</v>
      </c>
      <c r="BT91" s="136">
        <f t="shared" ca="1" si="143"/>
        <v>-94568.477972540364</v>
      </c>
      <c r="BU91" s="136">
        <f t="shared" ca="1" si="143"/>
        <v>-144907.78111575436</v>
      </c>
      <c r="BV91" s="136">
        <f t="shared" ca="1" si="143"/>
        <v>-290142.81625441811</v>
      </c>
      <c r="BW91" s="136">
        <f t="shared" ca="1" si="143"/>
        <v>-184249.96053286913</v>
      </c>
      <c r="BX91" s="136">
        <f t="shared" ca="1" si="143"/>
        <v>-97648.295518110244</v>
      </c>
      <c r="BY91" s="136">
        <f t="shared" ref="BY91:CO91" ca="1" si="144">SUM(BY85:BY90)</f>
        <v>-151770.83585332031</v>
      </c>
      <c r="BZ91" s="136">
        <f t="shared" ca="1" si="144"/>
        <v>-302440.46734145656</v>
      </c>
      <c r="CA91" s="136">
        <f t="shared" ca="1" si="144"/>
        <v>-192307.85374290359</v>
      </c>
      <c r="CB91" s="136">
        <f t="shared" ca="1" si="144"/>
        <v>-102248.94821865222</v>
      </c>
      <c r="CC91" s="136">
        <f t="shared" ca="1" si="144"/>
        <v>-158541.06086534384</v>
      </c>
      <c r="CD91" s="136">
        <f t="shared" ca="1" si="144"/>
        <v>-315242.0910079485</v>
      </c>
      <c r="CE91" s="136">
        <f t="shared" ca="1" si="144"/>
        <v>-200699.82662151247</v>
      </c>
      <c r="CF91" s="136">
        <f t="shared" ca="1" si="144"/>
        <v>-107016.58280527144</v>
      </c>
      <c r="CG91" s="136">
        <f t="shared" ca="1" si="144"/>
        <v>-165564.89886920995</v>
      </c>
      <c r="CH91" s="136">
        <f t="shared" ca="1" si="144"/>
        <v>-328538.39464533399</v>
      </c>
      <c r="CI91" s="136">
        <f t="shared" ca="1" si="144"/>
        <v>-209410.09343949921</v>
      </c>
      <c r="CJ91" s="136">
        <f t="shared" ca="1" si="144"/>
        <v>-113577.58786442541</v>
      </c>
      <c r="CK91" s="136">
        <f t="shared" ca="1" si="144"/>
        <v>-172449.24687161582</v>
      </c>
      <c r="CL91" s="136">
        <f t="shared" ca="1" si="144"/>
        <v>-342372.8721207974</v>
      </c>
      <c r="CM91" s="136">
        <f t="shared" ca="1" si="144"/>
        <v>-218474.8026703553</v>
      </c>
      <c r="CN91" s="136">
        <f t="shared" ca="1" si="144"/>
        <v>-117079.85311511872</v>
      </c>
      <c r="CO91" s="136">
        <f t="shared" ca="1" si="144"/>
        <v>-180414.39771195172</v>
      </c>
    </row>
    <row r="92" spans="1:93" s="133" customFormat="1" ht="14.25">
      <c r="A92" s="10"/>
      <c r="B92" s="11"/>
      <c r="C92" s="10"/>
      <c r="D92" s="10"/>
      <c r="E92" s="10"/>
      <c r="F92" s="10"/>
      <c r="G92" s="11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</row>
    <row r="93" spans="1:93" s="133" customFormat="1" ht="14.25">
      <c r="A93" s="10"/>
      <c r="B93" s="11"/>
      <c r="C93" s="24" t="s">
        <v>331</v>
      </c>
      <c r="D93" s="24"/>
      <c r="E93" s="24"/>
      <c r="F93" s="24"/>
      <c r="G93" s="135" t="str">
        <f>Monetary_Unit</f>
        <v>тыс. руб.</v>
      </c>
      <c r="H93" s="24"/>
      <c r="I93" s="24"/>
      <c r="J93" s="24"/>
      <c r="K93" s="24"/>
      <c r="L93" s="24">
        <f t="shared" ref="L93:BW93" ca="1" si="145">IF(ABS(OCF+ICF+FCF)&lt;Accuracy,0,OCF+ICF+FCF)</f>
        <v>0</v>
      </c>
      <c r="M93" s="24">
        <f t="shared" ca="1" si="145"/>
        <v>0</v>
      </c>
      <c r="N93" s="24">
        <f t="shared" ca="1" si="145"/>
        <v>0</v>
      </c>
      <c r="O93" s="24">
        <f t="shared" ca="1" si="145"/>
        <v>0</v>
      </c>
      <c r="P93" s="24">
        <f t="shared" ca="1" si="145"/>
        <v>0</v>
      </c>
      <c r="Q93" s="24">
        <f t="shared" ca="1" si="145"/>
        <v>0</v>
      </c>
      <c r="R93" s="24">
        <f t="shared" ca="1" si="145"/>
        <v>0</v>
      </c>
      <c r="S93" s="24">
        <f t="shared" ca="1" si="145"/>
        <v>0</v>
      </c>
      <c r="T93" s="24">
        <f t="shared" ca="1" si="145"/>
        <v>0</v>
      </c>
      <c r="U93" s="24">
        <f t="shared" ca="1" si="145"/>
        <v>0</v>
      </c>
      <c r="V93" s="24">
        <f t="shared" ca="1" si="145"/>
        <v>0</v>
      </c>
      <c r="W93" s="24">
        <f t="shared" ca="1" si="145"/>
        <v>0</v>
      </c>
      <c r="X93" s="24">
        <f t="shared" ca="1" si="145"/>
        <v>0</v>
      </c>
      <c r="Y93" s="24">
        <f t="shared" ca="1" si="145"/>
        <v>0</v>
      </c>
      <c r="Z93" s="24">
        <f t="shared" ca="1" si="145"/>
        <v>0</v>
      </c>
      <c r="AA93" s="24">
        <f t="shared" ca="1" si="145"/>
        <v>0</v>
      </c>
      <c r="AB93" s="24">
        <f t="shared" ca="1" si="145"/>
        <v>0</v>
      </c>
      <c r="AC93" s="24">
        <f t="shared" ca="1" si="145"/>
        <v>0</v>
      </c>
      <c r="AD93" s="24">
        <f t="shared" ca="1" si="145"/>
        <v>0</v>
      </c>
      <c r="AE93" s="24">
        <f t="shared" ca="1" si="145"/>
        <v>0</v>
      </c>
      <c r="AF93" s="24">
        <f t="shared" ca="1" si="145"/>
        <v>0</v>
      </c>
      <c r="AG93" s="24">
        <f t="shared" ca="1" si="145"/>
        <v>0</v>
      </c>
      <c r="AH93" s="24">
        <f t="shared" ca="1" si="145"/>
        <v>0</v>
      </c>
      <c r="AI93" s="24">
        <f t="shared" ca="1" si="145"/>
        <v>0</v>
      </c>
      <c r="AJ93" s="24">
        <f t="shared" ca="1" si="145"/>
        <v>0</v>
      </c>
      <c r="AK93" s="24">
        <f t="shared" ca="1" si="145"/>
        <v>0</v>
      </c>
      <c r="AL93" s="24">
        <f t="shared" ca="1" si="145"/>
        <v>0</v>
      </c>
      <c r="AM93" s="24">
        <f t="shared" ca="1" si="145"/>
        <v>0</v>
      </c>
      <c r="AN93" s="24">
        <f t="shared" ca="1" si="145"/>
        <v>0</v>
      </c>
      <c r="AO93" s="24">
        <f t="shared" ca="1" si="145"/>
        <v>0</v>
      </c>
      <c r="AP93" s="24">
        <f t="shared" ca="1" si="145"/>
        <v>0</v>
      </c>
      <c r="AQ93" s="24">
        <f t="shared" ca="1" si="145"/>
        <v>0</v>
      </c>
      <c r="AR93" s="24">
        <f t="shared" ca="1" si="145"/>
        <v>0</v>
      </c>
      <c r="AS93" s="24">
        <f t="shared" ca="1" si="145"/>
        <v>0</v>
      </c>
      <c r="AT93" s="24">
        <f t="shared" ca="1" si="145"/>
        <v>0</v>
      </c>
      <c r="AU93" s="24">
        <f t="shared" ca="1" si="145"/>
        <v>0</v>
      </c>
      <c r="AV93" s="24">
        <f t="shared" ca="1" si="145"/>
        <v>0</v>
      </c>
      <c r="AW93" s="24">
        <f t="shared" ca="1" si="145"/>
        <v>0</v>
      </c>
      <c r="AX93" s="24">
        <f t="shared" ca="1" si="145"/>
        <v>0</v>
      </c>
      <c r="AY93" s="24">
        <f t="shared" ca="1" si="145"/>
        <v>0</v>
      </c>
      <c r="AZ93" s="24">
        <f t="shared" ca="1" si="145"/>
        <v>0</v>
      </c>
      <c r="BA93" s="24">
        <f t="shared" ca="1" si="145"/>
        <v>0</v>
      </c>
      <c r="BB93" s="24">
        <f t="shared" ca="1" si="145"/>
        <v>0</v>
      </c>
      <c r="BC93" s="24">
        <f t="shared" ca="1" si="145"/>
        <v>0</v>
      </c>
      <c r="BD93" s="24">
        <f t="shared" ca="1" si="145"/>
        <v>0</v>
      </c>
      <c r="BE93" s="24">
        <f t="shared" ca="1" si="145"/>
        <v>0</v>
      </c>
      <c r="BF93" s="24">
        <f t="shared" ca="1" si="145"/>
        <v>0</v>
      </c>
      <c r="BG93" s="24">
        <f t="shared" ca="1" si="145"/>
        <v>0</v>
      </c>
      <c r="BH93" s="24">
        <f t="shared" ca="1" si="145"/>
        <v>0</v>
      </c>
      <c r="BI93" s="24">
        <f t="shared" ca="1" si="145"/>
        <v>0</v>
      </c>
      <c r="BJ93" s="24">
        <f t="shared" ca="1" si="145"/>
        <v>0</v>
      </c>
      <c r="BK93" s="24">
        <f t="shared" ca="1" si="145"/>
        <v>0</v>
      </c>
      <c r="BL93" s="24">
        <f t="shared" ca="1" si="145"/>
        <v>0</v>
      </c>
      <c r="BM93" s="24">
        <f t="shared" ca="1" si="145"/>
        <v>0</v>
      </c>
      <c r="BN93" s="24">
        <f t="shared" ca="1" si="145"/>
        <v>0</v>
      </c>
      <c r="BO93" s="24">
        <f t="shared" ca="1" si="145"/>
        <v>0</v>
      </c>
      <c r="BP93" s="24">
        <f t="shared" ca="1" si="145"/>
        <v>0</v>
      </c>
      <c r="BQ93" s="24">
        <f t="shared" ca="1" si="145"/>
        <v>0</v>
      </c>
      <c r="BR93" s="24">
        <f t="shared" ca="1" si="145"/>
        <v>0</v>
      </c>
      <c r="BS93" s="24">
        <f t="shared" ca="1" si="145"/>
        <v>0</v>
      </c>
      <c r="BT93" s="24">
        <f t="shared" ca="1" si="145"/>
        <v>0</v>
      </c>
      <c r="BU93" s="24">
        <f t="shared" ca="1" si="145"/>
        <v>0</v>
      </c>
      <c r="BV93" s="24">
        <f t="shared" ca="1" si="145"/>
        <v>0</v>
      </c>
      <c r="BW93" s="24">
        <f t="shared" ca="1" si="145"/>
        <v>0</v>
      </c>
      <c r="BX93" s="24">
        <f t="shared" ref="BX93:CO93" ca="1" si="146">IF(ABS(OCF+ICF+FCF)&lt;Accuracy,0,OCF+ICF+FCF)</f>
        <v>0</v>
      </c>
      <c r="BY93" s="24">
        <f t="shared" ca="1" si="146"/>
        <v>0</v>
      </c>
      <c r="BZ93" s="24">
        <f t="shared" ca="1" si="146"/>
        <v>0</v>
      </c>
      <c r="CA93" s="24">
        <f t="shared" ca="1" si="146"/>
        <v>0</v>
      </c>
      <c r="CB93" s="24">
        <f t="shared" ca="1" si="146"/>
        <v>0</v>
      </c>
      <c r="CC93" s="24">
        <f t="shared" ca="1" si="146"/>
        <v>0</v>
      </c>
      <c r="CD93" s="24">
        <f t="shared" ca="1" si="146"/>
        <v>0</v>
      </c>
      <c r="CE93" s="24">
        <f t="shared" ca="1" si="146"/>
        <v>0</v>
      </c>
      <c r="CF93" s="24">
        <f t="shared" ca="1" si="146"/>
        <v>0</v>
      </c>
      <c r="CG93" s="24">
        <f t="shared" ca="1" si="146"/>
        <v>0</v>
      </c>
      <c r="CH93" s="24">
        <f t="shared" ca="1" si="146"/>
        <v>0</v>
      </c>
      <c r="CI93" s="24">
        <f t="shared" ca="1" si="146"/>
        <v>0</v>
      </c>
      <c r="CJ93" s="24">
        <f t="shared" ca="1" si="146"/>
        <v>0</v>
      </c>
      <c r="CK93" s="24">
        <f t="shared" ca="1" si="146"/>
        <v>0</v>
      </c>
      <c r="CL93" s="24">
        <f t="shared" ca="1" si="146"/>
        <v>0</v>
      </c>
      <c r="CM93" s="24">
        <f t="shared" ca="1" si="146"/>
        <v>0</v>
      </c>
      <c r="CN93" s="24">
        <f t="shared" ca="1" si="146"/>
        <v>0</v>
      </c>
      <c r="CO93" s="24">
        <f t="shared" ca="1" si="146"/>
        <v>0</v>
      </c>
    </row>
    <row r="94" spans="1:93" s="133" customFormat="1" ht="14.25">
      <c r="A94" s="10"/>
      <c r="B94" s="10"/>
      <c r="C94" s="10"/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.25">
      <c r="A95" s="10"/>
      <c r="B95" s="10"/>
      <c r="C95" s="10" t="s">
        <v>491</v>
      </c>
      <c r="D95" s="10"/>
      <c r="E95" s="10"/>
      <c r="F95" s="10"/>
      <c r="G95" s="134" t="str">
        <f>Monetary_Unit</f>
        <v>тыс. руб.</v>
      </c>
      <c r="H95" s="10"/>
      <c r="I95" s="10"/>
      <c r="J95" s="10"/>
      <c r="K95" s="10"/>
      <c r="L95" s="52">
        <f t="shared" ref="L95:AQ95" si="147">K97*Flag_Forecast</f>
        <v>0</v>
      </c>
      <c r="M95" s="52">
        <f t="shared" ca="1" si="147"/>
        <v>0</v>
      </c>
      <c r="N95" s="52">
        <f t="shared" ca="1" si="147"/>
        <v>0</v>
      </c>
      <c r="O95" s="52">
        <f t="shared" ca="1" si="147"/>
        <v>0</v>
      </c>
      <c r="P95" s="52">
        <f t="shared" ca="1" si="147"/>
        <v>0</v>
      </c>
      <c r="Q95" s="52">
        <f t="shared" ca="1" si="147"/>
        <v>0</v>
      </c>
      <c r="R95" s="52">
        <f t="shared" ca="1" si="147"/>
        <v>0</v>
      </c>
      <c r="S95" s="52">
        <f t="shared" ca="1" si="147"/>
        <v>0</v>
      </c>
      <c r="T95" s="52">
        <f t="shared" ca="1" si="147"/>
        <v>0</v>
      </c>
      <c r="U95" s="52">
        <f t="shared" ca="1" si="147"/>
        <v>0</v>
      </c>
      <c r="V95" s="52">
        <f t="shared" ca="1" si="147"/>
        <v>0</v>
      </c>
      <c r="W95" s="52">
        <f t="shared" ca="1" si="147"/>
        <v>0</v>
      </c>
      <c r="X95" s="52">
        <f t="shared" ca="1" si="147"/>
        <v>0</v>
      </c>
      <c r="Y95" s="52">
        <f t="shared" ca="1" si="147"/>
        <v>0</v>
      </c>
      <c r="Z95" s="52">
        <f t="shared" ca="1" si="147"/>
        <v>0</v>
      </c>
      <c r="AA95" s="52">
        <f t="shared" ca="1" si="147"/>
        <v>0</v>
      </c>
      <c r="AB95" s="52">
        <f t="shared" ca="1" si="147"/>
        <v>0</v>
      </c>
      <c r="AC95" s="52">
        <f t="shared" ca="1" si="147"/>
        <v>0</v>
      </c>
      <c r="AD95" s="52">
        <f t="shared" ca="1" si="147"/>
        <v>0</v>
      </c>
      <c r="AE95" s="52">
        <f t="shared" ca="1" si="147"/>
        <v>0</v>
      </c>
      <c r="AF95" s="52">
        <f t="shared" ca="1" si="147"/>
        <v>0</v>
      </c>
      <c r="AG95" s="52">
        <f t="shared" ca="1" si="147"/>
        <v>0</v>
      </c>
      <c r="AH95" s="52">
        <f t="shared" ca="1" si="147"/>
        <v>0</v>
      </c>
      <c r="AI95" s="52">
        <f t="shared" ca="1" si="147"/>
        <v>0</v>
      </c>
      <c r="AJ95" s="52">
        <f t="shared" ca="1" si="147"/>
        <v>0</v>
      </c>
      <c r="AK95" s="52">
        <f t="shared" ca="1" si="147"/>
        <v>0</v>
      </c>
      <c r="AL95" s="52">
        <f t="shared" ca="1" si="147"/>
        <v>0</v>
      </c>
      <c r="AM95" s="52">
        <f t="shared" ca="1" si="147"/>
        <v>0</v>
      </c>
      <c r="AN95" s="52">
        <f t="shared" ca="1" si="147"/>
        <v>0</v>
      </c>
      <c r="AO95" s="52">
        <f t="shared" ca="1" si="147"/>
        <v>0</v>
      </c>
      <c r="AP95" s="52">
        <f t="shared" ca="1" si="147"/>
        <v>0</v>
      </c>
      <c r="AQ95" s="52">
        <f t="shared" ca="1" si="147"/>
        <v>0</v>
      </c>
      <c r="AR95" s="52">
        <f t="shared" ref="AR95:BW95" ca="1" si="148">AQ97*Flag_Forecast</f>
        <v>0</v>
      </c>
      <c r="AS95" s="52">
        <f t="shared" ca="1" si="148"/>
        <v>0</v>
      </c>
      <c r="AT95" s="52">
        <f t="shared" ca="1" si="148"/>
        <v>0</v>
      </c>
      <c r="AU95" s="52">
        <f t="shared" ca="1" si="148"/>
        <v>0</v>
      </c>
      <c r="AV95" s="52">
        <f t="shared" ca="1" si="148"/>
        <v>0</v>
      </c>
      <c r="AW95" s="52">
        <f t="shared" ca="1" si="148"/>
        <v>0</v>
      </c>
      <c r="AX95" s="52">
        <f t="shared" ca="1" si="148"/>
        <v>0</v>
      </c>
      <c r="AY95" s="52">
        <f t="shared" ca="1" si="148"/>
        <v>0</v>
      </c>
      <c r="AZ95" s="52">
        <f t="shared" ca="1" si="148"/>
        <v>0</v>
      </c>
      <c r="BA95" s="52">
        <f t="shared" ca="1" si="148"/>
        <v>0</v>
      </c>
      <c r="BB95" s="52">
        <f t="shared" ca="1" si="148"/>
        <v>0</v>
      </c>
      <c r="BC95" s="52">
        <f t="shared" ca="1" si="148"/>
        <v>0</v>
      </c>
      <c r="BD95" s="52">
        <f t="shared" ca="1" si="148"/>
        <v>0</v>
      </c>
      <c r="BE95" s="52">
        <f t="shared" ca="1" si="148"/>
        <v>0</v>
      </c>
      <c r="BF95" s="52">
        <f t="shared" ca="1" si="148"/>
        <v>0</v>
      </c>
      <c r="BG95" s="52">
        <f t="shared" ca="1" si="148"/>
        <v>0</v>
      </c>
      <c r="BH95" s="52">
        <f t="shared" ca="1" si="148"/>
        <v>0</v>
      </c>
      <c r="BI95" s="52">
        <f t="shared" ca="1" si="148"/>
        <v>0</v>
      </c>
      <c r="BJ95" s="52">
        <f t="shared" ca="1" si="148"/>
        <v>0</v>
      </c>
      <c r="BK95" s="52">
        <f t="shared" ca="1" si="148"/>
        <v>0</v>
      </c>
      <c r="BL95" s="52">
        <f t="shared" ca="1" si="148"/>
        <v>0</v>
      </c>
      <c r="BM95" s="52">
        <f t="shared" ca="1" si="148"/>
        <v>0</v>
      </c>
      <c r="BN95" s="52">
        <f t="shared" ca="1" si="148"/>
        <v>0</v>
      </c>
      <c r="BO95" s="52">
        <f t="shared" ca="1" si="148"/>
        <v>0</v>
      </c>
      <c r="BP95" s="52">
        <f t="shared" ca="1" si="148"/>
        <v>0</v>
      </c>
      <c r="BQ95" s="52">
        <f t="shared" ca="1" si="148"/>
        <v>0</v>
      </c>
      <c r="BR95" s="52">
        <f t="shared" ca="1" si="148"/>
        <v>0</v>
      </c>
      <c r="BS95" s="52">
        <f t="shared" ca="1" si="148"/>
        <v>0</v>
      </c>
      <c r="BT95" s="52">
        <f t="shared" ca="1" si="148"/>
        <v>0</v>
      </c>
      <c r="BU95" s="52">
        <f t="shared" ca="1" si="148"/>
        <v>0</v>
      </c>
      <c r="BV95" s="52">
        <f t="shared" ca="1" si="148"/>
        <v>0</v>
      </c>
      <c r="BW95" s="52">
        <f t="shared" ca="1" si="148"/>
        <v>0</v>
      </c>
      <c r="BX95" s="52">
        <f t="shared" ref="BX95:CO95" ca="1" si="149">BW97*Flag_Forecast</f>
        <v>0</v>
      </c>
      <c r="BY95" s="52">
        <f t="shared" ca="1" si="149"/>
        <v>0</v>
      </c>
      <c r="BZ95" s="52">
        <f t="shared" ca="1" si="149"/>
        <v>0</v>
      </c>
      <c r="CA95" s="52">
        <f t="shared" ca="1" si="149"/>
        <v>0</v>
      </c>
      <c r="CB95" s="52">
        <f t="shared" ca="1" si="149"/>
        <v>0</v>
      </c>
      <c r="CC95" s="52">
        <f t="shared" ca="1" si="149"/>
        <v>0</v>
      </c>
      <c r="CD95" s="52">
        <f t="shared" ca="1" si="149"/>
        <v>0</v>
      </c>
      <c r="CE95" s="52">
        <f t="shared" ca="1" si="149"/>
        <v>0</v>
      </c>
      <c r="CF95" s="52">
        <f t="shared" ca="1" si="149"/>
        <v>0</v>
      </c>
      <c r="CG95" s="52">
        <f t="shared" ca="1" si="149"/>
        <v>0</v>
      </c>
      <c r="CH95" s="52">
        <f t="shared" ca="1" si="149"/>
        <v>0</v>
      </c>
      <c r="CI95" s="52">
        <f t="shared" ca="1" si="149"/>
        <v>0</v>
      </c>
      <c r="CJ95" s="52">
        <f t="shared" ca="1" si="149"/>
        <v>0</v>
      </c>
      <c r="CK95" s="52">
        <f t="shared" ca="1" si="149"/>
        <v>0</v>
      </c>
      <c r="CL95" s="52">
        <f t="shared" ca="1" si="149"/>
        <v>0</v>
      </c>
      <c r="CM95" s="52">
        <f t="shared" ca="1" si="149"/>
        <v>0</v>
      </c>
      <c r="CN95" s="52">
        <f t="shared" ca="1" si="149"/>
        <v>0</v>
      </c>
      <c r="CO95" s="52">
        <f t="shared" ca="1" si="149"/>
        <v>0</v>
      </c>
    </row>
    <row r="96" spans="1:93" s="133" customFormat="1" ht="14.25">
      <c r="A96" s="10"/>
      <c r="B96" s="10"/>
      <c r="C96" s="10" t="s">
        <v>492</v>
      </c>
      <c r="D96" s="10"/>
      <c r="E96" s="10"/>
      <c r="F96" s="10"/>
      <c r="G96" s="134" t="str">
        <f>Monetary_Unit</f>
        <v>тыс. руб.</v>
      </c>
      <c r="H96" s="10"/>
      <c r="I96" s="10"/>
      <c r="J96" s="10"/>
      <c r="K96" s="10"/>
      <c r="L96" s="52">
        <f ca="1">L93</f>
        <v>0</v>
      </c>
      <c r="M96" s="52">
        <f t="shared" ref="M96:BX96" ca="1" si="150">M93</f>
        <v>0</v>
      </c>
      <c r="N96" s="52">
        <f t="shared" ca="1" si="150"/>
        <v>0</v>
      </c>
      <c r="O96" s="52">
        <f t="shared" ca="1" si="150"/>
        <v>0</v>
      </c>
      <c r="P96" s="52">
        <f t="shared" ca="1" si="150"/>
        <v>0</v>
      </c>
      <c r="Q96" s="52">
        <f t="shared" ca="1" si="150"/>
        <v>0</v>
      </c>
      <c r="R96" s="52">
        <f t="shared" ca="1" si="150"/>
        <v>0</v>
      </c>
      <c r="S96" s="52">
        <f t="shared" ca="1" si="150"/>
        <v>0</v>
      </c>
      <c r="T96" s="52">
        <f t="shared" ca="1" si="150"/>
        <v>0</v>
      </c>
      <c r="U96" s="52">
        <f t="shared" ca="1" si="150"/>
        <v>0</v>
      </c>
      <c r="V96" s="52">
        <f t="shared" ca="1" si="150"/>
        <v>0</v>
      </c>
      <c r="W96" s="52">
        <f t="shared" ca="1" si="150"/>
        <v>0</v>
      </c>
      <c r="X96" s="52">
        <f t="shared" ca="1" si="150"/>
        <v>0</v>
      </c>
      <c r="Y96" s="52">
        <f t="shared" ca="1" si="150"/>
        <v>0</v>
      </c>
      <c r="Z96" s="52">
        <f t="shared" ca="1" si="150"/>
        <v>0</v>
      </c>
      <c r="AA96" s="52">
        <f t="shared" ca="1" si="150"/>
        <v>0</v>
      </c>
      <c r="AB96" s="52">
        <f t="shared" ca="1" si="150"/>
        <v>0</v>
      </c>
      <c r="AC96" s="52">
        <f t="shared" ca="1" si="150"/>
        <v>0</v>
      </c>
      <c r="AD96" s="52">
        <f t="shared" ca="1" si="150"/>
        <v>0</v>
      </c>
      <c r="AE96" s="52">
        <f t="shared" ca="1" si="150"/>
        <v>0</v>
      </c>
      <c r="AF96" s="52">
        <f t="shared" ca="1" si="150"/>
        <v>0</v>
      </c>
      <c r="AG96" s="52">
        <f t="shared" ca="1" si="150"/>
        <v>0</v>
      </c>
      <c r="AH96" s="52">
        <f t="shared" ca="1" si="150"/>
        <v>0</v>
      </c>
      <c r="AI96" s="52">
        <f t="shared" ca="1" si="150"/>
        <v>0</v>
      </c>
      <c r="AJ96" s="52">
        <f t="shared" ca="1" si="150"/>
        <v>0</v>
      </c>
      <c r="AK96" s="52">
        <f t="shared" ca="1" si="150"/>
        <v>0</v>
      </c>
      <c r="AL96" s="52">
        <f t="shared" ca="1" si="150"/>
        <v>0</v>
      </c>
      <c r="AM96" s="52">
        <f t="shared" ca="1" si="150"/>
        <v>0</v>
      </c>
      <c r="AN96" s="52">
        <f t="shared" ca="1" si="150"/>
        <v>0</v>
      </c>
      <c r="AO96" s="52">
        <f t="shared" ca="1" si="150"/>
        <v>0</v>
      </c>
      <c r="AP96" s="52">
        <f t="shared" ca="1" si="150"/>
        <v>0</v>
      </c>
      <c r="AQ96" s="52">
        <f t="shared" ca="1" si="150"/>
        <v>0</v>
      </c>
      <c r="AR96" s="52">
        <f t="shared" ca="1" si="150"/>
        <v>0</v>
      </c>
      <c r="AS96" s="52">
        <f t="shared" ca="1" si="150"/>
        <v>0</v>
      </c>
      <c r="AT96" s="52">
        <f t="shared" ca="1" si="150"/>
        <v>0</v>
      </c>
      <c r="AU96" s="52">
        <f t="shared" ca="1" si="150"/>
        <v>0</v>
      </c>
      <c r="AV96" s="52">
        <f t="shared" ca="1" si="150"/>
        <v>0</v>
      </c>
      <c r="AW96" s="52">
        <f t="shared" ca="1" si="150"/>
        <v>0</v>
      </c>
      <c r="AX96" s="52">
        <f t="shared" ca="1" si="150"/>
        <v>0</v>
      </c>
      <c r="AY96" s="52">
        <f t="shared" ca="1" si="150"/>
        <v>0</v>
      </c>
      <c r="AZ96" s="52">
        <f t="shared" ca="1" si="150"/>
        <v>0</v>
      </c>
      <c r="BA96" s="52">
        <f t="shared" ca="1" si="150"/>
        <v>0</v>
      </c>
      <c r="BB96" s="52">
        <f t="shared" ca="1" si="150"/>
        <v>0</v>
      </c>
      <c r="BC96" s="52">
        <f t="shared" ca="1" si="150"/>
        <v>0</v>
      </c>
      <c r="BD96" s="52">
        <f t="shared" ca="1" si="150"/>
        <v>0</v>
      </c>
      <c r="BE96" s="52">
        <f t="shared" ca="1" si="150"/>
        <v>0</v>
      </c>
      <c r="BF96" s="52">
        <f t="shared" ca="1" si="150"/>
        <v>0</v>
      </c>
      <c r="BG96" s="52">
        <f t="shared" ca="1" si="150"/>
        <v>0</v>
      </c>
      <c r="BH96" s="52">
        <f t="shared" ca="1" si="150"/>
        <v>0</v>
      </c>
      <c r="BI96" s="52">
        <f t="shared" ca="1" si="150"/>
        <v>0</v>
      </c>
      <c r="BJ96" s="52">
        <f t="shared" ca="1" si="150"/>
        <v>0</v>
      </c>
      <c r="BK96" s="52">
        <f t="shared" ca="1" si="150"/>
        <v>0</v>
      </c>
      <c r="BL96" s="52">
        <f t="shared" ca="1" si="150"/>
        <v>0</v>
      </c>
      <c r="BM96" s="52">
        <f t="shared" ca="1" si="150"/>
        <v>0</v>
      </c>
      <c r="BN96" s="52">
        <f t="shared" ca="1" si="150"/>
        <v>0</v>
      </c>
      <c r="BO96" s="52">
        <f t="shared" ca="1" si="150"/>
        <v>0</v>
      </c>
      <c r="BP96" s="52">
        <f t="shared" ca="1" si="150"/>
        <v>0</v>
      </c>
      <c r="BQ96" s="52">
        <f t="shared" ca="1" si="150"/>
        <v>0</v>
      </c>
      <c r="BR96" s="52">
        <f t="shared" ca="1" si="150"/>
        <v>0</v>
      </c>
      <c r="BS96" s="52">
        <f t="shared" ca="1" si="150"/>
        <v>0</v>
      </c>
      <c r="BT96" s="52">
        <f t="shared" ca="1" si="150"/>
        <v>0</v>
      </c>
      <c r="BU96" s="52">
        <f t="shared" ca="1" si="150"/>
        <v>0</v>
      </c>
      <c r="BV96" s="52">
        <f t="shared" ca="1" si="150"/>
        <v>0</v>
      </c>
      <c r="BW96" s="52">
        <f t="shared" ca="1" si="150"/>
        <v>0</v>
      </c>
      <c r="BX96" s="52">
        <f t="shared" ca="1" si="150"/>
        <v>0</v>
      </c>
      <c r="BY96" s="52">
        <f t="shared" ref="BY96:CO96" ca="1" si="151">BY93</f>
        <v>0</v>
      </c>
      <c r="BZ96" s="52">
        <f t="shared" ca="1" si="151"/>
        <v>0</v>
      </c>
      <c r="CA96" s="52">
        <f t="shared" ca="1" si="151"/>
        <v>0</v>
      </c>
      <c r="CB96" s="52">
        <f t="shared" ca="1" si="151"/>
        <v>0</v>
      </c>
      <c r="CC96" s="52">
        <f t="shared" ca="1" si="151"/>
        <v>0</v>
      </c>
      <c r="CD96" s="52">
        <f t="shared" ca="1" si="151"/>
        <v>0</v>
      </c>
      <c r="CE96" s="52">
        <f t="shared" ca="1" si="151"/>
        <v>0</v>
      </c>
      <c r="CF96" s="52">
        <f t="shared" ca="1" si="151"/>
        <v>0</v>
      </c>
      <c r="CG96" s="52">
        <f t="shared" ca="1" si="151"/>
        <v>0</v>
      </c>
      <c r="CH96" s="52">
        <f t="shared" ca="1" si="151"/>
        <v>0</v>
      </c>
      <c r="CI96" s="52">
        <f t="shared" ca="1" si="151"/>
        <v>0</v>
      </c>
      <c r="CJ96" s="52">
        <f t="shared" ca="1" si="151"/>
        <v>0</v>
      </c>
      <c r="CK96" s="52">
        <f t="shared" ca="1" si="151"/>
        <v>0</v>
      </c>
      <c r="CL96" s="52">
        <f t="shared" ca="1" si="151"/>
        <v>0</v>
      </c>
      <c r="CM96" s="52">
        <f t="shared" ca="1" si="151"/>
        <v>0</v>
      </c>
      <c r="CN96" s="52">
        <f t="shared" ca="1" si="151"/>
        <v>0</v>
      </c>
      <c r="CO96" s="52">
        <f t="shared" ca="1" si="151"/>
        <v>0</v>
      </c>
    </row>
    <row r="97" spans="1:93" s="133" customFormat="1" ht="14.25">
      <c r="A97" s="10"/>
      <c r="B97" s="10"/>
      <c r="C97" s="10" t="s">
        <v>493</v>
      </c>
      <c r="D97" s="10"/>
      <c r="E97" s="10"/>
      <c r="F97" s="10"/>
      <c r="G97" s="134" t="str">
        <f>Monetary_Unit</f>
        <v>тыс. руб.</v>
      </c>
      <c r="H97" s="10"/>
      <c r="I97" s="10"/>
      <c r="J97" s="10"/>
      <c r="K97" s="10"/>
      <c r="L97" s="52">
        <f ca="1">IF(ABS(SUM(L95:L96))&lt;Accuracy,0,SUM(L95:L96))</f>
        <v>0</v>
      </c>
      <c r="M97" s="52">
        <f t="shared" ref="M97:BX97" ca="1" si="152">IF(ABS(SUM(M95:M96))&lt;Accuracy,0,SUM(M95:M96))</f>
        <v>0</v>
      </c>
      <c r="N97" s="52">
        <f t="shared" ca="1" si="152"/>
        <v>0</v>
      </c>
      <c r="O97" s="52">
        <f t="shared" ca="1" si="152"/>
        <v>0</v>
      </c>
      <c r="P97" s="52">
        <f t="shared" ca="1" si="152"/>
        <v>0</v>
      </c>
      <c r="Q97" s="52">
        <f t="shared" ca="1" si="152"/>
        <v>0</v>
      </c>
      <c r="R97" s="52">
        <f t="shared" ca="1" si="152"/>
        <v>0</v>
      </c>
      <c r="S97" s="52">
        <f t="shared" ca="1" si="152"/>
        <v>0</v>
      </c>
      <c r="T97" s="52">
        <f t="shared" ca="1" si="152"/>
        <v>0</v>
      </c>
      <c r="U97" s="52">
        <f t="shared" ca="1" si="152"/>
        <v>0</v>
      </c>
      <c r="V97" s="52">
        <f t="shared" ca="1" si="152"/>
        <v>0</v>
      </c>
      <c r="W97" s="52">
        <f t="shared" ca="1" si="152"/>
        <v>0</v>
      </c>
      <c r="X97" s="52">
        <f t="shared" ca="1" si="152"/>
        <v>0</v>
      </c>
      <c r="Y97" s="52">
        <f t="shared" ca="1" si="152"/>
        <v>0</v>
      </c>
      <c r="Z97" s="52">
        <f t="shared" ca="1" si="152"/>
        <v>0</v>
      </c>
      <c r="AA97" s="52">
        <f t="shared" ca="1" si="152"/>
        <v>0</v>
      </c>
      <c r="AB97" s="52">
        <f t="shared" ca="1" si="152"/>
        <v>0</v>
      </c>
      <c r="AC97" s="52">
        <f t="shared" ca="1" si="152"/>
        <v>0</v>
      </c>
      <c r="AD97" s="52">
        <f t="shared" ca="1" si="152"/>
        <v>0</v>
      </c>
      <c r="AE97" s="52">
        <f t="shared" ca="1" si="152"/>
        <v>0</v>
      </c>
      <c r="AF97" s="52">
        <f t="shared" ca="1" si="152"/>
        <v>0</v>
      </c>
      <c r="AG97" s="52">
        <f t="shared" ca="1" si="152"/>
        <v>0</v>
      </c>
      <c r="AH97" s="52">
        <f t="shared" ca="1" si="152"/>
        <v>0</v>
      </c>
      <c r="AI97" s="52">
        <f t="shared" ca="1" si="152"/>
        <v>0</v>
      </c>
      <c r="AJ97" s="52">
        <f t="shared" ca="1" si="152"/>
        <v>0</v>
      </c>
      <c r="AK97" s="52">
        <f t="shared" ca="1" si="152"/>
        <v>0</v>
      </c>
      <c r="AL97" s="52">
        <f t="shared" ca="1" si="152"/>
        <v>0</v>
      </c>
      <c r="AM97" s="52">
        <f t="shared" ca="1" si="152"/>
        <v>0</v>
      </c>
      <c r="AN97" s="52">
        <f t="shared" ca="1" si="152"/>
        <v>0</v>
      </c>
      <c r="AO97" s="52">
        <f t="shared" ca="1" si="152"/>
        <v>0</v>
      </c>
      <c r="AP97" s="52">
        <f t="shared" ca="1" si="152"/>
        <v>0</v>
      </c>
      <c r="AQ97" s="52">
        <f t="shared" ca="1" si="152"/>
        <v>0</v>
      </c>
      <c r="AR97" s="52">
        <f t="shared" ca="1" si="152"/>
        <v>0</v>
      </c>
      <c r="AS97" s="52">
        <f t="shared" ca="1" si="152"/>
        <v>0</v>
      </c>
      <c r="AT97" s="52">
        <f t="shared" ca="1" si="152"/>
        <v>0</v>
      </c>
      <c r="AU97" s="52">
        <f t="shared" ca="1" si="152"/>
        <v>0</v>
      </c>
      <c r="AV97" s="52">
        <f t="shared" ca="1" si="152"/>
        <v>0</v>
      </c>
      <c r="AW97" s="52">
        <f t="shared" ca="1" si="152"/>
        <v>0</v>
      </c>
      <c r="AX97" s="52">
        <f t="shared" ca="1" si="152"/>
        <v>0</v>
      </c>
      <c r="AY97" s="52">
        <f t="shared" ca="1" si="152"/>
        <v>0</v>
      </c>
      <c r="AZ97" s="52">
        <f t="shared" ca="1" si="152"/>
        <v>0</v>
      </c>
      <c r="BA97" s="52">
        <f t="shared" ca="1" si="152"/>
        <v>0</v>
      </c>
      <c r="BB97" s="52">
        <f t="shared" ca="1" si="152"/>
        <v>0</v>
      </c>
      <c r="BC97" s="52">
        <f t="shared" ca="1" si="152"/>
        <v>0</v>
      </c>
      <c r="BD97" s="52">
        <f t="shared" ca="1" si="152"/>
        <v>0</v>
      </c>
      <c r="BE97" s="52">
        <f t="shared" ca="1" si="152"/>
        <v>0</v>
      </c>
      <c r="BF97" s="52">
        <f t="shared" ca="1" si="152"/>
        <v>0</v>
      </c>
      <c r="BG97" s="52">
        <f t="shared" ca="1" si="152"/>
        <v>0</v>
      </c>
      <c r="BH97" s="52">
        <f t="shared" ca="1" si="152"/>
        <v>0</v>
      </c>
      <c r="BI97" s="52">
        <f t="shared" ca="1" si="152"/>
        <v>0</v>
      </c>
      <c r="BJ97" s="52">
        <f t="shared" ca="1" si="152"/>
        <v>0</v>
      </c>
      <c r="BK97" s="52">
        <f t="shared" ca="1" si="152"/>
        <v>0</v>
      </c>
      <c r="BL97" s="52">
        <f t="shared" ca="1" si="152"/>
        <v>0</v>
      </c>
      <c r="BM97" s="52">
        <f t="shared" ca="1" si="152"/>
        <v>0</v>
      </c>
      <c r="BN97" s="52">
        <f t="shared" ca="1" si="152"/>
        <v>0</v>
      </c>
      <c r="BO97" s="52">
        <f t="shared" ca="1" si="152"/>
        <v>0</v>
      </c>
      <c r="BP97" s="52">
        <f t="shared" ca="1" si="152"/>
        <v>0</v>
      </c>
      <c r="BQ97" s="52">
        <f t="shared" ca="1" si="152"/>
        <v>0</v>
      </c>
      <c r="BR97" s="52">
        <f t="shared" ca="1" si="152"/>
        <v>0</v>
      </c>
      <c r="BS97" s="52">
        <f t="shared" ca="1" si="152"/>
        <v>0</v>
      </c>
      <c r="BT97" s="52">
        <f t="shared" ca="1" si="152"/>
        <v>0</v>
      </c>
      <c r="BU97" s="52">
        <f t="shared" ca="1" si="152"/>
        <v>0</v>
      </c>
      <c r="BV97" s="52">
        <f t="shared" ca="1" si="152"/>
        <v>0</v>
      </c>
      <c r="BW97" s="52">
        <f t="shared" ca="1" si="152"/>
        <v>0</v>
      </c>
      <c r="BX97" s="52">
        <f t="shared" ca="1" si="152"/>
        <v>0</v>
      </c>
      <c r="BY97" s="52">
        <f t="shared" ref="BY97:CO97" ca="1" si="153">IF(ABS(SUM(BY95:BY96))&lt;Accuracy,0,SUM(BY95:BY96))</f>
        <v>0</v>
      </c>
      <c r="BZ97" s="52">
        <f t="shared" ca="1" si="153"/>
        <v>0</v>
      </c>
      <c r="CA97" s="52">
        <f t="shared" ca="1" si="153"/>
        <v>0</v>
      </c>
      <c r="CB97" s="52">
        <f t="shared" ca="1" si="153"/>
        <v>0</v>
      </c>
      <c r="CC97" s="52">
        <f t="shared" ca="1" si="153"/>
        <v>0</v>
      </c>
      <c r="CD97" s="52">
        <f t="shared" ca="1" si="153"/>
        <v>0</v>
      </c>
      <c r="CE97" s="52">
        <f t="shared" ca="1" si="153"/>
        <v>0</v>
      </c>
      <c r="CF97" s="52">
        <f t="shared" ca="1" si="153"/>
        <v>0</v>
      </c>
      <c r="CG97" s="52">
        <f t="shared" ca="1" si="153"/>
        <v>0</v>
      </c>
      <c r="CH97" s="52">
        <f t="shared" ca="1" si="153"/>
        <v>0</v>
      </c>
      <c r="CI97" s="52">
        <f t="shared" ca="1" si="153"/>
        <v>0</v>
      </c>
      <c r="CJ97" s="52">
        <f t="shared" ca="1" si="153"/>
        <v>0</v>
      </c>
      <c r="CK97" s="52">
        <f t="shared" ca="1" si="153"/>
        <v>0</v>
      </c>
      <c r="CL97" s="52">
        <f t="shared" ca="1" si="153"/>
        <v>0</v>
      </c>
      <c r="CM97" s="52">
        <f t="shared" ca="1" si="153"/>
        <v>0</v>
      </c>
      <c r="CN97" s="52">
        <f t="shared" ca="1" si="153"/>
        <v>0</v>
      </c>
      <c r="CO97" s="52">
        <f t="shared" ca="1" si="153"/>
        <v>0</v>
      </c>
    </row>
    <row r="98" spans="1:93" s="141" customFormat="1" ht="12.75">
      <c r="A98" s="10"/>
      <c r="B98" s="10"/>
      <c r="C98" s="10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46" customFormat="1" ht="12.75">
      <c r="C99" s="46" t="s">
        <v>326</v>
      </c>
      <c r="G99" s="89" t="str">
        <f>Monetary_Unit</f>
        <v>тыс. руб.</v>
      </c>
      <c r="I99" s="46">
        <f ca="1">SUM(L99:CQ99)</f>
        <v>0</v>
      </c>
      <c r="L99" s="46">
        <f t="shared" ref="L99:AQ99" ca="1" si="154">(L97-L21)*(ABS(L97-L21)&gt;Accuracy)</f>
        <v>0</v>
      </c>
      <c r="M99" s="46">
        <f t="shared" ca="1" si="154"/>
        <v>0</v>
      </c>
      <c r="N99" s="46">
        <f t="shared" ca="1" si="154"/>
        <v>0</v>
      </c>
      <c r="O99" s="46">
        <f t="shared" ca="1" si="154"/>
        <v>0</v>
      </c>
      <c r="P99" s="46">
        <f t="shared" ca="1" si="154"/>
        <v>0</v>
      </c>
      <c r="Q99" s="46">
        <f t="shared" ca="1" si="154"/>
        <v>0</v>
      </c>
      <c r="R99" s="46">
        <f t="shared" ca="1" si="154"/>
        <v>0</v>
      </c>
      <c r="S99" s="46">
        <f t="shared" ca="1" si="154"/>
        <v>0</v>
      </c>
      <c r="T99" s="46">
        <f t="shared" ca="1" si="154"/>
        <v>0</v>
      </c>
      <c r="U99" s="46">
        <f t="shared" ca="1" si="154"/>
        <v>0</v>
      </c>
      <c r="V99" s="46">
        <f t="shared" ca="1" si="154"/>
        <v>0</v>
      </c>
      <c r="W99" s="46">
        <f t="shared" ca="1" si="154"/>
        <v>0</v>
      </c>
      <c r="X99" s="46">
        <f t="shared" ca="1" si="154"/>
        <v>0</v>
      </c>
      <c r="Y99" s="46">
        <f t="shared" ca="1" si="154"/>
        <v>0</v>
      </c>
      <c r="Z99" s="46">
        <f t="shared" ca="1" si="154"/>
        <v>0</v>
      </c>
      <c r="AA99" s="46">
        <f t="shared" ca="1" si="154"/>
        <v>0</v>
      </c>
      <c r="AB99" s="46">
        <f t="shared" ca="1" si="154"/>
        <v>0</v>
      </c>
      <c r="AC99" s="46">
        <f t="shared" ca="1" si="154"/>
        <v>0</v>
      </c>
      <c r="AD99" s="46">
        <f t="shared" ca="1" si="154"/>
        <v>0</v>
      </c>
      <c r="AE99" s="46">
        <f t="shared" ca="1" si="154"/>
        <v>0</v>
      </c>
      <c r="AF99" s="46">
        <f t="shared" ca="1" si="154"/>
        <v>0</v>
      </c>
      <c r="AG99" s="46">
        <f t="shared" ca="1" si="154"/>
        <v>0</v>
      </c>
      <c r="AH99" s="46">
        <f t="shared" ca="1" si="154"/>
        <v>0</v>
      </c>
      <c r="AI99" s="46">
        <f t="shared" ca="1" si="154"/>
        <v>0</v>
      </c>
      <c r="AJ99" s="46">
        <f t="shared" ca="1" si="154"/>
        <v>0</v>
      </c>
      <c r="AK99" s="46">
        <f t="shared" ca="1" si="154"/>
        <v>0</v>
      </c>
      <c r="AL99" s="46">
        <f t="shared" ca="1" si="154"/>
        <v>0</v>
      </c>
      <c r="AM99" s="46">
        <f t="shared" ca="1" si="154"/>
        <v>0</v>
      </c>
      <c r="AN99" s="46">
        <f t="shared" ca="1" si="154"/>
        <v>0</v>
      </c>
      <c r="AO99" s="46">
        <f t="shared" ca="1" si="154"/>
        <v>0</v>
      </c>
      <c r="AP99" s="46">
        <f t="shared" ca="1" si="154"/>
        <v>0</v>
      </c>
      <c r="AQ99" s="46">
        <f t="shared" ca="1" si="154"/>
        <v>0</v>
      </c>
      <c r="AR99" s="46">
        <f t="shared" ref="AR99:BW99" ca="1" si="155">(AR97-AR21)*(ABS(AR97-AR21)&gt;Accuracy)</f>
        <v>0</v>
      </c>
      <c r="AS99" s="46">
        <f t="shared" ca="1" si="155"/>
        <v>0</v>
      </c>
      <c r="AT99" s="46">
        <f t="shared" ca="1" si="155"/>
        <v>0</v>
      </c>
      <c r="AU99" s="46">
        <f t="shared" ca="1" si="155"/>
        <v>0</v>
      </c>
      <c r="AV99" s="46">
        <f t="shared" ca="1" si="155"/>
        <v>0</v>
      </c>
      <c r="AW99" s="46">
        <f t="shared" ca="1" si="155"/>
        <v>0</v>
      </c>
      <c r="AX99" s="46">
        <f t="shared" ca="1" si="155"/>
        <v>0</v>
      </c>
      <c r="AY99" s="46">
        <f t="shared" ca="1" si="155"/>
        <v>0</v>
      </c>
      <c r="AZ99" s="46">
        <f t="shared" ca="1" si="155"/>
        <v>0</v>
      </c>
      <c r="BA99" s="46">
        <f t="shared" ca="1" si="155"/>
        <v>0</v>
      </c>
      <c r="BB99" s="46">
        <f t="shared" ca="1" si="155"/>
        <v>0</v>
      </c>
      <c r="BC99" s="46">
        <f t="shared" ca="1" si="155"/>
        <v>0</v>
      </c>
      <c r="BD99" s="46">
        <f t="shared" ca="1" si="155"/>
        <v>0</v>
      </c>
      <c r="BE99" s="46">
        <f t="shared" ca="1" si="155"/>
        <v>0</v>
      </c>
      <c r="BF99" s="46">
        <f t="shared" ca="1" si="155"/>
        <v>0</v>
      </c>
      <c r="BG99" s="46">
        <f t="shared" ca="1" si="155"/>
        <v>0</v>
      </c>
      <c r="BH99" s="46">
        <f t="shared" ca="1" si="155"/>
        <v>0</v>
      </c>
      <c r="BI99" s="46">
        <f t="shared" ca="1" si="155"/>
        <v>0</v>
      </c>
      <c r="BJ99" s="46">
        <f t="shared" ca="1" si="155"/>
        <v>0</v>
      </c>
      <c r="BK99" s="46">
        <f t="shared" ca="1" si="155"/>
        <v>0</v>
      </c>
      <c r="BL99" s="46">
        <f t="shared" ca="1" si="155"/>
        <v>0</v>
      </c>
      <c r="BM99" s="46">
        <f t="shared" ca="1" si="155"/>
        <v>0</v>
      </c>
      <c r="BN99" s="46">
        <f t="shared" ca="1" si="155"/>
        <v>0</v>
      </c>
      <c r="BO99" s="46">
        <f t="shared" ca="1" si="155"/>
        <v>0</v>
      </c>
      <c r="BP99" s="46">
        <f t="shared" ca="1" si="155"/>
        <v>0</v>
      </c>
      <c r="BQ99" s="46">
        <f t="shared" ca="1" si="155"/>
        <v>0</v>
      </c>
      <c r="BR99" s="46">
        <f t="shared" ca="1" si="155"/>
        <v>0</v>
      </c>
      <c r="BS99" s="46">
        <f t="shared" ca="1" si="155"/>
        <v>0</v>
      </c>
      <c r="BT99" s="46">
        <f t="shared" ca="1" si="155"/>
        <v>0</v>
      </c>
      <c r="BU99" s="46">
        <f t="shared" ca="1" si="155"/>
        <v>0</v>
      </c>
      <c r="BV99" s="46">
        <f t="shared" ca="1" si="155"/>
        <v>0</v>
      </c>
      <c r="BW99" s="46">
        <f t="shared" ca="1" si="155"/>
        <v>0</v>
      </c>
      <c r="BX99" s="46">
        <f t="shared" ref="BX99:CO99" ca="1" si="156">(BX97-BX21)*(ABS(BX97-BX21)&gt;Accuracy)</f>
        <v>0</v>
      </c>
      <c r="BY99" s="46">
        <f t="shared" ca="1" si="156"/>
        <v>0</v>
      </c>
      <c r="BZ99" s="46">
        <f t="shared" ca="1" si="156"/>
        <v>0</v>
      </c>
      <c r="CA99" s="46">
        <f t="shared" ca="1" si="156"/>
        <v>0</v>
      </c>
      <c r="CB99" s="46">
        <f t="shared" ca="1" si="156"/>
        <v>0</v>
      </c>
      <c r="CC99" s="46">
        <f t="shared" ca="1" si="156"/>
        <v>0</v>
      </c>
      <c r="CD99" s="46">
        <f t="shared" ca="1" si="156"/>
        <v>0</v>
      </c>
      <c r="CE99" s="46">
        <f t="shared" ca="1" si="156"/>
        <v>0</v>
      </c>
      <c r="CF99" s="46">
        <f t="shared" ca="1" si="156"/>
        <v>0</v>
      </c>
      <c r="CG99" s="46">
        <f t="shared" ca="1" si="156"/>
        <v>0</v>
      </c>
      <c r="CH99" s="46">
        <f t="shared" ca="1" si="156"/>
        <v>0</v>
      </c>
      <c r="CI99" s="46">
        <f t="shared" ca="1" si="156"/>
        <v>0</v>
      </c>
      <c r="CJ99" s="46">
        <f t="shared" ca="1" si="156"/>
        <v>0</v>
      </c>
      <c r="CK99" s="46">
        <f t="shared" ca="1" si="156"/>
        <v>0</v>
      </c>
      <c r="CL99" s="46">
        <f t="shared" ca="1" si="156"/>
        <v>0</v>
      </c>
      <c r="CM99" s="46">
        <f t="shared" ca="1" si="156"/>
        <v>0</v>
      </c>
      <c r="CN99" s="46">
        <f t="shared" ca="1" si="156"/>
        <v>0</v>
      </c>
      <c r="CO99" s="46">
        <f t="shared" ca="1" si="156"/>
        <v>0</v>
      </c>
    </row>
    <row r="100" spans="1:93" s="46" customFormat="1" ht="12.75">
      <c r="C100" s="46" t="s">
        <v>327</v>
      </c>
      <c r="G100" s="89" t="str">
        <f>Monetary_Unit</f>
        <v>тыс. руб.</v>
      </c>
      <c r="I100" s="46">
        <f ca="1">SUM(L100:CQ100)</f>
        <v>0</v>
      </c>
      <c r="L100" s="46">
        <f t="shared" ref="L100:BW100" ca="1" si="157">IF(ABS(Cash_EoP)&lt;Accuracy,0,Cash_EoP&lt;0)*1</f>
        <v>0</v>
      </c>
      <c r="M100" s="46">
        <f t="shared" ca="1" si="157"/>
        <v>0</v>
      </c>
      <c r="N100" s="46">
        <f t="shared" ca="1" si="157"/>
        <v>0</v>
      </c>
      <c r="O100" s="46">
        <f t="shared" ca="1" si="157"/>
        <v>0</v>
      </c>
      <c r="P100" s="46">
        <f t="shared" ca="1" si="157"/>
        <v>0</v>
      </c>
      <c r="Q100" s="46">
        <f t="shared" ca="1" si="157"/>
        <v>0</v>
      </c>
      <c r="R100" s="46">
        <f t="shared" ca="1" si="157"/>
        <v>0</v>
      </c>
      <c r="S100" s="46">
        <f t="shared" ca="1" si="157"/>
        <v>0</v>
      </c>
      <c r="T100" s="46">
        <f t="shared" ca="1" si="157"/>
        <v>0</v>
      </c>
      <c r="U100" s="46">
        <f t="shared" ca="1" si="157"/>
        <v>0</v>
      </c>
      <c r="V100" s="46">
        <f t="shared" ca="1" si="157"/>
        <v>0</v>
      </c>
      <c r="W100" s="46">
        <f t="shared" ca="1" si="157"/>
        <v>0</v>
      </c>
      <c r="X100" s="46">
        <f t="shared" ca="1" si="157"/>
        <v>0</v>
      </c>
      <c r="Y100" s="46">
        <f t="shared" ca="1" si="157"/>
        <v>0</v>
      </c>
      <c r="Z100" s="46">
        <f t="shared" ca="1" si="157"/>
        <v>0</v>
      </c>
      <c r="AA100" s="46">
        <f t="shared" ca="1" si="157"/>
        <v>0</v>
      </c>
      <c r="AB100" s="46">
        <f t="shared" ca="1" si="157"/>
        <v>0</v>
      </c>
      <c r="AC100" s="46">
        <f t="shared" ca="1" si="157"/>
        <v>0</v>
      </c>
      <c r="AD100" s="46">
        <f t="shared" ca="1" si="157"/>
        <v>0</v>
      </c>
      <c r="AE100" s="46">
        <f t="shared" ca="1" si="157"/>
        <v>0</v>
      </c>
      <c r="AF100" s="46">
        <f t="shared" ca="1" si="157"/>
        <v>0</v>
      </c>
      <c r="AG100" s="46">
        <f t="shared" ca="1" si="157"/>
        <v>0</v>
      </c>
      <c r="AH100" s="46">
        <f t="shared" ca="1" si="157"/>
        <v>0</v>
      </c>
      <c r="AI100" s="46">
        <f t="shared" ca="1" si="157"/>
        <v>0</v>
      </c>
      <c r="AJ100" s="46">
        <f t="shared" ca="1" si="157"/>
        <v>0</v>
      </c>
      <c r="AK100" s="46">
        <f t="shared" ca="1" si="157"/>
        <v>0</v>
      </c>
      <c r="AL100" s="46">
        <f t="shared" ca="1" si="157"/>
        <v>0</v>
      </c>
      <c r="AM100" s="46">
        <f t="shared" ca="1" si="157"/>
        <v>0</v>
      </c>
      <c r="AN100" s="46">
        <f t="shared" ca="1" si="157"/>
        <v>0</v>
      </c>
      <c r="AO100" s="46">
        <f t="shared" ca="1" si="157"/>
        <v>0</v>
      </c>
      <c r="AP100" s="46">
        <f t="shared" ca="1" si="157"/>
        <v>0</v>
      </c>
      <c r="AQ100" s="46">
        <f t="shared" ca="1" si="157"/>
        <v>0</v>
      </c>
      <c r="AR100" s="46">
        <f t="shared" ca="1" si="157"/>
        <v>0</v>
      </c>
      <c r="AS100" s="46">
        <f t="shared" ca="1" si="157"/>
        <v>0</v>
      </c>
      <c r="AT100" s="46">
        <f t="shared" ca="1" si="157"/>
        <v>0</v>
      </c>
      <c r="AU100" s="46">
        <f t="shared" ca="1" si="157"/>
        <v>0</v>
      </c>
      <c r="AV100" s="46">
        <f t="shared" ca="1" si="157"/>
        <v>0</v>
      </c>
      <c r="AW100" s="46">
        <f t="shared" ca="1" si="157"/>
        <v>0</v>
      </c>
      <c r="AX100" s="46">
        <f t="shared" ca="1" si="157"/>
        <v>0</v>
      </c>
      <c r="AY100" s="46">
        <f t="shared" ca="1" si="157"/>
        <v>0</v>
      </c>
      <c r="AZ100" s="46">
        <f t="shared" ca="1" si="157"/>
        <v>0</v>
      </c>
      <c r="BA100" s="46">
        <f t="shared" ca="1" si="157"/>
        <v>0</v>
      </c>
      <c r="BB100" s="46">
        <f t="shared" ca="1" si="157"/>
        <v>0</v>
      </c>
      <c r="BC100" s="46">
        <f t="shared" ca="1" si="157"/>
        <v>0</v>
      </c>
      <c r="BD100" s="46">
        <f t="shared" ca="1" si="157"/>
        <v>0</v>
      </c>
      <c r="BE100" s="46">
        <f t="shared" ca="1" si="157"/>
        <v>0</v>
      </c>
      <c r="BF100" s="46">
        <f t="shared" ca="1" si="157"/>
        <v>0</v>
      </c>
      <c r="BG100" s="46">
        <f t="shared" ca="1" si="157"/>
        <v>0</v>
      </c>
      <c r="BH100" s="46">
        <f t="shared" ca="1" si="157"/>
        <v>0</v>
      </c>
      <c r="BI100" s="46">
        <f t="shared" ca="1" si="157"/>
        <v>0</v>
      </c>
      <c r="BJ100" s="46">
        <f t="shared" ca="1" si="157"/>
        <v>0</v>
      </c>
      <c r="BK100" s="46">
        <f t="shared" ca="1" si="157"/>
        <v>0</v>
      </c>
      <c r="BL100" s="46">
        <f t="shared" ca="1" si="157"/>
        <v>0</v>
      </c>
      <c r="BM100" s="46">
        <f t="shared" ca="1" si="157"/>
        <v>0</v>
      </c>
      <c r="BN100" s="46">
        <f t="shared" ca="1" si="157"/>
        <v>0</v>
      </c>
      <c r="BO100" s="46">
        <f t="shared" ca="1" si="157"/>
        <v>0</v>
      </c>
      <c r="BP100" s="46">
        <f t="shared" ca="1" si="157"/>
        <v>0</v>
      </c>
      <c r="BQ100" s="46">
        <f t="shared" ca="1" si="157"/>
        <v>0</v>
      </c>
      <c r="BR100" s="46">
        <f t="shared" ca="1" si="157"/>
        <v>0</v>
      </c>
      <c r="BS100" s="46">
        <f t="shared" ca="1" si="157"/>
        <v>0</v>
      </c>
      <c r="BT100" s="46">
        <f t="shared" ca="1" si="157"/>
        <v>0</v>
      </c>
      <c r="BU100" s="46">
        <f t="shared" ca="1" si="157"/>
        <v>0</v>
      </c>
      <c r="BV100" s="46">
        <f t="shared" ca="1" si="157"/>
        <v>0</v>
      </c>
      <c r="BW100" s="46">
        <f t="shared" ca="1" si="157"/>
        <v>0</v>
      </c>
      <c r="BX100" s="46">
        <f t="shared" ref="BX100:CO100" ca="1" si="158">IF(ABS(Cash_EoP)&lt;Accuracy,0,Cash_EoP&lt;0)*1</f>
        <v>0</v>
      </c>
      <c r="BY100" s="46">
        <f t="shared" ca="1" si="158"/>
        <v>0</v>
      </c>
      <c r="BZ100" s="46">
        <f t="shared" ca="1" si="158"/>
        <v>0</v>
      </c>
      <c r="CA100" s="46">
        <f t="shared" ca="1" si="158"/>
        <v>0</v>
      </c>
      <c r="CB100" s="46">
        <f t="shared" ca="1" si="158"/>
        <v>0</v>
      </c>
      <c r="CC100" s="46">
        <f t="shared" ca="1" si="158"/>
        <v>0</v>
      </c>
      <c r="CD100" s="46">
        <f t="shared" ca="1" si="158"/>
        <v>0</v>
      </c>
      <c r="CE100" s="46">
        <f t="shared" ca="1" si="158"/>
        <v>0</v>
      </c>
      <c r="CF100" s="46">
        <f t="shared" ca="1" si="158"/>
        <v>0</v>
      </c>
      <c r="CG100" s="46">
        <f t="shared" ca="1" si="158"/>
        <v>0</v>
      </c>
      <c r="CH100" s="46">
        <f t="shared" ca="1" si="158"/>
        <v>0</v>
      </c>
      <c r="CI100" s="46">
        <f t="shared" ca="1" si="158"/>
        <v>0</v>
      </c>
      <c r="CJ100" s="46">
        <f t="shared" ca="1" si="158"/>
        <v>0</v>
      </c>
      <c r="CK100" s="46">
        <f t="shared" ca="1" si="158"/>
        <v>0</v>
      </c>
      <c r="CL100" s="46">
        <f t="shared" ca="1" si="158"/>
        <v>0</v>
      </c>
      <c r="CM100" s="46">
        <f t="shared" ca="1" si="158"/>
        <v>0</v>
      </c>
      <c r="CN100" s="46">
        <f t="shared" ca="1" si="158"/>
        <v>0</v>
      </c>
      <c r="CO100" s="46">
        <f t="shared" ca="1" si="158"/>
        <v>0</v>
      </c>
    </row>
    <row r="101" spans="1:93" s="46" customFormat="1" ht="12.75">
      <c r="C101" s="46" t="s">
        <v>328</v>
      </c>
      <c r="G101" s="89" t="str">
        <f>Monetary_Unit</f>
        <v>тыс. руб.</v>
      </c>
      <c r="I101" s="46">
        <f ca="1">SUM(L101:CQ101)</f>
        <v>0</v>
      </c>
      <c r="L101" s="46">
        <f ca="1">(Cash_EoP-Расчеты!L1234)*(ABS(Cash_EoP-Расчеты!L1234)&gt;Accuracy)</f>
        <v>0</v>
      </c>
      <c r="M101" s="46">
        <f ca="1">(Cash_EoP-Расчеты!M1234)*(ABS(Cash_EoP-Расчеты!M1234)&gt;Accuracy)</f>
        <v>0</v>
      </c>
      <c r="N101" s="46">
        <f ca="1">(Cash_EoP-Расчеты!N1234)*(ABS(Cash_EoP-Расчеты!N1234)&gt;Accuracy)</f>
        <v>0</v>
      </c>
      <c r="O101" s="46">
        <f ca="1">(Cash_EoP-Расчеты!O1234)*(ABS(Cash_EoP-Расчеты!O1234)&gt;Accuracy)</f>
        <v>0</v>
      </c>
      <c r="P101" s="46">
        <f ca="1">(Cash_EoP-Расчеты!P1234)*(ABS(Cash_EoP-Расчеты!P1234)&gt;Accuracy)</f>
        <v>0</v>
      </c>
      <c r="Q101" s="46">
        <f ca="1">(Cash_EoP-Расчеты!Q1234)*(ABS(Cash_EoP-Расчеты!Q1234)&gt;Accuracy)</f>
        <v>0</v>
      </c>
      <c r="R101" s="46">
        <f ca="1">(Cash_EoP-Расчеты!R1234)*(ABS(Cash_EoP-Расчеты!R1234)&gt;Accuracy)</f>
        <v>0</v>
      </c>
      <c r="S101" s="46">
        <f ca="1">(Cash_EoP-Расчеты!S1234)*(ABS(Cash_EoP-Расчеты!S1234)&gt;Accuracy)</f>
        <v>0</v>
      </c>
      <c r="T101" s="46">
        <f ca="1">(Cash_EoP-Расчеты!T1234)*(ABS(Cash_EoP-Расчеты!T1234)&gt;Accuracy)</f>
        <v>0</v>
      </c>
      <c r="U101" s="46">
        <f ca="1">(Cash_EoP-Расчеты!U1234)*(ABS(Cash_EoP-Расчеты!U1234)&gt;Accuracy)</f>
        <v>0</v>
      </c>
      <c r="V101" s="46">
        <f ca="1">(Cash_EoP-Расчеты!V1234)*(ABS(Cash_EoP-Расчеты!V1234)&gt;Accuracy)</f>
        <v>0</v>
      </c>
      <c r="W101" s="46">
        <f ca="1">(Cash_EoP-Расчеты!W1234)*(ABS(Cash_EoP-Расчеты!W1234)&gt;Accuracy)</f>
        <v>0</v>
      </c>
      <c r="X101" s="46">
        <f ca="1">(Cash_EoP-Расчеты!X1234)*(ABS(Cash_EoP-Расчеты!X1234)&gt;Accuracy)</f>
        <v>0</v>
      </c>
      <c r="Y101" s="46">
        <f ca="1">(Cash_EoP-Расчеты!Y1234)*(ABS(Cash_EoP-Расчеты!Y1234)&gt;Accuracy)</f>
        <v>0</v>
      </c>
      <c r="Z101" s="46">
        <f ca="1">(Cash_EoP-Расчеты!Z1234)*(ABS(Cash_EoP-Расчеты!Z1234)&gt;Accuracy)</f>
        <v>0</v>
      </c>
      <c r="AA101" s="46">
        <f ca="1">(Cash_EoP-Расчеты!AA1234)*(ABS(Cash_EoP-Расчеты!AA1234)&gt;Accuracy)</f>
        <v>0</v>
      </c>
      <c r="AB101" s="46">
        <f ca="1">(Cash_EoP-Расчеты!AB1234)*(ABS(Cash_EoP-Расчеты!AB1234)&gt;Accuracy)</f>
        <v>0</v>
      </c>
      <c r="AC101" s="46">
        <f ca="1">(Cash_EoP-Расчеты!AC1234)*(ABS(Cash_EoP-Расчеты!AC1234)&gt;Accuracy)</f>
        <v>0</v>
      </c>
      <c r="AD101" s="46">
        <f ca="1">(Cash_EoP-Расчеты!AD1234)*(ABS(Cash_EoP-Расчеты!AD1234)&gt;Accuracy)</f>
        <v>0</v>
      </c>
      <c r="AE101" s="46">
        <f ca="1">(Cash_EoP-Расчеты!AE1234)*(ABS(Cash_EoP-Расчеты!AE1234)&gt;Accuracy)</f>
        <v>0</v>
      </c>
      <c r="AF101" s="46">
        <f ca="1">(Cash_EoP-Расчеты!AF1234)*(ABS(Cash_EoP-Расчеты!AF1234)&gt;Accuracy)</f>
        <v>0</v>
      </c>
      <c r="AG101" s="46">
        <f ca="1">(Cash_EoP-Расчеты!AG1234)*(ABS(Cash_EoP-Расчеты!AG1234)&gt;Accuracy)</f>
        <v>0</v>
      </c>
      <c r="AH101" s="46">
        <f ca="1">(Cash_EoP-Расчеты!AH1234)*(ABS(Cash_EoP-Расчеты!AH1234)&gt;Accuracy)</f>
        <v>0</v>
      </c>
      <c r="AI101" s="46">
        <f ca="1">(Cash_EoP-Расчеты!AI1234)*(ABS(Cash_EoP-Расчеты!AI1234)&gt;Accuracy)</f>
        <v>0</v>
      </c>
      <c r="AJ101" s="46">
        <f ca="1">(Cash_EoP-Расчеты!AJ1234)*(ABS(Cash_EoP-Расчеты!AJ1234)&gt;Accuracy)</f>
        <v>0</v>
      </c>
      <c r="AK101" s="46">
        <f ca="1">(Cash_EoP-Расчеты!AK1234)*(ABS(Cash_EoP-Расчеты!AK1234)&gt;Accuracy)</f>
        <v>0</v>
      </c>
      <c r="AL101" s="46">
        <f ca="1">(Cash_EoP-Расчеты!AL1234)*(ABS(Cash_EoP-Расчеты!AL1234)&gt;Accuracy)</f>
        <v>0</v>
      </c>
      <c r="AM101" s="46">
        <f ca="1">(Cash_EoP-Расчеты!AM1234)*(ABS(Cash_EoP-Расчеты!AM1234)&gt;Accuracy)</f>
        <v>0</v>
      </c>
      <c r="AN101" s="46">
        <f ca="1">(Cash_EoP-Расчеты!AN1234)*(ABS(Cash_EoP-Расчеты!AN1234)&gt;Accuracy)</f>
        <v>0</v>
      </c>
      <c r="AO101" s="46">
        <f ca="1">(Cash_EoP-Расчеты!AO1234)*(ABS(Cash_EoP-Расчеты!AO1234)&gt;Accuracy)</f>
        <v>0</v>
      </c>
      <c r="AP101" s="46">
        <f ca="1">(Cash_EoP-Расчеты!AP1234)*(ABS(Cash_EoP-Расчеты!AP1234)&gt;Accuracy)</f>
        <v>0</v>
      </c>
      <c r="AQ101" s="46">
        <f ca="1">(Cash_EoP-Расчеты!AQ1234)*(ABS(Cash_EoP-Расчеты!AQ1234)&gt;Accuracy)</f>
        <v>0</v>
      </c>
      <c r="AR101" s="46">
        <f ca="1">(Cash_EoP-Расчеты!AR1234)*(ABS(Cash_EoP-Расчеты!AR1234)&gt;Accuracy)</f>
        <v>0</v>
      </c>
      <c r="AS101" s="46">
        <f ca="1">(Cash_EoP-Расчеты!AS1234)*(ABS(Cash_EoP-Расчеты!AS1234)&gt;Accuracy)</f>
        <v>0</v>
      </c>
      <c r="AT101" s="46">
        <f ca="1">(Cash_EoP-Расчеты!AT1234)*(ABS(Cash_EoP-Расчеты!AT1234)&gt;Accuracy)</f>
        <v>0</v>
      </c>
      <c r="AU101" s="46">
        <f ca="1">(Cash_EoP-Расчеты!AU1234)*(ABS(Cash_EoP-Расчеты!AU1234)&gt;Accuracy)</f>
        <v>0</v>
      </c>
      <c r="AV101" s="46">
        <f ca="1">(Cash_EoP-Расчеты!AV1234)*(ABS(Cash_EoP-Расчеты!AV1234)&gt;Accuracy)</f>
        <v>0</v>
      </c>
      <c r="AW101" s="46">
        <f ca="1">(Cash_EoP-Расчеты!AW1234)*(ABS(Cash_EoP-Расчеты!AW1234)&gt;Accuracy)</f>
        <v>0</v>
      </c>
      <c r="AX101" s="46">
        <f ca="1">(Cash_EoP-Расчеты!AX1234)*(ABS(Cash_EoP-Расчеты!AX1234)&gt;Accuracy)</f>
        <v>0</v>
      </c>
      <c r="AY101" s="46">
        <f ca="1">(Cash_EoP-Расчеты!AY1234)*(ABS(Cash_EoP-Расчеты!AY1234)&gt;Accuracy)</f>
        <v>0</v>
      </c>
      <c r="AZ101" s="46">
        <f ca="1">(Cash_EoP-Расчеты!AZ1234)*(ABS(Cash_EoP-Расчеты!AZ1234)&gt;Accuracy)</f>
        <v>0</v>
      </c>
      <c r="BA101" s="46">
        <f ca="1">(Cash_EoP-Расчеты!BA1234)*(ABS(Cash_EoP-Расчеты!BA1234)&gt;Accuracy)</f>
        <v>0</v>
      </c>
      <c r="BB101" s="46">
        <f ca="1">(Cash_EoP-Расчеты!BB1234)*(ABS(Cash_EoP-Расчеты!BB1234)&gt;Accuracy)</f>
        <v>0</v>
      </c>
      <c r="BC101" s="46">
        <f ca="1">(Cash_EoP-Расчеты!BC1234)*(ABS(Cash_EoP-Расчеты!BC1234)&gt;Accuracy)</f>
        <v>0</v>
      </c>
      <c r="BD101" s="46">
        <f ca="1">(Cash_EoP-Расчеты!BD1234)*(ABS(Cash_EoP-Расчеты!BD1234)&gt;Accuracy)</f>
        <v>0</v>
      </c>
      <c r="BE101" s="46">
        <f ca="1">(Cash_EoP-Расчеты!BE1234)*(ABS(Cash_EoP-Расчеты!BE1234)&gt;Accuracy)</f>
        <v>0</v>
      </c>
      <c r="BF101" s="46">
        <f ca="1">(Cash_EoP-Расчеты!BF1234)*(ABS(Cash_EoP-Расчеты!BF1234)&gt;Accuracy)</f>
        <v>0</v>
      </c>
      <c r="BG101" s="46">
        <f ca="1">(Cash_EoP-Расчеты!BG1234)*(ABS(Cash_EoP-Расчеты!BG1234)&gt;Accuracy)</f>
        <v>0</v>
      </c>
      <c r="BH101" s="46">
        <f ca="1">(Cash_EoP-Расчеты!BH1234)*(ABS(Cash_EoP-Расчеты!BH1234)&gt;Accuracy)</f>
        <v>0</v>
      </c>
      <c r="BI101" s="46">
        <f ca="1">(Cash_EoP-Расчеты!BI1234)*(ABS(Cash_EoP-Расчеты!BI1234)&gt;Accuracy)</f>
        <v>0</v>
      </c>
      <c r="BJ101" s="46">
        <f ca="1">(Cash_EoP-Расчеты!BJ1234)*(ABS(Cash_EoP-Расчеты!BJ1234)&gt;Accuracy)</f>
        <v>0</v>
      </c>
      <c r="BK101" s="46">
        <f ca="1">(Cash_EoP-Расчеты!BK1234)*(ABS(Cash_EoP-Расчеты!BK1234)&gt;Accuracy)</f>
        <v>0</v>
      </c>
      <c r="BL101" s="46">
        <f ca="1">(Cash_EoP-Расчеты!BL1234)*(ABS(Cash_EoP-Расчеты!BL1234)&gt;Accuracy)</f>
        <v>0</v>
      </c>
      <c r="BM101" s="46">
        <f ca="1">(Cash_EoP-Расчеты!BM1234)*(ABS(Cash_EoP-Расчеты!BM1234)&gt;Accuracy)</f>
        <v>0</v>
      </c>
      <c r="BN101" s="46">
        <f ca="1">(Cash_EoP-Расчеты!BN1234)*(ABS(Cash_EoP-Расчеты!BN1234)&gt;Accuracy)</f>
        <v>0</v>
      </c>
      <c r="BO101" s="46">
        <f ca="1">(Cash_EoP-Расчеты!BO1234)*(ABS(Cash_EoP-Расчеты!BO1234)&gt;Accuracy)</f>
        <v>0</v>
      </c>
      <c r="BP101" s="46">
        <f ca="1">(Cash_EoP-Расчеты!BP1234)*(ABS(Cash_EoP-Расчеты!BP1234)&gt;Accuracy)</f>
        <v>0</v>
      </c>
      <c r="BQ101" s="46">
        <f ca="1">(Cash_EoP-Расчеты!BQ1234)*(ABS(Cash_EoP-Расчеты!BQ1234)&gt;Accuracy)</f>
        <v>0</v>
      </c>
      <c r="BR101" s="46">
        <f ca="1">(Cash_EoP-Расчеты!BR1234)*(ABS(Cash_EoP-Расчеты!BR1234)&gt;Accuracy)</f>
        <v>0</v>
      </c>
      <c r="BS101" s="46">
        <f ca="1">(Cash_EoP-Расчеты!BS1234)*(ABS(Cash_EoP-Расчеты!BS1234)&gt;Accuracy)</f>
        <v>0</v>
      </c>
      <c r="BT101" s="46">
        <f ca="1">(Cash_EoP-Расчеты!BT1234)*(ABS(Cash_EoP-Расчеты!BT1234)&gt;Accuracy)</f>
        <v>0</v>
      </c>
      <c r="BU101" s="46">
        <f ca="1">(Cash_EoP-Расчеты!BU1234)*(ABS(Cash_EoP-Расчеты!BU1234)&gt;Accuracy)</f>
        <v>0</v>
      </c>
      <c r="BV101" s="46">
        <f ca="1">(Cash_EoP-Расчеты!BV1234)*(ABS(Cash_EoP-Расчеты!BV1234)&gt;Accuracy)</f>
        <v>0</v>
      </c>
      <c r="BW101" s="46">
        <f ca="1">(Cash_EoP-Расчеты!BW1234)*(ABS(Cash_EoP-Расчеты!BW1234)&gt;Accuracy)</f>
        <v>0</v>
      </c>
      <c r="BX101" s="46">
        <f ca="1">(Cash_EoP-Расчеты!BX1234)*(ABS(Cash_EoP-Расчеты!BX1234)&gt;Accuracy)</f>
        <v>0</v>
      </c>
      <c r="BY101" s="46">
        <f ca="1">(Cash_EoP-Расчеты!BY1234)*(ABS(Cash_EoP-Расчеты!BY1234)&gt;Accuracy)</f>
        <v>0</v>
      </c>
      <c r="BZ101" s="46">
        <f ca="1">(Cash_EoP-Расчеты!BZ1234)*(ABS(Cash_EoP-Расчеты!BZ1234)&gt;Accuracy)</f>
        <v>0</v>
      </c>
      <c r="CA101" s="46">
        <f ca="1">(Cash_EoP-Расчеты!CA1234)*(ABS(Cash_EoP-Расчеты!CA1234)&gt;Accuracy)</f>
        <v>0</v>
      </c>
      <c r="CB101" s="46">
        <f ca="1">(Cash_EoP-Расчеты!CB1234)*(ABS(Cash_EoP-Расчеты!CB1234)&gt;Accuracy)</f>
        <v>0</v>
      </c>
      <c r="CC101" s="46">
        <f ca="1">(Cash_EoP-Расчеты!CC1234)*(ABS(Cash_EoP-Расчеты!CC1234)&gt;Accuracy)</f>
        <v>0</v>
      </c>
      <c r="CD101" s="46">
        <f ca="1">(Cash_EoP-Расчеты!CD1234)*(ABS(Cash_EoP-Расчеты!CD1234)&gt;Accuracy)</f>
        <v>0</v>
      </c>
      <c r="CE101" s="46">
        <f ca="1">(Cash_EoP-Расчеты!CE1234)*(ABS(Cash_EoP-Расчеты!CE1234)&gt;Accuracy)</f>
        <v>0</v>
      </c>
      <c r="CF101" s="46">
        <f ca="1">(Cash_EoP-Расчеты!CF1234)*(ABS(Cash_EoP-Расчеты!CF1234)&gt;Accuracy)</f>
        <v>0</v>
      </c>
      <c r="CG101" s="46">
        <f ca="1">(Cash_EoP-Расчеты!CG1234)*(ABS(Cash_EoP-Расчеты!CG1234)&gt;Accuracy)</f>
        <v>0</v>
      </c>
      <c r="CH101" s="46">
        <f ca="1">(Cash_EoP-Расчеты!CH1234)*(ABS(Cash_EoP-Расчеты!CH1234)&gt;Accuracy)</f>
        <v>0</v>
      </c>
      <c r="CI101" s="46">
        <f ca="1">(Cash_EoP-Расчеты!CI1234)*(ABS(Cash_EoP-Расчеты!CI1234)&gt;Accuracy)</f>
        <v>0</v>
      </c>
      <c r="CJ101" s="46">
        <f ca="1">(Cash_EoP-Расчеты!CJ1234)*(ABS(Cash_EoP-Расчеты!CJ1234)&gt;Accuracy)</f>
        <v>0</v>
      </c>
      <c r="CK101" s="46">
        <f ca="1">(Cash_EoP-Расчеты!CK1234)*(ABS(Cash_EoP-Расчеты!CK1234)&gt;Accuracy)</f>
        <v>0</v>
      </c>
      <c r="CL101" s="46">
        <f ca="1">(Cash_EoP-Расчеты!CL1234)*(ABS(Cash_EoP-Расчеты!CL1234)&gt;Accuracy)</f>
        <v>0</v>
      </c>
      <c r="CM101" s="46">
        <f ca="1">(Cash_EoP-Расчеты!CM1234)*(ABS(Cash_EoP-Расчеты!CM1234)&gt;Accuracy)</f>
        <v>0</v>
      </c>
      <c r="CN101" s="46">
        <f ca="1">(Cash_EoP-Расчеты!CN1234)*(ABS(Cash_EoP-Расчеты!CN1234)&gt;Accuracy)</f>
        <v>0</v>
      </c>
      <c r="CO101" s="46">
        <f ca="1">(Cash_EoP-Расчеты!CO1234)*(ABS(Cash_EoP-Расчеты!CO1234)&gt;Accuracy)</f>
        <v>0</v>
      </c>
    </row>
    <row r="102" spans="1:93" s="76" customFormat="1" ht="12.75">
      <c r="A102" s="73"/>
      <c r="B102" s="73"/>
      <c r="C102" s="73"/>
      <c r="D102" s="73"/>
      <c r="E102" s="73"/>
      <c r="F102" s="73"/>
      <c r="G102" s="72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</row>
  </sheetData>
  <phoneticPr fontId="22" type="noConversion"/>
  <conditionalFormatting sqref="L9:CO9">
    <cfRule type="cellIs" dxfId="26" priority="7" operator="equal">
      <formula>2</formula>
    </cfRule>
    <cfRule type="cellIs" dxfId="25" priority="8" operator="equal">
      <formula>1</formula>
    </cfRule>
  </conditionalFormatting>
  <conditionalFormatting sqref="E4">
    <cfRule type="cellIs" dxfId="24" priority="3" operator="equal">
      <formula>FALSE</formula>
    </cfRule>
    <cfRule type="cellIs" dxfId="23" priority="4" operator="equal">
      <formula>TRUE</formula>
    </cfRule>
  </conditionalFormatting>
  <pageMargins left="0.11811023622047245" right="0.11811023622047245" top="0.74803149606299213" bottom="0.74803149606299213" header="0.31496062992125984" footer="0.31496062992125984"/>
  <pageSetup paperSize="9" scale="33" fitToWidth="3" fitToHeight="0" pageOrder="overThenDown" orientation="landscape" r:id="rId1"/>
  <rowBreaks count="2" manualBreakCount="2">
    <brk id="40" max="16383" man="1"/>
    <brk id="64" max="16383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/>
    <pageSetUpPr fitToPage="1"/>
  </sheetPr>
  <dimension ref="A1:KF102"/>
  <sheetViews>
    <sheetView view="pageBreakPreview" zoomScale="70" zoomScaleNormal="60" zoomScaleSheetLayoutView="70" workbookViewId="0">
      <pane xSplit="10" ySplit="9" topLeftCell="O39" activePane="bottomRight" state="frozen"/>
      <selection pane="topRight" activeCell="K1" sqref="K1"/>
      <selection pane="bottomLeft" activeCell="A10" sqref="A10"/>
      <selection pane="bottomRight" activeCell="P57" sqref="P57:AF57"/>
    </sheetView>
  </sheetViews>
  <sheetFormatPr defaultColWidth="0" defaultRowHeight="15" customHeight="1" zeroHeight="1"/>
  <cols>
    <col min="1" max="1" width="2.28515625" customWidth="1"/>
    <col min="2" max="2" width="2.42578125" customWidth="1"/>
    <col min="3" max="3" width="52.42578125" customWidth="1"/>
    <col min="4" max="5" width="10.42578125" customWidth="1"/>
    <col min="6" max="6" width="2.28515625" customWidth="1"/>
    <col min="7" max="7" width="9.28515625" style="25" customWidth="1"/>
    <col min="8" max="8" width="10.42578125" customWidth="1"/>
    <col min="9" max="9" width="13.42578125" customWidth="1"/>
    <col min="10" max="11" width="2.28515625" customWidth="1"/>
    <col min="12" max="93" width="12.42578125" customWidth="1"/>
    <col min="94" max="106" width="0" hidden="1" customWidth="1"/>
    <col min="107" max="114" width="12.42578125" hidden="1" customWidth="1"/>
    <col min="115" max="126" width="0" hidden="1" customWidth="1"/>
    <col min="127" max="134" width="12.42578125" hidden="1" customWidth="1"/>
    <col min="135" max="146" width="0" hidden="1" customWidth="1"/>
    <col min="147" max="155" width="12.42578125" hidden="1" customWidth="1"/>
    <col min="156" max="211" width="0" hidden="1" customWidth="1"/>
    <col min="212" max="219" width="12.42578125" hidden="1" customWidth="1"/>
    <col min="220" max="243" width="0" hidden="1" customWidth="1"/>
    <col min="244" max="251" width="12.42578125" hidden="1" customWidth="1"/>
    <col min="252" max="263" width="0" hidden="1" customWidth="1"/>
    <col min="264" max="271" width="12.42578125" hidden="1" customWidth="1"/>
    <col min="272" max="283" width="0" hidden="1" customWidth="1"/>
    <col min="284" max="292" width="12.42578125" hidden="1" customWidth="1"/>
    <col min="293" max="16384" width="8.7109375" hidden="1"/>
  </cols>
  <sheetData>
    <row r="1" spans="1:93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 ht="22.5" customHeight="1">
      <c r="A2" s="3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1171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3"/>
      <c r="E5" s="3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470">
        <f>IF(L7,YEAR(L7),"")</f>
        <v>2025</v>
      </c>
      <c r="M6" s="470">
        <f t="shared" ref="M6:BX6" si="0">IF(M7,YEAR(M7),"")</f>
        <v>2026</v>
      </c>
      <c r="N6" s="470">
        <f t="shared" si="0"/>
        <v>2027</v>
      </c>
      <c r="O6" s="470">
        <f t="shared" si="0"/>
        <v>2028</v>
      </c>
      <c r="P6" s="470">
        <f t="shared" si="0"/>
        <v>2029</v>
      </c>
      <c r="Q6" s="470">
        <f t="shared" si="0"/>
        <v>2030</v>
      </c>
      <c r="R6" s="470">
        <f t="shared" si="0"/>
        <v>2031</v>
      </c>
      <c r="S6" s="470">
        <f t="shared" si="0"/>
        <v>2032</v>
      </c>
      <c r="T6" s="470">
        <f t="shared" si="0"/>
        <v>2033</v>
      </c>
      <c r="U6" s="470">
        <f t="shared" si="0"/>
        <v>2034</v>
      </c>
      <c r="V6" s="470">
        <f t="shared" si="0"/>
        <v>2035</v>
      </c>
      <c r="W6" s="470">
        <f t="shared" si="0"/>
        <v>2036</v>
      </c>
      <c r="X6" s="470">
        <f t="shared" si="0"/>
        <v>2037</v>
      </c>
      <c r="Y6" s="470">
        <f t="shared" si="0"/>
        <v>2038</v>
      </c>
      <c r="Z6" s="470">
        <f t="shared" si="0"/>
        <v>2039</v>
      </c>
      <c r="AA6" s="470">
        <f t="shared" si="0"/>
        <v>2040</v>
      </c>
      <c r="AB6" s="470">
        <f t="shared" si="0"/>
        <v>2041</v>
      </c>
      <c r="AC6" s="470">
        <f t="shared" si="0"/>
        <v>2042</v>
      </c>
      <c r="AD6" s="470">
        <f t="shared" si="0"/>
        <v>2043</v>
      </c>
      <c r="AE6" s="470">
        <f t="shared" si="0"/>
        <v>2044</v>
      </c>
      <c r="AF6" s="470">
        <f t="shared" si="0"/>
        <v>2045</v>
      </c>
      <c r="AG6" s="470">
        <f t="shared" si="0"/>
        <v>2046</v>
      </c>
      <c r="AH6" s="470">
        <f t="shared" si="0"/>
        <v>2047</v>
      </c>
      <c r="AI6" s="470">
        <f t="shared" si="0"/>
        <v>2048</v>
      </c>
      <c r="AJ6" s="470">
        <f t="shared" si="0"/>
        <v>2049</v>
      </c>
      <c r="AK6" s="470" t="str">
        <f t="shared" si="0"/>
        <v/>
      </c>
      <c r="AL6" s="470" t="str">
        <f t="shared" si="0"/>
        <v/>
      </c>
      <c r="AM6" s="470" t="str">
        <f t="shared" si="0"/>
        <v/>
      </c>
      <c r="AN6" s="470" t="str">
        <f t="shared" si="0"/>
        <v/>
      </c>
      <c r="AO6" s="470" t="str">
        <f t="shared" si="0"/>
        <v/>
      </c>
      <c r="AP6" s="470" t="str">
        <f t="shared" si="0"/>
        <v/>
      </c>
      <c r="AQ6" s="470" t="str">
        <f t="shared" si="0"/>
        <v/>
      </c>
      <c r="AR6" s="470" t="str">
        <f t="shared" si="0"/>
        <v/>
      </c>
      <c r="AS6" s="470" t="str">
        <f t="shared" si="0"/>
        <v/>
      </c>
      <c r="AT6" s="470" t="str">
        <f t="shared" si="0"/>
        <v/>
      </c>
      <c r="AU6" s="470" t="str">
        <f t="shared" si="0"/>
        <v/>
      </c>
      <c r="AV6" s="470" t="str">
        <f t="shared" si="0"/>
        <v/>
      </c>
      <c r="AW6" s="470" t="str">
        <f t="shared" si="0"/>
        <v/>
      </c>
      <c r="AX6" s="470" t="str">
        <f t="shared" si="0"/>
        <v/>
      </c>
      <c r="AY6" s="470" t="str">
        <f t="shared" si="0"/>
        <v/>
      </c>
      <c r="AZ6" s="470" t="str">
        <f t="shared" si="0"/>
        <v/>
      </c>
      <c r="BA6" s="470" t="str">
        <f t="shared" si="0"/>
        <v/>
      </c>
      <c r="BB6" s="470" t="str">
        <f t="shared" si="0"/>
        <v/>
      </c>
      <c r="BC6" s="470" t="str">
        <f t="shared" si="0"/>
        <v/>
      </c>
      <c r="BD6" s="470" t="str">
        <f t="shared" si="0"/>
        <v/>
      </c>
      <c r="BE6" s="470" t="str">
        <f t="shared" si="0"/>
        <v/>
      </c>
      <c r="BF6" s="470" t="str">
        <f t="shared" si="0"/>
        <v/>
      </c>
      <c r="BG6" s="470" t="str">
        <f t="shared" si="0"/>
        <v/>
      </c>
      <c r="BH6" s="470" t="str">
        <f t="shared" si="0"/>
        <v/>
      </c>
      <c r="BI6" s="470" t="str">
        <f t="shared" si="0"/>
        <v/>
      </c>
      <c r="BJ6" s="470" t="str">
        <f t="shared" si="0"/>
        <v/>
      </c>
      <c r="BK6" s="470" t="str">
        <f t="shared" si="0"/>
        <v/>
      </c>
      <c r="BL6" s="470" t="str">
        <f t="shared" si="0"/>
        <v/>
      </c>
      <c r="BM6" s="470" t="str">
        <f t="shared" si="0"/>
        <v/>
      </c>
      <c r="BN6" s="470" t="str">
        <f t="shared" si="0"/>
        <v/>
      </c>
      <c r="BO6" s="470" t="str">
        <f t="shared" si="0"/>
        <v/>
      </c>
      <c r="BP6" s="470" t="str">
        <f t="shared" si="0"/>
        <v/>
      </c>
      <c r="BQ6" s="470" t="str">
        <f t="shared" si="0"/>
        <v/>
      </c>
      <c r="BR6" s="470" t="str">
        <f t="shared" si="0"/>
        <v/>
      </c>
      <c r="BS6" s="470" t="str">
        <f t="shared" si="0"/>
        <v/>
      </c>
      <c r="BT6" s="470" t="str">
        <f t="shared" si="0"/>
        <v/>
      </c>
      <c r="BU6" s="470" t="str">
        <f t="shared" si="0"/>
        <v/>
      </c>
      <c r="BV6" s="470" t="str">
        <f t="shared" si="0"/>
        <v/>
      </c>
      <c r="BW6" s="470" t="str">
        <f t="shared" si="0"/>
        <v/>
      </c>
      <c r="BX6" s="470" t="str">
        <f t="shared" si="0"/>
        <v/>
      </c>
      <c r="BY6" s="470" t="str">
        <f t="shared" ref="BY6:CO6" si="1">IF(BY7,YEAR(BY7),"")</f>
        <v/>
      </c>
      <c r="BZ6" s="470" t="str">
        <f t="shared" si="1"/>
        <v/>
      </c>
      <c r="CA6" s="470" t="str">
        <f t="shared" si="1"/>
        <v/>
      </c>
      <c r="CB6" s="470" t="str">
        <f t="shared" si="1"/>
        <v/>
      </c>
      <c r="CC6" s="470" t="str">
        <f t="shared" si="1"/>
        <v/>
      </c>
      <c r="CD6" s="470" t="str">
        <f t="shared" si="1"/>
        <v/>
      </c>
      <c r="CE6" s="470" t="str">
        <f t="shared" si="1"/>
        <v/>
      </c>
      <c r="CF6" s="470" t="str">
        <f t="shared" si="1"/>
        <v/>
      </c>
      <c r="CG6" s="470" t="str">
        <f t="shared" si="1"/>
        <v/>
      </c>
      <c r="CH6" s="470" t="str">
        <f t="shared" si="1"/>
        <v/>
      </c>
      <c r="CI6" s="470" t="str">
        <f t="shared" si="1"/>
        <v/>
      </c>
      <c r="CJ6" s="470" t="str">
        <f t="shared" si="1"/>
        <v/>
      </c>
      <c r="CK6" s="470" t="str">
        <f t="shared" si="1"/>
        <v/>
      </c>
      <c r="CL6" s="470" t="str">
        <f t="shared" si="1"/>
        <v/>
      </c>
      <c r="CM6" s="470" t="str">
        <f t="shared" si="1"/>
        <v/>
      </c>
      <c r="CN6" s="470" t="str">
        <f t="shared" si="1"/>
        <v/>
      </c>
      <c r="CO6" s="470" t="str">
        <f t="shared" si="1"/>
        <v/>
      </c>
    </row>
    <row r="7" spans="1:93" s="133" customFormat="1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469">
        <f>IF(SUM($K7:K7)=0,DATE(YEAR(Date_Model_Start),1,1),IF(K7,IF(K8+1&lt;=Date_Operations_End,K8+1)))</f>
        <v>45658</v>
      </c>
      <c r="M7" s="469">
        <f>IF(SUM($K7:L7)=0,DATE(YEAR(Date_Model_Start),1,1),IF(L7,IF(L8+1&lt;=Date_Operations_End,L8+1)))</f>
        <v>46023</v>
      </c>
      <c r="N7" s="469">
        <f>IF(SUM($K7:M7)=0,DATE(YEAR(Date_Model_Start),1,1),IF(M7,IF(M8+1&lt;=Date_Operations_End,M8+1)))</f>
        <v>46388</v>
      </c>
      <c r="O7" s="469">
        <f>IF(SUM($K7:N7)=0,DATE(YEAR(Date_Model_Start),1,1),IF(N7,IF(N8+1&lt;=Date_Operations_End,N8+1)))</f>
        <v>46753</v>
      </c>
      <c r="P7" s="469">
        <f>IF(SUM($K7:O7)=0,DATE(YEAR(Date_Model_Start),1,1),IF(O7,IF(O8+1&lt;=Date_Operations_End,O8+1)))</f>
        <v>47119</v>
      </c>
      <c r="Q7" s="469">
        <f>IF(SUM($K7:P7)=0,DATE(YEAR(Date_Model_Start),1,1),IF(P7,IF(P8+1&lt;=Date_Operations_End,P8+1)))</f>
        <v>47484</v>
      </c>
      <c r="R7" s="469">
        <f>IF(SUM($K7:Q7)=0,DATE(YEAR(Date_Model_Start),1,1),IF(Q7,IF(Q8+1&lt;=Date_Operations_End,Q8+1)))</f>
        <v>47849</v>
      </c>
      <c r="S7" s="469">
        <f>IF(SUM($K7:R7)=0,DATE(YEAR(Date_Model_Start),1,1),IF(R7,IF(R8+1&lt;=Date_Operations_End,R8+1)))</f>
        <v>48214</v>
      </c>
      <c r="T7" s="469">
        <f>IF(SUM($K7:S7)=0,DATE(YEAR(Date_Model_Start),1,1),IF(S7,IF(S8+1&lt;=Date_Operations_End,S8+1)))</f>
        <v>48580</v>
      </c>
      <c r="U7" s="469">
        <f>IF(SUM($K7:T7)=0,DATE(YEAR(Date_Model_Start),1,1),IF(T7,IF(T8+1&lt;=Date_Operations_End,T8+1)))</f>
        <v>48945</v>
      </c>
      <c r="V7" s="469">
        <f>IF(SUM($K7:U7)=0,DATE(YEAR(Date_Model_Start),1,1),IF(U7,IF(U8+1&lt;=Date_Operations_End,U8+1)))</f>
        <v>49310</v>
      </c>
      <c r="W7" s="469">
        <f>IF(SUM($K7:V7)=0,DATE(YEAR(Date_Model_Start),1,1),IF(V7,IF(V8+1&lt;=Date_Operations_End,V8+1)))</f>
        <v>49675</v>
      </c>
      <c r="X7" s="469">
        <f>IF(SUM($K7:W7)=0,DATE(YEAR(Date_Model_Start),1,1),IF(W7,IF(W8+1&lt;=Date_Operations_End,W8+1)))</f>
        <v>50041</v>
      </c>
      <c r="Y7" s="469">
        <f>IF(SUM($K7:X7)=0,DATE(YEAR(Date_Model_Start),1,1),IF(X7,IF(X8+1&lt;=Date_Operations_End,X8+1)))</f>
        <v>50406</v>
      </c>
      <c r="Z7" s="469">
        <f>IF(SUM($K7:Y7)=0,DATE(YEAR(Date_Model_Start),1,1),IF(Y7,IF(Y8+1&lt;=Date_Operations_End,Y8+1)))</f>
        <v>50771</v>
      </c>
      <c r="AA7" s="469">
        <f>IF(SUM($K7:Z7)=0,DATE(YEAR(Date_Model_Start),1,1),IF(Z7,IF(Z8+1&lt;=Date_Operations_End,Z8+1)))</f>
        <v>51136</v>
      </c>
      <c r="AB7" s="469">
        <f>IF(SUM($K7:AA7)=0,DATE(YEAR(Date_Model_Start),1,1),IF(AA7,IF(AA8+1&lt;=Date_Operations_End,AA8+1)))</f>
        <v>51502</v>
      </c>
      <c r="AC7" s="469">
        <f>IF(SUM($K7:AB7)=0,DATE(YEAR(Date_Model_Start),1,1),IF(AB7,IF(AB8+1&lt;=Date_Operations_End,AB8+1)))</f>
        <v>51867</v>
      </c>
      <c r="AD7" s="469">
        <f>IF(SUM($K7:AC7)=0,DATE(YEAR(Date_Model_Start),1,1),IF(AC7,IF(AC8+1&lt;=Date_Operations_End,AC8+1)))</f>
        <v>52232</v>
      </c>
      <c r="AE7" s="469">
        <f>IF(SUM($K7:AD7)=0,DATE(YEAR(Date_Model_Start),1,1),IF(AD7,IF(AD8+1&lt;=Date_Operations_End,AD8+1)))</f>
        <v>52597</v>
      </c>
      <c r="AF7" s="469">
        <f>IF(SUM($K7:AE7)=0,DATE(YEAR(Date_Model_Start),1,1),IF(AE7,IF(AE8+1&lt;=Date_Operations_End,AE8+1)))</f>
        <v>52963</v>
      </c>
      <c r="AG7" s="469">
        <f>IF(SUM($K7:AF7)=0,DATE(YEAR(Date_Model_Start),1,1),IF(AF7,IF(AF8+1&lt;=Date_Operations_End,AF8+1)))</f>
        <v>53328</v>
      </c>
      <c r="AH7" s="469">
        <f>IF(SUM($K7:AG7)=0,DATE(YEAR(Date_Model_Start),1,1),IF(AG7,IF(AG8+1&lt;=Date_Operations_End,AG8+1)))</f>
        <v>53693</v>
      </c>
      <c r="AI7" s="469">
        <f>IF(SUM($K7:AH7)=0,DATE(YEAR(Date_Model_Start),1,1),IF(AH7,IF(AH8+1&lt;=Date_Operations_End,AH8+1)))</f>
        <v>54058</v>
      </c>
      <c r="AJ7" s="469">
        <f>IF(SUM($K7:AI7)=0,DATE(YEAR(Date_Model_Start),1,1),IF(AI7,IF(AI8+1&lt;=Date_Operations_End,AI8+1)))</f>
        <v>54424</v>
      </c>
      <c r="AK7" s="469" t="b">
        <f>IF(SUM($K7:AJ7)=0,DATE(YEAR(Date_Model_Start),1,1),IF(AJ7,IF(AJ8+1&lt;=Date_Operations_End,AJ8+1)))</f>
        <v>0</v>
      </c>
      <c r="AL7" s="469" t="b">
        <f>IF(SUM($K7:AK7)=0,DATE(YEAR(Date_Model_Start),1,1),IF(AK7,IF(AK8+1&lt;=Date_Operations_End,AK8+1)))</f>
        <v>0</v>
      </c>
      <c r="AM7" s="469" t="b">
        <f>IF(SUM($K7:AL7)=0,DATE(YEAR(Date_Model_Start),1,1),IF(AL7,IF(AL8+1&lt;=Date_Operations_End,AL8+1)))</f>
        <v>0</v>
      </c>
      <c r="AN7" s="469" t="b">
        <f>IF(SUM($K7:AM7)=0,DATE(YEAR(Date_Model_Start),1,1),IF(AM7,IF(AM8+1&lt;=Date_Operations_End,AM8+1)))</f>
        <v>0</v>
      </c>
      <c r="AO7" s="469" t="b">
        <f>IF(SUM($K7:AN7)=0,DATE(YEAR(Date_Model_Start),1,1),IF(AN7,IF(AN8+1&lt;=Date_Operations_End,AN8+1)))</f>
        <v>0</v>
      </c>
      <c r="AP7" s="469" t="b">
        <f>IF(SUM($K7:AO7)=0,DATE(YEAR(Date_Model_Start),1,1),IF(AO7,IF(AO8+1&lt;=Date_Operations_End,AO8+1)))</f>
        <v>0</v>
      </c>
      <c r="AQ7" s="469" t="b">
        <f>IF(SUM($K7:AP7)=0,DATE(YEAR(Date_Model_Start),1,1),IF(AP7,IF(AP8+1&lt;=Date_Operations_End,AP8+1)))</f>
        <v>0</v>
      </c>
      <c r="AR7" s="469" t="b">
        <f>IF(SUM($K7:AQ7)=0,DATE(YEAR(Date_Model_Start),1,1),IF(AQ7,IF(AQ8+1&lt;=Date_Operations_End,AQ8+1)))</f>
        <v>0</v>
      </c>
      <c r="AS7" s="469" t="b">
        <f>IF(SUM($K7:AR7)=0,DATE(YEAR(Date_Model_Start),1,1),IF(AR7,IF(AR8+1&lt;=Date_Operations_End,AR8+1)))</f>
        <v>0</v>
      </c>
      <c r="AT7" s="469" t="b">
        <f>IF(SUM($K7:AS7)=0,DATE(YEAR(Date_Model_Start),1,1),IF(AS7,IF(AS8+1&lt;=Date_Operations_End,AS8+1)))</f>
        <v>0</v>
      </c>
      <c r="AU7" s="469" t="b">
        <f>IF(SUM($K7:AT7)=0,DATE(YEAR(Date_Model_Start),1,1),IF(AT7,IF(AT8+1&lt;=Date_Operations_End,AT8+1)))</f>
        <v>0</v>
      </c>
      <c r="AV7" s="469" t="b">
        <f>IF(SUM($K7:AU7)=0,DATE(YEAR(Date_Model_Start),1,1),IF(AU7,IF(AU8+1&lt;=Date_Operations_End,AU8+1)))</f>
        <v>0</v>
      </c>
      <c r="AW7" s="469" t="b">
        <f>IF(SUM($K7:AV7)=0,DATE(YEAR(Date_Model_Start),1,1),IF(AV7,IF(AV8+1&lt;=Date_Operations_End,AV8+1)))</f>
        <v>0</v>
      </c>
      <c r="AX7" s="469" t="b">
        <f>IF(SUM($K7:AW7)=0,DATE(YEAR(Date_Model_Start),1,1),IF(AW7,IF(AW8+1&lt;=Date_Operations_End,AW8+1)))</f>
        <v>0</v>
      </c>
      <c r="AY7" s="469" t="b">
        <f>IF(SUM($K7:AX7)=0,DATE(YEAR(Date_Model_Start),1,1),IF(AX7,IF(AX8+1&lt;=Date_Operations_End,AX8+1)))</f>
        <v>0</v>
      </c>
      <c r="AZ7" s="469" t="b">
        <f>IF(SUM($K7:AY7)=0,DATE(YEAR(Date_Model_Start),1,1),IF(AY7,IF(AY8+1&lt;=Date_Operations_End,AY8+1)))</f>
        <v>0</v>
      </c>
      <c r="BA7" s="469" t="b">
        <f>IF(SUM($K7:AZ7)=0,DATE(YEAR(Date_Model_Start),1,1),IF(AZ7,IF(AZ8+1&lt;=Date_Operations_End,AZ8+1)))</f>
        <v>0</v>
      </c>
      <c r="BB7" s="469" t="b">
        <f>IF(SUM($K7:BA7)=0,DATE(YEAR(Date_Model_Start),1,1),IF(BA7,IF(BA8+1&lt;=Date_Operations_End,BA8+1)))</f>
        <v>0</v>
      </c>
      <c r="BC7" s="469" t="b">
        <f>IF(SUM($K7:BB7)=0,DATE(YEAR(Date_Model_Start),1,1),IF(BB7,IF(BB8+1&lt;=Date_Operations_End,BB8+1)))</f>
        <v>0</v>
      </c>
      <c r="BD7" s="469" t="b">
        <f>IF(SUM($K7:BC7)=0,DATE(YEAR(Date_Model_Start),1,1),IF(BC7,IF(BC8+1&lt;=Date_Operations_End,BC8+1)))</f>
        <v>0</v>
      </c>
      <c r="BE7" s="469" t="b">
        <f>IF(SUM($K7:BD7)=0,DATE(YEAR(Date_Model_Start),1,1),IF(BD7,IF(BD8+1&lt;=Date_Operations_End,BD8+1)))</f>
        <v>0</v>
      </c>
      <c r="BF7" s="469" t="b">
        <f>IF(SUM($K7:BE7)=0,DATE(YEAR(Date_Model_Start),1,1),IF(BE7,IF(BE8+1&lt;=Date_Operations_End,BE8+1)))</f>
        <v>0</v>
      </c>
      <c r="BG7" s="469" t="b">
        <f>IF(SUM($K7:BF7)=0,DATE(YEAR(Date_Model_Start),1,1),IF(BF7,IF(BF8+1&lt;=Date_Operations_End,BF8+1)))</f>
        <v>0</v>
      </c>
      <c r="BH7" s="469" t="b">
        <f>IF(SUM($K7:BG7)=0,DATE(YEAR(Date_Model_Start),1,1),IF(BG7,IF(BG8+1&lt;=Date_Operations_End,BG8+1)))</f>
        <v>0</v>
      </c>
      <c r="BI7" s="469" t="b">
        <f>IF(SUM($K7:BH7)=0,DATE(YEAR(Date_Model_Start),1,1),IF(BH7,IF(BH8+1&lt;=Date_Operations_End,BH8+1)))</f>
        <v>0</v>
      </c>
      <c r="BJ7" s="469" t="b">
        <f>IF(SUM($K7:BI7)=0,DATE(YEAR(Date_Model_Start),1,1),IF(BI7,IF(BI8+1&lt;=Date_Operations_End,BI8+1)))</f>
        <v>0</v>
      </c>
      <c r="BK7" s="469" t="b">
        <f>IF(SUM($K7:BJ7)=0,DATE(YEAR(Date_Model_Start),1,1),IF(BJ7,IF(BJ8+1&lt;=Date_Operations_End,BJ8+1)))</f>
        <v>0</v>
      </c>
      <c r="BL7" s="469" t="b">
        <f>IF(SUM($K7:BK7)=0,DATE(YEAR(Date_Model_Start),1,1),IF(BK7,IF(BK8+1&lt;=Date_Operations_End,BK8+1)))</f>
        <v>0</v>
      </c>
      <c r="BM7" s="469" t="b">
        <f>IF(SUM($K7:BL7)=0,DATE(YEAR(Date_Model_Start),1,1),IF(BL7,IF(BL8+1&lt;=Date_Operations_End,BL8+1)))</f>
        <v>0</v>
      </c>
      <c r="BN7" s="469" t="b">
        <f>IF(SUM($K7:BM7)=0,DATE(YEAR(Date_Model_Start),1,1),IF(BM7,IF(BM8+1&lt;=Date_Operations_End,BM8+1)))</f>
        <v>0</v>
      </c>
      <c r="BO7" s="469" t="b">
        <f>IF(SUM($K7:BN7)=0,DATE(YEAR(Date_Model_Start),1,1),IF(BN7,IF(BN8+1&lt;=Date_Operations_End,BN8+1)))</f>
        <v>0</v>
      </c>
      <c r="BP7" s="469" t="b">
        <f>IF(SUM($K7:BO7)=0,DATE(YEAR(Date_Model_Start),1,1),IF(BO7,IF(BO8+1&lt;=Date_Operations_End,BO8+1)))</f>
        <v>0</v>
      </c>
      <c r="BQ7" s="469" t="b">
        <f>IF(SUM($K7:BP7)=0,DATE(YEAR(Date_Model_Start),1,1),IF(BP7,IF(BP8+1&lt;=Date_Operations_End,BP8+1)))</f>
        <v>0</v>
      </c>
      <c r="BR7" s="469" t="b">
        <f>IF(SUM($K7:BQ7)=0,DATE(YEAR(Date_Model_Start),1,1),IF(BQ7,IF(BQ8+1&lt;=Date_Operations_End,BQ8+1)))</f>
        <v>0</v>
      </c>
      <c r="BS7" s="469" t="b">
        <f>IF(SUM($K7:BR7)=0,DATE(YEAR(Date_Model_Start),1,1),IF(BR7,IF(BR8+1&lt;=Date_Operations_End,BR8+1)))</f>
        <v>0</v>
      </c>
      <c r="BT7" s="469" t="b">
        <f>IF(SUM($K7:BS7)=0,DATE(YEAR(Date_Model_Start),1,1),IF(BS7,IF(BS8+1&lt;=Date_Operations_End,BS8+1)))</f>
        <v>0</v>
      </c>
      <c r="BU7" s="469" t="b">
        <f>IF(SUM($K7:BT7)=0,DATE(YEAR(Date_Model_Start),1,1),IF(BT7,IF(BT8+1&lt;=Date_Operations_End,BT8+1)))</f>
        <v>0</v>
      </c>
      <c r="BV7" s="469" t="b">
        <f>IF(SUM($K7:BU7)=0,DATE(YEAR(Date_Model_Start),1,1),IF(BU7,IF(BU8+1&lt;=Date_Operations_End,BU8+1)))</f>
        <v>0</v>
      </c>
      <c r="BW7" s="469" t="b">
        <f>IF(SUM($K7:BV7)=0,DATE(YEAR(Date_Model_Start),1,1),IF(BV7,IF(BV8+1&lt;=Date_Operations_End,BV8+1)))</f>
        <v>0</v>
      </c>
      <c r="BX7" s="469" t="b">
        <f>IF(SUM($K7:BW7)=0,DATE(YEAR(Date_Model_Start),1,1),IF(BW7,IF(BW8+1&lt;=Date_Operations_End,BW8+1)))</f>
        <v>0</v>
      </c>
      <c r="BY7" s="469" t="b">
        <f>IF(SUM($K7:BX7)=0,DATE(YEAR(Date_Model_Start),1,1),IF(BX7,IF(BX8+1&lt;=Date_Operations_End,BX8+1)))</f>
        <v>0</v>
      </c>
      <c r="BZ7" s="469" t="b">
        <f>IF(SUM($K7:BY7)=0,DATE(YEAR(Date_Model_Start),1,1),IF(BY7,IF(BY8+1&lt;=Date_Operations_End,BY8+1)))</f>
        <v>0</v>
      </c>
      <c r="CA7" s="469" t="b">
        <f>IF(SUM($K7:BZ7)=0,DATE(YEAR(Date_Model_Start),1,1),IF(BZ7,IF(BZ8+1&lt;=Date_Operations_End,BZ8+1)))</f>
        <v>0</v>
      </c>
      <c r="CB7" s="469" t="b">
        <f>IF(SUM($K7:CA7)=0,DATE(YEAR(Date_Model_Start),1,1),IF(CA7,IF(CA8+1&lt;=Date_Operations_End,CA8+1)))</f>
        <v>0</v>
      </c>
      <c r="CC7" s="469" t="b">
        <f>IF(SUM($K7:CB7)=0,DATE(YEAR(Date_Model_Start),1,1),IF(CB7,IF(CB8+1&lt;=Date_Operations_End,CB8+1)))</f>
        <v>0</v>
      </c>
      <c r="CD7" s="469" t="b">
        <f>IF(SUM($K7:CC7)=0,DATE(YEAR(Date_Model_Start),1,1),IF(CC7,IF(CC8+1&lt;=Date_Operations_End,CC8+1)))</f>
        <v>0</v>
      </c>
      <c r="CE7" s="469" t="b">
        <f>IF(SUM($K7:CD7)=0,DATE(YEAR(Date_Model_Start),1,1),IF(CD7,IF(CD8+1&lt;=Date_Operations_End,CD8+1)))</f>
        <v>0</v>
      </c>
      <c r="CF7" s="469" t="b">
        <f>IF(SUM($K7:CE7)=0,DATE(YEAR(Date_Model_Start),1,1),IF(CE7,IF(CE8+1&lt;=Date_Operations_End,CE8+1)))</f>
        <v>0</v>
      </c>
      <c r="CG7" s="469" t="b">
        <f>IF(SUM($K7:CF7)=0,DATE(YEAR(Date_Model_Start),1,1),IF(CF7,IF(CF8+1&lt;=Date_Operations_End,CF8+1)))</f>
        <v>0</v>
      </c>
      <c r="CH7" s="469" t="b">
        <f>IF(SUM($K7:CG7)=0,DATE(YEAR(Date_Model_Start),1,1),IF(CG7,IF(CG8+1&lt;=Date_Operations_End,CG8+1)))</f>
        <v>0</v>
      </c>
      <c r="CI7" s="469" t="b">
        <f>IF(SUM($K7:CH7)=0,DATE(YEAR(Date_Model_Start),1,1),IF(CH7,IF(CH8+1&lt;=Date_Operations_End,CH8+1)))</f>
        <v>0</v>
      </c>
      <c r="CJ7" s="469" t="b">
        <f>IF(SUM($K7:CI7)=0,DATE(YEAR(Date_Model_Start),1,1),IF(CI7,IF(CI8+1&lt;=Date_Operations_End,CI8+1)))</f>
        <v>0</v>
      </c>
      <c r="CK7" s="469" t="b">
        <f>IF(SUM($K7:CJ7)=0,DATE(YEAR(Date_Model_Start),1,1),IF(CJ7,IF(CJ8+1&lt;=Date_Operations_End,CJ8+1)))</f>
        <v>0</v>
      </c>
      <c r="CL7" s="469" t="b">
        <f>IF(SUM($K7:CK7)=0,DATE(YEAR(Date_Model_Start),1,1),IF(CK7,IF(CK8+1&lt;=Date_Operations_End,CK8+1)))</f>
        <v>0</v>
      </c>
      <c r="CM7" s="469" t="b">
        <f>IF(SUM($K7:CL7)=0,DATE(YEAR(Date_Model_Start),1,1),IF(CL7,IF(CL8+1&lt;=Date_Operations_End,CL8+1)))</f>
        <v>0</v>
      </c>
      <c r="CN7" s="469" t="b">
        <f>IF(SUM($K7:CM7)=0,DATE(YEAR(Date_Model_Start),1,1),IF(CM7,IF(CM8+1&lt;=Date_Operations_End,CM8+1)))</f>
        <v>0</v>
      </c>
      <c r="CO7" s="469" t="b">
        <f>IF(SUM($K7:CN7)=0,DATE(YEAR(Date_Model_Start),1,1),IF(CN7,IF(CN8+1&lt;=Date_Operations_End,CN8+1)))</f>
        <v>0</v>
      </c>
    </row>
    <row r="8" spans="1:93" s="133" customFormat="1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469">
        <f t="shared" ref="L8:AQ8" si="2">MIN(IF(L7,EOMONTH(L$7,Months_in_Year-1)),Date_Operations_End)</f>
        <v>46022</v>
      </c>
      <c r="M8" s="469">
        <f t="shared" si="2"/>
        <v>46387</v>
      </c>
      <c r="N8" s="469">
        <f t="shared" si="2"/>
        <v>46752</v>
      </c>
      <c r="O8" s="469">
        <f t="shared" si="2"/>
        <v>47118</v>
      </c>
      <c r="P8" s="469">
        <f t="shared" si="2"/>
        <v>47483</v>
      </c>
      <c r="Q8" s="469">
        <f t="shared" si="2"/>
        <v>47848</v>
      </c>
      <c r="R8" s="469">
        <f t="shared" si="2"/>
        <v>48213</v>
      </c>
      <c r="S8" s="469">
        <f t="shared" si="2"/>
        <v>48579</v>
      </c>
      <c r="T8" s="469">
        <f t="shared" si="2"/>
        <v>48944</v>
      </c>
      <c r="U8" s="469">
        <f t="shared" si="2"/>
        <v>49309</v>
      </c>
      <c r="V8" s="469">
        <f t="shared" si="2"/>
        <v>49674</v>
      </c>
      <c r="W8" s="469">
        <f t="shared" si="2"/>
        <v>50040</v>
      </c>
      <c r="X8" s="469">
        <f t="shared" si="2"/>
        <v>50405</v>
      </c>
      <c r="Y8" s="469">
        <f t="shared" si="2"/>
        <v>50770</v>
      </c>
      <c r="Z8" s="469">
        <f t="shared" si="2"/>
        <v>51135</v>
      </c>
      <c r="AA8" s="469">
        <f t="shared" si="2"/>
        <v>51501</v>
      </c>
      <c r="AB8" s="469">
        <f t="shared" si="2"/>
        <v>51866</v>
      </c>
      <c r="AC8" s="469">
        <f t="shared" si="2"/>
        <v>52231</v>
      </c>
      <c r="AD8" s="469">
        <f t="shared" si="2"/>
        <v>52596</v>
      </c>
      <c r="AE8" s="469">
        <f t="shared" si="2"/>
        <v>52962</v>
      </c>
      <c r="AF8" s="469">
        <f t="shared" si="2"/>
        <v>53327</v>
      </c>
      <c r="AG8" s="469">
        <f t="shared" si="2"/>
        <v>53692</v>
      </c>
      <c r="AH8" s="469">
        <f t="shared" si="2"/>
        <v>54057</v>
      </c>
      <c r="AI8" s="469">
        <f t="shared" si="2"/>
        <v>54423</v>
      </c>
      <c r="AJ8" s="469">
        <f t="shared" si="2"/>
        <v>54513</v>
      </c>
      <c r="AK8" s="469">
        <f t="shared" si="2"/>
        <v>0</v>
      </c>
      <c r="AL8" s="469">
        <f t="shared" si="2"/>
        <v>0</v>
      </c>
      <c r="AM8" s="469">
        <f t="shared" si="2"/>
        <v>0</v>
      </c>
      <c r="AN8" s="469">
        <f t="shared" si="2"/>
        <v>0</v>
      </c>
      <c r="AO8" s="469">
        <f t="shared" si="2"/>
        <v>0</v>
      </c>
      <c r="AP8" s="469">
        <f t="shared" si="2"/>
        <v>0</v>
      </c>
      <c r="AQ8" s="469">
        <f t="shared" si="2"/>
        <v>0</v>
      </c>
      <c r="AR8" s="469">
        <f t="shared" ref="AR8:BW8" si="3">MIN(IF(AR7,EOMONTH(AR$7,Months_in_Year-1)),Date_Operations_End)</f>
        <v>0</v>
      </c>
      <c r="AS8" s="469">
        <f t="shared" si="3"/>
        <v>0</v>
      </c>
      <c r="AT8" s="469">
        <f t="shared" si="3"/>
        <v>0</v>
      </c>
      <c r="AU8" s="469">
        <f t="shared" si="3"/>
        <v>0</v>
      </c>
      <c r="AV8" s="469">
        <f t="shared" si="3"/>
        <v>0</v>
      </c>
      <c r="AW8" s="469">
        <f t="shared" si="3"/>
        <v>0</v>
      </c>
      <c r="AX8" s="469">
        <f t="shared" si="3"/>
        <v>0</v>
      </c>
      <c r="AY8" s="469">
        <f t="shared" si="3"/>
        <v>0</v>
      </c>
      <c r="AZ8" s="469">
        <f t="shared" si="3"/>
        <v>0</v>
      </c>
      <c r="BA8" s="469">
        <f t="shared" si="3"/>
        <v>0</v>
      </c>
      <c r="BB8" s="469">
        <f t="shared" si="3"/>
        <v>0</v>
      </c>
      <c r="BC8" s="469">
        <f t="shared" si="3"/>
        <v>0</v>
      </c>
      <c r="BD8" s="469">
        <f t="shared" si="3"/>
        <v>0</v>
      </c>
      <c r="BE8" s="469">
        <f t="shared" si="3"/>
        <v>0</v>
      </c>
      <c r="BF8" s="469">
        <f t="shared" si="3"/>
        <v>0</v>
      </c>
      <c r="BG8" s="469">
        <f t="shared" si="3"/>
        <v>0</v>
      </c>
      <c r="BH8" s="469">
        <f t="shared" si="3"/>
        <v>0</v>
      </c>
      <c r="BI8" s="469">
        <f t="shared" si="3"/>
        <v>0</v>
      </c>
      <c r="BJ8" s="469">
        <f t="shared" si="3"/>
        <v>0</v>
      </c>
      <c r="BK8" s="469">
        <f t="shared" si="3"/>
        <v>0</v>
      </c>
      <c r="BL8" s="469">
        <f t="shared" si="3"/>
        <v>0</v>
      </c>
      <c r="BM8" s="469">
        <f t="shared" si="3"/>
        <v>0</v>
      </c>
      <c r="BN8" s="469">
        <f t="shared" si="3"/>
        <v>0</v>
      </c>
      <c r="BO8" s="469">
        <f t="shared" si="3"/>
        <v>0</v>
      </c>
      <c r="BP8" s="469">
        <f t="shared" si="3"/>
        <v>0</v>
      </c>
      <c r="BQ8" s="469">
        <f t="shared" si="3"/>
        <v>0</v>
      </c>
      <c r="BR8" s="469">
        <f t="shared" si="3"/>
        <v>0</v>
      </c>
      <c r="BS8" s="469">
        <f t="shared" si="3"/>
        <v>0</v>
      </c>
      <c r="BT8" s="469">
        <f t="shared" si="3"/>
        <v>0</v>
      </c>
      <c r="BU8" s="469">
        <f t="shared" si="3"/>
        <v>0</v>
      </c>
      <c r="BV8" s="469">
        <f t="shared" si="3"/>
        <v>0</v>
      </c>
      <c r="BW8" s="469">
        <f t="shared" si="3"/>
        <v>0</v>
      </c>
      <c r="BX8" s="469">
        <f t="shared" ref="BX8:CO8" si="4">MIN(IF(BX7,EOMONTH(BX$7,Months_in_Year-1)),Date_Operations_End)</f>
        <v>0</v>
      </c>
      <c r="BY8" s="469">
        <f t="shared" si="4"/>
        <v>0</v>
      </c>
      <c r="BZ8" s="469">
        <f t="shared" si="4"/>
        <v>0</v>
      </c>
      <c r="CA8" s="469">
        <f t="shared" si="4"/>
        <v>0</v>
      </c>
      <c r="CB8" s="469">
        <f t="shared" si="4"/>
        <v>0</v>
      </c>
      <c r="CC8" s="469">
        <f t="shared" si="4"/>
        <v>0</v>
      </c>
      <c r="CD8" s="469">
        <f t="shared" si="4"/>
        <v>0</v>
      </c>
      <c r="CE8" s="469">
        <f t="shared" si="4"/>
        <v>0</v>
      </c>
      <c r="CF8" s="469">
        <f t="shared" si="4"/>
        <v>0</v>
      </c>
      <c r="CG8" s="469">
        <f t="shared" si="4"/>
        <v>0</v>
      </c>
      <c r="CH8" s="469">
        <f t="shared" si="4"/>
        <v>0</v>
      </c>
      <c r="CI8" s="469">
        <f t="shared" si="4"/>
        <v>0</v>
      </c>
      <c r="CJ8" s="469">
        <f t="shared" si="4"/>
        <v>0</v>
      </c>
      <c r="CK8" s="469">
        <f t="shared" si="4"/>
        <v>0</v>
      </c>
      <c r="CL8" s="469">
        <f t="shared" si="4"/>
        <v>0</v>
      </c>
      <c r="CM8" s="469">
        <f t="shared" si="4"/>
        <v>0</v>
      </c>
      <c r="CN8" s="469">
        <f t="shared" si="4"/>
        <v>0</v>
      </c>
      <c r="CO8" s="469">
        <f t="shared" si="4"/>
        <v>0</v>
      </c>
    </row>
    <row r="9" spans="1:93" s="133" customFormat="1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>SUMIF(End_of_period,L$8,Отчетность!$L9:$CO9)</f>
        <v>1</v>
      </c>
      <c r="M9" s="152">
        <f>SUMIF(End_of_period,M$8,Отчетность!$L9:$CO9)</f>
        <v>1</v>
      </c>
      <c r="N9" s="152">
        <f>SUMIF(End_of_period,N$8,Отчетность!$L9:$CO9)</f>
        <v>1</v>
      </c>
      <c r="O9" s="152">
        <f>SUMIF(End_of_period,O$8,Отчетность!$L9:$CO9)</f>
        <v>1</v>
      </c>
      <c r="P9" s="152">
        <f>SUMIF(End_of_period,P$8,Отчетность!$L9:$CO9)</f>
        <v>2</v>
      </c>
      <c r="Q9" s="152">
        <f>SUMIF(End_of_period,Q$8,Отчетность!$L9:$CO9)</f>
        <v>2</v>
      </c>
      <c r="R9" s="152">
        <f>SUMIF(End_of_period,R$8,Отчетность!$L9:$CO9)</f>
        <v>2</v>
      </c>
      <c r="S9" s="152">
        <f>SUMIF(End_of_period,S$8,Отчетность!$L9:$CO9)</f>
        <v>2</v>
      </c>
      <c r="T9" s="152">
        <f>SUMIF(End_of_period,T$8,Отчетность!$L9:$CO9)</f>
        <v>2</v>
      </c>
      <c r="U9" s="152">
        <f>SUMIF(End_of_period,U$8,Отчетность!$L9:$CO9)</f>
        <v>2</v>
      </c>
      <c r="V9" s="152">
        <f>SUMIF(End_of_period,V$8,Отчетность!$L9:$CO9)</f>
        <v>2</v>
      </c>
      <c r="W9" s="152">
        <f>SUMIF(End_of_period,W$8,Отчетность!$L9:$CO9)</f>
        <v>2</v>
      </c>
      <c r="X9" s="152">
        <f>SUMIF(End_of_period,X$8,Отчетность!$L9:$CO9)</f>
        <v>2</v>
      </c>
      <c r="Y9" s="152">
        <f>SUMIF(End_of_period,Y$8,Отчетность!$L9:$CO9)</f>
        <v>2</v>
      </c>
      <c r="Z9" s="152">
        <f>SUMIF(End_of_period,Z$8,Отчетность!$L9:$CO9)</f>
        <v>2</v>
      </c>
      <c r="AA9" s="152">
        <f>SUMIF(End_of_period,AA$8,Отчетность!$L9:$CO9)</f>
        <v>2</v>
      </c>
      <c r="AB9" s="152">
        <f>SUMIF(End_of_period,AB$8,Отчетность!$L9:$CO9)</f>
        <v>2</v>
      </c>
      <c r="AC9" s="152">
        <f>SUMIF(End_of_period,AC$8,Отчетность!$L9:$CO9)</f>
        <v>2</v>
      </c>
      <c r="AD9" s="152">
        <f>SUMIF(End_of_period,AD$8,Отчетность!$L9:$CO9)</f>
        <v>2</v>
      </c>
      <c r="AE9" s="152">
        <f>SUMIF(End_of_period,AE$8,Отчетность!$L9:$CO9)</f>
        <v>2</v>
      </c>
      <c r="AF9" s="152">
        <f>SUMIF(End_of_period,AF$8,Отчетность!$L9:$CO9)</f>
        <v>0</v>
      </c>
      <c r="AG9" s="152">
        <f>SUMIF(End_of_period,AG$8,Отчетность!$L9:$CO9)</f>
        <v>0</v>
      </c>
      <c r="AH9" s="152">
        <f>SUMIF(End_of_period,AH$8,Отчетность!$L9:$CO9)</f>
        <v>0</v>
      </c>
      <c r="AI9" s="152">
        <f>SUMIF(End_of_period,AI$8,Отчетность!$L9:$CO9)</f>
        <v>0</v>
      </c>
      <c r="AJ9" s="152">
        <f>SUMIF(End_of_period,AJ$8,Отчетность!$L9:$CO9)</f>
        <v>0</v>
      </c>
      <c r="AK9" s="152">
        <f>SUMIF(End_of_period,AK$8,Отчетность!$L9:$CO9)</f>
        <v>0</v>
      </c>
      <c r="AL9" s="152">
        <f>SUMIF(End_of_period,AL$8,Отчетность!$L9:$CO9)</f>
        <v>0</v>
      </c>
      <c r="AM9" s="152">
        <f>SUMIF(End_of_period,AM$8,Отчетность!$L9:$CO9)</f>
        <v>0</v>
      </c>
      <c r="AN9" s="152">
        <f>SUMIF(End_of_period,AN$8,Отчетность!$L9:$CO9)</f>
        <v>0</v>
      </c>
      <c r="AO9" s="152">
        <f>SUMIF(End_of_period,AO$8,Отчетность!$L9:$CO9)</f>
        <v>0</v>
      </c>
      <c r="AP9" s="152">
        <f>SUMIF(End_of_period,AP$8,Отчетность!$L9:$CO9)</f>
        <v>0</v>
      </c>
      <c r="AQ9" s="152">
        <f>SUMIF(End_of_period,AQ$8,Отчетность!$L9:$CO9)</f>
        <v>0</v>
      </c>
      <c r="AR9" s="152">
        <f>SUMIF(End_of_period,AR$8,Отчетность!$L9:$CO9)</f>
        <v>0</v>
      </c>
      <c r="AS9" s="152">
        <f>SUMIF(End_of_period,AS$8,Отчетность!$L9:$CO9)</f>
        <v>0</v>
      </c>
      <c r="AT9" s="152">
        <f>SUMIF(End_of_period,AT$8,Отчетность!$L9:$CO9)</f>
        <v>0</v>
      </c>
      <c r="AU9" s="152">
        <f>SUMIF(End_of_period,AU$8,Отчетность!$L9:$CO9)</f>
        <v>0</v>
      </c>
      <c r="AV9" s="152">
        <f>SUMIF(End_of_period,AV$8,Отчетность!$L9:$CO9)</f>
        <v>0</v>
      </c>
      <c r="AW9" s="152">
        <f>SUMIF(End_of_period,AW$8,Отчетность!$L9:$CO9)</f>
        <v>0</v>
      </c>
      <c r="AX9" s="152">
        <f>SUMIF(End_of_period,AX$8,Отчетность!$L9:$CO9)</f>
        <v>0</v>
      </c>
      <c r="AY9" s="152">
        <f>SUMIF(End_of_period,AY$8,Отчетность!$L9:$CO9)</f>
        <v>0</v>
      </c>
      <c r="AZ9" s="152">
        <f>SUMIF(End_of_period,AZ$8,Отчетность!$L9:$CO9)</f>
        <v>0</v>
      </c>
      <c r="BA9" s="152">
        <f>SUMIF(End_of_period,BA$8,Отчетность!$L9:$CO9)</f>
        <v>0</v>
      </c>
      <c r="BB9" s="152">
        <f>SUMIF(End_of_period,BB$8,Отчетность!$L9:$CO9)</f>
        <v>0</v>
      </c>
      <c r="BC9" s="152">
        <f>SUMIF(End_of_period,BC$8,Отчетность!$L9:$CO9)</f>
        <v>0</v>
      </c>
      <c r="BD9" s="152">
        <f>SUMIF(End_of_period,BD$8,Отчетность!$L9:$CO9)</f>
        <v>0</v>
      </c>
      <c r="BE9" s="152">
        <f>SUMIF(End_of_period,BE$8,Отчетность!$L9:$CO9)</f>
        <v>0</v>
      </c>
      <c r="BF9" s="152">
        <f>SUMIF(End_of_period,BF$8,Отчетность!$L9:$CO9)</f>
        <v>0</v>
      </c>
      <c r="BG9" s="152">
        <f>SUMIF(End_of_period,BG$8,Отчетность!$L9:$CO9)</f>
        <v>0</v>
      </c>
      <c r="BH9" s="152">
        <f>SUMIF(End_of_period,BH$8,Отчетность!$L9:$CO9)</f>
        <v>0</v>
      </c>
      <c r="BI9" s="152">
        <f>SUMIF(End_of_period,BI$8,Отчетность!$L9:$CO9)</f>
        <v>0</v>
      </c>
      <c r="BJ9" s="152">
        <f>SUMIF(End_of_period,BJ$8,Отчетность!$L9:$CO9)</f>
        <v>0</v>
      </c>
      <c r="BK9" s="152">
        <f>SUMIF(End_of_period,BK$8,Отчетность!$L9:$CO9)</f>
        <v>0</v>
      </c>
      <c r="BL9" s="152">
        <f>SUMIF(End_of_period,BL$8,Отчетность!$L9:$CO9)</f>
        <v>0</v>
      </c>
      <c r="BM9" s="152">
        <f>SUMIF(End_of_period,BM$8,Отчетность!$L9:$CO9)</f>
        <v>0</v>
      </c>
      <c r="BN9" s="152">
        <f>SUMIF(End_of_period,BN$8,Отчетность!$L9:$CO9)</f>
        <v>0</v>
      </c>
      <c r="BO9" s="152">
        <f>SUMIF(End_of_period,BO$8,Отчетность!$L9:$CO9)</f>
        <v>0</v>
      </c>
      <c r="BP9" s="152">
        <f>SUMIF(End_of_period,BP$8,Отчетность!$L9:$CO9)</f>
        <v>0</v>
      </c>
      <c r="BQ9" s="152">
        <f>SUMIF(End_of_period,BQ$8,Отчетность!$L9:$CO9)</f>
        <v>0</v>
      </c>
      <c r="BR9" s="152">
        <f>SUMIF(End_of_period,BR$8,Отчетность!$L9:$CO9)</f>
        <v>0</v>
      </c>
      <c r="BS9" s="152">
        <f>SUMIF(End_of_period,BS$8,Отчетность!$L9:$CO9)</f>
        <v>0</v>
      </c>
      <c r="BT9" s="152">
        <f>SUMIF(End_of_period,BT$8,Отчетность!$L9:$CO9)</f>
        <v>0</v>
      </c>
      <c r="BU9" s="152">
        <f>SUMIF(End_of_period,BU$8,Отчетность!$L9:$CO9)</f>
        <v>0</v>
      </c>
      <c r="BV9" s="152">
        <f>SUMIF(End_of_period,BV$8,Отчетность!$L9:$CO9)</f>
        <v>0</v>
      </c>
      <c r="BW9" s="152">
        <f>SUMIF(End_of_period,BW$8,Отчетность!$L9:$CO9)</f>
        <v>0</v>
      </c>
      <c r="BX9" s="152">
        <f>SUMIF(End_of_period,BX$8,Отчетность!$L9:$CO9)</f>
        <v>0</v>
      </c>
      <c r="BY9" s="152">
        <f>SUMIF(End_of_period,BY$8,Отчетность!$L9:$CO9)</f>
        <v>0</v>
      </c>
      <c r="BZ9" s="152">
        <f>SUMIF(End_of_period,BZ$8,Отчетность!$L9:$CO9)</f>
        <v>0</v>
      </c>
      <c r="CA9" s="152">
        <f>SUMIF(End_of_period,CA$8,Отчетность!$L9:$CO9)</f>
        <v>0</v>
      </c>
      <c r="CB9" s="152">
        <f>SUMIF(End_of_period,CB$8,Отчетность!$L9:$CO9)</f>
        <v>0</v>
      </c>
      <c r="CC9" s="152">
        <f>SUMIF(End_of_period,CC$8,Отчетность!$L9:$CO9)</f>
        <v>0</v>
      </c>
      <c r="CD9" s="152">
        <f>SUMIF(End_of_period,CD$8,Отчетность!$L9:$CO9)</f>
        <v>0</v>
      </c>
      <c r="CE9" s="152">
        <f>SUMIF(End_of_period,CE$8,Отчетность!$L9:$CO9)</f>
        <v>0</v>
      </c>
      <c r="CF9" s="152">
        <f>SUMIF(End_of_period,CF$8,Отчетность!$L9:$CO9)</f>
        <v>0</v>
      </c>
      <c r="CG9" s="152">
        <f>SUMIF(End_of_period,CG$8,Отчетность!$L9:$CO9)</f>
        <v>0</v>
      </c>
      <c r="CH9" s="152">
        <f>SUMIF(End_of_period,CH$8,Отчетность!$L9:$CO9)</f>
        <v>0</v>
      </c>
      <c r="CI9" s="152">
        <f>SUMIF(End_of_period,CI$8,Отчетность!$L9:$CO9)</f>
        <v>0</v>
      </c>
      <c r="CJ9" s="152">
        <f>SUMIF(End_of_period,CJ$8,Отчетность!$L9:$CO9)</f>
        <v>0</v>
      </c>
      <c r="CK9" s="152">
        <f>SUMIF(End_of_period,CK$8,Отчетность!$L9:$CO9)</f>
        <v>0</v>
      </c>
      <c r="CL9" s="152">
        <f>SUMIF(End_of_period,CL$8,Отчетность!$L9:$CO9)</f>
        <v>0</v>
      </c>
      <c r="CM9" s="152">
        <f>SUMIF(End_of_period,CM$8,Отчетность!$L9:$CO9)</f>
        <v>0</v>
      </c>
      <c r="CN9" s="152">
        <f>SUMIF(End_of_period,CN$8,Отчетность!$L9:$CO9)</f>
        <v>0</v>
      </c>
      <c r="CO9" s="152">
        <f>SUMIF(End_of_period,CO$8,Отчетность!$L9:$CO9)</f>
        <v>0</v>
      </c>
    </row>
    <row r="10" spans="1:93" ht="15" customHeight="1">
      <c r="A10" s="3"/>
      <c r="B10" s="3"/>
      <c r="C10" s="47"/>
      <c r="D10" s="3"/>
      <c r="E10" s="3"/>
      <c r="F10" s="3"/>
      <c r="G10" s="4"/>
      <c r="H10" s="3"/>
      <c r="I10" s="3"/>
      <c r="J10" s="3"/>
      <c r="K10" s="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22.5" customHeight="1">
      <c r="A11" s="3"/>
      <c r="B11" s="5" t="s">
        <v>311</v>
      </c>
      <c r="C11" s="5"/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75" customFormat="1">
      <c r="A12" s="73"/>
      <c r="B12" s="73"/>
      <c r="C12" s="73"/>
      <c r="D12" s="73"/>
      <c r="E12" s="74"/>
      <c r="F12" s="73"/>
      <c r="G12" s="72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</row>
    <row r="13" spans="1:93" s="133" customFormat="1">
      <c r="A13" s="10"/>
      <c r="B13" s="130" t="s">
        <v>62</v>
      </c>
      <c r="C13" s="35" t="s">
        <v>63</v>
      </c>
      <c r="D13" s="130"/>
      <c r="E13" s="47"/>
      <c r="F13" s="130"/>
      <c r="G13" s="131" t="str">
        <f>Monetary_Unit</f>
        <v>тыс. руб.</v>
      </c>
      <c r="H13" s="130"/>
      <c r="I13" s="10"/>
      <c r="J13" s="10"/>
      <c r="K13" s="10"/>
      <c r="L13" s="132">
        <f t="shared" ref="L13:AQ13" ca="1" si="5">SUM(L14:L15)</f>
        <v>73412.613832305549</v>
      </c>
      <c r="M13" s="132">
        <f t="shared" ca="1" si="5"/>
        <v>711442.88469485159</v>
      </c>
      <c r="N13" s="132">
        <f t="shared" ca="1" si="5"/>
        <v>1427536.0451342026</v>
      </c>
      <c r="O13" s="132">
        <f t="shared" ca="1" si="5"/>
        <v>2837610.5859134705</v>
      </c>
      <c r="P13" s="132">
        <f t="shared" ca="1" si="5"/>
        <v>3305069.948116506</v>
      </c>
      <c r="Q13" s="132">
        <f t="shared" ca="1" si="5"/>
        <v>3117599.0552176745</v>
      </c>
      <c r="R13" s="132">
        <f t="shared" ca="1" si="5"/>
        <v>2930128.162318843</v>
      </c>
      <c r="S13" s="132">
        <f t="shared" ca="1" si="5"/>
        <v>2742657.2694200114</v>
      </c>
      <c r="T13" s="132">
        <f t="shared" ca="1" si="5"/>
        <v>2555186.3765211799</v>
      </c>
      <c r="U13" s="132">
        <f t="shared" ca="1" si="5"/>
        <v>2367715.4836223484</v>
      </c>
      <c r="V13" s="132">
        <f t="shared" ca="1" si="5"/>
        <v>2180244.5907235169</v>
      </c>
      <c r="W13" s="132">
        <f t="shared" ca="1" si="5"/>
        <v>2063810.2305151522</v>
      </c>
      <c r="X13" s="132">
        <f t="shared" ca="1" si="5"/>
        <v>1971054.7145369435</v>
      </c>
      <c r="Y13" s="132">
        <f t="shared" ca="1" si="5"/>
        <v>1878299.1985587347</v>
      </c>
      <c r="Z13" s="132">
        <f t="shared" ca="1" si="5"/>
        <v>1785543.682580526</v>
      </c>
      <c r="AA13" s="132">
        <f t="shared" ca="1" si="5"/>
        <v>1692788.1666023172</v>
      </c>
      <c r="AB13" s="132">
        <f t="shared" ca="1" si="5"/>
        <v>1600032.6506241085</v>
      </c>
      <c r="AC13" s="132">
        <f t="shared" ca="1" si="5"/>
        <v>1507277.1346458998</v>
      </c>
      <c r="AD13" s="132">
        <f t="shared" ca="1" si="5"/>
        <v>1414521.618667691</v>
      </c>
      <c r="AE13" s="132">
        <f t="shared" ca="1" si="5"/>
        <v>1321766.1026894823</v>
      </c>
      <c r="AF13" s="132">
        <f t="shared" si="5"/>
        <v>0</v>
      </c>
      <c r="AG13" s="132">
        <f t="shared" si="5"/>
        <v>0</v>
      </c>
      <c r="AH13" s="132">
        <f t="shared" si="5"/>
        <v>0</v>
      </c>
      <c r="AI13" s="132">
        <f t="shared" si="5"/>
        <v>0</v>
      </c>
      <c r="AJ13" s="132">
        <f t="shared" si="5"/>
        <v>0</v>
      </c>
      <c r="AK13" s="132">
        <f t="shared" si="5"/>
        <v>0</v>
      </c>
      <c r="AL13" s="132">
        <f t="shared" si="5"/>
        <v>0</v>
      </c>
      <c r="AM13" s="132">
        <f t="shared" si="5"/>
        <v>0</v>
      </c>
      <c r="AN13" s="132">
        <f t="shared" si="5"/>
        <v>0</v>
      </c>
      <c r="AO13" s="132">
        <f t="shared" si="5"/>
        <v>0</v>
      </c>
      <c r="AP13" s="132">
        <f t="shared" si="5"/>
        <v>0</v>
      </c>
      <c r="AQ13" s="132">
        <f t="shared" si="5"/>
        <v>0</v>
      </c>
      <c r="AR13" s="132">
        <f t="shared" ref="AR13:CO13" si="6">SUM(AR14:AR15)</f>
        <v>0</v>
      </c>
      <c r="AS13" s="132">
        <f t="shared" si="6"/>
        <v>0</v>
      </c>
      <c r="AT13" s="132">
        <f t="shared" si="6"/>
        <v>0</v>
      </c>
      <c r="AU13" s="132">
        <f t="shared" si="6"/>
        <v>0</v>
      </c>
      <c r="AV13" s="132">
        <f t="shared" si="6"/>
        <v>0</v>
      </c>
      <c r="AW13" s="132">
        <f t="shared" si="6"/>
        <v>0</v>
      </c>
      <c r="AX13" s="132">
        <f t="shared" si="6"/>
        <v>0</v>
      </c>
      <c r="AY13" s="132">
        <f t="shared" si="6"/>
        <v>0</v>
      </c>
      <c r="AZ13" s="132">
        <f t="shared" si="6"/>
        <v>0</v>
      </c>
      <c r="BA13" s="132">
        <f t="shared" si="6"/>
        <v>0</v>
      </c>
      <c r="BB13" s="132">
        <f t="shared" si="6"/>
        <v>0</v>
      </c>
      <c r="BC13" s="132">
        <f t="shared" si="6"/>
        <v>0</v>
      </c>
      <c r="BD13" s="132">
        <f t="shared" si="6"/>
        <v>0</v>
      </c>
      <c r="BE13" s="132">
        <f t="shared" si="6"/>
        <v>0</v>
      </c>
      <c r="BF13" s="132">
        <f t="shared" si="6"/>
        <v>0</v>
      </c>
      <c r="BG13" s="132">
        <f t="shared" si="6"/>
        <v>0</v>
      </c>
      <c r="BH13" s="132">
        <f t="shared" si="6"/>
        <v>0</v>
      </c>
      <c r="BI13" s="132">
        <f t="shared" si="6"/>
        <v>0</v>
      </c>
      <c r="BJ13" s="132">
        <f t="shared" si="6"/>
        <v>0</v>
      </c>
      <c r="BK13" s="132">
        <f t="shared" si="6"/>
        <v>0</v>
      </c>
      <c r="BL13" s="132">
        <f t="shared" si="6"/>
        <v>0</v>
      </c>
      <c r="BM13" s="132">
        <f t="shared" si="6"/>
        <v>0</v>
      </c>
      <c r="BN13" s="132">
        <f t="shared" si="6"/>
        <v>0</v>
      </c>
      <c r="BO13" s="132">
        <f t="shared" si="6"/>
        <v>0</v>
      </c>
      <c r="BP13" s="132">
        <f t="shared" si="6"/>
        <v>0</v>
      </c>
      <c r="BQ13" s="132">
        <f t="shared" si="6"/>
        <v>0</v>
      </c>
      <c r="BR13" s="132">
        <f t="shared" si="6"/>
        <v>0</v>
      </c>
      <c r="BS13" s="132">
        <f t="shared" si="6"/>
        <v>0</v>
      </c>
      <c r="BT13" s="132">
        <f t="shared" si="6"/>
        <v>0</v>
      </c>
      <c r="BU13" s="132">
        <f t="shared" si="6"/>
        <v>0</v>
      </c>
      <c r="BV13" s="132">
        <f t="shared" si="6"/>
        <v>0</v>
      </c>
      <c r="BW13" s="132">
        <f t="shared" si="6"/>
        <v>0</v>
      </c>
      <c r="BX13" s="132">
        <f t="shared" si="6"/>
        <v>0</v>
      </c>
      <c r="BY13" s="132">
        <f t="shared" si="6"/>
        <v>0</v>
      </c>
      <c r="BZ13" s="132">
        <f t="shared" si="6"/>
        <v>0</v>
      </c>
      <c r="CA13" s="132">
        <f t="shared" si="6"/>
        <v>0</v>
      </c>
      <c r="CB13" s="132">
        <f t="shared" si="6"/>
        <v>0</v>
      </c>
      <c r="CC13" s="132">
        <f t="shared" si="6"/>
        <v>0</v>
      </c>
      <c r="CD13" s="132">
        <f t="shared" si="6"/>
        <v>0</v>
      </c>
      <c r="CE13" s="132">
        <f t="shared" si="6"/>
        <v>0</v>
      </c>
      <c r="CF13" s="132">
        <f t="shared" si="6"/>
        <v>0</v>
      </c>
      <c r="CG13" s="132">
        <f t="shared" si="6"/>
        <v>0</v>
      </c>
      <c r="CH13" s="132">
        <f t="shared" si="6"/>
        <v>0</v>
      </c>
      <c r="CI13" s="132">
        <f t="shared" si="6"/>
        <v>0</v>
      </c>
      <c r="CJ13" s="132">
        <f t="shared" si="6"/>
        <v>0</v>
      </c>
      <c r="CK13" s="132">
        <f t="shared" si="6"/>
        <v>0</v>
      </c>
      <c r="CL13" s="132">
        <f t="shared" si="6"/>
        <v>0</v>
      </c>
      <c r="CM13" s="132">
        <f t="shared" si="6"/>
        <v>0</v>
      </c>
      <c r="CN13" s="132">
        <f t="shared" si="6"/>
        <v>0</v>
      </c>
      <c r="CO13" s="132">
        <f t="shared" si="6"/>
        <v>0</v>
      </c>
    </row>
    <row r="14" spans="1:93" s="133" customFormat="1" ht="14.25">
      <c r="A14" s="10"/>
      <c r="B14" s="10"/>
      <c r="C14" s="10" t="s">
        <v>64</v>
      </c>
      <c r="D14" s="10"/>
      <c r="E14" s="10"/>
      <c r="F14" s="10"/>
      <c r="G14" s="134" t="str">
        <f>Monetary_Unit</f>
        <v>тыс. руб.</v>
      </c>
      <c r="H14" s="10"/>
      <c r="I14" s="10"/>
      <c r="J14" s="10"/>
      <c r="K14" s="10"/>
      <c r="L14" s="10">
        <f t="shared" ref="L14:AQ14" ca="1" si="7">SUMIF(End_of_period,L$8,CIP_EoP)</f>
        <v>73412.613832305549</v>
      </c>
      <c r="M14" s="10">
        <f t="shared" ca="1" si="7"/>
        <v>711442.88469485159</v>
      </c>
      <c r="N14" s="10">
        <f t="shared" ca="1" si="7"/>
        <v>1427536.0451342026</v>
      </c>
      <c r="O14" s="10">
        <f t="shared" ca="1" si="7"/>
        <v>2837610.5859134705</v>
      </c>
      <c r="P14" s="10">
        <f t="shared" ca="1" si="7"/>
        <v>0</v>
      </c>
      <c r="Q14" s="10">
        <f t="shared" ca="1" si="7"/>
        <v>0</v>
      </c>
      <c r="R14" s="10">
        <f t="shared" ca="1" si="7"/>
        <v>0</v>
      </c>
      <c r="S14" s="10">
        <f t="shared" ca="1" si="7"/>
        <v>0</v>
      </c>
      <c r="T14" s="10">
        <f t="shared" ca="1" si="7"/>
        <v>0</v>
      </c>
      <c r="U14" s="10">
        <f t="shared" ca="1" si="7"/>
        <v>0</v>
      </c>
      <c r="V14" s="10">
        <f t="shared" ca="1" si="7"/>
        <v>0</v>
      </c>
      <c r="W14" s="10">
        <f t="shared" ca="1" si="7"/>
        <v>0</v>
      </c>
      <c r="X14" s="10">
        <f t="shared" ca="1" si="7"/>
        <v>0</v>
      </c>
      <c r="Y14" s="10">
        <f t="shared" ca="1" si="7"/>
        <v>0</v>
      </c>
      <c r="Z14" s="10">
        <f t="shared" ca="1" si="7"/>
        <v>0</v>
      </c>
      <c r="AA14" s="10">
        <f t="shared" ca="1" si="7"/>
        <v>0</v>
      </c>
      <c r="AB14" s="10">
        <f t="shared" ca="1" si="7"/>
        <v>0</v>
      </c>
      <c r="AC14" s="10">
        <f t="shared" ca="1" si="7"/>
        <v>0</v>
      </c>
      <c r="AD14" s="10">
        <f t="shared" ca="1" si="7"/>
        <v>0</v>
      </c>
      <c r="AE14" s="10">
        <f t="shared" ca="1" si="7"/>
        <v>0</v>
      </c>
      <c r="AF14" s="10">
        <f t="shared" si="7"/>
        <v>0</v>
      </c>
      <c r="AG14" s="10">
        <f t="shared" si="7"/>
        <v>0</v>
      </c>
      <c r="AH14" s="10">
        <f t="shared" si="7"/>
        <v>0</v>
      </c>
      <c r="AI14" s="10">
        <f t="shared" si="7"/>
        <v>0</v>
      </c>
      <c r="AJ14" s="10">
        <f t="shared" si="7"/>
        <v>0</v>
      </c>
      <c r="AK14" s="10">
        <f t="shared" si="7"/>
        <v>0</v>
      </c>
      <c r="AL14" s="10">
        <f t="shared" si="7"/>
        <v>0</v>
      </c>
      <c r="AM14" s="10">
        <f t="shared" si="7"/>
        <v>0</v>
      </c>
      <c r="AN14" s="10">
        <f t="shared" si="7"/>
        <v>0</v>
      </c>
      <c r="AO14" s="10">
        <f t="shared" si="7"/>
        <v>0</v>
      </c>
      <c r="AP14" s="10">
        <f t="shared" si="7"/>
        <v>0</v>
      </c>
      <c r="AQ14" s="10">
        <f t="shared" si="7"/>
        <v>0</v>
      </c>
      <c r="AR14" s="10">
        <f t="shared" ref="AR14:BW14" si="8">SUMIF(End_of_period,AR$8,CIP_EoP)</f>
        <v>0</v>
      </c>
      <c r="AS14" s="10">
        <f t="shared" si="8"/>
        <v>0</v>
      </c>
      <c r="AT14" s="10">
        <f t="shared" si="8"/>
        <v>0</v>
      </c>
      <c r="AU14" s="10">
        <f t="shared" si="8"/>
        <v>0</v>
      </c>
      <c r="AV14" s="10">
        <f t="shared" si="8"/>
        <v>0</v>
      </c>
      <c r="AW14" s="10">
        <f t="shared" si="8"/>
        <v>0</v>
      </c>
      <c r="AX14" s="10">
        <f t="shared" si="8"/>
        <v>0</v>
      </c>
      <c r="AY14" s="10">
        <f t="shared" si="8"/>
        <v>0</v>
      </c>
      <c r="AZ14" s="10">
        <f t="shared" si="8"/>
        <v>0</v>
      </c>
      <c r="BA14" s="10">
        <f t="shared" si="8"/>
        <v>0</v>
      </c>
      <c r="BB14" s="10">
        <f t="shared" si="8"/>
        <v>0</v>
      </c>
      <c r="BC14" s="10">
        <f t="shared" si="8"/>
        <v>0</v>
      </c>
      <c r="BD14" s="10">
        <f t="shared" si="8"/>
        <v>0</v>
      </c>
      <c r="BE14" s="10">
        <f t="shared" si="8"/>
        <v>0</v>
      </c>
      <c r="BF14" s="10">
        <f t="shared" si="8"/>
        <v>0</v>
      </c>
      <c r="BG14" s="10">
        <f t="shared" si="8"/>
        <v>0</v>
      </c>
      <c r="BH14" s="10">
        <f t="shared" si="8"/>
        <v>0</v>
      </c>
      <c r="BI14" s="10">
        <f t="shared" si="8"/>
        <v>0</v>
      </c>
      <c r="BJ14" s="10">
        <f t="shared" si="8"/>
        <v>0</v>
      </c>
      <c r="BK14" s="10">
        <f t="shared" si="8"/>
        <v>0</v>
      </c>
      <c r="BL14" s="10">
        <f t="shared" si="8"/>
        <v>0</v>
      </c>
      <c r="BM14" s="10">
        <f t="shared" si="8"/>
        <v>0</v>
      </c>
      <c r="BN14" s="10">
        <f t="shared" si="8"/>
        <v>0</v>
      </c>
      <c r="BO14" s="10">
        <f t="shared" si="8"/>
        <v>0</v>
      </c>
      <c r="BP14" s="10">
        <f t="shared" si="8"/>
        <v>0</v>
      </c>
      <c r="BQ14" s="10">
        <f t="shared" si="8"/>
        <v>0</v>
      </c>
      <c r="BR14" s="10">
        <f t="shared" si="8"/>
        <v>0</v>
      </c>
      <c r="BS14" s="10">
        <f t="shared" si="8"/>
        <v>0</v>
      </c>
      <c r="BT14" s="10">
        <f t="shared" si="8"/>
        <v>0</v>
      </c>
      <c r="BU14" s="10">
        <f t="shared" si="8"/>
        <v>0</v>
      </c>
      <c r="BV14" s="10">
        <f t="shared" si="8"/>
        <v>0</v>
      </c>
      <c r="BW14" s="10">
        <f t="shared" si="8"/>
        <v>0</v>
      </c>
      <c r="BX14" s="10">
        <f t="shared" ref="BX14:CO14" si="9">SUMIF(End_of_period,BX$8,CIP_EoP)</f>
        <v>0</v>
      </c>
      <c r="BY14" s="10">
        <f t="shared" si="9"/>
        <v>0</v>
      </c>
      <c r="BZ14" s="10">
        <f t="shared" si="9"/>
        <v>0</v>
      </c>
      <c r="CA14" s="10">
        <f t="shared" si="9"/>
        <v>0</v>
      </c>
      <c r="CB14" s="10">
        <f t="shared" si="9"/>
        <v>0</v>
      </c>
      <c r="CC14" s="10">
        <f t="shared" si="9"/>
        <v>0</v>
      </c>
      <c r="CD14" s="10">
        <f t="shared" si="9"/>
        <v>0</v>
      </c>
      <c r="CE14" s="10">
        <f t="shared" si="9"/>
        <v>0</v>
      </c>
      <c r="CF14" s="10">
        <f t="shared" si="9"/>
        <v>0</v>
      </c>
      <c r="CG14" s="10">
        <f t="shared" si="9"/>
        <v>0</v>
      </c>
      <c r="CH14" s="10">
        <f t="shared" si="9"/>
        <v>0</v>
      </c>
      <c r="CI14" s="10">
        <f t="shared" si="9"/>
        <v>0</v>
      </c>
      <c r="CJ14" s="10">
        <f t="shared" si="9"/>
        <v>0</v>
      </c>
      <c r="CK14" s="10">
        <f t="shared" si="9"/>
        <v>0</v>
      </c>
      <c r="CL14" s="10">
        <f t="shared" si="9"/>
        <v>0</v>
      </c>
      <c r="CM14" s="10">
        <f t="shared" si="9"/>
        <v>0</v>
      </c>
      <c r="CN14" s="10">
        <f t="shared" si="9"/>
        <v>0</v>
      </c>
      <c r="CO14" s="10">
        <f t="shared" si="9"/>
        <v>0</v>
      </c>
    </row>
    <row r="15" spans="1:93" s="133" customFormat="1" ht="14.25">
      <c r="A15" s="10"/>
      <c r="B15" s="10"/>
      <c r="C15" s="10" t="s">
        <v>65</v>
      </c>
      <c r="D15" s="10"/>
      <c r="E15" s="10"/>
      <c r="F15" s="10"/>
      <c r="G15" s="134" t="str">
        <f>Monetary_Unit</f>
        <v>тыс. руб.</v>
      </c>
      <c r="H15" s="10"/>
      <c r="I15" s="10"/>
      <c r="J15" s="10"/>
      <c r="K15" s="10"/>
      <c r="L15" s="10">
        <f t="shared" ref="L15:AQ15" ca="1" si="10">SUMIF(End_of_period,L$8,FA_EoP)</f>
        <v>0</v>
      </c>
      <c r="M15" s="10">
        <f t="shared" ca="1" si="10"/>
        <v>0</v>
      </c>
      <c r="N15" s="10">
        <f t="shared" ca="1" si="10"/>
        <v>0</v>
      </c>
      <c r="O15" s="10">
        <f t="shared" ca="1" si="10"/>
        <v>0</v>
      </c>
      <c r="P15" s="10">
        <f t="shared" ca="1" si="10"/>
        <v>3305069.948116506</v>
      </c>
      <c r="Q15" s="10">
        <f t="shared" ca="1" si="10"/>
        <v>3117599.0552176745</v>
      </c>
      <c r="R15" s="10">
        <f t="shared" ca="1" si="10"/>
        <v>2930128.162318843</v>
      </c>
      <c r="S15" s="10">
        <f t="shared" ca="1" si="10"/>
        <v>2742657.2694200114</v>
      </c>
      <c r="T15" s="10">
        <f t="shared" ca="1" si="10"/>
        <v>2555186.3765211799</v>
      </c>
      <c r="U15" s="10">
        <f t="shared" ca="1" si="10"/>
        <v>2367715.4836223484</v>
      </c>
      <c r="V15" s="10">
        <f t="shared" ca="1" si="10"/>
        <v>2180244.5907235169</v>
      </c>
      <c r="W15" s="10">
        <f t="shared" ca="1" si="10"/>
        <v>2063810.2305151522</v>
      </c>
      <c r="X15" s="10">
        <f t="shared" ca="1" si="10"/>
        <v>1971054.7145369435</v>
      </c>
      <c r="Y15" s="10">
        <f t="shared" ca="1" si="10"/>
        <v>1878299.1985587347</v>
      </c>
      <c r="Z15" s="10">
        <f t="shared" ca="1" si="10"/>
        <v>1785543.682580526</v>
      </c>
      <c r="AA15" s="10">
        <f t="shared" ca="1" si="10"/>
        <v>1692788.1666023172</v>
      </c>
      <c r="AB15" s="10">
        <f t="shared" ca="1" si="10"/>
        <v>1600032.6506241085</v>
      </c>
      <c r="AC15" s="10">
        <f t="shared" ca="1" si="10"/>
        <v>1507277.1346458998</v>
      </c>
      <c r="AD15" s="10">
        <f t="shared" ca="1" si="10"/>
        <v>1414521.618667691</v>
      </c>
      <c r="AE15" s="10">
        <f t="shared" ca="1" si="10"/>
        <v>1321766.1026894823</v>
      </c>
      <c r="AF15" s="10">
        <f t="shared" si="10"/>
        <v>0</v>
      </c>
      <c r="AG15" s="10">
        <f t="shared" si="10"/>
        <v>0</v>
      </c>
      <c r="AH15" s="10">
        <f t="shared" si="10"/>
        <v>0</v>
      </c>
      <c r="AI15" s="10">
        <f t="shared" si="10"/>
        <v>0</v>
      </c>
      <c r="AJ15" s="10">
        <f t="shared" si="10"/>
        <v>0</v>
      </c>
      <c r="AK15" s="10">
        <f t="shared" si="10"/>
        <v>0</v>
      </c>
      <c r="AL15" s="10">
        <f t="shared" si="10"/>
        <v>0</v>
      </c>
      <c r="AM15" s="10">
        <f t="shared" si="10"/>
        <v>0</v>
      </c>
      <c r="AN15" s="10">
        <f t="shared" si="10"/>
        <v>0</v>
      </c>
      <c r="AO15" s="10">
        <f t="shared" si="10"/>
        <v>0</v>
      </c>
      <c r="AP15" s="10">
        <f t="shared" si="10"/>
        <v>0</v>
      </c>
      <c r="AQ15" s="10">
        <f t="shared" si="10"/>
        <v>0</v>
      </c>
      <c r="AR15" s="10">
        <f t="shared" ref="AR15:BW15" si="11">SUMIF(End_of_period,AR$8,FA_EoP)</f>
        <v>0</v>
      </c>
      <c r="AS15" s="10">
        <f t="shared" si="11"/>
        <v>0</v>
      </c>
      <c r="AT15" s="10">
        <f t="shared" si="11"/>
        <v>0</v>
      </c>
      <c r="AU15" s="10">
        <f t="shared" si="11"/>
        <v>0</v>
      </c>
      <c r="AV15" s="10">
        <f t="shared" si="11"/>
        <v>0</v>
      </c>
      <c r="AW15" s="10">
        <f t="shared" si="11"/>
        <v>0</v>
      </c>
      <c r="AX15" s="10">
        <f t="shared" si="11"/>
        <v>0</v>
      </c>
      <c r="AY15" s="10">
        <f t="shared" si="11"/>
        <v>0</v>
      </c>
      <c r="AZ15" s="10">
        <f t="shared" si="11"/>
        <v>0</v>
      </c>
      <c r="BA15" s="10">
        <f t="shared" si="11"/>
        <v>0</v>
      </c>
      <c r="BB15" s="10">
        <f t="shared" si="11"/>
        <v>0</v>
      </c>
      <c r="BC15" s="10">
        <f t="shared" si="11"/>
        <v>0</v>
      </c>
      <c r="BD15" s="10">
        <f t="shared" si="11"/>
        <v>0</v>
      </c>
      <c r="BE15" s="10">
        <f t="shared" si="11"/>
        <v>0</v>
      </c>
      <c r="BF15" s="10">
        <f t="shared" si="11"/>
        <v>0</v>
      </c>
      <c r="BG15" s="10">
        <f t="shared" si="11"/>
        <v>0</v>
      </c>
      <c r="BH15" s="10">
        <f t="shared" si="11"/>
        <v>0</v>
      </c>
      <c r="BI15" s="10">
        <f t="shared" si="11"/>
        <v>0</v>
      </c>
      <c r="BJ15" s="10">
        <f t="shared" si="11"/>
        <v>0</v>
      </c>
      <c r="BK15" s="10">
        <f t="shared" si="11"/>
        <v>0</v>
      </c>
      <c r="BL15" s="10">
        <f t="shared" si="11"/>
        <v>0</v>
      </c>
      <c r="BM15" s="10">
        <f t="shared" si="11"/>
        <v>0</v>
      </c>
      <c r="BN15" s="10">
        <f t="shared" si="11"/>
        <v>0</v>
      </c>
      <c r="BO15" s="10">
        <f t="shared" si="11"/>
        <v>0</v>
      </c>
      <c r="BP15" s="10">
        <f t="shared" si="11"/>
        <v>0</v>
      </c>
      <c r="BQ15" s="10">
        <f t="shared" si="11"/>
        <v>0</v>
      </c>
      <c r="BR15" s="10">
        <f t="shared" si="11"/>
        <v>0</v>
      </c>
      <c r="BS15" s="10">
        <f t="shared" si="11"/>
        <v>0</v>
      </c>
      <c r="BT15" s="10">
        <f t="shared" si="11"/>
        <v>0</v>
      </c>
      <c r="BU15" s="10">
        <f t="shared" si="11"/>
        <v>0</v>
      </c>
      <c r="BV15" s="10">
        <f t="shared" si="11"/>
        <v>0</v>
      </c>
      <c r="BW15" s="10">
        <f t="shared" si="11"/>
        <v>0</v>
      </c>
      <c r="BX15" s="10">
        <f t="shared" ref="BX15:CO15" si="12">SUMIF(End_of_period,BX$8,FA_EoP)</f>
        <v>0</v>
      </c>
      <c r="BY15" s="10">
        <f t="shared" si="12"/>
        <v>0</v>
      </c>
      <c r="BZ15" s="10">
        <f t="shared" si="12"/>
        <v>0</v>
      </c>
      <c r="CA15" s="10">
        <f t="shared" si="12"/>
        <v>0</v>
      </c>
      <c r="CB15" s="10">
        <f t="shared" si="12"/>
        <v>0</v>
      </c>
      <c r="CC15" s="10">
        <f t="shared" si="12"/>
        <v>0</v>
      </c>
      <c r="CD15" s="10">
        <f t="shared" si="12"/>
        <v>0</v>
      </c>
      <c r="CE15" s="10">
        <f t="shared" si="12"/>
        <v>0</v>
      </c>
      <c r="CF15" s="10">
        <f t="shared" si="12"/>
        <v>0</v>
      </c>
      <c r="CG15" s="10">
        <f t="shared" si="12"/>
        <v>0</v>
      </c>
      <c r="CH15" s="10">
        <f t="shared" si="12"/>
        <v>0</v>
      </c>
      <c r="CI15" s="10">
        <f t="shared" si="12"/>
        <v>0</v>
      </c>
      <c r="CJ15" s="10">
        <f t="shared" si="12"/>
        <v>0</v>
      </c>
      <c r="CK15" s="10">
        <f t="shared" si="12"/>
        <v>0</v>
      </c>
      <c r="CL15" s="10">
        <f t="shared" si="12"/>
        <v>0</v>
      </c>
      <c r="CM15" s="10">
        <f t="shared" si="12"/>
        <v>0</v>
      </c>
      <c r="CN15" s="10">
        <f t="shared" si="12"/>
        <v>0</v>
      </c>
      <c r="CO15" s="10">
        <f t="shared" si="12"/>
        <v>0</v>
      </c>
    </row>
    <row r="16" spans="1:93" s="133" customFormat="1" ht="14.25">
      <c r="A16" s="10"/>
      <c r="B16" s="10"/>
      <c r="C16" s="10"/>
      <c r="D16" s="10"/>
      <c r="E16" s="10"/>
      <c r="F16" s="10"/>
      <c r="G16" s="11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33" customFormat="1">
      <c r="A17" s="10"/>
      <c r="B17" s="130" t="s">
        <v>66</v>
      </c>
      <c r="C17" s="35" t="s">
        <v>67</v>
      </c>
      <c r="D17" s="130"/>
      <c r="E17" s="130"/>
      <c r="F17" s="130"/>
      <c r="G17" s="131" t="str">
        <f>Monetary_Unit</f>
        <v>тыс. руб.</v>
      </c>
      <c r="H17" s="130"/>
      <c r="I17" s="10"/>
      <c r="J17" s="10"/>
      <c r="K17" s="10"/>
      <c r="L17" s="132">
        <f t="shared" ref="L17:BX17" ca="1" si="13">SUM(L18:L21)</f>
        <v>13777.614244774297</v>
      </c>
      <c r="M17" s="132">
        <f t="shared" ca="1" si="13"/>
        <v>133865.01058003027</v>
      </c>
      <c r="N17" s="132">
        <f t="shared" ca="1" si="13"/>
        <v>258755.90276869643</v>
      </c>
      <c r="O17" s="132">
        <f t="shared" ca="1" si="13"/>
        <v>507451.95050251036</v>
      </c>
      <c r="P17" s="132">
        <f t="shared" ca="1" si="13"/>
        <v>133681.73161656427</v>
      </c>
      <c r="Q17" s="132">
        <f t="shared" ca="1" si="13"/>
        <v>155028.43835663795</v>
      </c>
      <c r="R17" s="132">
        <f t="shared" ca="1" si="13"/>
        <v>177868.99086533117</v>
      </c>
      <c r="S17" s="132">
        <f t="shared" ca="1" si="13"/>
        <v>194406.80700962117</v>
      </c>
      <c r="T17" s="132">
        <f t="shared" ca="1" si="13"/>
        <v>202183.61161455337</v>
      </c>
      <c r="U17" s="132">
        <f t="shared" ca="1" si="13"/>
        <v>149201.44232900592</v>
      </c>
      <c r="V17" s="132">
        <f t="shared" ca="1" si="13"/>
        <v>155169.50002216606</v>
      </c>
      <c r="W17" s="132">
        <f t="shared" ca="1" si="13"/>
        <v>161376.01037946448</v>
      </c>
      <c r="X17" s="132">
        <f t="shared" ca="1" si="13"/>
        <v>167831.33122397476</v>
      </c>
      <c r="Y17" s="132">
        <f t="shared" ca="1" si="13"/>
        <v>174544.58447293378</v>
      </c>
      <c r="Z17" s="132">
        <f t="shared" ca="1" si="13"/>
        <v>181526.36785185116</v>
      </c>
      <c r="AA17" s="132">
        <f t="shared" ca="1" si="13"/>
        <v>188787.10712106538</v>
      </c>
      <c r="AB17" s="132">
        <f t="shared" ca="1" si="13"/>
        <v>196338.91946856212</v>
      </c>
      <c r="AC17" s="132">
        <f t="shared" ca="1" si="13"/>
        <v>204192.47624730458</v>
      </c>
      <c r="AD17" s="132">
        <f t="shared" ca="1" si="13"/>
        <v>212360.17529719666</v>
      </c>
      <c r="AE17" s="132">
        <f t="shared" ca="1" si="13"/>
        <v>220854.21328321507</v>
      </c>
      <c r="AF17" s="132">
        <f t="shared" si="13"/>
        <v>0</v>
      </c>
      <c r="AG17" s="132">
        <f t="shared" si="13"/>
        <v>0</v>
      </c>
      <c r="AH17" s="132">
        <f t="shared" si="13"/>
        <v>0</v>
      </c>
      <c r="AI17" s="132">
        <f t="shared" si="13"/>
        <v>0</v>
      </c>
      <c r="AJ17" s="132">
        <f t="shared" si="13"/>
        <v>0</v>
      </c>
      <c r="AK17" s="132">
        <f t="shared" si="13"/>
        <v>0</v>
      </c>
      <c r="AL17" s="132">
        <f t="shared" si="13"/>
        <v>0</v>
      </c>
      <c r="AM17" s="132">
        <f t="shared" si="13"/>
        <v>0</v>
      </c>
      <c r="AN17" s="132">
        <f t="shared" si="13"/>
        <v>0</v>
      </c>
      <c r="AO17" s="132">
        <f t="shared" si="13"/>
        <v>0</v>
      </c>
      <c r="AP17" s="132">
        <f t="shared" si="13"/>
        <v>0</v>
      </c>
      <c r="AQ17" s="132">
        <f t="shared" si="13"/>
        <v>0</v>
      </c>
      <c r="AR17" s="132">
        <f t="shared" si="13"/>
        <v>0</v>
      </c>
      <c r="AS17" s="132">
        <f t="shared" si="13"/>
        <v>0</v>
      </c>
      <c r="AT17" s="132">
        <f t="shared" si="13"/>
        <v>0</v>
      </c>
      <c r="AU17" s="132">
        <f t="shared" si="13"/>
        <v>0</v>
      </c>
      <c r="AV17" s="132">
        <f t="shared" si="13"/>
        <v>0</v>
      </c>
      <c r="AW17" s="132">
        <f t="shared" si="13"/>
        <v>0</v>
      </c>
      <c r="AX17" s="132">
        <f t="shared" si="13"/>
        <v>0</v>
      </c>
      <c r="AY17" s="132">
        <f t="shared" si="13"/>
        <v>0</v>
      </c>
      <c r="AZ17" s="132">
        <f t="shared" si="13"/>
        <v>0</v>
      </c>
      <c r="BA17" s="132">
        <f t="shared" si="13"/>
        <v>0</v>
      </c>
      <c r="BB17" s="132">
        <f t="shared" si="13"/>
        <v>0</v>
      </c>
      <c r="BC17" s="132">
        <f t="shared" si="13"/>
        <v>0</v>
      </c>
      <c r="BD17" s="132">
        <f t="shared" si="13"/>
        <v>0</v>
      </c>
      <c r="BE17" s="132">
        <f t="shared" si="13"/>
        <v>0</v>
      </c>
      <c r="BF17" s="132">
        <f t="shared" si="13"/>
        <v>0</v>
      </c>
      <c r="BG17" s="132">
        <f t="shared" si="13"/>
        <v>0</v>
      </c>
      <c r="BH17" s="132">
        <f t="shared" si="13"/>
        <v>0</v>
      </c>
      <c r="BI17" s="132">
        <f t="shared" si="13"/>
        <v>0</v>
      </c>
      <c r="BJ17" s="132">
        <f t="shared" si="13"/>
        <v>0</v>
      </c>
      <c r="BK17" s="132">
        <f t="shared" si="13"/>
        <v>0</v>
      </c>
      <c r="BL17" s="132">
        <f t="shared" si="13"/>
        <v>0</v>
      </c>
      <c r="BM17" s="132">
        <f t="shared" si="13"/>
        <v>0</v>
      </c>
      <c r="BN17" s="132">
        <f t="shared" si="13"/>
        <v>0</v>
      </c>
      <c r="BO17" s="132">
        <f t="shared" si="13"/>
        <v>0</v>
      </c>
      <c r="BP17" s="132">
        <f t="shared" si="13"/>
        <v>0</v>
      </c>
      <c r="BQ17" s="132">
        <f t="shared" si="13"/>
        <v>0</v>
      </c>
      <c r="BR17" s="132">
        <f t="shared" si="13"/>
        <v>0</v>
      </c>
      <c r="BS17" s="132">
        <f t="shared" si="13"/>
        <v>0</v>
      </c>
      <c r="BT17" s="132">
        <f t="shared" si="13"/>
        <v>0</v>
      </c>
      <c r="BU17" s="132">
        <f t="shared" si="13"/>
        <v>0</v>
      </c>
      <c r="BV17" s="132">
        <f t="shared" si="13"/>
        <v>0</v>
      </c>
      <c r="BW17" s="132">
        <f t="shared" si="13"/>
        <v>0</v>
      </c>
      <c r="BX17" s="132">
        <f t="shared" si="13"/>
        <v>0</v>
      </c>
      <c r="BY17" s="132">
        <f t="shared" ref="BY17:CO17" si="14">SUM(BY18:BY21)</f>
        <v>0</v>
      </c>
      <c r="BZ17" s="132">
        <f t="shared" si="14"/>
        <v>0</v>
      </c>
      <c r="CA17" s="132">
        <f t="shared" si="14"/>
        <v>0</v>
      </c>
      <c r="CB17" s="132">
        <f t="shared" si="14"/>
        <v>0</v>
      </c>
      <c r="CC17" s="132">
        <f t="shared" si="14"/>
        <v>0</v>
      </c>
      <c r="CD17" s="132">
        <f t="shared" si="14"/>
        <v>0</v>
      </c>
      <c r="CE17" s="132">
        <f t="shared" si="14"/>
        <v>0</v>
      </c>
      <c r="CF17" s="132">
        <f t="shared" si="14"/>
        <v>0</v>
      </c>
      <c r="CG17" s="132">
        <f t="shared" si="14"/>
        <v>0</v>
      </c>
      <c r="CH17" s="132">
        <f t="shared" si="14"/>
        <v>0</v>
      </c>
      <c r="CI17" s="132">
        <f t="shared" si="14"/>
        <v>0</v>
      </c>
      <c r="CJ17" s="132">
        <f t="shared" si="14"/>
        <v>0</v>
      </c>
      <c r="CK17" s="132">
        <f t="shared" si="14"/>
        <v>0</v>
      </c>
      <c r="CL17" s="132">
        <f t="shared" si="14"/>
        <v>0</v>
      </c>
      <c r="CM17" s="132">
        <f t="shared" si="14"/>
        <v>0</v>
      </c>
      <c r="CN17" s="132">
        <f t="shared" si="14"/>
        <v>0</v>
      </c>
      <c r="CO17" s="132">
        <f t="shared" si="14"/>
        <v>0</v>
      </c>
    </row>
    <row r="18" spans="1:93" s="133" customFormat="1" ht="14.25">
      <c r="A18" s="10"/>
      <c r="B18" s="10"/>
      <c r="C18" s="10" t="s">
        <v>68</v>
      </c>
      <c r="D18" s="10"/>
      <c r="E18" s="10"/>
      <c r="F18" s="10"/>
      <c r="G18" s="134" t="str">
        <f>Monetary_Unit</f>
        <v>тыс. руб.</v>
      </c>
      <c r="H18" s="10"/>
      <c r="I18" s="10"/>
      <c r="J18" s="10"/>
      <c r="K18" s="10"/>
      <c r="L18" s="10">
        <f t="shared" ref="L18:AQ18" ca="1" si="15">SUMIF(End_of_period,L$8,Inventories_EoP)</f>
        <v>0</v>
      </c>
      <c r="M18" s="10">
        <f t="shared" ca="1" si="15"/>
        <v>0</v>
      </c>
      <c r="N18" s="10">
        <f t="shared" ca="1" si="15"/>
        <v>0</v>
      </c>
      <c r="O18" s="10">
        <f t="shared" ca="1" si="15"/>
        <v>0</v>
      </c>
      <c r="P18" s="10">
        <f t="shared" ca="1" si="15"/>
        <v>36328.397898193245</v>
      </c>
      <c r="Q18" s="10">
        <f t="shared" ca="1" si="15"/>
        <v>42103.673465703789</v>
      </c>
      <c r="R18" s="10">
        <f t="shared" ca="1" si="15"/>
        <v>48282.845641978143</v>
      </c>
      <c r="S18" s="10">
        <f t="shared" ca="1" si="15"/>
        <v>52551.342098763911</v>
      </c>
      <c r="T18" s="10">
        <f t="shared" ca="1" si="15"/>
        <v>54653.635494882561</v>
      </c>
      <c r="U18" s="10">
        <f t="shared" ca="1" si="15"/>
        <v>56839.780914677831</v>
      </c>
      <c r="V18" s="10">
        <f t="shared" ca="1" si="15"/>
        <v>59113.372151264921</v>
      </c>
      <c r="W18" s="10">
        <f t="shared" ca="1" si="15"/>
        <v>61477.637393727258</v>
      </c>
      <c r="X18" s="10">
        <f t="shared" ca="1" si="15"/>
        <v>63937.023318808118</v>
      </c>
      <c r="Y18" s="10">
        <f t="shared" ca="1" si="15"/>
        <v>66494.504251560429</v>
      </c>
      <c r="Z18" s="10">
        <f t="shared" ca="1" si="15"/>
        <v>69154.28442162287</v>
      </c>
      <c r="AA18" s="10">
        <f t="shared" ca="1" si="15"/>
        <v>71920.140353627969</v>
      </c>
      <c r="AB18" s="10">
        <f t="shared" ca="1" si="15"/>
        <v>74797.274030427216</v>
      </c>
      <c r="AC18" s="10">
        <f t="shared" ca="1" si="15"/>
        <v>77789.164991644328</v>
      </c>
      <c r="AD18" s="10">
        <f t="shared" ca="1" si="15"/>
        <v>80900.731591310061</v>
      </c>
      <c r="AE18" s="10">
        <f t="shared" ca="1" si="15"/>
        <v>84136.391829092987</v>
      </c>
      <c r="AF18" s="10">
        <f t="shared" si="15"/>
        <v>0</v>
      </c>
      <c r="AG18" s="10">
        <f t="shared" si="15"/>
        <v>0</v>
      </c>
      <c r="AH18" s="10">
        <f t="shared" si="15"/>
        <v>0</v>
      </c>
      <c r="AI18" s="10">
        <f t="shared" si="15"/>
        <v>0</v>
      </c>
      <c r="AJ18" s="10">
        <f t="shared" si="15"/>
        <v>0</v>
      </c>
      <c r="AK18" s="10">
        <f t="shared" si="15"/>
        <v>0</v>
      </c>
      <c r="AL18" s="10">
        <f t="shared" si="15"/>
        <v>0</v>
      </c>
      <c r="AM18" s="10">
        <f t="shared" si="15"/>
        <v>0</v>
      </c>
      <c r="AN18" s="10">
        <f t="shared" si="15"/>
        <v>0</v>
      </c>
      <c r="AO18" s="10">
        <f t="shared" si="15"/>
        <v>0</v>
      </c>
      <c r="AP18" s="10">
        <f t="shared" si="15"/>
        <v>0</v>
      </c>
      <c r="AQ18" s="10">
        <f t="shared" si="15"/>
        <v>0</v>
      </c>
      <c r="AR18" s="10">
        <f t="shared" ref="AR18:BW18" si="16">SUMIF(End_of_period,AR$8,Inventories_EoP)</f>
        <v>0</v>
      </c>
      <c r="AS18" s="10">
        <f t="shared" si="16"/>
        <v>0</v>
      </c>
      <c r="AT18" s="10">
        <f t="shared" si="16"/>
        <v>0</v>
      </c>
      <c r="AU18" s="10">
        <f t="shared" si="16"/>
        <v>0</v>
      </c>
      <c r="AV18" s="10">
        <f t="shared" si="16"/>
        <v>0</v>
      </c>
      <c r="AW18" s="10">
        <f t="shared" si="16"/>
        <v>0</v>
      </c>
      <c r="AX18" s="10">
        <f t="shared" si="16"/>
        <v>0</v>
      </c>
      <c r="AY18" s="10">
        <f t="shared" si="16"/>
        <v>0</v>
      </c>
      <c r="AZ18" s="10">
        <f t="shared" si="16"/>
        <v>0</v>
      </c>
      <c r="BA18" s="10">
        <f t="shared" si="16"/>
        <v>0</v>
      </c>
      <c r="BB18" s="10">
        <f t="shared" si="16"/>
        <v>0</v>
      </c>
      <c r="BC18" s="10">
        <f t="shared" si="16"/>
        <v>0</v>
      </c>
      <c r="BD18" s="10">
        <f t="shared" si="16"/>
        <v>0</v>
      </c>
      <c r="BE18" s="10">
        <f t="shared" si="16"/>
        <v>0</v>
      </c>
      <c r="BF18" s="10">
        <f t="shared" si="16"/>
        <v>0</v>
      </c>
      <c r="BG18" s="10">
        <f t="shared" si="16"/>
        <v>0</v>
      </c>
      <c r="BH18" s="10">
        <f t="shared" si="16"/>
        <v>0</v>
      </c>
      <c r="BI18" s="10">
        <f t="shared" si="16"/>
        <v>0</v>
      </c>
      <c r="BJ18" s="10">
        <f t="shared" si="16"/>
        <v>0</v>
      </c>
      <c r="BK18" s="10">
        <f t="shared" si="16"/>
        <v>0</v>
      </c>
      <c r="BL18" s="10">
        <f t="shared" si="16"/>
        <v>0</v>
      </c>
      <c r="BM18" s="10">
        <f t="shared" si="16"/>
        <v>0</v>
      </c>
      <c r="BN18" s="10">
        <f t="shared" si="16"/>
        <v>0</v>
      </c>
      <c r="BO18" s="10">
        <f t="shared" si="16"/>
        <v>0</v>
      </c>
      <c r="BP18" s="10">
        <f t="shared" si="16"/>
        <v>0</v>
      </c>
      <c r="BQ18" s="10">
        <f t="shared" si="16"/>
        <v>0</v>
      </c>
      <c r="BR18" s="10">
        <f t="shared" si="16"/>
        <v>0</v>
      </c>
      <c r="BS18" s="10">
        <f t="shared" si="16"/>
        <v>0</v>
      </c>
      <c r="BT18" s="10">
        <f t="shared" si="16"/>
        <v>0</v>
      </c>
      <c r="BU18" s="10">
        <f t="shared" si="16"/>
        <v>0</v>
      </c>
      <c r="BV18" s="10">
        <f t="shared" si="16"/>
        <v>0</v>
      </c>
      <c r="BW18" s="10">
        <f t="shared" si="16"/>
        <v>0</v>
      </c>
      <c r="BX18" s="10">
        <f t="shared" ref="BX18:CO18" si="17">SUMIF(End_of_period,BX$8,Inventories_EoP)</f>
        <v>0</v>
      </c>
      <c r="BY18" s="10">
        <f t="shared" si="17"/>
        <v>0</v>
      </c>
      <c r="BZ18" s="10">
        <f t="shared" si="17"/>
        <v>0</v>
      </c>
      <c r="CA18" s="10">
        <f t="shared" si="17"/>
        <v>0</v>
      </c>
      <c r="CB18" s="10">
        <f t="shared" si="17"/>
        <v>0</v>
      </c>
      <c r="CC18" s="10">
        <f t="shared" si="17"/>
        <v>0</v>
      </c>
      <c r="CD18" s="10">
        <f t="shared" si="17"/>
        <v>0</v>
      </c>
      <c r="CE18" s="10">
        <f t="shared" si="17"/>
        <v>0</v>
      </c>
      <c r="CF18" s="10">
        <f t="shared" si="17"/>
        <v>0</v>
      </c>
      <c r="CG18" s="10">
        <f t="shared" si="17"/>
        <v>0</v>
      </c>
      <c r="CH18" s="10">
        <f t="shared" si="17"/>
        <v>0</v>
      </c>
      <c r="CI18" s="10">
        <f t="shared" si="17"/>
        <v>0</v>
      </c>
      <c r="CJ18" s="10">
        <f t="shared" si="17"/>
        <v>0</v>
      </c>
      <c r="CK18" s="10">
        <f t="shared" si="17"/>
        <v>0</v>
      </c>
      <c r="CL18" s="10">
        <f t="shared" si="17"/>
        <v>0</v>
      </c>
      <c r="CM18" s="10">
        <f t="shared" si="17"/>
        <v>0</v>
      </c>
      <c r="CN18" s="10">
        <f t="shared" si="17"/>
        <v>0</v>
      </c>
      <c r="CO18" s="10">
        <f t="shared" si="17"/>
        <v>0</v>
      </c>
    </row>
    <row r="19" spans="1:93" s="133" customFormat="1" ht="14.25">
      <c r="A19" s="10"/>
      <c r="B19" s="10"/>
      <c r="C19" s="10" t="s">
        <v>69</v>
      </c>
      <c r="D19" s="10"/>
      <c r="E19" s="10"/>
      <c r="F19" s="10"/>
      <c r="G19" s="134" t="str">
        <f>Monetary_Unit</f>
        <v>тыс. руб.</v>
      </c>
      <c r="H19" s="10"/>
      <c r="I19" s="10"/>
      <c r="J19" s="10"/>
      <c r="K19" s="10"/>
      <c r="L19" s="10">
        <f t="shared" ref="L19:AQ19" ca="1" si="18">SUMIF(End_of_period,L$8,Accounts_Receivable_EoP)</f>
        <v>0</v>
      </c>
      <c r="M19" s="10">
        <f t="shared" ca="1" si="18"/>
        <v>0</v>
      </c>
      <c r="N19" s="10">
        <f t="shared" ca="1" si="18"/>
        <v>0</v>
      </c>
      <c r="O19" s="10">
        <f t="shared" ca="1" si="18"/>
        <v>0</v>
      </c>
      <c r="P19" s="10">
        <f t="shared" ca="1" si="18"/>
        <v>66282.695074242889</v>
      </c>
      <c r="Q19" s="10">
        <f t="shared" ca="1" si="18"/>
        <v>76836.242369101325</v>
      </c>
      <c r="R19" s="10">
        <f t="shared" ca="1" si="18"/>
        <v>88128.021135429735</v>
      </c>
      <c r="S19" s="10">
        <f t="shared" ca="1" si="18"/>
        <v>95926.673098060361</v>
      </c>
      <c r="T19" s="10">
        <f t="shared" ca="1" si="18"/>
        <v>99763.740021982696</v>
      </c>
      <c r="U19" s="10">
        <f t="shared" ca="1" si="18"/>
        <v>92361.661414328089</v>
      </c>
      <c r="V19" s="10">
        <f t="shared" ca="1" si="18"/>
        <v>96056.127870901139</v>
      </c>
      <c r="W19" s="10">
        <f t="shared" ca="1" si="18"/>
        <v>99898.372985737224</v>
      </c>
      <c r="X19" s="10">
        <f t="shared" ca="1" si="18"/>
        <v>103894.30790516664</v>
      </c>
      <c r="Y19" s="10">
        <f t="shared" ca="1" si="18"/>
        <v>108050.08022137336</v>
      </c>
      <c r="Z19" s="10">
        <f t="shared" ca="1" si="18"/>
        <v>112372.08343022829</v>
      </c>
      <c r="AA19" s="10">
        <f t="shared" ca="1" si="18"/>
        <v>116866.96676743741</v>
      </c>
      <c r="AB19" s="10">
        <f t="shared" ca="1" si="18"/>
        <v>121541.6454381349</v>
      </c>
      <c r="AC19" s="10">
        <f t="shared" ca="1" si="18"/>
        <v>126403.31125566026</v>
      </c>
      <c r="AD19" s="10">
        <f t="shared" ca="1" si="18"/>
        <v>131459.4437058866</v>
      </c>
      <c r="AE19" s="10">
        <f t="shared" ca="1" si="18"/>
        <v>136717.82145412208</v>
      </c>
      <c r="AF19" s="10">
        <f t="shared" si="18"/>
        <v>0</v>
      </c>
      <c r="AG19" s="10">
        <f t="shared" si="18"/>
        <v>0</v>
      </c>
      <c r="AH19" s="10">
        <f t="shared" si="18"/>
        <v>0</v>
      </c>
      <c r="AI19" s="10">
        <f t="shared" si="18"/>
        <v>0</v>
      </c>
      <c r="AJ19" s="10">
        <f t="shared" si="18"/>
        <v>0</v>
      </c>
      <c r="AK19" s="10">
        <f t="shared" si="18"/>
        <v>0</v>
      </c>
      <c r="AL19" s="10">
        <f t="shared" si="18"/>
        <v>0</v>
      </c>
      <c r="AM19" s="10">
        <f t="shared" si="18"/>
        <v>0</v>
      </c>
      <c r="AN19" s="10">
        <f t="shared" si="18"/>
        <v>0</v>
      </c>
      <c r="AO19" s="10">
        <f t="shared" si="18"/>
        <v>0</v>
      </c>
      <c r="AP19" s="10">
        <f t="shared" si="18"/>
        <v>0</v>
      </c>
      <c r="AQ19" s="10">
        <f t="shared" si="18"/>
        <v>0</v>
      </c>
      <c r="AR19" s="10">
        <f t="shared" ref="AR19:BW19" si="19">SUMIF(End_of_period,AR$8,Accounts_Receivable_EoP)</f>
        <v>0</v>
      </c>
      <c r="AS19" s="10">
        <f t="shared" si="19"/>
        <v>0</v>
      </c>
      <c r="AT19" s="10">
        <f t="shared" si="19"/>
        <v>0</v>
      </c>
      <c r="AU19" s="10">
        <f t="shared" si="19"/>
        <v>0</v>
      </c>
      <c r="AV19" s="10">
        <f t="shared" si="19"/>
        <v>0</v>
      </c>
      <c r="AW19" s="10">
        <f t="shared" si="19"/>
        <v>0</v>
      </c>
      <c r="AX19" s="10">
        <f t="shared" si="19"/>
        <v>0</v>
      </c>
      <c r="AY19" s="10">
        <f t="shared" si="19"/>
        <v>0</v>
      </c>
      <c r="AZ19" s="10">
        <f t="shared" si="19"/>
        <v>0</v>
      </c>
      <c r="BA19" s="10">
        <f t="shared" si="19"/>
        <v>0</v>
      </c>
      <c r="BB19" s="10">
        <f t="shared" si="19"/>
        <v>0</v>
      </c>
      <c r="BC19" s="10">
        <f t="shared" si="19"/>
        <v>0</v>
      </c>
      <c r="BD19" s="10">
        <f t="shared" si="19"/>
        <v>0</v>
      </c>
      <c r="BE19" s="10">
        <f t="shared" si="19"/>
        <v>0</v>
      </c>
      <c r="BF19" s="10">
        <f t="shared" si="19"/>
        <v>0</v>
      </c>
      <c r="BG19" s="10">
        <f t="shared" si="19"/>
        <v>0</v>
      </c>
      <c r="BH19" s="10">
        <f t="shared" si="19"/>
        <v>0</v>
      </c>
      <c r="BI19" s="10">
        <f t="shared" si="19"/>
        <v>0</v>
      </c>
      <c r="BJ19" s="10">
        <f t="shared" si="19"/>
        <v>0</v>
      </c>
      <c r="BK19" s="10">
        <f t="shared" si="19"/>
        <v>0</v>
      </c>
      <c r="BL19" s="10">
        <f t="shared" si="19"/>
        <v>0</v>
      </c>
      <c r="BM19" s="10">
        <f t="shared" si="19"/>
        <v>0</v>
      </c>
      <c r="BN19" s="10">
        <f t="shared" si="19"/>
        <v>0</v>
      </c>
      <c r="BO19" s="10">
        <f t="shared" si="19"/>
        <v>0</v>
      </c>
      <c r="BP19" s="10">
        <f t="shared" si="19"/>
        <v>0</v>
      </c>
      <c r="BQ19" s="10">
        <f t="shared" si="19"/>
        <v>0</v>
      </c>
      <c r="BR19" s="10">
        <f t="shared" si="19"/>
        <v>0</v>
      </c>
      <c r="BS19" s="10">
        <f t="shared" si="19"/>
        <v>0</v>
      </c>
      <c r="BT19" s="10">
        <f t="shared" si="19"/>
        <v>0</v>
      </c>
      <c r="BU19" s="10">
        <f t="shared" si="19"/>
        <v>0</v>
      </c>
      <c r="BV19" s="10">
        <f t="shared" si="19"/>
        <v>0</v>
      </c>
      <c r="BW19" s="10">
        <f t="shared" si="19"/>
        <v>0</v>
      </c>
      <c r="BX19" s="10">
        <f t="shared" ref="BX19:CO19" si="20">SUMIF(End_of_period,BX$8,Accounts_Receivable_EoP)</f>
        <v>0</v>
      </c>
      <c r="BY19" s="10">
        <f t="shared" si="20"/>
        <v>0</v>
      </c>
      <c r="BZ19" s="10">
        <f t="shared" si="20"/>
        <v>0</v>
      </c>
      <c r="CA19" s="10">
        <f t="shared" si="20"/>
        <v>0</v>
      </c>
      <c r="CB19" s="10">
        <f t="shared" si="20"/>
        <v>0</v>
      </c>
      <c r="CC19" s="10">
        <f t="shared" si="20"/>
        <v>0</v>
      </c>
      <c r="CD19" s="10">
        <f t="shared" si="20"/>
        <v>0</v>
      </c>
      <c r="CE19" s="10">
        <f t="shared" si="20"/>
        <v>0</v>
      </c>
      <c r="CF19" s="10">
        <f t="shared" si="20"/>
        <v>0</v>
      </c>
      <c r="CG19" s="10">
        <f t="shared" si="20"/>
        <v>0</v>
      </c>
      <c r="CH19" s="10">
        <f t="shared" si="20"/>
        <v>0</v>
      </c>
      <c r="CI19" s="10">
        <f t="shared" si="20"/>
        <v>0</v>
      </c>
      <c r="CJ19" s="10">
        <f t="shared" si="20"/>
        <v>0</v>
      </c>
      <c r="CK19" s="10">
        <f t="shared" si="20"/>
        <v>0</v>
      </c>
      <c r="CL19" s="10">
        <f t="shared" si="20"/>
        <v>0</v>
      </c>
      <c r="CM19" s="10">
        <f t="shared" si="20"/>
        <v>0</v>
      </c>
      <c r="CN19" s="10">
        <f t="shared" si="20"/>
        <v>0</v>
      </c>
      <c r="CO19" s="10">
        <f t="shared" si="20"/>
        <v>0</v>
      </c>
    </row>
    <row r="20" spans="1:93" s="133" customFormat="1" ht="14.25">
      <c r="A20" s="10"/>
      <c r="B20" s="10"/>
      <c r="C20" s="10" t="s">
        <v>151</v>
      </c>
      <c r="D20" s="10"/>
      <c r="E20" s="10"/>
      <c r="F20" s="10"/>
      <c r="G20" s="134" t="str">
        <f>Monetary_Unit</f>
        <v>тыс. руб.</v>
      </c>
      <c r="H20" s="10"/>
      <c r="I20" s="10"/>
      <c r="J20" s="10"/>
      <c r="K20" s="10"/>
      <c r="L20" s="10">
        <f ca="1">SUMIF(End_of_period,L$8,Отчетность!$L20:$CO20)</f>
        <v>13777.614244774297</v>
      </c>
      <c r="M20" s="10">
        <f ca="1">SUMIF(End_of_period,M$8,Отчетность!$L20:$CO20)</f>
        <v>133865.01058003027</v>
      </c>
      <c r="N20" s="10">
        <f ca="1">SUMIF(End_of_period,N$8,Отчетность!$L20:$CO20)</f>
        <v>258755.90276869643</v>
      </c>
      <c r="O20" s="10">
        <f ca="1">SUMIF(End_of_period,O$8,Отчетность!$L20:$CO20)</f>
        <v>507451.95050251036</v>
      </c>
      <c r="P20" s="10">
        <f ca="1">SUMIF(End_of_period,P$8,Отчетность!$L20:$CO20)</f>
        <v>31070.638644128147</v>
      </c>
      <c r="Q20" s="10">
        <f ca="1">SUMIF(End_of_period,Q$8,Отчетность!$L20:$CO20)</f>
        <v>36088.522521832834</v>
      </c>
      <c r="R20" s="10">
        <f ca="1">SUMIF(End_of_period,R$8,Отчетность!$L20:$CO20)</f>
        <v>41458.124087923301</v>
      </c>
      <c r="S20" s="10">
        <f ca="1">SUMIF(End_of_period,S$8,Отчетность!$L20:$CO20)</f>
        <v>45928.791812796888</v>
      </c>
      <c r="T20" s="10">
        <f ca="1">SUMIF(End_of_period,T$8,Отчетность!$L20:$CO20)</f>
        <v>47766.236097688132</v>
      </c>
      <c r="U20" s="10">
        <f ca="1">SUMIF(End_of_period,U$8,Отчетность!$L20:$CO20)</f>
        <v>0</v>
      </c>
      <c r="V20" s="10">
        <f ca="1">SUMIF(End_of_period,V$8,Отчетность!$L20:$CO20)</f>
        <v>0</v>
      </c>
      <c r="W20" s="10">
        <f ca="1">SUMIF(End_of_period,W$8,Отчетность!$L20:$CO20)</f>
        <v>0</v>
      </c>
      <c r="X20" s="10">
        <f ca="1">SUMIF(End_of_period,X$8,Отчетность!$L20:$CO20)</f>
        <v>0</v>
      </c>
      <c r="Y20" s="10">
        <f ca="1">SUMIF(End_of_period,Y$8,Отчетность!$L20:$CO20)</f>
        <v>0</v>
      </c>
      <c r="Z20" s="10">
        <f ca="1">SUMIF(End_of_period,Z$8,Отчетность!$L20:$CO20)</f>
        <v>0</v>
      </c>
      <c r="AA20" s="10">
        <f ca="1">SUMIF(End_of_period,AA$8,Отчетность!$L20:$CO20)</f>
        <v>0</v>
      </c>
      <c r="AB20" s="10">
        <f ca="1">SUMIF(End_of_period,AB$8,Отчетность!$L20:$CO20)</f>
        <v>0</v>
      </c>
      <c r="AC20" s="10">
        <f ca="1">SUMIF(End_of_period,AC$8,Отчетность!$L20:$CO20)</f>
        <v>0</v>
      </c>
      <c r="AD20" s="10">
        <f ca="1">SUMIF(End_of_period,AD$8,Отчетность!$L20:$CO20)</f>
        <v>0</v>
      </c>
      <c r="AE20" s="10">
        <f ca="1">SUMIF(End_of_period,AE$8,Отчетность!$L20:$CO20)</f>
        <v>0</v>
      </c>
      <c r="AF20" s="10">
        <f>SUMIF(End_of_period,AF$8,Отчетность!$L20:$CO20)</f>
        <v>0</v>
      </c>
      <c r="AG20" s="10">
        <f>SUMIF(End_of_period,AG$8,Отчетность!$L20:$CO20)</f>
        <v>0</v>
      </c>
      <c r="AH20" s="10">
        <f>SUMIF(End_of_period,AH$8,Отчетность!$L20:$CO20)</f>
        <v>0</v>
      </c>
      <c r="AI20" s="10">
        <f>SUMIF(End_of_period,AI$8,Отчетность!$L20:$CO20)</f>
        <v>0</v>
      </c>
      <c r="AJ20" s="10">
        <f>SUMIF(End_of_period,AJ$8,Отчетность!$L20:$CO20)</f>
        <v>0</v>
      </c>
      <c r="AK20" s="10">
        <f>SUMIF(End_of_period,AK$8,Отчетность!$L20:$CO20)</f>
        <v>0</v>
      </c>
      <c r="AL20" s="10">
        <f>SUMIF(End_of_period,AL$8,Отчетность!$L20:$CO20)</f>
        <v>0</v>
      </c>
      <c r="AM20" s="10">
        <f>SUMIF(End_of_period,AM$8,Отчетность!$L20:$CO20)</f>
        <v>0</v>
      </c>
      <c r="AN20" s="10">
        <f>SUMIF(End_of_period,AN$8,Отчетность!$L20:$CO20)</f>
        <v>0</v>
      </c>
      <c r="AO20" s="10">
        <f>SUMIF(End_of_period,AO$8,Отчетность!$L20:$CO20)</f>
        <v>0</v>
      </c>
      <c r="AP20" s="10">
        <f>SUMIF(End_of_period,AP$8,Отчетность!$L20:$CO20)</f>
        <v>0</v>
      </c>
      <c r="AQ20" s="10">
        <f>SUMIF(End_of_period,AQ$8,Отчетность!$L20:$CO20)</f>
        <v>0</v>
      </c>
      <c r="AR20" s="10">
        <f>SUMIF(End_of_period,AR$8,Отчетность!$L20:$CO20)</f>
        <v>0</v>
      </c>
      <c r="AS20" s="10">
        <f>SUMIF(End_of_period,AS$8,Отчетность!$L20:$CO20)</f>
        <v>0</v>
      </c>
      <c r="AT20" s="10">
        <f>SUMIF(End_of_period,AT$8,Отчетность!$L20:$CO20)</f>
        <v>0</v>
      </c>
      <c r="AU20" s="10">
        <f>SUMIF(End_of_period,AU$8,Отчетность!$L20:$CO20)</f>
        <v>0</v>
      </c>
      <c r="AV20" s="10">
        <f>SUMIF(End_of_period,AV$8,Отчетность!$L20:$CO20)</f>
        <v>0</v>
      </c>
      <c r="AW20" s="10">
        <f>SUMIF(End_of_period,AW$8,Отчетность!$L20:$CO20)</f>
        <v>0</v>
      </c>
      <c r="AX20" s="10">
        <f>SUMIF(End_of_period,AX$8,Отчетность!$L20:$CO20)</f>
        <v>0</v>
      </c>
      <c r="AY20" s="10">
        <f>SUMIF(End_of_period,AY$8,Отчетность!$L20:$CO20)</f>
        <v>0</v>
      </c>
      <c r="AZ20" s="10">
        <f>SUMIF(End_of_period,AZ$8,Отчетность!$L20:$CO20)</f>
        <v>0</v>
      </c>
      <c r="BA20" s="10">
        <f>SUMIF(End_of_period,BA$8,Отчетность!$L20:$CO20)</f>
        <v>0</v>
      </c>
      <c r="BB20" s="10">
        <f>SUMIF(End_of_period,BB$8,Отчетность!$L20:$CO20)</f>
        <v>0</v>
      </c>
      <c r="BC20" s="10">
        <f>SUMIF(End_of_period,BC$8,Отчетность!$L20:$CO20)</f>
        <v>0</v>
      </c>
      <c r="BD20" s="10">
        <f>SUMIF(End_of_period,BD$8,Отчетность!$L20:$CO20)</f>
        <v>0</v>
      </c>
      <c r="BE20" s="10">
        <f>SUMIF(End_of_period,BE$8,Отчетность!$L20:$CO20)</f>
        <v>0</v>
      </c>
      <c r="BF20" s="10">
        <f>SUMIF(End_of_period,BF$8,Отчетность!$L20:$CO20)</f>
        <v>0</v>
      </c>
      <c r="BG20" s="10">
        <f>SUMIF(End_of_period,BG$8,Отчетность!$L20:$CO20)</f>
        <v>0</v>
      </c>
      <c r="BH20" s="10">
        <f>SUMIF(End_of_period,BH$8,Отчетность!$L20:$CO20)</f>
        <v>0</v>
      </c>
      <c r="BI20" s="10">
        <f>SUMIF(End_of_period,BI$8,Отчетность!$L20:$CO20)</f>
        <v>0</v>
      </c>
      <c r="BJ20" s="10">
        <f>SUMIF(End_of_period,BJ$8,Отчетность!$L20:$CO20)</f>
        <v>0</v>
      </c>
      <c r="BK20" s="10">
        <f>SUMIF(End_of_period,BK$8,Отчетность!$L20:$CO20)</f>
        <v>0</v>
      </c>
      <c r="BL20" s="10">
        <f>SUMIF(End_of_period,BL$8,Отчетность!$L20:$CO20)</f>
        <v>0</v>
      </c>
      <c r="BM20" s="10">
        <f>SUMIF(End_of_period,BM$8,Отчетность!$L20:$CO20)</f>
        <v>0</v>
      </c>
      <c r="BN20" s="10">
        <f>SUMIF(End_of_period,BN$8,Отчетность!$L20:$CO20)</f>
        <v>0</v>
      </c>
      <c r="BO20" s="10">
        <f>SUMIF(End_of_period,BO$8,Отчетность!$L20:$CO20)</f>
        <v>0</v>
      </c>
      <c r="BP20" s="10">
        <f>SUMIF(End_of_period,BP$8,Отчетность!$L20:$CO20)</f>
        <v>0</v>
      </c>
      <c r="BQ20" s="10">
        <f>SUMIF(End_of_period,BQ$8,Отчетность!$L20:$CO20)</f>
        <v>0</v>
      </c>
      <c r="BR20" s="10">
        <f>SUMIF(End_of_period,BR$8,Отчетность!$L20:$CO20)</f>
        <v>0</v>
      </c>
      <c r="BS20" s="10">
        <f>SUMIF(End_of_period,BS$8,Отчетность!$L20:$CO20)</f>
        <v>0</v>
      </c>
      <c r="BT20" s="10">
        <f>SUMIF(End_of_period,BT$8,Отчетность!$L20:$CO20)</f>
        <v>0</v>
      </c>
      <c r="BU20" s="10">
        <f>SUMIF(End_of_period,BU$8,Отчетность!$L20:$CO20)</f>
        <v>0</v>
      </c>
      <c r="BV20" s="10">
        <f>SUMIF(End_of_period,BV$8,Отчетность!$L20:$CO20)</f>
        <v>0</v>
      </c>
      <c r="BW20" s="10">
        <f>SUMIF(End_of_period,BW$8,Отчетность!$L20:$CO20)</f>
        <v>0</v>
      </c>
      <c r="BX20" s="10">
        <f>SUMIF(End_of_period,BX$8,Отчетность!$L20:$CO20)</f>
        <v>0</v>
      </c>
      <c r="BY20" s="10">
        <f>SUMIF(End_of_period,BY$8,Отчетность!$L20:$CO20)</f>
        <v>0</v>
      </c>
      <c r="BZ20" s="10">
        <f>SUMIF(End_of_period,BZ$8,Отчетность!$L20:$CO20)</f>
        <v>0</v>
      </c>
      <c r="CA20" s="10">
        <f>SUMIF(End_of_period,CA$8,Отчетность!$L20:$CO20)</f>
        <v>0</v>
      </c>
      <c r="CB20" s="10">
        <f>SUMIF(End_of_period,CB$8,Отчетность!$L20:$CO20)</f>
        <v>0</v>
      </c>
      <c r="CC20" s="10">
        <f>SUMIF(End_of_period,CC$8,Отчетность!$L20:$CO20)</f>
        <v>0</v>
      </c>
      <c r="CD20" s="10">
        <f>SUMIF(End_of_period,CD$8,Отчетность!$L20:$CO20)</f>
        <v>0</v>
      </c>
      <c r="CE20" s="10">
        <f>SUMIF(End_of_period,CE$8,Отчетность!$L20:$CO20)</f>
        <v>0</v>
      </c>
      <c r="CF20" s="10">
        <f>SUMIF(End_of_period,CF$8,Отчетность!$L20:$CO20)</f>
        <v>0</v>
      </c>
      <c r="CG20" s="10">
        <f>SUMIF(End_of_period,CG$8,Отчетность!$L20:$CO20)</f>
        <v>0</v>
      </c>
      <c r="CH20" s="10">
        <f>SUMIF(End_of_period,CH$8,Отчетность!$L20:$CO20)</f>
        <v>0</v>
      </c>
      <c r="CI20" s="10">
        <f>SUMIF(End_of_period,CI$8,Отчетность!$L20:$CO20)</f>
        <v>0</v>
      </c>
      <c r="CJ20" s="10">
        <f>SUMIF(End_of_period,CJ$8,Отчетность!$L20:$CO20)</f>
        <v>0</v>
      </c>
      <c r="CK20" s="10">
        <f>SUMIF(End_of_period,CK$8,Отчетность!$L20:$CO20)</f>
        <v>0</v>
      </c>
      <c r="CL20" s="10">
        <f>SUMIF(End_of_period,CL$8,Отчетность!$L20:$CO20)</f>
        <v>0</v>
      </c>
      <c r="CM20" s="10">
        <f>SUMIF(End_of_period,CM$8,Отчетность!$L20:$CO20)</f>
        <v>0</v>
      </c>
      <c r="CN20" s="10">
        <f>SUMIF(End_of_period,CN$8,Отчетность!$L20:$CO20)</f>
        <v>0</v>
      </c>
      <c r="CO20" s="10">
        <f>SUMIF(End_of_period,CO$8,Отчетность!$L20:$CO20)</f>
        <v>0</v>
      </c>
    </row>
    <row r="21" spans="1:93" s="133" customFormat="1" ht="14.25">
      <c r="A21" s="10"/>
      <c r="B21" s="10"/>
      <c r="C21" s="10" t="s">
        <v>70</v>
      </c>
      <c r="D21" s="10"/>
      <c r="E21" s="10"/>
      <c r="F21" s="10"/>
      <c r="G21" s="134" t="str">
        <f>Monetary_Unit</f>
        <v>тыс. руб.</v>
      </c>
      <c r="H21" s="10"/>
      <c r="I21" s="10"/>
      <c r="J21" s="10"/>
      <c r="K21" s="10"/>
      <c r="L21" s="10">
        <f t="shared" ref="L21:AQ21" ca="1" si="21">SUMIF(End_of_period,L$8,Cash_EoP)</f>
        <v>0</v>
      </c>
      <c r="M21" s="10">
        <f t="shared" ca="1" si="21"/>
        <v>0</v>
      </c>
      <c r="N21" s="10">
        <f t="shared" ca="1" si="21"/>
        <v>0</v>
      </c>
      <c r="O21" s="10">
        <f t="shared" ca="1" si="21"/>
        <v>0</v>
      </c>
      <c r="P21" s="10">
        <f t="shared" ca="1" si="21"/>
        <v>0</v>
      </c>
      <c r="Q21" s="10">
        <f t="shared" ca="1" si="21"/>
        <v>0</v>
      </c>
      <c r="R21" s="10">
        <f t="shared" ca="1" si="21"/>
        <v>0</v>
      </c>
      <c r="S21" s="10">
        <f t="shared" ca="1" si="21"/>
        <v>0</v>
      </c>
      <c r="T21" s="10">
        <f t="shared" ca="1" si="21"/>
        <v>0</v>
      </c>
      <c r="U21" s="10">
        <f t="shared" ca="1" si="21"/>
        <v>0</v>
      </c>
      <c r="V21" s="10">
        <f t="shared" ca="1" si="21"/>
        <v>0</v>
      </c>
      <c r="W21" s="10">
        <f t="shared" ca="1" si="21"/>
        <v>0</v>
      </c>
      <c r="X21" s="10">
        <f t="shared" ca="1" si="21"/>
        <v>0</v>
      </c>
      <c r="Y21" s="10">
        <f t="shared" ca="1" si="21"/>
        <v>0</v>
      </c>
      <c r="Z21" s="10">
        <f t="shared" ca="1" si="21"/>
        <v>0</v>
      </c>
      <c r="AA21" s="10">
        <f t="shared" ca="1" si="21"/>
        <v>0</v>
      </c>
      <c r="AB21" s="10">
        <f t="shared" ca="1" si="21"/>
        <v>0</v>
      </c>
      <c r="AC21" s="10">
        <f t="shared" ca="1" si="21"/>
        <v>0</v>
      </c>
      <c r="AD21" s="10">
        <f t="shared" ca="1" si="21"/>
        <v>0</v>
      </c>
      <c r="AE21" s="10">
        <f t="shared" ca="1" si="21"/>
        <v>0</v>
      </c>
      <c r="AF21" s="10">
        <f t="shared" si="21"/>
        <v>0</v>
      </c>
      <c r="AG21" s="10">
        <f t="shared" si="21"/>
        <v>0</v>
      </c>
      <c r="AH21" s="10">
        <f t="shared" si="21"/>
        <v>0</v>
      </c>
      <c r="AI21" s="10">
        <f t="shared" si="21"/>
        <v>0</v>
      </c>
      <c r="AJ21" s="10">
        <f t="shared" si="21"/>
        <v>0</v>
      </c>
      <c r="AK21" s="10">
        <f t="shared" si="21"/>
        <v>0</v>
      </c>
      <c r="AL21" s="10">
        <f t="shared" si="21"/>
        <v>0</v>
      </c>
      <c r="AM21" s="10">
        <f t="shared" si="21"/>
        <v>0</v>
      </c>
      <c r="AN21" s="10">
        <f t="shared" si="21"/>
        <v>0</v>
      </c>
      <c r="AO21" s="10">
        <f t="shared" si="21"/>
        <v>0</v>
      </c>
      <c r="AP21" s="10">
        <f t="shared" si="21"/>
        <v>0</v>
      </c>
      <c r="AQ21" s="10">
        <f t="shared" si="21"/>
        <v>0</v>
      </c>
      <c r="AR21" s="10">
        <f t="shared" ref="AR21:BW21" si="22">SUMIF(End_of_period,AR$8,Cash_EoP)</f>
        <v>0</v>
      </c>
      <c r="AS21" s="10">
        <f t="shared" si="22"/>
        <v>0</v>
      </c>
      <c r="AT21" s="10">
        <f t="shared" si="22"/>
        <v>0</v>
      </c>
      <c r="AU21" s="10">
        <f t="shared" si="22"/>
        <v>0</v>
      </c>
      <c r="AV21" s="10">
        <f t="shared" si="22"/>
        <v>0</v>
      </c>
      <c r="AW21" s="10">
        <f t="shared" si="22"/>
        <v>0</v>
      </c>
      <c r="AX21" s="10">
        <f t="shared" si="22"/>
        <v>0</v>
      </c>
      <c r="AY21" s="10">
        <f t="shared" si="22"/>
        <v>0</v>
      </c>
      <c r="AZ21" s="10">
        <f t="shared" si="22"/>
        <v>0</v>
      </c>
      <c r="BA21" s="10">
        <f t="shared" si="22"/>
        <v>0</v>
      </c>
      <c r="BB21" s="10">
        <f t="shared" si="22"/>
        <v>0</v>
      </c>
      <c r="BC21" s="10">
        <f t="shared" si="22"/>
        <v>0</v>
      </c>
      <c r="BD21" s="10">
        <f t="shared" si="22"/>
        <v>0</v>
      </c>
      <c r="BE21" s="10">
        <f t="shared" si="22"/>
        <v>0</v>
      </c>
      <c r="BF21" s="10">
        <f t="shared" si="22"/>
        <v>0</v>
      </c>
      <c r="BG21" s="10">
        <f t="shared" si="22"/>
        <v>0</v>
      </c>
      <c r="BH21" s="10">
        <f t="shared" si="22"/>
        <v>0</v>
      </c>
      <c r="BI21" s="10">
        <f t="shared" si="22"/>
        <v>0</v>
      </c>
      <c r="BJ21" s="10">
        <f t="shared" si="22"/>
        <v>0</v>
      </c>
      <c r="BK21" s="10">
        <f t="shared" si="22"/>
        <v>0</v>
      </c>
      <c r="BL21" s="10">
        <f t="shared" si="22"/>
        <v>0</v>
      </c>
      <c r="BM21" s="10">
        <f t="shared" si="22"/>
        <v>0</v>
      </c>
      <c r="BN21" s="10">
        <f t="shared" si="22"/>
        <v>0</v>
      </c>
      <c r="BO21" s="10">
        <f t="shared" si="22"/>
        <v>0</v>
      </c>
      <c r="BP21" s="10">
        <f t="shared" si="22"/>
        <v>0</v>
      </c>
      <c r="BQ21" s="10">
        <f t="shared" si="22"/>
        <v>0</v>
      </c>
      <c r="BR21" s="10">
        <f t="shared" si="22"/>
        <v>0</v>
      </c>
      <c r="BS21" s="10">
        <f t="shared" si="22"/>
        <v>0</v>
      </c>
      <c r="BT21" s="10">
        <f t="shared" si="22"/>
        <v>0</v>
      </c>
      <c r="BU21" s="10">
        <f t="shared" si="22"/>
        <v>0</v>
      </c>
      <c r="BV21" s="10">
        <f t="shared" si="22"/>
        <v>0</v>
      </c>
      <c r="BW21" s="10">
        <f t="shared" si="22"/>
        <v>0</v>
      </c>
      <c r="BX21" s="10">
        <f t="shared" ref="BX21:CO21" si="23">SUMIF(End_of_period,BX$8,Cash_EoP)</f>
        <v>0</v>
      </c>
      <c r="BY21" s="10">
        <f t="shared" si="23"/>
        <v>0</v>
      </c>
      <c r="BZ21" s="10">
        <f t="shared" si="23"/>
        <v>0</v>
      </c>
      <c r="CA21" s="10">
        <f t="shared" si="23"/>
        <v>0</v>
      </c>
      <c r="CB21" s="10">
        <f t="shared" si="23"/>
        <v>0</v>
      </c>
      <c r="CC21" s="10">
        <f t="shared" si="23"/>
        <v>0</v>
      </c>
      <c r="CD21" s="10">
        <f t="shared" si="23"/>
        <v>0</v>
      </c>
      <c r="CE21" s="10">
        <f t="shared" si="23"/>
        <v>0</v>
      </c>
      <c r="CF21" s="10">
        <f t="shared" si="23"/>
        <v>0</v>
      </c>
      <c r="CG21" s="10">
        <f t="shared" si="23"/>
        <v>0</v>
      </c>
      <c r="CH21" s="10">
        <f t="shared" si="23"/>
        <v>0</v>
      </c>
      <c r="CI21" s="10">
        <f t="shared" si="23"/>
        <v>0</v>
      </c>
      <c r="CJ21" s="10">
        <f t="shared" si="23"/>
        <v>0</v>
      </c>
      <c r="CK21" s="10">
        <f t="shared" si="23"/>
        <v>0</v>
      </c>
      <c r="CL21" s="10">
        <f t="shared" si="23"/>
        <v>0</v>
      </c>
      <c r="CM21" s="10">
        <f t="shared" si="23"/>
        <v>0</v>
      </c>
      <c r="CN21" s="10">
        <f t="shared" si="23"/>
        <v>0</v>
      </c>
      <c r="CO21" s="10">
        <f t="shared" si="23"/>
        <v>0</v>
      </c>
    </row>
    <row r="22" spans="1:93" s="133" customFormat="1" ht="14.25">
      <c r="A22" s="10"/>
      <c r="B22" s="10"/>
      <c r="C22" s="10"/>
      <c r="D22" s="10"/>
      <c r="E22" s="10"/>
      <c r="F22" s="10"/>
      <c r="G22" s="11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s="133" customFormat="1" ht="14.25">
      <c r="A23" s="10"/>
      <c r="B23" s="10"/>
      <c r="C23" s="24" t="s">
        <v>329</v>
      </c>
      <c r="D23" s="24"/>
      <c r="E23" s="24"/>
      <c r="F23" s="24"/>
      <c r="G23" s="135"/>
      <c r="H23" s="24"/>
      <c r="I23" s="24"/>
      <c r="J23" s="24"/>
      <c r="K23" s="24"/>
      <c r="L23" s="24">
        <f t="shared" ref="L23:BW23" ca="1" si="24">SUM(L13,L17)</f>
        <v>87190.228077079839</v>
      </c>
      <c r="M23" s="24">
        <f t="shared" ca="1" si="24"/>
        <v>845307.89527488186</v>
      </c>
      <c r="N23" s="24">
        <f t="shared" ca="1" si="24"/>
        <v>1686291.947902899</v>
      </c>
      <c r="O23" s="24">
        <f t="shared" ca="1" si="24"/>
        <v>3345062.5364159807</v>
      </c>
      <c r="P23" s="24">
        <f t="shared" ca="1" si="24"/>
        <v>3438751.6797330701</v>
      </c>
      <c r="Q23" s="24">
        <f t="shared" ca="1" si="24"/>
        <v>3272627.4935743124</v>
      </c>
      <c r="R23" s="24">
        <f t="shared" ca="1" si="24"/>
        <v>3107997.1531841741</v>
      </c>
      <c r="S23" s="24">
        <f t="shared" ca="1" si="24"/>
        <v>2937064.0764296325</v>
      </c>
      <c r="T23" s="24">
        <f t="shared" ca="1" si="24"/>
        <v>2757369.9881357332</v>
      </c>
      <c r="U23" s="24">
        <f t="shared" ca="1" si="24"/>
        <v>2516916.9259513542</v>
      </c>
      <c r="V23" s="24">
        <f t="shared" ca="1" si="24"/>
        <v>2335414.0907456828</v>
      </c>
      <c r="W23" s="24">
        <f t="shared" ca="1" si="24"/>
        <v>2225186.2408946166</v>
      </c>
      <c r="X23" s="24">
        <f t="shared" ca="1" si="24"/>
        <v>2138886.0457609184</v>
      </c>
      <c r="Y23" s="24">
        <f t="shared" ca="1" si="24"/>
        <v>2052843.7830316685</v>
      </c>
      <c r="Z23" s="24">
        <f t="shared" ca="1" si="24"/>
        <v>1967070.050432377</v>
      </c>
      <c r="AA23" s="24">
        <f t="shared" ca="1" si="24"/>
        <v>1881575.2737233825</v>
      </c>
      <c r="AB23" s="24">
        <f t="shared" ca="1" si="24"/>
        <v>1796371.5700926706</v>
      </c>
      <c r="AC23" s="24">
        <f t="shared" ca="1" si="24"/>
        <v>1711469.6108932043</v>
      </c>
      <c r="AD23" s="24">
        <f t="shared" ca="1" si="24"/>
        <v>1626881.7939648877</v>
      </c>
      <c r="AE23" s="24">
        <f t="shared" ca="1" si="24"/>
        <v>1542620.3159726975</v>
      </c>
      <c r="AF23" s="24">
        <f t="shared" si="24"/>
        <v>0</v>
      </c>
      <c r="AG23" s="24">
        <f t="shared" si="24"/>
        <v>0</v>
      </c>
      <c r="AH23" s="24">
        <f t="shared" si="24"/>
        <v>0</v>
      </c>
      <c r="AI23" s="24">
        <f t="shared" si="24"/>
        <v>0</v>
      </c>
      <c r="AJ23" s="24">
        <f t="shared" si="24"/>
        <v>0</v>
      </c>
      <c r="AK23" s="24">
        <f t="shared" si="24"/>
        <v>0</v>
      </c>
      <c r="AL23" s="24">
        <f t="shared" si="24"/>
        <v>0</v>
      </c>
      <c r="AM23" s="24">
        <f t="shared" si="24"/>
        <v>0</v>
      </c>
      <c r="AN23" s="24">
        <f t="shared" si="24"/>
        <v>0</v>
      </c>
      <c r="AO23" s="24">
        <f t="shared" si="24"/>
        <v>0</v>
      </c>
      <c r="AP23" s="24">
        <f t="shared" si="24"/>
        <v>0</v>
      </c>
      <c r="AQ23" s="24">
        <f t="shared" si="24"/>
        <v>0</v>
      </c>
      <c r="AR23" s="24">
        <f t="shared" si="24"/>
        <v>0</v>
      </c>
      <c r="AS23" s="24">
        <f t="shared" si="24"/>
        <v>0</v>
      </c>
      <c r="AT23" s="24">
        <f t="shared" si="24"/>
        <v>0</v>
      </c>
      <c r="AU23" s="24">
        <f t="shared" si="24"/>
        <v>0</v>
      </c>
      <c r="AV23" s="24">
        <f t="shared" si="24"/>
        <v>0</v>
      </c>
      <c r="AW23" s="24">
        <f t="shared" si="24"/>
        <v>0</v>
      </c>
      <c r="AX23" s="24">
        <f t="shared" si="24"/>
        <v>0</v>
      </c>
      <c r="AY23" s="24">
        <f t="shared" si="24"/>
        <v>0</v>
      </c>
      <c r="AZ23" s="24">
        <f t="shared" si="24"/>
        <v>0</v>
      </c>
      <c r="BA23" s="24">
        <f t="shared" si="24"/>
        <v>0</v>
      </c>
      <c r="BB23" s="24">
        <f t="shared" si="24"/>
        <v>0</v>
      </c>
      <c r="BC23" s="24">
        <f t="shared" si="24"/>
        <v>0</v>
      </c>
      <c r="BD23" s="24">
        <f t="shared" si="24"/>
        <v>0</v>
      </c>
      <c r="BE23" s="24">
        <f t="shared" si="24"/>
        <v>0</v>
      </c>
      <c r="BF23" s="24">
        <f t="shared" si="24"/>
        <v>0</v>
      </c>
      <c r="BG23" s="24">
        <f t="shared" si="24"/>
        <v>0</v>
      </c>
      <c r="BH23" s="24">
        <f t="shared" si="24"/>
        <v>0</v>
      </c>
      <c r="BI23" s="24">
        <f t="shared" si="24"/>
        <v>0</v>
      </c>
      <c r="BJ23" s="24">
        <f t="shared" si="24"/>
        <v>0</v>
      </c>
      <c r="BK23" s="24">
        <f t="shared" si="24"/>
        <v>0</v>
      </c>
      <c r="BL23" s="24">
        <f t="shared" si="24"/>
        <v>0</v>
      </c>
      <c r="BM23" s="24">
        <f t="shared" si="24"/>
        <v>0</v>
      </c>
      <c r="BN23" s="24">
        <f t="shared" si="24"/>
        <v>0</v>
      </c>
      <c r="BO23" s="24">
        <f t="shared" si="24"/>
        <v>0</v>
      </c>
      <c r="BP23" s="24">
        <f t="shared" si="24"/>
        <v>0</v>
      </c>
      <c r="BQ23" s="24">
        <f t="shared" si="24"/>
        <v>0</v>
      </c>
      <c r="BR23" s="24">
        <f t="shared" si="24"/>
        <v>0</v>
      </c>
      <c r="BS23" s="24">
        <f t="shared" si="24"/>
        <v>0</v>
      </c>
      <c r="BT23" s="24">
        <f t="shared" si="24"/>
        <v>0</v>
      </c>
      <c r="BU23" s="24">
        <f t="shared" si="24"/>
        <v>0</v>
      </c>
      <c r="BV23" s="24">
        <f t="shared" si="24"/>
        <v>0</v>
      </c>
      <c r="BW23" s="24">
        <f t="shared" si="24"/>
        <v>0</v>
      </c>
      <c r="BX23" s="24">
        <f t="shared" ref="BX23:CO23" si="25">SUM(BX13,BX17)</f>
        <v>0</v>
      </c>
      <c r="BY23" s="24">
        <f t="shared" si="25"/>
        <v>0</v>
      </c>
      <c r="BZ23" s="24">
        <f t="shared" si="25"/>
        <v>0</v>
      </c>
      <c r="CA23" s="24">
        <f t="shared" si="25"/>
        <v>0</v>
      </c>
      <c r="CB23" s="24">
        <f t="shared" si="25"/>
        <v>0</v>
      </c>
      <c r="CC23" s="24">
        <f t="shared" si="25"/>
        <v>0</v>
      </c>
      <c r="CD23" s="24">
        <f t="shared" si="25"/>
        <v>0</v>
      </c>
      <c r="CE23" s="24">
        <f t="shared" si="25"/>
        <v>0</v>
      </c>
      <c r="CF23" s="24">
        <f t="shared" si="25"/>
        <v>0</v>
      </c>
      <c r="CG23" s="24">
        <f t="shared" si="25"/>
        <v>0</v>
      </c>
      <c r="CH23" s="24">
        <f t="shared" si="25"/>
        <v>0</v>
      </c>
      <c r="CI23" s="24">
        <f t="shared" si="25"/>
        <v>0</v>
      </c>
      <c r="CJ23" s="24">
        <f t="shared" si="25"/>
        <v>0</v>
      </c>
      <c r="CK23" s="24">
        <f t="shared" si="25"/>
        <v>0</v>
      </c>
      <c r="CL23" s="24">
        <f t="shared" si="25"/>
        <v>0</v>
      </c>
      <c r="CM23" s="24">
        <f t="shared" si="25"/>
        <v>0</v>
      </c>
      <c r="CN23" s="24">
        <f t="shared" si="25"/>
        <v>0</v>
      </c>
      <c r="CO23" s="24">
        <f t="shared" si="25"/>
        <v>0</v>
      </c>
    </row>
    <row r="24" spans="1:93" s="133" customFormat="1" ht="14.25">
      <c r="A24" s="10"/>
      <c r="B24" s="10"/>
      <c r="C24" s="10"/>
      <c r="D24" s="10"/>
      <c r="E24" s="10"/>
      <c r="F24" s="10"/>
      <c r="G24" s="11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93" s="133" customFormat="1">
      <c r="A25" s="10"/>
      <c r="B25" s="130" t="s">
        <v>71</v>
      </c>
      <c r="C25" s="35" t="s">
        <v>72</v>
      </c>
      <c r="D25" s="130"/>
      <c r="E25" s="130"/>
      <c r="F25" s="130"/>
      <c r="G25" s="131" t="str">
        <f>Monetary_Unit</f>
        <v>тыс. руб.</v>
      </c>
      <c r="H25" s="130"/>
      <c r="I25" s="10"/>
      <c r="J25" s="10"/>
      <c r="K25" s="10"/>
      <c r="L25" s="132">
        <f ca="1">SUM(L26:L28)</f>
        <v>87190.228077079839</v>
      </c>
      <c r="M25" s="132">
        <f t="shared" ref="M25:BX25" ca="1" si="26">SUM(M26:M28)</f>
        <v>845307.89527488174</v>
      </c>
      <c r="N25" s="132">
        <f t="shared" ca="1" si="26"/>
        <v>1066610.7065754647</v>
      </c>
      <c r="O25" s="132">
        <f t="shared" ca="1" si="26"/>
        <v>1233205.0086856633</v>
      </c>
      <c r="P25" s="132">
        <f t="shared" ca="1" si="26"/>
        <v>1366265.3551659836</v>
      </c>
      <c r="Q25" s="132">
        <f t="shared" ca="1" si="26"/>
        <v>1614146.341114558</v>
      </c>
      <c r="R25" s="132">
        <f t="shared" ca="1" si="26"/>
        <v>1969374.3354682541</v>
      </c>
      <c r="S25" s="132">
        <f t="shared" ca="1" si="26"/>
        <v>2431434.0005279873</v>
      </c>
      <c r="T25" s="132">
        <f t="shared" ca="1" si="26"/>
        <v>2675389.5348934084</v>
      </c>
      <c r="U25" s="132">
        <f t="shared" ca="1" si="26"/>
        <v>2400875.1424179976</v>
      </c>
      <c r="V25" s="132">
        <f t="shared" ca="1" si="26"/>
        <v>2214730.6358709917</v>
      </c>
      <c r="W25" s="132">
        <f t="shared" ca="1" si="26"/>
        <v>2099675.6869089194</v>
      </c>
      <c r="X25" s="132">
        <f t="shared" ca="1" si="26"/>
        <v>2008354.8209684519</v>
      </c>
      <c r="Y25" s="132">
        <f t="shared" ca="1" si="26"/>
        <v>1917091.3092475035</v>
      </c>
      <c r="Z25" s="132">
        <f t="shared" ca="1" si="26"/>
        <v>1825887.4776968453</v>
      </c>
      <c r="AA25" s="132">
        <f t="shared" ca="1" si="26"/>
        <v>1734745.6777728721</v>
      </c>
      <c r="AB25" s="132">
        <f t="shared" ca="1" si="26"/>
        <v>1643668.4994219197</v>
      </c>
      <c r="AC25" s="132">
        <f t="shared" ca="1" si="26"/>
        <v>1552658.4173956232</v>
      </c>
      <c r="AD25" s="132">
        <f t="shared" ca="1" si="26"/>
        <v>1461718.1527274032</v>
      </c>
      <c r="AE25" s="132">
        <f t="shared" ca="1" si="26"/>
        <v>1370850.4562886509</v>
      </c>
      <c r="AF25" s="132">
        <f t="shared" si="26"/>
        <v>0</v>
      </c>
      <c r="AG25" s="132">
        <f t="shared" si="26"/>
        <v>0</v>
      </c>
      <c r="AH25" s="132">
        <f t="shared" si="26"/>
        <v>0</v>
      </c>
      <c r="AI25" s="132">
        <f t="shared" si="26"/>
        <v>0</v>
      </c>
      <c r="AJ25" s="132">
        <f t="shared" si="26"/>
        <v>0</v>
      </c>
      <c r="AK25" s="132">
        <f t="shared" si="26"/>
        <v>0</v>
      </c>
      <c r="AL25" s="132">
        <f t="shared" si="26"/>
        <v>0</v>
      </c>
      <c r="AM25" s="132">
        <f t="shared" si="26"/>
        <v>0</v>
      </c>
      <c r="AN25" s="132">
        <f t="shared" si="26"/>
        <v>0</v>
      </c>
      <c r="AO25" s="132">
        <f t="shared" si="26"/>
        <v>0</v>
      </c>
      <c r="AP25" s="132">
        <f t="shared" si="26"/>
        <v>0</v>
      </c>
      <c r="AQ25" s="132">
        <f t="shared" si="26"/>
        <v>0</v>
      </c>
      <c r="AR25" s="132">
        <f t="shared" si="26"/>
        <v>0</v>
      </c>
      <c r="AS25" s="132">
        <f t="shared" si="26"/>
        <v>0</v>
      </c>
      <c r="AT25" s="132">
        <f t="shared" si="26"/>
        <v>0</v>
      </c>
      <c r="AU25" s="132">
        <f t="shared" si="26"/>
        <v>0</v>
      </c>
      <c r="AV25" s="132">
        <f t="shared" si="26"/>
        <v>0</v>
      </c>
      <c r="AW25" s="132">
        <f t="shared" si="26"/>
        <v>0</v>
      </c>
      <c r="AX25" s="132">
        <f t="shared" si="26"/>
        <v>0</v>
      </c>
      <c r="AY25" s="132">
        <f t="shared" si="26"/>
        <v>0</v>
      </c>
      <c r="AZ25" s="132">
        <f t="shared" si="26"/>
        <v>0</v>
      </c>
      <c r="BA25" s="132">
        <f t="shared" si="26"/>
        <v>0</v>
      </c>
      <c r="BB25" s="132">
        <f t="shared" si="26"/>
        <v>0</v>
      </c>
      <c r="BC25" s="132">
        <f t="shared" si="26"/>
        <v>0</v>
      </c>
      <c r="BD25" s="132">
        <f t="shared" si="26"/>
        <v>0</v>
      </c>
      <c r="BE25" s="132">
        <f t="shared" si="26"/>
        <v>0</v>
      </c>
      <c r="BF25" s="132">
        <f t="shared" si="26"/>
        <v>0</v>
      </c>
      <c r="BG25" s="132">
        <f t="shared" si="26"/>
        <v>0</v>
      </c>
      <c r="BH25" s="132">
        <f t="shared" si="26"/>
        <v>0</v>
      </c>
      <c r="BI25" s="132">
        <f t="shared" si="26"/>
        <v>0</v>
      </c>
      <c r="BJ25" s="132">
        <f t="shared" si="26"/>
        <v>0</v>
      </c>
      <c r="BK25" s="132">
        <f t="shared" si="26"/>
        <v>0</v>
      </c>
      <c r="BL25" s="132">
        <f t="shared" si="26"/>
        <v>0</v>
      </c>
      <c r="BM25" s="132">
        <f t="shared" si="26"/>
        <v>0</v>
      </c>
      <c r="BN25" s="132">
        <f t="shared" si="26"/>
        <v>0</v>
      </c>
      <c r="BO25" s="132">
        <f t="shared" si="26"/>
        <v>0</v>
      </c>
      <c r="BP25" s="132">
        <f t="shared" si="26"/>
        <v>0</v>
      </c>
      <c r="BQ25" s="132">
        <f t="shared" si="26"/>
        <v>0</v>
      </c>
      <c r="BR25" s="132">
        <f t="shared" si="26"/>
        <v>0</v>
      </c>
      <c r="BS25" s="132">
        <f t="shared" si="26"/>
        <v>0</v>
      </c>
      <c r="BT25" s="132">
        <f t="shared" si="26"/>
        <v>0</v>
      </c>
      <c r="BU25" s="132">
        <f t="shared" si="26"/>
        <v>0</v>
      </c>
      <c r="BV25" s="132">
        <f t="shared" si="26"/>
        <v>0</v>
      </c>
      <c r="BW25" s="132">
        <f t="shared" si="26"/>
        <v>0</v>
      </c>
      <c r="BX25" s="132">
        <f t="shared" si="26"/>
        <v>0</v>
      </c>
      <c r="BY25" s="132">
        <f t="shared" ref="BY25:CO25" si="27">SUM(BY26:BY28)</f>
        <v>0</v>
      </c>
      <c r="BZ25" s="132">
        <f t="shared" si="27"/>
        <v>0</v>
      </c>
      <c r="CA25" s="132">
        <f t="shared" si="27"/>
        <v>0</v>
      </c>
      <c r="CB25" s="132">
        <f t="shared" si="27"/>
        <v>0</v>
      </c>
      <c r="CC25" s="132">
        <f t="shared" si="27"/>
        <v>0</v>
      </c>
      <c r="CD25" s="132">
        <f t="shared" si="27"/>
        <v>0</v>
      </c>
      <c r="CE25" s="132">
        <f t="shared" si="27"/>
        <v>0</v>
      </c>
      <c r="CF25" s="132">
        <f t="shared" si="27"/>
        <v>0</v>
      </c>
      <c r="CG25" s="132">
        <f t="shared" si="27"/>
        <v>0</v>
      </c>
      <c r="CH25" s="132">
        <f t="shared" si="27"/>
        <v>0</v>
      </c>
      <c r="CI25" s="132">
        <f t="shared" si="27"/>
        <v>0</v>
      </c>
      <c r="CJ25" s="132">
        <f t="shared" si="27"/>
        <v>0</v>
      </c>
      <c r="CK25" s="132">
        <f t="shared" si="27"/>
        <v>0</v>
      </c>
      <c r="CL25" s="132">
        <f t="shared" si="27"/>
        <v>0</v>
      </c>
      <c r="CM25" s="132">
        <f t="shared" si="27"/>
        <v>0</v>
      </c>
      <c r="CN25" s="132">
        <f t="shared" si="27"/>
        <v>0</v>
      </c>
      <c r="CO25" s="132">
        <f t="shared" si="27"/>
        <v>0</v>
      </c>
    </row>
    <row r="26" spans="1:93" s="133" customFormat="1" ht="14.25">
      <c r="A26" s="10"/>
      <c r="B26" s="10"/>
      <c r="C26" s="10" t="s">
        <v>73</v>
      </c>
      <c r="D26" s="10"/>
      <c r="E26" s="10"/>
      <c r="F26" s="10"/>
      <c r="G26" s="134" t="str">
        <f>Monetary_Unit</f>
        <v>тыс. руб.</v>
      </c>
      <c r="H26" s="10"/>
      <c r="I26" s="10"/>
      <c r="J26" s="10"/>
      <c r="K26" s="10"/>
      <c r="L26" s="10">
        <f t="shared" ref="L26:AQ26" ca="1" si="28">SUMIF(End_of_period,L$8,Equity_EoP)</f>
        <v>41332.842734322898</v>
      </c>
      <c r="M26" s="10">
        <f t="shared" ca="1" si="28"/>
        <v>401595.03174009075</v>
      </c>
      <c r="N26" s="10">
        <f t="shared" ca="1" si="28"/>
        <v>476514.16196976916</v>
      </c>
      <c r="O26" s="10">
        <f t="shared" ca="1" si="28"/>
        <v>516736.73096100148</v>
      </c>
      <c r="P26" s="10">
        <f t="shared" ca="1" si="28"/>
        <v>533689.28402014531</v>
      </c>
      <c r="Q26" s="10">
        <f t="shared" ca="1" si="28"/>
        <v>533689.28402014531</v>
      </c>
      <c r="R26" s="10">
        <f t="shared" ca="1" si="28"/>
        <v>533689.28402014531</v>
      </c>
      <c r="S26" s="10">
        <f t="shared" ca="1" si="28"/>
        <v>533689.28402014531</v>
      </c>
      <c r="T26" s="10">
        <f t="shared" ca="1" si="28"/>
        <v>533689.28402014531</v>
      </c>
      <c r="U26" s="10">
        <f t="shared" ca="1" si="28"/>
        <v>533689.28402014531</v>
      </c>
      <c r="V26" s="10">
        <f t="shared" ca="1" si="28"/>
        <v>533689.28402014531</v>
      </c>
      <c r="W26" s="10">
        <f t="shared" ca="1" si="28"/>
        <v>533689.28402014531</v>
      </c>
      <c r="X26" s="10">
        <f t="shared" ca="1" si="28"/>
        <v>533689.28402014531</v>
      </c>
      <c r="Y26" s="10">
        <f t="shared" ca="1" si="28"/>
        <v>533689.28402014531</v>
      </c>
      <c r="Z26" s="10">
        <f t="shared" ca="1" si="28"/>
        <v>533689.28402014531</v>
      </c>
      <c r="AA26" s="10">
        <f t="shared" ca="1" si="28"/>
        <v>533689.28402014531</v>
      </c>
      <c r="AB26" s="10">
        <f t="shared" ca="1" si="28"/>
        <v>533689.28402014531</v>
      </c>
      <c r="AC26" s="10">
        <f t="shared" ca="1" si="28"/>
        <v>533689.28402014531</v>
      </c>
      <c r="AD26" s="10">
        <f t="shared" ca="1" si="28"/>
        <v>533689.28402014531</v>
      </c>
      <c r="AE26" s="10">
        <f t="shared" ca="1" si="28"/>
        <v>533689.28402014531</v>
      </c>
      <c r="AF26" s="10">
        <f t="shared" si="28"/>
        <v>0</v>
      </c>
      <c r="AG26" s="10">
        <f t="shared" si="28"/>
        <v>0</v>
      </c>
      <c r="AH26" s="10">
        <f t="shared" si="28"/>
        <v>0</v>
      </c>
      <c r="AI26" s="10">
        <f t="shared" si="28"/>
        <v>0</v>
      </c>
      <c r="AJ26" s="10">
        <f t="shared" si="28"/>
        <v>0</v>
      </c>
      <c r="AK26" s="10">
        <f t="shared" si="28"/>
        <v>0</v>
      </c>
      <c r="AL26" s="10">
        <f t="shared" si="28"/>
        <v>0</v>
      </c>
      <c r="AM26" s="10">
        <f t="shared" si="28"/>
        <v>0</v>
      </c>
      <c r="AN26" s="10">
        <f t="shared" si="28"/>
        <v>0</v>
      </c>
      <c r="AO26" s="10">
        <f t="shared" si="28"/>
        <v>0</v>
      </c>
      <c r="AP26" s="10">
        <f t="shared" si="28"/>
        <v>0</v>
      </c>
      <c r="AQ26" s="10">
        <f t="shared" si="28"/>
        <v>0</v>
      </c>
      <c r="AR26" s="10">
        <f t="shared" ref="AR26:BW26" si="29">SUMIF(End_of_period,AR$8,Equity_EoP)</f>
        <v>0</v>
      </c>
      <c r="AS26" s="10">
        <f t="shared" si="29"/>
        <v>0</v>
      </c>
      <c r="AT26" s="10">
        <f t="shared" si="29"/>
        <v>0</v>
      </c>
      <c r="AU26" s="10">
        <f t="shared" si="29"/>
        <v>0</v>
      </c>
      <c r="AV26" s="10">
        <f t="shared" si="29"/>
        <v>0</v>
      </c>
      <c r="AW26" s="10">
        <f t="shared" si="29"/>
        <v>0</v>
      </c>
      <c r="AX26" s="10">
        <f t="shared" si="29"/>
        <v>0</v>
      </c>
      <c r="AY26" s="10">
        <f t="shared" si="29"/>
        <v>0</v>
      </c>
      <c r="AZ26" s="10">
        <f t="shared" si="29"/>
        <v>0</v>
      </c>
      <c r="BA26" s="10">
        <f t="shared" si="29"/>
        <v>0</v>
      </c>
      <c r="BB26" s="10">
        <f t="shared" si="29"/>
        <v>0</v>
      </c>
      <c r="BC26" s="10">
        <f t="shared" si="29"/>
        <v>0</v>
      </c>
      <c r="BD26" s="10">
        <f t="shared" si="29"/>
        <v>0</v>
      </c>
      <c r="BE26" s="10">
        <f t="shared" si="29"/>
        <v>0</v>
      </c>
      <c r="BF26" s="10">
        <f t="shared" si="29"/>
        <v>0</v>
      </c>
      <c r="BG26" s="10">
        <f t="shared" si="29"/>
        <v>0</v>
      </c>
      <c r="BH26" s="10">
        <f t="shared" si="29"/>
        <v>0</v>
      </c>
      <c r="BI26" s="10">
        <f t="shared" si="29"/>
        <v>0</v>
      </c>
      <c r="BJ26" s="10">
        <f t="shared" si="29"/>
        <v>0</v>
      </c>
      <c r="BK26" s="10">
        <f t="shared" si="29"/>
        <v>0</v>
      </c>
      <c r="BL26" s="10">
        <f t="shared" si="29"/>
        <v>0</v>
      </c>
      <c r="BM26" s="10">
        <f t="shared" si="29"/>
        <v>0</v>
      </c>
      <c r="BN26" s="10">
        <f t="shared" si="29"/>
        <v>0</v>
      </c>
      <c r="BO26" s="10">
        <f t="shared" si="29"/>
        <v>0</v>
      </c>
      <c r="BP26" s="10">
        <f t="shared" si="29"/>
        <v>0</v>
      </c>
      <c r="BQ26" s="10">
        <f t="shared" si="29"/>
        <v>0</v>
      </c>
      <c r="BR26" s="10">
        <f t="shared" si="29"/>
        <v>0</v>
      </c>
      <c r="BS26" s="10">
        <f t="shared" si="29"/>
        <v>0</v>
      </c>
      <c r="BT26" s="10">
        <f t="shared" si="29"/>
        <v>0</v>
      </c>
      <c r="BU26" s="10">
        <f t="shared" si="29"/>
        <v>0</v>
      </c>
      <c r="BV26" s="10">
        <f t="shared" si="29"/>
        <v>0</v>
      </c>
      <c r="BW26" s="10">
        <f t="shared" si="29"/>
        <v>0</v>
      </c>
      <c r="BX26" s="10">
        <f t="shared" ref="BX26:CO26" si="30">SUMIF(End_of_period,BX$8,Equity_EoP)</f>
        <v>0</v>
      </c>
      <c r="BY26" s="10">
        <f t="shared" si="30"/>
        <v>0</v>
      </c>
      <c r="BZ26" s="10">
        <f t="shared" si="30"/>
        <v>0</v>
      </c>
      <c r="CA26" s="10">
        <f t="shared" si="30"/>
        <v>0</v>
      </c>
      <c r="CB26" s="10">
        <f t="shared" si="30"/>
        <v>0</v>
      </c>
      <c r="CC26" s="10">
        <f t="shared" si="30"/>
        <v>0</v>
      </c>
      <c r="CD26" s="10">
        <f t="shared" si="30"/>
        <v>0</v>
      </c>
      <c r="CE26" s="10">
        <f t="shared" si="30"/>
        <v>0</v>
      </c>
      <c r="CF26" s="10">
        <f t="shared" si="30"/>
        <v>0</v>
      </c>
      <c r="CG26" s="10">
        <f t="shared" si="30"/>
        <v>0</v>
      </c>
      <c r="CH26" s="10">
        <f t="shared" si="30"/>
        <v>0</v>
      </c>
      <c r="CI26" s="10">
        <f t="shared" si="30"/>
        <v>0</v>
      </c>
      <c r="CJ26" s="10">
        <f t="shared" si="30"/>
        <v>0</v>
      </c>
      <c r="CK26" s="10">
        <f t="shared" si="30"/>
        <v>0</v>
      </c>
      <c r="CL26" s="10">
        <f t="shared" si="30"/>
        <v>0</v>
      </c>
      <c r="CM26" s="10">
        <f t="shared" si="30"/>
        <v>0</v>
      </c>
      <c r="CN26" s="10">
        <f t="shared" si="30"/>
        <v>0</v>
      </c>
      <c r="CO26" s="10">
        <f t="shared" si="30"/>
        <v>0</v>
      </c>
    </row>
    <row r="27" spans="1:93" s="133" customFormat="1" ht="14.25">
      <c r="A27" s="10"/>
      <c r="B27" s="10"/>
      <c r="C27" s="10" t="s">
        <v>553</v>
      </c>
      <c r="D27" s="10"/>
      <c r="E27" s="10"/>
      <c r="F27" s="10"/>
      <c r="G27" s="134" t="str">
        <f>Monetary_Unit</f>
        <v>тыс. руб.</v>
      </c>
      <c r="H27" s="10"/>
      <c r="I27" s="10"/>
      <c r="J27" s="10"/>
      <c r="K27" s="10"/>
      <c r="L27" s="10">
        <f t="shared" ref="L27:AQ27" ca="1" si="31">SUMIF(End_of_period,L$8,Subord_EoP)</f>
        <v>45857.385342756948</v>
      </c>
      <c r="M27" s="10">
        <f t="shared" ca="1" si="31"/>
        <v>443712.86353479093</v>
      </c>
      <c r="N27" s="10">
        <f t="shared" ca="1" si="31"/>
        <v>590096.54460569553</v>
      </c>
      <c r="O27" s="10">
        <f t="shared" ca="1" si="31"/>
        <v>716468.27772466175</v>
      </c>
      <c r="P27" s="10">
        <f t="shared" ca="1" si="31"/>
        <v>658177.21018213511</v>
      </c>
      <c r="Q27" s="10">
        <f t="shared" ca="1" si="31"/>
        <v>641704.0097240617</v>
      </c>
      <c r="R27" s="10">
        <f t="shared" ca="1" si="31"/>
        <v>605993.76866953482</v>
      </c>
      <c r="S27" s="10">
        <f t="shared" ca="1" si="31"/>
        <v>548742.96079940174</v>
      </c>
      <c r="T27" s="10">
        <f t="shared" ca="1" si="31"/>
        <v>203345.64714190544</v>
      </c>
      <c r="U27" s="10">
        <f t="shared" ca="1" si="31"/>
        <v>0</v>
      </c>
      <c r="V27" s="10">
        <f t="shared" ca="1" si="31"/>
        <v>0</v>
      </c>
      <c r="W27" s="10">
        <f t="shared" ca="1" si="31"/>
        <v>0</v>
      </c>
      <c r="X27" s="10">
        <f t="shared" ca="1" si="31"/>
        <v>0</v>
      </c>
      <c r="Y27" s="10">
        <f t="shared" ca="1" si="31"/>
        <v>0</v>
      </c>
      <c r="Z27" s="10">
        <f t="shared" ca="1" si="31"/>
        <v>0</v>
      </c>
      <c r="AA27" s="10">
        <f t="shared" ca="1" si="31"/>
        <v>0</v>
      </c>
      <c r="AB27" s="10">
        <f t="shared" ca="1" si="31"/>
        <v>0</v>
      </c>
      <c r="AC27" s="10">
        <f t="shared" ca="1" si="31"/>
        <v>0</v>
      </c>
      <c r="AD27" s="10">
        <f t="shared" ca="1" si="31"/>
        <v>0</v>
      </c>
      <c r="AE27" s="10">
        <f t="shared" ca="1" si="31"/>
        <v>0</v>
      </c>
      <c r="AF27" s="10">
        <f t="shared" si="31"/>
        <v>0</v>
      </c>
      <c r="AG27" s="10">
        <f t="shared" si="31"/>
        <v>0</v>
      </c>
      <c r="AH27" s="10">
        <f t="shared" si="31"/>
        <v>0</v>
      </c>
      <c r="AI27" s="10">
        <f t="shared" si="31"/>
        <v>0</v>
      </c>
      <c r="AJ27" s="10">
        <f t="shared" si="31"/>
        <v>0</v>
      </c>
      <c r="AK27" s="10">
        <f t="shared" si="31"/>
        <v>0</v>
      </c>
      <c r="AL27" s="10">
        <f t="shared" si="31"/>
        <v>0</v>
      </c>
      <c r="AM27" s="10">
        <f t="shared" si="31"/>
        <v>0</v>
      </c>
      <c r="AN27" s="10">
        <f t="shared" si="31"/>
        <v>0</v>
      </c>
      <c r="AO27" s="10">
        <f t="shared" si="31"/>
        <v>0</v>
      </c>
      <c r="AP27" s="10">
        <f t="shared" si="31"/>
        <v>0</v>
      </c>
      <c r="AQ27" s="10">
        <f t="shared" si="31"/>
        <v>0</v>
      </c>
      <c r="AR27" s="10">
        <f t="shared" ref="AR27:BW27" si="32">SUMIF(End_of_period,AR$8,Subord_EoP)</f>
        <v>0</v>
      </c>
      <c r="AS27" s="10">
        <f t="shared" si="32"/>
        <v>0</v>
      </c>
      <c r="AT27" s="10">
        <f t="shared" si="32"/>
        <v>0</v>
      </c>
      <c r="AU27" s="10">
        <f t="shared" si="32"/>
        <v>0</v>
      </c>
      <c r="AV27" s="10">
        <f t="shared" si="32"/>
        <v>0</v>
      </c>
      <c r="AW27" s="10">
        <f t="shared" si="32"/>
        <v>0</v>
      </c>
      <c r="AX27" s="10">
        <f t="shared" si="32"/>
        <v>0</v>
      </c>
      <c r="AY27" s="10">
        <f t="shared" si="32"/>
        <v>0</v>
      </c>
      <c r="AZ27" s="10">
        <f t="shared" si="32"/>
        <v>0</v>
      </c>
      <c r="BA27" s="10">
        <f t="shared" si="32"/>
        <v>0</v>
      </c>
      <c r="BB27" s="10">
        <f t="shared" si="32"/>
        <v>0</v>
      </c>
      <c r="BC27" s="10">
        <f t="shared" si="32"/>
        <v>0</v>
      </c>
      <c r="BD27" s="10">
        <f t="shared" si="32"/>
        <v>0</v>
      </c>
      <c r="BE27" s="10">
        <f t="shared" si="32"/>
        <v>0</v>
      </c>
      <c r="BF27" s="10">
        <f t="shared" si="32"/>
        <v>0</v>
      </c>
      <c r="BG27" s="10">
        <f t="shared" si="32"/>
        <v>0</v>
      </c>
      <c r="BH27" s="10">
        <f t="shared" si="32"/>
        <v>0</v>
      </c>
      <c r="BI27" s="10">
        <f t="shared" si="32"/>
        <v>0</v>
      </c>
      <c r="BJ27" s="10">
        <f t="shared" si="32"/>
        <v>0</v>
      </c>
      <c r="BK27" s="10">
        <f t="shared" si="32"/>
        <v>0</v>
      </c>
      <c r="BL27" s="10">
        <f t="shared" si="32"/>
        <v>0</v>
      </c>
      <c r="BM27" s="10">
        <f t="shared" si="32"/>
        <v>0</v>
      </c>
      <c r="BN27" s="10">
        <f t="shared" si="32"/>
        <v>0</v>
      </c>
      <c r="BO27" s="10">
        <f t="shared" si="32"/>
        <v>0</v>
      </c>
      <c r="BP27" s="10">
        <f t="shared" si="32"/>
        <v>0</v>
      </c>
      <c r="BQ27" s="10">
        <f t="shared" si="32"/>
        <v>0</v>
      </c>
      <c r="BR27" s="10">
        <f t="shared" si="32"/>
        <v>0</v>
      </c>
      <c r="BS27" s="10">
        <f t="shared" si="32"/>
        <v>0</v>
      </c>
      <c r="BT27" s="10">
        <f t="shared" si="32"/>
        <v>0</v>
      </c>
      <c r="BU27" s="10">
        <f t="shared" si="32"/>
        <v>0</v>
      </c>
      <c r="BV27" s="10">
        <f t="shared" si="32"/>
        <v>0</v>
      </c>
      <c r="BW27" s="10">
        <f t="shared" si="32"/>
        <v>0</v>
      </c>
      <c r="BX27" s="10">
        <f t="shared" ref="BX27:CO27" si="33">SUMIF(End_of_period,BX$8,Subord_EoP)</f>
        <v>0</v>
      </c>
      <c r="BY27" s="10">
        <f t="shared" si="33"/>
        <v>0</v>
      </c>
      <c r="BZ27" s="10">
        <f t="shared" si="33"/>
        <v>0</v>
      </c>
      <c r="CA27" s="10">
        <f t="shared" si="33"/>
        <v>0</v>
      </c>
      <c r="CB27" s="10">
        <f t="shared" si="33"/>
        <v>0</v>
      </c>
      <c r="CC27" s="10">
        <f t="shared" si="33"/>
        <v>0</v>
      </c>
      <c r="CD27" s="10">
        <f t="shared" si="33"/>
        <v>0</v>
      </c>
      <c r="CE27" s="10">
        <f t="shared" si="33"/>
        <v>0</v>
      </c>
      <c r="CF27" s="10">
        <f t="shared" si="33"/>
        <v>0</v>
      </c>
      <c r="CG27" s="10">
        <f t="shared" si="33"/>
        <v>0</v>
      </c>
      <c r="CH27" s="10">
        <f t="shared" si="33"/>
        <v>0</v>
      </c>
      <c r="CI27" s="10">
        <f t="shared" si="33"/>
        <v>0</v>
      </c>
      <c r="CJ27" s="10">
        <f t="shared" si="33"/>
        <v>0</v>
      </c>
      <c r="CK27" s="10">
        <f t="shared" si="33"/>
        <v>0</v>
      </c>
      <c r="CL27" s="10">
        <f t="shared" si="33"/>
        <v>0</v>
      </c>
      <c r="CM27" s="10">
        <f t="shared" si="33"/>
        <v>0</v>
      </c>
      <c r="CN27" s="10">
        <f t="shared" si="33"/>
        <v>0</v>
      </c>
      <c r="CO27" s="10">
        <f t="shared" si="33"/>
        <v>0</v>
      </c>
    </row>
    <row r="28" spans="1:93" s="133" customFormat="1" ht="14.25">
      <c r="A28" s="10"/>
      <c r="B28" s="10"/>
      <c r="C28" s="10" t="s">
        <v>74</v>
      </c>
      <c r="D28" s="10"/>
      <c r="E28" s="10"/>
      <c r="F28" s="10"/>
      <c r="G28" s="134" t="str">
        <f>Monetary_Unit</f>
        <v>тыс. руб.</v>
      </c>
      <c r="H28" s="10"/>
      <c r="I28" s="10"/>
      <c r="J28" s="10"/>
      <c r="K28" s="10"/>
      <c r="L28" s="10">
        <f ca="1">SUMIF(End_of_period,L$8,Отчетность!$L28:$CO28)</f>
        <v>0</v>
      </c>
      <c r="M28" s="10">
        <f ca="1">SUMIF(End_of_period,M$8,Отчетность!$L28:$CO28)</f>
        <v>0</v>
      </c>
      <c r="N28" s="10">
        <f ca="1">SUMIF(End_of_period,N$8,Отчетность!$L28:$CO28)</f>
        <v>0</v>
      </c>
      <c r="O28" s="10">
        <f ca="1">SUMIF(End_of_period,O$8,Отчетность!$L28:$CO28)</f>
        <v>0</v>
      </c>
      <c r="P28" s="10">
        <f ca="1">SUMIF(End_of_period,P$8,Отчетность!$L28:$CO28)</f>
        <v>174398.8609637031</v>
      </c>
      <c r="Q28" s="10">
        <f ca="1">SUMIF(End_of_period,Q$8,Отчетность!$L28:$CO28)</f>
        <v>438753.04737035115</v>
      </c>
      <c r="R28" s="10">
        <f ca="1">SUMIF(End_of_period,R$8,Отчетность!$L28:$CO28)</f>
        <v>829691.28277857392</v>
      </c>
      <c r="S28" s="10">
        <f ca="1">SUMIF(End_of_period,S$8,Отчетность!$L28:$CO28)</f>
        <v>1349001.7557084402</v>
      </c>
      <c r="T28" s="10">
        <f ca="1">SUMIF(End_of_period,T$8,Отчетность!$L28:$CO28)</f>
        <v>1938354.6037313575</v>
      </c>
      <c r="U28" s="10">
        <f ca="1">SUMIF(End_of_period,U$8,Отчетность!$L28:$CO28)</f>
        <v>1867185.8583978522</v>
      </c>
      <c r="V28" s="10">
        <f ca="1">SUMIF(End_of_period,V$8,Отчетность!$L28:$CO28)</f>
        <v>1681041.3518508463</v>
      </c>
      <c r="W28" s="10">
        <f ca="1">SUMIF(End_of_period,W$8,Отчетность!$L28:$CO28)</f>
        <v>1565986.4028887742</v>
      </c>
      <c r="X28" s="10">
        <f ca="1">SUMIF(End_of_period,X$8,Отчетность!$L28:$CO28)</f>
        <v>1474665.5369483067</v>
      </c>
      <c r="Y28" s="10">
        <f ca="1">SUMIF(End_of_period,Y$8,Отчетность!$L28:$CO28)</f>
        <v>1383402.0252273583</v>
      </c>
      <c r="Z28" s="10">
        <f ca="1">SUMIF(End_of_period,Z$8,Отчетность!$L28:$CO28)</f>
        <v>1292198.1936767001</v>
      </c>
      <c r="AA28" s="10">
        <f ca="1">SUMIF(End_of_period,AA$8,Отчетность!$L28:$CO28)</f>
        <v>1201056.3937527267</v>
      </c>
      <c r="AB28" s="10">
        <f ca="1">SUMIF(End_of_period,AB$8,Отчетность!$L28:$CO28)</f>
        <v>1109979.2154017743</v>
      </c>
      <c r="AC28" s="10">
        <f ca="1">SUMIF(End_of_period,AC$8,Отчетность!$L28:$CO28)</f>
        <v>1018969.1333754779</v>
      </c>
      <c r="AD28" s="10">
        <f ca="1">SUMIF(End_of_period,AD$8,Отчетность!$L28:$CO28)</f>
        <v>928028.86870725791</v>
      </c>
      <c r="AE28" s="10">
        <f ca="1">SUMIF(End_of_period,AE$8,Отчетность!$L28:$CO28)</f>
        <v>837161.17226850556</v>
      </c>
      <c r="AF28" s="10">
        <f>SUMIF(End_of_period,AF$8,Отчетность!$L28:$CO28)</f>
        <v>0</v>
      </c>
      <c r="AG28" s="10">
        <f>SUMIF(End_of_period,AG$8,Отчетность!$L28:$CO28)</f>
        <v>0</v>
      </c>
      <c r="AH28" s="10">
        <f>SUMIF(End_of_period,AH$8,Отчетность!$L28:$CO28)</f>
        <v>0</v>
      </c>
      <c r="AI28" s="10">
        <f>SUMIF(End_of_period,AI$8,Отчетность!$L28:$CO28)</f>
        <v>0</v>
      </c>
      <c r="AJ28" s="10">
        <f>SUMIF(End_of_period,AJ$8,Отчетность!$L28:$CO28)</f>
        <v>0</v>
      </c>
      <c r="AK28" s="10">
        <f>SUMIF(End_of_period,AK$8,Отчетность!$L28:$CO28)</f>
        <v>0</v>
      </c>
      <c r="AL28" s="10">
        <f>SUMIF(End_of_period,AL$8,Отчетность!$L28:$CO28)</f>
        <v>0</v>
      </c>
      <c r="AM28" s="10">
        <f>SUMIF(End_of_period,AM$8,Отчетность!$L28:$CO28)</f>
        <v>0</v>
      </c>
      <c r="AN28" s="10">
        <f>SUMIF(End_of_period,AN$8,Отчетность!$L28:$CO28)</f>
        <v>0</v>
      </c>
      <c r="AO28" s="10">
        <f>SUMIF(End_of_period,AO$8,Отчетность!$L28:$CO28)</f>
        <v>0</v>
      </c>
      <c r="AP28" s="10">
        <f>SUMIF(End_of_period,AP$8,Отчетность!$L28:$CO28)</f>
        <v>0</v>
      </c>
      <c r="AQ28" s="10">
        <f>SUMIF(End_of_period,AQ$8,Отчетность!$L28:$CO28)</f>
        <v>0</v>
      </c>
      <c r="AR28" s="10">
        <f>SUMIF(End_of_period,AR$8,Отчетность!$L28:$CO28)</f>
        <v>0</v>
      </c>
      <c r="AS28" s="10">
        <f>SUMIF(End_of_period,AS$8,Отчетность!$L28:$CO28)</f>
        <v>0</v>
      </c>
      <c r="AT28" s="10">
        <f>SUMIF(End_of_period,AT$8,Отчетность!$L28:$CO28)</f>
        <v>0</v>
      </c>
      <c r="AU28" s="10">
        <f>SUMIF(End_of_period,AU$8,Отчетность!$L28:$CO28)</f>
        <v>0</v>
      </c>
      <c r="AV28" s="10">
        <f>SUMIF(End_of_period,AV$8,Отчетность!$L28:$CO28)</f>
        <v>0</v>
      </c>
      <c r="AW28" s="10">
        <f>SUMIF(End_of_period,AW$8,Отчетность!$L28:$CO28)</f>
        <v>0</v>
      </c>
      <c r="AX28" s="10">
        <f>SUMIF(End_of_period,AX$8,Отчетность!$L28:$CO28)</f>
        <v>0</v>
      </c>
      <c r="AY28" s="10">
        <f>SUMIF(End_of_period,AY$8,Отчетность!$L28:$CO28)</f>
        <v>0</v>
      </c>
      <c r="AZ28" s="10">
        <f>SUMIF(End_of_period,AZ$8,Отчетность!$L28:$CO28)</f>
        <v>0</v>
      </c>
      <c r="BA28" s="10">
        <f>SUMIF(End_of_period,BA$8,Отчетность!$L28:$CO28)</f>
        <v>0</v>
      </c>
      <c r="BB28" s="10">
        <f>SUMIF(End_of_period,BB$8,Отчетность!$L28:$CO28)</f>
        <v>0</v>
      </c>
      <c r="BC28" s="10">
        <f>SUMIF(End_of_period,BC$8,Отчетность!$L28:$CO28)</f>
        <v>0</v>
      </c>
      <c r="BD28" s="10">
        <f>SUMIF(End_of_period,BD$8,Отчетность!$L28:$CO28)</f>
        <v>0</v>
      </c>
      <c r="BE28" s="10">
        <f>SUMIF(End_of_period,BE$8,Отчетность!$L28:$CO28)</f>
        <v>0</v>
      </c>
      <c r="BF28" s="10">
        <f>SUMIF(End_of_period,BF$8,Отчетность!$L28:$CO28)</f>
        <v>0</v>
      </c>
      <c r="BG28" s="10">
        <f>SUMIF(End_of_period,BG$8,Отчетность!$L28:$CO28)</f>
        <v>0</v>
      </c>
      <c r="BH28" s="10">
        <f>SUMIF(End_of_period,BH$8,Отчетность!$L28:$CO28)</f>
        <v>0</v>
      </c>
      <c r="BI28" s="10">
        <f>SUMIF(End_of_period,BI$8,Отчетность!$L28:$CO28)</f>
        <v>0</v>
      </c>
      <c r="BJ28" s="10">
        <f>SUMIF(End_of_period,BJ$8,Отчетность!$L28:$CO28)</f>
        <v>0</v>
      </c>
      <c r="BK28" s="10">
        <f>SUMIF(End_of_period,BK$8,Отчетность!$L28:$CO28)</f>
        <v>0</v>
      </c>
      <c r="BL28" s="10">
        <f>SUMIF(End_of_period,BL$8,Отчетность!$L28:$CO28)</f>
        <v>0</v>
      </c>
      <c r="BM28" s="10">
        <f>SUMIF(End_of_period,BM$8,Отчетность!$L28:$CO28)</f>
        <v>0</v>
      </c>
      <c r="BN28" s="10">
        <f>SUMIF(End_of_period,BN$8,Отчетность!$L28:$CO28)</f>
        <v>0</v>
      </c>
      <c r="BO28" s="10">
        <f>SUMIF(End_of_period,BO$8,Отчетность!$L28:$CO28)</f>
        <v>0</v>
      </c>
      <c r="BP28" s="10">
        <f>SUMIF(End_of_period,BP$8,Отчетность!$L28:$CO28)</f>
        <v>0</v>
      </c>
      <c r="BQ28" s="10">
        <f>SUMIF(End_of_period,BQ$8,Отчетность!$L28:$CO28)</f>
        <v>0</v>
      </c>
      <c r="BR28" s="10">
        <f>SUMIF(End_of_period,BR$8,Отчетность!$L28:$CO28)</f>
        <v>0</v>
      </c>
      <c r="BS28" s="10">
        <f>SUMIF(End_of_period,BS$8,Отчетность!$L28:$CO28)</f>
        <v>0</v>
      </c>
      <c r="BT28" s="10">
        <f>SUMIF(End_of_period,BT$8,Отчетность!$L28:$CO28)</f>
        <v>0</v>
      </c>
      <c r="BU28" s="10">
        <f>SUMIF(End_of_period,BU$8,Отчетность!$L28:$CO28)</f>
        <v>0</v>
      </c>
      <c r="BV28" s="10">
        <f>SUMIF(End_of_period,BV$8,Отчетность!$L28:$CO28)</f>
        <v>0</v>
      </c>
      <c r="BW28" s="10">
        <f>SUMIF(End_of_period,BW$8,Отчетность!$L28:$CO28)</f>
        <v>0</v>
      </c>
      <c r="BX28" s="10">
        <f>SUMIF(End_of_period,BX$8,Отчетность!$L28:$CO28)</f>
        <v>0</v>
      </c>
      <c r="BY28" s="10">
        <f>SUMIF(End_of_period,BY$8,Отчетность!$L28:$CO28)</f>
        <v>0</v>
      </c>
      <c r="BZ28" s="10">
        <f>SUMIF(End_of_period,BZ$8,Отчетность!$L28:$CO28)</f>
        <v>0</v>
      </c>
      <c r="CA28" s="10">
        <f>SUMIF(End_of_period,CA$8,Отчетность!$L28:$CO28)</f>
        <v>0</v>
      </c>
      <c r="CB28" s="10">
        <f>SUMIF(End_of_period,CB$8,Отчетность!$L28:$CO28)</f>
        <v>0</v>
      </c>
      <c r="CC28" s="10">
        <f>SUMIF(End_of_period,CC$8,Отчетность!$L28:$CO28)</f>
        <v>0</v>
      </c>
      <c r="CD28" s="10">
        <f>SUMIF(End_of_period,CD$8,Отчетность!$L28:$CO28)</f>
        <v>0</v>
      </c>
      <c r="CE28" s="10">
        <f>SUMIF(End_of_period,CE$8,Отчетность!$L28:$CO28)</f>
        <v>0</v>
      </c>
      <c r="CF28" s="10">
        <f>SUMIF(End_of_period,CF$8,Отчетность!$L28:$CO28)</f>
        <v>0</v>
      </c>
      <c r="CG28" s="10">
        <f>SUMIF(End_of_period,CG$8,Отчетность!$L28:$CO28)</f>
        <v>0</v>
      </c>
      <c r="CH28" s="10">
        <f>SUMIF(End_of_period,CH$8,Отчетность!$L28:$CO28)</f>
        <v>0</v>
      </c>
      <c r="CI28" s="10">
        <f>SUMIF(End_of_period,CI$8,Отчетность!$L28:$CO28)</f>
        <v>0</v>
      </c>
      <c r="CJ28" s="10">
        <f>SUMIF(End_of_period,CJ$8,Отчетность!$L28:$CO28)</f>
        <v>0</v>
      </c>
      <c r="CK28" s="10">
        <f>SUMIF(End_of_period,CK$8,Отчетность!$L28:$CO28)</f>
        <v>0</v>
      </c>
      <c r="CL28" s="10">
        <f>SUMIF(End_of_period,CL$8,Отчетность!$L28:$CO28)</f>
        <v>0</v>
      </c>
      <c r="CM28" s="10">
        <f>SUMIF(End_of_period,CM$8,Отчетность!$L28:$CO28)</f>
        <v>0</v>
      </c>
      <c r="CN28" s="10">
        <f>SUMIF(End_of_period,CN$8,Отчетность!$L28:$CO28)</f>
        <v>0</v>
      </c>
      <c r="CO28" s="10">
        <f>SUMIF(End_of_period,CO$8,Отчетность!$L28:$CO28)</f>
        <v>0</v>
      </c>
    </row>
    <row r="29" spans="1:93" s="133" customFormat="1" ht="14.25">
      <c r="A29" s="10"/>
      <c r="B29" s="10"/>
      <c r="C29" s="10"/>
      <c r="D29" s="10"/>
      <c r="E29" s="10"/>
      <c r="F29" s="10"/>
      <c r="G29" s="11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s="133" customFormat="1">
      <c r="A30" s="10"/>
      <c r="B30" s="130" t="s">
        <v>75</v>
      </c>
      <c r="C30" s="35" t="s">
        <v>76</v>
      </c>
      <c r="D30" s="130"/>
      <c r="E30" s="130"/>
      <c r="F30" s="130"/>
      <c r="G30" s="131" t="str">
        <f>Monetary_Unit</f>
        <v>тыс. руб.</v>
      </c>
      <c r="H30" s="130"/>
      <c r="I30" s="10"/>
      <c r="J30" s="10"/>
      <c r="K30" s="10"/>
      <c r="L30" s="132">
        <f t="shared" ref="L30:AQ30" ca="1" si="34">SUM(L31:L31)</f>
        <v>0</v>
      </c>
      <c r="M30" s="132">
        <f t="shared" ca="1" si="34"/>
        <v>0</v>
      </c>
      <c r="N30" s="132">
        <f t="shared" ca="1" si="34"/>
        <v>619681.24132743443</v>
      </c>
      <c r="O30" s="132">
        <f t="shared" ca="1" si="34"/>
        <v>2111857.5277303178</v>
      </c>
      <c r="P30" s="132">
        <f t="shared" ca="1" si="34"/>
        <v>2017993.7277197978</v>
      </c>
      <c r="Q30" s="132">
        <f t="shared" ca="1" si="34"/>
        <v>1595325.642261199</v>
      </c>
      <c r="R30" s="132">
        <f t="shared" ca="1" si="34"/>
        <v>1066198.5492529529</v>
      </c>
      <c r="S30" s="132">
        <f t="shared" ca="1" si="34"/>
        <v>426803.06275349879</v>
      </c>
      <c r="T30" s="132">
        <f t="shared" ca="1" si="34"/>
        <v>0</v>
      </c>
      <c r="U30" s="132">
        <f t="shared" ca="1" si="34"/>
        <v>0</v>
      </c>
      <c r="V30" s="132">
        <f t="shared" ca="1" si="34"/>
        <v>0</v>
      </c>
      <c r="W30" s="132">
        <f t="shared" ca="1" si="34"/>
        <v>0</v>
      </c>
      <c r="X30" s="132">
        <f t="shared" ca="1" si="34"/>
        <v>0</v>
      </c>
      <c r="Y30" s="132">
        <f t="shared" ca="1" si="34"/>
        <v>0</v>
      </c>
      <c r="Z30" s="132">
        <f t="shared" ca="1" si="34"/>
        <v>0</v>
      </c>
      <c r="AA30" s="132">
        <f t="shared" ca="1" si="34"/>
        <v>0</v>
      </c>
      <c r="AB30" s="132">
        <f t="shared" ca="1" si="34"/>
        <v>0</v>
      </c>
      <c r="AC30" s="132">
        <f t="shared" ca="1" si="34"/>
        <v>0</v>
      </c>
      <c r="AD30" s="132">
        <f t="shared" ca="1" si="34"/>
        <v>0</v>
      </c>
      <c r="AE30" s="132">
        <f t="shared" ca="1" si="34"/>
        <v>0</v>
      </c>
      <c r="AF30" s="132">
        <f t="shared" si="34"/>
        <v>0</v>
      </c>
      <c r="AG30" s="132">
        <f t="shared" si="34"/>
        <v>0</v>
      </c>
      <c r="AH30" s="132">
        <f t="shared" si="34"/>
        <v>0</v>
      </c>
      <c r="AI30" s="132">
        <f t="shared" si="34"/>
        <v>0</v>
      </c>
      <c r="AJ30" s="132">
        <f t="shared" si="34"/>
        <v>0</v>
      </c>
      <c r="AK30" s="132">
        <f t="shared" si="34"/>
        <v>0</v>
      </c>
      <c r="AL30" s="132">
        <f t="shared" si="34"/>
        <v>0</v>
      </c>
      <c r="AM30" s="132">
        <f t="shared" si="34"/>
        <v>0</v>
      </c>
      <c r="AN30" s="132">
        <f t="shared" si="34"/>
        <v>0</v>
      </c>
      <c r="AO30" s="132">
        <f t="shared" si="34"/>
        <v>0</v>
      </c>
      <c r="AP30" s="132">
        <f t="shared" si="34"/>
        <v>0</v>
      </c>
      <c r="AQ30" s="132">
        <f t="shared" si="34"/>
        <v>0</v>
      </c>
      <c r="AR30" s="132">
        <f t="shared" ref="AR30:CO30" si="35">SUM(AR31:AR31)</f>
        <v>0</v>
      </c>
      <c r="AS30" s="132">
        <f t="shared" si="35"/>
        <v>0</v>
      </c>
      <c r="AT30" s="132">
        <f t="shared" si="35"/>
        <v>0</v>
      </c>
      <c r="AU30" s="132">
        <f t="shared" si="35"/>
        <v>0</v>
      </c>
      <c r="AV30" s="132">
        <f t="shared" si="35"/>
        <v>0</v>
      </c>
      <c r="AW30" s="132">
        <f t="shared" si="35"/>
        <v>0</v>
      </c>
      <c r="AX30" s="132">
        <f t="shared" si="35"/>
        <v>0</v>
      </c>
      <c r="AY30" s="132">
        <f t="shared" si="35"/>
        <v>0</v>
      </c>
      <c r="AZ30" s="132">
        <f t="shared" si="35"/>
        <v>0</v>
      </c>
      <c r="BA30" s="132">
        <f t="shared" si="35"/>
        <v>0</v>
      </c>
      <c r="BB30" s="132">
        <f t="shared" si="35"/>
        <v>0</v>
      </c>
      <c r="BC30" s="132">
        <f t="shared" si="35"/>
        <v>0</v>
      </c>
      <c r="BD30" s="132">
        <f t="shared" si="35"/>
        <v>0</v>
      </c>
      <c r="BE30" s="132">
        <f t="shared" si="35"/>
        <v>0</v>
      </c>
      <c r="BF30" s="132">
        <f t="shared" si="35"/>
        <v>0</v>
      </c>
      <c r="BG30" s="132">
        <f t="shared" si="35"/>
        <v>0</v>
      </c>
      <c r="BH30" s="132">
        <f t="shared" si="35"/>
        <v>0</v>
      </c>
      <c r="BI30" s="132">
        <f t="shared" si="35"/>
        <v>0</v>
      </c>
      <c r="BJ30" s="132">
        <f t="shared" si="35"/>
        <v>0</v>
      </c>
      <c r="BK30" s="132">
        <f t="shared" si="35"/>
        <v>0</v>
      </c>
      <c r="BL30" s="132">
        <f t="shared" si="35"/>
        <v>0</v>
      </c>
      <c r="BM30" s="132">
        <f t="shared" si="35"/>
        <v>0</v>
      </c>
      <c r="BN30" s="132">
        <f t="shared" si="35"/>
        <v>0</v>
      </c>
      <c r="BO30" s="132">
        <f t="shared" si="35"/>
        <v>0</v>
      </c>
      <c r="BP30" s="132">
        <f t="shared" si="35"/>
        <v>0</v>
      </c>
      <c r="BQ30" s="132">
        <f t="shared" si="35"/>
        <v>0</v>
      </c>
      <c r="BR30" s="132">
        <f t="shared" si="35"/>
        <v>0</v>
      </c>
      <c r="BS30" s="132">
        <f t="shared" si="35"/>
        <v>0</v>
      </c>
      <c r="BT30" s="132">
        <f t="shared" si="35"/>
        <v>0</v>
      </c>
      <c r="BU30" s="132">
        <f t="shared" si="35"/>
        <v>0</v>
      </c>
      <c r="BV30" s="132">
        <f t="shared" si="35"/>
        <v>0</v>
      </c>
      <c r="BW30" s="132">
        <f t="shared" si="35"/>
        <v>0</v>
      </c>
      <c r="BX30" s="132">
        <f t="shared" si="35"/>
        <v>0</v>
      </c>
      <c r="BY30" s="132">
        <f t="shared" si="35"/>
        <v>0</v>
      </c>
      <c r="BZ30" s="132">
        <f t="shared" si="35"/>
        <v>0</v>
      </c>
      <c r="CA30" s="132">
        <f t="shared" si="35"/>
        <v>0</v>
      </c>
      <c r="CB30" s="132">
        <f t="shared" si="35"/>
        <v>0</v>
      </c>
      <c r="CC30" s="132">
        <f t="shared" si="35"/>
        <v>0</v>
      </c>
      <c r="CD30" s="132">
        <f t="shared" si="35"/>
        <v>0</v>
      </c>
      <c r="CE30" s="132">
        <f t="shared" si="35"/>
        <v>0</v>
      </c>
      <c r="CF30" s="132">
        <f t="shared" si="35"/>
        <v>0</v>
      </c>
      <c r="CG30" s="132">
        <f t="shared" si="35"/>
        <v>0</v>
      </c>
      <c r="CH30" s="132">
        <f t="shared" si="35"/>
        <v>0</v>
      </c>
      <c r="CI30" s="132">
        <f t="shared" si="35"/>
        <v>0</v>
      </c>
      <c r="CJ30" s="132">
        <f t="shared" si="35"/>
        <v>0</v>
      </c>
      <c r="CK30" s="132">
        <f t="shared" si="35"/>
        <v>0</v>
      </c>
      <c r="CL30" s="132">
        <f t="shared" si="35"/>
        <v>0</v>
      </c>
      <c r="CM30" s="132">
        <f t="shared" si="35"/>
        <v>0</v>
      </c>
      <c r="CN30" s="132">
        <f t="shared" si="35"/>
        <v>0</v>
      </c>
      <c r="CO30" s="132">
        <f t="shared" si="35"/>
        <v>0</v>
      </c>
    </row>
    <row r="31" spans="1:93" s="133" customFormat="1" ht="14.25">
      <c r="A31" s="10"/>
      <c r="B31" s="10"/>
      <c r="C31" s="10" t="s">
        <v>539</v>
      </c>
      <c r="D31" s="10"/>
      <c r="E31" s="10"/>
      <c r="F31" s="10"/>
      <c r="G31" s="134" t="str">
        <f>Monetary_Unit</f>
        <v>тыс. руб.</v>
      </c>
      <c r="H31" s="10"/>
      <c r="I31" s="10"/>
      <c r="J31" s="10"/>
      <c r="K31" s="10"/>
      <c r="L31" s="10">
        <f t="shared" ref="L31:AQ31" ca="1" si="36">SUMIF(End_of_period,L$8,Debt_EoP)</f>
        <v>0</v>
      </c>
      <c r="M31" s="10">
        <f t="shared" ca="1" si="36"/>
        <v>0</v>
      </c>
      <c r="N31" s="10">
        <f t="shared" ca="1" si="36"/>
        <v>619681.24132743443</v>
      </c>
      <c r="O31" s="10">
        <f t="shared" ca="1" si="36"/>
        <v>2111857.5277303178</v>
      </c>
      <c r="P31" s="10">
        <f t="shared" ca="1" si="36"/>
        <v>2017993.7277197978</v>
      </c>
      <c r="Q31" s="10">
        <f t="shared" ca="1" si="36"/>
        <v>1595325.642261199</v>
      </c>
      <c r="R31" s="10">
        <f t="shared" ca="1" si="36"/>
        <v>1066198.5492529529</v>
      </c>
      <c r="S31" s="10">
        <f t="shared" ca="1" si="36"/>
        <v>426803.06275349879</v>
      </c>
      <c r="T31" s="10">
        <f t="shared" ca="1" si="36"/>
        <v>0</v>
      </c>
      <c r="U31" s="10">
        <f t="shared" ca="1" si="36"/>
        <v>0</v>
      </c>
      <c r="V31" s="10">
        <f t="shared" ca="1" si="36"/>
        <v>0</v>
      </c>
      <c r="W31" s="10">
        <f t="shared" ca="1" si="36"/>
        <v>0</v>
      </c>
      <c r="X31" s="10">
        <f t="shared" ca="1" si="36"/>
        <v>0</v>
      </c>
      <c r="Y31" s="10">
        <f t="shared" ca="1" si="36"/>
        <v>0</v>
      </c>
      <c r="Z31" s="10">
        <f t="shared" ca="1" si="36"/>
        <v>0</v>
      </c>
      <c r="AA31" s="10">
        <f t="shared" ca="1" si="36"/>
        <v>0</v>
      </c>
      <c r="AB31" s="10">
        <f t="shared" ca="1" si="36"/>
        <v>0</v>
      </c>
      <c r="AC31" s="10">
        <f t="shared" ca="1" si="36"/>
        <v>0</v>
      </c>
      <c r="AD31" s="10">
        <f t="shared" ca="1" si="36"/>
        <v>0</v>
      </c>
      <c r="AE31" s="10">
        <f t="shared" ca="1" si="36"/>
        <v>0</v>
      </c>
      <c r="AF31" s="10">
        <f t="shared" si="36"/>
        <v>0</v>
      </c>
      <c r="AG31" s="10">
        <f t="shared" si="36"/>
        <v>0</v>
      </c>
      <c r="AH31" s="10">
        <f t="shared" si="36"/>
        <v>0</v>
      </c>
      <c r="AI31" s="10">
        <f t="shared" si="36"/>
        <v>0</v>
      </c>
      <c r="AJ31" s="10">
        <f t="shared" si="36"/>
        <v>0</v>
      </c>
      <c r="AK31" s="10">
        <f t="shared" si="36"/>
        <v>0</v>
      </c>
      <c r="AL31" s="10">
        <f t="shared" si="36"/>
        <v>0</v>
      </c>
      <c r="AM31" s="10">
        <f t="shared" si="36"/>
        <v>0</v>
      </c>
      <c r="AN31" s="10">
        <f t="shared" si="36"/>
        <v>0</v>
      </c>
      <c r="AO31" s="10">
        <f t="shared" si="36"/>
        <v>0</v>
      </c>
      <c r="AP31" s="10">
        <f t="shared" si="36"/>
        <v>0</v>
      </c>
      <c r="AQ31" s="10">
        <f t="shared" si="36"/>
        <v>0</v>
      </c>
      <c r="AR31" s="10">
        <f t="shared" ref="AR31:BW31" si="37">SUMIF(End_of_period,AR$8,Debt_EoP)</f>
        <v>0</v>
      </c>
      <c r="AS31" s="10">
        <f t="shared" si="37"/>
        <v>0</v>
      </c>
      <c r="AT31" s="10">
        <f t="shared" si="37"/>
        <v>0</v>
      </c>
      <c r="AU31" s="10">
        <f t="shared" si="37"/>
        <v>0</v>
      </c>
      <c r="AV31" s="10">
        <f t="shared" si="37"/>
        <v>0</v>
      </c>
      <c r="AW31" s="10">
        <f t="shared" si="37"/>
        <v>0</v>
      </c>
      <c r="AX31" s="10">
        <f t="shared" si="37"/>
        <v>0</v>
      </c>
      <c r="AY31" s="10">
        <f t="shared" si="37"/>
        <v>0</v>
      </c>
      <c r="AZ31" s="10">
        <f t="shared" si="37"/>
        <v>0</v>
      </c>
      <c r="BA31" s="10">
        <f t="shared" si="37"/>
        <v>0</v>
      </c>
      <c r="BB31" s="10">
        <f t="shared" si="37"/>
        <v>0</v>
      </c>
      <c r="BC31" s="10">
        <f t="shared" si="37"/>
        <v>0</v>
      </c>
      <c r="BD31" s="10">
        <f t="shared" si="37"/>
        <v>0</v>
      </c>
      <c r="BE31" s="10">
        <f t="shared" si="37"/>
        <v>0</v>
      </c>
      <c r="BF31" s="10">
        <f t="shared" si="37"/>
        <v>0</v>
      </c>
      <c r="BG31" s="10">
        <f t="shared" si="37"/>
        <v>0</v>
      </c>
      <c r="BH31" s="10">
        <f t="shared" si="37"/>
        <v>0</v>
      </c>
      <c r="BI31" s="10">
        <f t="shared" si="37"/>
        <v>0</v>
      </c>
      <c r="BJ31" s="10">
        <f t="shared" si="37"/>
        <v>0</v>
      </c>
      <c r="BK31" s="10">
        <f t="shared" si="37"/>
        <v>0</v>
      </c>
      <c r="BL31" s="10">
        <f t="shared" si="37"/>
        <v>0</v>
      </c>
      <c r="BM31" s="10">
        <f t="shared" si="37"/>
        <v>0</v>
      </c>
      <c r="BN31" s="10">
        <f t="shared" si="37"/>
        <v>0</v>
      </c>
      <c r="BO31" s="10">
        <f t="shared" si="37"/>
        <v>0</v>
      </c>
      <c r="BP31" s="10">
        <f t="shared" si="37"/>
        <v>0</v>
      </c>
      <c r="BQ31" s="10">
        <f t="shared" si="37"/>
        <v>0</v>
      </c>
      <c r="BR31" s="10">
        <f t="shared" si="37"/>
        <v>0</v>
      </c>
      <c r="BS31" s="10">
        <f t="shared" si="37"/>
        <v>0</v>
      </c>
      <c r="BT31" s="10">
        <f t="shared" si="37"/>
        <v>0</v>
      </c>
      <c r="BU31" s="10">
        <f t="shared" si="37"/>
        <v>0</v>
      </c>
      <c r="BV31" s="10">
        <f t="shared" si="37"/>
        <v>0</v>
      </c>
      <c r="BW31" s="10">
        <f t="shared" si="37"/>
        <v>0</v>
      </c>
      <c r="BX31" s="10">
        <f t="shared" ref="BX31:CO31" si="38">SUMIF(End_of_period,BX$8,Debt_EoP)</f>
        <v>0</v>
      </c>
      <c r="BY31" s="10">
        <f t="shared" si="38"/>
        <v>0</v>
      </c>
      <c r="BZ31" s="10">
        <f t="shared" si="38"/>
        <v>0</v>
      </c>
      <c r="CA31" s="10">
        <f t="shared" si="38"/>
        <v>0</v>
      </c>
      <c r="CB31" s="10">
        <f t="shared" si="38"/>
        <v>0</v>
      </c>
      <c r="CC31" s="10">
        <f t="shared" si="38"/>
        <v>0</v>
      </c>
      <c r="CD31" s="10">
        <f t="shared" si="38"/>
        <v>0</v>
      </c>
      <c r="CE31" s="10">
        <f t="shared" si="38"/>
        <v>0</v>
      </c>
      <c r="CF31" s="10">
        <f t="shared" si="38"/>
        <v>0</v>
      </c>
      <c r="CG31" s="10">
        <f t="shared" si="38"/>
        <v>0</v>
      </c>
      <c r="CH31" s="10">
        <f t="shared" si="38"/>
        <v>0</v>
      </c>
      <c r="CI31" s="10">
        <f t="shared" si="38"/>
        <v>0</v>
      </c>
      <c r="CJ31" s="10">
        <f t="shared" si="38"/>
        <v>0</v>
      </c>
      <c r="CK31" s="10">
        <f t="shared" si="38"/>
        <v>0</v>
      </c>
      <c r="CL31" s="10">
        <f t="shared" si="38"/>
        <v>0</v>
      </c>
      <c r="CM31" s="10">
        <f t="shared" si="38"/>
        <v>0</v>
      </c>
      <c r="CN31" s="10">
        <f t="shared" si="38"/>
        <v>0</v>
      </c>
      <c r="CO31" s="10">
        <f t="shared" si="38"/>
        <v>0</v>
      </c>
    </row>
    <row r="32" spans="1:93" s="133" customFormat="1" ht="14.25">
      <c r="A32" s="10"/>
      <c r="B32" s="10"/>
      <c r="C32" s="10"/>
      <c r="D32" s="10"/>
      <c r="E32" s="10"/>
      <c r="F32" s="10"/>
      <c r="G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</row>
    <row r="33" spans="1:93" s="133" customFormat="1">
      <c r="A33" s="10"/>
      <c r="B33" s="130" t="s">
        <v>77</v>
      </c>
      <c r="C33" s="35" t="s">
        <v>78</v>
      </c>
      <c r="D33" s="130"/>
      <c r="E33" s="130"/>
      <c r="F33" s="130"/>
      <c r="G33" s="131" t="str">
        <f>Monetary_Unit</f>
        <v>тыс. руб.</v>
      </c>
      <c r="H33" s="130"/>
      <c r="I33" s="10"/>
      <c r="J33" s="10"/>
      <c r="K33" s="10"/>
      <c r="L33" s="132">
        <f ca="1">SUM(L34:L35)</f>
        <v>0</v>
      </c>
      <c r="M33" s="132">
        <f t="shared" ref="M33:BX33" ca="1" si="39">SUM(M34:M35)</f>
        <v>0</v>
      </c>
      <c r="N33" s="132">
        <f t="shared" ca="1" si="39"/>
        <v>0</v>
      </c>
      <c r="O33" s="132">
        <f t="shared" ca="1" si="39"/>
        <v>0</v>
      </c>
      <c r="P33" s="132">
        <f t="shared" ca="1" si="39"/>
        <v>54492.596847289882</v>
      </c>
      <c r="Q33" s="132">
        <f t="shared" ca="1" si="39"/>
        <v>63155.510198555712</v>
      </c>
      <c r="R33" s="132">
        <f t="shared" ca="1" si="39"/>
        <v>72424.268462967128</v>
      </c>
      <c r="S33" s="132">
        <f t="shared" ca="1" si="39"/>
        <v>78827.013148145867</v>
      </c>
      <c r="T33" s="132">
        <f t="shared" ca="1" si="39"/>
        <v>81980.453242323769</v>
      </c>
      <c r="U33" s="132">
        <f t="shared" ca="1" si="39"/>
        <v>116041.783533355</v>
      </c>
      <c r="V33" s="132">
        <f t="shared" ca="1" si="39"/>
        <v>120683.45487468909</v>
      </c>
      <c r="W33" s="132">
        <f t="shared" ca="1" si="39"/>
        <v>125510.55398569506</v>
      </c>
      <c r="X33" s="132">
        <f t="shared" ca="1" si="39"/>
        <v>130531.22479246375</v>
      </c>
      <c r="Y33" s="132">
        <f t="shared" ca="1" si="39"/>
        <v>135752.47378416226</v>
      </c>
      <c r="Z33" s="132">
        <f t="shared" ca="1" si="39"/>
        <v>141182.57273552869</v>
      </c>
      <c r="AA33" s="132">
        <f t="shared" ca="1" si="39"/>
        <v>146829.59595050744</v>
      </c>
      <c r="AB33" s="132">
        <f t="shared" ca="1" si="39"/>
        <v>152703.07067074784</v>
      </c>
      <c r="AC33" s="132">
        <f t="shared" ca="1" si="39"/>
        <v>158811.19349757774</v>
      </c>
      <c r="AD33" s="132">
        <f t="shared" ca="1" si="39"/>
        <v>165163.64123748092</v>
      </c>
      <c r="AE33" s="132">
        <f t="shared" ca="1" si="39"/>
        <v>171769.85968404252</v>
      </c>
      <c r="AF33" s="132">
        <f t="shared" si="39"/>
        <v>0</v>
      </c>
      <c r="AG33" s="132">
        <f t="shared" si="39"/>
        <v>0</v>
      </c>
      <c r="AH33" s="132">
        <f t="shared" si="39"/>
        <v>0</v>
      </c>
      <c r="AI33" s="132">
        <f t="shared" si="39"/>
        <v>0</v>
      </c>
      <c r="AJ33" s="132">
        <f t="shared" si="39"/>
        <v>0</v>
      </c>
      <c r="AK33" s="132">
        <f t="shared" si="39"/>
        <v>0</v>
      </c>
      <c r="AL33" s="132">
        <f t="shared" si="39"/>
        <v>0</v>
      </c>
      <c r="AM33" s="132">
        <f t="shared" si="39"/>
        <v>0</v>
      </c>
      <c r="AN33" s="132">
        <f t="shared" si="39"/>
        <v>0</v>
      </c>
      <c r="AO33" s="132">
        <f t="shared" si="39"/>
        <v>0</v>
      </c>
      <c r="AP33" s="132">
        <f t="shared" si="39"/>
        <v>0</v>
      </c>
      <c r="AQ33" s="132">
        <f t="shared" si="39"/>
        <v>0</v>
      </c>
      <c r="AR33" s="132">
        <f t="shared" si="39"/>
        <v>0</v>
      </c>
      <c r="AS33" s="132">
        <f t="shared" si="39"/>
        <v>0</v>
      </c>
      <c r="AT33" s="132">
        <f t="shared" si="39"/>
        <v>0</v>
      </c>
      <c r="AU33" s="132">
        <f t="shared" si="39"/>
        <v>0</v>
      </c>
      <c r="AV33" s="132">
        <f t="shared" si="39"/>
        <v>0</v>
      </c>
      <c r="AW33" s="132">
        <f t="shared" si="39"/>
        <v>0</v>
      </c>
      <c r="AX33" s="132">
        <f t="shared" si="39"/>
        <v>0</v>
      </c>
      <c r="AY33" s="132">
        <f t="shared" si="39"/>
        <v>0</v>
      </c>
      <c r="AZ33" s="132">
        <f t="shared" si="39"/>
        <v>0</v>
      </c>
      <c r="BA33" s="132">
        <f t="shared" si="39"/>
        <v>0</v>
      </c>
      <c r="BB33" s="132">
        <f t="shared" si="39"/>
        <v>0</v>
      </c>
      <c r="BC33" s="132">
        <f t="shared" si="39"/>
        <v>0</v>
      </c>
      <c r="BD33" s="132">
        <f t="shared" si="39"/>
        <v>0</v>
      </c>
      <c r="BE33" s="132">
        <f t="shared" si="39"/>
        <v>0</v>
      </c>
      <c r="BF33" s="132">
        <f t="shared" si="39"/>
        <v>0</v>
      </c>
      <c r="BG33" s="132">
        <f t="shared" si="39"/>
        <v>0</v>
      </c>
      <c r="BH33" s="132">
        <f t="shared" si="39"/>
        <v>0</v>
      </c>
      <c r="BI33" s="132">
        <f t="shared" si="39"/>
        <v>0</v>
      </c>
      <c r="BJ33" s="132">
        <f t="shared" si="39"/>
        <v>0</v>
      </c>
      <c r="BK33" s="132">
        <f t="shared" si="39"/>
        <v>0</v>
      </c>
      <c r="BL33" s="132">
        <f t="shared" si="39"/>
        <v>0</v>
      </c>
      <c r="BM33" s="132">
        <f t="shared" si="39"/>
        <v>0</v>
      </c>
      <c r="BN33" s="132">
        <f t="shared" si="39"/>
        <v>0</v>
      </c>
      <c r="BO33" s="132">
        <f t="shared" si="39"/>
        <v>0</v>
      </c>
      <c r="BP33" s="132">
        <f t="shared" si="39"/>
        <v>0</v>
      </c>
      <c r="BQ33" s="132">
        <f t="shared" si="39"/>
        <v>0</v>
      </c>
      <c r="BR33" s="132">
        <f t="shared" si="39"/>
        <v>0</v>
      </c>
      <c r="BS33" s="132">
        <f t="shared" si="39"/>
        <v>0</v>
      </c>
      <c r="BT33" s="132">
        <f t="shared" si="39"/>
        <v>0</v>
      </c>
      <c r="BU33" s="132">
        <f t="shared" si="39"/>
        <v>0</v>
      </c>
      <c r="BV33" s="132">
        <f t="shared" si="39"/>
        <v>0</v>
      </c>
      <c r="BW33" s="132">
        <f t="shared" si="39"/>
        <v>0</v>
      </c>
      <c r="BX33" s="132">
        <f t="shared" si="39"/>
        <v>0</v>
      </c>
      <c r="BY33" s="132">
        <f t="shared" ref="BY33:CO33" si="40">SUM(BY34:BY35)</f>
        <v>0</v>
      </c>
      <c r="BZ33" s="132">
        <f t="shared" si="40"/>
        <v>0</v>
      </c>
      <c r="CA33" s="132">
        <f t="shared" si="40"/>
        <v>0</v>
      </c>
      <c r="CB33" s="132">
        <f t="shared" si="40"/>
        <v>0</v>
      </c>
      <c r="CC33" s="132">
        <f t="shared" si="40"/>
        <v>0</v>
      </c>
      <c r="CD33" s="132">
        <f t="shared" si="40"/>
        <v>0</v>
      </c>
      <c r="CE33" s="132">
        <f t="shared" si="40"/>
        <v>0</v>
      </c>
      <c r="CF33" s="132">
        <f t="shared" si="40"/>
        <v>0</v>
      </c>
      <c r="CG33" s="132">
        <f t="shared" si="40"/>
        <v>0</v>
      </c>
      <c r="CH33" s="132">
        <f t="shared" si="40"/>
        <v>0</v>
      </c>
      <c r="CI33" s="132">
        <f t="shared" si="40"/>
        <v>0</v>
      </c>
      <c r="CJ33" s="132">
        <f t="shared" si="40"/>
        <v>0</v>
      </c>
      <c r="CK33" s="132">
        <f t="shared" si="40"/>
        <v>0</v>
      </c>
      <c r="CL33" s="132">
        <f t="shared" si="40"/>
        <v>0</v>
      </c>
      <c r="CM33" s="132">
        <f t="shared" si="40"/>
        <v>0</v>
      </c>
      <c r="CN33" s="132">
        <f t="shared" si="40"/>
        <v>0</v>
      </c>
      <c r="CO33" s="132">
        <f t="shared" si="40"/>
        <v>0</v>
      </c>
    </row>
    <row r="34" spans="1:93" s="133" customFormat="1" ht="14.25">
      <c r="A34" s="10"/>
      <c r="B34" s="10"/>
      <c r="C34" s="10" t="s">
        <v>79</v>
      </c>
      <c r="D34" s="10"/>
      <c r="E34" s="10"/>
      <c r="F34" s="10"/>
      <c r="G34" s="134" t="str">
        <f>Monetary_Unit</f>
        <v>тыс. руб.</v>
      </c>
      <c r="H34" s="10"/>
      <c r="I34" s="10"/>
      <c r="J34" s="10"/>
      <c r="K34" s="10"/>
      <c r="L34" s="10">
        <f t="shared" ref="L34:AQ34" ca="1" si="41">SUMIF(End_of_period,L$8,Accounts_Payable_EoP)</f>
        <v>0</v>
      </c>
      <c r="M34" s="10">
        <f t="shared" ca="1" si="41"/>
        <v>0</v>
      </c>
      <c r="N34" s="10">
        <f t="shared" ca="1" si="41"/>
        <v>0</v>
      </c>
      <c r="O34" s="10">
        <f t="shared" ca="1" si="41"/>
        <v>0</v>
      </c>
      <c r="P34" s="10">
        <f t="shared" ca="1" si="41"/>
        <v>54492.596847289882</v>
      </c>
      <c r="Q34" s="10">
        <f t="shared" ca="1" si="41"/>
        <v>63155.510198555712</v>
      </c>
      <c r="R34" s="10">
        <f t="shared" ca="1" si="41"/>
        <v>72424.268462967128</v>
      </c>
      <c r="S34" s="10">
        <f t="shared" ca="1" si="41"/>
        <v>78827.013148145867</v>
      </c>
      <c r="T34" s="10">
        <f t="shared" ca="1" si="41"/>
        <v>81980.453242323769</v>
      </c>
      <c r="U34" s="10">
        <f t="shared" ca="1" si="41"/>
        <v>85259.671372016775</v>
      </c>
      <c r="V34" s="10">
        <f t="shared" ca="1" si="41"/>
        <v>88670.058226897381</v>
      </c>
      <c r="W34" s="10">
        <f t="shared" ca="1" si="41"/>
        <v>92216.456090590917</v>
      </c>
      <c r="X34" s="10">
        <f t="shared" ca="1" si="41"/>
        <v>95905.534978212207</v>
      </c>
      <c r="Y34" s="10">
        <f t="shared" ca="1" si="41"/>
        <v>99741.756377340644</v>
      </c>
      <c r="Z34" s="10">
        <f t="shared" ca="1" si="41"/>
        <v>103731.42663243425</v>
      </c>
      <c r="AA34" s="10">
        <f t="shared" ca="1" si="41"/>
        <v>107880.21053044184</v>
      </c>
      <c r="AB34" s="10">
        <f t="shared" ca="1" si="41"/>
        <v>112195.91104564082</v>
      </c>
      <c r="AC34" s="10">
        <f t="shared" ca="1" si="41"/>
        <v>116683.74748746649</v>
      </c>
      <c r="AD34" s="10">
        <f t="shared" ca="1" si="41"/>
        <v>121351.09738696518</v>
      </c>
      <c r="AE34" s="10">
        <f t="shared" ca="1" si="41"/>
        <v>126204.5877436396</v>
      </c>
      <c r="AF34" s="10">
        <f t="shared" si="41"/>
        <v>0</v>
      </c>
      <c r="AG34" s="10">
        <f t="shared" si="41"/>
        <v>0</v>
      </c>
      <c r="AH34" s="10">
        <f t="shared" si="41"/>
        <v>0</v>
      </c>
      <c r="AI34" s="10">
        <f t="shared" si="41"/>
        <v>0</v>
      </c>
      <c r="AJ34" s="10">
        <f t="shared" si="41"/>
        <v>0</v>
      </c>
      <c r="AK34" s="10">
        <f t="shared" si="41"/>
        <v>0</v>
      </c>
      <c r="AL34" s="10">
        <f t="shared" si="41"/>
        <v>0</v>
      </c>
      <c r="AM34" s="10">
        <f t="shared" si="41"/>
        <v>0</v>
      </c>
      <c r="AN34" s="10">
        <f t="shared" si="41"/>
        <v>0</v>
      </c>
      <c r="AO34" s="10">
        <f t="shared" si="41"/>
        <v>0</v>
      </c>
      <c r="AP34" s="10">
        <f t="shared" si="41"/>
        <v>0</v>
      </c>
      <c r="AQ34" s="10">
        <f t="shared" si="41"/>
        <v>0</v>
      </c>
      <c r="AR34" s="10">
        <f t="shared" ref="AR34:BW34" si="42">SUMIF(End_of_period,AR$8,Accounts_Payable_EoP)</f>
        <v>0</v>
      </c>
      <c r="AS34" s="10">
        <f t="shared" si="42"/>
        <v>0</v>
      </c>
      <c r="AT34" s="10">
        <f t="shared" si="42"/>
        <v>0</v>
      </c>
      <c r="AU34" s="10">
        <f t="shared" si="42"/>
        <v>0</v>
      </c>
      <c r="AV34" s="10">
        <f t="shared" si="42"/>
        <v>0</v>
      </c>
      <c r="AW34" s="10">
        <f t="shared" si="42"/>
        <v>0</v>
      </c>
      <c r="AX34" s="10">
        <f t="shared" si="42"/>
        <v>0</v>
      </c>
      <c r="AY34" s="10">
        <f t="shared" si="42"/>
        <v>0</v>
      </c>
      <c r="AZ34" s="10">
        <f t="shared" si="42"/>
        <v>0</v>
      </c>
      <c r="BA34" s="10">
        <f t="shared" si="42"/>
        <v>0</v>
      </c>
      <c r="BB34" s="10">
        <f t="shared" si="42"/>
        <v>0</v>
      </c>
      <c r="BC34" s="10">
        <f t="shared" si="42"/>
        <v>0</v>
      </c>
      <c r="BD34" s="10">
        <f t="shared" si="42"/>
        <v>0</v>
      </c>
      <c r="BE34" s="10">
        <f t="shared" si="42"/>
        <v>0</v>
      </c>
      <c r="BF34" s="10">
        <f t="shared" si="42"/>
        <v>0</v>
      </c>
      <c r="BG34" s="10">
        <f t="shared" si="42"/>
        <v>0</v>
      </c>
      <c r="BH34" s="10">
        <f t="shared" si="42"/>
        <v>0</v>
      </c>
      <c r="BI34" s="10">
        <f t="shared" si="42"/>
        <v>0</v>
      </c>
      <c r="BJ34" s="10">
        <f t="shared" si="42"/>
        <v>0</v>
      </c>
      <c r="BK34" s="10">
        <f t="shared" si="42"/>
        <v>0</v>
      </c>
      <c r="BL34" s="10">
        <f t="shared" si="42"/>
        <v>0</v>
      </c>
      <c r="BM34" s="10">
        <f t="shared" si="42"/>
        <v>0</v>
      </c>
      <c r="BN34" s="10">
        <f t="shared" si="42"/>
        <v>0</v>
      </c>
      <c r="BO34" s="10">
        <f t="shared" si="42"/>
        <v>0</v>
      </c>
      <c r="BP34" s="10">
        <f t="shared" si="42"/>
        <v>0</v>
      </c>
      <c r="BQ34" s="10">
        <f t="shared" si="42"/>
        <v>0</v>
      </c>
      <c r="BR34" s="10">
        <f t="shared" si="42"/>
        <v>0</v>
      </c>
      <c r="BS34" s="10">
        <f t="shared" si="42"/>
        <v>0</v>
      </c>
      <c r="BT34" s="10">
        <f t="shared" si="42"/>
        <v>0</v>
      </c>
      <c r="BU34" s="10">
        <f t="shared" si="42"/>
        <v>0</v>
      </c>
      <c r="BV34" s="10">
        <f t="shared" si="42"/>
        <v>0</v>
      </c>
      <c r="BW34" s="10">
        <f t="shared" si="42"/>
        <v>0</v>
      </c>
      <c r="BX34" s="10">
        <f t="shared" ref="BX34:CO34" si="43">SUMIF(End_of_period,BX$8,Accounts_Payable_EoP)</f>
        <v>0</v>
      </c>
      <c r="BY34" s="10">
        <f t="shared" si="43"/>
        <v>0</v>
      </c>
      <c r="BZ34" s="10">
        <f t="shared" si="43"/>
        <v>0</v>
      </c>
      <c r="CA34" s="10">
        <f t="shared" si="43"/>
        <v>0</v>
      </c>
      <c r="CB34" s="10">
        <f t="shared" si="43"/>
        <v>0</v>
      </c>
      <c r="CC34" s="10">
        <f t="shared" si="43"/>
        <v>0</v>
      </c>
      <c r="CD34" s="10">
        <f t="shared" si="43"/>
        <v>0</v>
      </c>
      <c r="CE34" s="10">
        <f t="shared" si="43"/>
        <v>0</v>
      </c>
      <c r="CF34" s="10">
        <f t="shared" si="43"/>
        <v>0</v>
      </c>
      <c r="CG34" s="10">
        <f t="shared" si="43"/>
        <v>0</v>
      </c>
      <c r="CH34" s="10">
        <f t="shared" si="43"/>
        <v>0</v>
      </c>
      <c r="CI34" s="10">
        <f t="shared" si="43"/>
        <v>0</v>
      </c>
      <c r="CJ34" s="10">
        <f t="shared" si="43"/>
        <v>0</v>
      </c>
      <c r="CK34" s="10">
        <f t="shared" si="43"/>
        <v>0</v>
      </c>
      <c r="CL34" s="10">
        <f t="shared" si="43"/>
        <v>0</v>
      </c>
      <c r="CM34" s="10">
        <f t="shared" si="43"/>
        <v>0</v>
      </c>
      <c r="CN34" s="10">
        <f t="shared" si="43"/>
        <v>0</v>
      </c>
      <c r="CO34" s="10">
        <f t="shared" si="43"/>
        <v>0</v>
      </c>
    </row>
    <row r="35" spans="1:93" s="133" customFormat="1" ht="14.25">
      <c r="A35" s="10"/>
      <c r="B35" s="10"/>
      <c r="C35" s="10" t="s">
        <v>145</v>
      </c>
      <c r="D35" s="10"/>
      <c r="E35" s="10"/>
      <c r="F35" s="10"/>
      <c r="G35" s="134" t="str">
        <f>Monetary_Unit</f>
        <v>тыс. руб.</v>
      </c>
      <c r="H35" s="10"/>
      <c r="I35" s="10"/>
      <c r="J35" s="10"/>
      <c r="K35" s="10"/>
      <c r="L35" s="10">
        <f ca="1">SUMIF(End_of_period,L$8,Отчетность!$L35:$CO35)</f>
        <v>0</v>
      </c>
      <c r="M35" s="10">
        <f ca="1">SUMIF(End_of_period,M$8,Отчетность!$L35:$CO35)</f>
        <v>0</v>
      </c>
      <c r="N35" s="10">
        <f ca="1">SUMIF(End_of_period,N$8,Отчетность!$L35:$CO35)</f>
        <v>0</v>
      </c>
      <c r="O35" s="10">
        <f ca="1">SUMIF(End_of_period,O$8,Отчетность!$L35:$CO35)</f>
        <v>0</v>
      </c>
      <c r="P35" s="10">
        <f ca="1">SUMIF(End_of_period,P$8,Отчетность!$L35:$CO35)</f>
        <v>0</v>
      </c>
      <c r="Q35" s="10">
        <f ca="1">SUMIF(End_of_period,Q$8,Отчетность!$L35:$CO35)</f>
        <v>0</v>
      </c>
      <c r="R35" s="10">
        <f ca="1">SUMIF(End_of_period,R$8,Отчетность!$L35:$CO35)</f>
        <v>0</v>
      </c>
      <c r="S35" s="10">
        <f ca="1">SUMIF(End_of_period,S$8,Отчетность!$L35:$CO35)</f>
        <v>0</v>
      </c>
      <c r="T35" s="10">
        <f ca="1">SUMIF(End_of_period,T$8,Отчетность!$L35:$CO35)</f>
        <v>0</v>
      </c>
      <c r="U35" s="10">
        <f ca="1">SUMIF(End_of_period,U$8,Отчетность!$L35:$CO35)</f>
        <v>30782.112161338227</v>
      </c>
      <c r="V35" s="10">
        <f ca="1">SUMIF(End_of_period,V$8,Отчетность!$L35:$CO35)</f>
        <v>32013.396647791713</v>
      </c>
      <c r="W35" s="10">
        <f ca="1">SUMIF(End_of_period,W$8,Отчетность!$L35:$CO35)</f>
        <v>33294.097895104147</v>
      </c>
      <c r="X35" s="10">
        <f ca="1">SUMIF(End_of_period,X$8,Отчетность!$L35:$CO35)</f>
        <v>34625.689814251542</v>
      </c>
      <c r="Y35" s="10">
        <f ca="1">SUMIF(End_of_period,Y$8,Отчетность!$L35:$CO35)</f>
        <v>36010.717406821597</v>
      </c>
      <c r="Z35" s="10">
        <f ca="1">SUMIF(End_of_period,Z$8,Отчетность!$L35:$CO35)</f>
        <v>37451.146103094463</v>
      </c>
      <c r="AA35" s="10">
        <f ca="1">SUMIF(End_of_period,AA$8,Отчетность!$L35:$CO35)</f>
        <v>38949.385420065606</v>
      </c>
      <c r="AB35" s="10">
        <f ca="1">SUMIF(End_of_period,AB$8,Отчетность!$L35:$CO35)</f>
        <v>40507.159625107</v>
      </c>
      <c r="AC35" s="10">
        <f ca="1">SUMIF(End_of_period,AC$8,Отчетность!$L35:$CO35)</f>
        <v>42127.446010111264</v>
      </c>
      <c r="AD35" s="10">
        <f ca="1">SUMIF(End_of_period,AD$8,Отчетность!$L35:$CO35)</f>
        <v>43812.543850515722</v>
      </c>
      <c r="AE35" s="10">
        <f ca="1">SUMIF(End_of_period,AE$8,Отчетность!$L35:$CO35)</f>
        <v>45565.271940402919</v>
      </c>
      <c r="AF35" s="10">
        <f>SUMIF(End_of_period,AF$8,Отчетность!$L35:$CO35)</f>
        <v>0</v>
      </c>
      <c r="AG35" s="10">
        <f>SUMIF(End_of_period,AG$8,Отчетность!$L35:$CO35)</f>
        <v>0</v>
      </c>
      <c r="AH35" s="10">
        <f>SUMIF(End_of_period,AH$8,Отчетность!$L35:$CO35)</f>
        <v>0</v>
      </c>
      <c r="AI35" s="10">
        <f>SUMIF(End_of_period,AI$8,Отчетность!$L35:$CO35)</f>
        <v>0</v>
      </c>
      <c r="AJ35" s="10">
        <f>SUMIF(End_of_period,AJ$8,Отчетность!$L35:$CO35)</f>
        <v>0</v>
      </c>
      <c r="AK35" s="10">
        <f>SUMIF(End_of_period,AK$8,Отчетность!$L35:$CO35)</f>
        <v>0</v>
      </c>
      <c r="AL35" s="10">
        <f>SUMIF(End_of_period,AL$8,Отчетность!$L35:$CO35)</f>
        <v>0</v>
      </c>
      <c r="AM35" s="10">
        <f>SUMIF(End_of_period,AM$8,Отчетность!$L35:$CO35)</f>
        <v>0</v>
      </c>
      <c r="AN35" s="10">
        <f>SUMIF(End_of_period,AN$8,Отчетность!$L35:$CO35)</f>
        <v>0</v>
      </c>
      <c r="AO35" s="10">
        <f>SUMIF(End_of_period,AO$8,Отчетность!$L35:$CO35)</f>
        <v>0</v>
      </c>
      <c r="AP35" s="10">
        <f>SUMIF(End_of_period,AP$8,Отчетность!$L35:$CO35)</f>
        <v>0</v>
      </c>
      <c r="AQ35" s="10">
        <f>SUMIF(End_of_period,AQ$8,Отчетность!$L35:$CO35)</f>
        <v>0</v>
      </c>
      <c r="AR35" s="10">
        <f>SUMIF(End_of_period,AR$8,Отчетность!$L35:$CO35)</f>
        <v>0</v>
      </c>
      <c r="AS35" s="10">
        <f>SUMIF(End_of_period,AS$8,Отчетность!$L35:$CO35)</f>
        <v>0</v>
      </c>
      <c r="AT35" s="10">
        <f>SUMIF(End_of_period,AT$8,Отчетность!$L35:$CO35)</f>
        <v>0</v>
      </c>
      <c r="AU35" s="10">
        <f>SUMIF(End_of_period,AU$8,Отчетность!$L35:$CO35)</f>
        <v>0</v>
      </c>
      <c r="AV35" s="10">
        <f>SUMIF(End_of_period,AV$8,Отчетность!$L35:$CO35)</f>
        <v>0</v>
      </c>
      <c r="AW35" s="10">
        <f>SUMIF(End_of_period,AW$8,Отчетность!$L35:$CO35)</f>
        <v>0</v>
      </c>
      <c r="AX35" s="10">
        <f>SUMIF(End_of_period,AX$8,Отчетность!$L35:$CO35)</f>
        <v>0</v>
      </c>
      <c r="AY35" s="10">
        <f>SUMIF(End_of_period,AY$8,Отчетность!$L35:$CO35)</f>
        <v>0</v>
      </c>
      <c r="AZ35" s="10">
        <f>SUMIF(End_of_period,AZ$8,Отчетность!$L35:$CO35)</f>
        <v>0</v>
      </c>
      <c r="BA35" s="10">
        <f>SUMIF(End_of_period,BA$8,Отчетность!$L35:$CO35)</f>
        <v>0</v>
      </c>
      <c r="BB35" s="10">
        <f>SUMIF(End_of_period,BB$8,Отчетность!$L35:$CO35)</f>
        <v>0</v>
      </c>
      <c r="BC35" s="10">
        <f>SUMIF(End_of_period,BC$8,Отчетность!$L35:$CO35)</f>
        <v>0</v>
      </c>
      <c r="BD35" s="10">
        <f>SUMIF(End_of_period,BD$8,Отчетность!$L35:$CO35)</f>
        <v>0</v>
      </c>
      <c r="BE35" s="10">
        <f>SUMIF(End_of_period,BE$8,Отчетность!$L35:$CO35)</f>
        <v>0</v>
      </c>
      <c r="BF35" s="10">
        <f>SUMIF(End_of_period,BF$8,Отчетность!$L35:$CO35)</f>
        <v>0</v>
      </c>
      <c r="BG35" s="10">
        <f>SUMIF(End_of_period,BG$8,Отчетность!$L35:$CO35)</f>
        <v>0</v>
      </c>
      <c r="BH35" s="10">
        <f>SUMIF(End_of_period,BH$8,Отчетность!$L35:$CO35)</f>
        <v>0</v>
      </c>
      <c r="BI35" s="10">
        <f>SUMIF(End_of_period,BI$8,Отчетность!$L35:$CO35)</f>
        <v>0</v>
      </c>
      <c r="BJ35" s="10">
        <f>SUMIF(End_of_period,BJ$8,Отчетность!$L35:$CO35)</f>
        <v>0</v>
      </c>
      <c r="BK35" s="10">
        <f>SUMIF(End_of_period,BK$8,Отчетность!$L35:$CO35)</f>
        <v>0</v>
      </c>
      <c r="BL35" s="10">
        <f>SUMIF(End_of_period,BL$8,Отчетность!$L35:$CO35)</f>
        <v>0</v>
      </c>
      <c r="BM35" s="10">
        <f>SUMIF(End_of_period,BM$8,Отчетность!$L35:$CO35)</f>
        <v>0</v>
      </c>
      <c r="BN35" s="10">
        <f>SUMIF(End_of_period,BN$8,Отчетность!$L35:$CO35)</f>
        <v>0</v>
      </c>
      <c r="BO35" s="10">
        <f>SUMIF(End_of_period,BO$8,Отчетность!$L35:$CO35)</f>
        <v>0</v>
      </c>
      <c r="BP35" s="10">
        <f>SUMIF(End_of_period,BP$8,Отчетность!$L35:$CO35)</f>
        <v>0</v>
      </c>
      <c r="BQ35" s="10">
        <f>SUMIF(End_of_period,BQ$8,Отчетность!$L35:$CO35)</f>
        <v>0</v>
      </c>
      <c r="BR35" s="10">
        <f>SUMIF(End_of_period,BR$8,Отчетность!$L35:$CO35)</f>
        <v>0</v>
      </c>
      <c r="BS35" s="10">
        <f>SUMIF(End_of_period,BS$8,Отчетность!$L35:$CO35)</f>
        <v>0</v>
      </c>
      <c r="BT35" s="10">
        <f>SUMIF(End_of_period,BT$8,Отчетность!$L35:$CO35)</f>
        <v>0</v>
      </c>
      <c r="BU35" s="10">
        <f>SUMIF(End_of_period,BU$8,Отчетность!$L35:$CO35)</f>
        <v>0</v>
      </c>
      <c r="BV35" s="10">
        <f>SUMIF(End_of_period,BV$8,Отчетность!$L35:$CO35)</f>
        <v>0</v>
      </c>
      <c r="BW35" s="10">
        <f>SUMIF(End_of_period,BW$8,Отчетность!$L35:$CO35)</f>
        <v>0</v>
      </c>
      <c r="BX35" s="10">
        <f>SUMIF(End_of_period,BX$8,Отчетность!$L35:$CO35)</f>
        <v>0</v>
      </c>
      <c r="BY35" s="10">
        <f>SUMIF(End_of_period,BY$8,Отчетность!$L35:$CO35)</f>
        <v>0</v>
      </c>
      <c r="BZ35" s="10">
        <f>SUMIF(End_of_period,BZ$8,Отчетность!$L35:$CO35)</f>
        <v>0</v>
      </c>
      <c r="CA35" s="10">
        <f>SUMIF(End_of_period,CA$8,Отчетность!$L35:$CO35)</f>
        <v>0</v>
      </c>
      <c r="CB35" s="10">
        <f>SUMIF(End_of_period,CB$8,Отчетность!$L35:$CO35)</f>
        <v>0</v>
      </c>
      <c r="CC35" s="10">
        <f>SUMIF(End_of_period,CC$8,Отчетность!$L35:$CO35)</f>
        <v>0</v>
      </c>
      <c r="CD35" s="10">
        <f>SUMIF(End_of_period,CD$8,Отчетность!$L35:$CO35)</f>
        <v>0</v>
      </c>
      <c r="CE35" s="10">
        <f>SUMIF(End_of_period,CE$8,Отчетность!$L35:$CO35)</f>
        <v>0</v>
      </c>
      <c r="CF35" s="10">
        <f>SUMIF(End_of_period,CF$8,Отчетность!$L35:$CO35)</f>
        <v>0</v>
      </c>
      <c r="CG35" s="10">
        <f>SUMIF(End_of_period,CG$8,Отчетность!$L35:$CO35)</f>
        <v>0</v>
      </c>
      <c r="CH35" s="10">
        <f>SUMIF(End_of_period,CH$8,Отчетность!$L35:$CO35)</f>
        <v>0</v>
      </c>
      <c r="CI35" s="10">
        <f>SUMIF(End_of_period,CI$8,Отчетность!$L35:$CO35)</f>
        <v>0</v>
      </c>
      <c r="CJ35" s="10">
        <f>SUMIF(End_of_period,CJ$8,Отчетность!$L35:$CO35)</f>
        <v>0</v>
      </c>
      <c r="CK35" s="10">
        <f>SUMIF(End_of_period,CK$8,Отчетность!$L35:$CO35)</f>
        <v>0</v>
      </c>
      <c r="CL35" s="10">
        <f>SUMIF(End_of_period,CL$8,Отчетность!$L35:$CO35)</f>
        <v>0</v>
      </c>
      <c r="CM35" s="10">
        <f>SUMIF(End_of_period,CM$8,Отчетность!$L35:$CO35)</f>
        <v>0</v>
      </c>
      <c r="CN35" s="10">
        <f>SUMIF(End_of_period,CN$8,Отчетность!$L35:$CO35)</f>
        <v>0</v>
      </c>
      <c r="CO35" s="10">
        <f>SUMIF(End_of_period,CO$8,Отчетность!$L35:$CO35)</f>
        <v>0</v>
      </c>
    </row>
    <row r="36" spans="1:93" s="133" customFormat="1" ht="14.25">
      <c r="A36" s="10"/>
      <c r="B36" s="10"/>
      <c r="C36" s="10"/>
      <c r="D36" s="10"/>
      <c r="E36" s="10"/>
      <c r="F36" s="10"/>
      <c r="G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s="133" customFormat="1" ht="14.25">
      <c r="A37" s="10"/>
      <c r="B37" s="10"/>
      <c r="C37" s="24" t="s">
        <v>330</v>
      </c>
      <c r="D37" s="24"/>
      <c r="E37" s="24"/>
      <c r="F37" s="24"/>
      <c r="G37" s="135"/>
      <c r="H37" s="24"/>
      <c r="I37" s="24"/>
      <c r="J37" s="24"/>
      <c r="K37" s="24"/>
      <c r="L37" s="24">
        <f t="shared" ref="L37:BW37" ca="1" si="44">SUM(L25,L30,L33)*(ABS(SUM(L25,L30,L33))&gt;Accuracy)</f>
        <v>87190.228077079839</v>
      </c>
      <c r="M37" s="24">
        <f t="shared" ca="1" si="44"/>
        <v>845307.89527488174</v>
      </c>
      <c r="N37" s="24">
        <f t="shared" ca="1" si="44"/>
        <v>1686291.9479028992</v>
      </c>
      <c r="O37" s="24">
        <f t="shared" ca="1" si="44"/>
        <v>3345062.5364159811</v>
      </c>
      <c r="P37" s="24">
        <f t="shared" ca="1" si="44"/>
        <v>3438751.679733071</v>
      </c>
      <c r="Q37" s="24">
        <f t="shared" ca="1" si="44"/>
        <v>3272627.4935743129</v>
      </c>
      <c r="R37" s="24">
        <f t="shared" ca="1" si="44"/>
        <v>3107997.1531841741</v>
      </c>
      <c r="S37" s="24">
        <f t="shared" ca="1" si="44"/>
        <v>2937064.0764296316</v>
      </c>
      <c r="T37" s="24">
        <f t="shared" ca="1" si="44"/>
        <v>2757369.9881357322</v>
      </c>
      <c r="U37" s="24">
        <f t="shared" ca="1" si="44"/>
        <v>2516916.9259513528</v>
      </c>
      <c r="V37" s="24">
        <f t="shared" ca="1" si="44"/>
        <v>2335414.090745681</v>
      </c>
      <c r="W37" s="24">
        <f t="shared" ca="1" si="44"/>
        <v>2225186.2408946143</v>
      </c>
      <c r="X37" s="24">
        <f t="shared" ca="1" si="44"/>
        <v>2138886.0457609156</v>
      </c>
      <c r="Y37" s="24">
        <f t="shared" ca="1" si="44"/>
        <v>2052843.7830316657</v>
      </c>
      <c r="Z37" s="24">
        <f t="shared" ca="1" si="44"/>
        <v>1967070.050432374</v>
      </c>
      <c r="AA37" s="24">
        <f t="shared" ca="1" si="44"/>
        <v>1881575.2737233797</v>
      </c>
      <c r="AB37" s="24">
        <f t="shared" ca="1" si="44"/>
        <v>1796371.5700926676</v>
      </c>
      <c r="AC37" s="24">
        <f t="shared" ca="1" si="44"/>
        <v>1711469.6108932009</v>
      </c>
      <c r="AD37" s="24">
        <f t="shared" ca="1" si="44"/>
        <v>1626881.7939648842</v>
      </c>
      <c r="AE37" s="24">
        <f t="shared" ca="1" si="44"/>
        <v>1542620.3159726933</v>
      </c>
      <c r="AF37" s="24">
        <f t="shared" si="44"/>
        <v>0</v>
      </c>
      <c r="AG37" s="24">
        <f t="shared" si="44"/>
        <v>0</v>
      </c>
      <c r="AH37" s="24">
        <f t="shared" si="44"/>
        <v>0</v>
      </c>
      <c r="AI37" s="24">
        <f t="shared" si="44"/>
        <v>0</v>
      </c>
      <c r="AJ37" s="24">
        <f t="shared" si="44"/>
        <v>0</v>
      </c>
      <c r="AK37" s="24">
        <f t="shared" si="44"/>
        <v>0</v>
      </c>
      <c r="AL37" s="24">
        <f t="shared" si="44"/>
        <v>0</v>
      </c>
      <c r="AM37" s="24">
        <f t="shared" si="44"/>
        <v>0</v>
      </c>
      <c r="AN37" s="24">
        <f t="shared" si="44"/>
        <v>0</v>
      </c>
      <c r="AO37" s="24">
        <f t="shared" si="44"/>
        <v>0</v>
      </c>
      <c r="AP37" s="24">
        <f t="shared" si="44"/>
        <v>0</v>
      </c>
      <c r="AQ37" s="24">
        <f t="shared" si="44"/>
        <v>0</v>
      </c>
      <c r="AR37" s="24">
        <f t="shared" si="44"/>
        <v>0</v>
      </c>
      <c r="AS37" s="24">
        <f t="shared" si="44"/>
        <v>0</v>
      </c>
      <c r="AT37" s="24">
        <f t="shared" si="44"/>
        <v>0</v>
      </c>
      <c r="AU37" s="24">
        <f t="shared" si="44"/>
        <v>0</v>
      </c>
      <c r="AV37" s="24">
        <f t="shared" si="44"/>
        <v>0</v>
      </c>
      <c r="AW37" s="24">
        <f t="shared" si="44"/>
        <v>0</v>
      </c>
      <c r="AX37" s="24">
        <f t="shared" si="44"/>
        <v>0</v>
      </c>
      <c r="AY37" s="24">
        <f t="shared" si="44"/>
        <v>0</v>
      </c>
      <c r="AZ37" s="24">
        <f t="shared" si="44"/>
        <v>0</v>
      </c>
      <c r="BA37" s="24">
        <f t="shared" si="44"/>
        <v>0</v>
      </c>
      <c r="BB37" s="24">
        <f t="shared" si="44"/>
        <v>0</v>
      </c>
      <c r="BC37" s="24">
        <f t="shared" si="44"/>
        <v>0</v>
      </c>
      <c r="BD37" s="24">
        <f t="shared" si="44"/>
        <v>0</v>
      </c>
      <c r="BE37" s="24">
        <f t="shared" si="44"/>
        <v>0</v>
      </c>
      <c r="BF37" s="24">
        <f t="shared" si="44"/>
        <v>0</v>
      </c>
      <c r="BG37" s="24">
        <f t="shared" si="44"/>
        <v>0</v>
      </c>
      <c r="BH37" s="24">
        <f t="shared" si="44"/>
        <v>0</v>
      </c>
      <c r="BI37" s="24">
        <f t="shared" si="44"/>
        <v>0</v>
      </c>
      <c r="BJ37" s="24">
        <f t="shared" si="44"/>
        <v>0</v>
      </c>
      <c r="BK37" s="24">
        <f t="shared" si="44"/>
        <v>0</v>
      </c>
      <c r="BL37" s="24">
        <f t="shared" si="44"/>
        <v>0</v>
      </c>
      <c r="BM37" s="24">
        <f t="shared" si="44"/>
        <v>0</v>
      </c>
      <c r="BN37" s="24">
        <f t="shared" si="44"/>
        <v>0</v>
      </c>
      <c r="BO37" s="24">
        <f t="shared" si="44"/>
        <v>0</v>
      </c>
      <c r="BP37" s="24">
        <f t="shared" si="44"/>
        <v>0</v>
      </c>
      <c r="BQ37" s="24">
        <f t="shared" si="44"/>
        <v>0</v>
      </c>
      <c r="BR37" s="24">
        <f t="shared" si="44"/>
        <v>0</v>
      </c>
      <c r="BS37" s="24">
        <f t="shared" si="44"/>
        <v>0</v>
      </c>
      <c r="BT37" s="24">
        <f t="shared" si="44"/>
        <v>0</v>
      </c>
      <c r="BU37" s="24">
        <f t="shared" si="44"/>
        <v>0</v>
      </c>
      <c r="BV37" s="24">
        <f t="shared" si="44"/>
        <v>0</v>
      </c>
      <c r="BW37" s="24">
        <f t="shared" si="44"/>
        <v>0</v>
      </c>
      <c r="BX37" s="24">
        <f t="shared" ref="BX37:CO37" si="45">SUM(BX25,BX30,BX33)*(ABS(SUM(BX25,BX30,BX33))&gt;Accuracy)</f>
        <v>0</v>
      </c>
      <c r="BY37" s="24">
        <f t="shared" si="45"/>
        <v>0</v>
      </c>
      <c r="BZ37" s="24">
        <f t="shared" si="45"/>
        <v>0</v>
      </c>
      <c r="CA37" s="24">
        <f t="shared" si="45"/>
        <v>0</v>
      </c>
      <c r="CB37" s="24">
        <f t="shared" si="45"/>
        <v>0</v>
      </c>
      <c r="CC37" s="24">
        <f t="shared" si="45"/>
        <v>0</v>
      </c>
      <c r="CD37" s="24">
        <f t="shared" si="45"/>
        <v>0</v>
      </c>
      <c r="CE37" s="24">
        <f t="shared" si="45"/>
        <v>0</v>
      </c>
      <c r="CF37" s="24">
        <f t="shared" si="45"/>
        <v>0</v>
      </c>
      <c r="CG37" s="24">
        <f t="shared" si="45"/>
        <v>0</v>
      </c>
      <c r="CH37" s="24">
        <f t="shared" si="45"/>
        <v>0</v>
      </c>
      <c r="CI37" s="24">
        <f t="shared" si="45"/>
        <v>0</v>
      </c>
      <c r="CJ37" s="24">
        <f t="shared" si="45"/>
        <v>0</v>
      </c>
      <c r="CK37" s="24">
        <f t="shared" si="45"/>
        <v>0</v>
      </c>
      <c r="CL37" s="24">
        <f t="shared" si="45"/>
        <v>0</v>
      </c>
      <c r="CM37" s="24">
        <f t="shared" si="45"/>
        <v>0</v>
      </c>
      <c r="CN37" s="24">
        <f t="shared" si="45"/>
        <v>0</v>
      </c>
      <c r="CO37" s="24">
        <f t="shared" si="45"/>
        <v>0</v>
      </c>
    </row>
    <row r="38" spans="1:93" s="75" customFormat="1">
      <c r="A38" s="73"/>
      <c r="B38" s="73"/>
      <c r="C38" s="73"/>
      <c r="D38" s="73"/>
      <c r="E38" s="73"/>
      <c r="F38" s="73"/>
      <c r="G38" s="72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</row>
    <row r="39" spans="1:93" s="46" customFormat="1" ht="12.75">
      <c r="C39" s="46" t="s">
        <v>351</v>
      </c>
      <c r="G39" s="89" t="str">
        <f>Monetary_Unit</f>
        <v>тыс. руб.</v>
      </c>
      <c r="H39" s="73"/>
      <c r="I39" s="46">
        <f ca="1">SUM(L39:CQ39)</f>
        <v>0</v>
      </c>
      <c r="L39" s="46">
        <f t="shared" ref="L39:BW39" ca="1" si="46">(L37-L23)*(ABS(L37-L23)&gt;Accuracy)</f>
        <v>0</v>
      </c>
      <c r="M39" s="46">
        <f t="shared" ca="1" si="46"/>
        <v>0</v>
      </c>
      <c r="N39" s="46">
        <f t="shared" ca="1" si="46"/>
        <v>0</v>
      </c>
      <c r="O39" s="46">
        <f t="shared" ca="1" si="46"/>
        <v>0</v>
      </c>
      <c r="P39" s="46">
        <f t="shared" ca="1" si="46"/>
        <v>0</v>
      </c>
      <c r="Q39" s="46">
        <f t="shared" ca="1" si="46"/>
        <v>0</v>
      </c>
      <c r="R39" s="46">
        <f t="shared" ca="1" si="46"/>
        <v>0</v>
      </c>
      <c r="S39" s="46">
        <f t="shared" ca="1" si="46"/>
        <v>0</v>
      </c>
      <c r="T39" s="46">
        <f t="shared" ca="1" si="46"/>
        <v>0</v>
      </c>
      <c r="U39" s="46">
        <f t="shared" ca="1" si="46"/>
        <v>0</v>
      </c>
      <c r="V39" s="46">
        <f t="shared" ca="1" si="46"/>
        <v>0</v>
      </c>
      <c r="W39" s="46">
        <f t="shared" ca="1" si="46"/>
        <v>0</v>
      </c>
      <c r="X39" s="46">
        <f t="shared" ca="1" si="46"/>
        <v>0</v>
      </c>
      <c r="Y39" s="46">
        <f t="shared" ca="1" si="46"/>
        <v>0</v>
      </c>
      <c r="Z39" s="46">
        <f t="shared" ca="1" si="46"/>
        <v>0</v>
      </c>
      <c r="AA39" s="46">
        <f t="shared" ca="1" si="46"/>
        <v>0</v>
      </c>
      <c r="AB39" s="46">
        <f t="shared" ca="1" si="46"/>
        <v>0</v>
      </c>
      <c r="AC39" s="46">
        <f t="shared" ca="1" si="46"/>
        <v>0</v>
      </c>
      <c r="AD39" s="46">
        <f t="shared" ca="1" si="46"/>
        <v>0</v>
      </c>
      <c r="AE39" s="46">
        <f t="shared" ca="1" si="46"/>
        <v>0</v>
      </c>
      <c r="AF39" s="46">
        <f t="shared" si="46"/>
        <v>0</v>
      </c>
      <c r="AG39" s="46">
        <f t="shared" si="46"/>
        <v>0</v>
      </c>
      <c r="AH39" s="46">
        <f t="shared" si="46"/>
        <v>0</v>
      </c>
      <c r="AI39" s="46">
        <f t="shared" si="46"/>
        <v>0</v>
      </c>
      <c r="AJ39" s="46">
        <f t="shared" si="46"/>
        <v>0</v>
      </c>
      <c r="AK39" s="46">
        <f t="shared" si="46"/>
        <v>0</v>
      </c>
      <c r="AL39" s="46">
        <f t="shared" si="46"/>
        <v>0</v>
      </c>
      <c r="AM39" s="46">
        <f t="shared" si="46"/>
        <v>0</v>
      </c>
      <c r="AN39" s="46">
        <f t="shared" si="46"/>
        <v>0</v>
      </c>
      <c r="AO39" s="46">
        <f t="shared" si="46"/>
        <v>0</v>
      </c>
      <c r="AP39" s="46">
        <f t="shared" si="46"/>
        <v>0</v>
      </c>
      <c r="AQ39" s="46">
        <f t="shared" si="46"/>
        <v>0</v>
      </c>
      <c r="AR39" s="46">
        <f t="shared" si="46"/>
        <v>0</v>
      </c>
      <c r="AS39" s="46">
        <f t="shared" si="46"/>
        <v>0</v>
      </c>
      <c r="AT39" s="46">
        <f t="shared" si="46"/>
        <v>0</v>
      </c>
      <c r="AU39" s="46">
        <f t="shared" si="46"/>
        <v>0</v>
      </c>
      <c r="AV39" s="46">
        <f t="shared" si="46"/>
        <v>0</v>
      </c>
      <c r="AW39" s="46">
        <f t="shared" si="46"/>
        <v>0</v>
      </c>
      <c r="AX39" s="46">
        <f t="shared" si="46"/>
        <v>0</v>
      </c>
      <c r="AY39" s="46">
        <f t="shared" si="46"/>
        <v>0</v>
      </c>
      <c r="AZ39" s="46">
        <f t="shared" si="46"/>
        <v>0</v>
      </c>
      <c r="BA39" s="46">
        <f t="shared" si="46"/>
        <v>0</v>
      </c>
      <c r="BB39" s="46">
        <f t="shared" si="46"/>
        <v>0</v>
      </c>
      <c r="BC39" s="46">
        <f t="shared" si="46"/>
        <v>0</v>
      </c>
      <c r="BD39" s="46">
        <f t="shared" si="46"/>
        <v>0</v>
      </c>
      <c r="BE39" s="46">
        <f t="shared" si="46"/>
        <v>0</v>
      </c>
      <c r="BF39" s="46">
        <f t="shared" si="46"/>
        <v>0</v>
      </c>
      <c r="BG39" s="46">
        <f t="shared" si="46"/>
        <v>0</v>
      </c>
      <c r="BH39" s="46">
        <f t="shared" si="46"/>
        <v>0</v>
      </c>
      <c r="BI39" s="46">
        <f t="shared" si="46"/>
        <v>0</v>
      </c>
      <c r="BJ39" s="46">
        <f t="shared" si="46"/>
        <v>0</v>
      </c>
      <c r="BK39" s="46">
        <f t="shared" si="46"/>
        <v>0</v>
      </c>
      <c r="BL39" s="46">
        <f t="shared" si="46"/>
        <v>0</v>
      </c>
      <c r="BM39" s="46">
        <f t="shared" si="46"/>
        <v>0</v>
      </c>
      <c r="BN39" s="46">
        <f t="shared" si="46"/>
        <v>0</v>
      </c>
      <c r="BO39" s="46">
        <f t="shared" si="46"/>
        <v>0</v>
      </c>
      <c r="BP39" s="46">
        <f t="shared" si="46"/>
        <v>0</v>
      </c>
      <c r="BQ39" s="46">
        <f t="shared" si="46"/>
        <v>0</v>
      </c>
      <c r="BR39" s="46">
        <f t="shared" si="46"/>
        <v>0</v>
      </c>
      <c r="BS39" s="46">
        <f t="shared" si="46"/>
        <v>0</v>
      </c>
      <c r="BT39" s="46">
        <f t="shared" si="46"/>
        <v>0</v>
      </c>
      <c r="BU39" s="46">
        <f t="shared" si="46"/>
        <v>0</v>
      </c>
      <c r="BV39" s="46">
        <f t="shared" si="46"/>
        <v>0</v>
      </c>
      <c r="BW39" s="46">
        <f t="shared" si="46"/>
        <v>0</v>
      </c>
      <c r="BX39" s="46">
        <f t="shared" ref="BX39:CO39" si="47">(BX37-BX23)*(ABS(BX37-BX23)&gt;Accuracy)</f>
        <v>0</v>
      </c>
      <c r="BY39" s="46">
        <f t="shared" si="47"/>
        <v>0</v>
      </c>
      <c r="BZ39" s="46">
        <f t="shared" si="47"/>
        <v>0</v>
      </c>
      <c r="CA39" s="46">
        <f t="shared" si="47"/>
        <v>0</v>
      </c>
      <c r="CB39" s="46">
        <f t="shared" si="47"/>
        <v>0</v>
      </c>
      <c r="CC39" s="46">
        <f t="shared" si="47"/>
        <v>0</v>
      </c>
      <c r="CD39" s="46">
        <f t="shared" si="47"/>
        <v>0</v>
      </c>
      <c r="CE39" s="46">
        <f t="shared" si="47"/>
        <v>0</v>
      </c>
      <c r="CF39" s="46">
        <f t="shared" si="47"/>
        <v>0</v>
      </c>
      <c r="CG39" s="46">
        <f t="shared" si="47"/>
        <v>0</v>
      </c>
      <c r="CH39" s="46">
        <f t="shared" si="47"/>
        <v>0</v>
      </c>
      <c r="CI39" s="46">
        <f t="shared" si="47"/>
        <v>0</v>
      </c>
      <c r="CJ39" s="46">
        <f t="shared" si="47"/>
        <v>0</v>
      </c>
      <c r="CK39" s="46">
        <f t="shared" si="47"/>
        <v>0</v>
      </c>
      <c r="CL39" s="46">
        <f t="shared" si="47"/>
        <v>0</v>
      </c>
      <c r="CM39" s="46">
        <f t="shared" si="47"/>
        <v>0</v>
      </c>
      <c r="CN39" s="46">
        <f t="shared" si="47"/>
        <v>0</v>
      </c>
      <c r="CO39" s="46">
        <f t="shared" si="47"/>
        <v>0</v>
      </c>
    </row>
    <row r="40" spans="1:93" s="46" customFormat="1" ht="12.75">
      <c r="C40" s="46" t="s">
        <v>352</v>
      </c>
      <c r="G40" s="89" t="str">
        <f>Monetary_Unit</f>
        <v>тыс. руб.</v>
      </c>
      <c r="H40" s="73"/>
      <c r="I40" s="46">
        <f ca="1">SUM(L40:CQ40)</f>
        <v>0</v>
      </c>
      <c r="L40" s="46">
        <f t="shared" ref="L40:BW40" ca="1" si="48">(L39-K39)*(ABS(L39-K39)&gt;Accuracy)</f>
        <v>0</v>
      </c>
      <c r="M40" s="46">
        <f t="shared" ca="1" si="48"/>
        <v>0</v>
      </c>
      <c r="N40" s="46">
        <f t="shared" ca="1" si="48"/>
        <v>0</v>
      </c>
      <c r="O40" s="46">
        <f t="shared" ca="1" si="48"/>
        <v>0</v>
      </c>
      <c r="P40" s="46">
        <f t="shared" ca="1" si="48"/>
        <v>0</v>
      </c>
      <c r="Q40" s="46">
        <f t="shared" ca="1" si="48"/>
        <v>0</v>
      </c>
      <c r="R40" s="46">
        <f t="shared" ca="1" si="48"/>
        <v>0</v>
      </c>
      <c r="S40" s="46">
        <f t="shared" ca="1" si="48"/>
        <v>0</v>
      </c>
      <c r="T40" s="46">
        <f t="shared" ca="1" si="48"/>
        <v>0</v>
      </c>
      <c r="U40" s="46">
        <f t="shared" ca="1" si="48"/>
        <v>0</v>
      </c>
      <c r="V40" s="46">
        <f t="shared" ca="1" si="48"/>
        <v>0</v>
      </c>
      <c r="W40" s="46">
        <f t="shared" ca="1" si="48"/>
        <v>0</v>
      </c>
      <c r="X40" s="46">
        <f t="shared" ca="1" si="48"/>
        <v>0</v>
      </c>
      <c r="Y40" s="46">
        <f t="shared" ca="1" si="48"/>
        <v>0</v>
      </c>
      <c r="Z40" s="46">
        <f t="shared" ca="1" si="48"/>
        <v>0</v>
      </c>
      <c r="AA40" s="46">
        <f t="shared" ca="1" si="48"/>
        <v>0</v>
      </c>
      <c r="AB40" s="46">
        <f t="shared" ca="1" si="48"/>
        <v>0</v>
      </c>
      <c r="AC40" s="46">
        <f t="shared" ca="1" si="48"/>
        <v>0</v>
      </c>
      <c r="AD40" s="46">
        <f t="shared" ca="1" si="48"/>
        <v>0</v>
      </c>
      <c r="AE40" s="46">
        <f t="shared" ca="1" si="48"/>
        <v>0</v>
      </c>
      <c r="AF40" s="46">
        <f t="shared" ca="1" si="48"/>
        <v>0</v>
      </c>
      <c r="AG40" s="46">
        <f t="shared" si="48"/>
        <v>0</v>
      </c>
      <c r="AH40" s="46">
        <f t="shared" si="48"/>
        <v>0</v>
      </c>
      <c r="AI40" s="46">
        <f t="shared" si="48"/>
        <v>0</v>
      </c>
      <c r="AJ40" s="46">
        <f t="shared" si="48"/>
        <v>0</v>
      </c>
      <c r="AK40" s="46">
        <f t="shared" si="48"/>
        <v>0</v>
      </c>
      <c r="AL40" s="46">
        <f t="shared" si="48"/>
        <v>0</v>
      </c>
      <c r="AM40" s="46">
        <f t="shared" si="48"/>
        <v>0</v>
      </c>
      <c r="AN40" s="46">
        <f t="shared" si="48"/>
        <v>0</v>
      </c>
      <c r="AO40" s="46">
        <f t="shared" si="48"/>
        <v>0</v>
      </c>
      <c r="AP40" s="46">
        <f t="shared" si="48"/>
        <v>0</v>
      </c>
      <c r="AQ40" s="46">
        <f t="shared" si="48"/>
        <v>0</v>
      </c>
      <c r="AR40" s="46">
        <f t="shared" si="48"/>
        <v>0</v>
      </c>
      <c r="AS40" s="46">
        <f t="shared" si="48"/>
        <v>0</v>
      </c>
      <c r="AT40" s="46">
        <f t="shared" si="48"/>
        <v>0</v>
      </c>
      <c r="AU40" s="46">
        <f t="shared" si="48"/>
        <v>0</v>
      </c>
      <c r="AV40" s="46">
        <f t="shared" si="48"/>
        <v>0</v>
      </c>
      <c r="AW40" s="46">
        <f t="shared" si="48"/>
        <v>0</v>
      </c>
      <c r="AX40" s="46">
        <f t="shared" si="48"/>
        <v>0</v>
      </c>
      <c r="AY40" s="46">
        <f t="shared" si="48"/>
        <v>0</v>
      </c>
      <c r="AZ40" s="46">
        <f t="shared" si="48"/>
        <v>0</v>
      </c>
      <c r="BA40" s="46">
        <f t="shared" si="48"/>
        <v>0</v>
      </c>
      <c r="BB40" s="46">
        <f t="shared" si="48"/>
        <v>0</v>
      </c>
      <c r="BC40" s="46">
        <f t="shared" si="48"/>
        <v>0</v>
      </c>
      <c r="BD40" s="46">
        <f t="shared" si="48"/>
        <v>0</v>
      </c>
      <c r="BE40" s="46">
        <f t="shared" si="48"/>
        <v>0</v>
      </c>
      <c r="BF40" s="46">
        <f t="shared" si="48"/>
        <v>0</v>
      </c>
      <c r="BG40" s="46">
        <f t="shared" si="48"/>
        <v>0</v>
      </c>
      <c r="BH40" s="46">
        <f t="shared" si="48"/>
        <v>0</v>
      </c>
      <c r="BI40" s="46">
        <f t="shared" si="48"/>
        <v>0</v>
      </c>
      <c r="BJ40" s="46">
        <f t="shared" si="48"/>
        <v>0</v>
      </c>
      <c r="BK40" s="46">
        <f t="shared" si="48"/>
        <v>0</v>
      </c>
      <c r="BL40" s="46">
        <f t="shared" si="48"/>
        <v>0</v>
      </c>
      <c r="BM40" s="46">
        <f t="shared" si="48"/>
        <v>0</v>
      </c>
      <c r="BN40" s="46">
        <f t="shared" si="48"/>
        <v>0</v>
      </c>
      <c r="BO40" s="46">
        <f t="shared" si="48"/>
        <v>0</v>
      </c>
      <c r="BP40" s="46">
        <f t="shared" si="48"/>
        <v>0</v>
      </c>
      <c r="BQ40" s="46">
        <f t="shared" si="48"/>
        <v>0</v>
      </c>
      <c r="BR40" s="46">
        <f t="shared" si="48"/>
        <v>0</v>
      </c>
      <c r="BS40" s="46">
        <f t="shared" si="48"/>
        <v>0</v>
      </c>
      <c r="BT40" s="46">
        <f t="shared" si="48"/>
        <v>0</v>
      </c>
      <c r="BU40" s="46">
        <f t="shared" si="48"/>
        <v>0</v>
      </c>
      <c r="BV40" s="46">
        <f t="shared" si="48"/>
        <v>0</v>
      </c>
      <c r="BW40" s="46">
        <f t="shared" si="48"/>
        <v>0</v>
      </c>
      <c r="BX40" s="46">
        <f t="shared" ref="BX40:CO40" si="49">(BX39-BW39)*(ABS(BX39-BW39)&gt;Accuracy)</f>
        <v>0</v>
      </c>
      <c r="BY40" s="46">
        <f t="shared" si="49"/>
        <v>0</v>
      </c>
      <c r="BZ40" s="46">
        <f t="shared" si="49"/>
        <v>0</v>
      </c>
      <c r="CA40" s="46">
        <f t="shared" si="49"/>
        <v>0</v>
      </c>
      <c r="CB40" s="46">
        <f t="shared" si="49"/>
        <v>0</v>
      </c>
      <c r="CC40" s="46">
        <f t="shared" si="49"/>
        <v>0</v>
      </c>
      <c r="CD40" s="46">
        <f t="shared" si="49"/>
        <v>0</v>
      </c>
      <c r="CE40" s="46">
        <f t="shared" si="49"/>
        <v>0</v>
      </c>
      <c r="CF40" s="46">
        <f t="shared" si="49"/>
        <v>0</v>
      </c>
      <c r="CG40" s="46">
        <f t="shared" si="49"/>
        <v>0</v>
      </c>
      <c r="CH40" s="46">
        <f t="shared" si="49"/>
        <v>0</v>
      </c>
      <c r="CI40" s="46">
        <f t="shared" si="49"/>
        <v>0</v>
      </c>
      <c r="CJ40" s="46">
        <f t="shared" si="49"/>
        <v>0</v>
      </c>
      <c r="CK40" s="46">
        <f t="shared" si="49"/>
        <v>0</v>
      </c>
      <c r="CL40" s="46">
        <f t="shared" si="49"/>
        <v>0</v>
      </c>
      <c r="CM40" s="46">
        <f t="shared" si="49"/>
        <v>0</v>
      </c>
      <c r="CN40" s="46">
        <f t="shared" si="49"/>
        <v>0</v>
      </c>
      <c r="CO40" s="46">
        <f t="shared" si="49"/>
        <v>0</v>
      </c>
    </row>
    <row r="41" spans="1:93" s="75" customFormat="1">
      <c r="A41" s="73"/>
      <c r="B41" s="73"/>
      <c r="C41" s="73"/>
      <c r="D41" s="73"/>
      <c r="E41" s="73"/>
      <c r="F41" s="73"/>
      <c r="G41" s="72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</row>
    <row r="42" spans="1:93" ht="22.5" customHeight="1">
      <c r="A42" s="10"/>
      <c r="B42" s="5" t="s">
        <v>312</v>
      </c>
      <c r="C42" s="5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</row>
    <row r="43" spans="1:93" s="75" customFormat="1">
      <c r="A43" s="73"/>
      <c r="B43" s="73"/>
      <c r="C43" s="73"/>
      <c r="D43" s="73"/>
      <c r="E43" s="73"/>
      <c r="F43" s="73"/>
      <c r="G43" s="72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</row>
    <row r="44" spans="1:93" s="133" customFormat="1" ht="14.25">
      <c r="A44" s="10"/>
      <c r="B44" s="10"/>
      <c r="C44" s="17" t="s">
        <v>96</v>
      </c>
      <c r="D44" s="10"/>
      <c r="E44" s="10"/>
      <c r="F44" s="10"/>
      <c r="G44" s="134" t="str">
        <f t="shared" ref="G44:G59" si="50">Monetary_Unit</f>
        <v>тыс. руб.</v>
      </c>
      <c r="H44" s="10"/>
      <c r="I44" s="23">
        <f t="shared" ref="I44:I51" ca="1" si="51">SUM(L44:CQ44)</f>
        <v>31948941.046733908</v>
      </c>
      <c r="J44" s="10"/>
      <c r="K44" s="10"/>
      <c r="L44" s="10">
        <f t="shared" ref="L44:AQ44" ca="1" si="52">SUMIF(Year,L$6,Revenue)</f>
        <v>0</v>
      </c>
      <c r="M44" s="10">
        <f t="shared" ca="1" si="52"/>
        <v>0</v>
      </c>
      <c r="N44" s="10">
        <f t="shared" ca="1" si="52"/>
        <v>0</v>
      </c>
      <c r="O44" s="10">
        <f t="shared" ca="1" si="52"/>
        <v>0</v>
      </c>
      <c r="P44" s="10">
        <f t="shared" ca="1" si="52"/>
        <v>1038022.0902898253</v>
      </c>
      <c r="Q44" s="10">
        <f t="shared" ca="1" si="52"/>
        <v>1391447.0225738049</v>
      </c>
      <c r="R44" s="10">
        <f t="shared" ca="1" si="52"/>
        <v>1601318.2246666639</v>
      </c>
      <c r="S44" s="10">
        <f t="shared" ca="1" si="52"/>
        <v>1797179.0411013491</v>
      </c>
      <c r="T44" s="10">
        <f t="shared" ca="1" si="52"/>
        <v>1872022.5911065759</v>
      </c>
      <c r="U44" s="10">
        <f t="shared" ca="1" si="52"/>
        <v>1748363.3736631824</v>
      </c>
      <c r="V44" s="10">
        <f t="shared" ca="1" si="52"/>
        <v>1788268.8416386014</v>
      </c>
      <c r="W44" s="10">
        <f t="shared" ca="1" si="52"/>
        <v>1862690.6231502416</v>
      </c>
      <c r="X44" s="10">
        <f t="shared" ca="1" si="52"/>
        <v>1934191.5791163107</v>
      </c>
      <c r="Y44" s="10">
        <f t="shared" ca="1" si="52"/>
        <v>2011559.2422809629</v>
      </c>
      <c r="Z44" s="10">
        <f t="shared" ca="1" si="52"/>
        <v>2092021.6119722011</v>
      </c>
      <c r="AA44" s="10">
        <f t="shared" ca="1" si="52"/>
        <v>2179084.5701240427</v>
      </c>
      <c r="AB44" s="10">
        <f t="shared" ca="1" si="52"/>
        <v>2262730.5755091319</v>
      </c>
      <c r="AC44" s="10">
        <f t="shared" ca="1" si="52"/>
        <v>2353239.7985294969</v>
      </c>
      <c r="AD44" s="10">
        <f t="shared" ca="1" si="52"/>
        <v>2447369.3904706766</v>
      </c>
      <c r="AE44" s="10">
        <f t="shared" ca="1" si="52"/>
        <v>2549220.7373235305</v>
      </c>
      <c r="AF44" s="10">
        <f t="shared" ca="1" si="52"/>
        <v>1020211.7332173092</v>
      </c>
      <c r="AG44" s="10">
        <f t="shared" si="52"/>
        <v>0</v>
      </c>
      <c r="AH44" s="10">
        <f t="shared" si="52"/>
        <v>0</v>
      </c>
      <c r="AI44" s="10">
        <f t="shared" si="52"/>
        <v>0</v>
      </c>
      <c r="AJ44" s="10">
        <f t="shared" si="52"/>
        <v>0</v>
      </c>
      <c r="AK44" s="10">
        <f t="shared" si="52"/>
        <v>0</v>
      </c>
      <c r="AL44" s="10">
        <f t="shared" si="52"/>
        <v>0</v>
      </c>
      <c r="AM44" s="10">
        <f t="shared" si="52"/>
        <v>0</v>
      </c>
      <c r="AN44" s="10">
        <f t="shared" si="52"/>
        <v>0</v>
      </c>
      <c r="AO44" s="10">
        <f t="shared" si="52"/>
        <v>0</v>
      </c>
      <c r="AP44" s="10">
        <f t="shared" si="52"/>
        <v>0</v>
      </c>
      <c r="AQ44" s="10">
        <f t="shared" si="52"/>
        <v>0</v>
      </c>
      <c r="AR44" s="10">
        <f t="shared" ref="AR44:BW44" si="53">SUMIF(Year,AR$6,Revenue)</f>
        <v>0</v>
      </c>
      <c r="AS44" s="10">
        <f t="shared" si="53"/>
        <v>0</v>
      </c>
      <c r="AT44" s="10">
        <f t="shared" si="53"/>
        <v>0</v>
      </c>
      <c r="AU44" s="10">
        <f t="shared" si="53"/>
        <v>0</v>
      </c>
      <c r="AV44" s="10">
        <f t="shared" si="53"/>
        <v>0</v>
      </c>
      <c r="AW44" s="10">
        <f t="shared" si="53"/>
        <v>0</v>
      </c>
      <c r="AX44" s="10">
        <f t="shared" si="53"/>
        <v>0</v>
      </c>
      <c r="AY44" s="10">
        <f t="shared" si="53"/>
        <v>0</v>
      </c>
      <c r="AZ44" s="10">
        <f t="shared" si="53"/>
        <v>0</v>
      </c>
      <c r="BA44" s="10">
        <f t="shared" si="53"/>
        <v>0</v>
      </c>
      <c r="BB44" s="10">
        <f t="shared" si="53"/>
        <v>0</v>
      </c>
      <c r="BC44" s="10">
        <f t="shared" si="53"/>
        <v>0</v>
      </c>
      <c r="BD44" s="10">
        <f t="shared" si="53"/>
        <v>0</v>
      </c>
      <c r="BE44" s="10">
        <f t="shared" si="53"/>
        <v>0</v>
      </c>
      <c r="BF44" s="10">
        <f t="shared" si="53"/>
        <v>0</v>
      </c>
      <c r="BG44" s="10">
        <f t="shared" si="53"/>
        <v>0</v>
      </c>
      <c r="BH44" s="10">
        <f t="shared" si="53"/>
        <v>0</v>
      </c>
      <c r="BI44" s="10">
        <f t="shared" si="53"/>
        <v>0</v>
      </c>
      <c r="BJ44" s="10">
        <f t="shared" si="53"/>
        <v>0</v>
      </c>
      <c r="BK44" s="10">
        <f t="shared" si="53"/>
        <v>0</v>
      </c>
      <c r="BL44" s="10">
        <f t="shared" si="53"/>
        <v>0</v>
      </c>
      <c r="BM44" s="10">
        <f t="shared" si="53"/>
        <v>0</v>
      </c>
      <c r="BN44" s="10">
        <f t="shared" si="53"/>
        <v>0</v>
      </c>
      <c r="BO44" s="10">
        <f t="shared" si="53"/>
        <v>0</v>
      </c>
      <c r="BP44" s="10">
        <f t="shared" si="53"/>
        <v>0</v>
      </c>
      <c r="BQ44" s="10">
        <f t="shared" si="53"/>
        <v>0</v>
      </c>
      <c r="BR44" s="10">
        <f t="shared" si="53"/>
        <v>0</v>
      </c>
      <c r="BS44" s="10">
        <f t="shared" si="53"/>
        <v>0</v>
      </c>
      <c r="BT44" s="10">
        <f t="shared" si="53"/>
        <v>0</v>
      </c>
      <c r="BU44" s="10">
        <f t="shared" si="53"/>
        <v>0</v>
      </c>
      <c r="BV44" s="10">
        <f t="shared" si="53"/>
        <v>0</v>
      </c>
      <c r="BW44" s="10">
        <f t="shared" si="53"/>
        <v>0</v>
      </c>
      <c r="BX44" s="10">
        <f t="shared" ref="BX44:CO44" si="54">SUMIF(Year,BX$6,Revenue)</f>
        <v>0</v>
      </c>
      <c r="BY44" s="10">
        <f t="shared" si="54"/>
        <v>0</v>
      </c>
      <c r="BZ44" s="10">
        <f t="shared" si="54"/>
        <v>0</v>
      </c>
      <c r="CA44" s="10">
        <f t="shared" si="54"/>
        <v>0</v>
      </c>
      <c r="CB44" s="10">
        <f t="shared" si="54"/>
        <v>0</v>
      </c>
      <c r="CC44" s="10">
        <f t="shared" si="54"/>
        <v>0</v>
      </c>
      <c r="CD44" s="10">
        <f t="shared" si="54"/>
        <v>0</v>
      </c>
      <c r="CE44" s="10">
        <f t="shared" si="54"/>
        <v>0</v>
      </c>
      <c r="CF44" s="10">
        <f t="shared" si="54"/>
        <v>0</v>
      </c>
      <c r="CG44" s="10">
        <f t="shared" si="54"/>
        <v>0</v>
      </c>
      <c r="CH44" s="10">
        <f t="shared" si="54"/>
        <v>0</v>
      </c>
      <c r="CI44" s="10">
        <f t="shared" si="54"/>
        <v>0</v>
      </c>
      <c r="CJ44" s="10">
        <f t="shared" si="54"/>
        <v>0</v>
      </c>
      <c r="CK44" s="10">
        <f t="shared" si="54"/>
        <v>0</v>
      </c>
      <c r="CL44" s="10">
        <f t="shared" si="54"/>
        <v>0</v>
      </c>
      <c r="CM44" s="10">
        <f t="shared" si="54"/>
        <v>0</v>
      </c>
      <c r="CN44" s="10">
        <f t="shared" si="54"/>
        <v>0</v>
      </c>
      <c r="CO44" s="10">
        <f t="shared" si="54"/>
        <v>0</v>
      </c>
    </row>
    <row r="45" spans="1:93" s="133" customFormat="1" thickBot="1">
      <c r="A45" s="10"/>
      <c r="B45" s="10"/>
      <c r="C45" s="17" t="s">
        <v>700</v>
      </c>
      <c r="D45" s="10"/>
      <c r="E45" s="10"/>
      <c r="F45" s="10"/>
      <c r="G45" s="134" t="str">
        <f t="shared" si="50"/>
        <v>тыс. руб.</v>
      </c>
      <c r="H45" s="10"/>
      <c r="I45" s="23">
        <f t="shared" ca="1" si="51"/>
        <v>-18493633.551309187</v>
      </c>
      <c r="J45" s="10"/>
      <c r="K45" s="10"/>
      <c r="L45" s="10">
        <f t="shared" ref="L45:AQ45" ca="1" si="55">SUMIF(Year,L$6,COGS_PL)</f>
        <v>0</v>
      </c>
      <c r="M45" s="10">
        <f t="shared" ca="1" si="55"/>
        <v>0</v>
      </c>
      <c r="N45" s="10">
        <f t="shared" ca="1" si="55"/>
        <v>0</v>
      </c>
      <c r="O45" s="10">
        <f t="shared" ca="1" si="55"/>
        <v>0</v>
      </c>
      <c r="P45" s="10">
        <f t="shared" ca="1" si="55"/>
        <v>-541560.47032328544</v>
      </c>
      <c r="Q45" s="10">
        <f t="shared" ca="1" si="55"/>
        <v>-732206.65049290028</v>
      </c>
      <c r="R45" s="10">
        <f t="shared" ca="1" si="55"/>
        <v>-842567.02532745514</v>
      </c>
      <c r="S45" s="10">
        <f t="shared" ca="1" si="55"/>
        <v>-945730.65674500703</v>
      </c>
      <c r="T45" s="10">
        <f t="shared" ca="1" si="55"/>
        <v>-985200.5834712052</v>
      </c>
      <c r="U45" s="10">
        <f t="shared" ca="1" si="55"/>
        <v>-1024608.6068100531</v>
      </c>
      <c r="V45" s="10">
        <f t="shared" ca="1" si="55"/>
        <v>-1065592.951082455</v>
      </c>
      <c r="W45" s="10">
        <f t="shared" ca="1" si="55"/>
        <v>-1110013.577716039</v>
      </c>
      <c r="X45" s="10">
        <f t="shared" ca="1" si="55"/>
        <v>-1152545.335890783</v>
      </c>
      <c r="Y45" s="10">
        <f t="shared" ca="1" si="55"/>
        <v>-1198647.1493264143</v>
      </c>
      <c r="Z45" s="10">
        <f t="shared" ca="1" si="55"/>
        <v>-1246593.0352994706</v>
      </c>
      <c r="AA45" s="10">
        <f t="shared" ca="1" si="55"/>
        <v>-1298558.8856073325</v>
      </c>
      <c r="AB45" s="10">
        <f t="shared" ca="1" si="55"/>
        <v>-1348315.026979907</v>
      </c>
      <c r="AC45" s="10">
        <f t="shared" ca="1" si="55"/>
        <v>-1402247.6280591032</v>
      </c>
      <c r="AD45" s="10">
        <f t="shared" ca="1" si="55"/>
        <v>-1458337.5331814671</v>
      </c>
      <c r="AE45" s="10">
        <f t="shared" ca="1" si="55"/>
        <v>-1519130.2279917987</v>
      </c>
      <c r="AF45" s="10">
        <f t="shared" ca="1" si="55"/>
        <v>-621778.20700451313</v>
      </c>
      <c r="AG45" s="10">
        <f t="shared" si="55"/>
        <v>0</v>
      </c>
      <c r="AH45" s="10">
        <f t="shared" si="55"/>
        <v>0</v>
      </c>
      <c r="AI45" s="10">
        <f t="shared" si="55"/>
        <v>0</v>
      </c>
      <c r="AJ45" s="10">
        <f t="shared" si="55"/>
        <v>0</v>
      </c>
      <c r="AK45" s="10">
        <f t="shared" si="55"/>
        <v>0</v>
      </c>
      <c r="AL45" s="10">
        <f t="shared" si="55"/>
        <v>0</v>
      </c>
      <c r="AM45" s="10">
        <f t="shared" si="55"/>
        <v>0</v>
      </c>
      <c r="AN45" s="10">
        <f t="shared" si="55"/>
        <v>0</v>
      </c>
      <c r="AO45" s="10">
        <f t="shared" si="55"/>
        <v>0</v>
      </c>
      <c r="AP45" s="10">
        <f t="shared" si="55"/>
        <v>0</v>
      </c>
      <c r="AQ45" s="10">
        <f t="shared" si="55"/>
        <v>0</v>
      </c>
      <c r="AR45" s="10">
        <f t="shared" ref="AR45:BW45" si="56">SUMIF(Year,AR$6,COGS_PL)</f>
        <v>0</v>
      </c>
      <c r="AS45" s="10">
        <f t="shared" si="56"/>
        <v>0</v>
      </c>
      <c r="AT45" s="10">
        <f t="shared" si="56"/>
        <v>0</v>
      </c>
      <c r="AU45" s="10">
        <f t="shared" si="56"/>
        <v>0</v>
      </c>
      <c r="AV45" s="10">
        <f t="shared" si="56"/>
        <v>0</v>
      </c>
      <c r="AW45" s="10">
        <f t="shared" si="56"/>
        <v>0</v>
      </c>
      <c r="AX45" s="10">
        <f t="shared" si="56"/>
        <v>0</v>
      </c>
      <c r="AY45" s="10">
        <f t="shared" si="56"/>
        <v>0</v>
      </c>
      <c r="AZ45" s="10">
        <f t="shared" si="56"/>
        <v>0</v>
      </c>
      <c r="BA45" s="10">
        <f t="shared" si="56"/>
        <v>0</v>
      </c>
      <c r="BB45" s="10">
        <f t="shared" si="56"/>
        <v>0</v>
      </c>
      <c r="BC45" s="10">
        <f t="shared" si="56"/>
        <v>0</v>
      </c>
      <c r="BD45" s="10">
        <f t="shared" si="56"/>
        <v>0</v>
      </c>
      <c r="BE45" s="10">
        <f t="shared" si="56"/>
        <v>0</v>
      </c>
      <c r="BF45" s="10">
        <f t="shared" si="56"/>
        <v>0</v>
      </c>
      <c r="BG45" s="10">
        <f t="shared" si="56"/>
        <v>0</v>
      </c>
      <c r="BH45" s="10">
        <f t="shared" si="56"/>
        <v>0</v>
      </c>
      <c r="BI45" s="10">
        <f t="shared" si="56"/>
        <v>0</v>
      </c>
      <c r="BJ45" s="10">
        <f t="shared" si="56"/>
        <v>0</v>
      </c>
      <c r="BK45" s="10">
        <f t="shared" si="56"/>
        <v>0</v>
      </c>
      <c r="BL45" s="10">
        <f t="shared" si="56"/>
        <v>0</v>
      </c>
      <c r="BM45" s="10">
        <f t="shared" si="56"/>
        <v>0</v>
      </c>
      <c r="BN45" s="10">
        <f t="shared" si="56"/>
        <v>0</v>
      </c>
      <c r="BO45" s="10">
        <f t="shared" si="56"/>
        <v>0</v>
      </c>
      <c r="BP45" s="10">
        <f t="shared" si="56"/>
        <v>0</v>
      </c>
      <c r="BQ45" s="10">
        <f t="shared" si="56"/>
        <v>0</v>
      </c>
      <c r="BR45" s="10">
        <f t="shared" si="56"/>
        <v>0</v>
      </c>
      <c r="BS45" s="10">
        <f t="shared" si="56"/>
        <v>0</v>
      </c>
      <c r="BT45" s="10">
        <f t="shared" si="56"/>
        <v>0</v>
      </c>
      <c r="BU45" s="10">
        <f t="shared" si="56"/>
        <v>0</v>
      </c>
      <c r="BV45" s="10">
        <f t="shared" si="56"/>
        <v>0</v>
      </c>
      <c r="BW45" s="10">
        <f t="shared" si="56"/>
        <v>0</v>
      </c>
      <c r="BX45" s="10">
        <f t="shared" ref="BX45:CO45" si="57">SUMIF(Year,BX$6,COGS_PL)</f>
        <v>0</v>
      </c>
      <c r="BY45" s="10">
        <f t="shared" si="57"/>
        <v>0</v>
      </c>
      <c r="BZ45" s="10">
        <f t="shared" si="57"/>
        <v>0</v>
      </c>
      <c r="CA45" s="10">
        <f t="shared" si="57"/>
        <v>0</v>
      </c>
      <c r="CB45" s="10">
        <f t="shared" si="57"/>
        <v>0</v>
      </c>
      <c r="CC45" s="10">
        <f t="shared" si="57"/>
        <v>0</v>
      </c>
      <c r="CD45" s="10">
        <f t="shared" si="57"/>
        <v>0</v>
      </c>
      <c r="CE45" s="10">
        <f t="shared" si="57"/>
        <v>0</v>
      </c>
      <c r="CF45" s="10">
        <f t="shared" si="57"/>
        <v>0</v>
      </c>
      <c r="CG45" s="10">
        <f t="shared" si="57"/>
        <v>0</v>
      </c>
      <c r="CH45" s="10">
        <f t="shared" si="57"/>
        <v>0</v>
      </c>
      <c r="CI45" s="10">
        <f t="shared" si="57"/>
        <v>0</v>
      </c>
      <c r="CJ45" s="10">
        <f t="shared" si="57"/>
        <v>0</v>
      </c>
      <c r="CK45" s="10">
        <f t="shared" si="57"/>
        <v>0</v>
      </c>
      <c r="CL45" s="10">
        <f t="shared" si="57"/>
        <v>0</v>
      </c>
      <c r="CM45" s="10">
        <f t="shared" si="57"/>
        <v>0</v>
      </c>
      <c r="CN45" s="10">
        <f t="shared" si="57"/>
        <v>0</v>
      </c>
      <c r="CO45" s="10">
        <f t="shared" si="57"/>
        <v>0</v>
      </c>
    </row>
    <row r="46" spans="1:93" s="133" customFormat="1" thickTop="1">
      <c r="A46" s="10"/>
      <c r="B46" s="10"/>
      <c r="C46" s="49" t="s">
        <v>135</v>
      </c>
      <c r="D46" s="136"/>
      <c r="E46" s="136"/>
      <c r="F46" s="136"/>
      <c r="G46" s="137" t="str">
        <f t="shared" si="50"/>
        <v>тыс. руб.</v>
      </c>
      <c r="H46" s="136"/>
      <c r="I46" s="23">
        <f t="shared" ca="1" si="51"/>
        <v>13455307.495424718</v>
      </c>
      <c r="J46" s="136"/>
      <c r="K46" s="136"/>
      <c r="L46" s="49">
        <f t="shared" ref="L46:BW46" ca="1" si="58">SUM(L44:L45)</f>
        <v>0</v>
      </c>
      <c r="M46" s="49">
        <f t="shared" ca="1" si="58"/>
        <v>0</v>
      </c>
      <c r="N46" s="49">
        <f t="shared" ca="1" si="58"/>
        <v>0</v>
      </c>
      <c r="O46" s="49">
        <f t="shared" ca="1" si="58"/>
        <v>0</v>
      </c>
      <c r="P46" s="49">
        <f t="shared" ca="1" si="58"/>
        <v>496461.6199665399</v>
      </c>
      <c r="Q46" s="49">
        <f t="shared" ca="1" si="58"/>
        <v>659240.37208090466</v>
      </c>
      <c r="R46" s="49">
        <f t="shared" ca="1" si="58"/>
        <v>758751.19933920878</v>
      </c>
      <c r="S46" s="49">
        <f t="shared" ca="1" si="58"/>
        <v>851448.38435634202</v>
      </c>
      <c r="T46" s="49">
        <f t="shared" ca="1" si="58"/>
        <v>886822.00763537071</v>
      </c>
      <c r="U46" s="49">
        <f t="shared" ca="1" si="58"/>
        <v>723754.76685312926</v>
      </c>
      <c r="V46" s="49">
        <f t="shared" ca="1" si="58"/>
        <v>722675.89055614639</v>
      </c>
      <c r="W46" s="49">
        <f t="shared" ca="1" si="58"/>
        <v>752677.04543420253</v>
      </c>
      <c r="X46" s="49">
        <f t="shared" ca="1" si="58"/>
        <v>781646.24322552769</v>
      </c>
      <c r="Y46" s="49">
        <f t="shared" ca="1" si="58"/>
        <v>812912.09295454854</v>
      </c>
      <c r="Z46" s="49">
        <f t="shared" ca="1" si="58"/>
        <v>845428.5766727305</v>
      </c>
      <c r="AA46" s="49">
        <f t="shared" ca="1" si="58"/>
        <v>880525.68451671023</v>
      </c>
      <c r="AB46" s="49">
        <f t="shared" ca="1" si="58"/>
        <v>914415.54852922494</v>
      </c>
      <c r="AC46" s="49">
        <f t="shared" ca="1" si="58"/>
        <v>950992.17047039373</v>
      </c>
      <c r="AD46" s="49">
        <f t="shared" ca="1" si="58"/>
        <v>989031.8572892095</v>
      </c>
      <c r="AE46" s="49">
        <f t="shared" ca="1" si="58"/>
        <v>1030090.5093317318</v>
      </c>
      <c r="AF46" s="49">
        <f t="shared" ca="1" si="58"/>
        <v>398433.5262127961</v>
      </c>
      <c r="AG46" s="49">
        <f t="shared" si="58"/>
        <v>0</v>
      </c>
      <c r="AH46" s="49">
        <f t="shared" si="58"/>
        <v>0</v>
      </c>
      <c r="AI46" s="49">
        <f t="shared" si="58"/>
        <v>0</v>
      </c>
      <c r="AJ46" s="49">
        <f t="shared" si="58"/>
        <v>0</v>
      </c>
      <c r="AK46" s="49">
        <f t="shared" si="58"/>
        <v>0</v>
      </c>
      <c r="AL46" s="49">
        <f t="shared" si="58"/>
        <v>0</v>
      </c>
      <c r="AM46" s="49">
        <f t="shared" si="58"/>
        <v>0</v>
      </c>
      <c r="AN46" s="49">
        <f t="shared" si="58"/>
        <v>0</v>
      </c>
      <c r="AO46" s="49">
        <f t="shared" si="58"/>
        <v>0</v>
      </c>
      <c r="AP46" s="49">
        <f t="shared" si="58"/>
        <v>0</v>
      </c>
      <c r="AQ46" s="49">
        <f t="shared" si="58"/>
        <v>0</v>
      </c>
      <c r="AR46" s="49">
        <f t="shared" si="58"/>
        <v>0</v>
      </c>
      <c r="AS46" s="49">
        <f t="shared" si="58"/>
        <v>0</v>
      </c>
      <c r="AT46" s="49">
        <f t="shared" si="58"/>
        <v>0</v>
      </c>
      <c r="AU46" s="49">
        <f t="shared" si="58"/>
        <v>0</v>
      </c>
      <c r="AV46" s="49">
        <f t="shared" si="58"/>
        <v>0</v>
      </c>
      <c r="AW46" s="49">
        <f t="shared" si="58"/>
        <v>0</v>
      </c>
      <c r="AX46" s="49">
        <f t="shared" si="58"/>
        <v>0</v>
      </c>
      <c r="AY46" s="49">
        <f t="shared" si="58"/>
        <v>0</v>
      </c>
      <c r="AZ46" s="49">
        <f t="shared" si="58"/>
        <v>0</v>
      </c>
      <c r="BA46" s="49">
        <f t="shared" si="58"/>
        <v>0</v>
      </c>
      <c r="BB46" s="49">
        <f t="shared" si="58"/>
        <v>0</v>
      </c>
      <c r="BC46" s="49">
        <f t="shared" si="58"/>
        <v>0</v>
      </c>
      <c r="BD46" s="49">
        <f t="shared" si="58"/>
        <v>0</v>
      </c>
      <c r="BE46" s="49">
        <f t="shared" si="58"/>
        <v>0</v>
      </c>
      <c r="BF46" s="49">
        <f t="shared" si="58"/>
        <v>0</v>
      </c>
      <c r="BG46" s="49">
        <f t="shared" si="58"/>
        <v>0</v>
      </c>
      <c r="BH46" s="49">
        <f t="shared" si="58"/>
        <v>0</v>
      </c>
      <c r="BI46" s="49">
        <f t="shared" si="58"/>
        <v>0</v>
      </c>
      <c r="BJ46" s="49">
        <f t="shared" si="58"/>
        <v>0</v>
      </c>
      <c r="BK46" s="49">
        <f t="shared" si="58"/>
        <v>0</v>
      </c>
      <c r="BL46" s="49">
        <f t="shared" si="58"/>
        <v>0</v>
      </c>
      <c r="BM46" s="49">
        <f t="shared" si="58"/>
        <v>0</v>
      </c>
      <c r="BN46" s="49">
        <f t="shared" si="58"/>
        <v>0</v>
      </c>
      <c r="BO46" s="49">
        <f t="shared" si="58"/>
        <v>0</v>
      </c>
      <c r="BP46" s="49">
        <f t="shared" si="58"/>
        <v>0</v>
      </c>
      <c r="BQ46" s="49">
        <f t="shared" si="58"/>
        <v>0</v>
      </c>
      <c r="BR46" s="49">
        <f t="shared" si="58"/>
        <v>0</v>
      </c>
      <c r="BS46" s="49">
        <f t="shared" si="58"/>
        <v>0</v>
      </c>
      <c r="BT46" s="49">
        <f t="shared" si="58"/>
        <v>0</v>
      </c>
      <c r="BU46" s="49">
        <f t="shared" si="58"/>
        <v>0</v>
      </c>
      <c r="BV46" s="49">
        <f t="shared" si="58"/>
        <v>0</v>
      </c>
      <c r="BW46" s="49">
        <f t="shared" si="58"/>
        <v>0</v>
      </c>
      <c r="BX46" s="49">
        <f t="shared" ref="BX46:CO46" si="59">SUM(BX44:BX45)</f>
        <v>0</v>
      </c>
      <c r="BY46" s="49">
        <f t="shared" si="59"/>
        <v>0</v>
      </c>
      <c r="BZ46" s="49">
        <f t="shared" si="59"/>
        <v>0</v>
      </c>
      <c r="CA46" s="49">
        <f t="shared" si="59"/>
        <v>0</v>
      </c>
      <c r="CB46" s="49">
        <f t="shared" si="59"/>
        <v>0</v>
      </c>
      <c r="CC46" s="49">
        <f t="shared" si="59"/>
        <v>0</v>
      </c>
      <c r="CD46" s="49">
        <f t="shared" si="59"/>
        <v>0</v>
      </c>
      <c r="CE46" s="49">
        <f t="shared" si="59"/>
        <v>0</v>
      </c>
      <c r="CF46" s="49">
        <f t="shared" si="59"/>
        <v>0</v>
      </c>
      <c r="CG46" s="49">
        <f t="shared" si="59"/>
        <v>0</v>
      </c>
      <c r="CH46" s="49">
        <f t="shared" si="59"/>
        <v>0</v>
      </c>
      <c r="CI46" s="49">
        <f t="shared" si="59"/>
        <v>0</v>
      </c>
      <c r="CJ46" s="49">
        <f t="shared" si="59"/>
        <v>0</v>
      </c>
      <c r="CK46" s="49">
        <f t="shared" si="59"/>
        <v>0</v>
      </c>
      <c r="CL46" s="49">
        <f t="shared" si="59"/>
        <v>0</v>
      </c>
      <c r="CM46" s="49">
        <f t="shared" si="59"/>
        <v>0</v>
      </c>
      <c r="CN46" s="49">
        <f t="shared" si="59"/>
        <v>0</v>
      </c>
      <c r="CO46" s="49">
        <f t="shared" si="59"/>
        <v>0</v>
      </c>
    </row>
    <row r="47" spans="1:93" s="133" customFormat="1" thickBot="1">
      <c r="A47" s="10"/>
      <c r="B47" s="10"/>
      <c r="C47" s="17" t="s">
        <v>728</v>
      </c>
      <c r="D47" s="10"/>
      <c r="E47" s="10"/>
      <c r="F47" s="10"/>
      <c r="G47" s="134" t="str">
        <f t="shared" si="50"/>
        <v>тыс. руб.</v>
      </c>
      <c r="H47" s="10"/>
      <c r="I47" s="23">
        <f t="shared" ca="1" si="51"/>
        <v>-355606.44199776114</v>
      </c>
      <c r="J47" s="10"/>
      <c r="K47" s="10"/>
      <c r="L47" s="10">
        <f t="shared" ref="L47:AQ47" ca="1" si="60">SUMIF(Year,L$6,SGA_PL)</f>
        <v>0</v>
      </c>
      <c r="M47" s="10">
        <f t="shared" ca="1" si="60"/>
        <v>0</v>
      </c>
      <c r="N47" s="10">
        <f t="shared" ca="1" si="60"/>
        <v>0</v>
      </c>
      <c r="O47" s="10">
        <f t="shared" ca="1" si="60"/>
        <v>0</v>
      </c>
      <c r="P47" s="10">
        <f t="shared" ca="1" si="60"/>
        <v>-6978.1109764029025</v>
      </c>
      <c r="Q47" s="10">
        <f t="shared" ca="1" si="60"/>
        <v>-9261.8563868620349</v>
      </c>
      <c r="R47" s="10">
        <f t="shared" ca="1" si="60"/>
        <v>-9261.8563868620349</v>
      </c>
      <c r="S47" s="10">
        <f t="shared" ca="1" si="60"/>
        <v>-9261.8563868620331</v>
      </c>
      <c r="T47" s="10">
        <f t="shared" ca="1" si="60"/>
        <v>-9261.8563868620349</v>
      </c>
      <c r="U47" s="10">
        <f t="shared" ca="1" si="60"/>
        <v>-9261.8563868620349</v>
      </c>
      <c r="V47" s="10">
        <f t="shared" ca="1" si="60"/>
        <v>-9261.8563868620349</v>
      </c>
      <c r="W47" s="10">
        <f t="shared" ca="1" si="60"/>
        <v>-9261.8563868620331</v>
      </c>
      <c r="X47" s="10">
        <f t="shared" ca="1" si="60"/>
        <v>-9261.8563868620349</v>
      </c>
      <c r="Y47" s="10">
        <f t="shared" ca="1" si="60"/>
        <v>-9261.8563868620349</v>
      </c>
      <c r="Z47" s="10">
        <f t="shared" ca="1" si="60"/>
        <v>-29321.443809480887</v>
      </c>
      <c r="AA47" s="10">
        <f t="shared" ca="1" si="60"/>
        <v>-47520.718993786337</v>
      </c>
      <c r="AB47" s="10">
        <f t="shared" ca="1" si="60"/>
        <v>-45477.993475852301</v>
      </c>
      <c r="AC47" s="10">
        <f t="shared" ca="1" si="60"/>
        <v>-43437.372124331712</v>
      </c>
      <c r="AD47" s="10">
        <f t="shared" ca="1" si="60"/>
        <v>-41396.750772811116</v>
      </c>
      <c r="AE47" s="10">
        <f t="shared" ca="1" si="60"/>
        <v>-39358.233587703966</v>
      </c>
      <c r="AF47" s="10">
        <f t="shared" ca="1" si="60"/>
        <v>-18759.110775633599</v>
      </c>
      <c r="AG47" s="10">
        <f t="shared" si="60"/>
        <v>0</v>
      </c>
      <c r="AH47" s="10">
        <f t="shared" si="60"/>
        <v>0</v>
      </c>
      <c r="AI47" s="10">
        <f t="shared" si="60"/>
        <v>0</v>
      </c>
      <c r="AJ47" s="10">
        <f t="shared" si="60"/>
        <v>0</v>
      </c>
      <c r="AK47" s="10">
        <f t="shared" si="60"/>
        <v>0</v>
      </c>
      <c r="AL47" s="10">
        <f t="shared" si="60"/>
        <v>0</v>
      </c>
      <c r="AM47" s="10">
        <f t="shared" si="60"/>
        <v>0</v>
      </c>
      <c r="AN47" s="10">
        <f t="shared" si="60"/>
        <v>0</v>
      </c>
      <c r="AO47" s="10">
        <f t="shared" si="60"/>
        <v>0</v>
      </c>
      <c r="AP47" s="10">
        <f t="shared" si="60"/>
        <v>0</v>
      </c>
      <c r="AQ47" s="10">
        <f t="shared" si="60"/>
        <v>0</v>
      </c>
      <c r="AR47" s="10">
        <f t="shared" ref="AR47:BW47" si="61">SUMIF(Year,AR$6,SGA_PL)</f>
        <v>0</v>
      </c>
      <c r="AS47" s="10">
        <f t="shared" si="61"/>
        <v>0</v>
      </c>
      <c r="AT47" s="10">
        <f t="shared" si="61"/>
        <v>0</v>
      </c>
      <c r="AU47" s="10">
        <f t="shared" si="61"/>
        <v>0</v>
      </c>
      <c r="AV47" s="10">
        <f t="shared" si="61"/>
        <v>0</v>
      </c>
      <c r="AW47" s="10">
        <f t="shared" si="61"/>
        <v>0</v>
      </c>
      <c r="AX47" s="10">
        <f t="shared" si="61"/>
        <v>0</v>
      </c>
      <c r="AY47" s="10">
        <f t="shared" si="61"/>
        <v>0</v>
      </c>
      <c r="AZ47" s="10">
        <f t="shared" si="61"/>
        <v>0</v>
      </c>
      <c r="BA47" s="10">
        <f t="shared" si="61"/>
        <v>0</v>
      </c>
      <c r="BB47" s="10">
        <f t="shared" si="61"/>
        <v>0</v>
      </c>
      <c r="BC47" s="10">
        <f t="shared" si="61"/>
        <v>0</v>
      </c>
      <c r="BD47" s="10">
        <f t="shared" si="61"/>
        <v>0</v>
      </c>
      <c r="BE47" s="10">
        <f t="shared" si="61"/>
        <v>0</v>
      </c>
      <c r="BF47" s="10">
        <f t="shared" si="61"/>
        <v>0</v>
      </c>
      <c r="BG47" s="10">
        <f t="shared" si="61"/>
        <v>0</v>
      </c>
      <c r="BH47" s="10">
        <f t="shared" si="61"/>
        <v>0</v>
      </c>
      <c r="BI47" s="10">
        <f t="shared" si="61"/>
        <v>0</v>
      </c>
      <c r="BJ47" s="10">
        <f t="shared" si="61"/>
        <v>0</v>
      </c>
      <c r="BK47" s="10">
        <f t="shared" si="61"/>
        <v>0</v>
      </c>
      <c r="BL47" s="10">
        <f t="shared" si="61"/>
        <v>0</v>
      </c>
      <c r="BM47" s="10">
        <f t="shared" si="61"/>
        <v>0</v>
      </c>
      <c r="BN47" s="10">
        <f t="shared" si="61"/>
        <v>0</v>
      </c>
      <c r="BO47" s="10">
        <f t="shared" si="61"/>
        <v>0</v>
      </c>
      <c r="BP47" s="10">
        <f t="shared" si="61"/>
        <v>0</v>
      </c>
      <c r="BQ47" s="10">
        <f t="shared" si="61"/>
        <v>0</v>
      </c>
      <c r="BR47" s="10">
        <f t="shared" si="61"/>
        <v>0</v>
      </c>
      <c r="BS47" s="10">
        <f t="shared" si="61"/>
        <v>0</v>
      </c>
      <c r="BT47" s="10">
        <f t="shared" si="61"/>
        <v>0</v>
      </c>
      <c r="BU47" s="10">
        <f t="shared" si="61"/>
        <v>0</v>
      </c>
      <c r="BV47" s="10">
        <f t="shared" si="61"/>
        <v>0</v>
      </c>
      <c r="BW47" s="10">
        <f t="shared" si="61"/>
        <v>0</v>
      </c>
      <c r="BX47" s="10">
        <f t="shared" ref="BX47:CO47" si="62">SUMIF(Year,BX$6,SGA_PL)</f>
        <v>0</v>
      </c>
      <c r="BY47" s="10">
        <f t="shared" si="62"/>
        <v>0</v>
      </c>
      <c r="BZ47" s="10">
        <f t="shared" si="62"/>
        <v>0</v>
      </c>
      <c r="CA47" s="10">
        <f t="shared" si="62"/>
        <v>0</v>
      </c>
      <c r="CB47" s="10">
        <f t="shared" si="62"/>
        <v>0</v>
      </c>
      <c r="CC47" s="10">
        <f t="shared" si="62"/>
        <v>0</v>
      </c>
      <c r="CD47" s="10">
        <f t="shared" si="62"/>
        <v>0</v>
      </c>
      <c r="CE47" s="10">
        <f t="shared" si="62"/>
        <v>0</v>
      </c>
      <c r="CF47" s="10">
        <f t="shared" si="62"/>
        <v>0</v>
      </c>
      <c r="CG47" s="10">
        <f t="shared" si="62"/>
        <v>0</v>
      </c>
      <c r="CH47" s="10">
        <f t="shared" si="62"/>
        <v>0</v>
      </c>
      <c r="CI47" s="10">
        <f t="shared" si="62"/>
        <v>0</v>
      </c>
      <c r="CJ47" s="10">
        <f t="shared" si="62"/>
        <v>0</v>
      </c>
      <c r="CK47" s="10">
        <f t="shared" si="62"/>
        <v>0</v>
      </c>
      <c r="CL47" s="10">
        <f t="shared" si="62"/>
        <v>0</v>
      </c>
      <c r="CM47" s="10">
        <f t="shared" si="62"/>
        <v>0</v>
      </c>
      <c r="CN47" s="10">
        <f t="shared" si="62"/>
        <v>0</v>
      </c>
      <c r="CO47" s="10">
        <f t="shared" si="62"/>
        <v>0</v>
      </c>
    </row>
    <row r="48" spans="1:93" s="133" customFormat="1" thickTop="1">
      <c r="A48" s="10"/>
      <c r="B48" s="10"/>
      <c r="C48" s="49" t="s">
        <v>742</v>
      </c>
      <c r="D48" s="136"/>
      <c r="E48" s="136"/>
      <c r="F48" s="136"/>
      <c r="G48" s="137" t="str">
        <f t="shared" si="50"/>
        <v>тыс. руб.</v>
      </c>
      <c r="H48" s="136"/>
      <c r="I48" s="23">
        <f t="shared" ca="1" si="51"/>
        <v>13099701.053426955</v>
      </c>
      <c r="J48" s="136"/>
      <c r="K48" s="136"/>
      <c r="L48" s="49">
        <f ca="1">SUM(L46:L47)</f>
        <v>0</v>
      </c>
      <c r="M48" s="49">
        <f t="shared" ref="M48:BX48" ca="1" si="63">SUM(M46:M47)</f>
        <v>0</v>
      </c>
      <c r="N48" s="49">
        <f t="shared" ca="1" si="63"/>
        <v>0</v>
      </c>
      <c r="O48" s="49">
        <f t="shared" ca="1" si="63"/>
        <v>0</v>
      </c>
      <c r="P48" s="49">
        <f t="shared" ca="1" si="63"/>
        <v>489483.50899013702</v>
      </c>
      <c r="Q48" s="49">
        <f t="shared" ca="1" si="63"/>
        <v>649978.51569404267</v>
      </c>
      <c r="R48" s="49">
        <f t="shared" ca="1" si="63"/>
        <v>749489.34295234678</v>
      </c>
      <c r="S48" s="49">
        <f t="shared" ca="1" si="63"/>
        <v>842186.52796948003</v>
      </c>
      <c r="T48" s="49">
        <f t="shared" ca="1" si="63"/>
        <v>877560.15124850872</v>
      </c>
      <c r="U48" s="49">
        <f t="shared" ca="1" si="63"/>
        <v>714492.91046626726</v>
      </c>
      <c r="V48" s="49">
        <f t="shared" ca="1" si="63"/>
        <v>713414.03416928439</v>
      </c>
      <c r="W48" s="49">
        <f t="shared" ca="1" si="63"/>
        <v>743415.18904734054</v>
      </c>
      <c r="X48" s="49">
        <f t="shared" ca="1" si="63"/>
        <v>772384.3868386657</v>
      </c>
      <c r="Y48" s="49">
        <f t="shared" ca="1" si="63"/>
        <v>803650.23656768654</v>
      </c>
      <c r="Z48" s="49">
        <f t="shared" ca="1" si="63"/>
        <v>816107.13286324963</v>
      </c>
      <c r="AA48" s="49">
        <f t="shared" ca="1" si="63"/>
        <v>833004.96552292386</v>
      </c>
      <c r="AB48" s="49">
        <f t="shared" ca="1" si="63"/>
        <v>868937.55505337263</v>
      </c>
      <c r="AC48" s="49">
        <f t="shared" ca="1" si="63"/>
        <v>907554.79834606196</v>
      </c>
      <c r="AD48" s="49">
        <f t="shared" ca="1" si="63"/>
        <v>947635.10651639837</v>
      </c>
      <c r="AE48" s="49">
        <f t="shared" ca="1" si="63"/>
        <v>990732.27574402781</v>
      </c>
      <c r="AF48" s="49">
        <f t="shared" ca="1" si="63"/>
        <v>379674.4154371625</v>
      </c>
      <c r="AG48" s="49">
        <f t="shared" si="63"/>
        <v>0</v>
      </c>
      <c r="AH48" s="49">
        <f t="shared" si="63"/>
        <v>0</v>
      </c>
      <c r="AI48" s="49">
        <f t="shared" si="63"/>
        <v>0</v>
      </c>
      <c r="AJ48" s="49">
        <f t="shared" si="63"/>
        <v>0</v>
      </c>
      <c r="AK48" s="49">
        <f t="shared" si="63"/>
        <v>0</v>
      </c>
      <c r="AL48" s="49">
        <f t="shared" si="63"/>
        <v>0</v>
      </c>
      <c r="AM48" s="49">
        <f t="shared" si="63"/>
        <v>0</v>
      </c>
      <c r="AN48" s="49">
        <f t="shared" si="63"/>
        <v>0</v>
      </c>
      <c r="AO48" s="49">
        <f t="shared" si="63"/>
        <v>0</v>
      </c>
      <c r="AP48" s="49">
        <f t="shared" si="63"/>
        <v>0</v>
      </c>
      <c r="AQ48" s="49">
        <f t="shared" si="63"/>
        <v>0</v>
      </c>
      <c r="AR48" s="49">
        <f t="shared" si="63"/>
        <v>0</v>
      </c>
      <c r="AS48" s="49">
        <f t="shared" si="63"/>
        <v>0</v>
      </c>
      <c r="AT48" s="49">
        <f t="shared" si="63"/>
        <v>0</v>
      </c>
      <c r="AU48" s="49">
        <f t="shared" si="63"/>
        <v>0</v>
      </c>
      <c r="AV48" s="49">
        <f t="shared" si="63"/>
        <v>0</v>
      </c>
      <c r="AW48" s="49">
        <f t="shared" si="63"/>
        <v>0</v>
      </c>
      <c r="AX48" s="49">
        <f t="shared" si="63"/>
        <v>0</v>
      </c>
      <c r="AY48" s="49">
        <f t="shared" si="63"/>
        <v>0</v>
      </c>
      <c r="AZ48" s="49">
        <f t="shared" si="63"/>
        <v>0</v>
      </c>
      <c r="BA48" s="49">
        <f t="shared" si="63"/>
        <v>0</v>
      </c>
      <c r="BB48" s="49">
        <f t="shared" si="63"/>
        <v>0</v>
      </c>
      <c r="BC48" s="49">
        <f t="shared" si="63"/>
        <v>0</v>
      </c>
      <c r="BD48" s="49">
        <f t="shared" si="63"/>
        <v>0</v>
      </c>
      <c r="BE48" s="49">
        <f t="shared" si="63"/>
        <v>0</v>
      </c>
      <c r="BF48" s="49">
        <f t="shared" si="63"/>
        <v>0</v>
      </c>
      <c r="BG48" s="49">
        <f t="shared" si="63"/>
        <v>0</v>
      </c>
      <c r="BH48" s="49">
        <f t="shared" si="63"/>
        <v>0</v>
      </c>
      <c r="BI48" s="49">
        <f t="shared" si="63"/>
        <v>0</v>
      </c>
      <c r="BJ48" s="49">
        <f t="shared" si="63"/>
        <v>0</v>
      </c>
      <c r="BK48" s="49">
        <f t="shared" si="63"/>
        <v>0</v>
      </c>
      <c r="BL48" s="49">
        <f t="shared" si="63"/>
        <v>0</v>
      </c>
      <c r="BM48" s="49">
        <f t="shared" si="63"/>
        <v>0</v>
      </c>
      <c r="BN48" s="49">
        <f t="shared" si="63"/>
        <v>0</v>
      </c>
      <c r="BO48" s="49">
        <f t="shared" si="63"/>
        <v>0</v>
      </c>
      <c r="BP48" s="49">
        <f t="shared" si="63"/>
        <v>0</v>
      </c>
      <c r="BQ48" s="49">
        <f t="shared" si="63"/>
        <v>0</v>
      </c>
      <c r="BR48" s="49">
        <f t="shared" si="63"/>
        <v>0</v>
      </c>
      <c r="BS48" s="49">
        <f t="shared" si="63"/>
        <v>0</v>
      </c>
      <c r="BT48" s="49">
        <f t="shared" si="63"/>
        <v>0</v>
      </c>
      <c r="BU48" s="49">
        <f t="shared" si="63"/>
        <v>0</v>
      </c>
      <c r="BV48" s="49">
        <f t="shared" si="63"/>
        <v>0</v>
      </c>
      <c r="BW48" s="49">
        <f t="shared" si="63"/>
        <v>0</v>
      </c>
      <c r="BX48" s="49">
        <f t="shared" si="63"/>
        <v>0</v>
      </c>
      <c r="BY48" s="49">
        <f t="shared" ref="BY48:CO48" si="64">SUM(BY46:BY47)</f>
        <v>0</v>
      </c>
      <c r="BZ48" s="49">
        <f t="shared" si="64"/>
        <v>0</v>
      </c>
      <c r="CA48" s="49">
        <f t="shared" si="64"/>
        <v>0</v>
      </c>
      <c r="CB48" s="49">
        <f t="shared" si="64"/>
        <v>0</v>
      </c>
      <c r="CC48" s="49">
        <f t="shared" si="64"/>
        <v>0</v>
      </c>
      <c r="CD48" s="49">
        <f t="shared" si="64"/>
        <v>0</v>
      </c>
      <c r="CE48" s="49">
        <f t="shared" si="64"/>
        <v>0</v>
      </c>
      <c r="CF48" s="49">
        <f t="shared" si="64"/>
        <v>0</v>
      </c>
      <c r="CG48" s="49">
        <f t="shared" si="64"/>
        <v>0</v>
      </c>
      <c r="CH48" s="49">
        <f t="shared" si="64"/>
        <v>0</v>
      </c>
      <c r="CI48" s="49">
        <f t="shared" si="64"/>
        <v>0</v>
      </c>
      <c r="CJ48" s="49">
        <f t="shared" si="64"/>
        <v>0</v>
      </c>
      <c r="CK48" s="49">
        <f t="shared" si="64"/>
        <v>0</v>
      </c>
      <c r="CL48" s="49">
        <f t="shared" si="64"/>
        <v>0</v>
      </c>
      <c r="CM48" s="49">
        <f t="shared" si="64"/>
        <v>0</v>
      </c>
      <c r="CN48" s="49">
        <f t="shared" si="64"/>
        <v>0</v>
      </c>
      <c r="CO48" s="49">
        <f t="shared" si="64"/>
        <v>0</v>
      </c>
    </row>
    <row r="49" spans="1:93" s="133" customFormat="1" ht="14.25">
      <c r="A49" s="10"/>
      <c r="B49" s="10"/>
      <c r="C49" s="17" t="s">
        <v>138</v>
      </c>
      <c r="D49" s="10"/>
      <c r="E49" s="10"/>
      <c r="F49" s="10"/>
      <c r="G49" s="134" t="str">
        <f t="shared" si="50"/>
        <v>тыс. руб.</v>
      </c>
      <c r="H49" s="10"/>
      <c r="I49" s="23">
        <f t="shared" ca="1" si="51"/>
        <v>0</v>
      </c>
      <c r="J49" s="10"/>
      <c r="K49" s="10"/>
      <c r="L49" s="52">
        <f t="shared" ref="L49:BW49" ca="1" si="65">L50</f>
        <v>0</v>
      </c>
      <c r="M49" s="52">
        <f t="shared" ca="1" si="65"/>
        <v>0</v>
      </c>
      <c r="N49" s="52">
        <f t="shared" ca="1" si="65"/>
        <v>0</v>
      </c>
      <c r="O49" s="52">
        <f t="shared" ca="1" si="65"/>
        <v>0</v>
      </c>
      <c r="P49" s="52">
        <f t="shared" ca="1" si="65"/>
        <v>0</v>
      </c>
      <c r="Q49" s="52">
        <f t="shared" ca="1" si="65"/>
        <v>0</v>
      </c>
      <c r="R49" s="52">
        <f t="shared" ca="1" si="65"/>
        <v>0</v>
      </c>
      <c r="S49" s="52">
        <f t="shared" ca="1" si="65"/>
        <v>0</v>
      </c>
      <c r="T49" s="52">
        <f t="shared" ca="1" si="65"/>
        <v>0</v>
      </c>
      <c r="U49" s="52">
        <f t="shared" ca="1" si="65"/>
        <v>0</v>
      </c>
      <c r="V49" s="52">
        <f t="shared" ca="1" si="65"/>
        <v>0</v>
      </c>
      <c r="W49" s="52">
        <f t="shared" ca="1" si="65"/>
        <v>0</v>
      </c>
      <c r="X49" s="52">
        <f t="shared" ca="1" si="65"/>
        <v>0</v>
      </c>
      <c r="Y49" s="52">
        <f t="shared" ca="1" si="65"/>
        <v>0</v>
      </c>
      <c r="Z49" s="52">
        <f t="shared" ca="1" si="65"/>
        <v>0</v>
      </c>
      <c r="AA49" s="52">
        <f t="shared" ca="1" si="65"/>
        <v>0</v>
      </c>
      <c r="AB49" s="52">
        <f t="shared" ca="1" si="65"/>
        <v>0</v>
      </c>
      <c r="AC49" s="52">
        <f t="shared" ca="1" si="65"/>
        <v>0</v>
      </c>
      <c r="AD49" s="52">
        <f t="shared" ca="1" si="65"/>
        <v>0</v>
      </c>
      <c r="AE49" s="52">
        <f t="shared" ca="1" si="65"/>
        <v>0</v>
      </c>
      <c r="AF49" s="52">
        <f t="shared" ca="1" si="65"/>
        <v>0</v>
      </c>
      <c r="AG49" s="52">
        <f t="shared" si="65"/>
        <v>0</v>
      </c>
      <c r="AH49" s="52">
        <f t="shared" si="65"/>
        <v>0</v>
      </c>
      <c r="AI49" s="52">
        <f t="shared" si="65"/>
        <v>0</v>
      </c>
      <c r="AJ49" s="52">
        <f t="shared" si="65"/>
        <v>0</v>
      </c>
      <c r="AK49" s="52">
        <f t="shared" si="65"/>
        <v>0</v>
      </c>
      <c r="AL49" s="52">
        <f t="shared" si="65"/>
        <v>0</v>
      </c>
      <c r="AM49" s="52">
        <f t="shared" si="65"/>
        <v>0</v>
      </c>
      <c r="AN49" s="52">
        <f t="shared" si="65"/>
        <v>0</v>
      </c>
      <c r="AO49" s="52">
        <f t="shared" si="65"/>
        <v>0</v>
      </c>
      <c r="AP49" s="52">
        <f t="shared" si="65"/>
        <v>0</v>
      </c>
      <c r="AQ49" s="52">
        <f t="shared" si="65"/>
        <v>0</v>
      </c>
      <c r="AR49" s="52">
        <f t="shared" si="65"/>
        <v>0</v>
      </c>
      <c r="AS49" s="52">
        <f t="shared" si="65"/>
        <v>0</v>
      </c>
      <c r="AT49" s="52">
        <f t="shared" si="65"/>
        <v>0</v>
      </c>
      <c r="AU49" s="52">
        <f t="shared" si="65"/>
        <v>0</v>
      </c>
      <c r="AV49" s="52">
        <f t="shared" si="65"/>
        <v>0</v>
      </c>
      <c r="AW49" s="52">
        <f t="shared" si="65"/>
        <v>0</v>
      </c>
      <c r="AX49" s="52">
        <f t="shared" si="65"/>
        <v>0</v>
      </c>
      <c r="AY49" s="52">
        <f t="shared" si="65"/>
        <v>0</v>
      </c>
      <c r="AZ49" s="52">
        <f t="shared" si="65"/>
        <v>0</v>
      </c>
      <c r="BA49" s="52">
        <f t="shared" si="65"/>
        <v>0</v>
      </c>
      <c r="BB49" s="52">
        <f t="shared" si="65"/>
        <v>0</v>
      </c>
      <c r="BC49" s="52">
        <f t="shared" si="65"/>
        <v>0</v>
      </c>
      <c r="BD49" s="52">
        <f t="shared" si="65"/>
        <v>0</v>
      </c>
      <c r="BE49" s="52">
        <f t="shared" si="65"/>
        <v>0</v>
      </c>
      <c r="BF49" s="52">
        <f t="shared" si="65"/>
        <v>0</v>
      </c>
      <c r="BG49" s="52">
        <f t="shared" si="65"/>
        <v>0</v>
      </c>
      <c r="BH49" s="52">
        <f t="shared" si="65"/>
        <v>0</v>
      </c>
      <c r="BI49" s="52">
        <f t="shared" si="65"/>
        <v>0</v>
      </c>
      <c r="BJ49" s="52">
        <f t="shared" si="65"/>
        <v>0</v>
      </c>
      <c r="BK49" s="52">
        <f t="shared" si="65"/>
        <v>0</v>
      </c>
      <c r="BL49" s="52">
        <f t="shared" si="65"/>
        <v>0</v>
      </c>
      <c r="BM49" s="52">
        <f t="shared" si="65"/>
        <v>0</v>
      </c>
      <c r="BN49" s="52">
        <f t="shared" si="65"/>
        <v>0</v>
      </c>
      <c r="BO49" s="52">
        <f t="shared" si="65"/>
        <v>0</v>
      </c>
      <c r="BP49" s="52">
        <f t="shared" si="65"/>
        <v>0</v>
      </c>
      <c r="BQ49" s="52">
        <f t="shared" si="65"/>
        <v>0</v>
      </c>
      <c r="BR49" s="52">
        <f t="shared" si="65"/>
        <v>0</v>
      </c>
      <c r="BS49" s="52">
        <f t="shared" si="65"/>
        <v>0</v>
      </c>
      <c r="BT49" s="52">
        <f t="shared" si="65"/>
        <v>0</v>
      </c>
      <c r="BU49" s="52">
        <f t="shared" si="65"/>
        <v>0</v>
      </c>
      <c r="BV49" s="52">
        <f t="shared" si="65"/>
        <v>0</v>
      </c>
      <c r="BW49" s="52">
        <f t="shared" si="65"/>
        <v>0</v>
      </c>
      <c r="BX49" s="52">
        <f t="shared" ref="BX49:CO49" si="66">BX50</f>
        <v>0</v>
      </c>
      <c r="BY49" s="52">
        <f t="shared" si="66"/>
        <v>0</v>
      </c>
      <c r="BZ49" s="52">
        <f t="shared" si="66"/>
        <v>0</v>
      </c>
      <c r="CA49" s="52">
        <f t="shared" si="66"/>
        <v>0</v>
      </c>
      <c r="CB49" s="52">
        <f t="shared" si="66"/>
        <v>0</v>
      </c>
      <c r="CC49" s="52">
        <f t="shared" si="66"/>
        <v>0</v>
      </c>
      <c r="CD49" s="52">
        <f t="shared" si="66"/>
        <v>0</v>
      </c>
      <c r="CE49" s="52">
        <f t="shared" si="66"/>
        <v>0</v>
      </c>
      <c r="CF49" s="52">
        <f t="shared" si="66"/>
        <v>0</v>
      </c>
      <c r="CG49" s="52">
        <f t="shared" si="66"/>
        <v>0</v>
      </c>
      <c r="CH49" s="52">
        <f t="shared" si="66"/>
        <v>0</v>
      </c>
      <c r="CI49" s="52">
        <f t="shared" si="66"/>
        <v>0</v>
      </c>
      <c r="CJ49" s="52">
        <f t="shared" si="66"/>
        <v>0</v>
      </c>
      <c r="CK49" s="52">
        <f t="shared" si="66"/>
        <v>0</v>
      </c>
      <c r="CL49" s="52">
        <f t="shared" si="66"/>
        <v>0</v>
      </c>
      <c r="CM49" s="52">
        <f t="shared" si="66"/>
        <v>0</v>
      </c>
      <c r="CN49" s="52">
        <f t="shared" si="66"/>
        <v>0</v>
      </c>
      <c r="CO49" s="52">
        <f t="shared" si="66"/>
        <v>0</v>
      </c>
    </row>
    <row r="50" spans="1:93" s="133" customFormat="1" ht="14.25">
      <c r="A50" s="10"/>
      <c r="B50" s="10"/>
      <c r="C50" s="138" t="s">
        <v>56</v>
      </c>
      <c r="D50" s="10"/>
      <c r="E50" s="10"/>
      <c r="F50" s="10"/>
      <c r="G50" s="134" t="str">
        <f t="shared" si="50"/>
        <v>тыс. руб.</v>
      </c>
      <c r="H50" s="10"/>
      <c r="I50" s="23">
        <f t="shared" ca="1" si="51"/>
        <v>0</v>
      </c>
      <c r="J50" s="10"/>
      <c r="K50" s="10"/>
      <c r="L50" s="10">
        <f ca="1">SUMIF(Year,L$6,Отчетность!$L50:$CO50)</f>
        <v>0</v>
      </c>
      <c r="M50" s="10">
        <f ca="1">SUMIF(Year,M$6,Отчетность!$L50:$CO50)</f>
        <v>0</v>
      </c>
      <c r="N50" s="10">
        <f ca="1">SUMIF(Year,N$6,Отчетность!$L50:$CO50)</f>
        <v>0</v>
      </c>
      <c r="O50" s="10">
        <f ca="1">SUMIF(Year,O$6,Отчетность!$L50:$CO50)</f>
        <v>0</v>
      </c>
      <c r="P50" s="10">
        <f ca="1">SUMIF(Year,P$6,Отчетность!$L50:$CO50)</f>
        <v>0</v>
      </c>
      <c r="Q50" s="10">
        <f ca="1">SUMIF(Year,Q$6,Отчетность!$L50:$CO50)</f>
        <v>0</v>
      </c>
      <c r="R50" s="10">
        <f ca="1">SUMIF(Year,R$6,Отчетность!$L50:$CO50)</f>
        <v>0</v>
      </c>
      <c r="S50" s="10">
        <f ca="1">SUMIF(Year,S$6,Отчетность!$L50:$CO50)</f>
        <v>0</v>
      </c>
      <c r="T50" s="10">
        <f ca="1">SUMIF(Year,T$6,Отчетность!$L50:$CO50)</f>
        <v>0</v>
      </c>
      <c r="U50" s="10">
        <f ca="1">SUMIF(Year,U$6,Отчетность!$L50:$CO50)</f>
        <v>0</v>
      </c>
      <c r="V50" s="10">
        <f ca="1">SUMIF(Year,V$6,Отчетность!$L50:$CO50)</f>
        <v>0</v>
      </c>
      <c r="W50" s="10">
        <f ca="1">SUMIF(Year,W$6,Отчетность!$L50:$CO50)</f>
        <v>0</v>
      </c>
      <c r="X50" s="10">
        <f ca="1">SUMIF(Year,X$6,Отчетность!$L50:$CO50)</f>
        <v>0</v>
      </c>
      <c r="Y50" s="10">
        <f ca="1">SUMIF(Year,Y$6,Отчетность!$L50:$CO50)</f>
        <v>0</v>
      </c>
      <c r="Z50" s="10">
        <f ca="1">SUMIF(Year,Z$6,Отчетность!$L50:$CO50)</f>
        <v>0</v>
      </c>
      <c r="AA50" s="10">
        <f ca="1">SUMIF(Year,AA$6,Отчетность!$L50:$CO50)</f>
        <v>0</v>
      </c>
      <c r="AB50" s="10">
        <f ca="1">SUMIF(Year,AB$6,Отчетность!$L50:$CO50)</f>
        <v>0</v>
      </c>
      <c r="AC50" s="10">
        <f ca="1">SUMIF(Year,AC$6,Отчетность!$L50:$CO50)</f>
        <v>0</v>
      </c>
      <c r="AD50" s="10">
        <f ca="1">SUMIF(Year,AD$6,Отчетность!$L50:$CO50)</f>
        <v>0</v>
      </c>
      <c r="AE50" s="10">
        <f ca="1">SUMIF(Year,AE$6,Отчетность!$L50:$CO50)</f>
        <v>0</v>
      </c>
      <c r="AF50" s="10">
        <f ca="1">SUMIF(Year,AF$6,Отчетность!$L50:$CO50)</f>
        <v>0</v>
      </c>
      <c r="AG50" s="10">
        <f>SUMIF(Year,AG$6,Отчетность!$L50:$CO50)</f>
        <v>0</v>
      </c>
      <c r="AH50" s="10">
        <f>SUMIF(Year,AH$6,Отчетность!$L50:$CO50)</f>
        <v>0</v>
      </c>
      <c r="AI50" s="10">
        <f>SUMIF(Year,AI$6,Отчетность!$L50:$CO50)</f>
        <v>0</v>
      </c>
      <c r="AJ50" s="10">
        <f>SUMIF(Year,AJ$6,Отчетность!$L50:$CO50)</f>
        <v>0</v>
      </c>
      <c r="AK50" s="10">
        <f>SUMIF(Year,AK$6,Отчетность!$L50:$CO50)</f>
        <v>0</v>
      </c>
      <c r="AL50" s="10">
        <f>SUMIF(Year,AL$6,Отчетность!$L50:$CO50)</f>
        <v>0</v>
      </c>
      <c r="AM50" s="10">
        <f>SUMIF(Year,AM$6,Отчетность!$L50:$CO50)</f>
        <v>0</v>
      </c>
      <c r="AN50" s="10">
        <f>SUMIF(Year,AN$6,Отчетность!$L50:$CO50)</f>
        <v>0</v>
      </c>
      <c r="AO50" s="10">
        <f>SUMIF(Year,AO$6,Отчетность!$L50:$CO50)</f>
        <v>0</v>
      </c>
      <c r="AP50" s="10">
        <f>SUMIF(Year,AP$6,Отчетность!$L50:$CO50)</f>
        <v>0</v>
      </c>
      <c r="AQ50" s="10">
        <f>SUMIF(Year,AQ$6,Отчетность!$L50:$CO50)</f>
        <v>0</v>
      </c>
      <c r="AR50" s="10">
        <f>SUMIF(Year,AR$6,Отчетность!$L50:$CO50)</f>
        <v>0</v>
      </c>
      <c r="AS50" s="10">
        <f>SUMIF(Year,AS$6,Отчетность!$L50:$CO50)</f>
        <v>0</v>
      </c>
      <c r="AT50" s="10">
        <f>SUMIF(Year,AT$6,Отчетность!$L50:$CO50)</f>
        <v>0</v>
      </c>
      <c r="AU50" s="10">
        <f>SUMIF(Year,AU$6,Отчетность!$L50:$CO50)</f>
        <v>0</v>
      </c>
      <c r="AV50" s="10">
        <f>SUMIF(Year,AV$6,Отчетность!$L50:$CO50)</f>
        <v>0</v>
      </c>
      <c r="AW50" s="10">
        <f>SUMIF(Year,AW$6,Отчетность!$L50:$CO50)</f>
        <v>0</v>
      </c>
      <c r="AX50" s="10">
        <f>SUMIF(Year,AX$6,Отчетность!$L50:$CO50)</f>
        <v>0</v>
      </c>
      <c r="AY50" s="10">
        <f>SUMIF(Year,AY$6,Отчетность!$L50:$CO50)</f>
        <v>0</v>
      </c>
      <c r="AZ50" s="10">
        <f>SUMIF(Year,AZ$6,Отчетность!$L50:$CO50)</f>
        <v>0</v>
      </c>
      <c r="BA50" s="10">
        <f>SUMIF(Year,BA$6,Отчетность!$L50:$CO50)</f>
        <v>0</v>
      </c>
      <c r="BB50" s="10">
        <f>SUMIF(Year,BB$6,Отчетность!$L50:$CO50)</f>
        <v>0</v>
      </c>
      <c r="BC50" s="10">
        <f>SUMIF(Year,BC$6,Отчетность!$L50:$CO50)</f>
        <v>0</v>
      </c>
      <c r="BD50" s="10">
        <f>SUMIF(Year,BD$6,Отчетность!$L50:$CO50)</f>
        <v>0</v>
      </c>
      <c r="BE50" s="10">
        <f>SUMIF(Year,BE$6,Отчетность!$L50:$CO50)</f>
        <v>0</v>
      </c>
      <c r="BF50" s="10">
        <f>SUMIF(Year,BF$6,Отчетность!$L50:$CO50)</f>
        <v>0</v>
      </c>
      <c r="BG50" s="10">
        <f>SUMIF(Year,BG$6,Отчетность!$L50:$CO50)</f>
        <v>0</v>
      </c>
      <c r="BH50" s="10">
        <f>SUMIF(Year,BH$6,Отчетность!$L50:$CO50)</f>
        <v>0</v>
      </c>
      <c r="BI50" s="10">
        <f>SUMIF(Year,BI$6,Отчетность!$L50:$CO50)</f>
        <v>0</v>
      </c>
      <c r="BJ50" s="10">
        <f>SUMIF(Year,BJ$6,Отчетность!$L50:$CO50)</f>
        <v>0</v>
      </c>
      <c r="BK50" s="10">
        <f>SUMIF(Year,BK$6,Отчетность!$L50:$CO50)</f>
        <v>0</v>
      </c>
      <c r="BL50" s="10">
        <f>SUMIF(Year,BL$6,Отчетность!$L50:$CO50)</f>
        <v>0</v>
      </c>
      <c r="BM50" s="10">
        <f>SUMIF(Year,BM$6,Отчетность!$L50:$CO50)</f>
        <v>0</v>
      </c>
      <c r="BN50" s="10">
        <f>SUMIF(Year,BN$6,Отчетность!$L50:$CO50)</f>
        <v>0</v>
      </c>
      <c r="BO50" s="10">
        <f>SUMIF(Year,BO$6,Отчетность!$L50:$CO50)</f>
        <v>0</v>
      </c>
      <c r="BP50" s="10">
        <f>SUMIF(Year,BP$6,Отчетность!$L50:$CO50)</f>
        <v>0</v>
      </c>
      <c r="BQ50" s="10">
        <f>SUMIF(Year,BQ$6,Отчетность!$L50:$CO50)</f>
        <v>0</v>
      </c>
      <c r="BR50" s="10">
        <f>SUMIF(Year,BR$6,Отчетность!$L50:$CO50)</f>
        <v>0</v>
      </c>
      <c r="BS50" s="10">
        <f>SUMIF(Year,BS$6,Отчетность!$L50:$CO50)</f>
        <v>0</v>
      </c>
      <c r="BT50" s="10">
        <f>SUMIF(Year,BT$6,Отчетность!$L50:$CO50)</f>
        <v>0</v>
      </c>
      <c r="BU50" s="10">
        <f>SUMIF(Year,BU$6,Отчетность!$L50:$CO50)</f>
        <v>0</v>
      </c>
      <c r="BV50" s="10">
        <f>SUMIF(Year,BV$6,Отчетность!$L50:$CO50)</f>
        <v>0</v>
      </c>
      <c r="BW50" s="10">
        <f>SUMIF(Year,BW$6,Отчетность!$L50:$CO50)</f>
        <v>0</v>
      </c>
      <c r="BX50" s="10">
        <f>SUMIF(Year,BX$6,Отчетность!$L50:$CO50)</f>
        <v>0</v>
      </c>
      <c r="BY50" s="10">
        <f>SUMIF(Year,BY$6,Отчетность!$L50:$CO50)</f>
        <v>0</v>
      </c>
      <c r="BZ50" s="10">
        <f>SUMIF(Year,BZ$6,Отчетность!$L50:$CO50)</f>
        <v>0</v>
      </c>
      <c r="CA50" s="10">
        <f>SUMIF(Year,CA$6,Отчетность!$L50:$CO50)</f>
        <v>0</v>
      </c>
      <c r="CB50" s="10">
        <f>SUMIF(Year,CB$6,Отчетность!$L50:$CO50)</f>
        <v>0</v>
      </c>
      <c r="CC50" s="10">
        <f>SUMIF(Year,CC$6,Отчетность!$L50:$CO50)</f>
        <v>0</v>
      </c>
      <c r="CD50" s="10">
        <f>SUMIF(Year,CD$6,Отчетность!$L50:$CO50)</f>
        <v>0</v>
      </c>
      <c r="CE50" s="10">
        <f>SUMIF(Year,CE$6,Отчетность!$L50:$CO50)</f>
        <v>0</v>
      </c>
      <c r="CF50" s="10">
        <f>SUMIF(Year,CF$6,Отчетность!$L50:$CO50)</f>
        <v>0</v>
      </c>
      <c r="CG50" s="10">
        <f>SUMIF(Year,CG$6,Отчетность!$L50:$CO50)</f>
        <v>0</v>
      </c>
      <c r="CH50" s="10">
        <f>SUMIF(Year,CH$6,Отчетность!$L50:$CO50)</f>
        <v>0</v>
      </c>
      <c r="CI50" s="10">
        <f>SUMIF(Year,CI$6,Отчетность!$L50:$CO50)</f>
        <v>0</v>
      </c>
      <c r="CJ50" s="10">
        <f>SUMIF(Year,CJ$6,Отчетность!$L50:$CO50)</f>
        <v>0</v>
      </c>
      <c r="CK50" s="10">
        <f>SUMIF(Year,CK$6,Отчетность!$L50:$CO50)</f>
        <v>0</v>
      </c>
      <c r="CL50" s="10">
        <f>SUMIF(Year,CL$6,Отчетность!$L50:$CO50)</f>
        <v>0</v>
      </c>
      <c r="CM50" s="10">
        <f>SUMIF(Year,CM$6,Отчетность!$L50:$CO50)</f>
        <v>0</v>
      </c>
      <c r="CN50" s="10">
        <f>SUMIF(Year,CN$6,Отчетность!$L50:$CO50)</f>
        <v>0</v>
      </c>
      <c r="CO50" s="10">
        <f>SUMIF(Year,CO$6,Отчетность!$L50:$CO50)</f>
        <v>0</v>
      </c>
    </row>
    <row r="51" spans="1:93" s="133" customFormat="1" ht="14.25">
      <c r="A51" s="10"/>
      <c r="B51" s="10"/>
      <c r="C51" s="17" t="s">
        <v>299</v>
      </c>
      <c r="D51" s="10"/>
      <c r="E51" s="10"/>
      <c r="F51" s="10"/>
      <c r="G51" s="134" t="str">
        <f t="shared" si="50"/>
        <v>тыс. руб.</v>
      </c>
      <c r="H51" s="10"/>
      <c r="I51" s="23">
        <f t="shared" ca="1" si="51"/>
        <v>-2170284.7730902573</v>
      </c>
      <c r="J51" s="10"/>
      <c r="K51" s="10"/>
      <c r="L51" s="10">
        <f t="shared" ref="L51:AQ51" ca="1" si="67">SUMIF(Year,L$6,Depreciation_PL)</f>
        <v>0</v>
      </c>
      <c r="M51" s="10">
        <f t="shared" ca="1" si="67"/>
        <v>0</v>
      </c>
      <c r="N51" s="10">
        <f t="shared" ca="1" si="67"/>
        <v>0</v>
      </c>
      <c r="O51" s="10">
        <f t="shared" ca="1" si="67"/>
        <v>0</v>
      </c>
      <c r="P51" s="10">
        <f t="shared" ca="1" si="67"/>
        <v>-140603.16967412407</v>
      </c>
      <c r="Q51" s="10">
        <f t="shared" ca="1" si="67"/>
        <v>-187470.8928988321</v>
      </c>
      <c r="R51" s="10">
        <f t="shared" ca="1" si="67"/>
        <v>-187470.8928988321</v>
      </c>
      <c r="S51" s="10">
        <f t="shared" ca="1" si="67"/>
        <v>-187470.8928988321</v>
      </c>
      <c r="T51" s="10">
        <f t="shared" ca="1" si="67"/>
        <v>-187470.8928988321</v>
      </c>
      <c r="U51" s="10">
        <f t="shared" ca="1" si="67"/>
        <v>-187470.8928988321</v>
      </c>
      <c r="V51" s="10">
        <f t="shared" ca="1" si="67"/>
        <v>-187470.8928988321</v>
      </c>
      <c r="W51" s="10">
        <f t="shared" ca="1" si="67"/>
        <v>-116434.36020836473</v>
      </c>
      <c r="X51" s="10">
        <f t="shared" ca="1" si="67"/>
        <v>-92755.515978208961</v>
      </c>
      <c r="Y51" s="10">
        <f t="shared" ca="1" si="67"/>
        <v>-92755.515978208961</v>
      </c>
      <c r="Z51" s="10">
        <f t="shared" ca="1" si="67"/>
        <v>-92755.515978208961</v>
      </c>
      <c r="AA51" s="10">
        <f t="shared" ca="1" si="67"/>
        <v>-92755.515978208961</v>
      </c>
      <c r="AB51" s="10">
        <f t="shared" ca="1" si="67"/>
        <v>-92755.515978208961</v>
      </c>
      <c r="AC51" s="10">
        <f t="shared" ca="1" si="67"/>
        <v>-92755.515978208961</v>
      </c>
      <c r="AD51" s="10">
        <f t="shared" ca="1" si="67"/>
        <v>-92755.515978208961</v>
      </c>
      <c r="AE51" s="10">
        <f t="shared" ca="1" si="67"/>
        <v>-92755.515978208961</v>
      </c>
      <c r="AF51" s="10">
        <f t="shared" ca="1" si="67"/>
        <v>-46377.757989104481</v>
      </c>
      <c r="AG51" s="10">
        <f t="shared" si="67"/>
        <v>0</v>
      </c>
      <c r="AH51" s="10">
        <f t="shared" si="67"/>
        <v>0</v>
      </c>
      <c r="AI51" s="10">
        <f t="shared" si="67"/>
        <v>0</v>
      </c>
      <c r="AJ51" s="10">
        <f t="shared" si="67"/>
        <v>0</v>
      </c>
      <c r="AK51" s="10">
        <f t="shared" si="67"/>
        <v>0</v>
      </c>
      <c r="AL51" s="10">
        <f t="shared" si="67"/>
        <v>0</v>
      </c>
      <c r="AM51" s="10">
        <f t="shared" si="67"/>
        <v>0</v>
      </c>
      <c r="AN51" s="10">
        <f t="shared" si="67"/>
        <v>0</v>
      </c>
      <c r="AO51" s="10">
        <f t="shared" si="67"/>
        <v>0</v>
      </c>
      <c r="AP51" s="10">
        <f t="shared" si="67"/>
        <v>0</v>
      </c>
      <c r="AQ51" s="10">
        <f t="shared" si="67"/>
        <v>0</v>
      </c>
      <c r="AR51" s="10">
        <f t="shared" ref="AR51:BW51" si="68">SUMIF(Year,AR$6,Depreciation_PL)</f>
        <v>0</v>
      </c>
      <c r="AS51" s="10">
        <f t="shared" si="68"/>
        <v>0</v>
      </c>
      <c r="AT51" s="10">
        <f t="shared" si="68"/>
        <v>0</v>
      </c>
      <c r="AU51" s="10">
        <f t="shared" si="68"/>
        <v>0</v>
      </c>
      <c r="AV51" s="10">
        <f t="shared" si="68"/>
        <v>0</v>
      </c>
      <c r="AW51" s="10">
        <f t="shared" si="68"/>
        <v>0</v>
      </c>
      <c r="AX51" s="10">
        <f t="shared" si="68"/>
        <v>0</v>
      </c>
      <c r="AY51" s="10">
        <f t="shared" si="68"/>
        <v>0</v>
      </c>
      <c r="AZ51" s="10">
        <f t="shared" si="68"/>
        <v>0</v>
      </c>
      <c r="BA51" s="10">
        <f t="shared" si="68"/>
        <v>0</v>
      </c>
      <c r="BB51" s="10">
        <f t="shared" si="68"/>
        <v>0</v>
      </c>
      <c r="BC51" s="10">
        <f t="shared" si="68"/>
        <v>0</v>
      </c>
      <c r="BD51" s="10">
        <f t="shared" si="68"/>
        <v>0</v>
      </c>
      <c r="BE51" s="10">
        <f t="shared" si="68"/>
        <v>0</v>
      </c>
      <c r="BF51" s="10">
        <f t="shared" si="68"/>
        <v>0</v>
      </c>
      <c r="BG51" s="10">
        <f t="shared" si="68"/>
        <v>0</v>
      </c>
      <c r="BH51" s="10">
        <f t="shared" si="68"/>
        <v>0</v>
      </c>
      <c r="BI51" s="10">
        <f t="shared" si="68"/>
        <v>0</v>
      </c>
      <c r="BJ51" s="10">
        <f t="shared" si="68"/>
        <v>0</v>
      </c>
      <c r="BK51" s="10">
        <f t="shared" si="68"/>
        <v>0</v>
      </c>
      <c r="BL51" s="10">
        <f t="shared" si="68"/>
        <v>0</v>
      </c>
      <c r="BM51" s="10">
        <f t="shared" si="68"/>
        <v>0</v>
      </c>
      <c r="BN51" s="10">
        <f t="shared" si="68"/>
        <v>0</v>
      </c>
      <c r="BO51" s="10">
        <f t="shared" si="68"/>
        <v>0</v>
      </c>
      <c r="BP51" s="10">
        <f t="shared" si="68"/>
        <v>0</v>
      </c>
      <c r="BQ51" s="10">
        <f t="shared" si="68"/>
        <v>0</v>
      </c>
      <c r="BR51" s="10">
        <f t="shared" si="68"/>
        <v>0</v>
      </c>
      <c r="BS51" s="10">
        <f t="shared" si="68"/>
        <v>0</v>
      </c>
      <c r="BT51" s="10">
        <f t="shared" si="68"/>
        <v>0</v>
      </c>
      <c r="BU51" s="10">
        <f t="shared" si="68"/>
        <v>0</v>
      </c>
      <c r="BV51" s="10">
        <f t="shared" si="68"/>
        <v>0</v>
      </c>
      <c r="BW51" s="10">
        <f t="shared" si="68"/>
        <v>0</v>
      </c>
      <c r="BX51" s="10">
        <f t="shared" ref="BX51:CO51" si="69">SUMIF(Year,BX$6,Depreciation_PL)</f>
        <v>0</v>
      </c>
      <c r="BY51" s="10">
        <f t="shared" si="69"/>
        <v>0</v>
      </c>
      <c r="BZ51" s="10">
        <f t="shared" si="69"/>
        <v>0</v>
      </c>
      <c r="CA51" s="10">
        <f t="shared" si="69"/>
        <v>0</v>
      </c>
      <c r="CB51" s="10">
        <f t="shared" si="69"/>
        <v>0</v>
      </c>
      <c r="CC51" s="10">
        <f t="shared" si="69"/>
        <v>0</v>
      </c>
      <c r="CD51" s="10">
        <f t="shared" si="69"/>
        <v>0</v>
      </c>
      <c r="CE51" s="10">
        <f t="shared" si="69"/>
        <v>0</v>
      </c>
      <c r="CF51" s="10">
        <f t="shared" si="69"/>
        <v>0</v>
      </c>
      <c r="CG51" s="10">
        <f t="shared" si="69"/>
        <v>0</v>
      </c>
      <c r="CH51" s="10">
        <f t="shared" si="69"/>
        <v>0</v>
      </c>
      <c r="CI51" s="10">
        <f t="shared" si="69"/>
        <v>0</v>
      </c>
      <c r="CJ51" s="10">
        <f t="shared" si="69"/>
        <v>0</v>
      </c>
      <c r="CK51" s="10">
        <f t="shared" si="69"/>
        <v>0</v>
      </c>
      <c r="CL51" s="10">
        <f t="shared" si="69"/>
        <v>0</v>
      </c>
      <c r="CM51" s="10">
        <f t="shared" si="69"/>
        <v>0</v>
      </c>
      <c r="CN51" s="10">
        <f t="shared" si="69"/>
        <v>0</v>
      </c>
      <c r="CO51" s="10">
        <f t="shared" si="69"/>
        <v>0</v>
      </c>
    </row>
    <row r="52" spans="1:93" s="133" customFormat="1" ht="14.25">
      <c r="A52" s="10"/>
      <c r="B52" s="10"/>
      <c r="C52" s="17" t="s">
        <v>137</v>
      </c>
      <c r="D52" s="10"/>
      <c r="E52" s="10"/>
      <c r="F52" s="10"/>
      <c r="G52" s="134" t="str">
        <f t="shared" si="50"/>
        <v>тыс. руб.</v>
      </c>
      <c r="H52" s="10"/>
      <c r="I52" s="23">
        <f t="shared" ref="I52:I59" ca="1" si="70">SUM(L52:CQ52)</f>
        <v>-755727.67017742305</v>
      </c>
      <c r="J52" s="10"/>
      <c r="K52" s="10"/>
      <c r="L52" s="52">
        <f t="shared" ref="L52:BW52" ca="1" si="71">SUM(L53:L54)</f>
        <v>0</v>
      </c>
      <c r="M52" s="52">
        <f t="shared" ca="1" si="71"/>
        <v>0</v>
      </c>
      <c r="N52" s="52">
        <f t="shared" ca="1" si="71"/>
        <v>0</v>
      </c>
      <c r="O52" s="52">
        <f t="shared" ca="1" si="71"/>
        <v>0</v>
      </c>
      <c r="P52" s="52">
        <f t="shared" ca="1" si="71"/>
        <v>-172663.16661466638</v>
      </c>
      <c r="Q52" s="52">
        <f t="shared" ca="1" si="71"/>
        <v>-194908.40964138194</v>
      </c>
      <c r="R52" s="52">
        <f t="shared" ca="1" si="71"/>
        <v>-166593.27290298612</v>
      </c>
      <c r="S52" s="52">
        <f t="shared" ca="1" si="71"/>
        <v>-129429.31541659405</v>
      </c>
      <c r="T52" s="52">
        <f t="shared" ca="1" si="71"/>
        <v>-83190.423866103098</v>
      </c>
      <c r="U52" s="52">
        <f t="shared" ca="1" si="71"/>
        <v>-8943.0817356914995</v>
      </c>
      <c r="V52" s="52">
        <f t="shared" ca="1" si="71"/>
        <v>0</v>
      </c>
      <c r="W52" s="52">
        <f t="shared" ca="1" si="71"/>
        <v>0</v>
      </c>
      <c r="X52" s="52">
        <f t="shared" ca="1" si="71"/>
        <v>0</v>
      </c>
      <c r="Y52" s="52">
        <f t="shared" ca="1" si="71"/>
        <v>0</v>
      </c>
      <c r="Z52" s="52">
        <f t="shared" ca="1" si="71"/>
        <v>0</v>
      </c>
      <c r="AA52" s="52">
        <f t="shared" ca="1" si="71"/>
        <v>0</v>
      </c>
      <c r="AB52" s="52">
        <f t="shared" ca="1" si="71"/>
        <v>0</v>
      </c>
      <c r="AC52" s="52">
        <f t="shared" ca="1" si="71"/>
        <v>0</v>
      </c>
      <c r="AD52" s="52">
        <f t="shared" ca="1" si="71"/>
        <v>0</v>
      </c>
      <c r="AE52" s="52">
        <f t="shared" ca="1" si="71"/>
        <v>0</v>
      </c>
      <c r="AF52" s="52">
        <f t="shared" ca="1" si="71"/>
        <v>0</v>
      </c>
      <c r="AG52" s="52">
        <f t="shared" si="71"/>
        <v>0</v>
      </c>
      <c r="AH52" s="52">
        <f t="shared" si="71"/>
        <v>0</v>
      </c>
      <c r="AI52" s="52">
        <f t="shared" si="71"/>
        <v>0</v>
      </c>
      <c r="AJ52" s="52">
        <f t="shared" si="71"/>
        <v>0</v>
      </c>
      <c r="AK52" s="52">
        <f t="shared" si="71"/>
        <v>0</v>
      </c>
      <c r="AL52" s="52">
        <f t="shared" si="71"/>
        <v>0</v>
      </c>
      <c r="AM52" s="52">
        <f t="shared" si="71"/>
        <v>0</v>
      </c>
      <c r="AN52" s="52">
        <f t="shared" si="71"/>
        <v>0</v>
      </c>
      <c r="AO52" s="52">
        <f t="shared" si="71"/>
        <v>0</v>
      </c>
      <c r="AP52" s="52">
        <f t="shared" si="71"/>
        <v>0</v>
      </c>
      <c r="AQ52" s="52">
        <f t="shared" si="71"/>
        <v>0</v>
      </c>
      <c r="AR52" s="52">
        <f t="shared" si="71"/>
        <v>0</v>
      </c>
      <c r="AS52" s="52">
        <f t="shared" si="71"/>
        <v>0</v>
      </c>
      <c r="AT52" s="52">
        <f t="shared" si="71"/>
        <v>0</v>
      </c>
      <c r="AU52" s="52">
        <f t="shared" si="71"/>
        <v>0</v>
      </c>
      <c r="AV52" s="52">
        <f t="shared" si="71"/>
        <v>0</v>
      </c>
      <c r="AW52" s="52">
        <f t="shared" si="71"/>
        <v>0</v>
      </c>
      <c r="AX52" s="52">
        <f t="shared" si="71"/>
        <v>0</v>
      </c>
      <c r="AY52" s="52">
        <f t="shared" si="71"/>
        <v>0</v>
      </c>
      <c r="AZ52" s="52">
        <f t="shared" si="71"/>
        <v>0</v>
      </c>
      <c r="BA52" s="52">
        <f t="shared" si="71"/>
        <v>0</v>
      </c>
      <c r="BB52" s="52">
        <f t="shared" si="71"/>
        <v>0</v>
      </c>
      <c r="BC52" s="52">
        <f t="shared" si="71"/>
        <v>0</v>
      </c>
      <c r="BD52" s="52">
        <f t="shared" si="71"/>
        <v>0</v>
      </c>
      <c r="BE52" s="52">
        <f t="shared" si="71"/>
        <v>0</v>
      </c>
      <c r="BF52" s="52">
        <f t="shared" si="71"/>
        <v>0</v>
      </c>
      <c r="BG52" s="52">
        <f t="shared" si="71"/>
        <v>0</v>
      </c>
      <c r="BH52" s="52">
        <f t="shared" si="71"/>
        <v>0</v>
      </c>
      <c r="BI52" s="52">
        <f t="shared" si="71"/>
        <v>0</v>
      </c>
      <c r="BJ52" s="52">
        <f t="shared" si="71"/>
        <v>0</v>
      </c>
      <c r="BK52" s="52">
        <f t="shared" si="71"/>
        <v>0</v>
      </c>
      <c r="BL52" s="52">
        <f t="shared" si="71"/>
        <v>0</v>
      </c>
      <c r="BM52" s="52">
        <f t="shared" si="71"/>
        <v>0</v>
      </c>
      <c r="BN52" s="52">
        <f t="shared" si="71"/>
        <v>0</v>
      </c>
      <c r="BO52" s="52">
        <f t="shared" si="71"/>
        <v>0</v>
      </c>
      <c r="BP52" s="52">
        <f t="shared" si="71"/>
        <v>0</v>
      </c>
      <c r="BQ52" s="52">
        <f t="shared" si="71"/>
        <v>0</v>
      </c>
      <c r="BR52" s="52">
        <f t="shared" si="71"/>
        <v>0</v>
      </c>
      <c r="BS52" s="52">
        <f t="shared" si="71"/>
        <v>0</v>
      </c>
      <c r="BT52" s="52">
        <f t="shared" si="71"/>
        <v>0</v>
      </c>
      <c r="BU52" s="52">
        <f t="shared" si="71"/>
        <v>0</v>
      </c>
      <c r="BV52" s="52">
        <f t="shared" si="71"/>
        <v>0</v>
      </c>
      <c r="BW52" s="52">
        <f t="shared" si="71"/>
        <v>0</v>
      </c>
      <c r="BX52" s="52">
        <f t="shared" ref="BX52:CO52" si="72">SUM(BX53:BX54)</f>
        <v>0</v>
      </c>
      <c r="BY52" s="52">
        <f t="shared" si="72"/>
        <v>0</v>
      </c>
      <c r="BZ52" s="52">
        <f t="shared" si="72"/>
        <v>0</v>
      </c>
      <c r="CA52" s="52">
        <f t="shared" si="72"/>
        <v>0</v>
      </c>
      <c r="CB52" s="52">
        <f t="shared" si="72"/>
        <v>0</v>
      </c>
      <c r="CC52" s="52">
        <f t="shared" si="72"/>
        <v>0</v>
      </c>
      <c r="CD52" s="52">
        <f t="shared" si="72"/>
        <v>0</v>
      </c>
      <c r="CE52" s="52">
        <f t="shared" si="72"/>
        <v>0</v>
      </c>
      <c r="CF52" s="52">
        <f t="shared" si="72"/>
        <v>0</v>
      </c>
      <c r="CG52" s="52">
        <f t="shared" si="72"/>
        <v>0</v>
      </c>
      <c r="CH52" s="52">
        <f t="shared" si="72"/>
        <v>0</v>
      </c>
      <c r="CI52" s="52">
        <f t="shared" si="72"/>
        <v>0</v>
      </c>
      <c r="CJ52" s="52">
        <f t="shared" si="72"/>
        <v>0</v>
      </c>
      <c r="CK52" s="52">
        <f t="shared" si="72"/>
        <v>0</v>
      </c>
      <c r="CL52" s="52">
        <f t="shared" si="72"/>
        <v>0</v>
      </c>
      <c r="CM52" s="52">
        <f t="shared" si="72"/>
        <v>0</v>
      </c>
      <c r="CN52" s="52">
        <f t="shared" si="72"/>
        <v>0</v>
      </c>
      <c r="CO52" s="52">
        <f t="shared" si="72"/>
        <v>0</v>
      </c>
    </row>
    <row r="53" spans="1:93" s="133" customFormat="1" ht="14.25">
      <c r="A53" s="10"/>
      <c r="B53" s="10"/>
      <c r="C53" s="138" t="s">
        <v>540</v>
      </c>
      <c r="D53" s="10"/>
      <c r="E53" s="10"/>
      <c r="F53" s="10"/>
      <c r="G53" s="134" t="str">
        <f t="shared" si="50"/>
        <v>тыс. руб.</v>
      </c>
      <c r="H53" s="10"/>
      <c r="I53" s="23">
        <f t="shared" ca="1" si="70"/>
        <v>-348972.14176435355</v>
      </c>
      <c r="J53" s="10"/>
      <c r="K53" s="10"/>
      <c r="L53" s="10">
        <f t="shared" ref="L53:AQ53" ca="1" si="73">SUMIF(Year,L$6,Debt_Interest_PL)</f>
        <v>0</v>
      </c>
      <c r="M53" s="10">
        <f t="shared" ca="1" si="73"/>
        <v>0</v>
      </c>
      <c r="N53" s="10">
        <f t="shared" ca="1" si="73"/>
        <v>0</v>
      </c>
      <c r="O53" s="10">
        <f t="shared" ca="1" si="73"/>
        <v>0</v>
      </c>
      <c r="P53" s="10">
        <f t="shared" ca="1" si="73"/>
        <v>-101049.64404363494</v>
      </c>
      <c r="Q53" s="10">
        <f t="shared" ca="1" si="73"/>
        <v>-105706.66083977962</v>
      </c>
      <c r="R53" s="10">
        <f t="shared" ca="1" si="73"/>
        <v>-80398.412796553239</v>
      </c>
      <c r="S53" s="10">
        <f t="shared" ca="1" si="73"/>
        <v>-49000.854989030166</v>
      </c>
      <c r="T53" s="10">
        <f t="shared" ca="1" si="73"/>
        <v>-12816.569095355595</v>
      </c>
      <c r="U53" s="10">
        <f t="shared" ca="1" si="73"/>
        <v>0</v>
      </c>
      <c r="V53" s="10">
        <f t="shared" ca="1" si="73"/>
        <v>0</v>
      </c>
      <c r="W53" s="10">
        <f t="shared" ca="1" si="73"/>
        <v>0</v>
      </c>
      <c r="X53" s="10">
        <f t="shared" ca="1" si="73"/>
        <v>0</v>
      </c>
      <c r="Y53" s="10">
        <f t="shared" ca="1" si="73"/>
        <v>0</v>
      </c>
      <c r="Z53" s="10">
        <f t="shared" ca="1" si="73"/>
        <v>0</v>
      </c>
      <c r="AA53" s="10">
        <f t="shared" ca="1" si="73"/>
        <v>0</v>
      </c>
      <c r="AB53" s="10">
        <f t="shared" ca="1" si="73"/>
        <v>0</v>
      </c>
      <c r="AC53" s="10">
        <f t="shared" ca="1" si="73"/>
        <v>0</v>
      </c>
      <c r="AD53" s="10">
        <f t="shared" ca="1" si="73"/>
        <v>0</v>
      </c>
      <c r="AE53" s="10">
        <f t="shared" ca="1" si="73"/>
        <v>0</v>
      </c>
      <c r="AF53" s="10">
        <f t="shared" ca="1" si="73"/>
        <v>0</v>
      </c>
      <c r="AG53" s="10">
        <f t="shared" si="73"/>
        <v>0</v>
      </c>
      <c r="AH53" s="10">
        <f t="shared" si="73"/>
        <v>0</v>
      </c>
      <c r="AI53" s="10">
        <f t="shared" si="73"/>
        <v>0</v>
      </c>
      <c r="AJ53" s="10">
        <f t="shared" si="73"/>
        <v>0</v>
      </c>
      <c r="AK53" s="10">
        <f t="shared" si="73"/>
        <v>0</v>
      </c>
      <c r="AL53" s="10">
        <f t="shared" si="73"/>
        <v>0</v>
      </c>
      <c r="AM53" s="10">
        <f t="shared" si="73"/>
        <v>0</v>
      </c>
      <c r="AN53" s="10">
        <f t="shared" si="73"/>
        <v>0</v>
      </c>
      <c r="AO53" s="10">
        <f t="shared" si="73"/>
        <v>0</v>
      </c>
      <c r="AP53" s="10">
        <f t="shared" si="73"/>
        <v>0</v>
      </c>
      <c r="AQ53" s="10">
        <f t="shared" si="73"/>
        <v>0</v>
      </c>
      <c r="AR53" s="10">
        <f t="shared" ref="AR53:BW53" si="74">SUMIF(Year,AR$6,Debt_Interest_PL)</f>
        <v>0</v>
      </c>
      <c r="AS53" s="10">
        <f t="shared" si="74"/>
        <v>0</v>
      </c>
      <c r="AT53" s="10">
        <f t="shared" si="74"/>
        <v>0</v>
      </c>
      <c r="AU53" s="10">
        <f t="shared" si="74"/>
        <v>0</v>
      </c>
      <c r="AV53" s="10">
        <f t="shared" si="74"/>
        <v>0</v>
      </c>
      <c r="AW53" s="10">
        <f t="shared" si="74"/>
        <v>0</v>
      </c>
      <c r="AX53" s="10">
        <f t="shared" si="74"/>
        <v>0</v>
      </c>
      <c r="AY53" s="10">
        <f t="shared" si="74"/>
        <v>0</v>
      </c>
      <c r="AZ53" s="10">
        <f t="shared" si="74"/>
        <v>0</v>
      </c>
      <c r="BA53" s="10">
        <f t="shared" si="74"/>
        <v>0</v>
      </c>
      <c r="BB53" s="10">
        <f t="shared" si="74"/>
        <v>0</v>
      </c>
      <c r="BC53" s="10">
        <f t="shared" si="74"/>
        <v>0</v>
      </c>
      <c r="BD53" s="10">
        <f t="shared" si="74"/>
        <v>0</v>
      </c>
      <c r="BE53" s="10">
        <f t="shared" si="74"/>
        <v>0</v>
      </c>
      <c r="BF53" s="10">
        <f t="shared" si="74"/>
        <v>0</v>
      </c>
      <c r="BG53" s="10">
        <f t="shared" si="74"/>
        <v>0</v>
      </c>
      <c r="BH53" s="10">
        <f t="shared" si="74"/>
        <v>0</v>
      </c>
      <c r="BI53" s="10">
        <f t="shared" si="74"/>
        <v>0</v>
      </c>
      <c r="BJ53" s="10">
        <f t="shared" si="74"/>
        <v>0</v>
      </c>
      <c r="BK53" s="10">
        <f t="shared" si="74"/>
        <v>0</v>
      </c>
      <c r="BL53" s="10">
        <f t="shared" si="74"/>
        <v>0</v>
      </c>
      <c r="BM53" s="10">
        <f t="shared" si="74"/>
        <v>0</v>
      </c>
      <c r="BN53" s="10">
        <f t="shared" si="74"/>
        <v>0</v>
      </c>
      <c r="BO53" s="10">
        <f t="shared" si="74"/>
        <v>0</v>
      </c>
      <c r="BP53" s="10">
        <f t="shared" si="74"/>
        <v>0</v>
      </c>
      <c r="BQ53" s="10">
        <f t="shared" si="74"/>
        <v>0</v>
      </c>
      <c r="BR53" s="10">
        <f t="shared" si="74"/>
        <v>0</v>
      </c>
      <c r="BS53" s="10">
        <f t="shared" si="74"/>
        <v>0</v>
      </c>
      <c r="BT53" s="10">
        <f t="shared" si="74"/>
        <v>0</v>
      </c>
      <c r="BU53" s="10">
        <f t="shared" si="74"/>
        <v>0</v>
      </c>
      <c r="BV53" s="10">
        <f t="shared" si="74"/>
        <v>0</v>
      </c>
      <c r="BW53" s="10">
        <f t="shared" si="74"/>
        <v>0</v>
      </c>
      <c r="BX53" s="10">
        <f t="shared" ref="BX53:CO53" si="75">SUMIF(Year,BX$6,Debt_Interest_PL)</f>
        <v>0</v>
      </c>
      <c r="BY53" s="10">
        <f t="shared" si="75"/>
        <v>0</v>
      </c>
      <c r="BZ53" s="10">
        <f t="shared" si="75"/>
        <v>0</v>
      </c>
      <c r="CA53" s="10">
        <f t="shared" si="75"/>
        <v>0</v>
      </c>
      <c r="CB53" s="10">
        <f t="shared" si="75"/>
        <v>0</v>
      </c>
      <c r="CC53" s="10">
        <f t="shared" si="75"/>
        <v>0</v>
      </c>
      <c r="CD53" s="10">
        <f t="shared" si="75"/>
        <v>0</v>
      </c>
      <c r="CE53" s="10">
        <f t="shared" si="75"/>
        <v>0</v>
      </c>
      <c r="CF53" s="10">
        <f t="shared" si="75"/>
        <v>0</v>
      </c>
      <c r="CG53" s="10">
        <f t="shared" si="75"/>
        <v>0</v>
      </c>
      <c r="CH53" s="10">
        <f t="shared" si="75"/>
        <v>0</v>
      </c>
      <c r="CI53" s="10">
        <f t="shared" si="75"/>
        <v>0</v>
      </c>
      <c r="CJ53" s="10">
        <f t="shared" si="75"/>
        <v>0</v>
      </c>
      <c r="CK53" s="10">
        <f t="shared" si="75"/>
        <v>0</v>
      </c>
      <c r="CL53" s="10">
        <f t="shared" si="75"/>
        <v>0</v>
      </c>
      <c r="CM53" s="10">
        <f t="shared" si="75"/>
        <v>0</v>
      </c>
      <c r="CN53" s="10">
        <f t="shared" si="75"/>
        <v>0</v>
      </c>
      <c r="CO53" s="10">
        <f t="shared" si="75"/>
        <v>0</v>
      </c>
    </row>
    <row r="54" spans="1:93" s="133" customFormat="1" thickBot="1">
      <c r="A54" s="10"/>
      <c r="B54" s="10"/>
      <c r="C54" s="138" t="s">
        <v>554</v>
      </c>
      <c r="D54" s="10"/>
      <c r="E54" s="10"/>
      <c r="F54" s="10"/>
      <c r="G54" s="134" t="str">
        <f t="shared" si="50"/>
        <v>тыс. руб.</v>
      </c>
      <c r="H54" s="10"/>
      <c r="I54" s="23">
        <f t="shared" si="70"/>
        <v>-406755.52841306955</v>
      </c>
      <c r="J54" s="10"/>
      <c r="K54" s="10"/>
      <c r="L54" s="10">
        <f>SUMIF(Year,L$6,Отчетность!$L54:$CO54)</f>
        <v>0</v>
      </c>
      <c r="M54" s="10">
        <f>SUMIF(Year,M$6,Отчетность!$L54:$CO54)</f>
        <v>0</v>
      </c>
      <c r="N54" s="10">
        <f>SUMIF(Year,N$6,Отчетность!$L54:$CO54)</f>
        <v>0</v>
      </c>
      <c r="O54" s="10">
        <f>SUMIF(Year,O$6,Отчетность!$L54:$CO54)</f>
        <v>0</v>
      </c>
      <c r="P54" s="10">
        <f>SUMIF(Year,P$6,Отчетность!$L54:$CO54)</f>
        <v>-71613.522571031441</v>
      </c>
      <c r="Q54" s="10">
        <f>SUMIF(Year,Q$6,Отчетность!$L54:$CO54)</f>
        <v>-89201.748801602298</v>
      </c>
      <c r="R54" s="10">
        <f>SUMIF(Year,R$6,Отчетность!$L54:$CO54)</f>
        <v>-86194.860106432883</v>
      </c>
      <c r="S54" s="10">
        <f>SUMIF(Year,S$6,Отчетность!$L54:$CO54)</f>
        <v>-80428.460427563885</v>
      </c>
      <c r="T54" s="10">
        <f>SUMIF(Year,T$6,Отчетность!$L54:$CO54)</f>
        <v>-70373.854770747508</v>
      </c>
      <c r="U54" s="10">
        <f>SUMIF(Year,U$6,Отчетность!$L54:$CO54)</f>
        <v>-8943.0817356914995</v>
      </c>
      <c r="V54" s="10">
        <f>SUMIF(Year,V$6,Отчетность!$L54:$CO54)</f>
        <v>0</v>
      </c>
      <c r="W54" s="10">
        <f>SUMIF(Year,W$6,Отчетность!$L54:$CO54)</f>
        <v>0</v>
      </c>
      <c r="X54" s="10">
        <f>SUMIF(Year,X$6,Отчетность!$L54:$CO54)</f>
        <v>0</v>
      </c>
      <c r="Y54" s="10">
        <f>SUMIF(Year,Y$6,Отчетность!$L54:$CO54)</f>
        <v>0</v>
      </c>
      <c r="Z54" s="10">
        <f>SUMIF(Year,Z$6,Отчетность!$L54:$CO54)</f>
        <v>0</v>
      </c>
      <c r="AA54" s="10">
        <f>SUMIF(Year,AA$6,Отчетность!$L54:$CO54)</f>
        <v>0</v>
      </c>
      <c r="AB54" s="10">
        <f>SUMIF(Year,AB$6,Отчетность!$L54:$CO54)</f>
        <v>0</v>
      </c>
      <c r="AC54" s="10">
        <f>SUMIF(Year,AC$6,Отчетность!$L54:$CO54)</f>
        <v>0</v>
      </c>
      <c r="AD54" s="10">
        <f>SUMIF(Year,AD$6,Отчетность!$L54:$CO54)</f>
        <v>0</v>
      </c>
      <c r="AE54" s="10">
        <f>SUMIF(Year,AE$6,Отчетность!$L54:$CO54)</f>
        <v>0</v>
      </c>
      <c r="AF54" s="10">
        <f>SUMIF(Year,AF$6,Отчетность!$L54:$CO54)</f>
        <v>0</v>
      </c>
      <c r="AG54" s="10">
        <f>SUMIF(Year,AG$6,Отчетность!$L54:$CO54)</f>
        <v>0</v>
      </c>
      <c r="AH54" s="10">
        <f>SUMIF(Year,AH$6,Отчетность!$L54:$CO54)</f>
        <v>0</v>
      </c>
      <c r="AI54" s="10">
        <f>SUMIF(Year,AI$6,Отчетность!$L54:$CO54)</f>
        <v>0</v>
      </c>
      <c r="AJ54" s="10">
        <f>SUMIF(Year,AJ$6,Отчетность!$L54:$CO54)</f>
        <v>0</v>
      </c>
      <c r="AK54" s="10">
        <f>SUMIF(Year,AK$6,Отчетность!$L54:$CO54)</f>
        <v>0</v>
      </c>
      <c r="AL54" s="10">
        <f>SUMIF(Year,AL$6,Отчетность!$L54:$CO54)</f>
        <v>0</v>
      </c>
      <c r="AM54" s="10">
        <f>SUMIF(Year,AM$6,Отчетность!$L54:$CO54)</f>
        <v>0</v>
      </c>
      <c r="AN54" s="10">
        <f>SUMIF(Year,AN$6,Отчетность!$L54:$CO54)</f>
        <v>0</v>
      </c>
      <c r="AO54" s="10">
        <f>SUMIF(Year,AO$6,Отчетность!$L54:$CO54)</f>
        <v>0</v>
      </c>
      <c r="AP54" s="10">
        <f>SUMIF(Year,AP$6,Отчетность!$L54:$CO54)</f>
        <v>0</v>
      </c>
      <c r="AQ54" s="10">
        <f>SUMIF(Year,AQ$6,Отчетность!$L54:$CO54)</f>
        <v>0</v>
      </c>
      <c r="AR54" s="10">
        <f>SUMIF(Year,AR$6,Отчетность!$L54:$CO54)</f>
        <v>0</v>
      </c>
      <c r="AS54" s="10">
        <f>SUMIF(Year,AS$6,Отчетность!$L54:$CO54)</f>
        <v>0</v>
      </c>
      <c r="AT54" s="10">
        <f>SUMIF(Year,AT$6,Отчетность!$L54:$CO54)</f>
        <v>0</v>
      </c>
      <c r="AU54" s="10">
        <f>SUMIF(Year,AU$6,Отчетность!$L54:$CO54)</f>
        <v>0</v>
      </c>
      <c r="AV54" s="10">
        <f>SUMIF(Year,AV$6,Отчетность!$L54:$CO54)</f>
        <v>0</v>
      </c>
      <c r="AW54" s="10">
        <f>SUMIF(Year,AW$6,Отчетность!$L54:$CO54)</f>
        <v>0</v>
      </c>
      <c r="AX54" s="10">
        <f>SUMIF(Year,AX$6,Отчетность!$L54:$CO54)</f>
        <v>0</v>
      </c>
      <c r="AY54" s="10">
        <f>SUMIF(Year,AY$6,Отчетность!$L54:$CO54)</f>
        <v>0</v>
      </c>
      <c r="AZ54" s="10">
        <f>SUMIF(Year,AZ$6,Отчетность!$L54:$CO54)</f>
        <v>0</v>
      </c>
      <c r="BA54" s="10">
        <f>SUMIF(Year,BA$6,Отчетность!$L54:$CO54)</f>
        <v>0</v>
      </c>
      <c r="BB54" s="10">
        <f>SUMIF(Year,BB$6,Отчетность!$L54:$CO54)</f>
        <v>0</v>
      </c>
      <c r="BC54" s="10">
        <f>SUMIF(Year,BC$6,Отчетность!$L54:$CO54)</f>
        <v>0</v>
      </c>
      <c r="BD54" s="10">
        <f>SUMIF(Year,BD$6,Отчетность!$L54:$CO54)</f>
        <v>0</v>
      </c>
      <c r="BE54" s="10">
        <f>SUMIF(Year,BE$6,Отчетность!$L54:$CO54)</f>
        <v>0</v>
      </c>
      <c r="BF54" s="10">
        <f>SUMIF(Year,BF$6,Отчетность!$L54:$CO54)</f>
        <v>0</v>
      </c>
      <c r="BG54" s="10">
        <f>SUMIF(Year,BG$6,Отчетность!$L54:$CO54)</f>
        <v>0</v>
      </c>
      <c r="BH54" s="10">
        <f>SUMIF(Year,BH$6,Отчетность!$L54:$CO54)</f>
        <v>0</v>
      </c>
      <c r="BI54" s="10">
        <f>SUMIF(Year,BI$6,Отчетность!$L54:$CO54)</f>
        <v>0</v>
      </c>
      <c r="BJ54" s="10">
        <f>SUMIF(Year,BJ$6,Отчетность!$L54:$CO54)</f>
        <v>0</v>
      </c>
      <c r="BK54" s="10">
        <f>SUMIF(Year,BK$6,Отчетность!$L54:$CO54)</f>
        <v>0</v>
      </c>
      <c r="BL54" s="10">
        <f>SUMIF(Year,BL$6,Отчетность!$L54:$CO54)</f>
        <v>0</v>
      </c>
      <c r="BM54" s="10">
        <f>SUMIF(Year,BM$6,Отчетность!$L54:$CO54)</f>
        <v>0</v>
      </c>
      <c r="BN54" s="10">
        <f>SUMIF(Year,BN$6,Отчетность!$L54:$CO54)</f>
        <v>0</v>
      </c>
      <c r="BO54" s="10">
        <f>SUMIF(Year,BO$6,Отчетность!$L54:$CO54)</f>
        <v>0</v>
      </c>
      <c r="BP54" s="10">
        <f>SUMIF(Year,BP$6,Отчетность!$L54:$CO54)</f>
        <v>0</v>
      </c>
      <c r="BQ54" s="10">
        <f>SUMIF(Year,BQ$6,Отчетность!$L54:$CO54)</f>
        <v>0</v>
      </c>
      <c r="BR54" s="10">
        <f>SUMIF(Year,BR$6,Отчетность!$L54:$CO54)</f>
        <v>0</v>
      </c>
      <c r="BS54" s="10">
        <f>SUMIF(Year,BS$6,Отчетность!$L54:$CO54)</f>
        <v>0</v>
      </c>
      <c r="BT54" s="10">
        <f>SUMIF(Year,BT$6,Отчетность!$L54:$CO54)</f>
        <v>0</v>
      </c>
      <c r="BU54" s="10">
        <f>SUMIF(Year,BU$6,Отчетность!$L54:$CO54)</f>
        <v>0</v>
      </c>
      <c r="BV54" s="10">
        <f>SUMIF(Year,BV$6,Отчетность!$L54:$CO54)</f>
        <v>0</v>
      </c>
      <c r="BW54" s="10">
        <f>SUMIF(Year,BW$6,Отчетность!$L54:$CO54)</f>
        <v>0</v>
      </c>
      <c r="BX54" s="10">
        <f>SUMIF(Year,BX$6,Отчетность!$L54:$CO54)</f>
        <v>0</v>
      </c>
      <c r="BY54" s="10">
        <f>SUMIF(Year,BY$6,Отчетность!$L54:$CO54)</f>
        <v>0</v>
      </c>
      <c r="BZ54" s="10">
        <f>SUMIF(Year,BZ$6,Отчетность!$L54:$CO54)</f>
        <v>0</v>
      </c>
      <c r="CA54" s="10">
        <f>SUMIF(Year,CA$6,Отчетность!$L54:$CO54)</f>
        <v>0</v>
      </c>
      <c r="CB54" s="10">
        <f>SUMIF(Year,CB$6,Отчетность!$L54:$CO54)</f>
        <v>0</v>
      </c>
      <c r="CC54" s="10">
        <f>SUMIF(Year,CC$6,Отчетность!$L54:$CO54)</f>
        <v>0</v>
      </c>
      <c r="CD54" s="10">
        <f>SUMIF(Year,CD$6,Отчетность!$L54:$CO54)</f>
        <v>0</v>
      </c>
      <c r="CE54" s="10">
        <f>SUMIF(Year,CE$6,Отчетность!$L54:$CO54)</f>
        <v>0</v>
      </c>
      <c r="CF54" s="10">
        <f>SUMIF(Year,CF$6,Отчетность!$L54:$CO54)</f>
        <v>0</v>
      </c>
      <c r="CG54" s="10">
        <f>SUMIF(Year,CG$6,Отчетность!$L54:$CO54)</f>
        <v>0</v>
      </c>
      <c r="CH54" s="10">
        <f>SUMIF(Year,CH$6,Отчетность!$L54:$CO54)</f>
        <v>0</v>
      </c>
      <c r="CI54" s="10">
        <f>SUMIF(Year,CI$6,Отчетность!$L54:$CO54)</f>
        <v>0</v>
      </c>
      <c r="CJ54" s="10">
        <f>SUMIF(Year,CJ$6,Отчетность!$L54:$CO54)</f>
        <v>0</v>
      </c>
      <c r="CK54" s="10">
        <f>SUMIF(Year,CK$6,Отчетность!$L54:$CO54)</f>
        <v>0</v>
      </c>
      <c r="CL54" s="10">
        <f>SUMIF(Year,CL$6,Отчетность!$L54:$CO54)</f>
        <v>0</v>
      </c>
      <c r="CM54" s="10">
        <f>SUMIF(Year,CM$6,Отчетность!$L54:$CO54)</f>
        <v>0</v>
      </c>
      <c r="CN54" s="10">
        <f>SUMIF(Year,CN$6,Отчетность!$L54:$CO54)</f>
        <v>0</v>
      </c>
      <c r="CO54" s="10">
        <f>SUMIF(Year,CO$6,Отчетность!$L54:$CO54)</f>
        <v>0</v>
      </c>
    </row>
    <row r="55" spans="1:93" s="133" customFormat="1" thickTop="1">
      <c r="A55" s="10"/>
      <c r="B55" s="10"/>
      <c r="C55" s="49" t="s">
        <v>139</v>
      </c>
      <c r="D55" s="136"/>
      <c r="E55" s="136"/>
      <c r="F55" s="136"/>
      <c r="G55" s="137" t="str">
        <f t="shared" si="50"/>
        <v>тыс. руб.</v>
      </c>
      <c r="H55" s="136"/>
      <c r="I55" s="23">
        <f t="shared" ca="1" si="70"/>
        <v>10173688.610159274</v>
      </c>
      <c r="J55" s="136"/>
      <c r="K55" s="136"/>
      <c r="L55" s="49">
        <f t="shared" ref="L55:AH55" ca="1" si="76">SUM(L48:L49,L51:L52)</f>
        <v>0</v>
      </c>
      <c r="M55" s="49">
        <f t="shared" ca="1" si="76"/>
        <v>0</v>
      </c>
      <c r="N55" s="49">
        <f t="shared" ca="1" si="76"/>
        <v>0</v>
      </c>
      <c r="O55" s="49">
        <f t="shared" ca="1" si="76"/>
        <v>0</v>
      </c>
      <c r="P55" s="49">
        <f t="shared" ca="1" si="76"/>
        <v>176217.17270134654</v>
      </c>
      <c r="Q55" s="49">
        <f t="shared" ca="1" si="76"/>
        <v>267599.21315382863</v>
      </c>
      <c r="R55" s="49">
        <f t="shared" ca="1" si="76"/>
        <v>395425.17715052853</v>
      </c>
      <c r="S55" s="49">
        <f t="shared" ca="1" si="76"/>
        <v>525286.31965405389</v>
      </c>
      <c r="T55" s="49">
        <f t="shared" ca="1" si="76"/>
        <v>606898.83448357356</v>
      </c>
      <c r="U55" s="49">
        <f t="shared" ca="1" si="76"/>
        <v>518078.93583174364</v>
      </c>
      <c r="V55" s="49">
        <f t="shared" ca="1" si="76"/>
        <v>525943.1412704523</v>
      </c>
      <c r="W55" s="49">
        <f t="shared" ca="1" si="76"/>
        <v>626980.82883897587</v>
      </c>
      <c r="X55" s="49">
        <f t="shared" ca="1" si="76"/>
        <v>679628.87086045672</v>
      </c>
      <c r="Y55" s="49">
        <f t="shared" ca="1" si="76"/>
        <v>710894.72058947757</v>
      </c>
      <c r="Z55" s="49">
        <f t="shared" ca="1" si="76"/>
        <v>723351.61688504065</v>
      </c>
      <c r="AA55" s="49">
        <f t="shared" ca="1" si="76"/>
        <v>740249.44954471488</v>
      </c>
      <c r="AB55" s="49">
        <f t="shared" ca="1" si="76"/>
        <v>776182.03907516366</v>
      </c>
      <c r="AC55" s="49">
        <f t="shared" ca="1" si="76"/>
        <v>814799.28236785298</v>
      </c>
      <c r="AD55" s="49">
        <f t="shared" ca="1" si="76"/>
        <v>854879.5905381894</v>
      </c>
      <c r="AE55" s="49">
        <f t="shared" ca="1" si="76"/>
        <v>897976.75976581883</v>
      </c>
      <c r="AF55" s="49">
        <f t="shared" ca="1" si="76"/>
        <v>333296.65744805802</v>
      </c>
      <c r="AG55" s="49">
        <f t="shared" si="76"/>
        <v>0</v>
      </c>
      <c r="AH55" s="49">
        <f t="shared" si="76"/>
        <v>0</v>
      </c>
      <c r="AI55" s="49">
        <f>SUM(AI48:AI49,AI51:AI52)</f>
        <v>0</v>
      </c>
      <c r="AJ55" s="49">
        <f t="shared" ref="AJ55:CO55" si="77">SUM(AJ48:AJ49,AJ51:AJ52)</f>
        <v>0</v>
      </c>
      <c r="AK55" s="49">
        <f t="shared" si="77"/>
        <v>0</v>
      </c>
      <c r="AL55" s="49">
        <f t="shared" si="77"/>
        <v>0</v>
      </c>
      <c r="AM55" s="49">
        <f t="shared" si="77"/>
        <v>0</v>
      </c>
      <c r="AN55" s="49">
        <f t="shared" si="77"/>
        <v>0</v>
      </c>
      <c r="AO55" s="49">
        <f t="shared" si="77"/>
        <v>0</v>
      </c>
      <c r="AP55" s="49">
        <f t="shared" si="77"/>
        <v>0</v>
      </c>
      <c r="AQ55" s="49">
        <f t="shared" si="77"/>
        <v>0</v>
      </c>
      <c r="AR55" s="49">
        <f t="shared" si="77"/>
        <v>0</v>
      </c>
      <c r="AS55" s="49">
        <f t="shared" si="77"/>
        <v>0</v>
      </c>
      <c r="AT55" s="49">
        <f t="shared" si="77"/>
        <v>0</v>
      </c>
      <c r="AU55" s="49">
        <f t="shared" si="77"/>
        <v>0</v>
      </c>
      <c r="AV55" s="49">
        <f t="shared" si="77"/>
        <v>0</v>
      </c>
      <c r="AW55" s="49">
        <f t="shared" si="77"/>
        <v>0</v>
      </c>
      <c r="AX55" s="49">
        <f t="shared" si="77"/>
        <v>0</v>
      </c>
      <c r="AY55" s="49">
        <f t="shared" si="77"/>
        <v>0</v>
      </c>
      <c r="AZ55" s="49">
        <f t="shared" si="77"/>
        <v>0</v>
      </c>
      <c r="BA55" s="49">
        <f t="shared" si="77"/>
        <v>0</v>
      </c>
      <c r="BB55" s="49">
        <f t="shared" si="77"/>
        <v>0</v>
      </c>
      <c r="BC55" s="49">
        <f t="shared" si="77"/>
        <v>0</v>
      </c>
      <c r="BD55" s="49">
        <f t="shared" si="77"/>
        <v>0</v>
      </c>
      <c r="BE55" s="49">
        <f t="shared" si="77"/>
        <v>0</v>
      </c>
      <c r="BF55" s="49">
        <f t="shared" si="77"/>
        <v>0</v>
      </c>
      <c r="BG55" s="49">
        <f t="shared" si="77"/>
        <v>0</v>
      </c>
      <c r="BH55" s="49">
        <f t="shared" si="77"/>
        <v>0</v>
      </c>
      <c r="BI55" s="49">
        <f t="shared" si="77"/>
        <v>0</v>
      </c>
      <c r="BJ55" s="49">
        <f t="shared" si="77"/>
        <v>0</v>
      </c>
      <c r="BK55" s="49">
        <f t="shared" si="77"/>
        <v>0</v>
      </c>
      <c r="BL55" s="49">
        <f t="shared" si="77"/>
        <v>0</v>
      </c>
      <c r="BM55" s="49">
        <f t="shared" si="77"/>
        <v>0</v>
      </c>
      <c r="BN55" s="49">
        <f t="shared" si="77"/>
        <v>0</v>
      </c>
      <c r="BO55" s="49">
        <f t="shared" si="77"/>
        <v>0</v>
      </c>
      <c r="BP55" s="49">
        <f t="shared" si="77"/>
        <v>0</v>
      </c>
      <c r="BQ55" s="49">
        <f t="shared" si="77"/>
        <v>0</v>
      </c>
      <c r="BR55" s="49">
        <f t="shared" si="77"/>
        <v>0</v>
      </c>
      <c r="BS55" s="49">
        <f t="shared" si="77"/>
        <v>0</v>
      </c>
      <c r="BT55" s="49">
        <f t="shared" si="77"/>
        <v>0</v>
      </c>
      <c r="BU55" s="49">
        <f t="shared" si="77"/>
        <v>0</v>
      </c>
      <c r="BV55" s="49">
        <f t="shared" si="77"/>
        <v>0</v>
      </c>
      <c r="BW55" s="49">
        <f t="shared" si="77"/>
        <v>0</v>
      </c>
      <c r="BX55" s="49">
        <f t="shared" si="77"/>
        <v>0</v>
      </c>
      <c r="BY55" s="49">
        <f t="shared" si="77"/>
        <v>0</v>
      </c>
      <c r="BZ55" s="49">
        <f t="shared" si="77"/>
        <v>0</v>
      </c>
      <c r="CA55" s="49">
        <f t="shared" si="77"/>
        <v>0</v>
      </c>
      <c r="CB55" s="49">
        <f t="shared" si="77"/>
        <v>0</v>
      </c>
      <c r="CC55" s="49">
        <f t="shared" si="77"/>
        <v>0</v>
      </c>
      <c r="CD55" s="49">
        <f t="shared" si="77"/>
        <v>0</v>
      </c>
      <c r="CE55" s="49">
        <f t="shared" si="77"/>
        <v>0</v>
      </c>
      <c r="CF55" s="49">
        <f t="shared" si="77"/>
        <v>0</v>
      </c>
      <c r="CG55" s="49">
        <f t="shared" si="77"/>
        <v>0</v>
      </c>
      <c r="CH55" s="49">
        <f t="shared" si="77"/>
        <v>0</v>
      </c>
      <c r="CI55" s="49">
        <f t="shared" si="77"/>
        <v>0</v>
      </c>
      <c r="CJ55" s="49">
        <f t="shared" si="77"/>
        <v>0</v>
      </c>
      <c r="CK55" s="49">
        <f t="shared" si="77"/>
        <v>0</v>
      </c>
      <c r="CL55" s="49">
        <f t="shared" si="77"/>
        <v>0</v>
      </c>
      <c r="CM55" s="49">
        <f t="shared" si="77"/>
        <v>0</v>
      </c>
      <c r="CN55" s="49">
        <f t="shared" si="77"/>
        <v>0</v>
      </c>
      <c r="CO55" s="49">
        <f t="shared" si="77"/>
        <v>0</v>
      </c>
    </row>
    <row r="56" spans="1:93" s="133" customFormat="1" thickBot="1">
      <c r="A56" s="10"/>
      <c r="B56" s="10"/>
      <c r="C56" s="17" t="s">
        <v>140</v>
      </c>
      <c r="D56" s="10"/>
      <c r="E56" s="10"/>
      <c r="F56" s="10"/>
      <c r="G56" s="134" t="str">
        <f t="shared" si="50"/>
        <v>тыс. руб.</v>
      </c>
      <c r="H56" s="10"/>
      <c r="I56" s="23">
        <f t="shared" ca="1" si="70"/>
        <v>-1083177.1599277665</v>
      </c>
      <c r="J56" s="10"/>
      <c r="K56" s="10"/>
      <c r="L56" s="10">
        <f t="shared" ref="L56:AQ56" ca="1" si="78">SUMIF(Year,L$6,Profits_Tax)</f>
        <v>0</v>
      </c>
      <c r="M56" s="10">
        <f t="shared" ca="1" si="78"/>
        <v>0</v>
      </c>
      <c r="N56" s="10">
        <f t="shared" ca="1" si="78"/>
        <v>0</v>
      </c>
      <c r="O56" s="10">
        <f t="shared" ca="1" si="78"/>
        <v>0</v>
      </c>
      <c r="P56" s="10">
        <f t="shared" ca="1" si="78"/>
        <v>-1818.3117376434448</v>
      </c>
      <c r="Q56" s="10">
        <f t="shared" ca="1" si="78"/>
        <v>-3245.0267471806192</v>
      </c>
      <c r="R56" s="10">
        <f t="shared" ca="1" si="78"/>
        <v>-4486.9417423057985</v>
      </c>
      <c r="S56" s="10">
        <f t="shared" ca="1" si="78"/>
        <v>-5975.8467241874405</v>
      </c>
      <c r="T56" s="10">
        <f t="shared" ca="1" si="78"/>
        <v>-17545.986460656393</v>
      </c>
      <c r="U56" s="10">
        <f t="shared" ca="1" si="78"/>
        <v>-39994.35530382565</v>
      </c>
      <c r="V56" s="10">
        <f t="shared" ca="1" si="78"/>
        <v>-40544.849684535264</v>
      </c>
      <c r="W56" s="10">
        <f t="shared" ca="1" si="78"/>
        <v>-45763.680422261219</v>
      </c>
      <c r="X56" s="10">
        <f t="shared" ca="1" si="78"/>
        <v>-48831.107566407991</v>
      </c>
      <c r="Y56" s="10">
        <f t="shared" ca="1" si="78"/>
        <v>-60063.999278022078</v>
      </c>
      <c r="Z56" s="10">
        <f t="shared" ca="1" si="78"/>
        <v>-114903.04953085675</v>
      </c>
      <c r="AA56" s="10">
        <f t="shared" ca="1" si="78"/>
        <v>-117522.21359310625</v>
      </c>
      <c r="AB56" s="10">
        <f t="shared" ca="1" si="78"/>
        <v>-123091.76497032588</v>
      </c>
      <c r="AC56" s="10">
        <f t="shared" ca="1" si="78"/>
        <v>-129077.43768069273</v>
      </c>
      <c r="AD56" s="10">
        <f t="shared" ca="1" si="78"/>
        <v>-135289.88544709483</v>
      </c>
      <c r="AE56" s="10">
        <f t="shared" ca="1" si="78"/>
        <v>-141969.94667737745</v>
      </c>
      <c r="AF56" s="10">
        <f t="shared" ca="1" si="78"/>
        <v>-53052.756361286738</v>
      </c>
      <c r="AG56" s="10">
        <f t="shared" si="78"/>
        <v>0</v>
      </c>
      <c r="AH56" s="10">
        <f t="shared" si="78"/>
        <v>0</v>
      </c>
      <c r="AI56" s="10">
        <f t="shared" si="78"/>
        <v>0</v>
      </c>
      <c r="AJ56" s="10">
        <f t="shared" si="78"/>
        <v>0</v>
      </c>
      <c r="AK56" s="10">
        <f t="shared" si="78"/>
        <v>0</v>
      </c>
      <c r="AL56" s="10">
        <f t="shared" si="78"/>
        <v>0</v>
      </c>
      <c r="AM56" s="10">
        <f t="shared" si="78"/>
        <v>0</v>
      </c>
      <c r="AN56" s="10">
        <f t="shared" si="78"/>
        <v>0</v>
      </c>
      <c r="AO56" s="10">
        <f t="shared" si="78"/>
        <v>0</v>
      </c>
      <c r="AP56" s="10">
        <f t="shared" si="78"/>
        <v>0</v>
      </c>
      <c r="AQ56" s="10">
        <f t="shared" si="78"/>
        <v>0</v>
      </c>
      <c r="AR56" s="10">
        <f t="shared" ref="AR56:BW56" si="79">SUMIF(Year,AR$6,Profits_Tax)</f>
        <v>0</v>
      </c>
      <c r="AS56" s="10">
        <f t="shared" si="79"/>
        <v>0</v>
      </c>
      <c r="AT56" s="10">
        <f t="shared" si="79"/>
        <v>0</v>
      </c>
      <c r="AU56" s="10">
        <f t="shared" si="79"/>
        <v>0</v>
      </c>
      <c r="AV56" s="10">
        <f t="shared" si="79"/>
        <v>0</v>
      </c>
      <c r="AW56" s="10">
        <f t="shared" si="79"/>
        <v>0</v>
      </c>
      <c r="AX56" s="10">
        <f t="shared" si="79"/>
        <v>0</v>
      </c>
      <c r="AY56" s="10">
        <f t="shared" si="79"/>
        <v>0</v>
      </c>
      <c r="AZ56" s="10">
        <f t="shared" si="79"/>
        <v>0</v>
      </c>
      <c r="BA56" s="10">
        <f t="shared" si="79"/>
        <v>0</v>
      </c>
      <c r="BB56" s="10">
        <f t="shared" si="79"/>
        <v>0</v>
      </c>
      <c r="BC56" s="10">
        <f t="shared" si="79"/>
        <v>0</v>
      </c>
      <c r="BD56" s="10">
        <f t="shared" si="79"/>
        <v>0</v>
      </c>
      <c r="BE56" s="10">
        <f t="shared" si="79"/>
        <v>0</v>
      </c>
      <c r="BF56" s="10">
        <f t="shared" si="79"/>
        <v>0</v>
      </c>
      <c r="BG56" s="10">
        <f t="shared" si="79"/>
        <v>0</v>
      </c>
      <c r="BH56" s="10">
        <f t="shared" si="79"/>
        <v>0</v>
      </c>
      <c r="BI56" s="10">
        <f t="shared" si="79"/>
        <v>0</v>
      </c>
      <c r="BJ56" s="10">
        <f t="shared" si="79"/>
        <v>0</v>
      </c>
      <c r="BK56" s="10">
        <f t="shared" si="79"/>
        <v>0</v>
      </c>
      <c r="BL56" s="10">
        <f t="shared" si="79"/>
        <v>0</v>
      </c>
      <c r="BM56" s="10">
        <f t="shared" si="79"/>
        <v>0</v>
      </c>
      <c r="BN56" s="10">
        <f t="shared" si="79"/>
        <v>0</v>
      </c>
      <c r="BO56" s="10">
        <f t="shared" si="79"/>
        <v>0</v>
      </c>
      <c r="BP56" s="10">
        <f t="shared" si="79"/>
        <v>0</v>
      </c>
      <c r="BQ56" s="10">
        <f t="shared" si="79"/>
        <v>0</v>
      </c>
      <c r="BR56" s="10">
        <f t="shared" si="79"/>
        <v>0</v>
      </c>
      <c r="BS56" s="10">
        <f t="shared" si="79"/>
        <v>0</v>
      </c>
      <c r="BT56" s="10">
        <f t="shared" si="79"/>
        <v>0</v>
      </c>
      <c r="BU56" s="10">
        <f t="shared" si="79"/>
        <v>0</v>
      </c>
      <c r="BV56" s="10">
        <f t="shared" si="79"/>
        <v>0</v>
      </c>
      <c r="BW56" s="10">
        <f t="shared" si="79"/>
        <v>0</v>
      </c>
      <c r="BX56" s="10">
        <f t="shared" ref="BX56:CO56" si="80">SUMIF(Year,BX$6,Profits_Tax)</f>
        <v>0</v>
      </c>
      <c r="BY56" s="10">
        <f t="shared" si="80"/>
        <v>0</v>
      </c>
      <c r="BZ56" s="10">
        <f t="shared" si="80"/>
        <v>0</v>
      </c>
      <c r="CA56" s="10">
        <f t="shared" si="80"/>
        <v>0</v>
      </c>
      <c r="CB56" s="10">
        <f t="shared" si="80"/>
        <v>0</v>
      </c>
      <c r="CC56" s="10">
        <f t="shared" si="80"/>
        <v>0</v>
      </c>
      <c r="CD56" s="10">
        <f t="shared" si="80"/>
        <v>0</v>
      </c>
      <c r="CE56" s="10">
        <f t="shared" si="80"/>
        <v>0</v>
      </c>
      <c r="CF56" s="10">
        <f t="shared" si="80"/>
        <v>0</v>
      </c>
      <c r="CG56" s="10">
        <f t="shared" si="80"/>
        <v>0</v>
      </c>
      <c r="CH56" s="10">
        <f t="shared" si="80"/>
        <v>0</v>
      </c>
      <c r="CI56" s="10">
        <f t="shared" si="80"/>
        <v>0</v>
      </c>
      <c r="CJ56" s="10">
        <f t="shared" si="80"/>
        <v>0</v>
      </c>
      <c r="CK56" s="10">
        <f t="shared" si="80"/>
        <v>0</v>
      </c>
      <c r="CL56" s="10">
        <f t="shared" si="80"/>
        <v>0</v>
      </c>
      <c r="CM56" s="10">
        <f t="shared" si="80"/>
        <v>0</v>
      </c>
      <c r="CN56" s="10">
        <f t="shared" si="80"/>
        <v>0</v>
      </c>
      <c r="CO56" s="10">
        <f t="shared" si="80"/>
        <v>0</v>
      </c>
    </row>
    <row r="57" spans="1:93" s="133" customFormat="1" thickTop="1">
      <c r="A57" s="10"/>
      <c r="B57" s="10"/>
      <c r="C57" s="49" t="s">
        <v>543</v>
      </c>
      <c r="D57" s="136"/>
      <c r="E57" s="136"/>
      <c r="F57" s="136"/>
      <c r="G57" s="137" t="str">
        <f t="shared" si="50"/>
        <v>тыс. руб.</v>
      </c>
      <c r="H57" s="136"/>
      <c r="I57" s="23">
        <f t="shared" ca="1" si="70"/>
        <v>9090511.4502315093</v>
      </c>
      <c r="J57" s="136"/>
      <c r="K57" s="136"/>
      <c r="L57" s="49">
        <f t="shared" ref="L57:BW57" ca="1" si="81">SUM(L55:L56)</f>
        <v>0</v>
      </c>
      <c r="M57" s="49">
        <f t="shared" ca="1" si="81"/>
        <v>0</v>
      </c>
      <c r="N57" s="49">
        <f t="shared" ca="1" si="81"/>
        <v>0</v>
      </c>
      <c r="O57" s="49">
        <f t="shared" ca="1" si="81"/>
        <v>0</v>
      </c>
      <c r="P57" s="49">
        <f t="shared" ca="1" si="81"/>
        <v>174398.8609637031</v>
      </c>
      <c r="Q57" s="49">
        <f t="shared" ca="1" si="81"/>
        <v>264354.18640664802</v>
      </c>
      <c r="R57" s="49">
        <f t="shared" ca="1" si="81"/>
        <v>390938.23540822271</v>
      </c>
      <c r="S57" s="49">
        <f t="shared" ca="1" si="81"/>
        <v>519310.47292986646</v>
      </c>
      <c r="T57" s="49">
        <f t="shared" ca="1" si="81"/>
        <v>589352.84802291717</v>
      </c>
      <c r="U57" s="49">
        <f t="shared" ca="1" si="81"/>
        <v>478084.58052791801</v>
      </c>
      <c r="V57" s="49">
        <f t="shared" ca="1" si="81"/>
        <v>485398.291585917</v>
      </c>
      <c r="W57" s="49">
        <f t="shared" ca="1" si="81"/>
        <v>581217.14841671463</v>
      </c>
      <c r="X57" s="49">
        <f t="shared" ca="1" si="81"/>
        <v>630797.76329404872</v>
      </c>
      <c r="Y57" s="49">
        <f t="shared" ca="1" si="81"/>
        <v>650830.72131145548</v>
      </c>
      <c r="Z57" s="49">
        <f t="shared" ca="1" si="81"/>
        <v>608448.56735418388</v>
      </c>
      <c r="AA57" s="49">
        <f t="shared" ca="1" si="81"/>
        <v>622727.23595160863</v>
      </c>
      <c r="AB57" s="49">
        <f t="shared" ca="1" si="81"/>
        <v>653090.27410483779</v>
      </c>
      <c r="AC57" s="49">
        <f t="shared" ca="1" si="81"/>
        <v>685721.84468716022</v>
      </c>
      <c r="AD57" s="49">
        <f t="shared" ca="1" si="81"/>
        <v>719589.7050910946</v>
      </c>
      <c r="AE57" s="49">
        <f t="shared" ca="1" si="81"/>
        <v>756006.81308844138</v>
      </c>
      <c r="AF57" s="49">
        <f t="shared" ca="1" si="81"/>
        <v>280243.90108677128</v>
      </c>
      <c r="AG57" s="49">
        <f t="shared" si="81"/>
        <v>0</v>
      </c>
      <c r="AH57" s="49">
        <f t="shared" si="81"/>
        <v>0</v>
      </c>
      <c r="AI57" s="49">
        <f t="shared" si="81"/>
        <v>0</v>
      </c>
      <c r="AJ57" s="49">
        <f t="shared" si="81"/>
        <v>0</v>
      </c>
      <c r="AK57" s="49">
        <f t="shared" si="81"/>
        <v>0</v>
      </c>
      <c r="AL57" s="49">
        <f t="shared" si="81"/>
        <v>0</v>
      </c>
      <c r="AM57" s="49">
        <f t="shared" si="81"/>
        <v>0</v>
      </c>
      <c r="AN57" s="49">
        <f t="shared" si="81"/>
        <v>0</v>
      </c>
      <c r="AO57" s="49">
        <f t="shared" si="81"/>
        <v>0</v>
      </c>
      <c r="AP57" s="49">
        <f t="shared" si="81"/>
        <v>0</v>
      </c>
      <c r="AQ57" s="49">
        <f t="shared" si="81"/>
        <v>0</v>
      </c>
      <c r="AR57" s="49">
        <f t="shared" si="81"/>
        <v>0</v>
      </c>
      <c r="AS57" s="49">
        <f t="shared" si="81"/>
        <v>0</v>
      </c>
      <c r="AT57" s="49">
        <f t="shared" si="81"/>
        <v>0</v>
      </c>
      <c r="AU57" s="49">
        <f t="shared" si="81"/>
        <v>0</v>
      </c>
      <c r="AV57" s="49">
        <f t="shared" si="81"/>
        <v>0</v>
      </c>
      <c r="AW57" s="49">
        <f t="shared" si="81"/>
        <v>0</v>
      </c>
      <c r="AX57" s="49">
        <f t="shared" si="81"/>
        <v>0</v>
      </c>
      <c r="AY57" s="49">
        <f t="shared" si="81"/>
        <v>0</v>
      </c>
      <c r="AZ57" s="49">
        <f t="shared" si="81"/>
        <v>0</v>
      </c>
      <c r="BA57" s="49">
        <f t="shared" si="81"/>
        <v>0</v>
      </c>
      <c r="BB57" s="49">
        <f t="shared" si="81"/>
        <v>0</v>
      </c>
      <c r="BC57" s="49">
        <f t="shared" si="81"/>
        <v>0</v>
      </c>
      <c r="BD57" s="49">
        <f t="shared" si="81"/>
        <v>0</v>
      </c>
      <c r="BE57" s="49">
        <f t="shared" si="81"/>
        <v>0</v>
      </c>
      <c r="BF57" s="49">
        <f t="shared" si="81"/>
        <v>0</v>
      </c>
      <c r="BG57" s="49">
        <f t="shared" si="81"/>
        <v>0</v>
      </c>
      <c r="BH57" s="49">
        <f t="shared" si="81"/>
        <v>0</v>
      </c>
      <c r="BI57" s="49">
        <f t="shared" si="81"/>
        <v>0</v>
      </c>
      <c r="BJ57" s="49">
        <f t="shared" si="81"/>
        <v>0</v>
      </c>
      <c r="BK57" s="49">
        <f t="shared" si="81"/>
        <v>0</v>
      </c>
      <c r="BL57" s="49">
        <f t="shared" si="81"/>
        <v>0</v>
      </c>
      <c r="BM57" s="49">
        <f t="shared" si="81"/>
        <v>0</v>
      </c>
      <c r="BN57" s="49">
        <f t="shared" si="81"/>
        <v>0</v>
      </c>
      <c r="BO57" s="49">
        <f t="shared" si="81"/>
        <v>0</v>
      </c>
      <c r="BP57" s="49">
        <f t="shared" si="81"/>
        <v>0</v>
      </c>
      <c r="BQ57" s="49">
        <f t="shared" si="81"/>
        <v>0</v>
      </c>
      <c r="BR57" s="49">
        <f t="shared" si="81"/>
        <v>0</v>
      </c>
      <c r="BS57" s="49">
        <f t="shared" si="81"/>
        <v>0</v>
      </c>
      <c r="BT57" s="49">
        <f t="shared" si="81"/>
        <v>0</v>
      </c>
      <c r="BU57" s="49">
        <f t="shared" si="81"/>
        <v>0</v>
      </c>
      <c r="BV57" s="49">
        <f t="shared" si="81"/>
        <v>0</v>
      </c>
      <c r="BW57" s="49">
        <f t="shared" si="81"/>
        <v>0</v>
      </c>
      <c r="BX57" s="49">
        <f t="shared" ref="BX57:CO57" si="82">SUM(BX55:BX56)</f>
        <v>0</v>
      </c>
      <c r="BY57" s="49">
        <f t="shared" si="82"/>
        <v>0</v>
      </c>
      <c r="BZ57" s="49">
        <f t="shared" si="82"/>
        <v>0</v>
      </c>
      <c r="CA57" s="49">
        <f t="shared" si="82"/>
        <v>0</v>
      </c>
      <c r="CB57" s="49">
        <f t="shared" si="82"/>
        <v>0</v>
      </c>
      <c r="CC57" s="49">
        <f t="shared" si="82"/>
        <v>0</v>
      </c>
      <c r="CD57" s="49">
        <f t="shared" si="82"/>
        <v>0</v>
      </c>
      <c r="CE57" s="49">
        <f t="shared" si="82"/>
        <v>0</v>
      </c>
      <c r="CF57" s="49">
        <f t="shared" si="82"/>
        <v>0</v>
      </c>
      <c r="CG57" s="49">
        <f t="shared" si="82"/>
        <v>0</v>
      </c>
      <c r="CH57" s="49">
        <f t="shared" si="82"/>
        <v>0</v>
      </c>
      <c r="CI57" s="49">
        <f t="shared" si="82"/>
        <v>0</v>
      </c>
      <c r="CJ57" s="49">
        <f t="shared" si="82"/>
        <v>0</v>
      </c>
      <c r="CK57" s="49">
        <f t="shared" si="82"/>
        <v>0</v>
      </c>
      <c r="CL57" s="49">
        <f t="shared" si="82"/>
        <v>0</v>
      </c>
      <c r="CM57" s="49">
        <f t="shared" si="82"/>
        <v>0</v>
      </c>
      <c r="CN57" s="49">
        <f t="shared" si="82"/>
        <v>0</v>
      </c>
      <c r="CO57" s="49">
        <f t="shared" si="82"/>
        <v>0</v>
      </c>
    </row>
    <row r="58" spans="1:93" s="133" customFormat="1" thickBot="1">
      <c r="A58" s="10"/>
      <c r="B58" s="10"/>
      <c r="C58" s="17" t="s">
        <v>141</v>
      </c>
      <c r="D58" s="10"/>
      <c r="E58" s="10"/>
      <c r="F58" s="10"/>
      <c r="G58" s="134" t="str">
        <f t="shared" si="50"/>
        <v>тыс. руб.</v>
      </c>
      <c r="H58" s="10"/>
      <c r="I58" s="23">
        <f t="shared" ca="1" si="70"/>
        <v>-8270600.6277033035</v>
      </c>
      <c r="J58" s="10"/>
      <c r="K58" s="10"/>
      <c r="L58" s="10">
        <f t="shared" ref="L58:AQ58" ca="1" si="83">SUMIF(Year,L$6,Dividends)</f>
        <v>0</v>
      </c>
      <c r="M58" s="10">
        <f t="shared" ca="1" si="83"/>
        <v>0</v>
      </c>
      <c r="N58" s="10">
        <f t="shared" ca="1" si="83"/>
        <v>0</v>
      </c>
      <c r="O58" s="10">
        <f t="shared" ca="1" si="83"/>
        <v>0</v>
      </c>
      <c r="P58" s="10">
        <f t="shared" ca="1" si="83"/>
        <v>0</v>
      </c>
      <c r="Q58" s="10">
        <f t="shared" ca="1" si="83"/>
        <v>0</v>
      </c>
      <c r="R58" s="10">
        <f t="shared" ca="1" si="83"/>
        <v>0</v>
      </c>
      <c r="S58" s="10">
        <f t="shared" ca="1" si="83"/>
        <v>0</v>
      </c>
      <c r="T58" s="10">
        <f t="shared" ca="1" si="83"/>
        <v>0</v>
      </c>
      <c r="U58" s="10">
        <f t="shared" ca="1" si="83"/>
        <v>-549253.32586142328</v>
      </c>
      <c r="V58" s="10">
        <f t="shared" ca="1" si="83"/>
        <v>-671542.79813292308</v>
      </c>
      <c r="W58" s="10">
        <f t="shared" ca="1" si="83"/>
        <v>-696272.09737878654</v>
      </c>
      <c r="X58" s="10">
        <f t="shared" ca="1" si="83"/>
        <v>-722118.62923451606</v>
      </c>
      <c r="Y58" s="10">
        <f t="shared" ca="1" si="83"/>
        <v>-742094.2330324041</v>
      </c>
      <c r="Z58" s="10">
        <f t="shared" ca="1" si="83"/>
        <v>-699652.39890484186</v>
      </c>
      <c r="AA58" s="10">
        <f t="shared" ca="1" si="83"/>
        <v>-713869.0358755819</v>
      </c>
      <c r="AB58" s="10">
        <f t="shared" ca="1" si="83"/>
        <v>-744167.45245579071</v>
      </c>
      <c r="AC58" s="10">
        <f t="shared" ca="1" si="83"/>
        <v>-776731.9267134571</v>
      </c>
      <c r="AD58" s="10">
        <f t="shared" ca="1" si="83"/>
        <v>-810529.96975931455</v>
      </c>
      <c r="AE58" s="10">
        <f t="shared" ca="1" si="83"/>
        <v>-846874.50952719396</v>
      </c>
      <c r="AF58" s="10">
        <f t="shared" ca="1" si="83"/>
        <v>-297494.25082707044</v>
      </c>
      <c r="AG58" s="10">
        <f t="shared" si="83"/>
        <v>0</v>
      </c>
      <c r="AH58" s="10">
        <f t="shared" si="83"/>
        <v>0</v>
      </c>
      <c r="AI58" s="10">
        <f t="shared" si="83"/>
        <v>0</v>
      </c>
      <c r="AJ58" s="10">
        <f t="shared" si="83"/>
        <v>0</v>
      </c>
      <c r="AK58" s="10">
        <f t="shared" si="83"/>
        <v>0</v>
      </c>
      <c r="AL58" s="10">
        <f t="shared" si="83"/>
        <v>0</v>
      </c>
      <c r="AM58" s="10">
        <f t="shared" si="83"/>
        <v>0</v>
      </c>
      <c r="AN58" s="10">
        <f t="shared" si="83"/>
        <v>0</v>
      </c>
      <c r="AO58" s="10">
        <f t="shared" si="83"/>
        <v>0</v>
      </c>
      <c r="AP58" s="10">
        <f t="shared" si="83"/>
        <v>0</v>
      </c>
      <c r="AQ58" s="10">
        <f t="shared" si="83"/>
        <v>0</v>
      </c>
      <c r="AR58" s="10">
        <f t="shared" ref="AR58:BW58" si="84">SUMIF(Year,AR$6,Dividends)</f>
        <v>0</v>
      </c>
      <c r="AS58" s="10">
        <f t="shared" si="84"/>
        <v>0</v>
      </c>
      <c r="AT58" s="10">
        <f t="shared" si="84"/>
        <v>0</v>
      </c>
      <c r="AU58" s="10">
        <f t="shared" si="84"/>
        <v>0</v>
      </c>
      <c r="AV58" s="10">
        <f t="shared" si="84"/>
        <v>0</v>
      </c>
      <c r="AW58" s="10">
        <f t="shared" si="84"/>
        <v>0</v>
      </c>
      <c r="AX58" s="10">
        <f t="shared" si="84"/>
        <v>0</v>
      </c>
      <c r="AY58" s="10">
        <f t="shared" si="84"/>
        <v>0</v>
      </c>
      <c r="AZ58" s="10">
        <f t="shared" si="84"/>
        <v>0</v>
      </c>
      <c r="BA58" s="10">
        <f t="shared" si="84"/>
        <v>0</v>
      </c>
      <c r="BB58" s="10">
        <f t="shared" si="84"/>
        <v>0</v>
      </c>
      <c r="BC58" s="10">
        <f t="shared" si="84"/>
        <v>0</v>
      </c>
      <c r="BD58" s="10">
        <f t="shared" si="84"/>
        <v>0</v>
      </c>
      <c r="BE58" s="10">
        <f t="shared" si="84"/>
        <v>0</v>
      </c>
      <c r="BF58" s="10">
        <f t="shared" si="84"/>
        <v>0</v>
      </c>
      <c r="BG58" s="10">
        <f t="shared" si="84"/>
        <v>0</v>
      </c>
      <c r="BH58" s="10">
        <f t="shared" si="84"/>
        <v>0</v>
      </c>
      <c r="BI58" s="10">
        <f t="shared" si="84"/>
        <v>0</v>
      </c>
      <c r="BJ58" s="10">
        <f t="shared" si="84"/>
        <v>0</v>
      </c>
      <c r="BK58" s="10">
        <f t="shared" si="84"/>
        <v>0</v>
      </c>
      <c r="BL58" s="10">
        <f t="shared" si="84"/>
        <v>0</v>
      </c>
      <c r="BM58" s="10">
        <f t="shared" si="84"/>
        <v>0</v>
      </c>
      <c r="BN58" s="10">
        <f t="shared" si="84"/>
        <v>0</v>
      </c>
      <c r="BO58" s="10">
        <f t="shared" si="84"/>
        <v>0</v>
      </c>
      <c r="BP58" s="10">
        <f t="shared" si="84"/>
        <v>0</v>
      </c>
      <c r="BQ58" s="10">
        <f t="shared" si="84"/>
        <v>0</v>
      </c>
      <c r="BR58" s="10">
        <f t="shared" si="84"/>
        <v>0</v>
      </c>
      <c r="BS58" s="10">
        <f t="shared" si="84"/>
        <v>0</v>
      </c>
      <c r="BT58" s="10">
        <f t="shared" si="84"/>
        <v>0</v>
      </c>
      <c r="BU58" s="10">
        <f t="shared" si="84"/>
        <v>0</v>
      </c>
      <c r="BV58" s="10">
        <f t="shared" si="84"/>
        <v>0</v>
      </c>
      <c r="BW58" s="10">
        <f t="shared" si="84"/>
        <v>0</v>
      </c>
      <c r="BX58" s="10">
        <f t="shared" ref="BX58:CO58" si="85">SUMIF(Year,BX$6,Dividends)</f>
        <v>0</v>
      </c>
      <c r="BY58" s="10">
        <f t="shared" si="85"/>
        <v>0</v>
      </c>
      <c r="BZ58" s="10">
        <f t="shared" si="85"/>
        <v>0</v>
      </c>
      <c r="CA58" s="10">
        <f t="shared" si="85"/>
        <v>0</v>
      </c>
      <c r="CB58" s="10">
        <f t="shared" si="85"/>
        <v>0</v>
      </c>
      <c r="CC58" s="10">
        <f t="shared" si="85"/>
        <v>0</v>
      </c>
      <c r="CD58" s="10">
        <f t="shared" si="85"/>
        <v>0</v>
      </c>
      <c r="CE58" s="10">
        <f t="shared" si="85"/>
        <v>0</v>
      </c>
      <c r="CF58" s="10">
        <f t="shared" si="85"/>
        <v>0</v>
      </c>
      <c r="CG58" s="10">
        <f t="shared" si="85"/>
        <v>0</v>
      </c>
      <c r="CH58" s="10">
        <f t="shared" si="85"/>
        <v>0</v>
      </c>
      <c r="CI58" s="10">
        <f t="shared" si="85"/>
        <v>0</v>
      </c>
      <c r="CJ58" s="10">
        <f t="shared" si="85"/>
        <v>0</v>
      </c>
      <c r="CK58" s="10">
        <f t="shared" si="85"/>
        <v>0</v>
      </c>
      <c r="CL58" s="10">
        <f t="shared" si="85"/>
        <v>0</v>
      </c>
      <c r="CM58" s="10">
        <f t="shared" si="85"/>
        <v>0</v>
      </c>
      <c r="CN58" s="10">
        <f t="shared" si="85"/>
        <v>0</v>
      </c>
      <c r="CO58" s="10">
        <f t="shared" si="85"/>
        <v>0</v>
      </c>
    </row>
    <row r="59" spans="1:93" s="133" customFormat="1" thickTop="1">
      <c r="A59" s="10"/>
      <c r="B59" s="10"/>
      <c r="C59" s="49" t="s">
        <v>142</v>
      </c>
      <c r="D59" s="136"/>
      <c r="E59" s="136"/>
      <c r="F59" s="136"/>
      <c r="G59" s="137" t="str">
        <f t="shared" si="50"/>
        <v>тыс. руб.</v>
      </c>
      <c r="H59" s="136"/>
      <c r="I59" s="23">
        <f t="shared" ca="1" si="70"/>
        <v>819910.8225282057</v>
      </c>
      <c r="J59" s="136"/>
      <c r="K59" s="136"/>
      <c r="L59" s="49">
        <f t="shared" ref="L59:BW59" ca="1" si="86">SUM(L57:L58)</f>
        <v>0</v>
      </c>
      <c r="M59" s="49">
        <f t="shared" ca="1" si="86"/>
        <v>0</v>
      </c>
      <c r="N59" s="49">
        <f t="shared" ca="1" si="86"/>
        <v>0</v>
      </c>
      <c r="O59" s="49">
        <f t="shared" ca="1" si="86"/>
        <v>0</v>
      </c>
      <c r="P59" s="49">
        <f t="shared" ca="1" si="86"/>
        <v>174398.8609637031</v>
      </c>
      <c r="Q59" s="49">
        <f t="shared" ca="1" si="86"/>
        <v>264354.18640664802</v>
      </c>
      <c r="R59" s="49">
        <f t="shared" ca="1" si="86"/>
        <v>390938.23540822271</v>
      </c>
      <c r="S59" s="49">
        <f t="shared" ca="1" si="86"/>
        <v>519310.47292986646</v>
      </c>
      <c r="T59" s="49">
        <f t="shared" ca="1" si="86"/>
        <v>589352.84802291717</v>
      </c>
      <c r="U59" s="49">
        <f t="shared" ca="1" si="86"/>
        <v>-71168.745333505271</v>
      </c>
      <c r="V59" s="49">
        <f t="shared" ca="1" si="86"/>
        <v>-186144.50654700608</v>
      </c>
      <c r="W59" s="49">
        <f t="shared" ca="1" si="86"/>
        <v>-115054.94896207191</v>
      </c>
      <c r="X59" s="49">
        <f t="shared" ca="1" si="86"/>
        <v>-91320.865940467338</v>
      </c>
      <c r="Y59" s="49">
        <f t="shared" ca="1" si="86"/>
        <v>-91263.51172094862</v>
      </c>
      <c r="Z59" s="49">
        <f t="shared" ca="1" si="86"/>
        <v>-91203.831550657982</v>
      </c>
      <c r="AA59" s="49">
        <f t="shared" ca="1" si="86"/>
        <v>-91141.799923973274</v>
      </c>
      <c r="AB59" s="49">
        <f t="shared" ca="1" si="86"/>
        <v>-91077.17835095292</v>
      </c>
      <c r="AC59" s="49">
        <f t="shared" ca="1" si="86"/>
        <v>-91010.082026296877</v>
      </c>
      <c r="AD59" s="49">
        <f t="shared" ca="1" si="86"/>
        <v>-90940.264668219956</v>
      </c>
      <c r="AE59" s="49">
        <f t="shared" ca="1" si="86"/>
        <v>-90867.69643875258</v>
      </c>
      <c r="AF59" s="49">
        <f t="shared" ca="1" si="86"/>
        <v>-17250.349740299163</v>
      </c>
      <c r="AG59" s="49">
        <f t="shared" si="86"/>
        <v>0</v>
      </c>
      <c r="AH59" s="49">
        <f t="shared" si="86"/>
        <v>0</v>
      </c>
      <c r="AI59" s="49">
        <f t="shared" si="86"/>
        <v>0</v>
      </c>
      <c r="AJ59" s="49">
        <f t="shared" si="86"/>
        <v>0</v>
      </c>
      <c r="AK59" s="49">
        <f t="shared" si="86"/>
        <v>0</v>
      </c>
      <c r="AL59" s="49">
        <f t="shared" si="86"/>
        <v>0</v>
      </c>
      <c r="AM59" s="49">
        <f t="shared" si="86"/>
        <v>0</v>
      </c>
      <c r="AN59" s="49">
        <f t="shared" si="86"/>
        <v>0</v>
      </c>
      <c r="AO59" s="49">
        <f t="shared" si="86"/>
        <v>0</v>
      </c>
      <c r="AP59" s="49">
        <f t="shared" si="86"/>
        <v>0</v>
      </c>
      <c r="AQ59" s="49">
        <f t="shared" si="86"/>
        <v>0</v>
      </c>
      <c r="AR59" s="49">
        <f t="shared" si="86"/>
        <v>0</v>
      </c>
      <c r="AS59" s="49">
        <f t="shared" si="86"/>
        <v>0</v>
      </c>
      <c r="AT59" s="49">
        <f t="shared" si="86"/>
        <v>0</v>
      </c>
      <c r="AU59" s="49">
        <f t="shared" si="86"/>
        <v>0</v>
      </c>
      <c r="AV59" s="49">
        <f t="shared" si="86"/>
        <v>0</v>
      </c>
      <c r="AW59" s="49">
        <f t="shared" si="86"/>
        <v>0</v>
      </c>
      <c r="AX59" s="49">
        <f t="shared" si="86"/>
        <v>0</v>
      </c>
      <c r="AY59" s="49">
        <f t="shared" si="86"/>
        <v>0</v>
      </c>
      <c r="AZ59" s="49">
        <f t="shared" si="86"/>
        <v>0</v>
      </c>
      <c r="BA59" s="49">
        <f t="shared" si="86"/>
        <v>0</v>
      </c>
      <c r="BB59" s="49">
        <f t="shared" si="86"/>
        <v>0</v>
      </c>
      <c r="BC59" s="49">
        <f t="shared" si="86"/>
        <v>0</v>
      </c>
      <c r="BD59" s="49">
        <f t="shared" si="86"/>
        <v>0</v>
      </c>
      <c r="BE59" s="49">
        <f t="shared" si="86"/>
        <v>0</v>
      </c>
      <c r="BF59" s="49">
        <f t="shared" si="86"/>
        <v>0</v>
      </c>
      <c r="BG59" s="49">
        <f t="shared" si="86"/>
        <v>0</v>
      </c>
      <c r="BH59" s="49">
        <f t="shared" si="86"/>
        <v>0</v>
      </c>
      <c r="BI59" s="49">
        <f t="shared" si="86"/>
        <v>0</v>
      </c>
      <c r="BJ59" s="49">
        <f t="shared" si="86"/>
        <v>0</v>
      </c>
      <c r="BK59" s="49">
        <f t="shared" si="86"/>
        <v>0</v>
      </c>
      <c r="BL59" s="49">
        <f t="shared" si="86"/>
        <v>0</v>
      </c>
      <c r="BM59" s="49">
        <f t="shared" si="86"/>
        <v>0</v>
      </c>
      <c r="BN59" s="49">
        <f t="shared" si="86"/>
        <v>0</v>
      </c>
      <c r="BO59" s="49">
        <f t="shared" si="86"/>
        <v>0</v>
      </c>
      <c r="BP59" s="49">
        <f t="shared" si="86"/>
        <v>0</v>
      </c>
      <c r="BQ59" s="49">
        <f t="shared" si="86"/>
        <v>0</v>
      </c>
      <c r="BR59" s="49">
        <f t="shared" si="86"/>
        <v>0</v>
      </c>
      <c r="BS59" s="49">
        <f t="shared" si="86"/>
        <v>0</v>
      </c>
      <c r="BT59" s="49">
        <f t="shared" si="86"/>
        <v>0</v>
      </c>
      <c r="BU59" s="49">
        <f t="shared" si="86"/>
        <v>0</v>
      </c>
      <c r="BV59" s="49">
        <f t="shared" si="86"/>
        <v>0</v>
      </c>
      <c r="BW59" s="49">
        <f t="shared" si="86"/>
        <v>0</v>
      </c>
      <c r="BX59" s="49">
        <f t="shared" ref="BX59:CO59" si="87">SUM(BX57:BX58)</f>
        <v>0</v>
      </c>
      <c r="BY59" s="49">
        <f t="shared" si="87"/>
        <v>0</v>
      </c>
      <c r="BZ59" s="49">
        <f t="shared" si="87"/>
        <v>0</v>
      </c>
      <c r="CA59" s="49">
        <f t="shared" si="87"/>
        <v>0</v>
      </c>
      <c r="CB59" s="49">
        <f t="shared" si="87"/>
        <v>0</v>
      </c>
      <c r="CC59" s="49">
        <f t="shared" si="87"/>
        <v>0</v>
      </c>
      <c r="CD59" s="49">
        <f t="shared" si="87"/>
        <v>0</v>
      </c>
      <c r="CE59" s="49">
        <f t="shared" si="87"/>
        <v>0</v>
      </c>
      <c r="CF59" s="49">
        <f t="shared" si="87"/>
        <v>0</v>
      </c>
      <c r="CG59" s="49">
        <f t="shared" si="87"/>
        <v>0</v>
      </c>
      <c r="CH59" s="49">
        <f t="shared" si="87"/>
        <v>0</v>
      </c>
      <c r="CI59" s="49">
        <f t="shared" si="87"/>
        <v>0</v>
      </c>
      <c r="CJ59" s="49">
        <f t="shared" si="87"/>
        <v>0</v>
      </c>
      <c r="CK59" s="49">
        <f t="shared" si="87"/>
        <v>0</v>
      </c>
      <c r="CL59" s="49">
        <f t="shared" si="87"/>
        <v>0</v>
      </c>
      <c r="CM59" s="49">
        <f t="shared" si="87"/>
        <v>0</v>
      </c>
      <c r="CN59" s="49">
        <f t="shared" si="87"/>
        <v>0</v>
      </c>
      <c r="CO59" s="49">
        <f t="shared" si="87"/>
        <v>0</v>
      </c>
    </row>
    <row r="60" spans="1:93" s="133" customFormat="1" ht="14.25">
      <c r="A60" s="10"/>
      <c r="B60" s="10"/>
      <c r="C60" s="17"/>
      <c r="D60" s="10"/>
      <c r="E60" s="10"/>
      <c r="F60" s="10"/>
      <c r="G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</row>
    <row r="61" spans="1:93" s="133" customFormat="1" ht="14.25">
      <c r="A61" s="10"/>
      <c r="B61" s="10"/>
      <c r="C61" s="17" t="s">
        <v>81</v>
      </c>
      <c r="D61" s="10"/>
      <c r="E61" s="10"/>
      <c r="F61" s="10"/>
      <c r="G61" s="134" t="str">
        <f>Monetary_Unit</f>
        <v>тыс. руб.</v>
      </c>
      <c r="H61" s="10"/>
      <c r="I61" s="23">
        <f ca="1">SUM(L61:CQ61)</f>
        <v>13099701.053426955</v>
      </c>
      <c r="J61" s="10"/>
      <c r="K61" s="10"/>
      <c r="L61" s="52">
        <f ca="1">SUM(L44:L45,L47)</f>
        <v>0</v>
      </c>
      <c r="M61" s="52">
        <f t="shared" ref="M61:BX61" ca="1" si="88">SUM(M44:M45,M47)</f>
        <v>0</v>
      </c>
      <c r="N61" s="52">
        <f t="shared" ca="1" si="88"/>
        <v>0</v>
      </c>
      <c r="O61" s="52">
        <f t="shared" ca="1" si="88"/>
        <v>0</v>
      </c>
      <c r="P61" s="52">
        <f t="shared" ca="1" si="88"/>
        <v>489483.50899013702</v>
      </c>
      <c r="Q61" s="52">
        <f t="shared" ca="1" si="88"/>
        <v>649978.51569404267</v>
      </c>
      <c r="R61" s="52">
        <f t="shared" ca="1" si="88"/>
        <v>749489.34295234678</v>
      </c>
      <c r="S61" s="52">
        <f ca="1">SUM(S44:S45,S47)</f>
        <v>842186.52796948003</v>
      </c>
      <c r="T61" s="52">
        <f t="shared" ca="1" si="88"/>
        <v>877560.15124850872</v>
      </c>
      <c r="U61" s="52">
        <f t="shared" ca="1" si="88"/>
        <v>714492.91046626726</v>
      </c>
      <c r="V61" s="52">
        <f t="shared" ca="1" si="88"/>
        <v>713414.03416928439</v>
      </c>
      <c r="W61" s="52">
        <f t="shared" ca="1" si="88"/>
        <v>743415.18904734054</v>
      </c>
      <c r="X61" s="52">
        <f t="shared" ca="1" si="88"/>
        <v>772384.3868386657</v>
      </c>
      <c r="Y61" s="52">
        <f t="shared" ca="1" si="88"/>
        <v>803650.23656768654</v>
      </c>
      <c r="Z61" s="52">
        <f t="shared" ca="1" si="88"/>
        <v>816107.13286324963</v>
      </c>
      <c r="AA61" s="52">
        <f t="shared" ca="1" si="88"/>
        <v>833004.96552292386</v>
      </c>
      <c r="AB61" s="52">
        <f t="shared" ca="1" si="88"/>
        <v>868937.55505337263</v>
      </c>
      <c r="AC61" s="52">
        <f t="shared" ca="1" si="88"/>
        <v>907554.79834606196</v>
      </c>
      <c r="AD61" s="52">
        <f t="shared" ca="1" si="88"/>
        <v>947635.10651639837</v>
      </c>
      <c r="AE61" s="52">
        <f t="shared" ca="1" si="88"/>
        <v>990732.27574402781</v>
      </c>
      <c r="AF61" s="52">
        <f t="shared" ca="1" si="88"/>
        <v>379674.4154371625</v>
      </c>
      <c r="AG61" s="52">
        <f t="shared" si="88"/>
        <v>0</v>
      </c>
      <c r="AH61" s="52">
        <f t="shared" si="88"/>
        <v>0</v>
      </c>
      <c r="AI61" s="52">
        <f t="shared" si="88"/>
        <v>0</v>
      </c>
      <c r="AJ61" s="52">
        <f t="shared" si="88"/>
        <v>0</v>
      </c>
      <c r="AK61" s="52">
        <f t="shared" si="88"/>
        <v>0</v>
      </c>
      <c r="AL61" s="52">
        <f t="shared" si="88"/>
        <v>0</v>
      </c>
      <c r="AM61" s="52">
        <f t="shared" si="88"/>
        <v>0</v>
      </c>
      <c r="AN61" s="52">
        <f t="shared" si="88"/>
        <v>0</v>
      </c>
      <c r="AO61" s="52">
        <f t="shared" si="88"/>
        <v>0</v>
      </c>
      <c r="AP61" s="52">
        <f t="shared" si="88"/>
        <v>0</v>
      </c>
      <c r="AQ61" s="52">
        <f t="shared" si="88"/>
        <v>0</v>
      </c>
      <c r="AR61" s="52">
        <f t="shared" si="88"/>
        <v>0</v>
      </c>
      <c r="AS61" s="52">
        <f t="shared" si="88"/>
        <v>0</v>
      </c>
      <c r="AT61" s="52">
        <f t="shared" si="88"/>
        <v>0</v>
      </c>
      <c r="AU61" s="52">
        <f t="shared" si="88"/>
        <v>0</v>
      </c>
      <c r="AV61" s="52">
        <f t="shared" si="88"/>
        <v>0</v>
      </c>
      <c r="AW61" s="52">
        <f t="shared" si="88"/>
        <v>0</v>
      </c>
      <c r="AX61" s="52">
        <f t="shared" si="88"/>
        <v>0</v>
      </c>
      <c r="AY61" s="52">
        <f t="shared" si="88"/>
        <v>0</v>
      </c>
      <c r="AZ61" s="52">
        <f t="shared" si="88"/>
        <v>0</v>
      </c>
      <c r="BA61" s="52">
        <f t="shared" si="88"/>
        <v>0</v>
      </c>
      <c r="BB61" s="52">
        <f t="shared" si="88"/>
        <v>0</v>
      </c>
      <c r="BC61" s="52">
        <f t="shared" si="88"/>
        <v>0</v>
      </c>
      <c r="BD61" s="52">
        <f t="shared" si="88"/>
        <v>0</v>
      </c>
      <c r="BE61" s="52">
        <f t="shared" si="88"/>
        <v>0</v>
      </c>
      <c r="BF61" s="52">
        <f t="shared" si="88"/>
        <v>0</v>
      </c>
      <c r="BG61" s="52">
        <f t="shared" si="88"/>
        <v>0</v>
      </c>
      <c r="BH61" s="52">
        <f t="shared" si="88"/>
        <v>0</v>
      </c>
      <c r="BI61" s="52">
        <f t="shared" si="88"/>
        <v>0</v>
      </c>
      <c r="BJ61" s="52">
        <f t="shared" si="88"/>
        <v>0</v>
      </c>
      <c r="BK61" s="52">
        <f t="shared" si="88"/>
        <v>0</v>
      </c>
      <c r="BL61" s="52">
        <f t="shared" si="88"/>
        <v>0</v>
      </c>
      <c r="BM61" s="52">
        <f t="shared" si="88"/>
        <v>0</v>
      </c>
      <c r="BN61" s="52">
        <f t="shared" si="88"/>
        <v>0</v>
      </c>
      <c r="BO61" s="52">
        <f t="shared" si="88"/>
        <v>0</v>
      </c>
      <c r="BP61" s="52">
        <f t="shared" si="88"/>
        <v>0</v>
      </c>
      <c r="BQ61" s="52">
        <f t="shared" si="88"/>
        <v>0</v>
      </c>
      <c r="BR61" s="52">
        <f t="shared" si="88"/>
        <v>0</v>
      </c>
      <c r="BS61" s="52">
        <f t="shared" si="88"/>
        <v>0</v>
      </c>
      <c r="BT61" s="52">
        <f t="shared" si="88"/>
        <v>0</v>
      </c>
      <c r="BU61" s="52">
        <f t="shared" si="88"/>
        <v>0</v>
      </c>
      <c r="BV61" s="52">
        <f t="shared" si="88"/>
        <v>0</v>
      </c>
      <c r="BW61" s="52">
        <f t="shared" si="88"/>
        <v>0</v>
      </c>
      <c r="BX61" s="52">
        <f t="shared" si="88"/>
        <v>0</v>
      </c>
      <c r="BY61" s="52">
        <f t="shared" ref="BY61:CO61" si="89">SUM(BY44:BY45,BY47)</f>
        <v>0</v>
      </c>
      <c r="BZ61" s="52">
        <f t="shared" si="89"/>
        <v>0</v>
      </c>
      <c r="CA61" s="52">
        <f t="shared" si="89"/>
        <v>0</v>
      </c>
      <c r="CB61" s="52">
        <f t="shared" si="89"/>
        <v>0</v>
      </c>
      <c r="CC61" s="52">
        <f t="shared" si="89"/>
        <v>0</v>
      </c>
      <c r="CD61" s="52">
        <f t="shared" si="89"/>
        <v>0</v>
      </c>
      <c r="CE61" s="52">
        <f t="shared" si="89"/>
        <v>0</v>
      </c>
      <c r="CF61" s="52">
        <f t="shared" si="89"/>
        <v>0</v>
      </c>
      <c r="CG61" s="52">
        <f t="shared" si="89"/>
        <v>0</v>
      </c>
      <c r="CH61" s="52">
        <f t="shared" si="89"/>
        <v>0</v>
      </c>
      <c r="CI61" s="52">
        <f t="shared" si="89"/>
        <v>0</v>
      </c>
      <c r="CJ61" s="52">
        <f t="shared" si="89"/>
        <v>0</v>
      </c>
      <c r="CK61" s="52">
        <f t="shared" si="89"/>
        <v>0</v>
      </c>
      <c r="CL61" s="52">
        <f t="shared" si="89"/>
        <v>0</v>
      </c>
      <c r="CM61" s="52">
        <f t="shared" si="89"/>
        <v>0</v>
      </c>
      <c r="CN61" s="52">
        <f t="shared" si="89"/>
        <v>0</v>
      </c>
      <c r="CO61" s="52">
        <f t="shared" si="89"/>
        <v>0</v>
      </c>
    </row>
    <row r="62" spans="1:93" s="133" customFormat="1" ht="14.25">
      <c r="A62" s="10"/>
      <c r="B62" s="10"/>
      <c r="C62" s="17" t="s">
        <v>82</v>
      </c>
      <c r="D62" s="10"/>
      <c r="E62" s="10"/>
      <c r="F62" s="10"/>
      <c r="G62" s="134" t="str">
        <f>Monetary_Unit</f>
        <v>тыс. руб.</v>
      </c>
      <c r="H62" s="10"/>
      <c r="I62" s="23">
        <f ca="1">SUM(L62:CQ62)</f>
        <v>10929416.280336697</v>
      </c>
      <c r="J62" s="10"/>
      <c r="K62" s="10"/>
      <c r="L62" s="52">
        <f ca="1">SUM(L44:L45,L47,L51)</f>
        <v>0</v>
      </c>
      <c r="M62" s="52">
        <f t="shared" ref="M62:BX62" ca="1" si="90">SUM(M44:M45,M47,M51)</f>
        <v>0</v>
      </c>
      <c r="N62" s="52">
        <f t="shared" ca="1" si="90"/>
        <v>0</v>
      </c>
      <c r="O62" s="52">
        <f t="shared" ca="1" si="90"/>
        <v>0</v>
      </c>
      <c r="P62" s="52">
        <f t="shared" ca="1" si="90"/>
        <v>348880.33931601292</v>
      </c>
      <c r="Q62" s="52">
        <f t="shared" ca="1" si="90"/>
        <v>462507.62279521057</v>
      </c>
      <c r="R62" s="52">
        <f t="shared" ca="1" si="90"/>
        <v>562018.45005351468</v>
      </c>
      <c r="S62" s="52">
        <f t="shared" ca="1" si="90"/>
        <v>654715.63507064793</v>
      </c>
      <c r="T62" s="52">
        <f t="shared" ca="1" si="90"/>
        <v>690089.25834967662</v>
      </c>
      <c r="U62" s="52">
        <f t="shared" ca="1" si="90"/>
        <v>527022.01756743516</v>
      </c>
      <c r="V62" s="52">
        <f t="shared" ca="1" si="90"/>
        <v>525943.1412704523</v>
      </c>
      <c r="W62" s="52">
        <f t="shared" ca="1" si="90"/>
        <v>626980.82883897587</v>
      </c>
      <c r="X62" s="52">
        <f t="shared" ca="1" si="90"/>
        <v>679628.87086045672</v>
      </c>
      <c r="Y62" s="52">
        <f t="shared" ca="1" si="90"/>
        <v>710894.72058947757</v>
      </c>
      <c r="Z62" s="52">
        <f t="shared" ca="1" si="90"/>
        <v>723351.61688504065</v>
      </c>
      <c r="AA62" s="52">
        <f t="shared" ca="1" si="90"/>
        <v>740249.44954471488</v>
      </c>
      <c r="AB62" s="52">
        <f t="shared" ca="1" si="90"/>
        <v>776182.03907516366</v>
      </c>
      <c r="AC62" s="52">
        <f t="shared" ca="1" si="90"/>
        <v>814799.28236785298</v>
      </c>
      <c r="AD62" s="52">
        <f t="shared" ca="1" si="90"/>
        <v>854879.5905381894</v>
      </c>
      <c r="AE62" s="52">
        <f t="shared" ca="1" si="90"/>
        <v>897976.75976581883</v>
      </c>
      <c r="AF62" s="52">
        <f t="shared" ca="1" si="90"/>
        <v>333296.65744805802</v>
      </c>
      <c r="AG62" s="52">
        <f t="shared" si="90"/>
        <v>0</v>
      </c>
      <c r="AH62" s="52">
        <f t="shared" si="90"/>
        <v>0</v>
      </c>
      <c r="AI62" s="52">
        <f t="shared" si="90"/>
        <v>0</v>
      </c>
      <c r="AJ62" s="52">
        <f t="shared" si="90"/>
        <v>0</v>
      </c>
      <c r="AK62" s="52">
        <f t="shared" si="90"/>
        <v>0</v>
      </c>
      <c r="AL62" s="52">
        <f t="shared" si="90"/>
        <v>0</v>
      </c>
      <c r="AM62" s="52">
        <f t="shared" si="90"/>
        <v>0</v>
      </c>
      <c r="AN62" s="52">
        <f t="shared" si="90"/>
        <v>0</v>
      </c>
      <c r="AO62" s="52">
        <f t="shared" si="90"/>
        <v>0</v>
      </c>
      <c r="AP62" s="52">
        <f t="shared" si="90"/>
        <v>0</v>
      </c>
      <c r="AQ62" s="52">
        <f t="shared" si="90"/>
        <v>0</v>
      </c>
      <c r="AR62" s="52">
        <f t="shared" si="90"/>
        <v>0</v>
      </c>
      <c r="AS62" s="52">
        <f t="shared" si="90"/>
        <v>0</v>
      </c>
      <c r="AT62" s="52">
        <f t="shared" si="90"/>
        <v>0</v>
      </c>
      <c r="AU62" s="52">
        <f t="shared" si="90"/>
        <v>0</v>
      </c>
      <c r="AV62" s="52">
        <f t="shared" si="90"/>
        <v>0</v>
      </c>
      <c r="AW62" s="52">
        <f t="shared" si="90"/>
        <v>0</v>
      </c>
      <c r="AX62" s="52">
        <f t="shared" si="90"/>
        <v>0</v>
      </c>
      <c r="AY62" s="52">
        <f t="shared" si="90"/>
        <v>0</v>
      </c>
      <c r="AZ62" s="52">
        <f t="shared" si="90"/>
        <v>0</v>
      </c>
      <c r="BA62" s="52">
        <f t="shared" si="90"/>
        <v>0</v>
      </c>
      <c r="BB62" s="52">
        <f t="shared" si="90"/>
        <v>0</v>
      </c>
      <c r="BC62" s="52">
        <f t="shared" si="90"/>
        <v>0</v>
      </c>
      <c r="BD62" s="52">
        <f t="shared" si="90"/>
        <v>0</v>
      </c>
      <c r="BE62" s="52">
        <f t="shared" si="90"/>
        <v>0</v>
      </c>
      <c r="BF62" s="52">
        <f t="shared" si="90"/>
        <v>0</v>
      </c>
      <c r="BG62" s="52">
        <f t="shared" si="90"/>
        <v>0</v>
      </c>
      <c r="BH62" s="52">
        <f t="shared" si="90"/>
        <v>0</v>
      </c>
      <c r="BI62" s="52">
        <f t="shared" si="90"/>
        <v>0</v>
      </c>
      <c r="BJ62" s="52">
        <f t="shared" si="90"/>
        <v>0</v>
      </c>
      <c r="BK62" s="52">
        <f t="shared" si="90"/>
        <v>0</v>
      </c>
      <c r="BL62" s="52">
        <f t="shared" si="90"/>
        <v>0</v>
      </c>
      <c r="BM62" s="52">
        <f t="shared" si="90"/>
        <v>0</v>
      </c>
      <c r="BN62" s="52">
        <f t="shared" si="90"/>
        <v>0</v>
      </c>
      <c r="BO62" s="52">
        <f t="shared" si="90"/>
        <v>0</v>
      </c>
      <c r="BP62" s="52">
        <f t="shared" si="90"/>
        <v>0</v>
      </c>
      <c r="BQ62" s="52">
        <f t="shared" si="90"/>
        <v>0</v>
      </c>
      <c r="BR62" s="52">
        <f t="shared" si="90"/>
        <v>0</v>
      </c>
      <c r="BS62" s="52">
        <f t="shared" si="90"/>
        <v>0</v>
      </c>
      <c r="BT62" s="52">
        <f t="shared" si="90"/>
        <v>0</v>
      </c>
      <c r="BU62" s="52">
        <f t="shared" si="90"/>
        <v>0</v>
      </c>
      <c r="BV62" s="52">
        <f t="shared" si="90"/>
        <v>0</v>
      </c>
      <c r="BW62" s="52">
        <f t="shared" si="90"/>
        <v>0</v>
      </c>
      <c r="BX62" s="52">
        <f t="shared" si="90"/>
        <v>0</v>
      </c>
      <c r="BY62" s="52">
        <f t="shared" ref="BY62:CO62" si="91">SUM(BY44:BY45,BY47,BY51)</f>
        <v>0</v>
      </c>
      <c r="BZ62" s="52">
        <f t="shared" si="91"/>
        <v>0</v>
      </c>
      <c r="CA62" s="52">
        <f t="shared" si="91"/>
        <v>0</v>
      </c>
      <c r="CB62" s="52">
        <f t="shared" si="91"/>
        <v>0</v>
      </c>
      <c r="CC62" s="52">
        <f t="shared" si="91"/>
        <v>0</v>
      </c>
      <c r="CD62" s="52">
        <f t="shared" si="91"/>
        <v>0</v>
      </c>
      <c r="CE62" s="52">
        <f t="shared" si="91"/>
        <v>0</v>
      </c>
      <c r="CF62" s="52">
        <f t="shared" si="91"/>
        <v>0</v>
      </c>
      <c r="CG62" s="52">
        <f t="shared" si="91"/>
        <v>0</v>
      </c>
      <c r="CH62" s="52">
        <f t="shared" si="91"/>
        <v>0</v>
      </c>
      <c r="CI62" s="52">
        <f t="shared" si="91"/>
        <v>0</v>
      </c>
      <c r="CJ62" s="52">
        <f t="shared" si="91"/>
        <v>0</v>
      </c>
      <c r="CK62" s="52">
        <f t="shared" si="91"/>
        <v>0</v>
      </c>
      <c r="CL62" s="52">
        <f t="shared" si="91"/>
        <v>0</v>
      </c>
      <c r="CM62" s="52">
        <f t="shared" si="91"/>
        <v>0</v>
      </c>
      <c r="CN62" s="52">
        <f t="shared" si="91"/>
        <v>0</v>
      </c>
      <c r="CO62" s="52">
        <f t="shared" si="91"/>
        <v>0</v>
      </c>
    </row>
    <row r="63" spans="1:93" s="133" customFormat="1" ht="14.25">
      <c r="A63" s="10"/>
      <c r="B63" s="10"/>
      <c r="C63" s="17" t="s">
        <v>513</v>
      </c>
      <c r="D63" s="10"/>
      <c r="E63" s="10"/>
      <c r="F63" s="10"/>
      <c r="G63" s="134" t="s">
        <v>28</v>
      </c>
      <c r="H63" s="10"/>
      <c r="I63" s="10"/>
      <c r="J63" s="10"/>
      <c r="K63" s="10"/>
      <c r="L63" s="43">
        <f ca="1">IFERROR(L61/L44,0)</f>
        <v>0</v>
      </c>
      <c r="M63" s="43">
        <f t="shared" ref="M63:BX63" ca="1" si="92">IFERROR(M61/M44,0)</f>
        <v>0</v>
      </c>
      <c r="N63" s="43">
        <f t="shared" ca="1" si="92"/>
        <v>0</v>
      </c>
      <c r="O63" s="43">
        <f t="shared" ca="1" si="92"/>
        <v>0</v>
      </c>
      <c r="P63" s="43">
        <f t="shared" ca="1" si="92"/>
        <v>0.47155403875217022</v>
      </c>
      <c r="Q63" s="43">
        <f t="shared" ca="1" si="92"/>
        <v>0.46712415575244554</v>
      </c>
      <c r="R63" s="43">
        <f t="shared" ca="1" si="92"/>
        <v>0.46804522137276189</v>
      </c>
      <c r="S63" s="43">
        <f t="shared" ca="1" si="92"/>
        <v>0.46861581885206632</v>
      </c>
      <c r="T63" s="43">
        <f t="shared" ca="1" si="92"/>
        <v>0.46877647493012997</v>
      </c>
      <c r="U63" s="43">
        <f t="shared" ca="1" si="92"/>
        <v>0.40866385170793018</v>
      </c>
      <c r="V63" s="43">
        <f t="shared" ca="1" si="92"/>
        <v>0.39894115334223396</v>
      </c>
      <c r="W63" s="43">
        <f t="shared" ca="1" si="92"/>
        <v>0.39910824685961704</v>
      </c>
      <c r="X63" s="43">
        <f t="shared" ca="1" si="92"/>
        <v>0.39933189409890357</v>
      </c>
      <c r="Y63" s="43">
        <f t="shared" ca="1" si="92"/>
        <v>0.39951606677832924</v>
      </c>
      <c r="Z63" s="43">
        <f t="shared" ca="1" si="92"/>
        <v>0.39010454203381056</v>
      </c>
      <c r="AA63" s="43">
        <f t="shared" ca="1" si="92"/>
        <v>0.38227289428950695</v>
      </c>
      <c r="AB63" s="43">
        <f t="shared" ca="1" si="92"/>
        <v>0.38402166146442557</v>
      </c>
      <c r="AC63" s="43">
        <f t="shared" ca="1" si="92"/>
        <v>0.38566184326526304</v>
      </c>
      <c r="AD63" s="43">
        <f t="shared" ca="1" si="92"/>
        <v>0.38720558907298819</v>
      </c>
      <c r="AE63" s="43">
        <f t="shared" ca="1" si="92"/>
        <v>0.38864122719486982</v>
      </c>
      <c r="AF63" s="43">
        <f t="shared" ca="1" si="92"/>
        <v>0.37215256703609223</v>
      </c>
      <c r="AG63" s="43">
        <f t="shared" si="92"/>
        <v>0</v>
      </c>
      <c r="AH63" s="43">
        <f t="shared" si="92"/>
        <v>0</v>
      </c>
      <c r="AI63" s="43">
        <f t="shared" si="92"/>
        <v>0</v>
      </c>
      <c r="AJ63" s="43">
        <f t="shared" si="92"/>
        <v>0</v>
      </c>
      <c r="AK63" s="43">
        <f t="shared" si="92"/>
        <v>0</v>
      </c>
      <c r="AL63" s="43">
        <f t="shared" si="92"/>
        <v>0</v>
      </c>
      <c r="AM63" s="43">
        <f t="shared" si="92"/>
        <v>0</v>
      </c>
      <c r="AN63" s="43">
        <f t="shared" si="92"/>
        <v>0</v>
      </c>
      <c r="AO63" s="43">
        <f t="shared" si="92"/>
        <v>0</v>
      </c>
      <c r="AP63" s="43">
        <f t="shared" si="92"/>
        <v>0</v>
      </c>
      <c r="AQ63" s="43">
        <f t="shared" si="92"/>
        <v>0</v>
      </c>
      <c r="AR63" s="43">
        <f t="shared" si="92"/>
        <v>0</v>
      </c>
      <c r="AS63" s="43">
        <f t="shared" si="92"/>
        <v>0</v>
      </c>
      <c r="AT63" s="43">
        <f t="shared" si="92"/>
        <v>0</v>
      </c>
      <c r="AU63" s="43">
        <f t="shared" si="92"/>
        <v>0</v>
      </c>
      <c r="AV63" s="43">
        <f t="shared" si="92"/>
        <v>0</v>
      </c>
      <c r="AW63" s="43">
        <f t="shared" si="92"/>
        <v>0</v>
      </c>
      <c r="AX63" s="43">
        <f t="shared" si="92"/>
        <v>0</v>
      </c>
      <c r="AY63" s="43">
        <f t="shared" si="92"/>
        <v>0</v>
      </c>
      <c r="AZ63" s="43">
        <f t="shared" si="92"/>
        <v>0</v>
      </c>
      <c r="BA63" s="43">
        <f t="shared" si="92"/>
        <v>0</v>
      </c>
      <c r="BB63" s="43">
        <f t="shared" si="92"/>
        <v>0</v>
      </c>
      <c r="BC63" s="43">
        <f t="shared" si="92"/>
        <v>0</v>
      </c>
      <c r="BD63" s="43">
        <f t="shared" si="92"/>
        <v>0</v>
      </c>
      <c r="BE63" s="43">
        <f t="shared" si="92"/>
        <v>0</v>
      </c>
      <c r="BF63" s="43">
        <f t="shared" si="92"/>
        <v>0</v>
      </c>
      <c r="BG63" s="43">
        <f t="shared" si="92"/>
        <v>0</v>
      </c>
      <c r="BH63" s="43">
        <f t="shared" si="92"/>
        <v>0</v>
      </c>
      <c r="BI63" s="43">
        <f t="shared" si="92"/>
        <v>0</v>
      </c>
      <c r="BJ63" s="43">
        <f t="shared" si="92"/>
        <v>0</v>
      </c>
      <c r="BK63" s="43">
        <f t="shared" si="92"/>
        <v>0</v>
      </c>
      <c r="BL63" s="43">
        <f t="shared" si="92"/>
        <v>0</v>
      </c>
      <c r="BM63" s="43">
        <f t="shared" si="92"/>
        <v>0</v>
      </c>
      <c r="BN63" s="43">
        <f t="shared" si="92"/>
        <v>0</v>
      </c>
      <c r="BO63" s="43">
        <f t="shared" si="92"/>
        <v>0</v>
      </c>
      <c r="BP63" s="43">
        <f t="shared" si="92"/>
        <v>0</v>
      </c>
      <c r="BQ63" s="43">
        <f t="shared" si="92"/>
        <v>0</v>
      </c>
      <c r="BR63" s="43">
        <f t="shared" si="92"/>
        <v>0</v>
      </c>
      <c r="BS63" s="43">
        <f t="shared" si="92"/>
        <v>0</v>
      </c>
      <c r="BT63" s="43">
        <f t="shared" si="92"/>
        <v>0</v>
      </c>
      <c r="BU63" s="43">
        <f t="shared" si="92"/>
        <v>0</v>
      </c>
      <c r="BV63" s="43">
        <f t="shared" si="92"/>
        <v>0</v>
      </c>
      <c r="BW63" s="43">
        <f t="shared" si="92"/>
        <v>0</v>
      </c>
      <c r="BX63" s="43">
        <f t="shared" si="92"/>
        <v>0</v>
      </c>
      <c r="BY63" s="43">
        <f t="shared" ref="BY63:CO63" si="93">IFERROR(BY61/BY44,0)</f>
        <v>0</v>
      </c>
      <c r="BZ63" s="43">
        <f t="shared" si="93"/>
        <v>0</v>
      </c>
      <c r="CA63" s="43">
        <f t="shared" si="93"/>
        <v>0</v>
      </c>
      <c r="CB63" s="43">
        <f t="shared" si="93"/>
        <v>0</v>
      </c>
      <c r="CC63" s="43">
        <f t="shared" si="93"/>
        <v>0</v>
      </c>
      <c r="CD63" s="43">
        <f t="shared" si="93"/>
        <v>0</v>
      </c>
      <c r="CE63" s="43">
        <f t="shared" si="93"/>
        <v>0</v>
      </c>
      <c r="CF63" s="43">
        <f t="shared" si="93"/>
        <v>0</v>
      </c>
      <c r="CG63" s="43">
        <f t="shared" si="93"/>
        <v>0</v>
      </c>
      <c r="CH63" s="43">
        <f t="shared" si="93"/>
        <v>0</v>
      </c>
      <c r="CI63" s="43">
        <f t="shared" si="93"/>
        <v>0</v>
      </c>
      <c r="CJ63" s="43">
        <f t="shared" si="93"/>
        <v>0</v>
      </c>
      <c r="CK63" s="43">
        <f t="shared" si="93"/>
        <v>0</v>
      </c>
      <c r="CL63" s="43">
        <f t="shared" si="93"/>
        <v>0</v>
      </c>
      <c r="CM63" s="43">
        <f t="shared" si="93"/>
        <v>0</v>
      </c>
      <c r="CN63" s="43">
        <f t="shared" si="93"/>
        <v>0</v>
      </c>
      <c r="CO63" s="43">
        <f t="shared" si="93"/>
        <v>0</v>
      </c>
    </row>
    <row r="64" spans="1:93" s="133" customFormat="1" ht="14.25">
      <c r="A64" s="10"/>
      <c r="B64" s="10"/>
      <c r="C64" s="17" t="s">
        <v>514</v>
      </c>
      <c r="D64" s="10"/>
      <c r="E64" s="10"/>
      <c r="F64" s="10"/>
      <c r="G64" s="134" t="s">
        <v>28</v>
      </c>
      <c r="H64" s="10"/>
      <c r="I64" s="10"/>
      <c r="J64" s="10"/>
      <c r="K64" s="10"/>
      <c r="L64" s="43">
        <f ca="1">IFERROR(L62/L44,0)</f>
        <v>0</v>
      </c>
      <c r="M64" s="43">
        <f t="shared" ref="M64:BX64" ca="1" si="94">IFERROR(M62/M44,0)</f>
        <v>0</v>
      </c>
      <c r="N64" s="43">
        <f t="shared" ca="1" si="94"/>
        <v>0</v>
      </c>
      <c r="O64" s="43">
        <f t="shared" ca="1" si="94"/>
        <v>0</v>
      </c>
      <c r="P64" s="43">
        <f t="shared" ca="1" si="94"/>
        <v>0.33610107393629968</v>
      </c>
      <c r="Q64" s="43">
        <f t="shared" ca="1" si="94"/>
        <v>0.33239326779376416</v>
      </c>
      <c r="R64" s="43">
        <f t="shared" ca="1" si="94"/>
        <v>0.35097236851251501</v>
      </c>
      <c r="S64" s="43">
        <f t="shared" ca="1" si="94"/>
        <v>0.3643018419964571</v>
      </c>
      <c r="T64" s="43">
        <f t="shared" ca="1" si="94"/>
        <v>0.36863297570664266</v>
      </c>
      <c r="U64" s="43">
        <f t="shared" ca="1" si="94"/>
        <v>0.30143734735372268</v>
      </c>
      <c r="V64" s="43">
        <f t="shared" ca="1" si="94"/>
        <v>0.29410742334945983</v>
      </c>
      <c r="W64" s="43">
        <f t="shared" ca="1" si="94"/>
        <v>0.33659955177022688</v>
      </c>
      <c r="X64" s="43">
        <f t="shared" ca="1" si="94"/>
        <v>0.35137619158230649</v>
      </c>
      <c r="Y64" s="43">
        <f t="shared" ca="1" si="94"/>
        <v>0.35340481435852433</v>
      </c>
      <c r="Z64" s="43">
        <f t="shared" ca="1" si="94"/>
        <v>0.34576679932245968</v>
      </c>
      <c r="AA64" s="43">
        <f t="shared" ca="1" si="94"/>
        <v>0.33970661795038859</v>
      </c>
      <c r="AB64" s="43">
        <f t="shared" ca="1" si="94"/>
        <v>0.34302892596946355</v>
      </c>
      <c r="AC64" s="43">
        <f t="shared" ca="1" si="94"/>
        <v>0.3462457514431842</v>
      </c>
      <c r="AD64" s="43">
        <f t="shared" ca="1" si="94"/>
        <v>0.34930550078252776</v>
      </c>
      <c r="AE64" s="43">
        <f t="shared" ca="1" si="94"/>
        <v>0.352255395783662</v>
      </c>
      <c r="AF64" s="43">
        <f t="shared" ca="1" si="94"/>
        <v>0.32669361329239338</v>
      </c>
      <c r="AG64" s="43">
        <f t="shared" si="94"/>
        <v>0</v>
      </c>
      <c r="AH64" s="43">
        <f t="shared" si="94"/>
        <v>0</v>
      </c>
      <c r="AI64" s="43">
        <f t="shared" si="94"/>
        <v>0</v>
      </c>
      <c r="AJ64" s="43">
        <f t="shared" si="94"/>
        <v>0</v>
      </c>
      <c r="AK64" s="43">
        <f t="shared" si="94"/>
        <v>0</v>
      </c>
      <c r="AL64" s="43">
        <f t="shared" si="94"/>
        <v>0</v>
      </c>
      <c r="AM64" s="43">
        <f t="shared" si="94"/>
        <v>0</v>
      </c>
      <c r="AN64" s="43">
        <f t="shared" si="94"/>
        <v>0</v>
      </c>
      <c r="AO64" s="43">
        <f t="shared" si="94"/>
        <v>0</v>
      </c>
      <c r="AP64" s="43">
        <f t="shared" si="94"/>
        <v>0</v>
      </c>
      <c r="AQ64" s="43">
        <f t="shared" si="94"/>
        <v>0</v>
      </c>
      <c r="AR64" s="43">
        <f t="shared" si="94"/>
        <v>0</v>
      </c>
      <c r="AS64" s="43">
        <f t="shared" si="94"/>
        <v>0</v>
      </c>
      <c r="AT64" s="43">
        <f t="shared" si="94"/>
        <v>0</v>
      </c>
      <c r="AU64" s="43">
        <f t="shared" si="94"/>
        <v>0</v>
      </c>
      <c r="AV64" s="43">
        <f t="shared" si="94"/>
        <v>0</v>
      </c>
      <c r="AW64" s="43">
        <f t="shared" si="94"/>
        <v>0</v>
      </c>
      <c r="AX64" s="43">
        <f t="shared" si="94"/>
        <v>0</v>
      </c>
      <c r="AY64" s="43">
        <f t="shared" si="94"/>
        <v>0</v>
      </c>
      <c r="AZ64" s="43">
        <f t="shared" si="94"/>
        <v>0</v>
      </c>
      <c r="BA64" s="43">
        <f t="shared" si="94"/>
        <v>0</v>
      </c>
      <c r="BB64" s="43">
        <f t="shared" si="94"/>
        <v>0</v>
      </c>
      <c r="BC64" s="43">
        <f t="shared" si="94"/>
        <v>0</v>
      </c>
      <c r="BD64" s="43">
        <f t="shared" si="94"/>
        <v>0</v>
      </c>
      <c r="BE64" s="43">
        <f t="shared" si="94"/>
        <v>0</v>
      </c>
      <c r="BF64" s="43">
        <f t="shared" si="94"/>
        <v>0</v>
      </c>
      <c r="BG64" s="43">
        <f t="shared" si="94"/>
        <v>0</v>
      </c>
      <c r="BH64" s="43">
        <f t="shared" si="94"/>
        <v>0</v>
      </c>
      <c r="BI64" s="43">
        <f t="shared" si="94"/>
        <v>0</v>
      </c>
      <c r="BJ64" s="43">
        <f t="shared" si="94"/>
        <v>0</v>
      </c>
      <c r="BK64" s="43">
        <f t="shared" si="94"/>
        <v>0</v>
      </c>
      <c r="BL64" s="43">
        <f t="shared" si="94"/>
        <v>0</v>
      </c>
      <c r="BM64" s="43">
        <f t="shared" si="94"/>
        <v>0</v>
      </c>
      <c r="BN64" s="43">
        <f t="shared" si="94"/>
        <v>0</v>
      </c>
      <c r="BO64" s="43">
        <f t="shared" si="94"/>
        <v>0</v>
      </c>
      <c r="BP64" s="43">
        <f t="shared" si="94"/>
        <v>0</v>
      </c>
      <c r="BQ64" s="43">
        <f t="shared" si="94"/>
        <v>0</v>
      </c>
      <c r="BR64" s="43">
        <f t="shared" si="94"/>
        <v>0</v>
      </c>
      <c r="BS64" s="43">
        <f t="shared" si="94"/>
        <v>0</v>
      </c>
      <c r="BT64" s="43">
        <f t="shared" si="94"/>
        <v>0</v>
      </c>
      <c r="BU64" s="43">
        <f t="shared" si="94"/>
        <v>0</v>
      </c>
      <c r="BV64" s="43">
        <f t="shared" si="94"/>
        <v>0</v>
      </c>
      <c r="BW64" s="43">
        <f t="shared" si="94"/>
        <v>0</v>
      </c>
      <c r="BX64" s="43">
        <f t="shared" si="94"/>
        <v>0</v>
      </c>
      <c r="BY64" s="43">
        <f t="shared" ref="BY64:CO64" si="95">IFERROR(BY62/BY44,0)</f>
        <v>0</v>
      </c>
      <c r="BZ64" s="43">
        <f t="shared" si="95"/>
        <v>0</v>
      </c>
      <c r="CA64" s="43">
        <f t="shared" si="95"/>
        <v>0</v>
      </c>
      <c r="CB64" s="43">
        <f t="shared" si="95"/>
        <v>0</v>
      </c>
      <c r="CC64" s="43">
        <f t="shared" si="95"/>
        <v>0</v>
      </c>
      <c r="CD64" s="43">
        <f t="shared" si="95"/>
        <v>0</v>
      </c>
      <c r="CE64" s="43">
        <f t="shared" si="95"/>
        <v>0</v>
      </c>
      <c r="CF64" s="43">
        <f t="shared" si="95"/>
        <v>0</v>
      </c>
      <c r="CG64" s="43">
        <f t="shared" si="95"/>
        <v>0</v>
      </c>
      <c r="CH64" s="43">
        <f t="shared" si="95"/>
        <v>0</v>
      </c>
      <c r="CI64" s="43">
        <f t="shared" si="95"/>
        <v>0</v>
      </c>
      <c r="CJ64" s="43">
        <f t="shared" si="95"/>
        <v>0</v>
      </c>
      <c r="CK64" s="43">
        <f t="shared" si="95"/>
        <v>0</v>
      </c>
      <c r="CL64" s="43">
        <f t="shared" si="95"/>
        <v>0</v>
      </c>
      <c r="CM64" s="43">
        <f t="shared" si="95"/>
        <v>0</v>
      </c>
      <c r="CN64" s="43">
        <f t="shared" si="95"/>
        <v>0</v>
      </c>
      <c r="CO64" s="43">
        <f t="shared" si="95"/>
        <v>0</v>
      </c>
    </row>
    <row r="65" spans="1:93" s="75" customFormat="1">
      <c r="A65" s="73"/>
      <c r="B65" s="72"/>
      <c r="C65" s="73"/>
      <c r="D65" s="73"/>
      <c r="E65" s="44"/>
      <c r="F65" s="73"/>
      <c r="G65" s="72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</row>
    <row r="66" spans="1:93" ht="22.5" customHeight="1">
      <c r="A66" s="10"/>
      <c r="B66" s="34" t="s">
        <v>313</v>
      </c>
      <c r="C66" s="5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</row>
    <row r="67" spans="1:93" s="75" customFormat="1">
      <c r="A67" s="73"/>
      <c r="B67" s="72"/>
      <c r="C67" s="73"/>
      <c r="D67" s="73"/>
      <c r="E67" s="44"/>
      <c r="F67" s="73"/>
      <c r="G67" s="72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</row>
    <row r="68" spans="1:93" s="133" customFormat="1">
      <c r="A68" s="10"/>
      <c r="B68" s="11"/>
      <c r="C68" s="139" t="s">
        <v>83</v>
      </c>
      <c r="D68" s="10"/>
      <c r="E68" s="140"/>
      <c r="F68" s="10"/>
      <c r="G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</row>
    <row r="69" spans="1:93" s="133" customFormat="1" ht="14.25">
      <c r="A69" s="10"/>
      <c r="B69" s="11"/>
      <c r="C69" s="17" t="s">
        <v>84</v>
      </c>
      <c r="D69" s="10"/>
      <c r="E69" s="140"/>
      <c r="F69" s="10"/>
      <c r="G69" s="134" t="str">
        <f t="shared" ref="G69:G78" si="96">Monetary_Unit</f>
        <v>тыс. руб.</v>
      </c>
      <c r="H69" s="10"/>
      <c r="I69" s="23">
        <f t="shared" ref="I69:I78" ca="1" si="97">SUM(L69:CQ69)</f>
        <v>31948941.046733908</v>
      </c>
      <c r="J69" s="10"/>
      <c r="K69" s="10"/>
      <c r="L69" s="10">
        <f t="shared" ref="L69:AQ69" ca="1" si="98">SUMIF(Year,L$6,Revenue)</f>
        <v>0</v>
      </c>
      <c r="M69" s="10">
        <f t="shared" ca="1" si="98"/>
        <v>0</v>
      </c>
      <c r="N69" s="10">
        <f t="shared" ca="1" si="98"/>
        <v>0</v>
      </c>
      <c r="O69" s="10">
        <f t="shared" ca="1" si="98"/>
        <v>0</v>
      </c>
      <c r="P69" s="10">
        <f t="shared" ca="1" si="98"/>
        <v>1038022.0902898253</v>
      </c>
      <c r="Q69" s="10">
        <f t="shared" ca="1" si="98"/>
        <v>1391447.0225738049</v>
      </c>
      <c r="R69" s="10">
        <f t="shared" ca="1" si="98"/>
        <v>1601318.2246666639</v>
      </c>
      <c r="S69" s="10">
        <f t="shared" ca="1" si="98"/>
        <v>1797179.0411013491</v>
      </c>
      <c r="T69" s="10">
        <f t="shared" ca="1" si="98"/>
        <v>1872022.5911065759</v>
      </c>
      <c r="U69" s="10">
        <f t="shared" ca="1" si="98"/>
        <v>1748363.3736631824</v>
      </c>
      <c r="V69" s="10">
        <f t="shared" ca="1" si="98"/>
        <v>1788268.8416386014</v>
      </c>
      <c r="W69" s="10">
        <f t="shared" ca="1" si="98"/>
        <v>1862690.6231502416</v>
      </c>
      <c r="X69" s="10">
        <f t="shared" ca="1" si="98"/>
        <v>1934191.5791163107</v>
      </c>
      <c r="Y69" s="10">
        <f t="shared" ca="1" si="98"/>
        <v>2011559.2422809629</v>
      </c>
      <c r="Z69" s="10">
        <f t="shared" ca="1" si="98"/>
        <v>2092021.6119722011</v>
      </c>
      <c r="AA69" s="10">
        <f t="shared" ca="1" si="98"/>
        <v>2179084.5701240427</v>
      </c>
      <c r="AB69" s="10">
        <f t="shared" ca="1" si="98"/>
        <v>2262730.5755091319</v>
      </c>
      <c r="AC69" s="10">
        <f t="shared" ca="1" si="98"/>
        <v>2353239.7985294969</v>
      </c>
      <c r="AD69" s="10">
        <f t="shared" ca="1" si="98"/>
        <v>2447369.3904706766</v>
      </c>
      <c r="AE69" s="10">
        <f t="shared" ca="1" si="98"/>
        <v>2549220.7373235305</v>
      </c>
      <c r="AF69" s="10">
        <f t="shared" ca="1" si="98"/>
        <v>1020211.7332173092</v>
      </c>
      <c r="AG69" s="10">
        <f t="shared" si="98"/>
        <v>0</v>
      </c>
      <c r="AH69" s="10">
        <f t="shared" si="98"/>
        <v>0</v>
      </c>
      <c r="AI69" s="10">
        <f t="shared" si="98"/>
        <v>0</v>
      </c>
      <c r="AJ69" s="10">
        <f t="shared" si="98"/>
        <v>0</v>
      </c>
      <c r="AK69" s="10">
        <f t="shared" si="98"/>
        <v>0</v>
      </c>
      <c r="AL69" s="10">
        <f t="shared" si="98"/>
        <v>0</v>
      </c>
      <c r="AM69" s="10">
        <f t="shared" si="98"/>
        <v>0</v>
      </c>
      <c r="AN69" s="10">
        <f t="shared" si="98"/>
        <v>0</v>
      </c>
      <c r="AO69" s="10">
        <f t="shared" si="98"/>
        <v>0</v>
      </c>
      <c r="AP69" s="10">
        <f t="shared" si="98"/>
        <v>0</v>
      </c>
      <c r="AQ69" s="10">
        <f t="shared" si="98"/>
        <v>0</v>
      </c>
      <c r="AR69" s="10">
        <f t="shared" ref="AR69:BW69" si="99">SUMIF(Year,AR$6,Revenue)</f>
        <v>0</v>
      </c>
      <c r="AS69" s="10">
        <f t="shared" si="99"/>
        <v>0</v>
      </c>
      <c r="AT69" s="10">
        <f t="shared" si="99"/>
        <v>0</v>
      </c>
      <c r="AU69" s="10">
        <f t="shared" si="99"/>
        <v>0</v>
      </c>
      <c r="AV69" s="10">
        <f t="shared" si="99"/>
        <v>0</v>
      </c>
      <c r="AW69" s="10">
        <f t="shared" si="99"/>
        <v>0</v>
      </c>
      <c r="AX69" s="10">
        <f t="shared" si="99"/>
        <v>0</v>
      </c>
      <c r="AY69" s="10">
        <f t="shared" si="99"/>
        <v>0</v>
      </c>
      <c r="AZ69" s="10">
        <f t="shared" si="99"/>
        <v>0</v>
      </c>
      <c r="BA69" s="10">
        <f t="shared" si="99"/>
        <v>0</v>
      </c>
      <c r="BB69" s="10">
        <f t="shared" si="99"/>
        <v>0</v>
      </c>
      <c r="BC69" s="10">
        <f t="shared" si="99"/>
        <v>0</v>
      </c>
      <c r="BD69" s="10">
        <f t="shared" si="99"/>
        <v>0</v>
      </c>
      <c r="BE69" s="10">
        <f t="shared" si="99"/>
        <v>0</v>
      </c>
      <c r="BF69" s="10">
        <f t="shared" si="99"/>
        <v>0</v>
      </c>
      <c r="BG69" s="10">
        <f t="shared" si="99"/>
        <v>0</v>
      </c>
      <c r="BH69" s="10">
        <f t="shared" si="99"/>
        <v>0</v>
      </c>
      <c r="BI69" s="10">
        <f t="shared" si="99"/>
        <v>0</v>
      </c>
      <c r="BJ69" s="10">
        <f t="shared" si="99"/>
        <v>0</v>
      </c>
      <c r="BK69" s="10">
        <f t="shared" si="99"/>
        <v>0</v>
      </c>
      <c r="BL69" s="10">
        <f t="shared" si="99"/>
        <v>0</v>
      </c>
      <c r="BM69" s="10">
        <f t="shared" si="99"/>
        <v>0</v>
      </c>
      <c r="BN69" s="10">
        <f t="shared" si="99"/>
        <v>0</v>
      </c>
      <c r="BO69" s="10">
        <f t="shared" si="99"/>
        <v>0</v>
      </c>
      <c r="BP69" s="10">
        <f t="shared" si="99"/>
        <v>0</v>
      </c>
      <c r="BQ69" s="10">
        <f t="shared" si="99"/>
        <v>0</v>
      </c>
      <c r="BR69" s="10">
        <f t="shared" si="99"/>
        <v>0</v>
      </c>
      <c r="BS69" s="10">
        <f t="shared" si="99"/>
        <v>0</v>
      </c>
      <c r="BT69" s="10">
        <f t="shared" si="99"/>
        <v>0</v>
      </c>
      <c r="BU69" s="10">
        <f t="shared" si="99"/>
        <v>0</v>
      </c>
      <c r="BV69" s="10">
        <f t="shared" si="99"/>
        <v>0</v>
      </c>
      <c r="BW69" s="10">
        <f t="shared" si="99"/>
        <v>0</v>
      </c>
      <c r="BX69" s="10">
        <f t="shared" ref="BX69:CO69" si="100">SUMIF(Year,BX$6,Revenue)</f>
        <v>0</v>
      </c>
      <c r="BY69" s="10">
        <f t="shared" si="100"/>
        <v>0</v>
      </c>
      <c r="BZ69" s="10">
        <f t="shared" si="100"/>
        <v>0</v>
      </c>
      <c r="CA69" s="10">
        <f t="shared" si="100"/>
        <v>0</v>
      </c>
      <c r="CB69" s="10">
        <f t="shared" si="100"/>
        <v>0</v>
      </c>
      <c r="CC69" s="10">
        <f t="shared" si="100"/>
        <v>0</v>
      </c>
      <c r="CD69" s="10">
        <f t="shared" si="100"/>
        <v>0</v>
      </c>
      <c r="CE69" s="10">
        <f t="shared" si="100"/>
        <v>0</v>
      </c>
      <c r="CF69" s="10">
        <f t="shared" si="100"/>
        <v>0</v>
      </c>
      <c r="CG69" s="10">
        <f t="shared" si="100"/>
        <v>0</v>
      </c>
      <c r="CH69" s="10">
        <f t="shared" si="100"/>
        <v>0</v>
      </c>
      <c r="CI69" s="10">
        <f t="shared" si="100"/>
        <v>0</v>
      </c>
      <c r="CJ69" s="10">
        <f t="shared" si="100"/>
        <v>0</v>
      </c>
      <c r="CK69" s="10">
        <f t="shared" si="100"/>
        <v>0</v>
      </c>
      <c r="CL69" s="10">
        <f t="shared" si="100"/>
        <v>0</v>
      </c>
      <c r="CM69" s="10">
        <f t="shared" si="100"/>
        <v>0</v>
      </c>
      <c r="CN69" s="10">
        <f t="shared" si="100"/>
        <v>0</v>
      </c>
      <c r="CO69" s="10">
        <f t="shared" si="100"/>
        <v>0</v>
      </c>
    </row>
    <row r="70" spans="1:93" s="133" customFormat="1" ht="14.25">
      <c r="A70" s="10"/>
      <c r="B70" s="11"/>
      <c r="C70" s="17" t="s">
        <v>80</v>
      </c>
      <c r="D70" s="10"/>
      <c r="E70" s="140"/>
      <c r="F70" s="10"/>
      <c r="G70" s="134" t="str">
        <f t="shared" si="96"/>
        <v>тыс. руб.</v>
      </c>
      <c r="H70" s="10"/>
      <c r="I70" s="23">
        <f t="shared" ca="1" si="97"/>
        <v>-18493633.551309187</v>
      </c>
      <c r="J70" s="10"/>
      <c r="K70" s="10"/>
      <c r="L70" s="10">
        <f t="shared" ref="L70:AQ70" ca="1" si="101">SUMIF(Year,L$6,COGS)</f>
        <v>0</v>
      </c>
      <c r="M70" s="10">
        <f t="shared" ca="1" si="101"/>
        <v>0</v>
      </c>
      <c r="N70" s="10">
        <f t="shared" ca="1" si="101"/>
        <v>0</v>
      </c>
      <c r="O70" s="10">
        <f t="shared" ca="1" si="101"/>
        <v>0</v>
      </c>
      <c r="P70" s="10">
        <f t="shared" ca="1" si="101"/>
        <v>-541560.47032328544</v>
      </c>
      <c r="Q70" s="10">
        <f t="shared" ca="1" si="101"/>
        <v>-732206.65049290028</v>
      </c>
      <c r="R70" s="10">
        <f t="shared" ca="1" si="101"/>
        <v>-842567.02532745514</v>
      </c>
      <c r="S70" s="10">
        <f t="shared" ca="1" si="101"/>
        <v>-945730.65674500703</v>
      </c>
      <c r="T70" s="10">
        <f t="shared" ca="1" si="101"/>
        <v>-985200.5834712052</v>
      </c>
      <c r="U70" s="10">
        <f t="shared" ca="1" si="101"/>
        <v>-1024608.6068100531</v>
      </c>
      <c r="V70" s="10">
        <f t="shared" ca="1" si="101"/>
        <v>-1065592.951082455</v>
      </c>
      <c r="W70" s="10">
        <f t="shared" ca="1" si="101"/>
        <v>-1110013.577716039</v>
      </c>
      <c r="X70" s="10">
        <f t="shared" ca="1" si="101"/>
        <v>-1152545.335890783</v>
      </c>
      <c r="Y70" s="10">
        <f t="shared" ca="1" si="101"/>
        <v>-1198647.1493264143</v>
      </c>
      <c r="Z70" s="10">
        <f t="shared" ca="1" si="101"/>
        <v>-1246593.0352994706</v>
      </c>
      <c r="AA70" s="10">
        <f t="shared" ca="1" si="101"/>
        <v>-1298558.8856073325</v>
      </c>
      <c r="AB70" s="10">
        <f t="shared" ca="1" si="101"/>
        <v>-1348315.026979907</v>
      </c>
      <c r="AC70" s="10">
        <f t="shared" ca="1" si="101"/>
        <v>-1402247.6280591032</v>
      </c>
      <c r="AD70" s="10">
        <f t="shared" ca="1" si="101"/>
        <v>-1458337.5331814671</v>
      </c>
      <c r="AE70" s="10">
        <f t="shared" ca="1" si="101"/>
        <v>-1519130.2279917987</v>
      </c>
      <c r="AF70" s="10">
        <f t="shared" ca="1" si="101"/>
        <v>-621778.20700451313</v>
      </c>
      <c r="AG70" s="10">
        <f t="shared" si="101"/>
        <v>0</v>
      </c>
      <c r="AH70" s="10">
        <f t="shared" si="101"/>
        <v>0</v>
      </c>
      <c r="AI70" s="10">
        <f t="shared" si="101"/>
        <v>0</v>
      </c>
      <c r="AJ70" s="10">
        <f t="shared" si="101"/>
        <v>0</v>
      </c>
      <c r="AK70" s="10">
        <f t="shared" si="101"/>
        <v>0</v>
      </c>
      <c r="AL70" s="10">
        <f t="shared" si="101"/>
        <v>0</v>
      </c>
      <c r="AM70" s="10">
        <f t="shared" si="101"/>
        <v>0</v>
      </c>
      <c r="AN70" s="10">
        <f t="shared" si="101"/>
        <v>0</v>
      </c>
      <c r="AO70" s="10">
        <f t="shared" si="101"/>
        <v>0</v>
      </c>
      <c r="AP70" s="10">
        <f t="shared" si="101"/>
        <v>0</v>
      </c>
      <c r="AQ70" s="10">
        <f t="shared" si="101"/>
        <v>0</v>
      </c>
      <c r="AR70" s="10">
        <f t="shared" ref="AR70:BW70" si="102">SUMIF(Year,AR$6,COGS)</f>
        <v>0</v>
      </c>
      <c r="AS70" s="10">
        <f t="shared" si="102"/>
        <v>0</v>
      </c>
      <c r="AT70" s="10">
        <f t="shared" si="102"/>
        <v>0</v>
      </c>
      <c r="AU70" s="10">
        <f t="shared" si="102"/>
        <v>0</v>
      </c>
      <c r="AV70" s="10">
        <f t="shared" si="102"/>
        <v>0</v>
      </c>
      <c r="AW70" s="10">
        <f t="shared" si="102"/>
        <v>0</v>
      </c>
      <c r="AX70" s="10">
        <f t="shared" si="102"/>
        <v>0</v>
      </c>
      <c r="AY70" s="10">
        <f t="shared" si="102"/>
        <v>0</v>
      </c>
      <c r="AZ70" s="10">
        <f t="shared" si="102"/>
        <v>0</v>
      </c>
      <c r="BA70" s="10">
        <f t="shared" si="102"/>
        <v>0</v>
      </c>
      <c r="BB70" s="10">
        <f t="shared" si="102"/>
        <v>0</v>
      </c>
      <c r="BC70" s="10">
        <f t="shared" si="102"/>
        <v>0</v>
      </c>
      <c r="BD70" s="10">
        <f t="shared" si="102"/>
        <v>0</v>
      </c>
      <c r="BE70" s="10">
        <f t="shared" si="102"/>
        <v>0</v>
      </c>
      <c r="BF70" s="10">
        <f t="shared" si="102"/>
        <v>0</v>
      </c>
      <c r="BG70" s="10">
        <f t="shared" si="102"/>
        <v>0</v>
      </c>
      <c r="BH70" s="10">
        <f t="shared" si="102"/>
        <v>0</v>
      </c>
      <c r="BI70" s="10">
        <f t="shared" si="102"/>
        <v>0</v>
      </c>
      <c r="BJ70" s="10">
        <f t="shared" si="102"/>
        <v>0</v>
      </c>
      <c r="BK70" s="10">
        <f t="shared" si="102"/>
        <v>0</v>
      </c>
      <c r="BL70" s="10">
        <f t="shared" si="102"/>
        <v>0</v>
      </c>
      <c r="BM70" s="10">
        <f t="shared" si="102"/>
        <v>0</v>
      </c>
      <c r="BN70" s="10">
        <f t="shared" si="102"/>
        <v>0</v>
      </c>
      <c r="BO70" s="10">
        <f t="shared" si="102"/>
        <v>0</v>
      </c>
      <c r="BP70" s="10">
        <f t="shared" si="102"/>
        <v>0</v>
      </c>
      <c r="BQ70" s="10">
        <f t="shared" si="102"/>
        <v>0</v>
      </c>
      <c r="BR70" s="10">
        <f t="shared" si="102"/>
        <v>0</v>
      </c>
      <c r="BS70" s="10">
        <f t="shared" si="102"/>
        <v>0</v>
      </c>
      <c r="BT70" s="10">
        <f t="shared" si="102"/>
        <v>0</v>
      </c>
      <c r="BU70" s="10">
        <f t="shared" si="102"/>
        <v>0</v>
      </c>
      <c r="BV70" s="10">
        <f t="shared" si="102"/>
        <v>0</v>
      </c>
      <c r="BW70" s="10">
        <f t="shared" si="102"/>
        <v>0</v>
      </c>
      <c r="BX70" s="10">
        <f t="shared" ref="BX70:CO70" si="103">SUMIF(Year,BX$6,COGS)</f>
        <v>0</v>
      </c>
      <c r="BY70" s="10">
        <f t="shared" si="103"/>
        <v>0</v>
      </c>
      <c r="BZ70" s="10">
        <f t="shared" si="103"/>
        <v>0</v>
      </c>
      <c r="CA70" s="10">
        <f t="shared" si="103"/>
        <v>0</v>
      </c>
      <c r="CB70" s="10">
        <f t="shared" si="103"/>
        <v>0</v>
      </c>
      <c r="CC70" s="10">
        <f t="shared" si="103"/>
        <v>0</v>
      </c>
      <c r="CD70" s="10">
        <f t="shared" si="103"/>
        <v>0</v>
      </c>
      <c r="CE70" s="10">
        <f t="shared" si="103"/>
        <v>0</v>
      </c>
      <c r="CF70" s="10">
        <f t="shared" si="103"/>
        <v>0</v>
      </c>
      <c r="CG70" s="10">
        <f t="shared" si="103"/>
        <v>0</v>
      </c>
      <c r="CH70" s="10">
        <f t="shared" si="103"/>
        <v>0</v>
      </c>
      <c r="CI70" s="10">
        <f t="shared" si="103"/>
        <v>0</v>
      </c>
      <c r="CJ70" s="10">
        <f t="shared" si="103"/>
        <v>0</v>
      </c>
      <c r="CK70" s="10">
        <f t="shared" si="103"/>
        <v>0</v>
      </c>
      <c r="CL70" s="10">
        <f t="shared" si="103"/>
        <v>0</v>
      </c>
      <c r="CM70" s="10">
        <f t="shared" si="103"/>
        <v>0</v>
      </c>
      <c r="CN70" s="10">
        <f t="shared" si="103"/>
        <v>0</v>
      </c>
      <c r="CO70" s="10">
        <f t="shared" si="103"/>
        <v>0</v>
      </c>
    </row>
    <row r="71" spans="1:93" s="133" customFormat="1" ht="14.25">
      <c r="A71" s="10"/>
      <c r="B71" s="11"/>
      <c r="C71" s="17" t="s">
        <v>735</v>
      </c>
      <c r="D71" s="10"/>
      <c r="E71" s="10"/>
      <c r="F71" s="10"/>
      <c r="G71" s="134" t="str">
        <f t="shared" si="96"/>
        <v>тыс. руб.</v>
      </c>
      <c r="H71" s="10"/>
      <c r="I71" s="23">
        <f t="shared" ca="1" si="97"/>
        <v>-355606.44199776114</v>
      </c>
      <c r="J71" s="10"/>
      <c r="K71" s="10"/>
      <c r="L71" s="10">
        <f t="shared" ref="L71:AQ71" ca="1" si="104">SUMIF(Year,L$6,SGA)</f>
        <v>0</v>
      </c>
      <c r="M71" s="10">
        <f t="shared" ca="1" si="104"/>
        <v>0</v>
      </c>
      <c r="N71" s="10">
        <f t="shared" ca="1" si="104"/>
        <v>0</v>
      </c>
      <c r="O71" s="10">
        <f t="shared" ca="1" si="104"/>
        <v>0</v>
      </c>
      <c r="P71" s="10">
        <f t="shared" ca="1" si="104"/>
        <v>-6978.1109764029025</v>
      </c>
      <c r="Q71" s="10">
        <f t="shared" ca="1" si="104"/>
        <v>-9261.8563868620349</v>
      </c>
      <c r="R71" s="10">
        <f t="shared" ca="1" si="104"/>
        <v>-9261.8563868620349</v>
      </c>
      <c r="S71" s="10">
        <f t="shared" ca="1" si="104"/>
        <v>-9261.8563868620331</v>
      </c>
      <c r="T71" s="10">
        <f t="shared" ca="1" si="104"/>
        <v>-9261.8563868620349</v>
      </c>
      <c r="U71" s="10">
        <f t="shared" ca="1" si="104"/>
        <v>-9261.8563868620349</v>
      </c>
      <c r="V71" s="10">
        <f t="shared" ca="1" si="104"/>
        <v>-9261.8563868620349</v>
      </c>
      <c r="W71" s="10">
        <f t="shared" ca="1" si="104"/>
        <v>-9261.8563868620331</v>
      </c>
      <c r="X71" s="10">
        <f t="shared" ca="1" si="104"/>
        <v>-9261.8563868620349</v>
      </c>
      <c r="Y71" s="10">
        <f t="shared" ca="1" si="104"/>
        <v>-9261.8563868620349</v>
      </c>
      <c r="Z71" s="10">
        <f t="shared" ca="1" si="104"/>
        <v>-29321.443809480887</v>
      </c>
      <c r="AA71" s="10">
        <f t="shared" ca="1" si="104"/>
        <v>-47520.718993786337</v>
      </c>
      <c r="AB71" s="10">
        <f t="shared" ca="1" si="104"/>
        <v>-45477.993475852301</v>
      </c>
      <c r="AC71" s="10">
        <f t="shared" ca="1" si="104"/>
        <v>-43437.372124331712</v>
      </c>
      <c r="AD71" s="10">
        <f t="shared" ca="1" si="104"/>
        <v>-41396.750772811116</v>
      </c>
      <c r="AE71" s="10">
        <f t="shared" ca="1" si="104"/>
        <v>-39358.233587703966</v>
      </c>
      <c r="AF71" s="10">
        <f t="shared" ca="1" si="104"/>
        <v>-18759.110775633599</v>
      </c>
      <c r="AG71" s="10">
        <f t="shared" si="104"/>
        <v>0</v>
      </c>
      <c r="AH71" s="10">
        <f t="shared" si="104"/>
        <v>0</v>
      </c>
      <c r="AI71" s="10">
        <f t="shared" si="104"/>
        <v>0</v>
      </c>
      <c r="AJ71" s="10">
        <f t="shared" si="104"/>
        <v>0</v>
      </c>
      <c r="AK71" s="10">
        <f t="shared" si="104"/>
        <v>0</v>
      </c>
      <c r="AL71" s="10">
        <f t="shared" si="104"/>
        <v>0</v>
      </c>
      <c r="AM71" s="10">
        <f t="shared" si="104"/>
        <v>0</v>
      </c>
      <c r="AN71" s="10">
        <f t="shared" si="104"/>
        <v>0</v>
      </c>
      <c r="AO71" s="10">
        <f t="shared" si="104"/>
        <v>0</v>
      </c>
      <c r="AP71" s="10">
        <f t="shared" si="104"/>
        <v>0</v>
      </c>
      <c r="AQ71" s="10">
        <f t="shared" si="104"/>
        <v>0</v>
      </c>
      <c r="AR71" s="10">
        <f t="shared" ref="AR71:BW71" si="105">SUMIF(Year,AR$6,SGA)</f>
        <v>0</v>
      </c>
      <c r="AS71" s="10">
        <f t="shared" si="105"/>
        <v>0</v>
      </c>
      <c r="AT71" s="10">
        <f t="shared" si="105"/>
        <v>0</v>
      </c>
      <c r="AU71" s="10">
        <f t="shared" si="105"/>
        <v>0</v>
      </c>
      <c r="AV71" s="10">
        <f t="shared" si="105"/>
        <v>0</v>
      </c>
      <c r="AW71" s="10">
        <f t="shared" si="105"/>
        <v>0</v>
      </c>
      <c r="AX71" s="10">
        <f t="shared" si="105"/>
        <v>0</v>
      </c>
      <c r="AY71" s="10">
        <f t="shared" si="105"/>
        <v>0</v>
      </c>
      <c r="AZ71" s="10">
        <f t="shared" si="105"/>
        <v>0</v>
      </c>
      <c r="BA71" s="10">
        <f t="shared" si="105"/>
        <v>0</v>
      </c>
      <c r="BB71" s="10">
        <f t="shared" si="105"/>
        <v>0</v>
      </c>
      <c r="BC71" s="10">
        <f t="shared" si="105"/>
        <v>0</v>
      </c>
      <c r="BD71" s="10">
        <f t="shared" si="105"/>
        <v>0</v>
      </c>
      <c r="BE71" s="10">
        <f t="shared" si="105"/>
        <v>0</v>
      </c>
      <c r="BF71" s="10">
        <f t="shared" si="105"/>
        <v>0</v>
      </c>
      <c r="BG71" s="10">
        <f t="shared" si="105"/>
        <v>0</v>
      </c>
      <c r="BH71" s="10">
        <f t="shared" si="105"/>
        <v>0</v>
      </c>
      <c r="BI71" s="10">
        <f t="shared" si="105"/>
        <v>0</v>
      </c>
      <c r="BJ71" s="10">
        <f t="shared" si="105"/>
        <v>0</v>
      </c>
      <c r="BK71" s="10">
        <f t="shared" si="105"/>
        <v>0</v>
      </c>
      <c r="BL71" s="10">
        <f t="shared" si="105"/>
        <v>0</v>
      </c>
      <c r="BM71" s="10">
        <f t="shared" si="105"/>
        <v>0</v>
      </c>
      <c r="BN71" s="10">
        <f t="shared" si="105"/>
        <v>0</v>
      </c>
      <c r="BO71" s="10">
        <f t="shared" si="105"/>
        <v>0</v>
      </c>
      <c r="BP71" s="10">
        <f t="shared" si="105"/>
        <v>0</v>
      </c>
      <c r="BQ71" s="10">
        <f t="shared" si="105"/>
        <v>0</v>
      </c>
      <c r="BR71" s="10">
        <f t="shared" si="105"/>
        <v>0</v>
      </c>
      <c r="BS71" s="10">
        <f t="shared" si="105"/>
        <v>0</v>
      </c>
      <c r="BT71" s="10">
        <f t="shared" si="105"/>
        <v>0</v>
      </c>
      <c r="BU71" s="10">
        <f t="shared" si="105"/>
        <v>0</v>
      </c>
      <c r="BV71" s="10">
        <f t="shared" si="105"/>
        <v>0</v>
      </c>
      <c r="BW71" s="10">
        <f t="shared" si="105"/>
        <v>0</v>
      </c>
      <c r="BX71" s="10">
        <f t="shared" ref="BX71:CO71" si="106">SUMIF(Year,BX$6,SGA)</f>
        <v>0</v>
      </c>
      <c r="BY71" s="10">
        <f t="shared" si="106"/>
        <v>0</v>
      </c>
      <c r="BZ71" s="10">
        <f t="shared" si="106"/>
        <v>0</v>
      </c>
      <c r="CA71" s="10">
        <f t="shared" si="106"/>
        <v>0</v>
      </c>
      <c r="CB71" s="10">
        <f t="shared" si="106"/>
        <v>0</v>
      </c>
      <c r="CC71" s="10">
        <f t="shared" si="106"/>
        <v>0</v>
      </c>
      <c r="CD71" s="10">
        <f t="shared" si="106"/>
        <v>0</v>
      </c>
      <c r="CE71" s="10">
        <f t="shared" si="106"/>
        <v>0</v>
      </c>
      <c r="CF71" s="10">
        <f t="shared" si="106"/>
        <v>0</v>
      </c>
      <c r="CG71" s="10">
        <f t="shared" si="106"/>
        <v>0</v>
      </c>
      <c r="CH71" s="10">
        <f t="shared" si="106"/>
        <v>0</v>
      </c>
      <c r="CI71" s="10">
        <f t="shared" si="106"/>
        <v>0</v>
      </c>
      <c r="CJ71" s="10">
        <f t="shared" si="106"/>
        <v>0</v>
      </c>
      <c r="CK71" s="10">
        <f t="shared" si="106"/>
        <v>0</v>
      </c>
      <c r="CL71" s="10">
        <f t="shared" si="106"/>
        <v>0</v>
      </c>
      <c r="CM71" s="10">
        <f t="shared" si="106"/>
        <v>0</v>
      </c>
      <c r="CN71" s="10">
        <f t="shared" si="106"/>
        <v>0</v>
      </c>
      <c r="CO71" s="10">
        <f t="shared" si="106"/>
        <v>0</v>
      </c>
    </row>
    <row r="72" spans="1:93" s="133" customFormat="1" ht="14.25">
      <c r="A72" s="10"/>
      <c r="B72" s="11"/>
      <c r="C72" s="17" t="s">
        <v>85</v>
      </c>
      <c r="D72" s="10"/>
      <c r="E72" s="10"/>
      <c r="F72" s="10"/>
      <c r="G72" s="134" t="str">
        <f t="shared" si="96"/>
        <v>тыс. руб.</v>
      </c>
      <c r="H72" s="10"/>
      <c r="I72" s="23">
        <f t="shared" ca="1" si="97"/>
        <v>-10990.619012601321</v>
      </c>
      <c r="J72" s="10"/>
      <c r="K72" s="10"/>
      <c r="L72" s="10">
        <f t="shared" ref="L72:AQ72" ca="1" si="107">SUMIF(Year,L$6,Bank_Fees)</f>
        <v>0</v>
      </c>
      <c r="M72" s="10">
        <f t="shared" ca="1" si="107"/>
        <v>0</v>
      </c>
      <c r="N72" s="10">
        <f t="shared" ca="1" si="107"/>
        <v>-5716.8230294006007</v>
      </c>
      <c r="O72" s="10">
        <f t="shared" ca="1" si="107"/>
        <v>-4785.5539832910417</v>
      </c>
      <c r="P72" s="10">
        <f t="shared" ca="1" si="107"/>
        <v>-488.24199990967918</v>
      </c>
      <c r="Q72" s="10">
        <f t="shared" ca="1" si="107"/>
        <v>0</v>
      </c>
      <c r="R72" s="10">
        <f t="shared" ca="1" si="107"/>
        <v>0</v>
      </c>
      <c r="S72" s="10">
        <f t="shared" ca="1" si="107"/>
        <v>0</v>
      </c>
      <c r="T72" s="10">
        <f t="shared" ca="1" si="107"/>
        <v>0</v>
      </c>
      <c r="U72" s="10">
        <f t="shared" ca="1" si="107"/>
        <v>0</v>
      </c>
      <c r="V72" s="10">
        <f t="shared" ca="1" si="107"/>
        <v>0</v>
      </c>
      <c r="W72" s="10">
        <f t="shared" ca="1" si="107"/>
        <v>0</v>
      </c>
      <c r="X72" s="10">
        <f t="shared" ca="1" si="107"/>
        <v>0</v>
      </c>
      <c r="Y72" s="10">
        <f t="shared" ca="1" si="107"/>
        <v>0</v>
      </c>
      <c r="Z72" s="10">
        <f t="shared" ca="1" si="107"/>
        <v>0</v>
      </c>
      <c r="AA72" s="10">
        <f t="shared" ca="1" si="107"/>
        <v>0</v>
      </c>
      <c r="AB72" s="10">
        <f t="shared" ca="1" si="107"/>
        <v>0</v>
      </c>
      <c r="AC72" s="10">
        <f t="shared" ca="1" si="107"/>
        <v>0</v>
      </c>
      <c r="AD72" s="10">
        <f t="shared" ca="1" si="107"/>
        <v>0</v>
      </c>
      <c r="AE72" s="10">
        <f t="shared" ca="1" si="107"/>
        <v>0</v>
      </c>
      <c r="AF72" s="10">
        <f t="shared" ca="1" si="107"/>
        <v>0</v>
      </c>
      <c r="AG72" s="10">
        <f t="shared" si="107"/>
        <v>0</v>
      </c>
      <c r="AH72" s="10">
        <f t="shared" si="107"/>
        <v>0</v>
      </c>
      <c r="AI72" s="10">
        <f t="shared" si="107"/>
        <v>0</v>
      </c>
      <c r="AJ72" s="10">
        <f t="shared" si="107"/>
        <v>0</v>
      </c>
      <c r="AK72" s="10">
        <f t="shared" si="107"/>
        <v>0</v>
      </c>
      <c r="AL72" s="10">
        <f t="shared" si="107"/>
        <v>0</v>
      </c>
      <c r="AM72" s="10">
        <f t="shared" si="107"/>
        <v>0</v>
      </c>
      <c r="AN72" s="10">
        <f t="shared" si="107"/>
        <v>0</v>
      </c>
      <c r="AO72" s="10">
        <f t="shared" si="107"/>
        <v>0</v>
      </c>
      <c r="AP72" s="10">
        <f t="shared" si="107"/>
        <v>0</v>
      </c>
      <c r="AQ72" s="10">
        <f t="shared" si="107"/>
        <v>0</v>
      </c>
      <c r="AR72" s="10">
        <f t="shared" ref="AR72:BW72" si="108">SUMIF(Year,AR$6,Bank_Fees)</f>
        <v>0</v>
      </c>
      <c r="AS72" s="10">
        <f t="shared" si="108"/>
        <v>0</v>
      </c>
      <c r="AT72" s="10">
        <f t="shared" si="108"/>
        <v>0</v>
      </c>
      <c r="AU72" s="10">
        <f t="shared" si="108"/>
        <v>0</v>
      </c>
      <c r="AV72" s="10">
        <f t="shared" si="108"/>
        <v>0</v>
      </c>
      <c r="AW72" s="10">
        <f t="shared" si="108"/>
        <v>0</v>
      </c>
      <c r="AX72" s="10">
        <f t="shared" si="108"/>
        <v>0</v>
      </c>
      <c r="AY72" s="10">
        <f t="shared" si="108"/>
        <v>0</v>
      </c>
      <c r="AZ72" s="10">
        <f t="shared" si="108"/>
        <v>0</v>
      </c>
      <c r="BA72" s="10">
        <f t="shared" si="108"/>
        <v>0</v>
      </c>
      <c r="BB72" s="10">
        <f t="shared" si="108"/>
        <v>0</v>
      </c>
      <c r="BC72" s="10">
        <f t="shared" si="108"/>
        <v>0</v>
      </c>
      <c r="BD72" s="10">
        <f t="shared" si="108"/>
        <v>0</v>
      </c>
      <c r="BE72" s="10">
        <f t="shared" si="108"/>
        <v>0</v>
      </c>
      <c r="BF72" s="10">
        <f t="shared" si="108"/>
        <v>0</v>
      </c>
      <c r="BG72" s="10">
        <f t="shared" si="108"/>
        <v>0</v>
      </c>
      <c r="BH72" s="10">
        <f t="shared" si="108"/>
        <v>0</v>
      </c>
      <c r="BI72" s="10">
        <f t="shared" si="108"/>
        <v>0</v>
      </c>
      <c r="BJ72" s="10">
        <f t="shared" si="108"/>
        <v>0</v>
      </c>
      <c r="BK72" s="10">
        <f t="shared" si="108"/>
        <v>0</v>
      </c>
      <c r="BL72" s="10">
        <f t="shared" si="108"/>
        <v>0</v>
      </c>
      <c r="BM72" s="10">
        <f t="shared" si="108"/>
        <v>0</v>
      </c>
      <c r="BN72" s="10">
        <f t="shared" si="108"/>
        <v>0</v>
      </c>
      <c r="BO72" s="10">
        <f t="shared" si="108"/>
        <v>0</v>
      </c>
      <c r="BP72" s="10">
        <f t="shared" si="108"/>
        <v>0</v>
      </c>
      <c r="BQ72" s="10">
        <f t="shared" si="108"/>
        <v>0</v>
      </c>
      <c r="BR72" s="10">
        <f t="shared" si="108"/>
        <v>0</v>
      </c>
      <c r="BS72" s="10">
        <f t="shared" si="108"/>
        <v>0</v>
      </c>
      <c r="BT72" s="10">
        <f t="shared" si="108"/>
        <v>0</v>
      </c>
      <c r="BU72" s="10">
        <f t="shared" si="108"/>
        <v>0</v>
      </c>
      <c r="BV72" s="10">
        <f t="shared" si="108"/>
        <v>0</v>
      </c>
      <c r="BW72" s="10">
        <f t="shared" si="108"/>
        <v>0</v>
      </c>
      <c r="BX72" s="10">
        <f t="shared" ref="BX72:CO72" si="109">SUMIF(Year,BX$6,Bank_Fees)</f>
        <v>0</v>
      </c>
      <c r="BY72" s="10">
        <f t="shared" si="109"/>
        <v>0</v>
      </c>
      <c r="BZ72" s="10">
        <f t="shared" si="109"/>
        <v>0</v>
      </c>
      <c r="CA72" s="10">
        <f t="shared" si="109"/>
        <v>0</v>
      </c>
      <c r="CB72" s="10">
        <f t="shared" si="109"/>
        <v>0</v>
      </c>
      <c r="CC72" s="10">
        <f t="shared" si="109"/>
        <v>0</v>
      </c>
      <c r="CD72" s="10">
        <f t="shared" si="109"/>
        <v>0</v>
      </c>
      <c r="CE72" s="10">
        <f t="shared" si="109"/>
        <v>0</v>
      </c>
      <c r="CF72" s="10">
        <f t="shared" si="109"/>
        <v>0</v>
      </c>
      <c r="CG72" s="10">
        <f t="shared" si="109"/>
        <v>0</v>
      </c>
      <c r="CH72" s="10">
        <f t="shared" si="109"/>
        <v>0</v>
      </c>
      <c r="CI72" s="10">
        <f t="shared" si="109"/>
        <v>0</v>
      </c>
      <c r="CJ72" s="10">
        <f t="shared" si="109"/>
        <v>0</v>
      </c>
      <c r="CK72" s="10">
        <f t="shared" si="109"/>
        <v>0</v>
      </c>
      <c r="CL72" s="10">
        <f t="shared" si="109"/>
        <v>0</v>
      </c>
      <c r="CM72" s="10">
        <f t="shared" si="109"/>
        <v>0</v>
      </c>
      <c r="CN72" s="10">
        <f t="shared" si="109"/>
        <v>0</v>
      </c>
      <c r="CO72" s="10">
        <f t="shared" si="109"/>
        <v>0</v>
      </c>
    </row>
    <row r="73" spans="1:93" s="133" customFormat="1" ht="14.25">
      <c r="A73" s="10"/>
      <c r="B73" s="11"/>
      <c r="C73" s="17" t="s">
        <v>86</v>
      </c>
      <c r="D73" s="10"/>
      <c r="E73" s="10"/>
      <c r="F73" s="10"/>
      <c r="G73" s="134" t="str">
        <f t="shared" si="96"/>
        <v>тыс. руб.</v>
      </c>
      <c r="H73" s="10"/>
      <c r="I73" s="23">
        <f t="shared" ca="1" si="97"/>
        <v>-472505.91550729866</v>
      </c>
      <c r="J73" s="10"/>
      <c r="K73" s="10"/>
      <c r="L73" s="10">
        <f t="shared" ref="L73:AQ73" ca="1" si="110">SUMIF(Year,L$6,Debt_Interest_Paid)</f>
        <v>0</v>
      </c>
      <c r="M73" s="10">
        <f t="shared" ca="1" si="110"/>
        <v>0</v>
      </c>
      <c r="N73" s="10">
        <f t="shared" ca="1" si="110"/>
        <v>-14457.325625393623</v>
      </c>
      <c r="O73" s="10">
        <f t="shared" ca="1" si="110"/>
        <v>-75659.583999173497</v>
      </c>
      <c r="P73" s="10">
        <f t="shared" ca="1" si="110"/>
        <v>-134466.50816201299</v>
      </c>
      <c r="Q73" s="10">
        <f t="shared" ca="1" si="110"/>
        <v>-105706.66083977962</v>
      </c>
      <c r="R73" s="10">
        <f t="shared" ca="1" si="110"/>
        <v>-80398.412796553239</v>
      </c>
      <c r="S73" s="10">
        <f t="shared" ca="1" si="110"/>
        <v>-49000.854989030166</v>
      </c>
      <c r="T73" s="10">
        <f t="shared" ca="1" si="110"/>
        <v>-12816.569095355595</v>
      </c>
      <c r="U73" s="10">
        <f t="shared" ca="1" si="110"/>
        <v>0</v>
      </c>
      <c r="V73" s="10">
        <f t="shared" ca="1" si="110"/>
        <v>0</v>
      </c>
      <c r="W73" s="10">
        <f t="shared" ca="1" si="110"/>
        <v>0</v>
      </c>
      <c r="X73" s="10">
        <f t="shared" ca="1" si="110"/>
        <v>0</v>
      </c>
      <c r="Y73" s="10">
        <f t="shared" ca="1" si="110"/>
        <v>0</v>
      </c>
      <c r="Z73" s="10">
        <f t="shared" ca="1" si="110"/>
        <v>0</v>
      </c>
      <c r="AA73" s="10">
        <f t="shared" ca="1" si="110"/>
        <v>0</v>
      </c>
      <c r="AB73" s="10">
        <f t="shared" ca="1" si="110"/>
        <v>0</v>
      </c>
      <c r="AC73" s="10">
        <f t="shared" ca="1" si="110"/>
        <v>0</v>
      </c>
      <c r="AD73" s="10">
        <f t="shared" ca="1" si="110"/>
        <v>0</v>
      </c>
      <c r="AE73" s="10">
        <f t="shared" ca="1" si="110"/>
        <v>0</v>
      </c>
      <c r="AF73" s="10">
        <f t="shared" ca="1" si="110"/>
        <v>0</v>
      </c>
      <c r="AG73" s="10">
        <f t="shared" si="110"/>
        <v>0</v>
      </c>
      <c r="AH73" s="10">
        <f t="shared" si="110"/>
        <v>0</v>
      </c>
      <c r="AI73" s="10">
        <f t="shared" si="110"/>
        <v>0</v>
      </c>
      <c r="AJ73" s="10">
        <f t="shared" si="110"/>
        <v>0</v>
      </c>
      <c r="AK73" s="10">
        <f t="shared" si="110"/>
        <v>0</v>
      </c>
      <c r="AL73" s="10">
        <f t="shared" si="110"/>
        <v>0</v>
      </c>
      <c r="AM73" s="10">
        <f t="shared" si="110"/>
        <v>0</v>
      </c>
      <c r="AN73" s="10">
        <f t="shared" si="110"/>
        <v>0</v>
      </c>
      <c r="AO73" s="10">
        <f t="shared" si="110"/>
        <v>0</v>
      </c>
      <c r="AP73" s="10">
        <f t="shared" si="110"/>
        <v>0</v>
      </c>
      <c r="AQ73" s="10">
        <f t="shared" si="110"/>
        <v>0</v>
      </c>
      <c r="AR73" s="10">
        <f t="shared" ref="AR73:BW73" si="111">SUMIF(Year,AR$6,Debt_Interest_Paid)</f>
        <v>0</v>
      </c>
      <c r="AS73" s="10">
        <f t="shared" si="111"/>
        <v>0</v>
      </c>
      <c r="AT73" s="10">
        <f t="shared" si="111"/>
        <v>0</v>
      </c>
      <c r="AU73" s="10">
        <f t="shared" si="111"/>
        <v>0</v>
      </c>
      <c r="AV73" s="10">
        <f t="shared" si="111"/>
        <v>0</v>
      </c>
      <c r="AW73" s="10">
        <f t="shared" si="111"/>
        <v>0</v>
      </c>
      <c r="AX73" s="10">
        <f t="shared" si="111"/>
        <v>0</v>
      </c>
      <c r="AY73" s="10">
        <f t="shared" si="111"/>
        <v>0</v>
      </c>
      <c r="AZ73" s="10">
        <f t="shared" si="111"/>
        <v>0</v>
      </c>
      <c r="BA73" s="10">
        <f t="shared" si="111"/>
        <v>0</v>
      </c>
      <c r="BB73" s="10">
        <f t="shared" si="111"/>
        <v>0</v>
      </c>
      <c r="BC73" s="10">
        <f t="shared" si="111"/>
        <v>0</v>
      </c>
      <c r="BD73" s="10">
        <f t="shared" si="111"/>
        <v>0</v>
      </c>
      <c r="BE73" s="10">
        <f t="shared" si="111"/>
        <v>0</v>
      </c>
      <c r="BF73" s="10">
        <f t="shared" si="111"/>
        <v>0</v>
      </c>
      <c r="BG73" s="10">
        <f t="shared" si="111"/>
        <v>0</v>
      </c>
      <c r="BH73" s="10">
        <f t="shared" si="111"/>
        <v>0</v>
      </c>
      <c r="BI73" s="10">
        <f t="shared" si="111"/>
        <v>0</v>
      </c>
      <c r="BJ73" s="10">
        <f t="shared" si="111"/>
        <v>0</v>
      </c>
      <c r="BK73" s="10">
        <f t="shared" si="111"/>
        <v>0</v>
      </c>
      <c r="BL73" s="10">
        <f t="shared" si="111"/>
        <v>0</v>
      </c>
      <c r="BM73" s="10">
        <f t="shared" si="111"/>
        <v>0</v>
      </c>
      <c r="BN73" s="10">
        <f t="shared" si="111"/>
        <v>0</v>
      </c>
      <c r="BO73" s="10">
        <f t="shared" si="111"/>
        <v>0</v>
      </c>
      <c r="BP73" s="10">
        <f t="shared" si="111"/>
        <v>0</v>
      </c>
      <c r="BQ73" s="10">
        <f t="shared" si="111"/>
        <v>0</v>
      </c>
      <c r="BR73" s="10">
        <f t="shared" si="111"/>
        <v>0</v>
      </c>
      <c r="BS73" s="10">
        <f t="shared" si="111"/>
        <v>0</v>
      </c>
      <c r="BT73" s="10">
        <f t="shared" si="111"/>
        <v>0</v>
      </c>
      <c r="BU73" s="10">
        <f t="shared" si="111"/>
        <v>0</v>
      </c>
      <c r="BV73" s="10">
        <f t="shared" si="111"/>
        <v>0</v>
      </c>
      <c r="BW73" s="10">
        <f t="shared" si="111"/>
        <v>0</v>
      </c>
      <c r="BX73" s="10">
        <f t="shared" ref="BX73:CO73" si="112">SUMIF(Year,BX$6,Debt_Interest_Paid)</f>
        <v>0</v>
      </c>
      <c r="BY73" s="10">
        <f t="shared" si="112"/>
        <v>0</v>
      </c>
      <c r="BZ73" s="10">
        <f t="shared" si="112"/>
        <v>0</v>
      </c>
      <c r="CA73" s="10">
        <f t="shared" si="112"/>
        <v>0</v>
      </c>
      <c r="CB73" s="10">
        <f t="shared" si="112"/>
        <v>0</v>
      </c>
      <c r="CC73" s="10">
        <f t="shared" si="112"/>
        <v>0</v>
      </c>
      <c r="CD73" s="10">
        <f t="shared" si="112"/>
        <v>0</v>
      </c>
      <c r="CE73" s="10">
        <f t="shared" si="112"/>
        <v>0</v>
      </c>
      <c r="CF73" s="10">
        <f t="shared" si="112"/>
        <v>0</v>
      </c>
      <c r="CG73" s="10">
        <f t="shared" si="112"/>
        <v>0</v>
      </c>
      <c r="CH73" s="10">
        <f t="shared" si="112"/>
        <v>0</v>
      </c>
      <c r="CI73" s="10">
        <f t="shared" si="112"/>
        <v>0</v>
      </c>
      <c r="CJ73" s="10">
        <f t="shared" si="112"/>
        <v>0</v>
      </c>
      <c r="CK73" s="10">
        <f t="shared" si="112"/>
        <v>0</v>
      </c>
      <c r="CL73" s="10">
        <f t="shared" si="112"/>
        <v>0</v>
      </c>
      <c r="CM73" s="10">
        <f t="shared" si="112"/>
        <v>0</v>
      </c>
      <c r="CN73" s="10">
        <f t="shared" si="112"/>
        <v>0</v>
      </c>
      <c r="CO73" s="10">
        <f t="shared" si="112"/>
        <v>0</v>
      </c>
    </row>
    <row r="74" spans="1:93" s="133" customFormat="1" ht="14.25">
      <c r="A74" s="10"/>
      <c r="B74" s="11"/>
      <c r="C74" s="17" t="s">
        <v>355</v>
      </c>
      <c r="D74" s="10"/>
      <c r="E74" s="10"/>
      <c r="F74" s="10"/>
      <c r="G74" s="134" t="str">
        <f t="shared" si="96"/>
        <v>тыс. руб.</v>
      </c>
      <c r="H74" s="10"/>
      <c r="I74" s="23">
        <f t="shared" ca="1" si="97"/>
        <v>-395320.07735860092</v>
      </c>
      <c r="J74" s="10"/>
      <c r="K74" s="10"/>
      <c r="L74" s="10">
        <f t="shared" ref="L74:AQ74" ca="1" si="113">SUMIF(Year,L$6,Subord_Interest_Paid)</f>
        <v>0</v>
      </c>
      <c r="M74" s="10">
        <f t="shared" ca="1" si="113"/>
        <v>0</v>
      </c>
      <c r="N74" s="10">
        <f t="shared" ca="1" si="113"/>
        <v>0</v>
      </c>
      <c r="O74" s="10">
        <f t="shared" ca="1" si="113"/>
        <v>0</v>
      </c>
      <c r="P74" s="10">
        <f t="shared" ca="1" si="113"/>
        <v>-71613.522571031441</v>
      </c>
      <c r="Q74" s="10">
        <f t="shared" ca="1" si="113"/>
        <v>-80092.582448227447</v>
      </c>
      <c r="R74" s="10">
        <f t="shared" ca="1" si="113"/>
        <v>-83868.575405339099</v>
      </c>
      <c r="S74" s="10">
        <f t="shared" ca="1" si="113"/>
        <v>-80428.460427563885</v>
      </c>
      <c r="T74" s="10">
        <f t="shared" ca="1" si="113"/>
        <v>-70373.854770747508</v>
      </c>
      <c r="U74" s="10">
        <f t="shared" ca="1" si="113"/>
        <v>-8943.0817356914995</v>
      </c>
      <c r="V74" s="10">
        <f t="shared" ca="1" si="113"/>
        <v>0</v>
      </c>
      <c r="W74" s="10">
        <f t="shared" ca="1" si="113"/>
        <v>0</v>
      </c>
      <c r="X74" s="10">
        <f t="shared" ca="1" si="113"/>
        <v>0</v>
      </c>
      <c r="Y74" s="10">
        <f t="shared" ca="1" si="113"/>
        <v>0</v>
      </c>
      <c r="Z74" s="10">
        <f t="shared" ca="1" si="113"/>
        <v>0</v>
      </c>
      <c r="AA74" s="10">
        <f t="shared" ca="1" si="113"/>
        <v>0</v>
      </c>
      <c r="AB74" s="10">
        <f t="shared" ca="1" si="113"/>
        <v>0</v>
      </c>
      <c r="AC74" s="10">
        <f t="shared" ca="1" si="113"/>
        <v>0</v>
      </c>
      <c r="AD74" s="10">
        <f t="shared" ca="1" si="113"/>
        <v>0</v>
      </c>
      <c r="AE74" s="10">
        <f t="shared" ca="1" si="113"/>
        <v>0</v>
      </c>
      <c r="AF74" s="10">
        <f t="shared" ca="1" si="113"/>
        <v>0</v>
      </c>
      <c r="AG74" s="10">
        <f t="shared" si="113"/>
        <v>0</v>
      </c>
      <c r="AH74" s="10">
        <f t="shared" si="113"/>
        <v>0</v>
      </c>
      <c r="AI74" s="10">
        <f t="shared" si="113"/>
        <v>0</v>
      </c>
      <c r="AJ74" s="10">
        <f t="shared" si="113"/>
        <v>0</v>
      </c>
      <c r="AK74" s="10">
        <f t="shared" si="113"/>
        <v>0</v>
      </c>
      <c r="AL74" s="10">
        <f t="shared" si="113"/>
        <v>0</v>
      </c>
      <c r="AM74" s="10">
        <f t="shared" si="113"/>
        <v>0</v>
      </c>
      <c r="AN74" s="10">
        <f t="shared" si="113"/>
        <v>0</v>
      </c>
      <c r="AO74" s="10">
        <f t="shared" si="113"/>
        <v>0</v>
      </c>
      <c r="AP74" s="10">
        <f t="shared" si="113"/>
        <v>0</v>
      </c>
      <c r="AQ74" s="10">
        <f t="shared" si="113"/>
        <v>0</v>
      </c>
      <c r="AR74" s="10">
        <f t="shared" ref="AR74:BW74" si="114">SUMIF(Year,AR$6,Subord_Interest_Paid)</f>
        <v>0</v>
      </c>
      <c r="AS74" s="10">
        <f t="shared" si="114"/>
        <v>0</v>
      </c>
      <c r="AT74" s="10">
        <f t="shared" si="114"/>
        <v>0</v>
      </c>
      <c r="AU74" s="10">
        <f t="shared" si="114"/>
        <v>0</v>
      </c>
      <c r="AV74" s="10">
        <f t="shared" si="114"/>
        <v>0</v>
      </c>
      <c r="AW74" s="10">
        <f t="shared" si="114"/>
        <v>0</v>
      </c>
      <c r="AX74" s="10">
        <f t="shared" si="114"/>
        <v>0</v>
      </c>
      <c r="AY74" s="10">
        <f t="shared" si="114"/>
        <v>0</v>
      </c>
      <c r="AZ74" s="10">
        <f t="shared" si="114"/>
        <v>0</v>
      </c>
      <c r="BA74" s="10">
        <f t="shared" si="114"/>
        <v>0</v>
      </c>
      <c r="BB74" s="10">
        <f t="shared" si="114"/>
        <v>0</v>
      </c>
      <c r="BC74" s="10">
        <f t="shared" si="114"/>
        <v>0</v>
      </c>
      <c r="BD74" s="10">
        <f t="shared" si="114"/>
        <v>0</v>
      </c>
      <c r="BE74" s="10">
        <f t="shared" si="114"/>
        <v>0</v>
      </c>
      <c r="BF74" s="10">
        <f t="shared" si="114"/>
        <v>0</v>
      </c>
      <c r="BG74" s="10">
        <f t="shared" si="114"/>
        <v>0</v>
      </c>
      <c r="BH74" s="10">
        <f t="shared" si="114"/>
        <v>0</v>
      </c>
      <c r="BI74" s="10">
        <f t="shared" si="114"/>
        <v>0</v>
      </c>
      <c r="BJ74" s="10">
        <f t="shared" si="114"/>
        <v>0</v>
      </c>
      <c r="BK74" s="10">
        <f t="shared" si="114"/>
        <v>0</v>
      </c>
      <c r="BL74" s="10">
        <f t="shared" si="114"/>
        <v>0</v>
      </c>
      <c r="BM74" s="10">
        <f t="shared" si="114"/>
        <v>0</v>
      </c>
      <c r="BN74" s="10">
        <f t="shared" si="114"/>
        <v>0</v>
      </c>
      <c r="BO74" s="10">
        <f t="shared" si="114"/>
        <v>0</v>
      </c>
      <c r="BP74" s="10">
        <f t="shared" si="114"/>
        <v>0</v>
      </c>
      <c r="BQ74" s="10">
        <f t="shared" si="114"/>
        <v>0</v>
      </c>
      <c r="BR74" s="10">
        <f t="shared" si="114"/>
        <v>0</v>
      </c>
      <c r="BS74" s="10">
        <f t="shared" si="114"/>
        <v>0</v>
      </c>
      <c r="BT74" s="10">
        <f t="shared" si="114"/>
        <v>0</v>
      </c>
      <c r="BU74" s="10">
        <f t="shared" si="114"/>
        <v>0</v>
      </c>
      <c r="BV74" s="10">
        <f t="shared" si="114"/>
        <v>0</v>
      </c>
      <c r="BW74" s="10">
        <f t="shared" si="114"/>
        <v>0</v>
      </c>
      <c r="BX74" s="10">
        <f t="shared" ref="BX74:CO74" si="115">SUMIF(Year,BX$6,Subord_Interest_Paid)</f>
        <v>0</v>
      </c>
      <c r="BY74" s="10">
        <f t="shared" si="115"/>
        <v>0</v>
      </c>
      <c r="BZ74" s="10">
        <f t="shared" si="115"/>
        <v>0</v>
      </c>
      <c r="CA74" s="10">
        <f t="shared" si="115"/>
        <v>0</v>
      </c>
      <c r="CB74" s="10">
        <f t="shared" si="115"/>
        <v>0</v>
      </c>
      <c r="CC74" s="10">
        <f t="shared" si="115"/>
        <v>0</v>
      </c>
      <c r="CD74" s="10">
        <f t="shared" si="115"/>
        <v>0</v>
      </c>
      <c r="CE74" s="10">
        <f t="shared" si="115"/>
        <v>0</v>
      </c>
      <c r="CF74" s="10">
        <f t="shared" si="115"/>
        <v>0</v>
      </c>
      <c r="CG74" s="10">
        <f t="shared" si="115"/>
        <v>0</v>
      </c>
      <c r="CH74" s="10">
        <f t="shared" si="115"/>
        <v>0</v>
      </c>
      <c r="CI74" s="10">
        <f t="shared" si="115"/>
        <v>0</v>
      </c>
      <c r="CJ74" s="10">
        <f t="shared" si="115"/>
        <v>0</v>
      </c>
      <c r="CK74" s="10">
        <f t="shared" si="115"/>
        <v>0</v>
      </c>
      <c r="CL74" s="10">
        <f t="shared" si="115"/>
        <v>0</v>
      </c>
      <c r="CM74" s="10">
        <f t="shared" si="115"/>
        <v>0</v>
      </c>
      <c r="CN74" s="10">
        <f t="shared" si="115"/>
        <v>0</v>
      </c>
      <c r="CO74" s="10">
        <f t="shared" si="115"/>
        <v>0</v>
      </c>
    </row>
    <row r="75" spans="1:93" s="133" customFormat="1" ht="14.25">
      <c r="A75" s="10"/>
      <c r="B75" s="11"/>
      <c r="C75" s="17" t="s">
        <v>87</v>
      </c>
      <c r="D75" s="10"/>
      <c r="E75" s="10"/>
      <c r="F75" s="10"/>
      <c r="G75" s="134" t="str">
        <f t="shared" si="96"/>
        <v>тыс. руб.</v>
      </c>
      <c r="H75" s="10"/>
      <c r="I75" s="23">
        <f t="shared" ca="1" si="97"/>
        <v>-1083177.1599277665</v>
      </c>
      <c r="J75" s="10"/>
      <c r="K75" s="10"/>
      <c r="L75" s="10">
        <f t="shared" ref="L75:AQ75" ca="1" si="116">SUMIF(Year,L$6,Profits_Tax)</f>
        <v>0</v>
      </c>
      <c r="M75" s="10">
        <f t="shared" ca="1" si="116"/>
        <v>0</v>
      </c>
      <c r="N75" s="10">
        <f t="shared" ca="1" si="116"/>
        <v>0</v>
      </c>
      <c r="O75" s="10">
        <f t="shared" ca="1" si="116"/>
        <v>0</v>
      </c>
      <c r="P75" s="10">
        <f t="shared" ca="1" si="116"/>
        <v>-1818.3117376434448</v>
      </c>
      <c r="Q75" s="10">
        <f t="shared" ca="1" si="116"/>
        <v>-3245.0267471806192</v>
      </c>
      <c r="R75" s="10">
        <f t="shared" ca="1" si="116"/>
        <v>-4486.9417423057985</v>
      </c>
      <c r="S75" s="10">
        <f t="shared" ca="1" si="116"/>
        <v>-5975.8467241874405</v>
      </c>
      <c r="T75" s="10">
        <f t="shared" ca="1" si="116"/>
        <v>-17545.986460656393</v>
      </c>
      <c r="U75" s="10">
        <f t="shared" ca="1" si="116"/>
        <v>-39994.35530382565</v>
      </c>
      <c r="V75" s="10">
        <f t="shared" ca="1" si="116"/>
        <v>-40544.849684535264</v>
      </c>
      <c r="W75" s="10">
        <f t="shared" ca="1" si="116"/>
        <v>-45763.680422261219</v>
      </c>
      <c r="X75" s="10">
        <f t="shared" ca="1" si="116"/>
        <v>-48831.107566407991</v>
      </c>
      <c r="Y75" s="10">
        <f t="shared" ca="1" si="116"/>
        <v>-60063.999278022078</v>
      </c>
      <c r="Z75" s="10">
        <f t="shared" ca="1" si="116"/>
        <v>-114903.04953085675</v>
      </c>
      <c r="AA75" s="10">
        <f t="shared" ca="1" si="116"/>
        <v>-117522.21359310625</v>
      </c>
      <c r="AB75" s="10">
        <f t="shared" ca="1" si="116"/>
        <v>-123091.76497032588</v>
      </c>
      <c r="AC75" s="10">
        <f t="shared" ca="1" si="116"/>
        <v>-129077.43768069273</v>
      </c>
      <c r="AD75" s="10">
        <f t="shared" ca="1" si="116"/>
        <v>-135289.88544709483</v>
      </c>
      <c r="AE75" s="10">
        <f t="shared" ca="1" si="116"/>
        <v>-141969.94667737745</v>
      </c>
      <c r="AF75" s="10">
        <f t="shared" ca="1" si="116"/>
        <v>-53052.756361286738</v>
      </c>
      <c r="AG75" s="10">
        <f t="shared" si="116"/>
        <v>0</v>
      </c>
      <c r="AH75" s="10">
        <f t="shared" si="116"/>
        <v>0</v>
      </c>
      <c r="AI75" s="10">
        <f t="shared" si="116"/>
        <v>0</v>
      </c>
      <c r="AJ75" s="10">
        <f t="shared" si="116"/>
        <v>0</v>
      </c>
      <c r="AK75" s="10">
        <f t="shared" si="116"/>
        <v>0</v>
      </c>
      <c r="AL75" s="10">
        <f t="shared" si="116"/>
        <v>0</v>
      </c>
      <c r="AM75" s="10">
        <f t="shared" si="116"/>
        <v>0</v>
      </c>
      <c r="AN75" s="10">
        <f t="shared" si="116"/>
        <v>0</v>
      </c>
      <c r="AO75" s="10">
        <f t="shared" si="116"/>
        <v>0</v>
      </c>
      <c r="AP75" s="10">
        <f t="shared" si="116"/>
        <v>0</v>
      </c>
      <c r="AQ75" s="10">
        <f t="shared" si="116"/>
        <v>0</v>
      </c>
      <c r="AR75" s="10">
        <f t="shared" ref="AR75:BW75" si="117">SUMIF(Year,AR$6,Profits_Tax)</f>
        <v>0</v>
      </c>
      <c r="AS75" s="10">
        <f t="shared" si="117"/>
        <v>0</v>
      </c>
      <c r="AT75" s="10">
        <f t="shared" si="117"/>
        <v>0</v>
      </c>
      <c r="AU75" s="10">
        <f t="shared" si="117"/>
        <v>0</v>
      </c>
      <c r="AV75" s="10">
        <f t="shared" si="117"/>
        <v>0</v>
      </c>
      <c r="AW75" s="10">
        <f t="shared" si="117"/>
        <v>0</v>
      </c>
      <c r="AX75" s="10">
        <f t="shared" si="117"/>
        <v>0</v>
      </c>
      <c r="AY75" s="10">
        <f t="shared" si="117"/>
        <v>0</v>
      </c>
      <c r="AZ75" s="10">
        <f t="shared" si="117"/>
        <v>0</v>
      </c>
      <c r="BA75" s="10">
        <f t="shared" si="117"/>
        <v>0</v>
      </c>
      <c r="BB75" s="10">
        <f t="shared" si="117"/>
        <v>0</v>
      </c>
      <c r="BC75" s="10">
        <f t="shared" si="117"/>
        <v>0</v>
      </c>
      <c r="BD75" s="10">
        <f t="shared" si="117"/>
        <v>0</v>
      </c>
      <c r="BE75" s="10">
        <f t="shared" si="117"/>
        <v>0</v>
      </c>
      <c r="BF75" s="10">
        <f t="shared" si="117"/>
        <v>0</v>
      </c>
      <c r="BG75" s="10">
        <f t="shared" si="117"/>
        <v>0</v>
      </c>
      <c r="BH75" s="10">
        <f t="shared" si="117"/>
        <v>0</v>
      </c>
      <c r="BI75" s="10">
        <f t="shared" si="117"/>
        <v>0</v>
      </c>
      <c r="BJ75" s="10">
        <f t="shared" si="117"/>
        <v>0</v>
      </c>
      <c r="BK75" s="10">
        <f t="shared" si="117"/>
        <v>0</v>
      </c>
      <c r="BL75" s="10">
        <f t="shared" si="117"/>
        <v>0</v>
      </c>
      <c r="BM75" s="10">
        <f t="shared" si="117"/>
        <v>0</v>
      </c>
      <c r="BN75" s="10">
        <f t="shared" si="117"/>
        <v>0</v>
      </c>
      <c r="BO75" s="10">
        <f t="shared" si="117"/>
        <v>0</v>
      </c>
      <c r="BP75" s="10">
        <f t="shared" si="117"/>
        <v>0</v>
      </c>
      <c r="BQ75" s="10">
        <f t="shared" si="117"/>
        <v>0</v>
      </c>
      <c r="BR75" s="10">
        <f t="shared" si="117"/>
        <v>0</v>
      </c>
      <c r="BS75" s="10">
        <f t="shared" si="117"/>
        <v>0</v>
      </c>
      <c r="BT75" s="10">
        <f t="shared" si="117"/>
        <v>0</v>
      </c>
      <c r="BU75" s="10">
        <f t="shared" si="117"/>
        <v>0</v>
      </c>
      <c r="BV75" s="10">
        <f t="shared" si="117"/>
        <v>0</v>
      </c>
      <c r="BW75" s="10">
        <f t="shared" si="117"/>
        <v>0</v>
      </c>
      <c r="BX75" s="10">
        <f t="shared" ref="BX75:CO75" si="118">SUMIF(Year,BX$6,Profits_Tax)</f>
        <v>0</v>
      </c>
      <c r="BY75" s="10">
        <f t="shared" si="118"/>
        <v>0</v>
      </c>
      <c r="BZ75" s="10">
        <f t="shared" si="118"/>
        <v>0</v>
      </c>
      <c r="CA75" s="10">
        <f t="shared" si="118"/>
        <v>0</v>
      </c>
      <c r="CB75" s="10">
        <f t="shared" si="118"/>
        <v>0</v>
      </c>
      <c r="CC75" s="10">
        <f t="shared" si="118"/>
        <v>0</v>
      </c>
      <c r="CD75" s="10">
        <f t="shared" si="118"/>
        <v>0</v>
      </c>
      <c r="CE75" s="10">
        <f t="shared" si="118"/>
        <v>0</v>
      </c>
      <c r="CF75" s="10">
        <f t="shared" si="118"/>
        <v>0</v>
      </c>
      <c r="CG75" s="10">
        <f t="shared" si="118"/>
        <v>0</v>
      </c>
      <c r="CH75" s="10">
        <f t="shared" si="118"/>
        <v>0</v>
      </c>
      <c r="CI75" s="10">
        <f t="shared" si="118"/>
        <v>0</v>
      </c>
      <c r="CJ75" s="10">
        <f t="shared" si="118"/>
        <v>0</v>
      </c>
      <c r="CK75" s="10">
        <f t="shared" si="118"/>
        <v>0</v>
      </c>
      <c r="CL75" s="10">
        <f t="shared" si="118"/>
        <v>0</v>
      </c>
      <c r="CM75" s="10">
        <f t="shared" si="118"/>
        <v>0</v>
      </c>
      <c r="CN75" s="10">
        <f t="shared" si="118"/>
        <v>0</v>
      </c>
      <c r="CO75" s="10">
        <f t="shared" si="118"/>
        <v>0</v>
      </c>
    </row>
    <row r="76" spans="1:93" s="133" customFormat="1" ht="14.25">
      <c r="A76" s="10"/>
      <c r="B76" s="11"/>
      <c r="C76" s="17" t="s">
        <v>112</v>
      </c>
      <c r="D76" s="10"/>
      <c r="E76" s="10"/>
      <c r="F76" s="10"/>
      <c r="G76" s="134" t="str">
        <f t="shared" si="96"/>
        <v>тыс. руб.</v>
      </c>
      <c r="H76" s="10"/>
      <c r="I76" s="23">
        <f t="shared" ca="1" si="97"/>
        <v>71552.676699739794</v>
      </c>
      <c r="J76" s="10"/>
      <c r="K76" s="10"/>
      <c r="L76" s="10">
        <f t="shared" ref="L76:AQ76" ca="1" si="119">SUMIF(Year,L$6,VAT_Cash_Flow)</f>
        <v>-13777.614244774297</v>
      </c>
      <c r="M76" s="10">
        <f t="shared" ca="1" si="119"/>
        <v>-120087.39633525597</v>
      </c>
      <c r="N76" s="10">
        <f t="shared" ca="1" si="119"/>
        <v>-124890.89218866616</v>
      </c>
      <c r="O76" s="10">
        <f t="shared" ca="1" si="119"/>
        <v>-248696.04773381393</v>
      </c>
      <c r="P76" s="10">
        <f t="shared" ca="1" si="119"/>
        <v>476381.31185838219</v>
      </c>
      <c r="Q76" s="10">
        <f t="shared" ca="1" si="119"/>
        <v>-5017.8838777046876</v>
      </c>
      <c r="R76" s="10">
        <f t="shared" ca="1" si="119"/>
        <v>-5369.6015660904668</v>
      </c>
      <c r="S76" s="10">
        <f t="shared" ca="1" si="119"/>
        <v>-4470.6677248735868</v>
      </c>
      <c r="T76" s="10">
        <f t="shared" ca="1" si="119"/>
        <v>-1837.444284891244</v>
      </c>
      <c r="U76" s="10">
        <f t="shared" ca="1" si="119"/>
        <v>78548.348259026345</v>
      </c>
      <c r="V76" s="10">
        <f t="shared" ca="1" si="119"/>
        <v>1231.2844864534854</v>
      </c>
      <c r="W76" s="10">
        <f t="shared" ca="1" si="119"/>
        <v>1280.7012473124341</v>
      </c>
      <c r="X76" s="10">
        <f t="shared" ca="1" si="119"/>
        <v>1331.5919191473949</v>
      </c>
      <c r="Y76" s="10">
        <f t="shared" ca="1" si="119"/>
        <v>1385.0275925700553</v>
      </c>
      <c r="Z76" s="10">
        <f t="shared" ca="1" si="119"/>
        <v>1440.4286962728656</v>
      </c>
      <c r="AA76" s="10">
        <f t="shared" ca="1" si="119"/>
        <v>1498.2393169711431</v>
      </c>
      <c r="AB76" s="10">
        <f t="shared" ca="1" si="119"/>
        <v>1557.7742050413945</v>
      </c>
      <c r="AC76" s="10">
        <f t="shared" ca="1" si="119"/>
        <v>1620.2863850042631</v>
      </c>
      <c r="AD76" s="10">
        <f t="shared" ca="1" si="119"/>
        <v>1685.0978404044581</v>
      </c>
      <c r="AE76" s="10">
        <f t="shared" ca="1" si="119"/>
        <v>1752.7280898871977</v>
      </c>
      <c r="AF76" s="10">
        <f t="shared" ca="1" si="119"/>
        <v>25987.404759336903</v>
      </c>
      <c r="AG76" s="10">
        <f t="shared" si="119"/>
        <v>0</v>
      </c>
      <c r="AH76" s="10">
        <f t="shared" si="119"/>
        <v>0</v>
      </c>
      <c r="AI76" s="10">
        <f t="shared" si="119"/>
        <v>0</v>
      </c>
      <c r="AJ76" s="10">
        <f t="shared" si="119"/>
        <v>0</v>
      </c>
      <c r="AK76" s="10">
        <f t="shared" si="119"/>
        <v>0</v>
      </c>
      <c r="AL76" s="10">
        <f t="shared" si="119"/>
        <v>0</v>
      </c>
      <c r="AM76" s="10">
        <f t="shared" si="119"/>
        <v>0</v>
      </c>
      <c r="AN76" s="10">
        <f t="shared" si="119"/>
        <v>0</v>
      </c>
      <c r="AO76" s="10">
        <f t="shared" si="119"/>
        <v>0</v>
      </c>
      <c r="AP76" s="10">
        <f t="shared" si="119"/>
        <v>0</v>
      </c>
      <c r="AQ76" s="10">
        <f t="shared" si="119"/>
        <v>0</v>
      </c>
      <c r="AR76" s="10">
        <f t="shared" ref="AR76:BW76" si="120">SUMIF(Year,AR$6,VAT_Cash_Flow)</f>
        <v>0</v>
      </c>
      <c r="AS76" s="10">
        <f t="shared" si="120"/>
        <v>0</v>
      </c>
      <c r="AT76" s="10">
        <f t="shared" si="120"/>
        <v>0</v>
      </c>
      <c r="AU76" s="10">
        <f t="shared" si="120"/>
        <v>0</v>
      </c>
      <c r="AV76" s="10">
        <f t="shared" si="120"/>
        <v>0</v>
      </c>
      <c r="AW76" s="10">
        <f t="shared" si="120"/>
        <v>0</v>
      </c>
      <c r="AX76" s="10">
        <f t="shared" si="120"/>
        <v>0</v>
      </c>
      <c r="AY76" s="10">
        <f t="shared" si="120"/>
        <v>0</v>
      </c>
      <c r="AZ76" s="10">
        <f t="shared" si="120"/>
        <v>0</v>
      </c>
      <c r="BA76" s="10">
        <f t="shared" si="120"/>
        <v>0</v>
      </c>
      <c r="BB76" s="10">
        <f t="shared" si="120"/>
        <v>0</v>
      </c>
      <c r="BC76" s="10">
        <f t="shared" si="120"/>
        <v>0</v>
      </c>
      <c r="BD76" s="10">
        <f t="shared" si="120"/>
        <v>0</v>
      </c>
      <c r="BE76" s="10">
        <f t="shared" si="120"/>
        <v>0</v>
      </c>
      <c r="BF76" s="10">
        <f t="shared" si="120"/>
        <v>0</v>
      </c>
      <c r="BG76" s="10">
        <f t="shared" si="120"/>
        <v>0</v>
      </c>
      <c r="BH76" s="10">
        <f t="shared" si="120"/>
        <v>0</v>
      </c>
      <c r="BI76" s="10">
        <f t="shared" si="120"/>
        <v>0</v>
      </c>
      <c r="BJ76" s="10">
        <f t="shared" si="120"/>
        <v>0</v>
      </c>
      <c r="BK76" s="10">
        <f t="shared" si="120"/>
        <v>0</v>
      </c>
      <c r="BL76" s="10">
        <f t="shared" si="120"/>
        <v>0</v>
      </c>
      <c r="BM76" s="10">
        <f t="shared" si="120"/>
        <v>0</v>
      </c>
      <c r="BN76" s="10">
        <f t="shared" si="120"/>
        <v>0</v>
      </c>
      <c r="BO76" s="10">
        <f t="shared" si="120"/>
        <v>0</v>
      </c>
      <c r="BP76" s="10">
        <f t="shared" si="120"/>
        <v>0</v>
      </c>
      <c r="BQ76" s="10">
        <f t="shared" si="120"/>
        <v>0</v>
      </c>
      <c r="BR76" s="10">
        <f t="shared" si="120"/>
        <v>0</v>
      </c>
      <c r="BS76" s="10">
        <f t="shared" si="120"/>
        <v>0</v>
      </c>
      <c r="BT76" s="10">
        <f t="shared" si="120"/>
        <v>0</v>
      </c>
      <c r="BU76" s="10">
        <f t="shared" si="120"/>
        <v>0</v>
      </c>
      <c r="BV76" s="10">
        <f t="shared" si="120"/>
        <v>0</v>
      </c>
      <c r="BW76" s="10">
        <f t="shared" si="120"/>
        <v>0</v>
      </c>
      <c r="BX76" s="10">
        <f t="shared" ref="BX76:CO76" si="121">SUMIF(Year,BX$6,VAT_Cash_Flow)</f>
        <v>0</v>
      </c>
      <c r="BY76" s="10">
        <f t="shared" si="121"/>
        <v>0</v>
      </c>
      <c r="BZ76" s="10">
        <f t="shared" si="121"/>
        <v>0</v>
      </c>
      <c r="CA76" s="10">
        <f t="shared" si="121"/>
        <v>0</v>
      </c>
      <c r="CB76" s="10">
        <f t="shared" si="121"/>
        <v>0</v>
      </c>
      <c r="CC76" s="10">
        <f t="shared" si="121"/>
        <v>0</v>
      </c>
      <c r="CD76" s="10">
        <f t="shared" si="121"/>
        <v>0</v>
      </c>
      <c r="CE76" s="10">
        <f t="shared" si="121"/>
        <v>0</v>
      </c>
      <c r="CF76" s="10">
        <f t="shared" si="121"/>
        <v>0</v>
      </c>
      <c r="CG76" s="10">
        <f t="shared" si="121"/>
        <v>0</v>
      </c>
      <c r="CH76" s="10">
        <f t="shared" si="121"/>
        <v>0</v>
      </c>
      <c r="CI76" s="10">
        <f t="shared" si="121"/>
        <v>0</v>
      </c>
      <c r="CJ76" s="10">
        <f t="shared" si="121"/>
        <v>0</v>
      </c>
      <c r="CK76" s="10">
        <f t="shared" si="121"/>
        <v>0</v>
      </c>
      <c r="CL76" s="10">
        <f t="shared" si="121"/>
        <v>0</v>
      </c>
      <c r="CM76" s="10">
        <f t="shared" si="121"/>
        <v>0</v>
      </c>
      <c r="CN76" s="10">
        <f t="shared" si="121"/>
        <v>0</v>
      </c>
      <c r="CO76" s="10">
        <f t="shared" si="121"/>
        <v>0</v>
      </c>
    </row>
    <row r="77" spans="1:93" s="133" customFormat="1" thickBot="1">
      <c r="A77" s="10"/>
      <c r="B77" s="11"/>
      <c r="C77" s="17" t="s">
        <v>88</v>
      </c>
      <c r="D77" s="10"/>
      <c r="E77" s="10"/>
      <c r="F77" s="10"/>
      <c r="G77" s="134" t="str">
        <f t="shared" si="96"/>
        <v>тыс. руб.</v>
      </c>
      <c r="H77" s="10"/>
      <c r="I77" s="23">
        <f t="shared" ca="1" si="97"/>
        <v>-149764.43854771773</v>
      </c>
      <c r="J77" s="10"/>
      <c r="K77" s="10"/>
      <c r="L77" s="10">
        <f t="shared" ref="L77:AQ77" ca="1" si="122">SUMIF(Year,L$6,WC_Cash_Flow)</f>
        <v>0</v>
      </c>
      <c r="M77" s="10">
        <f t="shared" ca="1" si="122"/>
        <v>0</v>
      </c>
      <c r="N77" s="10">
        <f t="shared" ca="1" si="122"/>
        <v>0</v>
      </c>
      <c r="O77" s="10">
        <f t="shared" ca="1" si="122"/>
        <v>0</v>
      </c>
      <c r="P77" s="10">
        <f t="shared" ca="1" si="122"/>
        <v>-48118.496125146252</v>
      </c>
      <c r="Q77" s="10">
        <f t="shared" ca="1" si="122"/>
        <v>-7665.9095111031493</v>
      </c>
      <c r="R77" s="10">
        <f t="shared" ca="1" si="122"/>
        <v>-8202.1926781913498</v>
      </c>
      <c r="S77" s="10">
        <f t="shared" ca="1" si="122"/>
        <v>-5664.4037342376541</v>
      </c>
      <c r="T77" s="10">
        <f t="shared" ca="1" si="122"/>
        <v>-2785.9202258630539</v>
      </c>
      <c r="U77" s="10">
        <f t="shared" ca="1" si="122"/>
        <v>8495.1513175523432</v>
      </c>
      <c r="V77" s="10">
        <f t="shared" ca="1" si="122"/>
        <v>-2557.6708382795332</v>
      </c>
      <c r="W77" s="10">
        <f t="shared" ca="1" si="122"/>
        <v>-2660.1124936048873</v>
      </c>
      <c r="X77" s="10">
        <f t="shared" ca="1" si="122"/>
        <v>-2766.2419568889891</v>
      </c>
      <c r="Y77" s="10">
        <f t="shared" ca="1" si="122"/>
        <v>-2877.031849830586</v>
      </c>
      <c r="Z77" s="10">
        <f t="shared" ca="1" si="122"/>
        <v>-2992.1131238237722</v>
      </c>
      <c r="AA77" s="10">
        <f t="shared" ca="1" si="122"/>
        <v>-3111.9553712066263</v>
      </c>
      <c r="AB77" s="10">
        <f t="shared" ca="1" si="122"/>
        <v>-3236.1118322977563</v>
      </c>
      <c r="AC77" s="10">
        <f t="shared" ca="1" si="122"/>
        <v>-3365.7203369167983</v>
      </c>
      <c r="AD77" s="10">
        <f t="shared" ca="1" si="122"/>
        <v>-3500.349150393391</v>
      </c>
      <c r="AE77" s="10">
        <f t="shared" ca="1" si="122"/>
        <v>-3640.547629343986</v>
      </c>
      <c r="AF77" s="10">
        <f t="shared" ca="1" si="122"/>
        <v>-55114.813008142286</v>
      </c>
      <c r="AG77" s="10">
        <f t="shared" si="122"/>
        <v>0</v>
      </c>
      <c r="AH77" s="10">
        <f t="shared" si="122"/>
        <v>0</v>
      </c>
      <c r="AI77" s="10">
        <f t="shared" si="122"/>
        <v>0</v>
      </c>
      <c r="AJ77" s="10">
        <f t="shared" si="122"/>
        <v>0</v>
      </c>
      <c r="AK77" s="10">
        <f t="shared" si="122"/>
        <v>0</v>
      </c>
      <c r="AL77" s="10">
        <f t="shared" si="122"/>
        <v>0</v>
      </c>
      <c r="AM77" s="10">
        <f t="shared" si="122"/>
        <v>0</v>
      </c>
      <c r="AN77" s="10">
        <f t="shared" si="122"/>
        <v>0</v>
      </c>
      <c r="AO77" s="10">
        <f t="shared" si="122"/>
        <v>0</v>
      </c>
      <c r="AP77" s="10">
        <f t="shared" si="122"/>
        <v>0</v>
      </c>
      <c r="AQ77" s="10">
        <f t="shared" si="122"/>
        <v>0</v>
      </c>
      <c r="AR77" s="10">
        <f t="shared" ref="AR77:BW77" si="123">SUMIF(Year,AR$6,WC_Cash_Flow)</f>
        <v>0</v>
      </c>
      <c r="AS77" s="10">
        <f t="shared" si="123"/>
        <v>0</v>
      </c>
      <c r="AT77" s="10">
        <f t="shared" si="123"/>
        <v>0</v>
      </c>
      <c r="AU77" s="10">
        <f t="shared" si="123"/>
        <v>0</v>
      </c>
      <c r="AV77" s="10">
        <f t="shared" si="123"/>
        <v>0</v>
      </c>
      <c r="AW77" s="10">
        <f t="shared" si="123"/>
        <v>0</v>
      </c>
      <c r="AX77" s="10">
        <f t="shared" si="123"/>
        <v>0</v>
      </c>
      <c r="AY77" s="10">
        <f t="shared" si="123"/>
        <v>0</v>
      </c>
      <c r="AZ77" s="10">
        <f t="shared" si="123"/>
        <v>0</v>
      </c>
      <c r="BA77" s="10">
        <f t="shared" si="123"/>
        <v>0</v>
      </c>
      <c r="BB77" s="10">
        <f t="shared" si="123"/>
        <v>0</v>
      </c>
      <c r="BC77" s="10">
        <f t="shared" si="123"/>
        <v>0</v>
      </c>
      <c r="BD77" s="10">
        <f t="shared" si="123"/>
        <v>0</v>
      </c>
      <c r="BE77" s="10">
        <f t="shared" si="123"/>
        <v>0</v>
      </c>
      <c r="BF77" s="10">
        <f t="shared" si="123"/>
        <v>0</v>
      </c>
      <c r="BG77" s="10">
        <f t="shared" si="123"/>
        <v>0</v>
      </c>
      <c r="BH77" s="10">
        <f t="shared" si="123"/>
        <v>0</v>
      </c>
      <c r="BI77" s="10">
        <f t="shared" si="123"/>
        <v>0</v>
      </c>
      <c r="BJ77" s="10">
        <f t="shared" si="123"/>
        <v>0</v>
      </c>
      <c r="BK77" s="10">
        <f t="shared" si="123"/>
        <v>0</v>
      </c>
      <c r="BL77" s="10">
        <f t="shared" si="123"/>
        <v>0</v>
      </c>
      <c r="BM77" s="10">
        <f t="shared" si="123"/>
        <v>0</v>
      </c>
      <c r="BN77" s="10">
        <f t="shared" si="123"/>
        <v>0</v>
      </c>
      <c r="BO77" s="10">
        <f t="shared" si="123"/>
        <v>0</v>
      </c>
      <c r="BP77" s="10">
        <f t="shared" si="123"/>
        <v>0</v>
      </c>
      <c r="BQ77" s="10">
        <f t="shared" si="123"/>
        <v>0</v>
      </c>
      <c r="BR77" s="10">
        <f t="shared" si="123"/>
        <v>0</v>
      </c>
      <c r="BS77" s="10">
        <f t="shared" si="123"/>
        <v>0</v>
      </c>
      <c r="BT77" s="10">
        <f t="shared" si="123"/>
        <v>0</v>
      </c>
      <c r="BU77" s="10">
        <f t="shared" si="123"/>
        <v>0</v>
      </c>
      <c r="BV77" s="10">
        <f t="shared" si="123"/>
        <v>0</v>
      </c>
      <c r="BW77" s="10">
        <f t="shared" si="123"/>
        <v>0</v>
      </c>
      <c r="BX77" s="10">
        <f t="shared" ref="BX77:CO77" si="124">SUMIF(Year,BX$6,WC_Cash_Flow)</f>
        <v>0</v>
      </c>
      <c r="BY77" s="10">
        <f t="shared" si="124"/>
        <v>0</v>
      </c>
      <c r="BZ77" s="10">
        <f t="shared" si="124"/>
        <v>0</v>
      </c>
      <c r="CA77" s="10">
        <f t="shared" si="124"/>
        <v>0</v>
      </c>
      <c r="CB77" s="10">
        <f t="shared" si="124"/>
        <v>0</v>
      </c>
      <c r="CC77" s="10">
        <f t="shared" si="124"/>
        <v>0</v>
      </c>
      <c r="CD77" s="10">
        <f t="shared" si="124"/>
        <v>0</v>
      </c>
      <c r="CE77" s="10">
        <f t="shared" si="124"/>
        <v>0</v>
      </c>
      <c r="CF77" s="10">
        <f t="shared" si="124"/>
        <v>0</v>
      </c>
      <c r="CG77" s="10">
        <f t="shared" si="124"/>
        <v>0</v>
      </c>
      <c r="CH77" s="10">
        <f t="shared" si="124"/>
        <v>0</v>
      </c>
      <c r="CI77" s="10">
        <f t="shared" si="124"/>
        <v>0</v>
      </c>
      <c r="CJ77" s="10">
        <f t="shared" si="124"/>
        <v>0</v>
      </c>
      <c r="CK77" s="10">
        <f t="shared" si="124"/>
        <v>0</v>
      </c>
      <c r="CL77" s="10">
        <f t="shared" si="124"/>
        <v>0</v>
      </c>
      <c r="CM77" s="10">
        <f t="shared" si="124"/>
        <v>0</v>
      </c>
      <c r="CN77" s="10">
        <f t="shared" si="124"/>
        <v>0</v>
      </c>
      <c r="CO77" s="10">
        <f t="shared" si="124"/>
        <v>0</v>
      </c>
    </row>
    <row r="78" spans="1:93" s="133" customFormat="1" thickTop="1">
      <c r="A78" s="10"/>
      <c r="B78" s="11"/>
      <c r="C78" s="49" t="s">
        <v>494</v>
      </c>
      <c r="D78" s="136"/>
      <c r="E78" s="136"/>
      <c r="F78" s="136"/>
      <c r="G78" s="137" t="str">
        <f t="shared" si="96"/>
        <v>тыс. руб.</v>
      </c>
      <c r="H78" s="136"/>
      <c r="I78" s="23">
        <f t="shared" ca="1" si="97"/>
        <v>11059495.519772712</v>
      </c>
      <c r="J78" s="136"/>
      <c r="K78" s="136"/>
      <c r="L78" s="136">
        <f ca="1">SUM(L69:L77)</f>
        <v>-13777.614244774297</v>
      </c>
      <c r="M78" s="136">
        <f t="shared" ref="M78:BX78" ca="1" si="125">SUM(M69:M77)</f>
        <v>-120087.39633525597</v>
      </c>
      <c r="N78" s="136">
        <f t="shared" ca="1" si="125"/>
        <v>-145065.04084346039</v>
      </c>
      <c r="O78" s="136">
        <f t="shared" ca="1" si="125"/>
        <v>-329141.1857162785</v>
      </c>
      <c r="P78" s="136">
        <f t="shared" ca="1" si="125"/>
        <v>709359.74025277537</v>
      </c>
      <c r="Q78" s="136">
        <f t="shared" ca="1" si="125"/>
        <v>448250.45227004716</v>
      </c>
      <c r="R78" s="136">
        <f t="shared" ca="1" si="125"/>
        <v>567163.61876386683</v>
      </c>
      <c r="S78" s="136">
        <f t="shared" ca="1" si="125"/>
        <v>696646.29436958721</v>
      </c>
      <c r="T78" s="136">
        <f t="shared" ca="1" si="125"/>
        <v>772200.37641099491</v>
      </c>
      <c r="U78" s="136">
        <f t="shared" ca="1" si="125"/>
        <v>752598.97300332866</v>
      </c>
      <c r="V78" s="136">
        <f t="shared" ca="1" si="125"/>
        <v>671542.79813292308</v>
      </c>
      <c r="W78" s="136">
        <f t="shared" ca="1" si="125"/>
        <v>696272.09737878689</v>
      </c>
      <c r="X78" s="136">
        <f t="shared" ca="1" si="125"/>
        <v>722118.62923451606</v>
      </c>
      <c r="Y78" s="136">
        <f t="shared" ca="1" si="125"/>
        <v>742094.23303240398</v>
      </c>
      <c r="Z78" s="136">
        <f t="shared" ca="1" si="125"/>
        <v>699652.39890484198</v>
      </c>
      <c r="AA78" s="136">
        <f t="shared" ca="1" si="125"/>
        <v>713869.03587558214</v>
      </c>
      <c r="AB78" s="136">
        <f t="shared" ca="1" si="125"/>
        <v>744167.45245579036</v>
      </c>
      <c r="AC78" s="136">
        <f t="shared" ca="1" si="125"/>
        <v>776731.92671345663</v>
      </c>
      <c r="AD78" s="136">
        <f t="shared" ca="1" si="125"/>
        <v>810529.96975931467</v>
      </c>
      <c r="AE78" s="136">
        <f t="shared" ca="1" si="125"/>
        <v>846874.50952719362</v>
      </c>
      <c r="AF78" s="136">
        <f t="shared" ca="1" si="125"/>
        <v>297494.25082707038</v>
      </c>
      <c r="AG78" s="136">
        <f t="shared" si="125"/>
        <v>0</v>
      </c>
      <c r="AH78" s="136">
        <f t="shared" si="125"/>
        <v>0</v>
      </c>
      <c r="AI78" s="136">
        <f t="shared" si="125"/>
        <v>0</v>
      </c>
      <c r="AJ78" s="136">
        <f t="shared" si="125"/>
        <v>0</v>
      </c>
      <c r="AK78" s="136">
        <f t="shared" si="125"/>
        <v>0</v>
      </c>
      <c r="AL78" s="136">
        <f t="shared" si="125"/>
        <v>0</v>
      </c>
      <c r="AM78" s="136">
        <f t="shared" si="125"/>
        <v>0</v>
      </c>
      <c r="AN78" s="136">
        <f t="shared" si="125"/>
        <v>0</v>
      </c>
      <c r="AO78" s="136">
        <f t="shared" si="125"/>
        <v>0</v>
      </c>
      <c r="AP78" s="136">
        <f t="shared" si="125"/>
        <v>0</v>
      </c>
      <c r="AQ78" s="136">
        <f t="shared" si="125"/>
        <v>0</v>
      </c>
      <c r="AR78" s="136">
        <f t="shared" si="125"/>
        <v>0</v>
      </c>
      <c r="AS78" s="136">
        <f t="shared" si="125"/>
        <v>0</v>
      </c>
      <c r="AT78" s="136">
        <f t="shared" si="125"/>
        <v>0</v>
      </c>
      <c r="AU78" s="136">
        <f t="shared" si="125"/>
        <v>0</v>
      </c>
      <c r="AV78" s="136">
        <f t="shared" si="125"/>
        <v>0</v>
      </c>
      <c r="AW78" s="136">
        <f t="shared" si="125"/>
        <v>0</v>
      </c>
      <c r="AX78" s="136">
        <f t="shared" si="125"/>
        <v>0</v>
      </c>
      <c r="AY78" s="136">
        <f t="shared" si="125"/>
        <v>0</v>
      </c>
      <c r="AZ78" s="136">
        <f t="shared" si="125"/>
        <v>0</v>
      </c>
      <c r="BA78" s="136">
        <f t="shared" si="125"/>
        <v>0</v>
      </c>
      <c r="BB78" s="136">
        <f t="shared" si="125"/>
        <v>0</v>
      </c>
      <c r="BC78" s="136">
        <f t="shared" si="125"/>
        <v>0</v>
      </c>
      <c r="BD78" s="136">
        <f t="shared" si="125"/>
        <v>0</v>
      </c>
      <c r="BE78" s="136">
        <f t="shared" si="125"/>
        <v>0</v>
      </c>
      <c r="BF78" s="136">
        <f t="shared" si="125"/>
        <v>0</v>
      </c>
      <c r="BG78" s="136">
        <f t="shared" si="125"/>
        <v>0</v>
      </c>
      <c r="BH78" s="136">
        <f t="shared" si="125"/>
        <v>0</v>
      </c>
      <c r="BI78" s="136">
        <f t="shared" si="125"/>
        <v>0</v>
      </c>
      <c r="BJ78" s="136">
        <f t="shared" si="125"/>
        <v>0</v>
      </c>
      <c r="BK78" s="136">
        <f t="shared" si="125"/>
        <v>0</v>
      </c>
      <c r="BL78" s="136">
        <f t="shared" si="125"/>
        <v>0</v>
      </c>
      <c r="BM78" s="136">
        <f t="shared" si="125"/>
        <v>0</v>
      </c>
      <c r="BN78" s="136">
        <f t="shared" si="125"/>
        <v>0</v>
      </c>
      <c r="BO78" s="136">
        <f t="shared" si="125"/>
        <v>0</v>
      </c>
      <c r="BP78" s="136">
        <f t="shared" si="125"/>
        <v>0</v>
      </c>
      <c r="BQ78" s="136">
        <f t="shared" si="125"/>
        <v>0</v>
      </c>
      <c r="BR78" s="136">
        <f t="shared" si="125"/>
        <v>0</v>
      </c>
      <c r="BS78" s="136">
        <f t="shared" si="125"/>
        <v>0</v>
      </c>
      <c r="BT78" s="136">
        <f t="shared" si="125"/>
        <v>0</v>
      </c>
      <c r="BU78" s="136">
        <f t="shared" si="125"/>
        <v>0</v>
      </c>
      <c r="BV78" s="136">
        <f t="shared" si="125"/>
        <v>0</v>
      </c>
      <c r="BW78" s="136">
        <f t="shared" si="125"/>
        <v>0</v>
      </c>
      <c r="BX78" s="136">
        <f t="shared" si="125"/>
        <v>0</v>
      </c>
      <c r="BY78" s="136">
        <f t="shared" ref="BY78:CO78" si="126">SUM(BY69:BY77)</f>
        <v>0</v>
      </c>
      <c r="BZ78" s="136">
        <f t="shared" si="126"/>
        <v>0</v>
      </c>
      <c r="CA78" s="136">
        <f t="shared" si="126"/>
        <v>0</v>
      </c>
      <c r="CB78" s="136">
        <f t="shared" si="126"/>
        <v>0</v>
      </c>
      <c r="CC78" s="136">
        <f t="shared" si="126"/>
        <v>0</v>
      </c>
      <c r="CD78" s="136">
        <f t="shared" si="126"/>
        <v>0</v>
      </c>
      <c r="CE78" s="136">
        <f t="shared" si="126"/>
        <v>0</v>
      </c>
      <c r="CF78" s="136">
        <f t="shared" si="126"/>
        <v>0</v>
      </c>
      <c r="CG78" s="136">
        <f t="shared" si="126"/>
        <v>0</v>
      </c>
      <c r="CH78" s="136">
        <f t="shared" si="126"/>
        <v>0</v>
      </c>
      <c r="CI78" s="136">
        <f t="shared" si="126"/>
        <v>0</v>
      </c>
      <c r="CJ78" s="136">
        <f t="shared" si="126"/>
        <v>0</v>
      </c>
      <c r="CK78" s="136">
        <f t="shared" si="126"/>
        <v>0</v>
      </c>
      <c r="CL78" s="136">
        <f t="shared" si="126"/>
        <v>0</v>
      </c>
      <c r="CM78" s="136">
        <f t="shared" si="126"/>
        <v>0</v>
      </c>
      <c r="CN78" s="136">
        <f t="shared" si="126"/>
        <v>0</v>
      </c>
      <c r="CO78" s="136">
        <f t="shared" si="126"/>
        <v>0</v>
      </c>
    </row>
    <row r="79" spans="1:93" s="133" customFormat="1" ht="14.25">
      <c r="A79" s="10"/>
      <c r="B79" s="11"/>
      <c r="C79" s="10"/>
      <c r="D79" s="10"/>
      <c r="E79" s="10"/>
      <c r="F79" s="10"/>
      <c r="G79" s="11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s="10" customFormat="1">
      <c r="C80" s="139" t="s">
        <v>89</v>
      </c>
      <c r="G80" s="11"/>
    </row>
    <row r="81" spans="1:93" s="133" customFormat="1" thickBot="1">
      <c r="A81" s="10"/>
      <c r="B81" s="11"/>
      <c r="C81" s="17" t="s">
        <v>538</v>
      </c>
      <c r="D81" s="10"/>
      <c r="E81" s="10"/>
      <c r="F81" s="10"/>
      <c r="G81" s="134" t="str">
        <f>Monetary_Unit</f>
        <v>тыс. руб.</v>
      </c>
      <c r="H81" s="10"/>
      <c r="I81" s="23">
        <f ca="1">SUM(L81:CQ81)</f>
        <v>-3087285.462287345</v>
      </c>
      <c r="J81" s="10"/>
      <c r="K81" s="10"/>
      <c r="L81" s="10">
        <f t="shared" ref="L81:AQ81" ca="1" si="127">-SUMIF(Year,L$6,CAPEX)</f>
        <v>-68888.071223871491</v>
      </c>
      <c r="M81" s="10">
        <f t="shared" ca="1" si="127"/>
        <v>-600436.9816762798</v>
      </c>
      <c r="N81" s="10">
        <f t="shared" ca="1" si="127"/>
        <v>-624454.46094333089</v>
      </c>
      <c r="O81" s="10">
        <f t="shared" ca="1" si="127"/>
        <v>-1243480.2386690695</v>
      </c>
      <c r="P81" s="10">
        <f t="shared" ca="1" si="127"/>
        <v>-550025.70977479313</v>
      </c>
      <c r="Q81" s="10">
        <f t="shared" ca="1" si="127"/>
        <v>0</v>
      </c>
      <c r="R81" s="10">
        <f t="shared" ca="1" si="127"/>
        <v>0</v>
      </c>
      <c r="S81" s="10">
        <f t="shared" ca="1" si="127"/>
        <v>0</v>
      </c>
      <c r="T81" s="10">
        <f t="shared" ca="1" si="127"/>
        <v>0</v>
      </c>
      <c r="U81" s="10">
        <f t="shared" ca="1" si="127"/>
        <v>0</v>
      </c>
      <c r="V81" s="10">
        <f t="shared" ca="1" si="127"/>
        <v>0</v>
      </c>
      <c r="W81" s="10">
        <f t="shared" ca="1" si="127"/>
        <v>0</v>
      </c>
      <c r="X81" s="10">
        <f t="shared" ca="1" si="127"/>
        <v>0</v>
      </c>
      <c r="Y81" s="10">
        <f t="shared" ca="1" si="127"/>
        <v>0</v>
      </c>
      <c r="Z81" s="10">
        <f t="shared" ca="1" si="127"/>
        <v>0</v>
      </c>
      <c r="AA81" s="10">
        <f t="shared" ca="1" si="127"/>
        <v>0</v>
      </c>
      <c r="AB81" s="10">
        <f t="shared" ca="1" si="127"/>
        <v>0</v>
      </c>
      <c r="AC81" s="10">
        <f t="shared" ca="1" si="127"/>
        <v>0</v>
      </c>
      <c r="AD81" s="10">
        <f t="shared" ca="1" si="127"/>
        <v>0</v>
      </c>
      <c r="AE81" s="10">
        <f t="shared" ca="1" si="127"/>
        <v>0</v>
      </c>
      <c r="AF81" s="10">
        <f t="shared" ca="1" si="127"/>
        <v>0</v>
      </c>
      <c r="AG81" s="10">
        <f t="shared" si="127"/>
        <v>0</v>
      </c>
      <c r="AH81" s="10">
        <f t="shared" si="127"/>
        <v>0</v>
      </c>
      <c r="AI81" s="10">
        <f t="shared" si="127"/>
        <v>0</v>
      </c>
      <c r="AJ81" s="10">
        <f t="shared" si="127"/>
        <v>0</v>
      </c>
      <c r="AK81" s="10">
        <f t="shared" si="127"/>
        <v>0</v>
      </c>
      <c r="AL81" s="10">
        <f t="shared" si="127"/>
        <v>0</v>
      </c>
      <c r="AM81" s="10">
        <f t="shared" si="127"/>
        <v>0</v>
      </c>
      <c r="AN81" s="10">
        <f t="shared" si="127"/>
        <v>0</v>
      </c>
      <c r="AO81" s="10">
        <f t="shared" si="127"/>
        <v>0</v>
      </c>
      <c r="AP81" s="10">
        <f t="shared" si="127"/>
        <v>0</v>
      </c>
      <c r="AQ81" s="10">
        <f t="shared" si="127"/>
        <v>0</v>
      </c>
      <c r="AR81" s="10">
        <f t="shared" ref="AR81:BW81" si="128">-SUMIF(Year,AR$6,CAPEX)</f>
        <v>0</v>
      </c>
      <c r="AS81" s="10">
        <f t="shared" si="128"/>
        <v>0</v>
      </c>
      <c r="AT81" s="10">
        <f t="shared" si="128"/>
        <v>0</v>
      </c>
      <c r="AU81" s="10">
        <f t="shared" si="128"/>
        <v>0</v>
      </c>
      <c r="AV81" s="10">
        <f t="shared" si="128"/>
        <v>0</v>
      </c>
      <c r="AW81" s="10">
        <f t="shared" si="128"/>
        <v>0</v>
      </c>
      <c r="AX81" s="10">
        <f t="shared" si="128"/>
        <v>0</v>
      </c>
      <c r="AY81" s="10">
        <f t="shared" si="128"/>
        <v>0</v>
      </c>
      <c r="AZ81" s="10">
        <f t="shared" si="128"/>
        <v>0</v>
      </c>
      <c r="BA81" s="10">
        <f t="shared" si="128"/>
        <v>0</v>
      </c>
      <c r="BB81" s="10">
        <f t="shared" si="128"/>
        <v>0</v>
      </c>
      <c r="BC81" s="10">
        <f t="shared" si="128"/>
        <v>0</v>
      </c>
      <c r="BD81" s="10">
        <f t="shared" si="128"/>
        <v>0</v>
      </c>
      <c r="BE81" s="10">
        <f t="shared" si="128"/>
        <v>0</v>
      </c>
      <c r="BF81" s="10">
        <f t="shared" si="128"/>
        <v>0</v>
      </c>
      <c r="BG81" s="10">
        <f t="shared" si="128"/>
        <v>0</v>
      </c>
      <c r="BH81" s="10">
        <f t="shared" si="128"/>
        <v>0</v>
      </c>
      <c r="BI81" s="10">
        <f t="shared" si="128"/>
        <v>0</v>
      </c>
      <c r="BJ81" s="10">
        <f t="shared" si="128"/>
        <v>0</v>
      </c>
      <c r="BK81" s="10">
        <f t="shared" si="128"/>
        <v>0</v>
      </c>
      <c r="BL81" s="10">
        <f t="shared" si="128"/>
        <v>0</v>
      </c>
      <c r="BM81" s="10">
        <f t="shared" si="128"/>
        <v>0</v>
      </c>
      <c r="BN81" s="10">
        <f t="shared" si="128"/>
        <v>0</v>
      </c>
      <c r="BO81" s="10">
        <f t="shared" si="128"/>
        <v>0</v>
      </c>
      <c r="BP81" s="10">
        <f t="shared" si="128"/>
        <v>0</v>
      </c>
      <c r="BQ81" s="10">
        <f t="shared" si="128"/>
        <v>0</v>
      </c>
      <c r="BR81" s="10">
        <f t="shared" si="128"/>
        <v>0</v>
      </c>
      <c r="BS81" s="10">
        <f t="shared" si="128"/>
        <v>0</v>
      </c>
      <c r="BT81" s="10">
        <f t="shared" si="128"/>
        <v>0</v>
      </c>
      <c r="BU81" s="10">
        <f t="shared" si="128"/>
        <v>0</v>
      </c>
      <c r="BV81" s="10">
        <f t="shared" si="128"/>
        <v>0</v>
      </c>
      <c r="BW81" s="10">
        <f t="shared" si="128"/>
        <v>0</v>
      </c>
      <c r="BX81" s="10">
        <f t="shared" ref="BX81:CO81" si="129">-SUMIF(Year,BX$6,CAPEX)</f>
        <v>0</v>
      </c>
      <c r="BY81" s="10">
        <f t="shared" si="129"/>
        <v>0</v>
      </c>
      <c r="BZ81" s="10">
        <f t="shared" si="129"/>
        <v>0</v>
      </c>
      <c r="CA81" s="10">
        <f t="shared" si="129"/>
        <v>0</v>
      </c>
      <c r="CB81" s="10">
        <f t="shared" si="129"/>
        <v>0</v>
      </c>
      <c r="CC81" s="10">
        <f t="shared" si="129"/>
        <v>0</v>
      </c>
      <c r="CD81" s="10">
        <f t="shared" si="129"/>
        <v>0</v>
      </c>
      <c r="CE81" s="10">
        <f t="shared" si="129"/>
        <v>0</v>
      </c>
      <c r="CF81" s="10">
        <f t="shared" si="129"/>
        <v>0</v>
      </c>
      <c r="CG81" s="10">
        <f t="shared" si="129"/>
        <v>0</v>
      </c>
      <c r="CH81" s="10">
        <f t="shared" si="129"/>
        <v>0</v>
      </c>
      <c r="CI81" s="10">
        <f t="shared" si="129"/>
        <v>0</v>
      </c>
      <c r="CJ81" s="10">
        <f t="shared" si="129"/>
        <v>0</v>
      </c>
      <c r="CK81" s="10">
        <f t="shared" si="129"/>
        <v>0</v>
      </c>
      <c r="CL81" s="10">
        <f t="shared" si="129"/>
        <v>0</v>
      </c>
      <c r="CM81" s="10">
        <f t="shared" si="129"/>
        <v>0</v>
      </c>
      <c r="CN81" s="10">
        <f t="shared" si="129"/>
        <v>0</v>
      </c>
      <c r="CO81" s="10">
        <f t="shared" si="129"/>
        <v>0</v>
      </c>
    </row>
    <row r="82" spans="1:93" s="133" customFormat="1" thickTop="1">
      <c r="A82" s="10"/>
      <c r="B82" s="11"/>
      <c r="C82" s="49" t="s">
        <v>495</v>
      </c>
      <c r="D82" s="136"/>
      <c r="E82" s="136"/>
      <c r="F82" s="136"/>
      <c r="G82" s="137" t="str">
        <f>Monetary_Unit</f>
        <v>тыс. руб.</v>
      </c>
      <c r="H82" s="136"/>
      <c r="I82" s="23">
        <f ca="1">SUM(L82:CQ82)</f>
        <v>-3087285.462287345</v>
      </c>
      <c r="J82" s="136"/>
      <c r="K82" s="136"/>
      <c r="L82" s="136">
        <f t="shared" ref="L82:BW82" ca="1" si="130">SUM(L81:L81)</f>
        <v>-68888.071223871491</v>
      </c>
      <c r="M82" s="136">
        <f t="shared" ca="1" si="130"/>
        <v>-600436.9816762798</v>
      </c>
      <c r="N82" s="136">
        <f t="shared" ca="1" si="130"/>
        <v>-624454.46094333089</v>
      </c>
      <c r="O82" s="136">
        <f t="shared" ca="1" si="130"/>
        <v>-1243480.2386690695</v>
      </c>
      <c r="P82" s="136">
        <f t="shared" ca="1" si="130"/>
        <v>-550025.70977479313</v>
      </c>
      <c r="Q82" s="136">
        <f t="shared" ca="1" si="130"/>
        <v>0</v>
      </c>
      <c r="R82" s="136">
        <f t="shared" ca="1" si="130"/>
        <v>0</v>
      </c>
      <c r="S82" s="136">
        <f t="shared" ca="1" si="130"/>
        <v>0</v>
      </c>
      <c r="T82" s="136">
        <f t="shared" ca="1" si="130"/>
        <v>0</v>
      </c>
      <c r="U82" s="136">
        <f t="shared" ca="1" si="130"/>
        <v>0</v>
      </c>
      <c r="V82" s="136">
        <f t="shared" ca="1" si="130"/>
        <v>0</v>
      </c>
      <c r="W82" s="136">
        <f t="shared" ca="1" si="130"/>
        <v>0</v>
      </c>
      <c r="X82" s="136">
        <f t="shared" ca="1" si="130"/>
        <v>0</v>
      </c>
      <c r="Y82" s="136">
        <f t="shared" ca="1" si="130"/>
        <v>0</v>
      </c>
      <c r="Z82" s="136">
        <f t="shared" ca="1" si="130"/>
        <v>0</v>
      </c>
      <c r="AA82" s="136">
        <f t="shared" ca="1" si="130"/>
        <v>0</v>
      </c>
      <c r="AB82" s="136">
        <f t="shared" ca="1" si="130"/>
        <v>0</v>
      </c>
      <c r="AC82" s="136">
        <f t="shared" ca="1" si="130"/>
        <v>0</v>
      </c>
      <c r="AD82" s="136">
        <f t="shared" ca="1" si="130"/>
        <v>0</v>
      </c>
      <c r="AE82" s="136">
        <f t="shared" ca="1" si="130"/>
        <v>0</v>
      </c>
      <c r="AF82" s="136">
        <f t="shared" ca="1" si="130"/>
        <v>0</v>
      </c>
      <c r="AG82" s="136">
        <f t="shared" si="130"/>
        <v>0</v>
      </c>
      <c r="AH82" s="136">
        <f t="shared" si="130"/>
        <v>0</v>
      </c>
      <c r="AI82" s="136">
        <f t="shared" si="130"/>
        <v>0</v>
      </c>
      <c r="AJ82" s="136">
        <f t="shared" si="130"/>
        <v>0</v>
      </c>
      <c r="AK82" s="136">
        <f t="shared" si="130"/>
        <v>0</v>
      </c>
      <c r="AL82" s="136">
        <f t="shared" si="130"/>
        <v>0</v>
      </c>
      <c r="AM82" s="136">
        <f t="shared" si="130"/>
        <v>0</v>
      </c>
      <c r="AN82" s="136">
        <f t="shared" si="130"/>
        <v>0</v>
      </c>
      <c r="AO82" s="136">
        <f t="shared" si="130"/>
        <v>0</v>
      </c>
      <c r="AP82" s="136">
        <f t="shared" si="130"/>
        <v>0</v>
      </c>
      <c r="AQ82" s="136">
        <f t="shared" si="130"/>
        <v>0</v>
      </c>
      <c r="AR82" s="136">
        <f t="shared" si="130"/>
        <v>0</v>
      </c>
      <c r="AS82" s="136">
        <f t="shared" si="130"/>
        <v>0</v>
      </c>
      <c r="AT82" s="136">
        <f t="shared" si="130"/>
        <v>0</v>
      </c>
      <c r="AU82" s="136">
        <f t="shared" si="130"/>
        <v>0</v>
      </c>
      <c r="AV82" s="136">
        <f t="shared" si="130"/>
        <v>0</v>
      </c>
      <c r="AW82" s="136">
        <f t="shared" si="130"/>
        <v>0</v>
      </c>
      <c r="AX82" s="136">
        <f t="shared" si="130"/>
        <v>0</v>
      </c>
      <c r="AY82" s="136">
        <f t="shared" si="130"/>
        <v>0</v>
      </c>
      <c r="AZ82" s="136">
        <f t="shared" si="130"/>
        <v>0</v>
      </c>
      <c r="BA82" s="136">
        <f t="shared" si="130"/>
        <v>0</v>
      </c>
      <c r="BB82" s="136">
        <f t="shared" si="130"/>
        <v>0</v>
      </c>
      <c r="BC82" s="136">
        <f t="shared" si="130"/>
        <v>0</v>
      </c>
      <c r="BD82" s="136">
        <f t="shared" si="130"/>
        <v>0</v>
      </c>
      <c r="BE82" s="136">
        <f t="shared" si="130"/>
        <v>0</v>
      </c>
      <c r="BF82" s="136">
        <f t="shared" si="130"/>
        <v>0</v>
      </c>
      <c r="BG82" s="136">
        <f t="shared" si="130"/>
        <v>0</v>
      </c>
      <c r="BH82" s="136">
        <f t="shared" si="130"/>
        <v>0</v>
      </c>
      <c r="BI82" s="136">
        <f t="shared" si="130"/>
        <v>0</v>
      </c>
      <c r="BJ82" s="136">
        <f t="shared" si="130"/>
        <v>0</v>
      </c>
      <c r="BK82" s="136">
        <f t="shared" si="130"/>
        <v>0</v>
      </c>
      <c r="BL82" s="136">
        <f t="shared" si="130"/>
        <v>0</v>
      </c>
      <c r="BM82" s="136">
        <f t="shared" si="130"/>
        <v>0</v>
      </c>
      <c r="BN82" s="136">
        <f t="shared" si="130"/>
        <v>0</v>
      </c>
      <c r="BO82" s="136">
        <f t="shared" si="130"/>
        <v>0</v>
      </c>
      <c r="BP82" s="136">
        <f t="shared" si="130"/>
        <v>0</v>
      </c>
      <c r="BQ82" s="136">
        <f t="shared" si="130"/>
        <v>0</v>
      </c>
      <c r="BR82" s="136">
        <f t="shared" si="130"/>
        <v>0</v>
      </c>
      <c r="BS82" s="136">
        <f t="shared" si="130"/>
        <v>0</v>
      </c>
      <c r="BT82" s="136">
        <f t="shared" si="130"/>
        <v>0</v>
      </c>
      <c r="BU82" s="136">
        <f t="shared" si="130"/>
        <v>0</v>
      </c>
      <c r="BV82" s="136">
        <f t="shared" si="130"/>
        <v>0</v>
      </c>
      <c r="BW82" s="136">
        <f t="shared" si="130"/>
        <v>0</v>
      </c>
      <c r="BX82" s="136">
        <f t="shared" ref="BX82:CO82" si="131">SUM(BX81:BX81)</f>
        <v>0</v>
      </c>
      <c r="BY82" s="136">
        <f t="shared" si="131"/>
        <v>0</v>
      </c>
      <c r="BZ82" s="136">
        <f t="shared" si="131"/>
        <v>0</v>
      </c>
      <c r="CA82" s="136">
        <f t="shared" si="131"/>
        <v>0</v>
      </c>
      <c r="CB82" s="136">
        <f t="shared" si="131"/>
        <v>0</v>
      </c>
      <c r="CC82" s="136">
        <f t="shared" si="131"/>
        <v>0</v>
      </c>
      <c r="CD82" s="136">
        <f t="shared" si="131"/>
        <v>0</v>
      </c>
      <c r="CE82" s="136">
        <f t="shared" si="131"/>
        <v>0</v>
      </c>
      <c r="CF82" s="136">
        <f t="shared" si="131"/>
        <v>0</v>
      </c>
      <c r="CG82" s="136">
        <f t="shared" si="131"/>
        <v>0</v>
      </c>
      <c r="CH82" s="136">
        <f t="shared" si="131"/>
        <v>0</v>
      </c>
      <c r="CI82" s="136">
        <f t="shared" si="131"/>
        <v>0</v>
      </c>
      <c r="CJ82" s="136">
        <f t="shared" si="131"/>
        <v>0</v>
      </c>
      <c r="CK82" s="136">
        <f t="shared" si="131"/>
        <v>0</v>
      </c>
      <c r="CL82" s="136">
        <f t="shared" si="131"/>
        <v>0</v>
      </c>
      <c r="CM82" s="136">
        <f t="shared" si="131"/>
        <v>0</v>
      </c>
      <c r="CN82" s="136">
        <f t="shared" si="131"/>
        <v>0</v>
      </c>
      <c r="CO82" s="136">
        <f t="shared" si="131"/>
        <v>0</v>
      </c>
    </row>
    <row r="83" spans="1:93" s="10" customFormat="1" ht="12.75">
      <c r="G83" s="11"/>
    </row>
    <row r="84" spans="1:93" s="133" customFormat="1">
      <c r="A84" s="10"/>
      <c r="B84" s="11"/>
      <c r="C84" s="139" t="s">
        <v>90</v>
      </c>
      <c r="D84" s="10"/>
      <c r="E84" s="10"/>
      <c r="F84" s="10"/>
      <c r="G84" s="11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s="133" customFormat="1" ht="14.25">
      <c r="A85" s="10"/>
      <c r="B85" s="11"/>
      <c r="C85" s="17" t="s">
        <v>91</v>
      </c>
      <c r="D85" s="10"/>
      <c r="E85" s="10"/>
      <c r="F85" s="10"/>
      <c r="G85" s="134" t="str">
        <f t="shared" ref="G85:G91" si="132">Monetary_Unit</f>
        <v>тыс. руб.</v>
      </c>
      <c r="H85" s="10"/>
      <c r="I85" s="23">
        <f t="shared" ref="I85:I91" ca="1" si="133">SUM(L85:CQ85)</f>
        <v>533689.28402014519</v>
      </c>
      <c r="J85" s="10"/>
      <c r="K85" s="10"/>
      <c r="L85" s="10">
        <f t="shared" ref="L85:AQ85" ca="1" si="134">SUMIF(Year,L$6,Equity_Drawdown)</f>
        <v>41332.842734322898</v>
      </c>
      <c r="M85" s="10">
        <f t="shared" ca="1" si="134"/>
        <v>360262.18900576781</v>
      </c>
      <c r="N85" s="10">
        <f t="shared" ca="1" si="134"/>
        <v>74919.130229678412</v>
      </c>
      <c r="O85" s="10">
        <f t="shared" ca="1" si="134"/>
        <v>40222.56899123227</v>
      </c>
      <c r="P85" s="10">
        <f t="shared" ca="1" si="134"/>
        <v>16952.553059143869</v>
      </c>
      <c r="Q85" s="10">
        <f t="shared" ca="1" si="134"/>
        <v>0</v>
      </c>
      <c r="R85" s="10">
        <f t="shared" ca="1" si="134"/>
        <v>0</v>
      </c>
      <c r="S85" s="10">
        <f t="shared" ca="1" si="134"/>
        <v>0</v>
      </c>
      <c r="T85" s="10">
        <f t="shared" ca="1" si="134"/>
        <v>0</v>
      </c>
      <c r="U85" s="10">
        <f t="shared" ca="1" si="134"/>
        <v>0</v>
      </c>
      <c r="V85" s="10">
        <f t="shared" ca="1" si="134"/>
        <v>0</v>
      </c>
      <c r="W85" s="10">
        <f t="shared" ca="1" si="134"/>
        <v>0</v>
      </c>
      <c r="X85" s="10">
        <f t="shared" ca="1" si="134"/>
        <v>0</v>
      </c>
      <c r="Y85" s="10">
        <f t="shared" ca="1" si="134"/>
        <v>0</v>
      </c>
      <c r="Z85" s="10">
        <f t="shared" ca="1" si="134"/>
        <v>0</v>
      </c>
      <c r="AA85" s="10">
        <f t="shared" ca="1" si="134"/>
        <v>0</v>
      </c>
      <c r="AB85" s="10">
        <f t="shared" ca="1" si="134"/>
        <v>0</v>
      </c>
      <c r="AC85" s="10">
        <f t="shared" ca="1" si="134"/>
        <v>0</v>
      </c>
      <c r="AD85" s="10">
        <f t="shared" ca="1" si="134"/>
        <v>0</v>
      </c>
      <c r="AE85" s="10">
        <f t="shared" ca="1" si="134"/>
        <v>0</v>
      </c>
      <c r="AF85" s="10">
        <f t="shared" ca="1" si="134"/>
        <v>0</v>
      </c>
      <c r="AG85" s="10">
        <f t="shared" si="134"/>
        <v>0</v>
      </c>
      <c r="AH85" s="10">
        <f t="shared" si="134"/>
        <v>0</v>
      </c>
      <c r="AI85" s="10">
        <f t="shared" si="134"/>
        <v>0</v>
      </c>
      <c r="AJ85" s="10">
        <f t="shared" si="134"/>
        <v>0</v>
      </c>
      <c r="AK85" s="10">
        <f t="shared" si="134"/>
        <v>0</v>
      </c>
      <c r="AL85" s="10">
        <f t="shared" si="134"/>
        <v>0</v>
      </c>
      <c r="AM85" s="10">
        <f t="shared" si="134"/>
        <v>0</v>
      </c>
      <c r="AN85" s="10">
        <f t="shared" si="134"/>
        <v>0</v>
      </c>
      <c r="AO85" s="10">
        <f t="shared" si="134"/>
        <v>0</v>
      </c>
      <c r="AP85" s="10">
        <f t="shared" si="134"/>
        <v>0</v>
      </c>
      <c r="AQ85" s="10">
        <f t="shared" si="134"/>
        <v>0</v>
      </c>
      <c r="AR85" s="10">
        <f t="shared" ref="AR85:BW85" si="135">SUMIF(Year,AR$6,Equity_Drawdown)</f>
        <v>0</v>
      </c>
      <c r="AS85" s="10">
        <f t="shared" si="135"/>
        <v>0</v>
      </c>
      <c r="AT85" s="10">
        <f t="shared" si="135"/>
        <v>0</v>
      </c>
      <c r="AU85" s="10">
        <f t="shared" si="135"/>
        <v>0</v>
      </c>
      <c r="AV85" s="10">
        <f t="shared" si="135"/>
        <v>0</v>
      </c>
      <c r="AW85" s="10">
        <f t="shared" si="135"/>
        <v>0</v>
      </c>
      <c r="AX85" s="10">
        <f t="shared" si="135"/>
        <v>0</v>
      </c>
      <c r="AY85" s="10">
        <f t="shared" si="135"/>
        <v>0</v>
      </c>
      <c r="AZ85" s="10">
        <f t="shared" si="135"/>
        <v>0</v>
      </c>
      <c r="BA85" s="10">
        <f t="shared" si="135"/>
        <v>0</v>
      </c>
      <c r="BB85" s="10">
        <f t="shared" si="135"/>
        <v>0</v>
      </c>
      <c r="BC85" s="10">
        <f t="shared" si="135"/>
        <v>0</v>
      </c>
      <c r="BD85" s="10">
        <f t="shared" si="135"/>
        <v>0</v>
      </c>
      <c r="BE85" s="10">
        <f t="shared" si="135"/>
        <v>0</v>
      </c>
      <c r="BF85" s="10">
        <f t="shared" si="135"/>
        <v>0</v>
      </c>
      <c r="BG85" s="10">
        <f t="shared" si="135"/>
        <v>0</v>
      </c>
      <c r="BH85" s="10">
        <f t="shared" si="135"/>
        <v>0</v>
      </c>
      <c r="BI85" s="10">
        <f t="shared" si="135"/>
        <v>0</v>
      </c>
      <c r="BJ85" s="10">
        <f t="shared" si="135"/>
        <v>0</v>
      </c>
      <c r="BK85" s="10">
        <f t="shared" si="135"/>
        <v>0</v>
      </c>
      <c r="BL85" s="10">
        <f t="shared" si="135"/>
        <v>0</v>
      </c>
      <c r="BM85" s="10">
        <f t="shared" si="135"/>
        <v>0</v>
      </c>
      <c r="BN85" s="10">
        <f t="shared" si="135"/>
        <v>0</v>
      </c>
      <c r="BO85" s="10">
        <f t="shared" si="135"/>
        <v>0</v>
      </c>
      <c r="BP85" s="10">
        <f t="shared" si="135"/>
        <v>0</v>
      </c>
      <c r="BQ85" s="10">
        <f t="shared" si="135"/>
        <v>0</v>
      </c>
      <c r="BR85" s="10">
        <f t="shared" si="135"/>
        <v>0</v>
      </c>
      <c r="BS85" s="10">
        <f t="shared" si="135"/>
        <v>0</v>
      </c>
      <c r="BT85" s="10">
        <f t="shared" si="135"/>
        <v>0</v>
      </c>
      <c r="BU85" s="10">
        <f t="shared" si="135"/>
        <v>0</v>
      </c>
      <c r="BV85" s="10">
        <f t="shared" si="135"/>
        <v>0</v>
      </c>
      <c r="BW85" s="10">
        <f t="shared" si="135"/>
        <v>0</v>
      </c>
      <c r="BX85" s="10">
        <f t="shared" ref="BX85:CO85" si="136">SUMIF(Year,BX$6,Equity_Drawdown)</f>
        <v>0</v>
      </c>
      <c r="BY85" s="10">
        <f t="shared" si="136"/>
        <v>0</v>
      </c>
      <c r="BZ85" s="10">
        <f t="shared" si="136"/>
        <v>0</v>
      </c>
      <c r="CA85" s="10">
        <f t="shared" si="136"/>
        <v>0</v>
      </c>
      <c r="CB85" s="10">
        <f t="shared" si="136"/>
        <v>0</v>
      </c>
      <c r="CC85" s="10">
        <f t="shared" si="136"/>
        <v>0</v>
      </c>
      <c r="CD85" s="10">
        <f t="shared" si="136"/>
        <v>0</v>
      </c>
      <c r="CE85" s="10">
        <f t="shared" si="136"/>
        <v>0</v>
      </c>
      <c r="CF85" s="10">
        <f t="shared" si="136"/>
        <v>0</v>
      </c>
      <c r="CG85" s="10">
        <f t="shared" si="136"/>
        <v>0</v>
      </c>
      <c r="CH85" s="10">
        <f t="shared" si="136"/>
        <v>0</v>
      </c>
      <c r="CI85" s="10">
        <f t="shared" si="136"/>
        <v>0</v>
      </c>
      <c r="CJ85" s="10">
        <f t="shared" si="136"/>
        <v>0</v>
      </c>
      <c r="CK85" s="10">
        <f t="shared" si="136"/>
        <v>0</v>
      </c>
      <c r="CL85" s="10">
        <f t="shared" si="136"/>
        <v>0</v>
      </c>
      <c r="CM85" s="10">
        <f t="shared" si="136"/>
        <v>0</v>
      </c>
      <c r="CN85" s="10">
        <f t="shared" si="136"/>
        <v>0</v>
      </c>
      <c r="CO85" s="10">
        <f t="shared" si="136"/>
        <v>0</v>
      </c>
    </row>
    <row r="86" spans="1:93" s="133" customFormat="1" ht="14.25">
      <c r="A86" s="10"/>
      <c r="B86" s="11"/>
      <c r="C86" s="17" t="s">
        <v>545</v>
      </c>
      <c r="D86" s="10"/>
      <c r="E86" s="10"/>
      <c r="F86" s="10"/>
      <c r="G86" s="134" t="str">
        <f t="shared" si="132"/>
        <v>тыс. руб.</v>
      </c>
      <c r="H86" s="10"/>
      <c r="I86" s="23">
        <f t="shared" ca="1" si="133"/>
        <v>533689.28402014531</v>
      </c>
      <c r="J86" s="10"/>
      <c r="K86" s="10"/>
      <c r="L86" s="10">
        <f t="shared" ref="L86:AQ86" ca="1" si="137">SUMIF(Year,L$6,Subord_Drawdown)</f>
        <v>41332.842734322898</v>
      </c>
      <c r="M86" s="10">
        <f t="shared" ca="1" si="137"/>
        <v>360262.18900576781</v>
      </c>
      <c r="N86" s="10">
        <f t="shared" ca="1" si="137"/>
        <v>74919.130229678412</v>
      </c>
      <c r="O86" s="10">
        <f t="shared" ca="1" si="137"/>
        <v>40222.56899123227</v>
      </c>
      <c r="P86" s="10">
        <f t="shared" ca="1" si="137"/>
        <v>16952.553059143986</v>
      </c>
      <c r="Q86" s="10">
        <f t="shared" ca="1" si="137"/>
        <v>0</v>
      </c>
      <c r="R86" s="10">
        <f t="shared" ca="1" si="137"/>
        <v>0</v>
      </c>
      <c r="S86" s="10">
        <f t="shared" ca="1" si="137"/>
        <v>0</v>
      </c>
      <c r="T86" s="10">
        <f t="shared" ca="1" si="137"/>
        <v>0</v>
      </c>
      <c r="U86" s="10">
        <f t="shared" ca="1" si="137"/>
        <v>0</v>
      </c>
      <c r="V86" s="10">
        <f t="shared" ca="1" si="137"/>
        <v>0</v>
      </c>
      <c r="W86" s="10">
        <f t="shared" ca="1" si="137"/>
        <v>0</v>
      </c>
      <c r="X86" s="10">
        <f t="shared" ca="1" si="137"/>
        <v>0</v>
      </c>
      <c r="Y86" s="10">
        <f t="shared" ca="1" si="137"/>
        <v>0</v>
      </c>
      <c r="Z86" s="10">
        <f t="shared" ca="1" si="137"/>
        <v>0</v>
      </c>
      <c r="AA86" s="10">
        <f t="shared" ca="1" si="137"/>
        <v>0</v>
      </c>
      <c r="AB86" s="10">
        <f t="shared" ca="1" si="137"/>
        <v>0</v>
      </c>
      <c r="AC86" s="10">
        <f t="shared" ca="1" si="137"/>
        <v>0</v>
      </c>
      <c r="AD86" s="10">
        <f t="shared" ca="1" si="137"/>
        <v>0</v>
      </c>
      <c r="AE86" s="10">
        <f t="shared" ca="1" si="137"/>
        <v>0</v>
      </c>
      <c r="AF86" s="10">
        <f t="shared" ca="1" si="137"/>
        <v>0</v>
      </c>
      <c r="AG86" s="10">
        <f t="shared" si="137"/>
        <v>0</v>
      </c>
      <c r="AH86" s="10">
        <f t="shared" si="137"/>
        <v>0</v>
      </c>
      <c r="AI86" s="10">
        <f t="shared" si="137"/>
        <v>0</v>
      </c>
      <c r="AJ86" s="10">
        <f t="shared" si="137"/>
        <v>0</v>
      </c>
      <c r="AK86" s="10">
        <f t="shared" si="137"/>
        <v>0</v>
      </c>
      <c r="AL86" s="10">
        <f t="shared" si="137"/>
        <v>0</v>
      </c>
      <c r="AM86" s="10">
        <f t="shared" si="137"/>
        <v>0</v>
      </c>
      <c r="AN86" s="10">
        <f t="shared" si="137"/>
        <v>0</v>
      </c>
      <c r="AO86" s="10">
        <f t="shared" si="137"/>
        <v>0</v>
      </c>
      <c r="AP86" s="10">
        <f t="shared" si="137"/>
        <v>0</v>
      </c>
      <c r="AQ86" s="10">
        <f t="shared" si="137"/>
        <v>0</v>
      </c>
      <c r="AR86" s="10">
        <f t="shared" ref="AR86:BW86" si="138">SUMIF(Year,AR$6,Subord_Drawdown)</f>
        <v>0</v>
      </c>
      <c r="AS86" s="10">
        <f t="shared" si="138"/>
        <v>0</v>
      </c>
      <c r="AT86" s="10">
        <f t="shared" si="138"/>
        <v>0</v>
      </c>
      <c r="AU86" s="10">
        <f t="shared" si="138"/>
        <v>0</v>
      </c>
      <c r="AV86" s="10">
        <f t="shared" si="138"/>
        <v>0</v>
      </c>
      <c r="AW86" s="10">
        <f t="shared" si="138"/>
        <v>0</v>
      </c>
      <c r="AX86" s="10">
        <f t="shared" si="138"/>
        <v>0</v>
      </c>
      <c r="AY86" s="10">
        <f t="shared" si="138"/>
        <v>0</v>
      </c>
      <c r="AZ86" s="10">
        <f t="shared" si="138"/>
        <v>0</v>
      </c>
      <c r="BA86" s="10">
        <f t="shared" si="138"/>
        <v>0</v>
      </c>
      <c r="BB86" s="10">
        <f t="shared" si="138"/>
        <v>0</v>
      </c>
      <c r="BC86" s="10">
        <f t="shared" si="138"/>
        <v>0</v>
      </c>
      <c r="BD86" s="10">
        <f t="shared" si="138"/>
        <v>0</v>
      </c>
      <c r="BE86" s="10">
        <f t="shared" si="138"/>
        <v>0</v>
      </c>
      <c r="BF86" s="10">
        <f t="shared" si="138"/>
        <v>0</v>
      </c>
      <c r="BG86" s="10">
        <f t="shared" si="138"/>
        <v>0</v>
      </c>
      <c r="BH86" s="10">
        <f t="shared" si="138"/>
        <v>0</v>
      </c>
      <c r="BI86" s="10">
        <f t="shared" si="138"/>
        <v>0</v>
      </c>
      <c r="BJ86" s="10">
        <f t="shared" si="138"/>
        <v>0</v>
      </c>
      <c r="BK86" s="10">
        <f t="shared" si="138"/>
        <v>0</v>
      </c>
      <c r="BL86" s="10">
        <f t="shared" si="138"/>
        <v>0</v>
      </c>
      <c r="BM86" s="10">
        <f t="shared" si="138"/>
        <v>0</v>
      </c>
      <c r="BN86" s="10">
        <f t="shared" si="138"/>
        <v>0</v>
      </c>
      <c r="BO86" s="10">
        <f t="shared" si="138"/>
        <v>0</v>
      </c>
      <c r="BP86" s="10">
        <f t="shared" si="138"/>
        <v>0</v>
      </c>
      <c r="BQ86" s="10">
        <f t="shared" si="138"/>
        <v>0</v>
      </c>
      <c r="BR86" s="10">
        <f t="shared" si="138"/>
        <v>0</v>
      </c>
      <c r="BS86" s="10">
        <f t="shared" si="138"/>
        <v>0</v>
      </c>
      <c r="BT86" s="10">
        <f t="shared" si="138"/>
        <v>0</v>
      </c>
      <c r="BU86" s="10">
        <f t="shared" si="138"/>
        <v>0</v>
      </c>
      <c r="BV86" s="10">
        <f t="shared" si="138"/>
        <v>0</v>
      </c>
      <c r="BW86" s="10">
        <f t="shared" si="138"/>
        <v>0</v>
      </c>
      <c r="BX86" s="10">
        <f t="shared" ref="BX86:CO86" si="139">SUMIF(Year,BX$6,Subord_Drawdown)</f>
        <v>0</v>
      </c>
      <c r="BY86" s="10">
        <f t="shared" si="139"/>
        <v>0</v>
      </c>
      <c r="BZ86" s="10">
        <f t="shared" si="139"/>
        <v>0</v>
      </c>
      <c r="CA86" s="10">
        <f t="shared" si="139"/>
        <v>0</v>
      </c>
      <c r="CB86" s="10">
        <f t="shared" si="139"/>
        <v>0</v>
      </c>
      <c r="CC86" s="10">
        <f t="shared" si="139"/>
        <v>0</v>
      </c>
      <c r="CD86" s="10">
        <f t="shared" si="139"/>
        <v>0</v>
      </c>
      <c r="CE86" s="10">
        <f t="shared" si="139"/>
        <v>0</v>
      </c>
      <c r="CF86" s="10">
        <f t="shared" si="139"/>
        <v>0</v>
      </c>
      <c r="CG86" s="10">
        <f t="shared" si="139"/>
        <v>0</v>
      </c>
      <c r="CH86" s="10">
        <f t="shared" si="139"/>
        <v>0</v>
      </c>
      <c r="CI86" s="10">
        <f t="shared" si="139"/>
        <v>0</v>
      </c>
      <c r="CJ86" s="10">
        <f t="shared" si="139"/>
        <v>0</v>
      </c>
      <c r="CK86" s="10">
        <f t="shared" si="139"/>
        <v>0</v>
      </c>
      <c r="CL86" s="10">
        <f t="shared" si="139"/>
        <v>0</v>
      </c>
      <c r="CM86" s="10">
        <f t="shared" si="139"/>
        <v>0</v>
      </c>
      <c r="CN86" s="10">
        <f t="shared" si="139"/>
        <v>0</v>
      </c>
      <c r="CO86" s="10">
        <f t="shared" si="139"/>
        <v>0</v>
      </c>
    </row>
    <row r="87" spans="1:93" s="133" customFormat="1" ht="14.25">
      <c r="A87" s="10"/>
      <c r="B87" s="11"/>
      <c r="C87" s="17" t="s">
        <v>541</v>
      </c>
      <c r="D87" s="10"/>
      <c r="E87" s="10"/>
      <c r="F87" s="10"/>
      <c r="G87" s="134" t="str">
        <f t="shared" si="132"/>
        <v>тыс. руб.</v>
      </c>
      <c r="H87" s="10"/>
      <c r="I87" s="23">
        <f t="shared" ca="1" si="133"/>
        <v>2771888.3794600694</v>
      </c>
      <c r="J87" s="10"/>
      <c r="K87" s="10"/>
      <c r="L87" s="10">
        <f t="shared" ref="L87:AQ87" ca="1" si="140">SUMIF(Year,L$6,Debt_Drawdown)</f>
        <v>0</v>
      </c>
      <c r="M87" s="10">
        <f t="shared" ca="1" si="140"/>
        <v>0</v>
      </c>
      <c r="N87" s="10">
        <f t="shared" ca="1" si="140"/>
        <v>619681.24132743443</v>
      </c>
      <c r="O87" s="10">
        <f t="shared" ca="1" si="140"/>
        <v>1492176.2864028835</v>
      </c>
      <c r="P87" s="10">
        <f t="shared" ca="1" si="140"/>
        <v>660030.85172975156</v>
      </c>
      <c r="Q87" s="10">
        <f t="shared" ca="1" si="140"/>
        <v>0</v>
      </c>
      <c r="R87" s="10">
        <f t="shared" ca="1" si="140"/>
        <v>0</v>
      </c>
      <c r="S87" s="10">
        <f t="shared" ca="1" si="140"/>
        <v>0</v>
      </c>
      <c r="T87" s="10">
        <f t="shared" ca="1" si="140"/>
        <v>0</v>
      </c>
      <c r="U87" s="10">
        <f t="shared" ca="1" si="140"/>
        <v>0</v>
      </c>
      <c r="V87" s="10">
        <f t="shared" ca="1" si="140"/>
        <v>0</v>
      </c>
      <c r="W87" s="10">
        <f t="shared" ca="1" si="140"/>
        <v>0</v>
      </c>
      <c r="X87" s="10">
        <f t="shared" ca="1" si="140"/>
        <v>0</v>
      </c>
      <c r="Y87" s="10">
        <f t="shared" ca="1" si="140"/>
        <v>0</v>
      </c>
      <c r="Z87" s="10">
        <f t="shared" ca="1" si="140"/>
        <v>0</v>
      </c>
      <c r="AA87" s="10">
        <f t="shared" ca="1" si="140"/>
        <v>0</v>
      </c>
      <c r="AB87" s="10">
        <f t="shared" ca="1" si="140"/>
        <v>0</v>
      </c>
      <c r="AC87" s="10">
        <f t="shared" ca="1" si="140"/>
        <v>0</v>
      </c>
      <c r="AD87" s="10">
        <f t="shared" ca="1" si="140"/>
        <v>0</v>
      </c>
      <c r="AE87" s="10">
        <f t="shared" ca="1" si="140"/>
        <v>0</v>
      </c>
      <c r="AF87" s="10">
        <f t="shared" ca="1" si="140"/>
        <v>0</v>
      </c>
      <c r="AG87" s="10">
        <f t="shared" si="140"/>
        <v>0</v>
      </c>
      <c r="AH87" s="10">
        <f t="shared" si="140"/>
        <v>0</v>
      </c>
      <c r="AI87" s="10">
        <f t="shared" si="140"/>
        <v>0</v>
      </c>
      <c r="AJ87" s="10">
        <f t="shared" si="140"/>
        <v>0</v>
      </c>
      <c r="AK87" s="10">
        <f t="shared" si="140"/>
        <v>0</v>
      </c>
      <c r="AL87" s="10">
        <f t="shared" si="140"/>
        <v>0</v>
      </c>
      <c r="AM87" s="10">
        <f t="shared" si="140"/>
        <v>0</v>
      </c>
      <c r="AN87" s="10">
        <f t="shared" si="140"/>
        <v>0</v>
      </c>
      <c r="AO87" s="10">
        <f t="shared" si="140"/>
        <v>0</v>
      </c>
      <c r="AP87" s="10">
        <f t="shared" si="140"/>
        <v>0</v>
      </c>
      <c r="AQ87" s="10">
        <f t="shared" si="140"/>
        <v>0</v>
      </c>
      <c r="AR87" s="10">
        <f t="shared" ref="AR87:BW87" si="141">SUMIF(Year,AR$6,Debt_Drawdown)</f>
        <v>0</v>
      </c>
      <c r="AS87" s="10">
        <f t="shared" si="141"/>
        <v>0</v>
      </c>
      <c r="AT87" s="10">
        <f t="shared" si="141"/>
        <v>0</v>
      </c>
      <c r="AU87" s="10">
        <f t="shared" si="141"/>
        <v>0</v>
      </c>
      <c r="AV87" s="10">
        <f t="shared" si="141"/>
        <v>0</v>
      </c>
      <c r="AW87" s="10">
        <f t="shared" si="141"/>
        <v>0</v>
      </c>
      <c r="AX87" s="10">
        <f t="shared" si="141"/>
        <v>0</v>
      </c>
      <c r="AY87" s="10">
        <f t="shared" si="141"/>
        <v>0</v>
      </c>
      <c r="AZ87" s="10">
        <f t="shared" si="141"/>
        <v>0</v>
      </c>
      <c r="BA87" s="10">
        <f t="shared" si="141"/>
        <v>0</v>
      </c>
      <c r="BB87" s="10">
        <f t="shared" si="141"/>
        <v>0</v>
      </c>
      <c r="BC87" s="10">
        <f t="shared" si="141"/>
        <v>0</v>
      </c>
      <c r="BD87" s="10">
        <f t="shared" si="141"/>
        <v>0</v>
      </c>
      <c r="BE87" s="10">
        <f t="shared" si="141"/>
        <v>0</v>
      </c>
      <c r="BF87" s="10">
        <f t="shared" si="141"/>
        <v>0</v>
      </c>
      <c r="BG87" s="10">
        <f t="shared" si="141"/>
        <v>0</v>
      </c>
      <c r="BH87" s="10">
        <f t="shared" si="141"/>
        <v>0</v>
      </c>
      <c r="BI87" s="10">
        <f t="shared" si="141"/>
        <v>0</v>
      </c>
      <c r="BJ87" s="10">
        <f t="shared" si="141"/>
        <v>0</v>
      </c>
      <c r="BK87" s="10">
        <f t="shared" si="141"/>
        <v>0</v>
      </c>
      <c r="BL87" s="10">
        <f t="shared" si="141"/>
        <v>0</v>
      </c>
      <c r="BM87" s="10">
        <f t="shared" si="141"/>
        <v>0</v>
      </c>
      <c r="BN87" s="10">
        <f t="shared" si="141"/>
        <v>0</v>
      </c>
      <c r="BO87" s="10">
        <f t="shared" si="141"/>
        <v>0</v>
      </c>
      <c r="BP87" s="10">
        <f t="shared" si="141"/>
        <v>0</v>
      </c>
      <c r="BQ87" s="10">
        <f t="shared" si="141"/>
        <v>0</v>
      </c>
      <c r="BR87" s="10">
        <f t="shared" si="141"/>
        <v>0</v>
      </c>
      <c r="BS87" s="10">
        <f t="shared" si="141"/>
        <v>0</v>
      </c>
      <c r="BT87" s="10">
        <f t="shared" si="141"/>
        <v>0</v>
      </c>
      <c r="BU87" s="10">
        <f t="shared" si="141"/>
        <v>0</v>
      </c>
      <c r="BV87" s="10">
        <f t="shared" si="141"/>
        <v>0</v>
      </c>
      <c r="BW87" s="10">
        <f t="shared" si="141"/>
        <v>0</v>
      </c>
      <c r="BX87" s="10">
        <f t="shared" ref="BX87:CO87" si="142">SUMIF(Year,BX$6,Debt_Drawdown)</f>
        <v>0</v>
      </c>
      <c r="BY87" s="10">
        <f t="shared" si="142"/>
        <v>0</v>
      </c>
      <c r="BZ87" s="10">
        <f t="shared" si="142"/>
        <v>0</v>
      </c>
      <c r="CA87" s="10">
        <f t="shared" si="142"/>
        <v>0</v>
      </c>
      <c r="CB87" s="10">
        <f t="shared" si="142"/>
        <v>0</v>
      </c>
      <c r="CC87" s="10">
        <f t="shared" si="142"/>
        <v>0</v>
      </c>
      <c r="CD87" s="10">
        <f t="shared" si="142"/>
        <v>0</v>
      </c>
      <c r="CE87" s="10">
        <f t="shared" si="142"/>
        <v>0</v>
      </c>
      <c r="CF87" s="10">
        <f t="shared" si="142"/>
        <v>0</v>
      </c>
      <c r="CG87" s="10">
        <f t="shared" si="142"/>
        <v>0</v>
      </c>
      <c r="CH87" s="10">
        <f t="shared" si="142"/>
        <v>0</v>
      </c>
      <c r="CI87" s="10">
        <f t="shared" si="142"/>
        <v>0</v>
      </c>
      <c r="CJ87" s="10">
        <f t="shared" si="142"/>
        <v>0</v>
      </c>
      <c r="CK87" s="10">
        <f t="shared" si="142"/>
        <v>0</v>
      </c>
      <c r="CL87" s="10">
        <f t="shared" si="142"/>
        <v>0</v>
      </c>
      <c r="CM87" s="10">
        <f t="shared" si="142"/>
        <v>0</v>
      </c>
      <c r="CN87" s="10">
        <f t="shared" si="142"/>
        <v>0</v>
      </c>
      <c r="CO87" s="10">
        <f t="shared" si="142"/>
        <v>0</v>
      </c>
    </row>
    <row r="88" spans="1:93" s="133" customFormat="1" ht="14.25">
      <c r="A88" s="10"/>
      <c r="B88" s="11"/>
      <c r="C88" s="17" t="s">
        <v>542</v>
      </c>
      <c r="D88" s="10"/>
      <c r="E88" s="10"/>
      <c r="F88" s="10"/>
      <c r="G88" s="134" t="str">
        <f t="shared" si="132"/>
        <v>тыс. руб.</v>
      </c>
      <c r="H88" s="10"/>
      <c r="I88" s="23">
        <f t="shared" ca="1" si="133"/>
        <v>-2771888.3794600694</v>
      </c>
      <c r="J88" s="10"/>
      <c r="K88" s="10"/>
      <c r="L88" s="10">
        <f t="shared" ref="L88:AQ88" ca="1" si="143">SUMIF(Year,L$6,Debt_Repaiment)</f>
        <v>0</v>
      </c>
      <c r="M88" s="10">
        <f t="shared" ca="1" si="143"/>
        <v>0</v>
      </c>
      <c r="N88" s="10">
        <f t="shared" ca="1" si="143"/>
        <v>0</v>
      </c>
      <c r="O88" s="10">
        <f t="shared" ca="1" si="143"/>
        <v>0</v>
      </c>
      <c r="P88" s="10">
        <f t="shared" ca="1" si="143"/>
        <v>-753894.65174027195</v>
      </c>
      <c r="Q88" s="10">
        <f t="shared" ca="1" si="143"/>
        <v>-422668.08545859891</v>
      </c>
      <c r="R88" s="10">
        <f t="shared" ca="1" si="143"/>
        <v>-529127.09300824604</v>
      </c>
      <c r="S88" s="10">
        <f t="shared" ca="1" si="143"/>
        <v>-639395.48649945413</v>
      </c>
      <c r="T88" s="10">
        <f t="shared" ca="1" si="143"/>
        <v>-426803.06275349879</v>
      </c>
      <c r="U88" s="10">
        <f t="shared" ca="1" si="143"/>
        <v>0</v>
      </c>
      <c r="V88" s="10">
        <f t="shared" ca="1" si="143"/>
        <v>0</v>
      </c>
      <c r="W88" s="10">
        <f t="shared" ca="1" si="143"/>
        <v>0</v>
      </c>
      <c r="X88" s="10">
        <f t="shared" ca="1" si="143"/>
        <v>0</v>
      </c>
      <c r="Y88" s="10">
        <f t="shared" ca="1" si="143"/>
        <v>0</v>
      </c>
      <c r="Z88" s="10">
        <f t="shared" ca="1" si="143"/>
        <v>0</v>
      </c>
      <c r="AA88" s="10">
        <f t="shared" ca="1" si="143"/>
        <v>0</v>
      </c>
      <c r="AB88" s="10">
        <f t="shared" ca="1" si="143"/>
        <v>0</v>
      </c>
      <c r="AC88" s="10">
        <f t="shared" ca="1" si="143"/>
        <v>0</v>
      </c>
      <c r="AD88" s="10">
        <f t="shared" ca="1" si="143"/>
        <v>0</v>
      </c>
      <c r="AE88" s="10">
        <f t="shared" ca="1" si="143"/>
        <v>0</v>
      </c>
      <c r="AF88" s="10">
        <f t="shared" ca="1" si="143"/>
        <v>0</v>
      </c>
      <c r="AG88" s="10">
        <f t="shared" si="143"/>
        <v>0</v>
      </c>
      <c r="AH88" s="10">
        <f t="shared" si="143"/>
        <v>0</v>
      </c>
      <c r="AI88" s="10">
        <f t="shared" si="143"/>
        <v>0</v>
      </c>
      <c r="AJ88" s="10">
        <f t="shared" si="143"/>
        <v>0</v>
      </c>
      <c r="AK88" s="10">
        <f t="shared" si="143"/>
        <v>0</v>
      </c>
      <c r="AL88" s="10">
        <f t="shared" si="143"/>
        <v>0</v>
      </c>
      <c r="AM88" s="10">
        <f t="shared" si="143"/>
        <v>0</v>
      </c>
      <c r="AN88" s="10">
        <f t="shared" si="143"/>
        <v>0</v>
      </c>
      <c r="AO88" s="10">
        <f t="shared" si="143"/>
        <v>0</v>
      </c>
      <c r="AP88" s="10">
        <f t="shared" si="143"/>
        <v>0</v>
      </c>
      <c r="AQ88" s="10">
        <f t="shared" si="143"/>
        <v>0</v>
      </c>
      <c r="AR88" s="10">
        <f t="shared" ref="AR88:BW88" si="144">SUMIF(Year,AR$6,Debt_Repaiment)</f>
        <v>0</v>
      </c>
      <c r="AS88" s="10">
        <f t="shared" si="144"/>
        <v>0</v>
      </c>
      <c r="AT88" s="10">
        <f t="shared" si="144"/>
        <v>0</v>
      </c>
      <c r="AU88" s="10">
        <f t="shared" si="144"/>
        <v>0</v>
      </c>
      <c r="AV88" s="10">
        <f t="shared" si="144"/>
        <v>0</v>
      </c>
      <c r="AW88" s="10">
        <f t="shared" si="144"/>
        <v>0</v>
      </c>
      <c r="AX88" s="10">
        <f t="shared" si="144"/>
        <v>0</v>
      </c>
      <c r="AY88" s="10">
        <f t="shared" si="144"/>
        <v>0</v>
      </c>
      <c r="AZ88" s="10">
        <f t="shared" si="144"/>
        <v>0</v>
      </c>
      <c r="BA88" s="10">
        <f t="shared" si="144"/>
        <v>0</v>
      </c>
      <c r="BB88" s="10">
        <f t="shared" si="144"/>
        <v>0</v>
      </c>
      <c r="BC88" s="10">
        <f t="shared" si="144"/>
        <v>0</v>
      </c>
      <c r="BD88" s="10">
        <f t="shared" si="144"/>
        <v>0</v>
      </c>
      <c r="BE88" s="10">
        <f t="shared" si="144"/>
        <v>0</v>
      </c>
      <c r="BF88" s="10">
        <f t="shared" si="144"/>
        <v>0</v>
      </c>
      <c r="BG88" s="10">
        <f t="shared" si="144"/>
        <v>0</v>
      </c>
      <c r="BH88" s="10">
        <f t="shared" si="144"/>
        <v>0</v>
      </c>
      <c r="BI88" s="10">
        <f t="shared" si="144"/>
        <v>0</v>
      </c>
      <c r="BJ88" s="10">
        <f t="shared" si="144"/>
        <v>0</v>
      </c>
      <c r="BK88" s="10">
        <f t="shared" si="144"/>
        <v>0</v>
      </c>
      <c r="BL88" s="10">
        <f t="shared" si="144"/>
        <v>0</v>
      </c>
      <c r="BM88" s="10">
        <f t="shared" si="144"/>
        <v>0</v>
      </c>
      <c r="BN88" s="10">
        <f t="shared" si="144"/>
        <v>0</v>
      </c>
      <c r="BO88" s="10">
        <f t="shared" si="144"/>
        <v>0</v>
      </c>
      <c r="BP88" s="10">
        <f t="shared" si="144"/>
        <v>0</v>
      </c>
      <c r="BQ88" s="10">
        <f t="shared" si="144"/>
        <v>0</v>
      </c>
      <c r="BR88" s="10">
        <f t="shared" si="144"/>
        <v>0</v>
      </c>
      <c r="BS88" s="10">
        <f t="shared" si="144"/>
        <v>0</v>
      </c>
      <c r="BT88" s="10">
        <f t="shared" si="144"/>
        <v>0</v>
      </c>
      <c r="BU88" s="10">
        <f t="shared" si="144"/>
        <v>0</v>
      </c>
      <c r="BV88" s="10">
        <f t="shared" si="144"/>
        <v>0</v>
      </c>
      <c r="BW88" s="10">
        <f t="shared" si="144"/>
        <v>0</v>
      </c>
      <c r="BX88" s="10">
        <f t="shared" ref="BX88:CO88" si="145">SUMIF(Year,BX$6,Debt_Repaiment)</f>
        <v>0</v>
      </c>
      <c r="BY88" s="10">
        <f t="shared" si="145"/>
        <v>0</v>
      </c>
      <c r="BZ88" s="10">
        <f t="shared" si="145"/>
        <v>0</v>
      </c>
      <c r="CA88" s="10">
        <f t="shared" si="145"/>
        <v>0</v>
      </c>
      <c r="CB88" s="10">
        <f t="shared" si="145"/>
        <v>0</v>
      </c>
      <c r="CC88" s="10">
        <f t="shared" si="145"/>
        <v>0</v>
      </c>
      <c r="CD88" s="10">
        <f t="shared" si="145"/>
        <v>0</v>
      </c>
      <c r="CE88" s="10">
        <f t="shared" si="145"/>
        <v>0</v>
      </c>
      <c r="CF88" s="10">
        <f t="shared" si="145"/>
        <v>0</v>
      </c>
      <c r="CG88" s="10">
        <f t="shared" si="145"/>
        <v>0</v>
      </c>
      <c r="CH88" s="10">
        <f t="shared" si="145"/>
        <v>0</v>
      </c>
      <c r="CI88" s="10">
        <f t="shared" si="145"/>
        <v>0</v>
      </c>
      <c r="CJ88" s="10">
        <f t="shared" si="145"/>
        <v>0</v>
      </c>
      <c r="CK88" s="10">
        <f t="shared" si="145"/>
        <v>0</v>
      </c>
      <c r="CL88" s="10">
        <f t="shared" si="145"/>
        <v>0</v>
      </c>
      <c r="CM88" s="10">
        <f t="shared" si="145"/>
        <v>0</v>
      </c>
      <c r="CN88" s="10">
        <f t="shared" si="145"/>
        <v>0</v>
      </c>
      <c r="CO88" s="10">
        <f t="shared" si="145"/>
        <v>0</v>
      </c>
    </row>
    <row r="89" spans="1:93" s="133" customFormat="1" ht="14.25">
      <c r="A89" s="10"/>
      <c r="B89" s="11"/>
      <c r="C89" s="17" t="s">
        <v>551</v>
      </c>
      <c r="D89" s="10"/>
      <c r="E89" s="10"/>
      <c r="F89" s="10"/>
      <c r="G89" s="134" t="str">
        <f t="shared" si="132"/>
        <v>тыс. руб.</v>
      </c>
      <c r="H89" s="10"/>
      <c r="I89" s="23">
        <f t="shared" ca="1" si="133"/>
        <v>-768987.99782235362</v>
      </c>
      <c r="J89" s="10"/>
      <c r="K89" s="10"/>
      <c r="L89" s="10">
        <f t="shared" ref="L89:AQ89" ca="1" si="146">SUMIF(Year,L$6,Subord_Repayment)</f>
        <v>0</v>
      </c>
      <c r="M89" s="10">
        <f t="shared" ca="1" si="146"/>
        <v>0</v>
      </c>
      <c r="N89" s="10">
        <f t="shared" ca="1" si="146"/>
        <v>0</v>
      </c>
      <c r="O89" s="10">
        <f t="shared" ca="1" si="146"/>
        <v>0</v>
      </c>
      <c r="P89" s="10">
        <f t="shared" ca="1" si="146"/>
        <v>-99375.336585749872</v>
      </c>
      <c r="Q89" s="10">
        <f t="shared" ca="1" si="146"/>
        <v>-25582.366811448243</v>
      </c>
      <c r="R89" s="10">
        <f t="shared" ca="1" si="146"/>
        <v>-38036.5257556207</v>
      </c>
      <c r="S89" s="10">
        <f t="shared" ca="1" si="146"/>
        <v>-57250.807870133009</v>
      </c>
      <c r="T89" s="10">
        <f t="shared" ca="1" si="146"/>
        <v>-345397.3136574963</v>
      </c>
      <c r="U89" s="10">
        <f t="shared" ca="1" si="146"/>
        <v>-203345.64714190544</v>
      </c>
      <c r="V89" s="10">
        <f t="shared" ca="1" si="146"/>
        <v>0</v>
      </c>
      <c r="W89" s="10">
        <f t="shared" ca="1" si="146"/>
        <v>0</v>
      </c>
      <c r="X89" s="10">
        <f t="shared" ca="1" si="146"/>
        <v>0</v>
      </c>
      <c r="Y89" s="10">
        <f t="shared" ca="1" si="146"/>
        <v>0</v>
      </c>
      <c r="Z89" s="10">
        <f t="shared" ca="1" si="146"/>
        <v>0</v>
      </c>
      <c r="AA89" s="10">
        <f t="shared" ca="1" si="146"/>
        <v>0</v>
      </c>
      <c r="AB89" s="10">
        <f t="shared" ca="1" si="146"/>
        <v>0</v>
      </c>
      <c r="AC89" s="10">
        <f t="shared" ca="1" si="146"/>
        <v>0</v>
      </c>
      <c r="AD89" s="10">
        <f t="shared" ca="1" si="146"/>
        <v>0</v>
      </c>
      <c r="AE89" s="10">
        <f t="shared" ca="1" si="146"/>
        <v>0</v>
      </c>
      <c r="AF89" s="10">
        <f t="shared" ca="1" si="146"/>
        <v>0</v>
      </c>
      <c r="AG89" s="10">
        <f t="shared" si="146"/>
        <v>0</v>
      </c>
      <c r="AH89" s="10">
        <f t="shared" si="146"/>
        <v>0</v>
      </c>
      <c r="AI89" s="10">
        <f t="shared" si="146"/>
        <v>0</v>
      </c>
      <c r="AJ89" s="10">
        <f t="shared" si="146"/>
        <v>0</v>
      </c>
      <c r="AK89" s="10">
        <f t="shared" si="146"/>
        <v>0</v>
      </c>
      <c r="AL89" s="10">
        <f t="shared" si="146"/>
        <v>0</v>
      </c>
      <c r="AM89" s="10">
        <f t="shared" si="146"/>
        <v>0</v>
      </c>
      <c r="AN89" s="10">
        <f t="shared" si="146"/>
        <v>0</v>
      </c>
      <c r="AO89" s="10">
        <f t="shared" si="146"/>
        <v>0</v>
      </c>
      <c r="AP89" s="10">
        <f t="shared" si="146"/>
        <v>0</v>
      </c>
      <c r="AQ89" s="10">
        <f t="shared" si="146"/>
        <v>0</v>
      </c>
      <c r="AR89" s="10">
        <f t="shared" ref="AR89:BW89" si="147">SUMIF(Year,AR$6,Subord_Repayment)</f>
        <v>0</v>
      </c>
      <c r="AS89" s="10">
        <f t="shared" si="147"/>
        <v>0</v>
      </c>
      <c r="AT89" s="10">
        <f t="shared" si="147"/>
        <v>0</v>
      </c>
      <c r="AU89" s="10">
        <f t="shared" si="147"/>
        <v>0</v>
      </c>
      <c r="AV89" s="10">
        <f t="shared" si="147"/>
        <v>0</v>
      </c>
      <c r="AW89" s="10">
        <f t="shared" si="147"/>
        <v>0</v>
      </c>
      <c r="AX89" s="10">
        <f t="shared" si="147"/>
        <v>0</v>
      </c>
      <c r="AY89" s="10">
        <f t="shared" si="147"/>
        <v>0</v>
      </c>
      <c r="AZ89" s="10">
        <f t="shared" si="147"/>
        <v>0</v>
      </c>
      <c r="BA89" s="10">
        <f t="shared" si="147"/>
        <v>0</v>
      </c>
      <c r="BB89" s="10">
        <f t="shared" si="147"/>
        <v>0</v>
      </c>
      <c r="BC89" s="10">
        <f t="shared" si="147"/>
        <v>0</v>
      </c>
      <c r="BD89" s="10">
        <f t="shared" si="147"/>
        <v>0</v>
      </c>
      <c r="BE89" s="10">
        <f t="shared" si="147"/>
        <v>0</v>
      </c>
      <c r="BF89" s="10">
        <f t="shared" si="147"/>
        <v>0</v>
      </c>
      <c r="BG89" s="10">
        <f t="shared" si="147"/>
        <v>0</v>
      </c>
      <c r="BH89" s="10">
        <f t="shared" si="147"/>
        <v>0</v>
      </c>
      <c r="BI89" s="10">
        <f t="shared" si="147"/>
        <v>0</v>
      </c>
      <c r="BJ89" s="10">
        <f t="shared" si="147"/>
        <v>0</v>
      </c>
      <c r="BK89" s="10">
        <f t="shared" si="147"/>
        <v>0</v>
      </c>
      <c r="BL89" s="10">
        <f t="shared" si="147"/>
        <v>0</v>
      </c>
      <c r="BM89" s="10">
        <f t="shared" si="147"/>
        <v>0</v>
      </c>
      <c r="BN89" s="10">
        <f t="shared" si="147"/>
        <v>0</v>
      </c>
      <c r="BO89" s="10">
        <f t="shared" si="147"/>
        <v>0</v>
      </c>
      <c r="BP89" s="10">
        <f t="shared" si="147"/>
        <v>0</v>
      </c>
      <c r="BQ89" s="10">
        <f t="shared" si="147"/>
        <v>0</v>
      </c>
      <c r="BR89" s="10">
        <f t="shared" si="147"/>
        <v>0</v>
      </c>
      <c r="BS89" s="10">
        <f t="shared" si="147"/>
        <v>0</v>
      </c>
      <c r="BT89" s="10">
        <f t="shared" si="147"/>
        <v>0</v>
      </c>
      <c r="BU89" s="10">
        <f t="shared" si="147"/>
        <v>0</v>
      </c>
      <c r="BV89" s="10">
        <f t="shared" si="147"/>
        <v>0</v>
      </c>
      <c r="BW89" s="10">
        <f t="shared" si="147"/>
        <v>0</v>
      </c>
      <c r="BX89" s="10">
        <f t="shared" ref="BX89:CO89" si="148">SUMIF(Year,BX$6,Subord_Repayment)</f>
        <v>0</v>
      </c>
      <c r="BY89" s="10">
        <f t="shared" si="148"/>
        <v>0</v>
      </c>
      <c r="BZ89" s="10">
        <f t="shared" si="148"/>
        <v>0</v>
      </c>
      <c r="CA89" s="10">
        <f t="shared" si="148"/>
        <v>0</v>
      </c>
      <c r="CB89" s="10">
        <f t="shared" si="148"/>
        <v>0</v>
      </c>
      <c r="CC89" s="10">
        <f t="shared" si="148"/>
        <v>0</v>
      </c>
      <c r="CD89" s="10">
        <f t="shared" si="148"/>
        <v>0</v>
      </c>
      <c r="CE89" s="10">
        <f t="shared" si="148"/>
        <v>0</v>
      </c>
      <c r="CF89" s="10">
        <f t="shared" si="148"/>
        <v>0</v>
      </c>
      <c r="CG89" s="10">
        <f t="shared" si="148"/>
        <v>0</v>
      </c>
      <c r="CH89" s="10">
        <f t="shared" si="148"/>
        <v>0</v>
      </c>
      <c r="CI89" s="10">
        <f t="shared" si="148"/>
        <v>0</v>
      </c>
      <c r="CJ89" s="10">
        <f t="shared" si="148"/>
        <v>0</v>
      </c>
      <c r="CK89" s="10">
        <f t="shared" si="148"/>
        <v>0</v>
      </c>
      <c r="CL89" s="10">
        <f t="shared" si="148"/>
        <v>0</v>
      </c>
      <c r="CM89" s="10">
        <f t="shared" si="148"/>
        <v>0</v>
      </c>
      <c r="CN89" s="10">
        <f t="shared" si="148"/>
        <v>0</v>
      </c>
      <c r="CO89" s="10">
        <f t="shared" si="148"/>
        <v>0</v>
      </c>
    </row>
    <row r="90" spans="1:93" s="133" customFormat="1" thickBot="1">
      <c r="A90" s="10"/>
      <c r="B90" s="11"/>
      <c r="C90" s="17" t="s">
        <v>92</v>
      </c>
      <c r="D90" s="10"/>
      <c r="E90" s="10"/>
      <c r="F90" s="10"/>
      <c r="G90" s="134" t="str">
        <f t="shared" si="132"/>
        <v>тыс. руб.</v>
      </c>
      <c r="H90" s="10"/>
      <c r="I90" s="23">
        <f t="shared" ca="1" si="133"/>
        <v>-8270600.6277033035</v>
      </c>
      <c r="J90" s="10"/>
      <c r="K90" s="10"/>
      <c r="L90" s="10">
        <f t="shared" ref="L90:AQ90" ca="1" si="149">SUMIF(Year,L$6,Dividends)</f>
        <v>0</v>
      </c>
      <c r="M90" s="10">
        <f t="shared" ca="1" si="149"/>
        <v>0</v>
      </c>
      <c r="N90" s="10">
        <f t="shared" ca="1" si="149"/>
        <v>0</v>
      </c>
      <c r="O90" s="10">
        <f t="shared" ca="1" si="149"/>
        <v>0</v>
      </c>
      <c r="P90" s="10">
        <f t="shared" ca="1" si="149"/>
        <v>0</v>
      </c>
      <c r="Q90" s="10">
        <f t="shared" ca="1" si="149"/>
        <v>0</v>
      </c>
      <c r="R90" s="10">
        <f t="shared" ca="1" si="149"/>
        <v>0</v>
      </c>
      <c r="S90" s="10">
        <f t="shared" ca="1" si="149"/>
        <v>0</v>
      </c>
      <c r="T90" s="10">
        <f t="shared" ca="1" si="149"/>
        <v>0</v>
      </c>
      <c r="U90" s="10">
        <f t="shared" ca="1" si="149"/>
        <v>-549253.32586142328</v>
      </c>
      <c r="V90" s="10">
        <f t="shared" ca="1" si="149"/>
        <v>-671542.79813292308</v>
      </c>
      <c r="W90" s="10">
        <f t="shared" ca="1" si="149"/>
        <v>-696272.09737878654</v>
      </c>
      <c r="X90" s="10">
        <f t="shared" ca="1" si="149"/>
        <v>-722118.62923451606</v>
      </c>
      <c r="Y90" s="10">
        <f t="shared" ca="1" si="149"/>
        <v>-742094.2330324041</v>
      </c>
      <c r="Z90" s="10">
        <f t="shared" ca="1" si="149"/>
        <v>-699652.39890484186</v>
      </c>
      <c r="AA90" s="10">
        <f t="shared" ca="1" si="149"/>
        <v>-713869.0358755819</v>
      </c>
      <c r="AB90" s="10">
        <f t="shared" ca="1" si="149"/>
        <v>-744167.45245579071</v>
      </c>
      <c r="AC90" s="10">
        <f t="shared" ca="1" si="149"/>
        <v>-776731.9267134571</v>
      </c>
      <c r="AD90" s="10">
        <f t="shared" ca="1" si="149"/>
        <v>-810529.96975931455</v>
      </c>
      <c r="AE90" s="10">
        <f t="shared" ca="1" si="149"/>
        <v>-846874.50952719396</v>
      </c>
      <c r="AF90" s="10">
        <f t="shared" ca="1" si="149"/>
        <v>-297494.25082707044</v>
      </c>
      <c r="AG90" s="10">
        <f t="shared" si="149"/>
        <v>0</v>
      </c>
      <c r="AH90" s="10">
        <f t="shared" si="149"/>
        <v>0</v>
      </c>
      <c r="AI90" s="10">
        <f t="shared" si="149"/>
        <v>0</v>
      </c>
      <c r="AJ90" s="10">
        <f t="shared" si="149"/>
        <v>0</v>
      </c>
      <c r="AK90" s="10">
        <f t="shared" si="149"/>
        <v>0</v>
      </c>
      <c r="AL90" s="10">
        <f t="shared" si="149"/>
        <v>0</v>
      </c>
      <c r="AM90" s="10">
        <f t="shared" si="149"/>
        <v>0</v>
      </c>
      <c r="AN90" s="10">
        <f t="shared" si="149"/>
        <v>0</v>
      </c>
      <c r="AO90" s="10">
        <f t="shared" si="149"/>
        <v>0</v>
      </c>
      <c r="AP90" s="10">
        <f t="shared" si="149"/>
        <v>0</v>
      </c>
      <c r="AQ90" s="10">
        <f t="shared" si="149"/>
        <v>0</v>
      </c>
      <c r="AR90" s="10">
        <f t="shared" ref="AR90:BW90" si="150">SUMIF(Year,AR$6,Dividends)</f>
        <v>0</v>
      </c>
      <c r="AS90" s="10">
        <f t="shared" si="150"/>
        <v>0</v>
      </c>
      <c r="AT90" s="10">
        <f t="shared" si="150"/>
        <v>0</v>
      </c>
      <c r="AU90" s="10">
        <f t="shared" si="150"/>
        <v>0</v>
      </c>
      <c r="AV90" s="10">
        <f t="shared" si="150"/>
        <v>0</v>
      </c>
      <c r="AW90" s="10">
        <f t="shared" si="150"/>
        <v>0</v>
      </c>
      <c r="AX90" s="10">
        <f t="shared" si="150"/>
        <v>0</v>
      </c>
      <c r="AY90" s="10">
        <f t="shared" si="150"/>
        <v>0</v>
      </c>
      <c r="AZ90" s="10">
        <f t="shared" si="150"/>
        <v>0</v>
      </c>
      <c r="BA90" s="10">
        <f t="shared" si="150"/>
        <v>0</v>
      </c>
      <c r="BB90" s="10">
        <f t="shared" si="150"/>
        <v>0</v>
      </c>
      <c r="BC90" s="10">
        <f t="shared" si="150"/>
        <v>0</v>
      </c>
      <c r="BD90" s="10">
        <f t="shared" si="150"/>
        <v>0</v>
      </c>
      <c r="BE90" s="10">
        <f t="shared" si="150"/>
        <v>0</v>
      </c>
      <c r="BF90" s="10">
        <f t="shared" si="150"/>
        <v>0</v>
      </c>
      <c r="BG90" s="10">
        <f t="shared" si="150"/>
        <v>0</v>
      </c>
      <c r="BH90" s="10">
        <f t="shared" si="150"/>
        <v>0</v>
      </c>
      <c r="BI90" s="10">
        <f t="shared" si="150"/>
        <v>0</v>
      </c>
      <c r="BJ90" s="10">
        <f t="shared" si="150"/>
        <v>0</v>
      </c>
      <c r="BK90" s="10">
        <f t="shared" si="150"/>
        <v>0</v>
      </c>
      <c r="BL90" s="10">
        <f t="shared" si="150"/>
        <v>0</v>
      </c>
      <c r="BM90" s="10">
        <f t="shared" si="150"/>
        <v>0</v>
      </c>
      <c r="BN90" s="10">
        <f t="shared" si="150"/>
        <v>0</v>
      </c>
      <c r="BO90" s="10">
        <f t="shared" si="150"/>
        <v>0</v>
      </c>
      <c r="BP90" s="10">
        <f t="shared" si="150"/>
        <v>0</v>
      </c>
      <c r="BQ90" s="10">
        <f t="shared" si="150"/>
        <v>0</v>
      </c>
      <c r="BR90" s="10">
        <f t="shared" si="150"/>
        <v>0</v>
      </c>
      <c r="BS90" s="10">
        <f t="shared" si="150"/>
        <v>0</v>
      </c>
      <c r="BT90" s="10">
        <f t="shared" si="150"/>
        <v>0</v>
      </c>
      <c r="BU90" s="10">
        <f t="shared" si="150"/>
        <v>0</v>
      </c>
      <c r="BV90" s="10">
        <f t="shared" si="150"/>
        <v>0</v>
      </c>
      <c r="BW90" s="10">
        <f t="shared" si="150"/>
        <v>0</v>
      </c>
      <c r="BX90" s="10">
        <f t="shared" ref="BX90:CO90" si="151">SUMIF(Year,BX$6,Dividends)</f>
        <v>0</v>
      </c>
      <c r="BY90" s="10">
        <f t="shared" si="151"/>
        <v>0</v>
      </c>
      <c r="BZ90" s="10">
        <f t="shared" si="151"/>
        <v>0</v>
      </c>
      <c r="CA90" s="10">
        <f t="shared" si="151"/>
        <v>0</v>
      </c>
      <c r="CB90" s="10">
        <f t="shared" si="151"/>
        <v>0</v>
      </c>
      <c r="CC90" s="10">
        <f t="shared" si="151"/>
        <v>0</v>
      </c>
      <c r="CD90" s="10">
        <f t="shared" si="151"/>
        <v>0</v>
      </c>
      <c r="CE90" s="10">
        <f t="shared" si="151"/>
        <v>0</v>
      </c>
      <c r="CF90" s="10">
        <f t="shared" si="151"/>
        <v>0</v>
      </c>
      <c r="CG90" s="10">
        <f t="shared" si="151"/>
        <v>0</v>
      </c>
      <c r="CH90" s="10">
        <f t="shared" si="151"/>
        <v>0</v>
      </c>
      <c r="CI90" s="10">
        <f t="shared" si="151"/>
        <v>0</v>
      </c>
      <c r="CJ90" s="10">
        <f t="shared" si="151"/>
        <v>0</v>
      </c>
      <c r="CK90" s="10">
        <f t="shared" si="151"/>
        <v>0</v>
      </c>
      <c r="CL90" s="10">
        <f t="shared" si="151"/>
        <v>0</v>
      </c>
      <c r="CM90" s="10">
        <f t="shared" si="151"/>
        <v>0</v>
      </c>
      <c r="CN90" s="10">
        <f t="shared" si="151"/>
        <v>0</v>
      </c>
      <c r="CO90" s="10">
        <f t="shared" si="151"/>
        <v>0</v>
      </c>
    </row>
    <row r="91" spans="1:93" s="133" customFormat="1" thickTop="1">
      <c r="A91" s="10"/>
      <c r="B91" s="11"/>
      <c r="C91" s="49" t="s">
        <v>496</v>
      </c>
      <c r="D91" s="136"/>
      <c r="E91" s="136"/>
      <c r="F91" s="136"/>
      <c r="G91" s="137" t="str">
        <f t="shared" si="132"/>
        <v>тыс. руб.</v>
      </c>
      <c r="H91" s="136"/>
      <c r="I91" s="23">
        <f t="shared" ca="1" si="133"/>
        <v>-7972210.0574853672</v>
      </c>
      <c r="J91" s="136"/>
      <c r="K91" s="136"/>
      <c r="L91" s="136">
        <f t="shared" ref="L91:BW91" ca="1" si="152">SUM(L85:L90)</f>
        <v>82665.685468645795</v>
      </c>
      <c r="M91" s="136">
        <f t="shared" ca="1" si="152"/>
        <v>720524.37801153562</v>
      </c>
      <c r="N91" s="136">
        <f t="shared" ca="1" si="152"/>
        <v>769519.50178679125</v>
      </c>
      <c r="O91" s="136">
        <f t="shared" ca="1" si="152"/>
        <v>1572621.4243853481</v>
      </c>
      <c r="P91" s="136">
        <f t="shared" ca="1" si="152"/>
        <v>-159334.03047798236</v>
      </c>
      <c r="Q91" s="136">
        <f t="shared" ca="1" si="152"/>
        <v>-448250.45227004716</v>
      </c>
      <c r="R91" s="136">
        <f t="shared" ca="1" si="152"/>
        <v>-567163.61876386672</v>
      </c>
      <c r="S91" s="136">
        <f t="shared" ca="1" si="152"/>
        <v>-696646.29436958709</v>
      </c>
      <c r="T91" s="136">
        <f t="shared" ca="1" si="152"/>
        <v>-772200.37641099514</v>
      </c>
      <c r="U91" s="136">
        <f t="shared" ca="1" si="152"/>
        <v>-752598.97300332878</v>
      </c>
      <c r="V91" s="136">
        <f t="shared" ca="1" si="152"/>
        <v>-671542.79813292308</v>
      </c>
      <c r="W91" s="136">
        <f t="shared" ca="1" si="152"/>
        <v>-696272.09737878654</v>
      </c>
      <c r="X91" s="136">
        <f t="shared" ca="1" si="152"/>
        <v>-722118.62923451606</v>
      </c>
      <c r="Y91" s="136">
        <f t="shared" ca="1" si="152"/>
        <v>-742094.2330324041</v>
      </c>
      <c r="Z91" s="136">
        <f t="shared" ca="1" si="152"/>
        <v>-699652.39890484186</v>
      </c>
      <c r="AA91" s="136">
        <f t="shared" ca="1" si="152"/>
        <v>-713869.0358755819</v>
      </c>
      <c r="AB91" s="136">
        <f t="shared" ca="1" si="152"/>
        <v>-744167.45245579071</v>
      </c>
      <c r="AC91" s="136">
        <f t="shared" ca="1" si="152"/>
        <v>-776731.9267134571</v>
      </c>
      <c r="AD91" s="136">
        <f t="shared" ca="1" si="152"/>
        <v>-810529.96975931455</v>
      </c>
      <c r="AE91" s="136">
        <f t="shared" ca="1" si="152"/>
        <v>-846874.50952719396</v>
      </c>
      <c r="AF91" s="136">
        <f t="shared" ca="1" si="152"/>
        <v>-297494.25082707044</v>
      </c>
      <c r="AG91" s="136">
        <f t="shared" si="152"/>
        <v>0</v>
      </c>
      <c r="AH91" s="136">
        <f t="shared" si="152"/>
        <v>0</v>
      </c>
      <c r="AI91" s="136">
        <f t="shared" si="152"/>
        <v>0</v>
      </c>
      <c r="AJ91" s="136">
        <f t="shared" si="152"/>
        <v>0</v>
      </c>
      <c r="AK91" s="136">
        <f t="shared" si="152"/>
        <v>0</v>
      </c>
      <c r="AL91" s="136">
        <f t="shared" si="152"/>
        <v>0</v>
      </c>
      <c r="AM91" s="136">
        <f t="shared" si="152"/>
        <v>0</v>
      </c>
      <c r="AN91" s="136">
        <f t="shared" si="152"/>
        <v>0</v>
      </c>
      <c r="AO91" s="136">
        <f t="shared" si="152"/>
        <v>0</v>
      </c>
      <c r="AP91" s="136">
        <f t="shared" si="152"/>
        <v>0</v>
      </c>
      <c r="AQ91" s="136">
        <f t="shared" si="152"/>
        <v>0</v>
      </c>
      <c r="AR91" s="136">
        <f t="shared" si="152"/>
        <v>0</v>
      </c>
      <c r="AS91" s="136">
        <f t="shared" si="152"/>
        <v>0</v>
      </c>
      <c r="AT91" s="136">
        <f t="shared" si="152"/>
        <v>0</v>
      </c>
      <c r="AU91" s="136">
        <f t="shared" si="152"/>
        <v>0</v>
      </c>
      <c r="AV91" s="136">
        <f t="shared" si="152"/>
        <v>0</v>
      </c>
      <c r="AW91" s="136">
        <f t="shared" si="152"/>
        <v>0</v>
      </c>
      <c r="AX91" s="136">
        <f t="shared" si="152"/>
        <v>0</v>
      </c>
      <c r="AY91" s="136">
        <f t="shared" si="152"/>
        <v>0</v>
      </c>
      <c r="AZ91" s="136">
        <f t="shared" si="152"/>
        <v>0</v>
      </c>
      <c r="BA91" s="136">
        <f t="shared" si="152"/>
        <v>0</v>
      </c>
      <c r="BB91" s="136">
        <f t="shared" si="152"/>
        <v>0</v>
      </c>
      <c r="BC91" s="136">
        <f t="shared" si="152"/>
        <v>0</v>
      </c>
      <c r="BD91" s="136">
        <f t="shared" si="152"/>
        <v>0</v>
      </c>
      <c r="BE91" s="136">
        <f t="shared" si="152"/>
        <v>0</v>
      </c>
      <c r="BF91" s="136">
        <f t="shared" si="152"/>
        <v>0</v>
      </c>
      <c r="BG91" s="136">
        <f t="shared" si="152"/>
        <v>0</v>
      </c>
      <c r="BH91" s="136">
        <f t="shared" si="152"/>
        <v>0</v>
      </c>
      <c r="BI91" s="136">
        <f t="shared" si="152"/>
        <v>0</v>
      </c>
      <c r="BJ91" s="136">
        <f t="shared" si="152"/>
        <v>0</v>
      </c>
      <c r="BK91" s="136">
        <f t="shared" si="152"/>
        <v>0</v>
      </c>
      <c r="BL91" s="136">
        <f t="shared" si="152"/>
        <v>0</v>
      </c>
      <c r="BM91" s="136">
        <f t="shared" si="152"/>
        <v>0</v>
      </c>
      <c r="BN91" s="136">
        <f t="shared" si="152"/>
        <v>0</v>
      </c>
      <c r="BO91" s="136">
        <f t="shared" si="152"/>
        <v>0</v>
      </c>
      <c r="BP91" s="136">
        <f t="shared" si="152"/>
        <v>0</v>
      </c>
      <c r="BQ91" s="136">
        <f t="shared" si="152"/>
        <v>0</v>
      </c>
      <c r="BR91" s="136">
        <f t="shared" si="152"/>
        <v>0</v>
      </c>
      <c r="BS91" s="136">
        <f t="shared" si="152"/>
        <v>0</v>
      </c>
      <c r="BT91" s="136">
        <f t="shared" si="152"/>
        <v>0</v>
      </c>
      <c r="BU91" s="136">
        <f t="shared" si="152"/>
        <v>0</v>
      </c>
      <c r="BV91" s="136">
        <f t="shared" si="152"/>
        <v>0</v>
      </c>
      <c r="BW91" s="136">
        <f t="shared" si="152"/>
        <v>0</v>
      </c>
      <c r="BX91" s="136">
        <f t="shared" ref="BX91:CO91" si="153">SUM(BX85:BX90)</f>
        <v>0</v>
      </c>
      <c r="BY91" s="136">
        <f t="shared" si="153"/>
        <v>0</v>
      </c>
      <c r="BZ91" s="136">
        <f t="shared" si="153"/>
        <v>0</v>
      </c>
      <c r="CA91" s="136">
        <f t="shared" si="153"/>
        <v>0</v>
      </c>
      <c r="CB91" s="136">
        <f t="shared" si="153"/>
        <v>0</v>
      </c>
      <c r="CC91" s="136">
        <f t="shared" si="153"/>
        <v>0</v>
      </c>
      <c r="CD91" s="136">
        <f t="shared" si="153"/>
        <v>0</v>
      </c>
      <c r="CE91" s="136">
        <f t="shared" si="153"/>
        <v>0</v>
      </c>
      <c r="CF91" s="136">
        <f t="shared" si="153"/>
        <v>0</v>
      </c>
      <c r="CG91" s="136">
        <f t="shared" si="153"/>
        <v>0</v>
      </c>
      <c r="CH91" s="136">
        <f t="shared" si="153"/>
        <v>0</v>
      </c>
      <c r="CI91" s="136">
        <f t="shared" si="153"/>
        <v>0</v>
      </c>
      <c r="CJ91" s="136">
        <f t="shared" si="153"/>
        <v>0</v>
      </c>
      <c r="CK91" s="136">
        <f t="shared" si="153"/>
        <v>0</v>
      </c>
      <c r="CL91" s="136">
        <f t="shared" si="153"/>
        <v>0</v>
      </c>
      <c r="CM91" s="136">
        <f t="shared" si="153"/>
        <v>0</v>
      </c>
      <c r="CN91" s="136">
        <f t="shared" si="153"/>
        <v>0</v>
      </c>
      <c r="CO91" s="136">
        <f t="shared" si="153"/>
        <v>0</v>
      </c>
    </row>
    <row r="92" spans="1:93" s="133" customFormat="1" ht="14.25">
      <c r="A92" s="10"/>
      <c r="B92" s="11"/>
      <c r="C92" s="10"/>
      <c r="D92" s="10"/>
      <c r="E92" s="10"/>
      <c r="F92" s="10"/>
      <c r="G92" s="11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</row>
    <row r="93" spans="1:93" s="133" customFormat="1" ht="14.25">
      <c r="A93" s="10"/>
      <c r="B93" s="11"/>
      <c r="C93" s="24" t="s">
        <v>331</v>
      </c>
      <c r="D93" s="24"/>
      <c r="E93" s="24"/>
      <c r="F93" s="24"/>
      <c r="G93" s="135" t="str">
        <f>Monetary_Unit</f>
        <v>тыс. руб.</v>
      </c>
      <c r="H93" s="24"/>
      <c r="I93" s="24"/>
      <c r="J93" s="24"/>
      <c r="K93" s="24"/>
      <c r="L93" s="24">
        <f ca="1">L78+L82+L91</f>
        <v>0</v>
      </c>
      <c r="M93" s="24">
        <f t="shared" ref="M93:BX93" ca="1" si="154">M78+M82+M91</f>
        <v>0</v>
      </c>
      <c r="N93" s="24">
        <f t="shared" ca="1" si="154"/>
        <v>0</v>
      </c>
      <c r="O93" s="24">
        <f t="shared" ca="1" si="154"/>
        <v>0</v>
      </c>
      <c r="P93" s="24">
        <f t="shared" ca="1" si="154"/>
        <v>0</v>
      </c>
      <c r="Q93" s="24">
        <f t="shared" ca="1" si="154"/>
        <v>0</v>
      </c>
      <c r="R93" s="24">
        <f t="shared" ca="1" si="154"/>
        <v>0</v>
      </c>
      <c r="S93" s="24">
        <f t="shared" ca="1" si="154"/>
        <v>0</v>
      </c>
      <c r="T93" s="24">
        <f t="shared" ca="1" si="154"/>
        <v>0</v>
      </c>
      <c r="U93" s="24">
        <f t="shared" ca="1" si="154"/>
        <v>0</v>
      </c>
      <c r="V93" s="24">
        <f t="shared" ca="1" si="154"/>
        <v>0</v>
      </c>
      <c r="W93" s="24">
        <f t="shared" ca="1" si="154"/>
        <v>0</v>
      </c>
      <c r="X93" s="24">
        <f t="shared" ca="1" si="154"/>
        <v>0</v>
      </c>
      <c r="Y93" s="24">
        <f t="shared" ca="1" si="154"/>
        <v>0</v>
      </c>
      <c r="Z93" s="24">
        <f t="shared" ca="1" si="154"/>
        <v>0</v>
      </c>
      <c r="AA93" s="24">
        <f t="shared" ca="1" si="154"/>
        <v>0</v>
      </c>
      <c r="AB93" s="24">
        <f t="shared" ca="1" si="154"/>
        <v>0</v>
      </c>
      <c r="AC93" s="24">
        <f t="shared" ca="1" si="154"/>
        <v>0</v>
      </c>
      <c r="AD93" s="24">
        <f t="shared" ca="1" si="154"/>
        <v>0</v>
      </c>
      <c r="AE93" s="24">
        <f t="shared" ca="1" si="154"/>
        <v>0</v>
      </c>
      <c r="AF93" s="24">
        <f t="shared" ca="1" si="154"/>
        <v>0</v>
      </c>
      <c r="AG93" s="24">
        <f t="shared" si="154"/>
        <v>0</v>
      </c>
      <c r="AH93" s="24">
        <f t="shared" si="154"/>
        <v>0</v>
      </c>
      <c r="AI93" s="24">
        <f t="shared" si="154"/>
        <v>0</v>
      </c>
      <c r="AJ93" s="24">
        <f t="shared" si="154"/>
        <v>0</v>
      </c>
      <c r="AK93" s="24">
        <f t="shared" si="154"/>
        <v>0</v>
      </c>
      <c r="AL93" s="24">
        <f t="shared" si="154"/>
        <v>0</v>
      </c>
      <c r="AM93" s="24">
        <f t="shared" si="154"/>
        <v>0</v>
      </c>
      <c r="AN93" s="24">
        <f t="shared" si="154"/>
        <v>0</v>
      </c>
      <c r="AO93" s="24">
        <f t="shared" si="154"/>
        <v>0</v>
      </c>
      <c r="AP93" s="24">
        <f t="shared" si="154"/>
        <v>0</v>
      </c>
      <c r="AQ93" s="24">
        <f t="shared" si="154"/>
        <v>0</v>
      </c>
      <c r="AR93" s="24">
        <f t="shared" si="154"/>
        <v>0</v>
      </c>
      <c r="AS93" s="24">
        <f t="shared" si="154"/>
        <v>0</v>
      </c>
      <c r="AT93" s="24">
        <f t="shared" si="154"/>
        <v>0</v>
      </c>
      <c r="AU93" s="24">
        <f t="shared" si="154"/>
        <v>0</v>
      </c>
      <c r="AV93" s="24">
        <f t="shared" si="154"/>
        <v>0</v>
      </c>
      <c r="AW93" s="24">
        <f t="shared" si="154"/>
        <v>0</v>
      </c>
      <c r="AX93" s="24">
        <f t="shared" si="154"/>
        <v>0</v>
      </c>
      <c r="AY93" s="24">
        <f t="shared" si="154"/>
        <v>0</v>
      </c>
      <c r="AZ93" s="24">
        <f t="shared" si="154"/>
        <v>0</v>
      </c>
      <c r="BA93" s="24">
        <f t="shared" si="154"/>
        <v>0</v>
      </c>
      <c r="BB93" s="24">
        <f t="shared" si="154"/>
        <v>0</v>
      </c>
      <c r="BC93" s="24">
        <f t="shared" si="154"/>
        <v>0</v>
      </c>
      <c r="BD93" s="24">
        <f t="shared" si="154"/>
        <v>0</v>
      </c>
      <c r="BE93" s="24">
        <f t="shared" si="154"/>
        <v>0</v>
      </c>
      <c r="BF93" s="24">
        <f t="shared" si="154"/>
        <v>0</v>
      </c>
      <c r="BG93" s="24">
        <f t="shared" si="154"/>
        <v>0</v>
      </c>
      <c r="BH93" s="24">
        <f t="shared" si="154"/>
        <v>0</v>
      </c>
      <c r="BI93" s="24">
        <f t="shared" si="154"/>
        <v>0</v>
      </c>
      <c r="BJ93" s="24">
        <f t="shared" si="154"/>
        <v>0</v>
      </c>
      <c r="BK93" s="24">
        <f t="shared" si="154"/>
        <v>0</v>
      </c>
      <c r="BL93" s="24">
        <f t="shared" si="154"/>
        <v>0</v>
      </c>
      <c r="BM93" s="24">
        <f t="shared" si="154"/>
        <v>0</v>
      </c>
      <c r="BN93" s="24">
        <f t="shared" si="154"/>
        <v>0</v>
      </c>
      <c r="BO93" s="24">
        <f t="shared" si="154"/>
        <v>0</v>
      </c>
      <c r="BP93" s="24">
        <f t="shared" si="154"/>
        <v>0</v>
      </c>
      <c r="BQ93" s="24">
        <f t="shared" si="154"/>
        <v>0</v>
      </c>
      <c r="BR93" s="24">
        <f t="shared" si="154"/>
        <v>0</v>
      </c>
      <c r="BS93" s="24">
        <f t="shared" si="154"/>
        <v>0</v>
      </c>
      <c r="BT93" s="24">
        <f t="shared" si="154"/>
        <v>0</v>
      </c>
      <c r="BU93" s="24">
        <f t="shared" si="154"/>
        <v>0</v>
      </c>
      <c r="BV93" s="24">
        <f t="shared" si="154"/>
        <v>0</v>
      </c>
      <c r="BW93" s="24">
        <f t="shared" si="154"/>
        <v>0</v>
      </c>
      <c r="BX93" s="24">
        <f t="shared" si="154"/>
        <v>0</v>
      </c>
      <c r="BY93" s="24">
        <f t="shared" ref="BY93:CO93" si="155">BY78+BY82+BY91</f>
        <v>0</v>
      </c>
      <c r="BZ93" s="24">
        <f t="shared" si="155"/>
        <v>0</v>
      </c>
      <c r="CA93" s="24">
        <f t="shared" si="155"/>
        <v>0</v>
      </c>
      <c r="CB93" s="24">
        <f t="shared" si="155"/>
        <v>0</v>
      </c>
      <c r="CC93" s="24">
        <f t="shared" si="155"/>
        <v>0</v>
      </c>
      <c r="CD93" s="24">
        <f t="shared" si="155"/>
        <v>0</v>
      </c>
      <c r="CE93" s="24">
        <f t="shared" si="155"/>
        <v>0</v>
      </c>
      <c r="CF93" s="24">
        <f t="shared" si="155"/>
        <v>0</v>
      </c>
      <c r="CG93" s="24">
        <f t="shared" si="155"/>
        <v>0</v>
      </c>
      <c r="CH93" s="24">
        <f t="shared" si="155"/>
        <v>0</v>
      </c>
      <c r="CI93" s="24">
        <f t="shared" si="155"/>
        <v>0</v>
      </c>
      <c r="CJ93" s="24">
        <f t="shared" si="155"/>
        <v>0</v>
      </c>
      <c r="CK93" s="24">
        <f t="shared" si="155"/>
        <v>0</v>
      </c>
      <c r="CL93" s="24">
        <f t="shared" si="155"/>
        <v>0</v>
      </c>
      <c r="CM93" s="24">
        <f t="shared" si="155"/>
        <v>0</v>
      </c>
      <c r="CN93" s="24">
        <f t="shared" si="155"/>
        <v>0</v>
      </c>
      <c r="CO93" s="24">
        <f t="shared" si="155"/>
        <v>0</v>
      </c>
    </row>
    <row r="94" spans="1:93" s="133" customFormat="1" ht="14.25">
      <c r="A94" s="10"/>
      <c r="B94" s="10"/>
      <c r="C94" s="10"/>
      <c r="D94" s="10"/>
      <c r="E94" s="10"/>
      <c r="F94" s="10"/>
      <c r="G94" s="11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</row>
    <row r="95" spans="1:93" s="133" customFormat="1" ht="14.25">
      <c r="A95" s="10"/>
      <c r="B95" s="10"/>
      <c r="C95" s="10" t="s">
        <v>491</v>
      </c>
      <c r="D95" s="10"/>
      <c r="E95" s="10"/>
      <c r="F95" s="10"/>
      <c r="G95" s="134" t="str">
        <f>Monetary_Unit</f>
        <v>тыс. руб.</v>
      </c>
      <c r="H95" s="10"/>
      <c r="I95" s="10"/>
      <c r="J95" s="10"/>
      <c r="K95" s="10"/>
      <c r="L95" s="52">
        <f t="shared" ref="L95:AC95" si="156">IF(L6&lt;&gt;"",K97,0)</f>
        <v>0</v>
      </c>
      <c r="M95" s="52">
        <f t="shared" ca="1" si="156"/>
        <v>0</v>
      </c>
      <c r="N95" s="52">
        <f t="shared" ca="1" si="156"/>
        <v>0</v>
      </c>
      <c r="O95" s="52">
        <f t="shared" ca="1" si="156"/>
        <v>0</v>
      </c>
      <c r="P95" s="52">
        <f t="shared" ca="1" si="156"/>
        <v>0</v>
      </c>
      <c r="Q95" s="52">
        <f t="shared" ca="1" si="156"/>
        <v>0</v>
      </c>
      <c r="R95" s="52">
        <f t="shared" ca="1" si="156"/>
        <v>0</v>
      </c>
      <c r="S95" s="52">
        <f t="shared" ca="1" si="156"/>
        <v>0</v>
      </c>
      <c r="T95" s="52">
        <f t="shared" ca="1" si="156"/>
        <v>0</v>
      </c>
      <c r="U95" s="52">
        <f t="shared" ca="1" si="156"/>
        <v>0</v>
      </c>
      <c r="V95" s="52">
        <f t="shared" ca="1" si="156"/>
        <v>0</v>
      </c>
      <c r="W95" s="52">
        <f t="shared" ca="1" si="156"/>
        <v>0</v>
      </c>
      <c r="X95" s="52">
        <f t="shared" ca="1" si="156"/>
        <v>0</v>
      </c>
      <c r="Y95" s="52">
        <f t="shared" ca="1" si="156"/>
        <v>0</v>
      </c>
      <c r="Z95" s="52">
        <f t="shared" ca="1" si="156"/>
        <v>0</v>
      </c>
      <c r="AA95" s="52">
        <f t="shared" ca="1" si="156"/>
        <v>0</v>
      </c>
      <c r="AB95" s="52">
        <f t="shared" ca="1" si="156"/>
        <v>0</v>
      </c>
      <c r="AC95" s="52">
        <f t="shared" ca="1" si="156"/>
        <v>0</v>
      </c>
      <c r="AD95" s="52">
        <f ca="1">IF(AD6&lt;&gt;"",AC97,0)</f>
        <v>0</v>
      </c>
      <c r="AE95" s="52">
        <f ca="1">IF(AE6&lt;&gt;"",AD97,0)</f>
        <v>0</v>
      </c>
      <c r="AF95" s="52">
        <f t="shared" ref="AF95:CO95" ca="1" si="157">IF(AF6&lt;&gt;"",AE97,0)</f>
        <v>0</v>
      </c>
      <c r="AG95" s="52">
        <f t="shared" ca="1" si="157"/>
        <v>0</v>
      </c>
      <c r="AH95" s="52">
        <f t="shared" ca="1" si="157"/>
        <v>0</v>
      </c>
      <c r="AI95" s="52">
        <f t="shared" ca="1" si="157"/>
        <v>0</v>
      </c>
      <c r="AJ95" s="52">
        <f t="shared" ca="1" si="157"/>
        <v>0</v>
      </c>
      <c r="AK95" s="52">
        <f t="shared" si="157"/>
        <v>0</v>
      </c>
      <c r="AL95" s="52">
        <f t="shared" si="157"/>
        <v>0</v>
      </c>
      <c r="AM95" s="52">
        <f t="shared" si="157"/>
        <v>0</v>
      </c>
      <c r="AN95" s="52">
        <f t="shared" si="157"/>
        <v>0</v>
      </c>
      <c r="AO95" s="52">
        <f t="shared" si="157"/>
        <v>0</v>
      </c>
      <c r="AP95" s="52">
        <f t="shared" si="157"/>
        <v>0</v>
      </c>
      <c r="AQ95" s="52">
        <f t="shared" si="157"/>
        <v>0</v>
      </c>
      <c r="AR95" s="52">
        <f t="shared" si="157"/>
        <v>0</v>
      </c>
      <c r="AS95" s="52">
        <f t="shared" si="157"/>
        <v>0</v>
      </c>
      <c r="AT95" s="52">
        <f t="shared" si="157"/>
        <v>0</v>
      </c>
      <c r="AU95" s="52">
        <f t="shared" si="157"/>
        <v>0</v>
      </c>
      <c r="AV95" s="52">
        <f t="shared" si="157"/>
        <v>0</v>
      </c>
      <c r="AW95" s="52">
        <f t="shared" si="157"/>
        <v>0</v>
      </c>
      <c r="AX95" s="52">
        <f t="shared" si="157"/>
        <v>0</v>
      </c>
      <c r="AY95" s="52">
        <f t="shared" si="157"/>
        <v>0</v>
      </c>
      <c r="AZ95" s="52">
        <f t="shared" si="157"/>
        <v>0</v>
      </c>
      <c r="BA95" s="52">
        <f t="shared" si="157"/>
        <v>0</v>
      </c>
      <c r="BB95" s="52">
        <f t="shared" si="157"/>
        <v>0</v>
      </c>
      <c r="BC95" s="52">
        <f t="shared" si="157"/>
        <v>0</v>
      </c>
      <c r="BD95" s="52">
        <f t="shared" si="157"/>
        <v>0</v>
      </c>
      <c r="BE95" s="52">
        <f t="shared" si="157"/>
        <v>0</v>
      </c>
      <c r="BF95" s="52">
        <f t="shared" si="157"/>
        <v>0</v>
      </c>
      <c r="BG95" s="52">
        <f t="shared" si="157"/>
        <v>0</v>
      </c>
      <c r="BH95" s="52">
        <f t="shared" si="157"/>
        <v>0</v>
      </c>
      <c r="BI95" s="52">
        <f t="shared" si="157"/>
        <v>0</v>
      </c>
      <c r="BJ95" s="52">
        <f t="shared" si="157"/>
        <v>0</v>
      </c>
      <c r="BK95" s="52">
        <f t="shared" si="157"/>
        <v>0</v>
      </c>
      <c r="BL95" s="52">
        <f t="shared" si="157"/>
        <v>0</v>
      </c>
      <c r="BM95" s="52">
        <f t="shared" si="157"/>
        <v>0</v>
      </c>
      <c r="BN95" s="52">
        <f t="shared" si="157"/>
        <v>0</v>
      </c>
      <c r="BO95" s="52">
        <f t="shared" si="157"/>
        <v>0</v>
      </c>
      <c r="BP95" s="52">
        <f t="shared" si="157"/>
        <v>0</v>
      </c>
      <c r="BQ95" s="52">
        <f t="shared" si="157"/>
        <v>0</v>
      </c>
      <c r="BR95" s="52">
        <f t="shared" si="157"/>
        <v>0</v>
      </c>
      <c r="BS95" s="52">
        <f t="shared" si="157"/>
        <v>0</v>
      </c>
      <c r="BT95" s="52">
        <f t="shared" si="157"/>
        <v>0</v>
      </c>
      <c r="BU95" s="52">
        <f t="shared" si="157"/>
        <v>0</v>
      </c>
      <c r="BV95" s="52">
        <f t="shared" si="157"/>
        <v>0</v>
      </c>
      <c r="BW95" s="52">
        <f t="shared" si="157"/>
        <v>0</v>
      </c>
      <c r="BX95" s="52">
        <f t="shared" si="157"/>
        <v>0</v>
      </c>
      <c r="BY95" s="52">
        <f t="shared" si="157"/>
        <v>0</v>
      </c>
      <c r="BZ95" s="52">
        <f t="shared" si="157"/>
        <v>0</v>
      </c>
      <c r="CA95" s="52">
        <f t="shared" si="157"/>
        <v>0</v>
      </c>
      <c r="CB95" s="52">
        <f t="shared" si="157"/>
        <v>0</v>
      </c>
      <c r="CC95" s="52">
        <f t="shared" si="157"/>
        <v>0</v>
      </c>
      <c r="CD95" s="52">
        <f t="shared" si="157"/>
        <v>0</v>
      </c>
      <c r="CE95" s="52">
        <f t="shared" si="157"/>
        <v>0</v>
      </c>
      <c r="CF95" s="52">
        <f t="shared" si="157"/>
        <v>0</v>
      </c>
      <c r="CG95" s="52">
        <f t="shared" si="157"/>
        <v>0</v>
      </c>
      <c r="CH95" s="52">
        <f t="shared" si="157"/>
        <v>0</v>
      </c>
      <c r="CI95" s="52">
        <f t="shared" si="157"/>
        <v>0</v>
      </c>
      <c r="CJ95" s="52">
        <f t="shared" si="157"/>
        <v>0</v>
      </c>
      <c r="CK95" s="52">
        <f t="shared" si="157"/>
        <v>0</v>
      </c>
      <c r="CL95" s="52">
        <f t="shared" si="157"/>
        <v>0</v>
      </c>
      <c r="CM95" s="52">
        <f t="shared" si="157"/>
        <v>0</v>
      </c>
      <c r="CN95" s="52">
        <f t="shared" si="157"/>
        <v>0</v>
      </c>
      <c r="CO95" s="52">
        <f t="shared" si="157"/>
        <v>0</v>
      </c>
    </row>
    <row r="96" spans="1:93" s="133" customFormat="1" ht="14.25">
      <c r="A96" s="10"/>
      <c r="B96" s="10"/>
      <c r="C96" s="10" t="s">
        <v>492</v>
      </c>
      <c r="D96" s="10"/>
      <c r="E96" s="10"/>
      <c r="F96" s="10"/>
      <c r="G96" s="134" t="str">
        <f>Monetary_Unit</f>
        <v>тыс. руб.</v>
      </c>
      <c r="H96" s="10"/>
      <c r="I96" s="10"/>
      <c r="J96" s="10"/>
      <c r="K96" s="10"/>
      <c r="L96" s="52">
        <f t="shared" ref="L96:BW96" ca="1" si="158">L93</f>
        <v>0</v>
      </c>
      <c r="M96" s="52">
        <f t="shared" ca="1" si="158"/>
        <v>0</v>
      </c>
      <c r="N96" s="52">
        <f t="shared" ca="1" si="158"/>
        <v>0</v>
      </c>
      <c r="O96" s="52">
        <f t="shared" ca="1" si="158"/>
        <v>0</v>
      </c>
      <c r="P96" s="52">
        <f t="shared" ca="1" si="158"/>
        <v>0</v>
      </c>
      <c r="Q96" s="52">
        <f t="shared" ca="1" si="158"/>
        <v>0</v>
      </c>
      <c r="R96" s="52">
        <f t="shared" ca="1" si="158"/>
        <v>0</v>
      </c>
      <c r="S96" s="52">
        <f t="shared" ca="1" si="158"/>
        <v>0</v>
      </c>
      <c r="T96" s="52">
        <f t="shared" ca="1" si="158"/>
        <v>0</v>
      </c>
      <c r="U96" s="52">
        <f t="shared" ca="1" si="158"/>
        <v>0</v>
      </c>
      <c r="V96" s="52">
        <f t="shared" ca="1" si="158"/>
        <v>0</v>
      </c>
      <c r="W96" s="52">
        <f t="shared" ca="1" si="158"/>
        <v>0</v>
      </c>
      <c r="X96" s="52">
        <f t="shared" ca="1" si="158"/>
        <v>0</v>
      </c>
      <c r="Y96" s="52">
        <f t="shared" ca="1" si="158"/>
        <v>0</v>
      </c>
      <c r="Z96" s="52">
        <f t="shared" ca="1" si="158"/>
        <v>0</v>
      </c>
      <c r="AA96" s="52">
        <f t="shared" ca="1" si="158"/>
        <v>0</v>
      </c>
      <c r="AB96" s="52">
        <f t="shared" ca="1" si="158"/>
        <v>0</v>
      </c>
      <c r="AC96" s="52">
        <f t="shared" ca="1" si="158"/>
        <v>0</v>
      </c>
      <c r="AD96" s="52">
        <f t="shared" ca="1" si="158"/>
        <v>0</v>
      </c>
      <c r="AE96" s="52">
        <f t="shared" ca="1" si="158"/>
        <v>0</v>
      </c>
      <c r="AF96" s="52">
        <f t="shared" ca="1" si="158"/>
        <v>0</v>
      </c>
      <c r="AG96" s="52">
        <f t="shared" si="158"/>
        <v>0</v>
      </c>
      <c r="AH96" s="52">
        <f t="shared" si="158"/>
        <v>0</v>
      </c>
      <c r="AI96" s="52">
        <f t="shared" si="158"/>
        <v>0</v>
      </c>
      <c r="AJ96" s="52">
        <f t="shared" si="158"/>
        <v>0</v>
      </c>
      <c r="AK96" s="52">
        <f t="shared" si="158"/>
        <v>0</v>
      </c>
      <c r="AL96" s="52">
        <f t="shared" si="158"/>
        <v>0</v>
      </c>
      <c r="AM96" s="52">
        <f t="shared" si="158"/>
        <v>0</v>
      </c>
      <c r="AN96" s="52">
        <f t="shared" si="158"/>
        <v>0</v>
      </c>
      <c r="AO96" s="52">
        <f t="shared" si="158"/>
        <v>0</v>
      </c>
      <c r="AP96" s="52">
        <f t="shared" si="158"/>
        <v>0</v>
      </c>
      <c r="AQ96" s="52">
        <f t="shared" si="158"/>
        <v>0</v>
      </c>
      <c r="AR96" s="52">
        <f t="shared" si="158"/>
        <v>0</v>
      </c>
      <c r="AS96" s="52">
        <f t="shared" si="158"/>
        <v>0</v>
      </c>
      <c r="AT96" s="52">
        <f t="shared" si="158"/>
        <v>0</v>
      </c>
      <c r="AU96" s="52">
        <f t="shared" si="158"/>
        <v>0</v>
      </c>
      <c r="AV96" s="52">
        <f t="shared" si="158"/>
        <v>0</v>
      </c>
      <c r="AW96" s="52">
        <f t="shared" si="158"/>
        <v>0</v>
      </c>
      <c r="AX96" s="52">
        <f t="shared" si="158"/>
        <v>0</v>
      </c>
      <c r="AY96" s="52">
        <f t="shared" si="158"/>
        <v>0</v>
      </c>
      <c r="AZ96" s="52">
        <f t="shared" si="158"/>
        <v>0</v>
      </c>
      <c r="BA96" s="52">
        <f t="shared" si="158"/>
        <v>0</v>
      </c>
      <c r="BB96" s="52">
        <f t="shared" si="158"/>
        <v>0</v>
      </c>
      <c r="BC96" s="52">
        <f t="shared" si="158"/>
        <v>0</v>
      </c>
      <c r="BD96" s="52">
        <f t="shared" si="158"/>
        <v>0</v>
      </c>
      <c r="BE96" s="52">
        <f t="shared" si="158"/>
        <v>0</v>
      </c>
      <c r="BF96" s="52">
        <f t="shared" si="158"/>
        <v>0</v>
      </c>
      <c r="BG96" s="52">
        <f t="shared" si="158"/>
        <v>0</v>
      </c>
      <c r="BH96" s="52">
        <f t="shared" si="158"/>
        <v>0</v>
      </c>
      <c r="BI96" s="52">
        <f t="shared" si="158"/>
        <v>0</v>
      </c>
      <c r="BJ96" s="52">
        <f t="shared" si="158"/>
        <v>0</v>
      </c>
      <c r="BK96" s="52">
        <f t="shared" si="158"/>
        <v>0</v>
      </c>
      <c r="BL96" s="52">
        <f t="shared" si="158"/>
        <v>0</v>
      </c>
      <c r="BM96" s="52">
        <f t="shared" si="158"/>
        <v>0</v>
      </c>
      <c r="BN96" s="52">
        <f t="shared" si="158"/>
        <v>0</v>
      </c>
      <c r="BO96" s="52">
        <f t="shared" si="158"/>
        <v>0</v>
      </c>
      <c r="BP96" s="52">
        <f t="shared" si="158"/>
        <v>0</v>
      </c>
      <c r="BQ96" s="52">
        <f t="shared" si="158"/>
        <v>0</v>
      </c>
      <c r="BR96" s="52">
        <f t="shared" si="158"/>
        <v>0</v>
      </c>
      <c r="BS96" s="52">
        <f t="shared" si="158"/>
        <v>0</v>
      </c>
      <c r="BT96" s="52">
        <f t="shared" si="158"/>
        <v>0</v>
      </c>
      <c r="BU96" s="52">
        <f t="shared" si="158"/>
        <v>0</v>
      </c>
      <c r="BV96" s="52">
        <f t="shared" si="158"/>
        <v>0</v>
      </c>
      <c r="BW96" s="52">
        <f t="shared" si="158"/>
        <v>0</v>
      </c>
      <c r="BX96" s="52">
        <f t="shared" ref="BX96:CO96" si="159">BX93</f>
        <v>0</v>
      </c>
      <c r="BY96" s="52">
        <f t="shared" si="159"/>
        <v>0</v>
      </c>
      <c r="BZ96" s="52">
        <f t="shared" si="159"/>
        <v>0</v>
      </c>
      <c r="CA96" s="52">
        <f t="shared" si="159"/>
        <v>0</v>
      </c>
      <c r="CB96" s="52">
        <f t="shared" si="159"/>
        <v>0</v>
      </c>
      <c r="CC96" s="52">
        <f t="shared" si="159"/>
        <v>0</v>
      </c>
      <c r="CD96" s="52">
        <f t="shared" si="159"/>
        <v>0</v>
      </c>
      <c r="CE96" s="52">
        <f t="shared" si="159"/>
        <v>0</v>
      </c>
      <c r="CF96" s="52">
        <f t="shared" si="159"/>
        <v>0</v>
      </c>
      <c r="CG96" s="52">
        <f t="shared" si="159"/>
        <v>0</v>
      </c>
      <c r="CH96" s="52">
        <f t="shared" si="159"/>
        <v>0</v>
      </c>
      <c r="CI96" s="52">
        <f t="shared" si="159"/>
        <v>0</v>
      </c>
      <c r="CJ96" s="52">
        <f t="shared" si="159"/>
        <v>0</v>
      </c>
      <c r="CK96" s="52">
        <f t="shared" si="159"/>
        <v>0</v>
      </c>
      <c r="CL96" s="52">
        <f t="shared" si="159"/>
        <v>0</v>
      </c>
      <c r="CM96" s="52">
        <f t="shared" si="159"/>
        <v>0</v>
      </c>
      <c r="CN96" s="52">
        <f t="shared" si="159"/>
        <v>0</v>
      </c>
      <c r="CO96" s="52">
        <f t="shared" si="159"/>
        <v>0</v>
      </c>
    </row>
    <row r="97" spans="1:93" s="133" customFormat="1" ht="14.25">
      <c r="A97" s="10"/>
      <c r="B97" s="10"/>
      <c r="C97" s="10" t="s">
        <v>493</v>
      </c>
      <c r="D97" s="10"/>
      <c r="E97" s="10"/>
      <c r="F97" s="10"/>
      <c r="G97" s="134" t="str">
        <f>Monetary_Unit</f>
        <v>тыс. руб.</v>
      </c>
      <c r="H97" s="10"/>
      <c r="I97" s="10"/>
      <c r="J97" s="10"/>
      <c r="K97" s="10"/>
      <c r="L97" s="52">
        <f ca="1">IF(ABS(SUM(L95:L96))&lt;Accuracy,0,SUM(L95:L96))</f>
        <v>0</v>
      </c>
      <c r="M97" s="52">
        <f t="shared" ref="M97:BX97" ca="1" si="160">IF(ABS(SUM(M95:M96))&lt;Accuracy,0,SUM(M95:M96))</f>
        <v>0</v>
      </c>
      <c r="N97" s="52">
        <f t="shared" ca="1" si="160"/>
        <v>0</v>
      </c>
      <c r="O97" s="52">
        <f t="shared" ca="1" si="160"/>
        <v>0</v>
      </c>
      <c r="P97" s="52">
        <f t="shared" ca="1" si="160"/>
        <v>0</v>
      </c>
      <c r="Q97" s="52">
        <f t="shared" ca="1" si="160"/>
        <v>0</v>
      </c>
      <c r="R97" s="52">
        <f t="shared" ca="1" si="160"/>
        <v>0</v>
      </c>
      <c r="S97" s="52">
        <f t="shared" ca="1" si="160"/>
        <v>0</v>
      </c>
      <c r="T97" s="52">
        <f t="shared" ca="1" si="160"/>
        <v>0</v>
      </c>
      <c r="U97" s="52">
        <f t="shared" ca="1" si="160"/>
        <v>0</v>
      </c>
      <c r="V97" s="52">
        <f t="shared" ca="1" si="160"/>
        <v>0</v>
      </c>
      <c r="W97" s="52">
        <f t="shared" ca="1" si="160"/>
        <v>0</v>
      </c>
      <c r="X97" s="52">
        <f t="shared" ca="1" si="160"/>
        <v>0</v>
      </c>
      <c r="Y97" s="52">
        <f t="shared" ca="1" si="160"/>
        <v>0</v>
      </c>
      <c r="Z97" s="52">
        <f t="shared" ca="1" si="160"/>
        <v>0</v>
      </c>
      <c r="AA97" s="52">
        <f t="shared" ca="1" si="160"/>
        <v>0</v>
      </c>
      <c r="AB97" s="52">
        <f t="shared" ca="1" si="160"/>
        <v>0</v>
      </c>
      <c r="AC97" s="52">
        <f t="shared" ca="1" si="160"/>
        <v>0</v>
      </c>
      <c r="AD97" s="52">
        <f t="shared" ca="1" si="160"/>
        <v>0</v>
      </c>
      <c r="AE97" s="52">
        <f t="shared" ca="1" si="160"/>
        <v>0</v>
      </c>
      <c r="AF97" s="52">
        <f t="shared" ca="1" si="160"/>
        <v>0</v>
      </c>
      <c r="AG97" s="52">
        <f t="shared" ca="1" si="160"/>
        <v>0</v>
      </c>
      <c r="AH97" s="52">
        <f t="shared" ca="1" si="160"/>
        <v>0</v>
      </c>
      <c r="AI97" s="52">
        <f t="shared" ca="1" si="160"/>
        <v>0</v>
      </c>
      <c r="AJ97" s="52">
        <f t="shared" ca="1" si="160"/>
        <v>0</v>
      </c>
      <c r="AK97" s="52">
        <f t="shared" si="160"/>
        <v>0</v>
      </c>
      <c r="AL97" s="52">
        <f t="shared" si="160"/>
        <v>0</v>
      </c>
      <c r="AM97" s="52">
        <f t="shared" si="160"/>
        <v>0</v>
      </c>
      <c r="AN97" s="52">
        <f t="shared" si="160"/>
        <v>0</v>
      </c>
      <c r="AO97" s="52">
        <f t="shared" si="160"/>
        <v>0</v>
      </c>
      <c r="AP97" s="52">
        <f t="shared" si="160"/>
        <v>0</v>
      </c>
      <c r="AQ97" s="52">
        <f t="shared" si="160"/>
        <v>0</v>
      </c>
      <c r="AR97" s="52">
        <f t="shared" si="160"/>
        <v>0</v>
      </c>
      <c r="AS97" s="52">
        <f t="shared" si="160"/>
        <v>0</v>
      </c>
      <c r="AT97" s="52">
        <f t="shared" si="160"/>
        <v>0</v>
      </c>
      <c r="AU97" s="52">
        <f t="shared" si="160"/>
        <v>0</v>
      </c>
      <c r="AV97" s="52">
        <f t="shared" si="160"/>
        <v>0</v>
      </c>
      <c r="AW97" s="52">
        <f t="shared" si="160"/>
        <v>0</v>
      </c>
      <c r="AX97" s="52">
        <f t="shared" si="160"/>
        <v>0</v>
      </c>
      <c r="AY97" s="52">
        <f t="shared" si="160"/>
        <v>0</v>
      </c>
      <c r="AZ97" s="52">
        <f t="shared" si="160"/>
        <v>0</v>
      </c>
      <c r="BA97" s="52">
        <f t="shared" si="160"/>
        <v>0</v>
      </c>
      <c r="BB97" s="52">
        <f t="shared" si="160"/>
        <v>0</v>
      </c>
      <c r="BC97" s="52">
        <f t="shared" si="160"/>
        <v>0</v>
      </c>
      <c r="BD97" s="52">
        <f t="shared" si="160"/>
        <v>0</v>
      </c>
      <c r="BE97" s="52">
        <f t="shared" si="160"/>
        <v>0</v>
      </c>
      <c r="BF97" s="52">
        <f t="shared" si="160"/>
        <v>0</v>
      </c>
      <c r="BG97" s="52">
        <f t="shared" si="160"/>
        <v>0</v>
      </c>
      <c r="BH97" s="52">
        <f t="shared" si="160"/>
        <v>0</v>
      </c>
      <c r="BI97" s="52">
        <f t="shared" si="160"/>
        <v>0</v>
      </c>
      <c r="BJ97" s="52">
        <f t="shared" si="160"/>
        <v>0</v>
      </c>
      <c r="BK97" s="52">
        <f t="shared" si="160"/>
        <v>0</v>
      </c>
      <c r="BL97" s="52">
        <f t="shared" si="160"/>
        <v>0</v>
      </c>
      <c r="BM97" s="52">
        <f t="shared" si="160"/>
        <v>0</v>
      </c>
      <c r="BN97" s="52">
        <f t="shared" si="160"/>
        <v>0</v>
      </c>
      <c r="BO97" s="52">
        <f t="shared" si="160"/>
        <v>0</v>
      </c>
      <c r="BP97" s="52">
        <f t="shared" si="160"/>
        <v>0</v>
      </c>
      <c r="BQ97" s="52">
        <f t="shared" si="160"/>
        <v>0</v>
      </c>
      <c r="BR97" s="52">
        <f t="shared" si="160"/>
        <v>0</v>
      </c>
      <c r="BS97" s="52">
        <f t="shared" si="160"/>
        <v>0</v>
      </c>
      <c r="BT97" s="52">
        <f t="shared" si="160"/>
        <v>0</v>
      </c>
      <c r="BU97" s="52">
        <f t="shared" si="160"/>
        <v>0</v>
      </c>
      <c r="BV97" s="52">
        <f t="shared" si="160"/>
        <v>0</v>
      </c>
      <c r="BW97" s="52">
        <f t="shared" si="160"/>
        <v>0</v>
      </c>
      <c r="BX97" s="52">
        <f t="shared" si="160"/>
        <v>0</v>
      </c>
      <c r="BY97" s="52">
        <f t="shared" ref="BY97:CO97" si="161">IF(ABS(SUM(BY95:BY96))&lt;Accuracy,0,SUM(BY95:BY96))</f>
        <v>0</v>
      </c>
      <c r="BZ97" s="52">
        <f t="shared" si="161"/>
        <v>0</v>
      </c>
      <c r="CA97" s="52">
        <f t="shared" si="161"/>
        <v>0</v>
      </c>
      <c r="CB97" s="52">
        <f t="shared" si="161"/>
        <v>0</v>
      </c>
      <c r="CC97" s="52">
        <f t="shared" si="161"/>
        <v>0</v>
      </c>
      <c r="CD97" s="52">
        <f t="shared" si="161"/>
        <v>0</v>
      </c>
      <c r="CE97" s="52">
        <f t="shared" si="161"/>
        <v>0</v>
      </c>
      <c r="CF97" s="52">
        <f t="shared" si="161"/>
        <v>0</v>
      </c>
      <c r="CG97" s="52">
        <f t="shared" si="161"/>
        <v>0</v>
      </c>
      <c r="CH97" s="52">
        <f t="shared" si="161"/>
        <v>0</v>
      </c>
      <c r="CI97" s="52">
        <f t="shared" si="161"/>
        <v>0</v>
      </c>
      <c r="CJ97" s="52">
        <f t="shared" si="161"/>
        <v>0</v>
      </c>
      <c r="CK97" s="52">
        <f t="shared" si="161"/>
        <v>0</v>
      </c>
      <c r="CL97" s="52">
        <f t="shared" si="161"/>
        <v>0</v>
      </c>
      <c r="CM97" s="52">
        <f t="shared" si="161"/>
        <v>0</v>
      </c>
      <c r="CN97" s="52">
        <f t="shared" si="161"/>
        <v>0</v>
      </c>
      <c r="CO97" s="52">
        <f t="shared" si="161"/>
        <v>0</v>
      </c>
    </row>
    <row r="98" spans="1:93" s="141" customFormat="1" ht="12.75">
      <c r="A98" s="10"/>
      <c r="B98" s="10"/>
      <c r="C98" s="10"/>
      <c r="D98" s="10"/>
      <c r="E98" s="10"/>
      <c r="F98" s="10"/>
      <c r="G98" s="1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</row>
    <row r="99" spans="1:93" s="46" customFormat="1" ht="12.75">
      <c r="C99" s="46" t="s">
        <v>326</v>
      </c>
      <c r="G99" s="89" t="str">
        <f>Monetary_Unit</f>
        <v>тыс. руб.</v>
      </c>
      <c r="I99" s="46">
        <f ca="1">SUM(L99:CQ99)</f>
        <v>0</v>
      </c>
      <c r="L99" s="46">
        <f t="shared" ref="L99:BW99" ca="1" si="162">(L97-L21)*(ABS((L97-L21)&gt;Accuracy))</f>
        <v>0</v>
      </c>
      <c r="M99" s="46">
        <f t="shared" ca="1" si="162"/>
        <v>0</v>
      </c>
      <c r="N99" s="46">
        <f t="shared" ca="1" si="162"/>
        <v>0</v>
      </c>
      <c r="O99" s="46">
        <f t="shared" ca="1" si="162"/>
        <v>0</v>
      </c>
      <c r="P99" s="46">
        <f t="shared" ca="1" si="162"/>
        <v>0</v>
      </c>
      <c r="Q99" s="46">
        <f t="shared" ca="1" si="162"/>
        <v>0</v>
      </c>
      <c r="R99" s="46">
        <f t="shared" ca="1" si="162"/>
        <v>0</v>
      </c>
      <c r="S99" s="46">
        <f t="shared" ca="1" si="162"/>
        <v>0</v>
      </c>
      <c r="T99" s="46">
        <f t="shared" ca="1" si="162"/>
        <v>0</v>
      </c>
      <c r="U99" s="46">
        <f t="shared" ca="1" si="162"/>
        <v>0</v>
      </c>
      <c r="V99" s="46">
        <f t="shared" ca="1" si="162"/>
        <v>0</v>
      </c>
      <c r="W99" s="46">
        <f t="shared" ca="1" si="162"/>
        <v>0</v>
      </c>
      <c r="X99" s="46">
        <f t="shared" ca="1" si="162"/>
        <v>0</v>
      </c>
      <c r="Y99" s="46">
        <f t="shared" ca="1" si="162"/>
        <v>0</v>
      </c>
      <c r="Z99" s="46">
        <f t="shared" ca="1" si="162"/>
        <v>0</v>
      </c>
      <c r="AA99" s="46">
        <f t="shared" ca="1" si="162"/>
        <v>0</v>
      </c>
      <c r="AB99" s="46">
        <f t="shared" ca="1" si="162"/>
        <v>0</v>
      </c>
      <c r="AC99" s="46">
        <f t="shared" ca="1" si="162"/>
        <v>0</v>
      </c>
      <c r="AD99" s="46">
        <f t="shared" ca="1" si="162"/>
        <v>0</v>
      </c>
      <c r="AE99" s="46">
        <f t="shared" ca="1" si="162"/>
        <v>0</v>
      </c>
      <c r="AF99" s="46">
        <f t="shared" ca="1" si="162"/>
        <v>0</v>
      </c>
      <c r="AG99" s="46">
        <f t="shared" ca="1" si="162"/>
        <v>0</v>
      </c>
      <c r="AH99" s="46">
        <f t="shared" ca="1" si="162"/>
        <v>0</v>
      </c>
      <c r="AI99" s="46">
        <f t="shared" ca="1" si="162"/>
        <v>0</v>
      </c>
      <c r="AJ99" s="46">
        <f t="shared" ca="1" si="162"/>
        <v>0</v>
      </c>
      <c r="AK99" s="46">
        <f t="shared" si="162"/>
        <v>0</v>
      </c>
      <c r="AL99" s="46">
        <f t="shared" si="162"/>
        <v>0</v>
      </c>
      <c r="AM99" s="46">
        <f t="shared" si="162"/>
        <v>0</v>
      </c>
      <c r="AN99" s="46">
        <f t="shared" si="162"/>
        <v>0</v>
      </c>
      <c r="AO99" s="46">
        <f t="shared" si="162"/>
        <v>0</v>
      </c>
      <c r="AP99" s="46">
        <f t="shared" si="162"/>
        <v>0</v>
      </c>
      <c r="AQ99" s="46">
        <f t="shared" si="162"/>
        <v>0</v>
      </c>
      <c r="AR99" s="46">
        <f t="shared" si="162"/>
        <v>0</v>
      </c>
      <c r="AS99" s="46">
        <f t="shared" si="162"/>
        <v>0</v>
      </c>
      <c r="AT99" s="46">
        <f t="shared" si="162"/>
        <v>0</v>
      </c>
      <c r="AU99" s="46">
        <f t="shared" si="162"/>
        <v>0</v>
      </c>
      <c r="AV99" s="46">
        <f t="shared" si="162"/>
        <v>0</v>
      </c>
      <c r="AW99" s="46">
        <f t="shared" si="162"/>
        <v>0</v>
      </c>
      <c r="AX99" s="46">
        <f t="shared" si="162"/>
        <v>0</v>
      </c>
      <c r="AY99" s="46">
        <f t="shared" si="162"/>
        <v>0</v>
      </c>
      <c r="AZ99" s="46">
        <f t="shared" si="162"/>
        <v>0</v>
      </c>
      <c r="BA99" s="46">
        <f t="shared" si="162"/>
        <v>0</v>
      </c>
      <c r="BB99" s="46">
        <f t="shared" si="162"/>
        <v>0</v>
      </c>
      <c r="BC99" s="46">
        <f t="shared" si="162"/>
        <v>0</v>
      </c>
      <c r="BD99" s="46">
        <f t="shared" si="162"/>
        <v>0</v>
      </c>
      <c r="BE99" s="46">
        <f t="shared" si="162"/>
        <v>0</v>
      </c>
      <c r="BF99" s="46">
        <f t="shared" si="162"/>
        <v>0</v>
      </c>
      <c r="BG99" s="46">
        <f t="shared" si="162"/>
        <v>0</v>
      </c>
      <c r="BH99" s="46">
        <f t="shared" si="162"/>
        <v>0</v>
      </c>
      <c r="BI99" s="46">
        <f t="shared" si="162"/>
        <v>0</v>
      </c>
      <c r="BJ99" s="46">
        <f t="shared" si="162"/>
        <v>0</v>
      </c>
      <c r="BK99" s="46">
        <f t="shared" si="162"/>
        <v>0</v>
      </c>
      <c r="BL99" s="46">
        <f t="shared" si="162"/>
        <v>0</v>
      </c>
      <c r="BM99" s="46">
        <f t="shared" si="162"/>
        <v>0</v>
      </c>
      <c r="BN99" s="46">
        <f t="shared" si="162"/>
        <v>0</v>
      </c>
      <c r="BO99" s="46">
        <f t="shared" si="162"/>
        <v>0</v>
      </c>
      <c r="BP99" s="46">
        <f t="shared" si="162"/>
        <v>0</v>
      </c>
      <c r="BQ99" s="46">
        <f t="shared" si="162"/>
        <v>0</v>
      </c>
      <c r="BR99" s="46">
        <f t="shared" si="162"/>
        <v>0</v>
      </c>
      <c r="BS99" s="46">
        <f t="shared" si="162"/>
        <v>0</v>
      </c>
      <c r="BT99" s="46">
        <f t="shared" si="162"/>
        <v>0</v>
      </c>
      <c r="BU99" s="46">
        <f t="shared" si="162"/>
        <v>0</v>
      </c>
      <c r="BV99" s="46">
        <f t="shared" si="162"/>
        <v>0</v>
      </c>
      <c r="BW99" s="46">
        <f t="shared" si="162"/>
        <v>0</v>
      </c>
      <c r="BX99" s="46">
        <f t="shared" ref="BX99:CO99" si="163">(BX97-BX21)*(ABS((BX97-BX21)&gt;Accuracy))</f>
        <v>0</v>
      </c>
      <c r="BY99" s="46">
        <f t="shared" si="163"/>
        <v>0</v>
      </c>
      <c r="BZ99" s="46">
        <f t="shared" si="163"/>
        <v>0</v>
      </c>
      <c r="CA99" s="46">
        <f t="shared" si="163"/>
        <v>0</v>
      </c>
      <c r="CB99" s="46">
        <f t="shared" si="163"/>
        <v>0</v>
      </c>
      <c r="CC99" s="46">
        <f t="shared" si="163"/>
        <v>0</v>
      </c>
      <c r="CD99" s="46">
        <f t="shared" si="163"/>
        <v>0</v>
      </c>
      <c r="CE99" s="46">
        <f t="shared" si="163"/>
        <v>0</v>
      </c>
      <c r="CF99" s="46">
        <f t="shared" si="163"/>
        <v>0</v>
      </c>
      <c r="CG99" s="46">
        <f t="shared" si="163"/>
        <v>0</v>
      </c>
      <c r="CH99" s="46">
        <f t="shared" si="163"/>
        <v>0</v>
      </c>
      <c r="CI99" s="46">
        <f t="shared" si="163"/>
        <v>0</v>
      </c>
      <c r="CJ99" s="46">
        <f t="shared" si="163"/>
        <v>0</v>
      </c>
      <c r="CK99" s="46">
        <f t="shared" si="163"/>
        <v>0</v>
      </c>
      <c r="CL99" s="46">
        <f t="shared" si="163"/>
        <v>0</v>
      </c>
      <c r="CM99" s="46">
        <f t="shared" si="163"/>
        <v>0</v>
      </c>
      <c r="CN99" s="46">
        <f t="shared" si="163"/>
        <v>0</v>
      </c>
      <c r="CO99" s="46">
        <f t="shared" si="163"/>
        <v>0</v>
      </c>
    </row>
    <row r="100" spans="1:93" s="46" customFormat="1" ht="12.75">
      <c r="C100" s="46" t="s">
        <v>327</v>
      </c>
      <c r="G100" s="89" t="str">
        <f>Monetary_Unit</f>
        <v>тыс. руб.</v>
      </c>
      <c r="I100" s="46">
        <f ca="1">SUM(L100:CQ100)</f>
        <v>0</v>
      </c>
      <c r="L100" s="46">
        <f t="shared" ref="L100:BW100" ca="1" si="164">IF(ABS(Cash_EoP)&lt;Accuracy,0,Cash_EoP&lt;0)*1</f>
        <v>0</v>
      </c>
      <c r="M100" s="46">
        <f t="shared" ca="1" si="164"/>
        <v>0</v>
      </c>
      <c r="N100" s="46">
        <f t="shared" ca="1" si="164"/>
        <v>0</v>
      </c>
      <c r="O100" s="46">
        <f t="shared" ca="1" si="164"/>
        <v>0</v>
      </c>
      <c r="P100" s="46">
        <f t="shared" ca="1" si="164"/>
        <v>0</v>
      </c>
      <c r="Q100" s="46">
        <f t="shared" ca="1" si="164"/>
        <v>0</v>
      </c>
      <c r="R100" s="46">
        <f t="shared" ca="1" si="164"/>
        <v>0</v>
      </c>
      <c r="S100" s="46">
        <f t="shared" ca="1" si="164"/>
        <v>0</v>
      </c>
      <c r="T100" s="46">
        <f t="shared" ca="1" si="164"/>
        <v>0</v>
      </c>
      <c r="U100" s="46">
        <f t="shared" ca="1" si="164"/>
        <v>0</v>
      </c>
      <c r="V100" s="46">
        <f t="shared" ca="1" si="164"/>
        <v>0</v>
      </c>
      <c r="W100" s="46">
        <f t="shared" ca="1" si="164"/>
        <v>0</v>
      </c>
      <c r="X100" s="46">
        <f t="shared" ca="1" si="164"/>
        <v>0</v>
      </c>
      <c r="Y100" s="46">
        <f t="shared" ca="1" si="164"/>
        <v>0</v>
      </c>
      <c r="Z100" s="46">
        <f t="shared" ca="1" si="164"/>
        <v>0</v>
      </c>
      <c r="AA100" s="46">
        <f t="shared" ca="1" si="164"/>
        <v>0</v>
      </c>
      <c r="AB100" s="46">
        <f t="shared" ca="1" si="164"/>
        <v>0</v>
      </c>
      <c r="AC100" s="46">
        <f t="shared" ca="1" si="164"/>
        <v>0</v>
      </c>
      <c r="AD100" s="46">
        <f t="shared" ca="1" si="164"/>
        <v>0</v>
      </c>
      <c r="AE100" s="46">
        <f t="shared" ca="1" si="164"/>
        <v>0</v>
      </c>
      <c r="AF100" s="46">
        <f t="shared" ca="1" si="164"/>
        <v>0</v>
      </c>
      <c r="AG100" s="46">
        <f t="shared" ca="1" si="164"/>
        <v>0</v>
      </c>
      <c r="AH100" s="46">
        <f t="shared" ca="1" si="164"/>
        <v>0</v>
      </c>
      <c r="AI100" s="46">
        <f t="shared" ca="1" si="164"/>
        <v>0</v>
      </c>
      <c r="AJ100" s="46">
        <f t="shared" ca="1" si="164"/>
        <v>0</v>
      </c>
      <c r="AK100" s="46">
        <f t="shared" ca="1" si="164"/>
        <v>0</v>
      </c>
      <c r="AL100" s="46">
        <f t="shared" ca="1" si="164"/>
        <v>0</v>
      </c>
      <c r="AM100" s="46">
        <f t="shared" ca="1" si="164"/>
        <v>0</v>
      </c>
      <c r="AN100" s="46">
        <f t="shared" ca="1" si="164"/>
        <v>0</v>
      </c>
      <c r="AO100" s="46">
        <f t="shared" ca="1" si="164"/>
        <v>0</v>
      </c>
      <c r="AP100" s="46">
        <f t="shared" ca="1" si="164"/>
        <v>0</v>
      </c>
      <c r="AQ100" s="46">
        <f t="shared" ca="1" si="164"/>
        <v>0</v>
      </c>
      <c r="AR100" s="46">
        <f t="shared" ca="1" si="164"/>
        <v>0</v>
      </c>
      <c r="AS100" s="46">
        <f t="shared" ca="1" si="164"/>
        <v>0</v>
      </c>
      <c r="AT100" s="46">
        <f t="shared" ca="1" si="164"/>
        <v>0</v>
      </c>
      <c r="AU100" s="46">
        <f t="shared" ca="1" si="164"/>
        <v>0</v>
      </c>
      <c r="AV100" s="46">
        <f t="shared" ca="1" si="164"/>
        <v>0</v>
      </c>
      <c r="AW100" s="46">
        <f t="shared" ca="1" si="164"/>
        <v>0</v>
      </c>
      <c r="AX100" s="46">
        <f t="shared" ca="1" si="164"/>
        <v>0</v>
      </c>
      <c r="AY100" s="46">
        <f t="shared" ca="1" si="164"/>
        <v>0</v>
      </c>
      <c r="AZ100" s="46">
        <f t="shared" ca="1" si="164"/>
        <v>0</v>
      </c>
      <c r="BA100" s="46">
        <f t="shared" ca="1" si="164"/>
        <v>0</v>
      </c>
      <c r="BB100" s="46">
        <f t="shared" ca="1" si="164"/>
        <v>0</v>
      </c>
      <c r="BC100" s="46">
        <f t="shared" ca="1" si="164"/>
        <v>0</v>
      </c>
      <c r="BD100" s="46">
        <f t="shared" ca="1" si="164"/>
        <v>0</v>
      </c>
      <c r="BE100" s="46">
        <f t="shared" ca="1" si="164"/>
        <v>0</v>
      </c>
      <c r="BF100" s="46">
        <f t="shared" ca="1" si="164"/>
        <v>0</v>
      </c>
      <c r="BG100" s="46">
        <f t="shared" ca="1" si="164"/>
        <v>0</v>
      </c>
      <c r="BH100" s="46">
        <f t="shared" ca="1" si="164"/>
        <v>0</v>
      </c>
      <c r="BI100" s="46">
        <f t="shared" ca="1" si="164"/>
        <v>0</v>
      </c>
      <c r="BJ100" s="46">
        <f t="shared" ca="1" si="164"/>
        <v>0</v>
      </c>
      <c r="BK100" s="46">
        <f t="shared" ca="1" si="164"/>
        <v>0</v>
      </c>
      <c r="BL100" s="46">
        <f t="shared" ca="1" si="164"/>
        <v>0</v>
      </c>
      <c r="BM100" s="46">
        <f t="shared" ca="1" si="164"/>
        <v>0</v>
      </c>
      <c r="BN100" s="46">
        <f t="shared" ca="1" si="164"/>
        <v>0</v>
      </c>
      <c r="BO100" s="46">
        <f t="shared" ca="1" si="164"/>
        <v>0</v>
      </c>
      <c r="BP100" s="46">
        <f t="shared" ca="1" si="164"/>
        <v>0</v>
      </c>
      <c r="BQ100" s="46">
        <f t="shared" ca="1" si="164"/>
        <v>0</v>
      </c>
      <c r="BR100" s="46">
        <f t="shared" ca="1" si="164"/>
        <v>0</v>
      </c>
      <c r="BS100" s="46">
        <f t="shared" ca="1" si="164"/>
        <v>0</v>
      </c>
      <c r="BT100" s="46">
        <f t="shared" ca="1" si="164"/>
        <v>0</v>
      </c>
      <c r="BU100" s="46">
        <f t="shared" ca="1" si="164"/>
        <v>0</v>
      </c>
      <c r="BV100" s="46">
        <f t="shared" ca="1" si="164"/>
        <v>0</v>
      </c>
      <c r="BW100" s="46">
        <f t="shared" ca="1" si="164"/>
        <v>0</v>
      </c>
      <c r="BX100" s="46">
        <f t="shared" ref="BX100:CO100" ca="1" si="165">IF(ABS(Cash_EoP)&lt;Accuracy,0,Cash_EoP&lt;0)*1</f>
        <v>0</v>
      </c>
      <c r="BY100" s="46">
        <f t="shared" ca="1" si="165"/>
        <v>0</v>
      </c>
      <c r="BZ100" s="46">
        <f t="shared" ca="1" si="165"/>
        <v>0</v>
      </c>
      <c r="CA100" s="46">
        <f t="shared" ca="1" si="165"/>
        <v>0</v>
      </c>
      <c r="CB100" s="46">
        <f t="shared" ca="1" si="165"/>
        <v>0</v>
      </c>
      <c r="CC100" s="46">
        <f t="shared" ca="1" si="165"/>
        <v>0</v>
      </c>
      <c r="CD100" s="46">
        <f t="shared" ca="1" si="165"/>
        <v>0</v>
      </c>
      <c r="CE100" s="46">
        <f t="shared" ca="1" si="165"/>
        <v>0</v>
      </c>
      <c r="CF100" s="46">
        <f t="shared" ca="1" si="165"/>
        <v>0</v>
      </c>
      <c r="CG100" s="46">
        <f t="shared" ca="1" si="165"/>
        <v>0</v>
      </c>
      <c r="CH100" s="46">
        <f t="shared" ca="1" si="165"/>
        <v>0</v>
      </c>
      <c r="CI100" s="46">
        <f t="shared" ca="1" si="165"/>
        <v>0</v>
      </c>
      <c r="CJ100" s="46">
        <f t="shared" ca="1" si="165"/>
        <v>0</v>
      </c>
      <c r="CK100" s="46">
        <f t="shared" ca="1" si="165"/>
        <v>0</v>
      </c>
      <c r="CL100" s="46">
        <f t="shared" ca="1" si="165"/>
        <v>0</v>
      </c>
      <c r="CM100" s="46">
        <f t="shared" ca="1" si="165"/>
        <v>0</v>
      </c>
      <c r="CN100" s="46">
        <f t="shared" ca="1" si="165"/>
        <v>0</v>
      </c>
      <c r="CO100" s="46">
        <f t="shared" ca="1" si="165"/>
        <v>0</v>
      </c>
    </row>
    <row r="101" spans="1:93" s="46" customFormat="1" ht="12.75">
      <c r="C101" s="46" t="s">
        <v>328</v>
      </c>
      <c r="G101" s="89" t="str">
        <f>Monetary_Unit</f>
        <v>тыс. руб.</v>
      </c>
      <c r="I101" s="46">
        <f ca="1">SUM(L101:CQ101)</f>
        <v>0</v>
      </c>
      <c r="L101" s="46">
        <f ca="1">(Cash_EoP-Расчеты!L1234)*(ABS((Cash_EoP-Расчеты!L1234)&gt;Accuracy))</f>
        <v>0</v>
      </c>
      <c r="M101" s="46">
        <f ca="1">(Cash_EoP-Расчеты!M1234)*(ABS((Cash_EoP-Расчеты!M1234)&gt;Accuracy))</f>
        <v>0</v>
      </c>
      <c r="N101" s="46">
        <f ca="1">(Cash_EoP-Расчеты!N1234)*(ABS((Cash_EoP-Расчеты!N1234)&gt;Accuracy))</f>
        <v>0</v>
      </c>
      <c r="O101" s="46">
        <f ca="1">(Cash_EoP-Расчеты!O1234)*(ABS((Cash_EoP-Расчеты!O1234)&gt;Accuracy))</f>
        <v>0</v>
      </c>
      <c r="P101" s="46">
        <f ca="1">(Cash_EoP-Расчеты!P1234)*(ABS((Cash_EoP-Расчеты!P1234)&gt;Accuracy))</f>
        <v>0</v>
      </c>
      <c r="Q101" s="46">
        <f ca="1">(Cash_EoP-Расчеты!Q1234)*(ABS((Cash_EoP-Расчеты!Q1234)&gt;Accuracy))</f>
        <v>0</v>
      </c>
      <c r="R101" s="46">
        <f ca="1">(Cash_EoP-Расчеты!R1234)*(ABS((Cash_EoP-Расчеты!R1234)&gt;Accuracy))</f>
        <v>0</v>
      </c>
      <c r="S101" s="46">
        <f ca="1">(Cash_EoP-Расчеты!S1234)*(ABS((Cash_EoP-Расчеты!S1234)&gt;Accuracy))</f>
        <v>0</v>
      </c>
      <c r="T101" s="46">
        <f ca="1">(Cash_EoP-Расчеты!T1234)*(ABS((Cash_EoP-Расчеты!T1234)&gt;Accuracy))</f>
        <v>0</v>
      </c>
      <c r="U101" s="46">
        <f ca="1">(Cash_EoP-Расчеты!U1234)*(ABS((Cash_EoP-Расчеты!U1234)&gt;Accuracy))</f>
        <v>0</v>
      </c>
      <c r="V101" s="46">
        <f ca="1">(Cash_EoP-Расчеты!V1234)*(ABS((Cash_EoP-Расчеты!V1234)&gt;Accuracy))</f>
        <v>0</v>
      </c>
      <c r="W101" s="46">
        <f ca="1">(Cash_EoP-Расчеты!W1234)*(ABS((Cash_EoP-Расчеты!W1234)&gt;Accuracy))</f>
        <v>0</v>
      </c>
      <c r="X101" s="46">
        <f ca="1">(Cash_EoP-Расчеты!X1234)*(ABS((Cash_EoP-Расчеты!X1234)&gt;Accuracy))</f>
        <v>0</v>
      </c>
      <c r="Y101" s="46">
        <f ca="1">(Cash_EoP-Расчеты!Y1234)*(ABS((Cash_EoP-Расчеты!Y1234)&gt;Accuracy))</f>
        <v>0</v>
      </c>
      <c r="Z101" s="46">
        <f ca="1">(Cash_EoP-Расчеты!Z1234)*(ABS((Cash_EoP-Расчеты!Z1234)&gt;Accuracy))</f>
        <v>0</v>
      </c>
      <c r="AA101" s="46">
        <f ca="1">(Cash_EoP-Расчеты!AA1234)*(ABS((Cash_EoP-Расчеты!AA1234)&gt;Accuracy))</f>
        <v>0</v>
      </c>
      <c r="AB101" s="46">
        <f ca="1">(Cash_EoP-Расчеты!AB1234)*(ABS((Cash_EoP-Расчеты!AB1234)&gt;Accuracy))</f>
        <v>0</v>
      </c>
      <c r="AC101" s="46">
        <f ca="1">(Cash_EoP-Расчеты!AC1234)*(ABS((Cash_EoP-Расчеты!AC1234)&gt;Accuracy))</f>
        <v>0</v>
      </c>
      <c r="AD101" s="46">
        <f ca="1">(Cash_EoP-Расчеты!AD1234)*(ABS((Cash_EoP-Расчеты!AD1234)&gt;Accuracy))</f>
        <v>0</v>
      </c>
      <c r="AE101" s="46">
        <f ca="1">(Cash_EoP-Расчеты!AE1234)*(ABS((Cash_EoP-Расчеты!AE1234)&gt;Accuracy))</f>
        <v>0</v>
      </c>
      <c r="AF101" s="46">
        <f ca="1">(Cash_EoP-Расчеты!AF1234)*(ABS((Cash_EoP-Расчеты!AF1234)&gt;Accuracy))</f>
        <v>0</v>
      </c>
      <c r="AG101" s="46">
        <f ca="1">(Cash_EoP-Расчеты!AG1234)*(ABS((Cash_EoP-Расчеты!AG1234)&gt;Accuracy))</f>
        <v>0</v>
      </c>
      <c r="AH101" s="46">
        <f ca="1">(Cash_EoP-Расчеты!AH1234)*(ABS((Cash_EoP-Расчеты!AH1234)&gt;Accuracy))</f>
        <v>0</v>
      </c>
      <c r="AI101" s="46">
        <f ca="1">(Cash_EoP-Расчеты!AI1234)*(ABS((Cash_EoP-Расчеты!AI1234)&gt;Accuracy))</f>
        <v>0</v>
      </c>
      <c r="AJ101" s="46">
        <f ca="1">(Cash_EoP-Расчеты!AJ1234)*(ABS((Cash_EoP-Расчеты!AJ1234)&gt;Accuracy))</f>
        <v>0</v>
      </c>
      <c r="AK101" s="46">
        <f ca="1">(Cash_EoP-Расчеты!AK1234)*(ABS((Cash_EoP-Расчеты!AK1234)&gt;Accuracy))</f>
        <v>0</v>
      </c>
      <c r="AL101" s="46">
        <f ca="1">(Cash_EoP-Расчеты!AL1234)*(ABS((Cash_EoP-Расчеты!AL1234)&gt;Accuracy))</f>
        <v>0</v>
      </c>
      <c r="AM101" s="46">
        <f ca="1">(Cash_EoP-Расчеты!AM1234)*(ABS((Cash_EoP-Расчеты!AM1234)&gt;Accuracy))</f>
        <v>0</v>
      </c>
      <c r="AN101" s="46">
        <f ca="1">(Cash_EoP-Расчеты!AN1234)*(ABS((Cash_EoP-Расчеты!AN1234)&gt;Accuracy))</f>
        <v>0</v>
      </c>
      <c r="AO101" s="46">
        <f ca="1">(Cash_EoP-Расчеты!AO1234)*(ABS((Cash_EoP-Расчеты!AO1234)&gt;Accuracy))</f>
        <v>0</v>
      </c>
      <c r="AP101" s="46">
        <f ca="1">(Cash_EoP-Расчеты!AP1234)*(ABS((Cash_EoP-Расчеты!AP1234)&gt;Accuracy))</f>
        <v>0</v>
      </c>
      <c r="AQ101" s="46">
        <f ca="1">(Cash_EoP-Расчеты!AQ1234)*(ABS((Cash_EoP-Расчеты!AQ1234)&gt;Accuracy))</f>
        <v>0</v>
      </c>
      <c r="AR101" s="46">
        <f ca="1">(Cash_EoP-Расчеты!AR1234)*(ABS((Cash_EoP-Расчеты!AR1234)&gt;Accuracy))</f>
        <v>0</v>
      </c>
      <c r="AS101" s="46">
        <f ca="1">(Cash_EoP-Расчеты!AS1234)*(ABS((Cash_EoP-Расчеты!AS1234)&gt;Accuracy))</f>
        <v>0</v>
      </c>
      <c r="AT101" s="46">
        <f ca="1">(Cash_EoP-Расчеты!AT1234)*(ABS((Cash_EoP-Расчеты!AT1234)&gt;Accuracy))</f>
        <v>0</v>
      </c>
      <c r="AU101" s="46">
        <f ca="1">(Cash_EoP-Расчеты!AU1234)*(ABS((Cash_EoP-Расчеты!AU1234)&gt;Accuracy))</f>
        <v>0</v>
      </c>
      <c r="AV101" s="46">
        <f ca="1">(Cash_EoP-Расчеты!AV1234)*(ABS((Cash_EoP-Расчеты!AV1234)&gt;Accuracy))</f>
        <v>0</v>
      </c>
      <c r="AW101" s="46">
        <f ca="1">(Cash_EoP-Расчеты!AW1234)*(ABS((Cash_EoP-Расчеты!AW1234)&gt;Accuracy))</f>
        <v>0</v>
      </c>
      <c r="AX101" s="46">
        <f ca="1">(Cash_EoP-Расчеты!AX1234)*(ABS((Cash_EoP-Расчеты!AX1234)&gt;Accuracy))</f>
        <v>0</v>
      </c>
      <c r="AY101" s="46">
        <f ca="1">(Cash_EoP-Расчеты!AY1234)*(ABS((Cash_EoP-Расчеты!AY1234)&gt;Accuracy))</f>
        <v>0</v>
      </c>
      <c r="AZ101" s="46">
        <f ca="1">(Cash_EoP-Расчеты!AZ1234)*(ABS((Cash_EoP-Расчеты!AZ1234)&gt;Accuracy))</f>
        <v>0</v>
      </c>
      <c r="BA101" s="46">
        <f ca="1">(Cash_EoP-Расчеты!BA1234)*(ABS((Cash_EoP-Расчеты!BA1234)&gt;Accuracy))</f>
        <v>0</v>
      </c>
      <c r="BB101" s="46">
        <f ca="1">(Cash_EoP-Расчеты!BB1234)*(ABS((Cash_EoP-Расчеты!BB1234)&gt;Accuracy))</f>
        <v>0</v>
      </c>
      <c r="BC101" s="46">
        <f ca="1">(Cash_EoP-Расчеты!BC1234)*(ABS((Cash_EoP-Расчеты!BC1234)&gt;Accuracy))</f>
        <v>0</v>
      </c>
      <c r="BD101" s="46">
        <f ca="1">(Cash_EoP-Расчеты!BD1234)*(ABS((Cash_EoP-Расчеты!BD1234)&gt;Accuracy))</f>
        <v>0</v>
      </c>
      <c r="BE101" s="46">
        <f ca="1">(Cash_EoP-Расчеты!BE1234)*(ABS((Cash_EoP-Расчеты!BE1234)&gt;Accuracy))</f>
        <v>0</v>
      </c>
      <c r="BF101" s="46">
        <f ca="1">(Cash_EoP-Расчеты!BF1234)*(ABS((Cash_EoP-Расчеты!BF1234)&gt;Accuracy))</f>
        <v>0</v>
      </c>
      <c r="BG101" s="46">
        <f ca="1">(Cash_EoP-Расчеты!BG1234)*(ABS((Cash_EoP-Расчеты!BG1234)&gt;Accuracy))</f>
        <v>0</v>
      </c>
      <c r="BH101" s="46">
        <f ca="1">(Cash_EoP-Расчеты!BH1234)*(ABS((Cash_EoP-Расчеты!BH1234)&gt;Accuracy))</f>
        <v>0</v>
      </c>
      <c r="BI101" s="46">
        <f ca="1">(Cash_EoP-Расчеты!BI1234)*(ABS((Cash_EoP-Расчеты!BI1234)&gt;Accuracy))</f>
        <v>0</v>
      </c>
      <c r="BJ101" s="46">
        <f ca="1">(Cash_EoP-Расчеты!BJ1234)*(ABS((Cash_EoP-Расчеты!BJ1234)&gt;Accuracy))</f>
        <v>0</v>
      </c>
      <c r="BK101" s="46">
        <f ca="1">(Cash_EoP-Расчеты!BK1234)*(ABS((Cash_EoP-Расчеты!BK1234)&gt;Accuracy))</f>
        <v>0</v>
      </c>
      <c r="BL101" s="46">
        <f ca="1">(Cash_EoP-Расчеты!BL1234)*(ABS((Cash_EoP-Расчеты!BL1234)&gt;Accuracy))</f>
        <v>0</v>
      </c>
      <c r="BM101" s="46">
        <f ca="1">(Cash_EoP-Расчеты!BM1234)*(ABS((Cash_EoP-Расчеты!BM1234)&gt;Accuracy))</f>
        <v>0</v>
      </c>
      <c r="BN101" s="46">
        <f ca="1">(Cash_EoP-Расчеты!BN1234)*(ABS((Cash_EoP-Расчеты!BN1234)&gt;Accuracy))</f>
        <v>0</v>
      </c>
      <c r="BO101" s="46">
        <f ca="1">(Cash_EoP-Расчеты!BO1234)*(ABS((Cash_EoP-Расчеты!BO1234)&gt;Accuracy))</f>
        <v>0</v>
      </c>
      <c r="BP101" s="46">
        <f ca="1">(Cash_EoP-Расчеты!BP1234)*(ABS((Cash_EoP-Расчеты!BP1234)&gt;Accuracy))</f>
        <v>0</v>
      </c>
      <c r="BQ101" s="46">
        <f ca="1">(Cash_EoP-Расчеты!BQ1234)*(ABS((Cash_EoP-Расчеты!BQ1234)&gt;Accuracy))</f>
        <v>0</v>
      </c>
      <c r="BR101" s="46">
        <f ca="1">(Cash_EoP-Расчеты!BR1234)*(ABS((Cash_EoP-Расчеты!BR1234)&gt;Accuracy))</f>
        <v>0</v>
      </c>
      <c r="BS101" s="46">
        <f ca="1">(Cash_EoP-Расчеты!BS1234)*(ABS((Cash_EoP-Расчеты!BS1234)&gt;Accuracy))</f>
        <v>0</v>
      </c>
      <c r="BT101" s="46">
        <f ca="1">(Cash_EoP-Расчеты!BT1234)*(ABS((Cash_EoP-Расчеты!BT1234)&gt;Accuracy))</f>
        <v>0</v>
      </c>
      <c r="BU101" s="46">
        <f ca="1">(Cash_EoP-Расчеты!BU1234)*(ABS((Cash_EoP-Расчеты!BU1234)&gt;Accuracy))</f>
        <v>0</v>
      </c>
      <c r="BV101" s="46">
        <f ca="1">(Cash_EoP-Расчеты!BV1234)*(ABS((Cash_EoP-Расчеты!BV1234)&gt;Accuracy))</f>
        <v>0</v>
      </c>
      <c r="BW101" s="46">
        <f ca="1">(Cash_EoP-Расчеты!BW1234)*(ABS((Cash_EoP-Расчеты!BW1234)&gt;Accuracy))</f>
        <v>0</v>
      </c>
      <c r="BX101" s="46">
        <f ca="1">(Cash_EoP-Расчеты!BX1234)*(ABS((Cash_EoP-Расчеты!BX1234)&gt;Accuracy))</f>
        <v>0</v>
      </c>
      <c r="BY101" s="46">
        <f ca="1">(Cash_EoP-Расчеты!BY1234)*(ABS((Cash_EoP-Расчеты!BY1234)&gt;Accuracy))</f>
        <v>0</v>
      </c>
      <c r="BZ101" s="46">
        <f ca="1">(Cash_EoP-Расчеты!BZ1234)*(ABS((Cash_EoP-Расчеты!BZ1234)&gt;Accuracy))</f>
        <v>0</v>
      </c>
      <c r="CA101" s="46">
        <f ca="1">(Cash_EoP-Расчеты!CA1234)*(ABS((Cash_EoP-Расчеты!CA1234)&gt;Accuracy))</f>
        <v>0</v>
      </c>
      <c r="CB101" s="46">
        <f ca="1">(Cash_EoP-Расчеты!CB1234)*(ABS((Cash_EoP-Расчеты!CB1234)&gt;Accuracy))</f>
        <v>0</v>
      </c>
      <c r="CC101" s="46">
        <f ca="1">(Cash_EoP-Расчеты!CC1234)*(ABS((Cash_EoP-Расчеты!CC1234)&gt;Accuracy))</f>
        <v>0</v>
      </c>
      <c r="CD101" s="46">
        <f ca="1">(Cash_EoP-Расчеты!CD1234)*(ABS((Cash_EoP-Расчеты!CD1234)&gt;Accuracy))</f>
        <v>0</v>
      </c>
      <c r="CE101" s="46">
        <f ca="1">(Cash_EoP-Расчеты!CE1234)*(ABS((Cash_EoP-Расчеты!CE1234)&gt;Accuracy))</f>
        <v>0</v>
      </c>
      <c r="CF101" s="46">
        <f ca="1">(Cash_EoP-Расчеты!CF1234)*(ABS((Cash_EoP-Расчеты!CF1234)&gt;Accuracy))</f>
        <v>0</v>
      </c>
      <c r="CG101" s="46">
        <f ca="1">(Cash_EoP-Расчеты!CG1234)*(ABS((Cash_EoP-Расчеты!CG1234)&gt;Accuracy))</f>
        <v>0</v>
      </c>
      <c r="CH101" s="46">
        <f ca="1">(Cash_EoP-Расчеты!CH1234)*(ABS((Cash_EoP-Расчеты!CH1234)&gt;Accuracy))</f>
        <v>0</v>
      </c>
      <c r="CI101" s="46">
        <f ca="1">(Cash_EoP-Расчеты!CI1234)*(ABS((Cash_EoP-Расчеты!CI1234)&gt;Accuracy))</f>
        <v>0</v>
      </c>
      <c r="CJ101" s="46">
        <f ca="1">(Cash_EoP-Расчеты!CJ1234)*(ABS((Cash_EoP-Расчеты!CJ1234)&gt;Accuracy))</f>
        <v>0</v>
      </c>
      <c r="CK101" s="46">
        <f ca="1">(Cash_EoP-Расчеты!CK1234)*(ABS((Cash_EoP-Расчеты!CK1234)&gt;Accuracy))</f>
        <v>0</v>
      </c>
      <c r="CL101" s="46">
        <f ca="1">(Cash_EoP-Расчеты!CL1234)*(ABS((Cash_EoP-Расчеты!CL1234)&gt;Accuracy))</f>
        <v>0</v>
      </c>
      <c r="CM101" s="46">
        <f ca="1">(Cash_EoP-Расчеты!CM1234)*(ABS((Cash_EoP-Расчеты!CM1234)&gt;Accuracy))</f>
        <v>0</v>
      </c>
      <c r="CN101" s="46">
        <f ca="1">(Cash_EoP-Расчеты!CN1234)*(ABS((Cash_EoP-Расчеты!CN1234)&gt;Accuracy))</f>
        <v>0</v>
      </c>
      <c r="CO101" s="46">
        <f ca="1">(Cash_EoP-Расчеты!CO1234)*(ABS((Cash_EoP-Расчеты!CO1234)&gt;Accuracy))</f>
        <v>0</v>
      </c>
    </row>
    <row r="102" spans="1:93" s="76" customFormat="1" ht="12.75">
      <c r="A102" s="73"/>
      <c r="B102" s="73"/>
      <c r="C102" s="73"/>
      <c r="D102" s="73"/>
      <c r="E102" s="73"/>
      <c r="F102" s="73"/>
      <c r="G102" s="72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73"/>
      <c r="CO102" s="73"/>
    </row>
  </sheetData>
  <conditionalFormatting sqref="L9:CO9">
    <cfRule type="cellIs" dxfId="22" priority="3" operator="equal">
      <formula>2</formula>
    </cfRule>
    <cfRule type="cellIs" dxfId="21" priority="4" operator="equal">
      <formula>1</formula>
    </cfRule>
  </conditionalFormatting>
  <conditionalFormatting sqref="E4">
    <cfRule type="cellIs" dxfId="20" priority="1" operator="equal">
      <formula>FALSE</formula>
    </cfRule>
    <cfRule type="cellIs" dxfId="19" priority="2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8" scale="17" fitToHeight="0" orientation="landscape" r:id="rId1"/>
  <rowBreaks count="2" manualBreakCount="2">
    <brk id="40" max="16383" man="1"/>
    <brk id="64" max="16383" man="1"/>
  </rowBreaks>
  <colBreaks count="1" manualBreakCount="1">
    <brk id="45" max="1048575" man="1"/>
  </colBreaks>
  <ignoredErrors>
    <ignoredError sqref="L47:CO47" 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 tint="0.79998168889431442"/>
  </sheetPr>
  <dimension ref="A1:I38"/>
  <sheetViews>
    <sheetView zoomScale="70" zoomScaleNormal="70" workbookViewId="0">
      <selection activeCell="C14" sqref="C14"/>
    </sheetView>
  </sheetViews>
  <sheetFormatPr defaultColWidth="0" defaultRowHeight="15" zeroHeight="1"/>
  <cols>
    <col min="1" max="1" width="2.42578125" customWidth="1"/>
    <col min="2" max="2" width="69.42578125" customWidth="1"/>
    <col min="3" max="3" width="21.7109375" customWidth="1"/>
    <col min="4" max="5" width="2.7109375" customWidth="1"/>
    <col min="6" max="9" width="0" hidden="1" customWidth="1"/>
    <col min="10" max="16384" width="9.28515625" hidden="1"/>
  </cols>
  <sheetData>
    <row r="1" spans="1:5">
      <c r="A1" s="10"/>
      <c r="B1" s="10"/>
      <c r="C1" s="10"/>
      <c r="D1" s="10"/>
      <c r="E1" s="10"/>
    </row>
    <row r="2" spans="1:5" ht="26.25" customHeight="1">
      <c r="A2" s="10"/>
      <c r="B2" s="5" t="str">
        <f xml:space="preserve"> "Проект «" &amp; Name_Model &amp; "»"</f>
        <v>Проект «Отель в коттеджах 5* UAI»</v>
      </c>
      <c r="C2" s="15"/>
      <c r="D2" s="15"/>
      <c r="E2" s="10"/>
    </row>
    <row r="3" spans="1:5" s="18" customFormat="1" ht="15" customHeight="1">
      <c r="A3" s="9"/>
      <c r="B3" s="9"/>
      <c r="C3" s="9"/>
      <c r="D3" s="9"/>
      <c r="E3" s="9"/>
    </row>
    <row r="4" spans="1:5" s="18" customFormat="1" ht="15" customHeight="1" thickBot="1">
      <c r="A4" s="9"/>
      <c r="B4" s="86" t="s">
        <v>314</v>
      </c>
      <c r="C4" s="9"/>
      <c r="D4" s="9"/>
      <c r="E4" s="9"/>
    </row>
    <row r="5" spans="1:5" s="18" customFormat="1" ht="15" customHeight="1" thickTop="1">
      <c r="A5" s="9"/>
      <c r="B5" s="9"/>
      <c r="C5" s="9"/>
      <c r="D5" s="9"/>
      <c r="E5" s="9"/>
    </row>
    <row r="6" spans="1:5" s="18" customFormat="1" ht="15" customHeight="1">
      <c r="A6" s="9"/>
      <c r="B6" s="55" t="str">
        <f xml:space="preserve"> "Финансовая модель (версия №" &amp; Предпосылки!E14 &amp; ")"</f>
        <v>Финансовая модель (версия №1)</v>
      </c>
      <c r="C6" s="9"/>
      <c r="D6" s="9"/>
      <c r="E6" s="9"/>
    </row>
    <row r="7" spans="1:5" s="18" customFormat="1" ht="15" customHeight="1">
      <c r="A7" s="9"/>
      <c r="B7" s="55"/>
      <c r="C7" s="9"/>
      <c r="D7" s="9"/>
      <c r="E7" s="9"/>
    </row>
    <row r="8" spans="1:5" s="18" customFormat="1" ht="15" customHeight="1">
      <c r="A8" s="9"/>
      <c r="B8" s="56" t="s">
        <v>41</v>
      </c>
      <c r="C8" s="9"/>
      <c r="D8" s="9"/>
      <c r="E8" s="9"/>
    </row>
    <row r="9" spans="1:5" s="18" customFormat="1" ht="15" customHeight="1">
      <c r="A9" s="9"/>
      <c r="B9" s="57" t="s">
        <v>42</v>
      </c>
      <c r="C9" s="19">
        <f ca="1" xml:space="preserve"> Отчетность!I100</f>
        <v>0</v>
      </c>
      <c r="D9" s="9"/>
      <c r="E9" s="9"/>
    </row>
    <row r="10" spans="1:5" s="18" customFormat="1" ht="15" customHeight="1">
      <c r="A10" s="9"/>
      <c r="B10" s="57" t="s">
        <v>351</v>
      </c>
      <c r="C10" s="19">
        <f ca="1" xml:space="preserve"> Check_Balance_1</f>
        <v>0</v>
      </c>
      <c r="D10" s="9"/>
      <c r="E10" s="9"/>
    </row>
    <row r="11" spans="1:5" s="18" customFormat="1" ht="15" customHeight="1">
      <c r="A11" s="9"/>
      <c r="B11" s="57" t="s">
        <v>352</v>
      </c>
      <c r="C11" s="19">
        <f ca="1" xml:space="preserve"> Check_Balance_2</f>
        <v>0</v>
      </c>
      <c r="D11" s="9"/>
      <c r="E11" s="9"/>
    </row>
    <row r="12" spans="1:5" s="18" customFormat="1" ht="15" customHeight="1">
      <c r="A12" s="9"/>
      <c r="B12" s="57" t="s">
        <v>353</v>
      </c>
      <c r="C12" s="19">
        <f ca="1" xml:space="preserve"> Отчетность!I99</f>
        <v>0</v>
      </c>
      <c r="D12" s="9"/>
      <c r="E12" s="9"/>
    </row>
    <row r="13" spans="1:5" s="18" customFormat="1" ht="15" customHeight="1">
      <c r="A13" s="9"/>
      <c r="B13" s="57" t="s">
        <v>43</v>
      </c>
      <c r="C13" s="19">
        <f ca="1" xml:space="preserve"> Отчетность!I101</f>
        <v>0</v>
      </c>
      <c r="D13" s="9"/>
      <c r="E13" s="9"/>
    </row>
    <row r="14" spans="1:5" s="18" customFormat="1" ht="15" customHeight="1">
      <c r="A14" s="9"/>
      <c r="B14" s="57" t="s">
        <v>350</v>
      </c>
      <c r="C14" s="19">
        <f ca="1" xml:space="preserve"> ABS(Расчеты!I1266)+ABS(Финансирование!I48)</f>
        <v>0</v>
      </c>
      <c r="D14" s="9"/>
      <c r="E14" s="9"/>
    </row>
    <row r="15" spans="1:5" s="18" customFormat="1" ht="15" customHeight="1">
      <c r="A15" s="9"/>
      <c r="B15" s="57" t="s">
        <v>268</v>
      </c>
      <c r="C15" s="19">
        <f ca="1" xml:space="preserve"> Funding_Requirement_Check + Subord_Interest_Check</f>
        <v>0</v>
      </c>
      <c r="D15" s="9"/>
      <c r="E15" s="9"/>
    </row>
    <row r="16" spans="1:5" s="18" customFormat="1" ht="15" customHeight="1">
      <c r="A16" s="9"/>
      <c r="B16" s="57" t="s">
        <v>297</v>
      </c>
      <c r="C16" s="19">
        <f ca="1">ROUND(SUM(Расчеты!I1086:I1087),0)</f>
        <v>0</v>
      </c>
      <c r="D16" s="9"/>
      <c r="E16" s="9"/>
    </row>
    <row r="17" spans="1:5" s="18" customFormat="1" ht="15" customHeight="1">
      <c r="A17" s="9"/>
      <c r="B17" s="57" t="s">
        <v>354</v>
      </c>
      <c r="C17" s="19">
        <f ca="1" xml:space="preserve"> SUM(Расчеты!I1174:I1177)</f>
        <v>0</v>
      </c>
      <c r="D17" s="9"/>
      <c r="E17" s="9"/>
    </row>
    <row r="18" spans="1:5" s="18" customFormat="1" ht="15" customHeight="1">
      <c r="A18" s="9"/>
      <c r="B18" s="9"/>
      <c r="C18" s="9"/>
      <c r="D18" s="9"/>
      <c r="E18" s="9"/>
    </row>
    <row r="19" spans="1:5" s="18" customFormat="1" ht="15" customHeight="1">
      <c r="A19" s="9"/>
      <c r="B19" s="20" t="s">
        <v>408</v>
      </c>
      <c r="C19" s="166" t="b">
        <f ca="1">SUM(C9:C17)=0</f>
        <v>1</v>
      </c>
      <c r="D19" s="9"/>
      <c r="E19" s="9"/>
    </row>
    <row r="20" spans="1:5" s="18" customFormat="1" ht="15" customHeight="1">
      <c r="A20" s="9"/>
      <c r="B20" s="9"/>
      <c r="C20" s="9"/>
      <c r="D20" s="9"/>
      <c r="E20" s="9"/>
    </row>
    <row r="21" spans="1:5" s="18" customFormat="1" ht="15" hidden="1" customHeight="1">
      <c r="A21" s="9"/>
      <c r="B21" s="9"/>
      <c r="C21" s="9"/>
      <c r="D21" s="9"/>
      <c r="E21" s="9"/>
    </row>
    <row r="22" spans="1:5" s="18" customFormat="1" ht="15" hidden="1" customHeight="1">
      <c r="A22" s="9"/>
      <c r="B22" s="9"/>
      <c r="C22" s="9"/>
      <c r="D22" s="9"/>
      <c r="E22" s="9"/>
    </row>
    <row r="23" spans="1:5" s="18" customFormat="1" ht="15" hidden="1" customHeight="1">
      <c r="A23" s="9"/>
      <c r="B23" s="9"/>
      <c r="C23" s="9"/>
      <c r="D23" s="9"/>
      <c r="E23" s="9"/>
    </row>
    <row r="24" spans="1:5" s="18" customFormat="1" ht="15" hidden="1" customHeight="1">
      <c r="A24" s="9"/>
      <c r="B24" s="9"/>
      <c r="C24" s="9"/>
      <c r="D24" s="9"/>
      <c r="E24" s="9"/>
    </row>
    <row r="25" spans="1:5" s="18" customFormat="1" ht="15" hidden="1" customHeight="1">
      <c r="A25" s="9"/>
      <c r="B25" s="9"/>
      <c r="C25" s="9"/>
      <c r="D25" s="9"/>
      <c r="E25" s="9"/>
    </row>
    <row r="26" spans="1:5" s="18" customFormat="1" ht="15" hidden="1" customHeight="1">
      <c r="A26" s="9"/>
      <c r="B26" s="9"/>
      <c r="C26" s="9"/>
      <c r="D26" s="9"/>
      <c r="E26" s="9"/>
    </row>
    <row r="27" spans="1:5" ht="15" hidden="1" customHeight="1">
      <c r="A27" s="10"/>
      <c r="B27" s="10"/>
      <c r="C27" s="10"/>
      <c r="D27" s="10"/>
      <c r="E27" s="10"/>
    </row>
    <row r="28" spans="1:5" hidden="1">
      <c r="A28" s="10"/>
      <c r="B28" s="10"/>
      <c r="C28" s="10"/>
      <c r="D28" s="10"/>
      <c r="E28" s="10"/>
    </row>
    <row r="29" spans="1:5" hidden="1">
      <c r="A29" s="10"/>
      <c r="B29" s="10"/>
      <c r="C29" s="10"/>
      <c r="D29" s="10"/>
      <c r="E29" s="10"/>
    </row>
    <row r="30" spans="1:5" hidden="1">
      <c r="A30" s="10"/>
      <c r="B30" s="10"/>
      <c r="C30" s="10"/>
      <c r="D30" s="10"/>
      <c r="E30" s="10"/>
    </row>
    <row r="31" spans="1:5" hidden="1">
      <c r="A31" s="10"/>
      <c r="B31" s="10"/>
      <c r="C31" s="10"/>
      <c r="D31" s="10"/>
      <c r="E31" s="10"/>
    </row>
    <row r="32" spans="1:5" hidden="1">
      <c r="A32" s="10"/>
      <c r="B32" s="10"/>
      <c r="C32" s="10"/>
      <c r="D32" s="10"/>
      <c r="E32" s="10"/>
    </row>
    <row r="33" spans="1:5" hidden="1">
      <c r="A33" s="10"/>
      <c r="B33" s="10"/>
      <c r="C33" s="10"/>
      <c r="D33" s="10"/>
      <c r="E33" s="10"/>
    </row>
    <row r="34" spans="1:5" hidden="1">
      <c r="A34" s="10"/>
      <c r="B34" s="10"/>
      <c r="C34" s="10"/>
      <c r="D34" s="10"/>
      <c r="E34" s="10"/>
    </row>
    <row r="35" spans="1:5" hidden="1">
      <c r="A35" s="10"/>
      <c r="B35" s="10"/>
      <c r="C35" s="10"/>
      <c r="D35" s="10"/>
      <c r="E35" s="10"/>
    </row>
    <row r="36" spans="1:5" hidden="1">
      <c r="A36" s="10"/>
      <c r="B36" s="10"/>
      <c r="C36" s="10"/>
      <c r="D36" s="10"/>
      <c r="E36" s="10"/>
    </row>
    <row r="37" spans="1:5" hidden="1">
      <c r="A37" s="10"/>
      <c r="B37" s="10"/>
      <c r="C37" s="10"/>
      <c r="D37" s="10"/>
      <c r="E37" s="10"/>
    </row>
    <row r="38" spans="1:5" hidden="1">
      <c r="A38" s="10"/>
      <c r="B38" s="10"/>
      <c r="C38" s="10"/>
      <c r="D38" s="10"/>
      <c r="E38" s="10"/>
    </row>
  </sheetData>
  <conditionalFormatting sqref="C19">
    <cfRule type="cellIs" dxfId="18" priority="3" operator="equal">
      <formula>FALSE</formula>
    </cfRule>
    <cfRule type="cellIs" dxfId="17" priority="4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3" tint="0.79998168889431442"/>
  </sheetPr>
  <dimension ref="A1:BK50"/>
  <sheetViews>
    <sheetView view="pageBreakPreview" zoomScale="70" zoomScaleNormal="60" zoomScaleSheetLayoutView="70" workbookViewId="0">
      <pane xSplit="11" ySplit="8" topLeftCell="L9" activePane="bottomRight" state="frozen"/>
      <selection pane="topRight"/>
      <selection pane="bottomLeft"/>
      <selection pane="bottomRight" activeCell="G1" sqref="G1"/>
    </sheetView>
  </sheetViews>
  <sheetFormatPr defaultColWidth="0" defaultRowHeight="15" zeroHeight="1"/>
  <cols>
    <col min="1" max="2" width="2.28515625" customWidth="1"/>
    <col min="3" max="3" width="43" customWidth="1"/>
    <col min="4" max="5" width="13" customWidth="1"/>
    <col min="6" max="6" width="2.28515625" customWidth="1"/>
    <col min="7" max="7" width="9.28515625" style="25" customWidth="1"/>
    <col min="8" max="8" width="2.28515625" customWidth="1"/>
    <col min="9" max="9" width="12.28515625" customWidth="1"/>
    <col min="10" max="11" width="2.28515625" customWidth="1"/>
    <col min="12" max="37" width="11.42578125" customWidth="1"/>
    <col min="38" max="38" width="1.7109375" customWidth="1"/>
    <col min="39" max="39" width="9.28515625" hidden="1" customWidth="1"/>
    <col min="40" max="63" width="0" hidden="1" customWidth="1"/>
    <col min="64" max="16384" width="8.7109375" hidden="1"/>
  </cols>
  <sheetData>
    <row r="1" spans="1:39">
      <c r="A1" s="3"/>
      <c r="B1" s="3"/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22.5" customHeight="1">
      <c r="A2" s="3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3"/>
    </row>
    <row r="3" spans="1:39" ht="15" customHeight="1">
      <c r="A3" s="3"/>
      <c r="B3" s="3"/>
      <c r="C3" s="3"/>
      <c r="D3" s="3"/>
      <c r="E3" s="85" t="s">
        <v>17</v>
      </c>
      <c r="F3" s="10"/>
      <c r="G3" s="11"/>
      <c r="H3" s="10"/>
      <c r="I3" s="10"/>
      <c r="J3" s="10"/>
      <c r="K3" s="10"/>
      <c r="L3" s="10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ht="15" customHeight="1">
      <c r="A4" s="3"/>
      <c r="B4" s="16"/>
      <c r="C4" s="104" t="s">
        <v>336</v>
      </c>
      <c r="D4" s="29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5" customHeight="1">
      <c r="A5" s="3"/>
      <c r="B5" s="3"/>
      <c r="C5" s="3"/>
      <c r="D5" s="3"/>
      <c r="E5" s="3"/>
      <c r="F5" s="10"/>
      <c r="G5" s="11"/>
      <c r="H5" s="10"/>
      <c r="I5" s="10"/>
      <c r="J5" s="10"/>
      <c r="K5" s="10"/>
      <c r="L5" s="10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>
      <c r="A6" s="8"/>
      <c r="B6" s="5" t="s">
        <v>21</v>
      </c>
      <c r="C6" s="5"/>
      <c r="D6" s="5"/>
      <c r="E6" s="6"/>
      <c r="F6" s="6"/>
      <c r="G6" s="6" t="s">
        <v>23</v>
      </c>
      <c r="H6" s="6"/>
      <c r="I6" s="6" t="s">
        <v>20</v>
      </c>
      <c r="J6" s="5"/>
      <c r="K6" s="5"/>
      <c r="L6" s="5">
        <f t="shared" ref="L6:Y6" si="0" xml:space="preserve"> IF(K6="",YEAR(Beginning_of_period),K6 + 1)</f>
        <v>2025</v>
      </c>
      <c r="M6" s="5">
        <f t="shared" si="0"/>
        <v>2026</v>
      </c>
      <c r="N6" s="5">
        <f t="shared" si="0"/>
        <v>2027</v>
      </c>
      <c r="O6" s="5">
        <f t="shared" si="0"/>
        <v>2028</v>
      </c>
      <c r="P6" s="5">
        <f t="shared" si="0"/>
        <v>2029</v>
      </c>
      <c r="Q6" s="5">
        <f t="shared" si="0"/>
        <v>2030</v>
      </c>
      <c r="R6" s="5">
        <f t="shared" si="0"/>
        <v>2031</v>
      </c>
      <c r="S6" s="5">
        <f t="shared" si="0"/>
        <v>2032</v>
      </c>
      <c r="T6" s="5">
        <f t="shared" si="0"/>
        <v>2033</v>
      </c>
      <c r="U6" s="5">
        <f t="shared" si="0"/>
        <v>2034</v>
      </c>
      <c r="V6" s="5">
        <f t="shared" si="0"/>
        <v>2035</v>
      </c>
      <c r="W6" s="5">
        <f t="shared" si="0"/>
        <v>2036</v>
      </c>
      <c r="X6" s="5">
        <f t="shared" si="0"/>
        <v>2037</v>
      </c>
      <c r="Y6" s="5">
        <f t="shared" si="0"/>
        <v>2038</v>
      </c>
      <c r="Z6" s="5">
        <f t="shared" ref="Z6:AK6" si="1" xml:space="preserve"> IF(Y6="",YEAR(Beginning_of_period),Y6 + 1)</f>
        <v>2039</v>
      </c>
      <c r="AA6" s="5">
        <f t="shared" si="1"/>
        <v>2040</v>
      </c>
      <c r="AB6" s="5">
        <f t="shared" si="1"/>
        <v>2041</v>
      </c>
      <c r="AC6" s="5">
        <f t="shared" si="1"/>
        <v>2042</v>
      </c>
      <c r="AD6" s="5">
        <f t="shared" si="1"/>
        <v>2043</v>
      </c>
      <c r="AE6" s="5">
        <f t="shared" si="1"/>
        <v>2044</v>
      </c>
      <c r="AF6" s="5">
        <f t="shared" si="1"/>
        <v>2045</v>
      </c>
      <c r="AG6" s="5">
        <f t="shared" si="1"/>
        <v>2046</v>
      </c>
      <c r="AH6" s="5">
        <f t="shared" si="1"/>
        <v>2047</v>
      </c>
      <c r="AI6" s="5">
        <f t="shared" si="1"/>
        <v>2048</v>
      </c>
      <c r="AJ6" s="5">
        <f t="shared" si="1"/>
        <v>2049</v>
      </c>
      <c r="AK6" s="5">
        <f t="shared" si="1"/>
        <v>2050</v>
      </c>
      <c r="AL6" s="5"/>
      <c r="AM6" s="3"/>
    </row>
    <row r="7" spans="1:39" s="93" customFormat="1" ht="15" customHeight="1">
      <c r="A7" s="88"/>
      <c r="B7" s="88"/>
      <c r="C7" s="88" t="s">
        <v>380</v>
      </c>
      <c r="D7" s="88"/>
      <c r="E7" s="88"/>
      <c r="F7" s="88"/>
      <c r="G7" s="68"/>
      <c r="H7" s="88"/>
      <c r="I7" s="88"/>
      <c r="J7" s="88"/>
      <c r="K7" s="88"/>
      <c r="L7" s="92">
        <f xml:space="preserve"> DATE(L6,1,1)</f>
        <v>45658</v>
      </c>
      <c r="M7" s="92">
        <f t="shared" ref="M7:Z7" si="2" xml:space="preserve"> DATE(M6,1,1)</f>
        <v>46023</v>
      </c>
      <c r="N7" s="92">
        <f t="shared" si="2"/>
        <v>46388</v>
      </c>
      <c r="O7" s="92">
        <f t="shared" si="2"/>
        <v>46753</v>
      </c>
      <c r="P7" s="92">
        <f t="shared" si="2"/>
        <v>47119</v>
      </c>
      <c r="Q7" s="92">
        <f t="shared" si="2"/>
        <v>47484</v>
      </c>
      <c r="R7" s="92">
        <f t="shared" si="2"/>
        <v>47849</v>
      </c>
      <c r="S7" s="92">
        <f t="shared" si="2"/>
        <v>48214</v>
      </c>
      <c r="T7" s="92">
        <f t="shared" si="2"/>
        <v>48580</v>
      </c>
      <c r="U7" s="92">
        <f t="shared" si="2"/>
        <v>48945</v>
      </c>
      <c r="V7" s="92">
        <f t="shared" si="2"/>
        <v>49310</v>
      </c>
      <c r="W7" s="92">
        <f t="shared" si="2"/>
        <v>49675</v>
      </c>
      <c r="X7" s="92">
        <f t="shared" si="2"/>
        <v>50041</v>
      </c>
      <c r="Y7" s="92">
        <f t="shared" si="2"/>
        <v>50406</v>
      </c>
      <c r="Z7" s="92">
        <f t="shared" si="2"/>
        <v>50771</v>
      </c>
      <c r="AA7" s="92">
        <f t="shared" ref="AA7:AK7" si="3" xml:space="preserve"> DATE(AA6,1,1)</f>
        <v>51136</v>
      </c>
      <c r="AB7" s="92">
        <f t="shared" si="3"/>
        <v>51502</v>
      </c>
      <c r="AC7" s="92">
        <f t="shared" si="3"/>
        <v>51867</v>
      </c>
      <c r="AD7" s="92">
        <f t="shared" si="3"/>
        <v>52232</v>
      </c>
      <c r="AE7" s="92">
        <f t="shared" si="3"/>
        <v>52597</v>
      </c>
      <c r="AF7" s="92">
        <f t="shared" si="3"/>
        <v>52963</v>
      </c>
      <c r="AG7" s="92">
        <f t="shared" si="3"/>
        <v>53328</v>
      </c>
      <c r="AH7" s="92">
        <f t="shared" si="3"/>
        <v>53693</v>
      </c>
      <c r="AI7" s="92">
        <f t="shared" si="3"/>
        <v>54058</v>
      </c>
      <c r="AJ7" s="92">
        <f t="shared" si="3"/>
        <v>54424</v>
      </c>
      <c r="AK7" s="92">
        <f t="shared" si="3"/>
        <v>54789</v>
      </c>
      <c r="AL7" s="92"/>
      <c r="AM7" s="3"/>
    </row>
    <row r="8" spans="1:39" s="93" customFormat="1" ht="15" customHeight="1">
      <c r="A8" s="88"/>
      <c r="B8" s="88"/>
      <c r="C8" s="88" t="s">
        <v>381</v>
      </c>
      <c r="D8" s="88"/>
      <c r="E8" s="88"/>
      <c r="F8" s="88"/>
      <c r="G8" s="68"/>
      <c r="H8" s="88"/>
      <c r="I8" s="94"/>
      <c r="J8" s="88"/>
      <c r="K8" s="88"/>
      <c r="L8" s="92">
        <f xml:space="preserve"> DATE(L6,12,31)</f>
        <v>46022</v>
      </c>
      <c r="M8" s="92">
        <f t="shared" ref="M8:Z8" si="4" xml:space="preserve"> DATE(M6,12,31)</f>
        <v>46387</v>
      </c>
      <c r="N8" s="92">
        <f t="shared" si="4"/>
        <v>46752</v>
      </c>
      <c r="O8" s="92">
        <f t="shared" si="4"/>
        <v>47118</v>
      </c>
      <c r="P8" s="92">
        <f t="shared" si="4"/>
        <v>47483</v>
      </c>
      <c r="Q8" s="92">
        <f t="shared" si="4"/>
        <v>47848</v>
      </c>
      <c r="R8" s="92">
        <f t="shared" si="4"/>
        <v>48213</v>
      </c>
      <c r="S8" s="92">
        <f t="shared" si="4"/>
        <v>48579</v>
      </c>
      <c r="T8" s="92">
        <f t="shared" si="4"/>
        <v>48944</v>
      </c>
      <c r="U8" s="92">
        <f t="shared" si="4"/>
        <v>49309</v>
      </c>
      <c r="V8" s="92">
        <f t="shared" si="4"/>
        <v>49674</v>
      </c>
      <c r="W8" s="92">
        <f t="shared" si="4"/>
        <v>50040</v>
      </c>
      <c r="X8" s="92">
        <f t="shared" si="4"/>
        <v>50405</v>
      </c>
      <c r="Y8" s="92">
        <f t="shared" si="4"/>
        <v>50770</v>
      </c>
      <c r="Z8" s="92">
        <f t="shared" si="4"/>
        <v>51135</v>
      </c>
      <c r="AA8" s="92">
        <f t="shared" ref="AA8:AK8" si="5" xml:space="preserve"> DATE(AA6,12,31)</f>
        <v>51501</v>
      </c>
      <c r="AB8" s="92">
        <f t="shared" si="5"/>
        <v>51866</v>
      </c>
      <c r="AC8" s="92">
        <f t="shared" si="5"/>
        <v>52231</v>
      </c>
      <c r="AD8" s="92">
        <f t="shared" si="5"/>
        <v>52596</v>
      </c>
      <c r="AE8" s="92">
        <f t="shared" si="5"/>
        <v>52962</v>
      </c>
      <c r="AF8" s="92">
        <f t="shared" si="5"/>
        <v>53327</v>
      </c>
      <c r="AG8" s="92">
        <f t="shared" si="5"/>
        <v>53692</v>
      </c>
      <c r="AH8" s="92">
        <f t="shared" si="5"/>
        <v>54057</v>
      </c>
      <c r="AI8" s="92">
        <f t="shared" si="5"/>
        <v>54423</v>
      </c>
      <c r="AJ8" s="92">
        <f t="shared" si="5"/>
        <v>54788</v>
      </c>
      <c r="AK8" s="92">
        <f t="shared" si="5"/>
        <v>55153</v>
      </c>
      <c r="AL8" s="92"/>
      <c r="AM8" s="3"/>
    </row>
    <row r="9" spans="1:39" s="141" customFormat="1" ht="15" customHeight="1">
      <c r="A9" s="153"/>
      <c r="B9" s="153"/>
      <c r="C9" s="153"/>
      <c r="D9" s="153"/>
      <c r="E9" s="11"/>
      <c r="F9" s="11"/>
      <c r="G9" s="11"/>
      <c r="H9" s="153"/>
      <c r="I9" s="154"/>
      <c r="J9" s="153"/>
      <c r="K9" s="153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47"/>
    </row>
    <row r="10" spans="1:39" s="141" customFormat="1" ht="15" customHeight="1" thickBot="1">
      <c r="A10" s="153"/>
      <c r="B10" s="153"/>
      <c r="C10" s="12" t="s">
        <v>589</v>
      </c>
      <c r="D10" s="12"/>
      <c r="E10" s="12"/>
      <c r="F10" s="12"/>
      <c r="G10" s="12"/>
      <c r="H10" s="12"/>
      <c r="I10" s="12"/>
      <c r="J10" s="153"/>
      <c r="K10" s="153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47"/>
    </row>
    <row r="11" spans="1:39" s="141" customFormat="1" ht="15" customHeight="1">
      <c r="A11" s="153"/>
      <c r="B11" s="153"/>
      <c r="C11" s="17"/>
      <c r="D11" s="153"/>
      <c r="E11" s="11"/>
      <c r="F11" s="11"/>
      <c r="G11" s="11"/>
      <c r="H11" s="153"/>
      <c r="I11" s="155"/>
      <c r="J11" s="153"/>
      <c r="K11" s="153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s="141" customFormat="1" ht="15" customHeight="1">
      <c r="A12" s="153"/>
      <c r="B12" s="153"/>
      <c r="C12" s="455" t="str">
        <f>Расчеты!C1345</f>
        <v>Инвестиционный денежный поток</v>
      </c>
      <c r="D12" s="153"/>
      <c r="E12" s="11"/>
      <c r="F12" s="11"/>
      <c r="G12" s="11" t="str">
        <f>Monetary_Unit</f>
        <v>тыс. руб.</v>
      </c>
      <c r="H12" s="153"/>
      <c r="I12" s="23">
        <f ca="1" xml:space="preserve"> SUM(L12:AL12)</f>
        <v>-3087285.462287345</v>
      </c>
      <c r="J12" s="153"/>
      <c r="K12" s="153"/>
      <c r="L12" s="10">
        <f ca="1" xml:space="preserve"> SUMIF(Расчеты!$6:$6,L$6,Расчеты!1345:1345)</f>
        <v>-68888.071223871491</v>
      </c>
      <c r="M12" s="10">
        <f ca="1" xml:space="preserve"> SUMIF(Расчеты!$6:$6,M$6,Расчеты!1345:1345)</f>
        <v>-600436.9816762798</v>
      </c>
      <c r="N12" s="10">
        <f ca="1" xml:space="preserve"> SUMIF(Расчеты!$6:$6,N$6,Расчеты!1345:1345)</f>
        <v>-624454.46094333089</v>
      </c>
      <c r="O12" s="10">
        <f ca="1" xml:space="preserve"> SUMIF(Расчеты!$6:$6,O$6,Расчеты!1345:1345)</f>
        <v>-1243480.2386690695</v>
      </c>
      <c r="P12" s="10">
        <f ca="1" xml:space="preserve"> SUMIF(Расчеты!$6:$6,P$6,Расчеты!1345:1345)</f>
        <v>-550025.70977479313</v>
      </c>
      <c r="Q12" s="10">
        <f ca="1" xml:space="preserve"> SUMIF(Расчеты!$6:$6,Q$6,Расчеты!1345:1345)</f>
        <v>0</v>
      </c>
      <c r="R12" s="10">
        <f ca="1" xml:space="preserve"> SUMIF(Расчеты!$6:$6,R$6,Расчеты!1345:1345)</f>
        <v>0</v>
      </c>
      <c r="S12" s="10">
        <f ca="1" xml:space="preserve"> SUMIF(Расчеты!$6:$6,S$6,Расчеты!1345:1345)</f>
        <v>0</v>
      </c>
      <c r="T12" s="10">
        <f ca="1" xml:space="preserve"> SUMIF(Расчеты!$6:$6,T$6,Расчеты!1345:1345)</f>
        <v>0</v>
      </c>
      <c r="U12" s="10">
        <f ca="1" xml:space="preserve"> SUMIF(Расчеты!$6:$6,U$6,Расчеты!1345:1345)</f>
        <v>0</v>
      </c>
      <c r="V12" s="10">
        <f ca="1" xml:space="preserve"> SUMIF(Расчеты!$6:$6,V$6,Расчеты!1345:1345)</f>
        <v>0</v>
      </c>
      <c r="W12" s="10">
        <f ca="1" xml:space="preserve"> SUMIF(Расчеты!$6:$6,W$6,Расчеты!1345:1345)</f>
        <v>0</v>
      </c>
      <c r="X12" s="10">
        <f ca="1" xml:space="preserve"> SUMIF(Расчеты!$6:$6,X$6,Расчеты!1345:1345)</f>
        <v>0</v>
      </c>
      <c r="Y12" s="10">
        <f ca="1" xml:space="preserve"> SUMIF(Расчеты!$6:$6,Y$6,Расчеты!1345:1345)</f>
        <v>0</v>
      </c>
      <c r="Z12" s="10">
        <f ca="1" xml:space="preserve"> SUMIF(Расчеты!$6:$6,Z$6,Расчеты!1345:1345)</f>
        <v>0</v>
      </c>
      <c r="AA12" s="10">
        <f ca="1" xml:space="preserve"> SUMIF(Расчеты!$6:$6,AA$6,Расчеты!1345:1345)</f>
        <v>0</v>
      </c>
      <c r="AB12" s="10">
        <f ca="1" xml:space="preserve"> SUMIF(Расчеты!$6:$6,AB$6,Расчеты!1345:1345)</f>
        <v>0</v>
      </c>
      <c r="AC12" s="10">
        <f ca="1" xml:space="preserve"> SUMIF(Расчеты!$6:$6,AC$6,Расчеты!1345:1345)</f>
        <v>0</v>
      </c>
      <c r="AD12" s="10">
        <f ca="1" xml:space="preserve"> SUMIF(Расчеты!$6:$6,AD$6,Расчеты!1345:1345)</f>
        <v>0</v>
      </c>
      <c r="AE12" s="10">
        <f ca="1" xml:space="preserve"> SUMIF(Расчеты!$6:$6,AE$6,Расчеты!1345:1345)</f>
        <v>0</v>
      </c>
      <c r="AF12" s="10">
        <f ca="1" xml:space="preserve"> SUMIF(Расчеты!$6:$6,AF$6,Расчеты!1345:1345)</f>
        <v>0</v>
      </c>
      <c r="AG12" s="10">
        <f xml:space="preserve"> SUMIF(Расчеты!$6:$6,AG$6,Расчеты!1345:1345)</f>
        <v>0</v>
      </c>
      <c r="AH12" s="10">
        <f xml:space="preserve"> SUMIF(Расчеты!$6:$6,AH$6,Расчеты!1345:1345)</f>
        <v>0</v>
      </c>
      <c r="AI12" s="10">
        <f xml:space="preserve"> SUMIF(Расчеты!$6:$6,AI$6,Расчеты!1345:1345)</f>
        <v>0</v>
      </c>
      <c r="AJ12" s="10">
        <f xml:space="preserve"> SUMIF(Расчеты!$6:$6,AJ$6,Расчеты!1345:1345)</f>
        <v>0</v>
      </c>
      <c r="AK12" s="10">
        <f xml:space="preserve"> SUMIF(Расчеты!$6:$6,AK$6,Расчеты!1345:1345)</f>
        <v>0</v>
      </c>
      <c r="AL12" s="10"/>
      <c r="AM12" s="10"/>
    </row>
    <row r="13" spans="1:39" s="141" customFormat="1" ht="15" customHeight="1">
      <c r="A13" s="153"/>
      <c r="B13" s="153"/>
      <c r="C13" s="455" t="str">
        <f>Расчеты!C1344</f>
        <v>Операционный денежный поток</v>
      </c>
      <c r="D13" s="153"/>
      <c r="E13" s="11"/>
      <c r="F13" s="11"/>
      <c r="G13" s="11" t="str">
        <f>Monetary_Unit</f>
        <v>тыс. руб.</v>
      </c>
      <c r="H13" s="153"/>
      <c r="I13" s="23">
        <f ca="1" xml:space="preserve"> SUM(L13:AL13)</f>
        <v>11454815.597131312</v>
      </c>
      <c r="J13" s="153"/>
      <c r="K13" s="153"/>
      <c r="L13" s="10">
        <f ca="1" xml:space="preserve"> SUMIF(Расчеты!$6:$6,L$6,Расчеты!1344:1344)</f>
        <v>-13777.614244774297</v>
      </c>
      <c r="M13" s="10">
        <f ca="1" xml:space="preserve"> SUMIF(Расчеты!$6:$6,M$6,Расчеты!1344:1344)</f>
        <v>-120087.39633525597</v>
      </c>
      <c r="N13" s="10">
        <f ca="1" xml:space="preserve"> SUMIF(Расчеты!$6:$6,N$6,Расчеты!1344:1344)</f>
        <v>-145065.04084346039</v>
      </c>
      <c r="O13" s="10">
        <f ca="1" xml:space="preserve"> SUMIF(Расчеты!$6:$6,O$6,Расчеты!1344:1344)</f>
        <v>-329141.18571627844</v>
      </c>
      <c r="P13" s="10">
        <f ca="1" xml:space="preserve"> SUMIF(Расчеты!$6:$6,P$6,Расчеты!1344:1344)</f>
        <v>780973.26282380673</v>
      </c>
      <c r="Q13" s="10">
        <f ca="1" xml:space="preserve"> SUMIF(Расчеты!$6:$6,Q$6,Расчеты!1344:1344)</f>
        <v>528343.0347182746</v>
      </c>
      <c r="R13" s="10">
        <f ca="1" xml:space="preserve"> SUMIF(Расчеты!$6:$6,R$6,Расчеты!1344:1344)</f>
        <v>651032.19416920596</v>
      </c>
      <c r="S13" s="10">
        <f ca="1" xml:space="preserve"> SUMIF(Расчеты!$6:$6,S$6,Расчеты!1344:1344)</f>
        <v>777074.75479715108</v>
      </c>
      <c r="T13" s="10">
        <f ca="1" xml:space="preserve"> SUMIF(Расчеты!$6:$6,T$6,Расчеты!1344:1344)</f>
        <v>842574.23118174262</v>
      </c>
      <c r="U13" s="10">
        <f ca="1" xml:space="preserve"> SUMIF(Расчеты!$6:$6,U$6,Расчеты!1344:1344)</f>
        <v>761542.05473902018</v>
      </c>
      <c r="V13" s="10">
        <f ca="1" xml:space="preserve"> SUMIF(Расчеты!$6:$6,V$6,Расчеты!1344:1344)</f>
        <v>671542.7981329232</v>
      </c>
      <c r="W13" s="10">
        <f ca="1" xml:space="preserve"> SUMIF(Расчеты!$6:$6,W$6,Расчеты!1344:1344)</f>
        <v>696272.09737878665</v>
      </c>
      <c r="X13" s="10">
        <f ca="1" xml:space="preserve"> SUMIF(Расчеты!$6:$6,X$6,Расчеты!1344:1344)</f>
        <v>722118.62923451606</v>
      </c>
      <c r="Y13" s="10">
        <f ca="1" xml:space="preserve"> SUMIF(Расчеты!$6:$6,Y$6,Расчеты!1344:1344)</f>
        <v>742094.23303240421</v>
      </c>
      <c r="Z13" s="10">
        <f ca="1" xml:space="preserve"> SUMIF(Расчеты!$6:$6,Z$6,Расчеты!1344:1344)</f>
        <v>699652.39890484186</v>
      </c>
      <c r="AA13" s="10">
        <f ca="1" xml:space="preserve"> SUMIF(Расчеты!$6:$6,AA$6,Расчеты!1344:1344)</f>
        <v>713869.0358755819</v>
      </c>
      <c r="AB13" s="10">
        <f ca="1" xml:space="preserve"> SUMIF(Расчеты!$6:$6,AB$6,Расчеты!1344:1344)</f>
        <v>744167.45245579071</v>
      </c>
      <c r="AC13" s="10">
        <f ca="1" xml:space="preserve"> SUMIF(Расчеты!$6:$6,AC$6,Расчеты!1344:1344)</f>
        <v>776731.92671345687</v>
      </c>
      <c r="AD13" s="10">
        <f ca="1" xml:space="preserve"> SUMIF(Расчеты!$6:$6,AD$6,Расчеты!1344:1344)</f>
        <v>810529.96975931467</v>
      </c>
      <c r="AE13" s="10">
        <f ca="1" xml:space="preserve"> SUMIF(Расчеты!$6:$6,AE$6,Расчеты!1344:1344)</f>
        <v>846874.50952719396</v>
      </c>
      <c r="AF13" s="10">
        <f ca="1" xml:space="preserve"> SUMIF(Расчеты!$6:$6,AF$6,Расчеты!1344:1344)</f>
        <v>297494.25082707044</v>
      </c>
      <c r="AG13" s="10">
        <f xml:space="preserve"> SUMIF(Расчеты!$6:$6,AG$6,Расчеты!1344:1344)</f>
        <v>0</v>
      </c>
      <c r="AH13" s="10">
        <f xml:space="preserve"> SUMIF(Расчеты!$6:$6,AH$6,Расчеты!1344:1344)</f>
        <v>0</v>
      </c>
      <c r="AI13" s="10">
        <f xml:space="preserve"> SUMIF(Расчеты!$6:$6,AI$6,Расчеты!1344:1344)</f>
        <v>0</v>
      </c>
      <c r="AJ13" s="10">
        <f xml:space="preserve"> SUMIF(Расчеты!$6:$6,AJ$6,Расчеты!1344:1344)</f>
        <v>0</v>
      </c>
      <c r="AK13" s="10">
        <f xml:space="preserve"> SUMIF(Расчеты!$6:$6,AK$6,Расчеты!1344:1344)</f>
        <v>0</v>
      </c>
      <c r="AL13" s="10"/>
      <c r="AM13" s="10"/>
    </row>
    <row r="14" spans="1:39" s="141" customFormat="1" ht="15" customHeight="1">
      <c r="A14" s="153"/>
      <c r="B14" s="153"/>
      <c r="C14" s="455" t="str">
        <f>Расчеты!C1346</f>
        <v>Выборка старшего долга</v>
      </c>
      <c r="D14" s="153"/>
      <c r="E14" s="11"/>
      <c r="F14" s="11"/>
      <c r="G14" s="11" t="str">
        <f>Monetary_Unit</f>
        <v>тыс. руб.</v>
      </c>
      <c r="H14" s="153"/>
      <c r="I14" s="23">
        <f ca="1" xml:space="preserve"> SUM(L14:AL14)</f>
        <v>2771888.3794600694</v>
      </c>
      <c r="J14" s="153"/>
      <c r="K14" s="153"/>
      <c r="L14" s="10">
        <f ca="1" xml:space="preserve"> SUMIF(Расчеты!$6:$6,L$6,Расчеты!1346:1346)</f>
        <v>0</v>
      </c>
      <c r="M14" s="10">
        <f ca="1" xml:space="preserve"> SUMIF(Расчеты!$6:$6,M$6,Расчеты!1346:1346)</f>
        <v>0</v>
      </c>
      <c r="N14" s="10">
        <f ca="1" xml:space="preserve"> SUMIF(Расчеты!$6:$6,N$6,Расчеты!1346:1346)</f>
        <v>619681.24132743443</v>
      </c>
      <c r="O14" s="10">
        <f ca="1" xml:space="preserve"> SUMIF(Расчеты!$6:$6,O$6,Расчеты!1346:1346)</f>
        <v>1492176.2864028835</v>
      </c>
      <c r="P14" s="10">
        <f ca="1" xml:space="preserve"> SUMIF(Расчеты!$6:$6,P$6,Расчеты!1346:1346)</f>
        <v>660030.85172975156</v>
      </c>
      <c r="Q14" s="10">
        <f ca="1" xml:space="preserve"> SUMIF(Расчеты!$6:$6,Q$6,Расчеты!1346:1346)</f>
        <v>0</v>
      </c>
      <c r="R14" s="10">
        <f ca="1" xml:space="preserve"> SUMIF(Расчеты!$6:$6,R$6,Расчеты!1346:1346)</f>
        <v>0</v>
      </c>
      <c r="S14" s="10">
        <f ca="1" xml:space="preserve"> SUMIF(Расчеты!$6:$6,S$6,Расчеты!1346:1346)</f>
        <v>0</v>
      </c>
      <c r="T14" s="10">
        <f ca="1" xml:space="preserve"> SUMIF(Расчеты!$6:$6,T$6,Расчеты!1346:1346)</f>
        <v>0</v>
      </c>
      <c r="U14" s="10">
        <f ca="1" xml:space="preserve"> SUMIF(Расчеты!$6:$6,U$6,Расчеты!1346:1346)</f>
        <v>0</v>
      </c>
      <c r="V14" s="10">
        <f ca="1" xml:space="preserve"> SUMIF(Расчеты!$6:$6,V$6,Расчеты!1346:1346)</f>
        <v>0</v>
      </c>
      <c r="W14" s="10">
        <f ca="1" xml:space="preserve"> SUMIF(Расчеты!$6:$6,W$6,Расчеты!1346:1346)</f>
        <v>0</v>
      </c>
      <c r="X14" s="10">
        <f ca="1" xml:space="preserve"> SUMIF(Расчеты!$6:$6,X$6,Расчеты!1346:1346)</f>
        <v>0</v>
      </c>
      <c r="Y14" s="10">
        <f ca="1" xml:space="preserve"> SUMIF(Расчеты!$6:$6,Y$6,Расчеты!1346:1346)</f>
        <v>0</v>
      </c>
      <c r="Z14" s="10">
        <f ca="1" xml:space="preserve"> SUMIF(Расчеты!$6:$6,Z$6,Расчеты!1346:1346)</f>
        <v>0</v>
      </c>
      <c r="AA14" s="10">
        <f ca="1" xml:space="preserve"> SUMIF(Расчеты!$6:$6,AA$6,Расчеты!1346:1346)</f>
        <v>0</v>
      </c>
      <c r="AB14" s="10">
        <f ca="1" xml:space="preserve"> SUMIF(Расчеты!$6:$6,AB$6,Расчеты!1346:1346)</f>
        <v>0</v>
      </c>
      <c r="AC14" s="10">
        <f ca="1" xml:space="preserve"> SUMIF(Расчеты!$6:$6,AC$6,Расчеты!1346:1346)</f>
        <v>0</v>
      </c>
      <c r="AD14" s="10">
        <f ca="1" xml:space="preserve"> SUMIF(Расчеты!$6:$6,AD$6,Расчеты!1346:1346)</f>
        <v>0</v>
      </c>
      <c r="AE14" s="10">
        <f ca="1" xml:space="preserve"> SUMIF(Расчеты!$6:$6,AE$6,Расчеты!1346:1346)</f>
        <v>0</v>
      </c>
      <c r="AF14" s="10">
        <f ca="1" xml:space="preserve"> SUMIF(Расчеты!$6:$6,AF$6,Расчеты!1346:1346)</f>
        <v>0</v>
      </c>
      <c r="AG14" s="10">
        <f xml:space="preserve"> SUMIF(Расчеты!$6:$6,AG$6,Расчеты!1346:1346)</f>
        <v>0</v>
      </c>
      <c r="AH14" s="10">
        <f xml:space="preserve"> SUMIF(Расчеты!$6:$6,AH$6,Расчеты!1346:1346)</f>
        <v>0</v>
      </c>
      <c r="AI14" s="10">
        <f xml:space="preserve"> SUMIF(Расчеты!$6:$6,AI$6,Расчеты!1346:1346)</f>
        <v>0</v>
      </c>
      <c r="AJ14" s="10">
        <f xml:space="preserve"> SUMIF(Расчеты!$6:$6,AJ$6,Расчеты!1346:1346)</f>
        <v>0</v>
      </c>
      <c r="AK14" s="10">
        <f xml:space="preserve"> SUMIF(Расчеты!$6:$6,AK$6,Расчеты!1346:1346)</f>
        <v>0</v>
      </c>
      <c r="AL14" s="10"/>
      <c r="AM14" s="10"/>
    </row>
    <row r="15" spans="1:39" s="141" customFormat="1" ht="15" customHeight="1">
      <c r="A15" s="153"/>
      <c r="B15" s="153"/>
      <c r="C15" s="456" t="str">
        <f>Расчеты!C1347</f>
        <v>Обслуживание старшего долга</v>
      </c>
      <c r="D15" s="153"/>
      <c r="E15" s="11"/>
      <c r="F15" s="11"/>
      <c r="G15" s="11" t="str">
        <f>Monetary_Unit</f>
        <v>тыс. руб.</v>
      </c>
      <c r="H15" s="153"/>
      <c r="I15" s="23">
        <f ca="1" xml:space="preserve"> SUM(L15:AL15)</f>
        <v>-2771888.3794600694</v>
      </c>
      <c r="J15" s="153"/>
      <c r="K15" s="10"/>
      <c r="L15" s="10">
        <f ca="1" xml:space="preserve"> SUMIF(Расчеты!$6:$6,L$6,Расчеты!1347:1347)</f>
        <v>0</v>
      </c>
      <c r="M15" s="10">
        <f ca="1" xml:space="preserve"> SUMIF(Расчеты!$6:$6,M$6,Расчеты!1347:1347)</f>
        <v>0</v>
      </c>
      <c r="N15" s="10">
        <f ca="1" xml:space="preserve"> SUMIF(Расчеты!$6:$6,N$6,Расчеты!1347:1347)</f>
        <v>0</v>
      </c>
      <c r="O15" s="10">
        <f ca="1" xml:space="preserve"> SUMIF(Расчеты!$6:$6,O$6,Расчеты!1347:1347)</f>
        <v>0</v>
      </c>
      <c r="P15" s="10">
        <f ca="1" xml:space="preserve"> SUMIF(Расчеты!$6:$6,P$6,Расчеты!1347:1347)</f>
        <v>-753894.65174027195</v>
      </c>
      <c r="Q15" s="10">
        <f ca="1" xml:space="preserve"> SUMIF(Расчеты!$6:$6,Q$6,Расчеты!1347:1347)</f>
        <v>-422668.08545859891</v>
      </c>
      <c r="R15" s="10">
        <f ca="1" xml:space="preserve"> SUMIF(Расчеты!$6:$6,R$6,Расчеты!1347:1347)</f>
        <v>-529127.09300824604</v>
      </c>
      <c r="S15" s="10">
        <f ca="1" xml:space="preserve"> SUMIF(Расчеты!$6:$6,S$6,Расчеты!1347:1347)</f>
        <v>-639395.48649945413</v>
      </c>
      <c r="T15" s="10">
        <f ca="1" xml:space="preserve"> SUMIF(Расчеты!$6:$6,T$6,Расчеты!1347:1347)</f>
        <v>-426803.06275349879</v>
      </c>
      <c r="U15" s="10">
        <f ca="1" xml:space="preserve"> SUMIF(Расчеты!$6:$6,U$6,Расчеты!1347:1347)</f>
        <v>0</v>
      </c>
      <c r="V15" s="10">
        <f ca="1" xml:space="preserve"> SUMIF(Расчеты!$6:$6,V$6,Расчеты!1347:1347)</f>
        <v>0</v>
      </c>
      <c r="W15" s="10">
        <f ca="1" xml:space="preserve"> SUMIF(Расчеты!$6:$6,W$6,Расчеты!1347:1347)</f>
        <v>0</v>
      </c>
      <c r="X15" s="10">
        <f ca="1" xml:space="preserve"> SUMIF(Расчеты!$6:$6,X$6,Расчеты!1347:1347)</f>
        <v>0</v>
      </c>
      <c r="Y15" s="10">
        <f ca="1" xml:space="preserve"> SUMIF(Расчеты!$6:$6,Y$6,Расчеты!1347:1347)</f>
        <v>0</v>
      </c>
      <c r="Z15" s="10">
        <f ca="1" xml:space="preserve"> SUMIF(Расчеты!$6:$6,Z$6,Расчеты!1347:1347)</f>
        <v>0</v>
      </c>
      <c r="AA15" s="10">
        <f ca="1" xml:space="preserve"> SUMIF(Расчеты!$6:$6,AA$6,Расчеты!1347:1347)</f>
        <v>0</v>
      </c>
      <c r="AB15" s="10">
        <f ca="1" xml:space="preserve"> SUMIF(Расчеты!$6:$6,AB$6,Расчеты!1347:1347)</f>
        <v>0</v>
      </c>
      <c r="AC15" s="10">
        <f ca="1" xml:space="preserve"> SUMIF(Расчеты!$6:$6,AC$6,Расчеты!1347:1347)</f>
        <v>0</v>
      </c>
      <c r="AD15" s="10">
        <f ca="1" xml:space="preserve"> SUMIF(Расчеты!$6:$6,AD$6,Расчеты!1347:1347)</f>
        <v>0</v>
      </c>
      <c r="AE15" s="10">
        <f ca="1" xml:space="preserve"> SUMIF(Расчеты!$6:$6,AE$6,Расчеты!1347:1347)</f>
        <v>0</v>
      </c>
      <c r="AF15" s="10">
        <f ca="1" xml:space="preserve"> SUMIF(Расчеты!$6:$6,AF$6,Расчеты!1347:1347)</f>
        <v>0</v>
      </c>
      <c r="AG15" s="10">
        <f xml:space="preserve"> SUMIF(Расчеты!$6:$6,AG$6,Расчеты!1347:1347)</f>
        <v>0</v>
      </c>
      <c r="AH15" s="10">
        <f xml:space="preserve"> SUMIF(Расчеты!$6:$6,AH$6,Расчеты!1347:1347)</f>
        <v>0</v>
      </c>
      <c r="AI15" s="10">
        <f xml:space="preserve"> SUMIF(Расчеты!$6:$6,AI$6,Расчеты!1347:1347)</f>
        <v>0</v>
      </c>
      <c r="AJ15" s="10">
        <f xml:space="preserve"> SUMIF(Расчеты!$6:$6,AJ$6,Расчеты!1347:1347)</f>
        <v>0</v>
      </c>
      <c r="AK15" s="10">
        <f xml:space="preserve"> SUMIF(Расчеты!$6:$6,AK$6,Расчеты!1347:1347)</f>
        <v>0</v>
      </c>
      <c r="AL15" s="10"/>
      <c r="AM15" s="10"/>
    </row>
    <row r="16" spans="1:39" s="141" customFormat="1" ht="15" customHeight="1">
      <c r="A16" s="153"/>
      <c r="B16" s="153"/>
      <c r="C16" s="17"/>
      <c r="D16" s="153"/>
      <c r="E16" s="11"/>
      <c r="F16" s="11"/>
      <c r="G16" s="11"/>
      <c r="H16" s="153"/>
      <c r="I16" s="155"/>
      <c r="J16" s="153"/>
      <c r="K16" s="153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s="141" customFormat="1" ht="15" customHeight="1">
      <c r="A17" s="153"/>
      <c r="B17" s="153"/>
      <c r="C17" s="17" t="s">
        <v>590</v>
      </c>
      <c r="D17" s="153"/>
      <c r="E17" s="11"/>
      <c r="F17" s="11"/>
      <c r="G17" s="11" t="str">
        <f>Monetary_Unit</f>
        <v>тыс. руб.</v>
      </c>
      <c r="H17" s="153"/>
      <c r="I17" s="23">
        <f ca="1" xml:space="preserve"> SUM(L17:AL17)</f>
        <v>-1033473.4619220027</v>
      </c>
      <c r="J17" s="153"/>
      <c r="K17" s="153"/>
      <c r="L17" s="10">
        <f ca="1" xml:space="preserve"> IF(Расчеты!E1343=1,L12 + L13,MIN(SUM(L12:L15),0))</f>
        <v>-82665.685468645795</v>
      </c>
      <c r="M17" s="10">
        <f ca="1" xml:space="preserve"> IF(Расчеты!F1343=1,M12 + M13,MIN(SUM(M12:M15),0))</f>
        <v>-720524.37801153574</v>
      </c>
      <c r="N17" s="10">
        <f ca="1" xml:space="preserve"> IF(Расчеты!G1343=1,N12 + N13,MIN(SUM(N12:N15),0))</f>
        <v>-149838.26045935682</v>
      </c>
      <c r="O17" s="10">
        <f ca="1" xml:space="preserve"> IF(Расчеты!H1343=1,O12 + O13,MIN(SUM(O12:O15),0))</f>
        <v>-80445.137982464395</v>
      </c>
      <c r="P17" s="10">
        <f ca="1" xml:space="preserve"> IF(Расчеты!I1343=1,P12 + P13,MIN(SUM(P12:P15),0))</f>
        <v>0</v>
      </c>
      <c r="Q17" s="10">
        <f ca="1" xml:space="preserve"> IF(Расчеты!J1343=1,Q12 + Q13,MIN(SUM(Q12:Q15),0))</f>
        <v>0</v>
      </c>
      <c r="R17" s="10">
        <f ca="1" xml:space="preserve"> IF(Расчеты!K1343=1,R12 + R13,MIN(SUM(R12:R15),0))</f>
        <v>0</v>
      </c>
      <c r="S17" s="10">
        <f ca="1" xml:space="preserve"> IF(Расчеты!L1343=1,S12 + S13,MIN(SUM(S12:S15),0))</f>
        <v>0</v>
      </c>
      <c r="T17" s="10">
        <f ca="1" xml:space="preserve"> IF(Расчеты!M1343=1,T12 + T13,MIN(SUM(T12:T15),0))</f>
        <v>0</v>
      </c>
      <c r="U17" s="10">
        <f ca="1" xml:space="preserve"> IF(Расчеты!N1343=1,U12 + U13,MIN(SUM(U12:U15),0))</f>
        <v>0</v>
      </c>
      <c r="V17" s="10">
        <f ca="1" xml:space="preserve"> IF(Расчеты!O1343=1,V12 + V13,MIN(SUM(V12:V15),0))</f>
        <v>0</v>
      </c>
      <c r="W17" s="10">
        <f ca="1" xml:space="preserve"> IF(Расчеты!P1343=1,W12 + W13,MIN(SUM(W12:W15),0))</f>
        <v>0</v>
      </c>
      <c r="X17" s="10">
        <f ca="1" xml:space="preserve"> IF(Расчеты!Q1343=1,X12 + X13,MIN(SUM(X12:X15),0))</f>
        <v>0</v>
      </c>
      <c r="Y17" s="10">
        <f ca="1" xml:space="preserve"> IF(Расчеты!R1343=1,Y12 + Y13,MIN(SUM(Y12:Y15),0))</f>
        <v>0</v>
      </c>
      <c r="Z17" s="10">
        <f ca="1" xml:space="preserve"> IF(Расчеты!S1343=1,Z12 + Z13,MIN(SUM(Z12:Z15),0))</f>
        <v>0</v>
      </c>
      <c r="AA17" s="10">
        <f ca="1" xml:space="preserve"> IF(Расчеты!T1343=1,AA12 + AA13,MIN(SUM(AA12:AA15),0))</f>
        <v>0</v>
      </c>
      <c r="AB17" s="10">
        <f ca="1" xml:space="preserve"> IF(Расчеты!U1343=1,AB12 + AB13,MIN(SUM(AB12:AB15),0))</f>
        <v>0</v>
      </c>
      <c r="AC17" s="10">
        <f ca="1" xml:space="preserve"> IF(Расчеты!V1343=1,AC12 + AC13,MIN(SUM(AC12:AC15),0))</f>
        <v>0</v>
      </c>
      <c r="AD17" s="10">
        <f ca="1" xml:space="preserve"> IF(Расчеты!W1343=1,AD12 + AD13,MIN(SUM(AD12:AD15),0))</f>
        <v>0</v>
      </c>
      <c r="AE17" s="10">
        <f ca="1" xml:space="preserve"> IF(Расчеты!X1343=1,AE12 + AE13,MIN(SUM(AE12:AE15),0))</f>
        <v>0</v>
      </c>
      <c r="AF17" s="10">
        <f ca="1" xml:space="preserve"> IF(Расчеты!Y1343=1,AF12 + AF13,MIN(SUM(AF12:AF15),0))</f>
        <v>0</v>
      </c>
      <c r="AG17" s="10">
        <f xml:space="preserve"> IF(Расчеты!Z1343=1,AG12 + AG13,MIN(SUM(AG12:AG15),0))</f>
        <v>0</v>
      </c>
      <c r="AH17" s="10">
        <f xml:space="preserve"> IF(Расчеты!AA1343=1,AH12 + AH13,MIN(SUM(AH12:AH15),0))</f>
        <v>0</v>
      </c>
      <c r="AI17" s="10">
        <f xml:space="preserve"> IF(Расчеты!AB1343=1,AI12 + AI13,MIN(SUM(AI12:AI15),0))</f>
        <v>0</v>
      </c>
      <c r="AJ17" s="10">
        <f xml:space="preserve"> IF(Расчеты!AC1343=1,AJ12 + AJ13,MIN(SUM(AJ12:AJ15),0))</f>
        <v>0</v>
      </c>
      <c r="AK17" s="10">
        <f xml:space="preserve"> IF(Расчеты!AD1343=1,AK12 + AK13,MIN(SUM(AK12:AK15),0))</f>
        <v>0</v>
      </c>
      <c r="AL17" s="10"/>
      <c r="AM17" s="10"/>
    </row>
    <row r="18" spans="1:39" s="141" customFormat="1" ht="15" customHeight="1" thickBot="1">
      <c r="A18" s="153"/>
      <c r="B18" s="153"/>
      <c r="C18" s="17" t="s">
        <v>591</v>
      </c>
      <c r="D18" s="153"/>
      <c r="E18" s="11"/>
      <c r="F18" s="11"/>
      <c r="G18" s="11" t="str">
        <f>Monetary_Unit</f>
        <v>тыс. руб.</v>
      </c>
      <c r="H18" s="153"/>
      <c r="I18" s="23">
        <f ca="1" xml:space="preserve"> SUM(L18:AL18)</f>
        <v>9401003.5967659708</v>
      </c>
      <c r="J18" s="153"/>
      <c r="K18" s="153"/>
      <c r="L18" s="10">
        <f ca="1" xml:space="preserve"> IF(Расчеты!E1343=1,L14 + L15,MAX(SUM(L12:L15),0))</f>
        <v>0</v>
      </c>
      <c r="M18" s="10">
        <f ca="1" xml:space="preserve"> IF(Расчеты!F1343=1,M14 + M15,MAX(SUM(M12:M15),0))</f>
        <v>0</v>
      </c>
      <c r="N18" s="10">
        <f ca="1" xml:space="preserve"> IF(Расчеты!G1343=1,N14 + N15,MAX(SUM(N12:N15),0))</f>
        <v>0</v>
      </c>
      <c r="O18" s="10">
        <f ca="1" xml:space="preserve"> IF(Расчеты!H1343=1,O14 + O15,MAX(SUM(O12:O15),0))</f>
        <v>0</v>
      </c>
      <c r="P18" s="10">
        <f ca="1" xml:space="preserve"> IF(Расчеты!I1343=1,P14 + P15,MAX(SUM(P12:P15),0))</f>
        <v>137083.75303849322</v>
      </c>
      <c r="Q18" s="10">
        <f ca="1" xml:space="preserve"> IF(Расчеты!J1343=1,Q14 + Q15,MAX(SUM(Q12:Q15),0))</f>
        <v>105674.94925967569</v>
      </c>
      <c r="R18" s="10">
        <f ca="1" xml:space="preserve"> IF(Расчеты!K1343=1,R14 + R15,MAX(SUM(R12:R15),0))</f>
        <v>121905.10116095992</v>
      </c>
      <c r="S18" s="10">
        <f ca="1" xml:space="preserve"> IF(Расчеты!L1343=1,S14 + S15,MAX(SUM(S12:S15),0))</f>
        <v>137679.26829769695</v>
      </c>
      <c r="T18" s="10">
        <f ca="1" xml:space="preserve"> IF(Расчеты!M1343=1,T14 + T15,MAX(SUM(T12:T15),0))</f>
        <v>415771.16842824384</v>
      </c>
      <c r="U18" s="10">
        <f ca="1" xml:space="preserve"> IF(Расчеты!N1343=1,U14 + U15,MAX(SUM(U12:U15),0))</f>
        <v>761542.05473902018</v>
      </c>
      <c r="V18" s="10">
        <f ca="1" xml:space="preserve"> IF(Расчеты!O1343=1,V14 + V15,MAX(SUM(V12:V15),0))</f>
        <v>671542.7981329232</v>
      </c>
      <c r="W18" s="10">
        <f ca="1" xml:space="preserve"> IF(Расчеты!P1343=1,W14 + W15,MAX(SUM(W12:W15),0))</f>
        <v>696272.09737878665</v>
      </c>
      <c r="X18" s="10">
        <f ca="1" xml:space="preserve"> IF(Расчеты!Q1343=1,X14 + X15,MAX(SUM(X12:X15),0))</f>
        <v>722118.62923451606</v>
      </c>
      <c r="Y18" s="10">
        <f ca="1" xml:space="preserve"> IF(Расчеты!R1343=1,Y14 + Y15,MAX(SUM(Y12:Y15),0))</f>
        <v>742094.23303240421</v>
      </c>
      <c r="Z18" s="10">
        <f ca="1" xml:space="preserve"> IF(Расчеты!S1343=1,Z14 + Z15,MAX(SUM(Z12:Z15),0))</f>
        <v>699652.39890484186</v>
      </c>
      <c r="AA18" s="10">
        <f ca="1" xml:space="preserve"> IF(Расчеты!T1343=1,AA14 + AA15,MAX(SUM(AA12:AA15),0))</f>
        <v>713869.0358755819</v>
      </c>
      <c r="AB18" s="10">
        <f ca="1" xml:space="preserve"> IF(Расчеты!U1343=1,AB14 + AB15,MAX(SUM(AB12:AB15),0))</f>
        <v>744167.45245579071</v>
      </c>
      <c r="AC18" s="10">
        <f ca="1" xml:space="preserve"> IF(Расчеты!V1343=1,AC14 + AC15,MAX(SUM(AC12:AC15),0))</f>
        <v>776731.92671345687</v>
      </c>
      <c r="AD18" s="10">
        <f ca="1" xml:space="preserve"> IF(Расчеты!W1343=1,AD14 + AD15,MAX(SUM(AD12:AD15),0))</f>
        <v>810529.96975931467</v>
      </c>
      <c r="AE18" s="10">
        <f ca="1" xml:space="preserve"> IF(Расчеты!X1343=1,AE14 + AE15,MAX(SUM(AE12:AE15),0))</f>
        <v>846874.50952719396</v>
      </c>
      <c r="AF18" s="10">
        <f ca="1" xml:space="preserve"> IF(Расчеты!Y1343=1,AF14 + AF15,MAX(SUM(AF12:AF15),0))</f>
        <v>297494.25082707044</v>
      </c>
      <c r="AG18" s="10">
        <f xml:space="preserve"> IF(Расчеты!Z1343=1,AG14 + AG15,MAX(SUM(AG12:AG15),0))</f>
        <v>0</v>
      </c>
      <c r="AH18" s="10">
        <f xml:space="preserve"> IF(Расчеты!AA1343=1,AH14 + AH15,MAX(SUM(AH12:AH15),0))</f>
        <v>0</v>
      </c>
      <c r="AI18" s="10">
        <f xml:space="preserve"> IF(Расчеты!AB1343=1,AI14 + AI15,MAX(SUM(AI12:AI15),0))</f>
        <v>0</v>
      </c>
      <c r="AJ18" s="10">
        <f xml:space="preserve"> IF(Расчеты!AC1343=1,AJ14 + AJ15,MAX(SUM(AJ12:AJ15),0))</f>
        <v>0</v>
      </c>
      <c r="AK18" s="10">
        <f xml:space="preserve"> IF(Расчеты!AD1343=1,AK14 + AK15,MAX(SUM(AK12:AK15),0))</f>
        <v>0</v>
      </c>
      <c r="AL18" s="10"/>
      <c r="AM18" s="10"/>
    </row>
    <row r="19" spans="1:39" s="141" customFormat="1" ht="15" customHeight="1" thickTop="1">
      <c r="A19" s="153"/>
      <c r="B19" s="153"/>
      <c r="C19" s="49" t="s">
        <v>592</v>
      </c>
      <c r="D19" s="49"/>
      <c r="E19" s="49"/>
      <c r="F19" s="49"/>
      <c r="G19" s="159" t="str">
        <f>Monetary_Unit</f>
        <v>тыс. руб.</v>
      </c>
      <c r="H19" s="49"/>
      <c r="I19" s="23">
        <f ca="1" xml:space="preserve"> SUM(L19:AL19)</f>
        <v>8367530.1348439679</v>
      </c>
      <c r="J19" s="49"/>
      <c r="K19" s="49"/>
      <c r="L19" s="49">
        <f ca="1">SUM(L17:L18)</f>
        <v>-82665.685468645795</v>
      </c>
      <c r="M19" s="49">
        <f t="shared" ref="M19:Z19" ca="1" si="6">SUM(M17:M18)</f>
        <v>-720524.37801153574</v>
      </c>
      <c r="N19" s="49">
        <f t="shared" ca="1" si="6"/>
        <v>-149838.26045935682</v>
      </c>
      <c r="O19" s="49">
        <f t="shared" ca="1" si="6"/>
        <v>-80445.137982464395</v>
      </c>
      <c r="P19" s="49">
        <f t="shared" ca="1" si="6"/>
        <v>137083.75303849322</v>
      </c>
      <c r="Q19" s="49">
        <f t="shared" ca="1" si="6"/>
        <v>105674.94925967569</v>
      </c>
      <c r="R19" s="49">
        <f t="shared" ca="1" si="6"/>
        <v>121905.10116095992</v>
      </c>
      <c r="S19" s="49">
        <f t="shared" ca="1" si="6"/>
        <v>137679.26829769695</v>
      </c>
      <c r="T19" s="49">
        <f t="shared" ca="1" si="6"/>
        <v>415771.16842824384</v>
      </c>
      <c r="U19" s="49">
        <f t="shared" ca="1" si="6"/>
        <v>761542.05473902018</v>
      </c>
      <c r="V19" s="49">
        <f t="shared" ca="1" si="6"/>
        <v>671542.7981329232</v>
      </c>
      <c r="W19" s="49">
        <f t="shared" ca="1" si="6"/>
        <v>696272.09737878665</v>
      </c>
      <c r="X19" s="49">
        <f t="shared" ca="1" si="6"/>
        <v>722118.62923451606</v>
      </c>
      <c r="Y19" s="49">
        <f t="shared" ca="1" si="6"/>
        <v>742094.23303240421</v>
      </c>
      <c r="Z19" s="49">
        <f t="shared" ca="1" si="6"/>
        <v>699652.39890484186</v>
      </c>
      <c r="AA19" s="49">
        <f t="shared" ref="AA19:AK19" ca="1" si="7">SUM(AA17:AA18)</f>
        <v>713869.0358755819</v>
      </c>
      <c r="AB19" s="49">
        <f t="shared" ca="1" si="7"/>
        <v>744167.45245579071</v>
      </c>
      <c r="AC19" s="49">
        <f t="shared" ca="1" si="7"/>
        <v>776731.92671345687</v>
      </c>
      <c r="AD19" s="49">
        <f t="shared" ca="1" si="7"/>
        <v>810529.96975931467</v>
      </c>
      <c r="AE19" s="49">
        <f t="shared" ca="1" si="7"/>
        <v>846874.50952719396</v>
      </c>
      <c r="AF19" s="49">
        <f t="shared" ca="1" si="7"/>
        <v>297494.25082707044</v>
      </c>
      <c r="AG19" s="49">
        <f t="shared" si="7"/>
        <v>0</v>
      </c>
      <c r="AH19" s="49">
        <f t="shared" si="7"/>
        <v>0</v>
      </c>
      <c r="AI19" s="49">
        <f t="shared" si="7"/>
        <v>0</v>
      </c>
      <c r="AJ19" s="49">
        <f t="shared" si="7"/>
        <v>0</v>
      </c>
      <c r="AK19" s="49">
        <f t="shared" si="7"/>
        <v>0</v>
      </c>
      <c r="AL19" s="49"/>
      <c r="AM19" s="35"/>
    </row>
    <row r="20" spans="1:39" s="141" customFormat="1" ht="15" customHeight="1">
      <c r="A20" s="153"/>
      <c r="B20" s="153"/>
      <c r="C20" s="17"/>
      <c r="D20" s="153"/>
      <c r="E20" s="11"/>
      <c r="F20" s="11"/>
      <c r="G20" s="11"/>
      <c r="H20" s="153"/>
      <c r="I20" s="155"/>
      <c r="J20" s="153"/>
      <c r="K20" s="153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s="141" customFormat="1" ht="15" customHeight="1" thickBot="1">
      <c r="A21" s="153"/>
      <c r="B21" s="153"/>
      <c r="C21" s="12" t="s">
        <v>753</v>
      </c>
      <c r="D21" s="12"/>
      <c r="E21" s="12"/>
      <c r="F21" s="12"/>
      <c r="G21" s="12"/>
      <c r="H21" s="12"/>
      <c r="I21" s="12"/>
      <c r="J21" s="153"/>
      <c r="K21" s="153"/>
      <c r="L21" s="149"/>
      <c r="M21" s="149"/>
      <c r="N21" s="149"/>
      <c r="O21" s="149"/>
      <c r="P21" s="149"/>
      <c r="Q21" s="149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s="141" customFormat="1" ht="15" customHeight="1">
      <c r="A22" s="153"/>
      <c r="B22" s="153"/>
      <c r="C22" s="17"/>
      <c r="D22" s="153"/>
      <c r="E22" s="11"/>
      <c r="F22" s="11"/>
      <c r="G22" s="11"/>
      <c r="H22" s="153"/>
      <c r="I22" s="155"/>
      <c r="J22" s="153"/>
      <c r="K22" s="153"/>
      <c r="L22" s="149"/>
      <c r="M22" s="149"/>
      <c r="N22" s="149"/>
      <c r="O22" s="149"/>
      <c r="P22" s="149"/>
      <c r="Q22" s="149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s="141" customFormat="1" ht="15" customHeight="1">
      <c r="A23" s="153"/>
      <c r="B23" s="153"/>
      <c r="C23" s="17" t="s">
        <v>755</v>
      </c>
      <c r="D23" s="153"/>
      <c r="E23" s="11"/>
      <c r="F23" s="11"/>
      <c r="G23" s="11"/>
      <c r="H23" s="153"/>
      <c r="I23" s="155"/>
      <c r="J23" s="153"/>
      <c r="K23" s="153"/>
      <c r="L23" s="10">
        <f ca="1" xml:space="preserve"> - SUMIF(Расчеты!$6:$6,L$6,Расчеты!1144:1144)</f>
        <v>0</v>
      </c>
      <c r="M23" s="10">
        <f ca="1" xml:space="preserve"> - SUMIF(Расчеты!$6:$6,M$6,Расчеты!1144:1144)</f>
        <v>0</v>
      </c>
      <c r="N23" s="10">
        <f ca="1" xml:space="preserve"> - SUMIF(Расчеты!$6:$6,N$6,Расчеты!1144:1144)</f>
        <v>14457.325625393623</v>
      </c>
      <c r="O23" s="10">
        <f ca="1" xml:space="preserve"> - SUMIF(Расчеты!$6:$6,O$6,Расчеты!1144:1144)</f>
        <v>75659.583999173497</v>
      </c>
      <c r="P23" s="10">
        <f ca="1" xml:space="preserve"> - SUMIF(Расчеты!$6:$6,P$6,Расчеты!1144:1144)</f>
        <v>134466.50816201299</v>
      </c>
      <c r="Q23" s="10">
        <f ca="1" xml:space="preserve"> - SUMIF(Расчеты!$6:$6,Q$6,Расчеты!1144:1144)</f>
        <v>105706.66083977962</v>
      </c>
      <c r="R23" s="10">
        <f ca="1" xml:space="preserve"> - SUMIF(Расчеты!$6:$6,R$6,Расчеты!1144:1144)</f>
        <v>80398.412796553239</v>
      </c>
      <c r="S23" s="10">
        <f ca="1" xml:space="preserve"> - SUMIF(Расчеты!$6:$6,S$6,Расчеты!1144:1144)</f>
        <v>49000.854989030166</v>
      </c>
      <c r="T23" s="10">
        <f ca="1" xml:space="preserve"> - SUMIF(Расчеты!$6:$6,T$6,Расчеты!1144:1144)</f>
        <v>12816.569095355595</v>
      </c>
      <c r="U23" s="10">
        <f ca="1" xml:space="preserve"> - SUMIF(Расчеты!$6:$6,U$6,Расчеты!1144:1144)</f>
        <v>0</v>
      </c>
      <c r="V23" s="10">
        <f ca="1" xml:space="preserve"> - SUMIF(Расчеты!$6:$6,V$6,Расчеты!1144:1144)</f>
        <v>0</v>
      </c>
      <c r="W23" s="10">
        <f ca="1" xml:space="preserve"> - SUMIF(Расчеты!$6:$6,W$6,Расчеты!1144:1144)</f>
        <v>0</v>
      </c>
      <c r="X23" s="10">
        <f ca="1" xml:space="preserve"> - SUMIF(Расчеты!$6:$6,X$6,Расчеты!1144:1144)</f>
        <v>0</v>
      </c>
      <c r="Y23" s="10">
        <f ca="1" xml:space="preserve"> - SUMIF(Расчеты!$6:$6,Y$6,Расчеты!1144:1144)</f>
        <v>0</v>
      </c>
      <c r="Z23" s="10">
        <f ca="1" xml:space="preserve"> - SUMIF(Расчеты!$6:$6,Z$6,Расчеты!1144:1144)</f>
        <v>0</v>
      </c>
      <c r="AA23" s="10">
        <f ca="1" xml:space="preserve"> - SUMIF(Расчеты!$6:$6,AA$6,Расчеты!1144:1144)</f>
        <v>0</v>
      </c>
      <c r="AB23" s="10">
        <f ca="1" xml:space="preserve"> - SUMIF(Расчеты!$6:$6,AB$6,Расчеты!1144:1144)</f>
        <v>0</v>
      </c>
      <c r="AC23" s="10">
        <f ca="1" xml:space="preserve"> - SUMIF(Расчеты!$6:$6,AC$6,Расчеты!1144:1144)</f>
        <v>0</v>
      </c>
      <c r="AD23" s="10">
        <f ca="1" xml:space="preserve"> - SUMIF(Расчеты!$6:$6,AD$6,Расчеты!1144:1144)</f>
        <v>0</v>
      </c>
      <c r="AE23" s="10">
        <f ca="1" xml:space="preserve"> - SUMIF(Расчеты!$6:$6,AE$6,Расчеты!1144:1144)</f>
        <v>0</v>
      </c>
      <c r="AF23" s="10">
        <f ca="1" xml:space="preserve"> - SUMIF(Расчеты!$6:$6,AF$6,Расчеты!1144:1144)</f>
        <v>0</v>
      </c>
      <c r="AG23" s="10">
        <f xml:space="preserve"> - SUMIF(Расчеты!$6:$6,AG$6,Расчеты!1144:1144)</f>
        <v>0</v>
      </c>
      <c r="AH23" s="10">
        <f xml:space="preserve"> - SUMIF(Расчеты!$6:$6,AH$6,Расчеты!1144:1144)</f>
        <v>0</v>
      </c>
      <c r="AI23" s="10">
        <f xml:space="preserve"> - SUMIF(Расчеты!$6:$6,AI$6,Расчеты!1144:1144)</f>
        <v>0</v>
      </c>
      <c r="AJ23" s="10">
        <f xml:space="preserve"> - SUMIF(Расчеты!$6:$6,AJ$6,Расчеты!1144:1144)</f>
        <v>0</v>
      </c>
      <c r="AK23" s="10">
        <f xml:space="preserve"> - SUMIF(Расчеты!$6:$6,AK$6,Расчеты!1144:1144)</f>
        <v>0</v>
      </c>
      <c r="AL23" s="10"/>
      <c r="AM23" s="10"/>
    </row>
    <row r="24" spans="1:39" s="141" customFormat="1" ht="15" customHeight="1">
      <c r="A24" s="153"/>
      <c r="B24" s="153"/>
      <c r="C24" s="17" t="s">
        <v>754</v>
      </c>
      <c r="D24" s="153"/>
      <c r="E24" s="11"/>
      <c r="F24" s="11"/>
      <c r="G24" s="11"/>
      <c r="H24" s="153"/>
      <c r="I24" s="155"/>
      <c r="J24" s="153"/>
      <c r="K24" s="153"/>
      <c r="L24" s="10">
        <f ca="1" xml:space="preserve"> - SUMIF(Расчеты!$6:$6,L$6,Расчеты!1137:1137)</f>
        <v>0</v>
      </c>
      <c r="M24" s="10">
        <f ca="1" xml:space="preserve"> - SUMIF(Расчеты!$6:$6,M$6,Расчеты!1137:1137)</f>
        <v>0</v>
      </c>
      <c r="N24" s="10">
        <f ca="1" xml:space="preserve"> - SUMIF(Расчеты!$6:$6,N$6,Расчеты!1137:1137)</f>
        <v>0</v>
      </c>
      <c r="O24" s="10">
        <f ca="1" xml:space="preserve"> - SUMIF(Расчеты!$6:$6,O$6,Расчеты!1137:1137)</f>
        <v>0</v>
      </c>
      <c r="P24" s="10">
        <f ca="1" xml:space="preserve"> - SUMIF(Расчеты!$6:$6,P$6,Расчеты!1137:1137)</f>
        <v>753894.65174027195</v>
      </c>
      <c r="Q24" s="10">
        <f ca="1" xml:space="preserve"> - SUMIF(Расчеты!$6:$6,Q$6,Расчеты!1137:1137)</f>
        <v>422668.08545859891</v>
      </c>
      <c r="R24" s="10">
        <f ca="1" xml:space="preserve"> - SUMIF(Расчеты!$6:$6,R$6,Расчеты!1137:1137)</f>
        <v>529127.09300824604</v>
      </c>
      <c r="S24" s="10">
        <f ca="1" xml:space="preserve"> - SUMIF(Расчеты!$6:$6,S$6,Расчеты!1137:1137)</f>
        <v>639395.48649945413</v>
      </c>
      <c r="T24" s="10">
        <f ca="1" xml:space="preserve"> - SUMIF(Расчеты!$6:$6,T$6,Расчеты!1137:1137)</f>
        <v>426803.06275349879</v>
      </c>
      <c r="U24" s="10">
        <f ca="1" xml:space="preserve"> - SUMIF(Расчеты!$6:$6,U$6,Расчеты!1137:1137)</f>
        <v>0</v>
      </c>
      <c r="V24" s="10">
        <f ca="1" xml:space="preserve"> - SUMIF(Расчеты!$6:$6,V$6,Расчеты!1137:1137)</f>
        <v>0</v>
      </c>
      <c r="W24" s="10">
        <f ca="1" xml:space="preserve"> - SUMIF(Расчеты!$6:$6,W$6,Расчеты!1137:1137)</f>
        <v>0</v>
      </c>
      <c r="X24" s="10">
        <f ca="1" xml:space="preserve"> - SUMIF(Расчеты!$6:$6,X$6,Расчеты!1137:1137)</f>
        <v>0</v>
      </c>
      <c r="Y24" s="10">
        <f ca="1" xml:space="preserve"> - SUMIF(Расчеты!$6:$6,Y$6,Расчеты!1137:1137)</f>
        <v>0</v>
      </c>
      <c r="Z24" s="10">
        <f ca="1" xml:space="preserve"> - SUMIF(Расчеты!$6:$6,Z$6,Расчеты!1137:1137)</f>
        <v>0</v>
      </c>
      <c r="AA24" s="10">
        <f ca="1" xml:space="preserve"> - SUMIF(Расчеты!$6:$6,AA$6,Расчеты!1137:1137)</f>
        <v>0</v>
      </c>
      <c r="AB24" s="10">
        <f ca="1" xml:space="preserve"> - SUMIF(Расчеты!$6:$6,AB$6,Расчеты!1137:1137)</f>
        <v>0</v>
      </c>
      <c r="AC24" s="10">
        <f ca="1" xml:space="preserve"> - SUMIF(Расчеты!$6:$6,AC$6,Расчеты!1137:1137)</f>
        <v>0</v>
      </c>
      <c r="AD24" s="10">
        <f ca="1" xml:space="preserve"> - SUMIF(Расчеты!$6:$6,AD$6,Расчеты!1137:1137)</f>
        <v>0</v>
      </c>
      <c r="AE24" s="10">
        <f ca="1" xml:space="preserve"> - SUMIF(Расчеты!$6:$6,AE$6,Расчеты!1137:1137)</f>
        <v>0</v>
      </c>
      <c r="AF24" s="10">
        <f ca="1" xml:space="preserve"> - SUMIF(Расчеты!$6:$6,AF$6,Расчеты!1137:1137)</f>
        <v>0</v>
      </c>
      <c r="AG24" s="10">
        <f xml:space="preserve"> - SUMIF(Расчеты!$6:$6,AG$6,Расчеты!1137:1137)</f>
        <v>0</v>
      </c>
      <c r="AH24" s="10">
        <f xml:space="preserve"> - SUMIF(Расчеты!$6:$6,AH$6,Расчеты!1137:1137)</f>
        <v>0</v>
      </c>
      <c r="AI24" s="10">
        <f xml:space="preserve"> - SUMIF(Расчеты!$6:$6,AI$6,Расчеты!1137:1137)</f>
        <v>0</v>
      </c>
      <c r="AJ24" s="10">
        <f xml:space="preserve"> - SUMIF(Расчеты!$6:$6,AJ$6,Расчеты!1137:1137)</f>
        <v>0</v>
      </c>
      <c r="AK24" s="10">
        <f xml:space="preserve"> - SUMIF(Расчеты!$6:$6,AK$6,Расчеты!1137:1137)</f>
        <v>0</v>
      </c>
      <c r="AL24" s="10"/>
      <c r="AM24" s="10"/>
    </row>
    <row r="25" spans="1:39" s="141" customFormat="1" ht="15" customHeight="1">
      <c r="A25" s="153"/>
      <c r="B25" s="153"/>
      <c r="C25" s="17" t="s">
        <v>756</v>
      </c>
      <c r="D25" s="153"/>
      <c r="E25" s="11"/>
      <c r="F25" s="11"/>
      <c r="G25" s="11"/>
      <c r="H25" s="153"/>
      <c r="I25" s="155"/>
      <c r="J25" s="153"/>
      <c r="K25" s="153"/>
      <c r="L25" s="10">
        <f ca="1" xml:space="preserve"> SUMIF(Расчеты!$6:$6,L$6,Расчеты!1403:1403)</f>
        <v>0</v>
      </c>
      <c r="M25" s="10">
        <f ca="1" xml:space="preserve"> SUMIF(Расчеты!$6:$6,M$6,Расчеты!1403:1403)</f>
        <v>0</v>
      </c>
      <c r="N25" s="10">
        <f ca="1" xml:space="preserve"> SUMIF(Расчеты!$6:$6,N$6,Расчеты!1403:1403)</f>
        <v>0</v>
      </c>
      <c r="O25" s="10">
        <f ca="1" xml:space="preserve"> SUMIF(Расчеты!$6:$6,O$6,Расчеты!1403:1403)</f>
        <v>0</v>
      </c>
      <c r="P25" s="10">
        <f ca="1" xml:space="preserve"> SUMIF(Расчеты!$6:$6,P$6,Расчеты!1403:1403)</f>
        <v>1025933.1549406882</v>
      </c>
      <c r="Q25" s="10">
        <f ca="1" xml:space="preserve"> SUMIF(Расчеты!$6:$6,Q$6,Расчеты!1403:1403)</f>
        <v>634049.69555805426</v>
      </c>
      <c r="R25" s="10">
        <f ca="1" xml:space="preserve"> SUMIF(Расчеты!$6:$6,R$6,Расчеты!1403:1403)</f>
        <v>731430.60696575907</v>
      </c>
      <c r="S25" s="10">
        <f ca="1" xml:space="preserve"> SUMIF(Расчеты!$6:$6,S$6,Расчеты!1403:1403)</f>
        <v>826075.60978618124</v>
      </c>
      <c r="T25" s="10">
        <f ca="1" xml:space="preserve"> SUMIF(Расчеты!$6:$6,T$6,Расчеты!1403:1403)</f>
        <v>855390.80027709808</v>
      </c>
      <c r="U25" s="10">
        <f ca="1" xml:space="preserve"> SUMIF(Расчеты!$6:$6,U$6,Расчеты!1403:1403)</f>
        <v>761542.05473902018</v>
      </c>
      <c r="V25" s="10">
        <f ca="1" xml:space="preserve"> SUMIF(Расчеты!$6:$6,V$6,Расчеты!1403:1403)</f>
        <v>671542.79813292308</v>
      </c>
      <c r="W25" s="10">
        <f ca="1" xml:space="preserve"> SUMIF(Расчеты!$6:$6,W$6,Расчеты!1403:1403)</f>
        <v>696272.09737878654</v>
      </c>
      <c r="X25" s="10">
        <f ca="1" xml:space="preserve"> SUMIF(Расчеты!$6:$6,X$6,Расчеты!1403:1403)</f>
        <v>722118.62923451606</v>
      </c>
      <c r="Y25" s="10">
        <f ca="1" xml:space="preserve"> SUMIF(Расчеты!$6:$6,Y$6,Расчеты!1403:1403)</f>
        <v>742094.2330324041</v>
      </c>
      <c r="Z25" s="10">
        <f ca="1" xml:space="preserve"> SUMIF(Расчеты!$6:$6,Z$6,Расчеты!1403:1403)</f>
        <v>699652.39890484186</v>
      </c>
      <c r="AA25" s="10">
        <f ca="1" xml:space="preserve"> SUMIF(Расчеты!$6:$6,AA$6,Расчеты!1403:1403)</f>
        <v>713869.0358755819</v>
      </c>
      <c r="AB25" s="10">
        <f ca="1" xml:space="preserve"> SUMIF(Расчеты!$6:$6,AB$6,Расчеты!1403:1403)</f>
        <v>744167.45245579071</v>
      </c>
      <c r="AC25" s="10">
        <f ca="1" xml:space="preserve"> SUMIF(Расчеты!$6:$6,AC$6,Расчеты!1403:1403)</f>
        <v>776731.9267134571</v>
      </c>
      <c r="AD25" s="10">
        <f ca="1" xml:space="preserve"> SUMIF(Расчеты!$6:$6,AD$6,Расчеты!1403:1403)</f>
        <v>810529.96975931455</v>
      </c>
      <c r="AE25" s="10">
        <f ca="1" xml:space="preserve"> SUMIF(Расчеты!$6:$6,AE$6,Расчеты!1403:1403)</f>
        <v>846874.50952719396</v>
      </c>
      <c r="AF25" s="10">
        <f ca="1" xml:space="preserve"> SUMIF(Расчеты!$6:$6,AF$6,Расчеты!1403:1403)</f>
        <v>297494.25082707044</v>
      </c>
      <c r="AG25" s="10">
        <f xml:space="preserve"> SUMIF(Расчеты!$6:$6,AG$6,Расчеты!1403:1403)</f>
        <v>0</v>
      </c>
      <c r="AH25" s="10">
        <f xml:space="preserve"> SUMIF(Расчеты!$6:$6,AH$6,Расчеты!1403:1403)</f>
        <v>0</v>
      </c>
      <c r="AI25" s="10">
        <f xml:space="preserve"> SUMIF(Расчеты!$6:$6,AI$6,Расчеты!1403:1403)</f>
        <v>0</v>
      </c>
      <c r="AJ25" s="10">
        <f xml:space="preserve"> SUMIF(Расчеты!$6:$6,AJ$6,Расчеты!1403:1403)</f>
        <v>0</v>
      </c>
      <c r="AK25" s="10">
        <f xml:space="preserve"> SUMIF(Расчеты!$6:$6,AK$6,Расчеты!1403:1403)</f>
        <v>0</v>
      </c>
      <c r="AL25" s="10"/>
      <c r="AM25"/>
    </row>
    <row r="26" spans="1:39" s="141" customFormat="1" ht="15" customHeight="1">
      <c r="A26" s="153"/>
      <c r="B26" s="153"/>
      <c r="C26" s="17"/>
      <c r="D26" s="153"/>
      <c r="E26" s="11"/>
      <c r="F26" s="11"/>
      <c r="G26" s="11"/>
      <c r="H26" s="153"/>
      <c r="I26" s="155"/>
      <c r="J26" s="153"/>
      <c r="K26" s="153"/>
      <c r="L26" s="149"/>
      <c r="M26" s="149"/>
      <c r="N26" s="149"/>
      <c r="O26" s="149"/>
      <c r="P26" s="149"/>
      <c r="Q26" s="149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s="141" customFormat="1" ht="15" customHeight="1" thickBot="1">
      <c r="A27" s="153"/>
      <c r="B27" s="153"/>
      <c r="C27" s="12" t="s">
        <v>595</v>
      </c>
      <c r="D27" s="12"/>
      <c r="E27" s="12"/>
      <c r="F27" s="12"/>
      <c r="G27" s="12"/>
      <c r="H27" s="12"/>
      <c r="I27" s="12"/>
      <c r="J27" s="153"/>
      <c r="K27" s="153"/>
      <c r="L27" s="149"/>
      <c r="M27" s="149"/>
      <c r="N27" s="149"/>
      <c r="O27" s="149"/>
      <c r="P27" s="149"/>
      <c r="Q27" s="149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s="141" customFormat="1" ht="15" customHeight="1">
      <c r="A28" s="153"/>
      <c r="B28" s="153"/>
      <c r="C28" s="17"/>
      <c r="D28" s="153"/>
      <c r="E28" s="11"/>
      <c r="F28" s="11"/>
      <c r="G28" s="11"/>
      <c r="H28" s="153"/>
      <c r="I28" s="155"/>
      <c r="J28" s="153"/>
      <c r="K28" s="153"/>
      <c r="L28" s="149"/>
      <c r="M28" s="149"/>
      <c r="N28" s="149"/>
      <c r="O28" s="149"/>
      <c r="P28" s="149"/>
      <c r="Q28" s="149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s="141" customFormat="1" ht="15" customHeight="1">
      <c r="A29" s="153"/>
      <c r="B29" s="153"/>
      <c r="C29" s="17"/>
      <c r="D29" s="153"/>
      <c r="E29" s="11"/>
      <c r="F29" s="11"/>
      <c r="G29" s="11"/>
      <c r="H29" s="153"/>
      <c r="I29" s="155"/>
      <c r="J29" s="153"/>
      <c r="K29" s="153"/>
      <c r="L29" s="149"/>
      <c r="M29" s="149"/>
      <c r="N29" s="149"/>
      <c r="O29" s="149"/>
      <c r="P29" s="149"/>
      <c r="Q29" s="149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s="141" customFormat="1" ht="15" customHeight="1" thickBot="1">
      <c r="A30" s="153"/>
      <c r="B30" s="153"/>
      <c r="C30" s="12" t="s">
        <v>576</v>
      </c>
      <c r="D30" s="12"/>
      <c r="E30" s="12"/>
      <c r="F30" s="12"/>
      <c r="G30" s="12"/>
      <c r="H30" s="12"/>
      <c r="I30" s="12"/>
      <c r="J30" s="153"/>
      <c r="K30" s="153"/>
      <c r="L30" s="149"/>
      <c r="M30" s="149"/>
      <c r="N30" s="149"/>
      <c r="O30" s="149"/>
      <c r="P30" s="149"/>
      <c r="Q30" s="149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s="141" customFormat="1" ht="15" customHeight="1">
      <c r="A31" s="153"/>
      <c r="B31" s="153"/>
      <c r="C31" s="17"/>
      <c r="D31" s="153"/>
      <c r="E31" s="11"/>
      <c r="F31" s="11"/>
      <c r="G31" s="11"/>
      <c r="H31" s="153"/>
      <c r="I31" s="155"/>
      <c r="J31" s="153"/>
      <c r="K31" s="153"/>
      <c r="L31" s="149"/>
      <c r="M31" s="149"/>
      <c r="N31" s="149"/>
      <c r="O31" s="149"/>
      <c r="P31" s="149"/>
      <c r="Q31" s="149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s="141" customFormat="1" ht="15" customHeight="1">
      <c r="A32" s="153"/>
      <c r="B32" s="153"/>
      <c r="C32" s="17"/>
      <c r="D32" s="153"/>
      <c r="E32" s="11"/>
      <c r="F32" s="11"/>
      <c r="G32" s="11"/>
      <c r="H32" s="153"/>
      <c r="I32" s="155"/>
      <c r="J32" s="153"/>
      <c r="K32" s="153"/>
      <c r="L32" s="149"/>
      <c r="M32" s="149"/>
      <c r="N32" s="149"/>
      <c r="O32" s="149"/>
      <c r="P32" s="149"/>
      <c r="Q32" s="149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s="141" customFormat="1" ht="15" customHeight="1" thickBot="1">
      <c r="A33" s="153"/>
      <c r="B33" s="153"/>
      <c r="C33" s="12" t="s">
        <v>5</v>
      </c>
      <c r="D33" s="12"/>
      <c r="E33" s="12"/>
      <c r="F33" s="12"/>
      <c r="G33" s="12"/>
      <c r="H33" s="12"/>
      <c r="I33" s="12"/>
      <c r="J33" s="153"/>
      <c r="K33" s="153"/>
      <c r="L33" s="149"/>
      <c r="M33" s="149"/>
      <c r="N33" s="149"/>
      <c r="O33" s="149"/>
      <c r="P33" s="149"/>
      <c r="Q33" s="149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s="141" customFormat="1" ht="15" customHeight="1">
      <c r="A34" s="153"/>
      <c r="B34" s="153"/>
      <c r="C34" s="17"/>
      <c r="D34" s="153"/>
      <c r="E34" s="11"/>
      <c r="F34" s="11"/>
      <c r="G34" s="11"/>
      <c r="H34" s="153"/>
      <c r="I34" s="155"/>
      <c r="J34" s="153"/>
      <c r="K34" s="153"/>
      <c r="L34" s="149"/>
      <c r="M34" s="149"/>
      <c r="N34" s="149"/>
      <c r="O34" s="149"/>
      <c r="P34" s="149"/>
      <c r="Q34" s="149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s="141" customFormat="1" ht="15" customHeight="1">
      <c r="A35" s="153"/>
      <c r="B35" s="153"/>
      <c r="C35" s="17"/>
      <c r="D35" s="153"/>
      <c r="E35" s="11"/>
      <c r="F35" s="11"/>
      <c r="G35" s="11"/>
      <c r="H35" s="153"/>
      <c r="I35" s="155"/>
      <c r="J35" s="153"/>
      <c r="K35" s="153"/>
      <c r="L35" s="149"/>
      <c r="M35" s="149"/>
      <c r="N35" s="149"/>
      <c r="O35" s="149"/>
      <c r="P35" s="149"/>
      <c r="Q35" s="149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s="141" customFormat="1" ht="15" customHeight="1" thickBot="1">
      <c r="A36" s="153"/>
      <c r="B36" s="153"/>
      <c r="C36" s="12" t="s">
        <v>759</v>
      </c>
      <c r="D36" s="12"/>
      <c r="E36" s="12"/>
      <c r="F36" s="12"/>
      <c r="G36" s="12"/>
      <c r="H36" s="12"/>
      <c r="I36" s="12"/>
      <c r="J36" s="153"/>
      <c r="K36" s="153"/>
      <c r="L36" s="149"/>
      <c r="M36" s="149"/>
      <c r="N36" s="149"/>
      <c r="O36" s="149"/>
      <c r="P36" s="149"/>
      <c r="Q36" s="149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s="141" customFormat="1" ht="15" customHeight="1">
      <c r="A37" s="153"/>
      <c r="B37" s="153"/>
      <c r="C37" s="153"/>
      <c r="D37" s="153"/>
      <c r="E37" s="11"/>
      <c r="F37" s="11"/>
      <c r="G37" s="11"/>
      <c r="H37" s="153"/>
      <c r="I37" s="154"/>
      <c r="J37" s="153"/>
      <c r="K37" s="153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s="141" customFormat="1" ht="15" customHeight="1">
      <c r="A38" s="153"/>
      <c r="B38" s="153"/>
      <c r="C38" s="156" t="s">
        <v>96</v>
      </c>
      <c r="D38" s="153"/>
      <c r="E38" s="11"/>
      <c r="F38" s="11"/>
      <c r="G38" s="11" t="s">
        <v>292</v>
      </c>
      <c r="H38" s="153"/>
      <c r="I38" s="23">
        <f t="shared" ref="I38:I43" ca="1" si="8" xml:space="preserve"> SUM(L38:AL38)</f>
        <v>31948.941046733904</v>
      </c>
      <c r="J38" s="153"/>
      <c r="K38" s="153"/>
      <c r="L38" s="10">
        <f ca="1">SUMIF(Расчеты!$L$6:$CO$6,L$6,Revenue)/Thousand</f>
        <v>0</v>
      </c>
      <c r="M38" s="10">
        <f ca="1">SUMIF(Расчеты!$L$6:$CO$6,M$6,Revenue)/Thousand</f>
        <v>0</v>
      </c>
      <c r="N38" s="10">
        <f ca="1">SUMIF(Расчеты!$L$6:$CO$6,N$6,Revenue)/Thousand</f>
        <v>0</v>
      </c>
      <c r="O38" s="10">
        <f ca="1">SUMIF(Расчеты!$L$6:$CO$6,O$6,Revenue)/Thousand</f>
        <v>0</v>
      </c>
      <c r="P38" s="10">
        <f ca="1">SUMIF(Расчеты!$L$6:$CO$6,P$6,Revenue)/Thousand</f>
        <v>1038.0220902898254</v>
      </c>
      <c r="Q38" s="10">
        <f ca="1">SUMIF(Расчеты!$L$6:$CO$6,Q$6,Revenue)/Thousand</f>
        <v>1391.447022573805</v>
      </c>
      <c r="R38" s="10">
        <f ca="1">SUMIF(Расчеты!$L$6:$CO$6,R$6,Revenue)/Thousand</f>
        <v>1601.3182246666638</v>
      </c>
      <c r="S38" s="10">
        <f ca="1">SUMIF(Расчеты!$L$6:$CO$6,S$6,Revenue)/Thousand</f>
        <v>1797.179041101349</v>
      </c>
      <c r="T38" s="10">
        <f ca="1">SUMIF(Расчеты!$L$6:$CO$6,T$6,Revenue)/Thousand</f>
        <v>1872.0225911065759</v>
      </c>
      <c r="U38" s="10">
        <f ca="1">SUMIF(Расчеты!$L$6:$CO$6,U$6,Revenue)/Thousand</f>
        <v>1748.3633736631823</v>
      </c>
      <c r="V38" s="10">
        <f ca="1">SUMIF(Расчеты!$L$6:$CO$6,V$6,Revenue)/Thousand</f>
        <v>1788.2688416386013</v>
      </c>
      <c r="W38" s="10">
        <f ca="1">SUMIF(Расчеты!$L$6:$CO$6,W$6,Revenue)/Thousand</f>
        <v>1862.6906231502417</v>
      </c>
      <c r="X38" s="10">
        <f ca="1">SUMIF(Расчеты!$L$6:$CO$6,X$6,Revenue)/Thousand</f>
        <v>1934.1915791163108</v>
      </c>
      <c r="Y38" s="10">
        <f ca="1">SUMIF(Расчеты!$L$6:$CO$6,Y$6,Revenue)/Thousand</f>
        <v>2011.559242280963</v>
      </c>
      <c r="Z38" s="10">
        <f ca="1">SUMIF(Расчеты!$L$6:$CO$6,Z$6,Revenue)/Thousand</f>
        <v>2092.0216119722013</v>
      </c>
      <c r="AA38" s="10">
        <f ca="1">SUMIF(Расчеты!$L$6:$CO$6,AA$6,Revenue)/Thousand</f>
        <v>2179.0845701240428</v>
      </c>
      <c r="AB38" s="10">
        <f ca="1">SUMIF(Расчеты!$L$6:$CO$6,AB$6,Revenue)/Thousand</f>
        <v>2262.730575509132</v>
      </c>
      <c r="AC38" s="10">
        <f ca="1">SUMIF(Расчеты!$L$6:$CO$6,AC$6,Revenue)/Thousand</f>
        <v>2353.239798529497</v>
      </c>
      <c r="AD38" s="10">
        <f ca="1">SUMIF(Расчеты!$L$6:$CO$6,AD$6,Revenue)/Thousand</f>
        <v>2447.3693904706765</v>
      </c>
      <c r="AE38" s="10">
        <f ca="1">SUMIF(Расчеты!$L$6:$CO$6,AE$6,Revenue)/Thousand</f>
        <v>2549.2207373235306</v>
      </c>
      <c r="AF38" s="10">
        <f ca="1">SUMIF(Расчеты!$L$6:$CO$6,AF$6,Revenue)/Thousand</f>
        <v>1020.2117332173092</v>
      </c>
      <c r="AG38" s="10">
        <f>SUMIF(Расчеты!$L$6:$CO$6,AG$6,Revenue)/Thousand</f>
        <v>0</v>
      </c>
      <c r="AH38" s="10">
        <f>SUMIF(Расчеты!$L$6:$CO$6,AH$6,Revenue)/Thousand</f>
        <v>0</v>
      </c>
      <c r="AI38" s="10">
        <f>SUMIF(Расчеты!$L$6:$CO$6,AI$6,Revenue)/Thousand</f>
        <v>0</v>
      </c>
      <c r="AJ38" s="10">
        <f>SUMIF(Расчеты!$L$6:$CO$6,AJ$6,Revenue)/Thousand</f>
        <v>0</v>
      </c>
      <c r="AK38" s="10">
        <f>SUMIF(Расчеты!$L$6:$CO$6,AK$6,Revenue)/Thousand</f>
        <v>0</v>
      </c>
      <c r="AL38" s="149"/>
      <c r="AM38" s="10"/>
    </row>
    <row r="39" spans="1:39" s="141" customFormat="1" ht="15" customHeight="1">
      <c r="A39" s="153"/>
      <c r="B39" s="153"/>
      <c r="C39" s="156" t="s">
        <v>102</v>
      </c>
      <c r="D39" s="153"/>
      <c r="E39" s="11"/>
      <c r="F39" s="11"/>
      <c r="G39" s="11" t="s">
        <v>292</v>
      </c>
      <c r="H39" s="153"/>
      <c r="I39" s="23">
        <f t="shared" ca="1" si="8"/>
        <v>-18493.633551309191</v>
      </c>
      <c r="J39" s="153"/>
      <c r="K39" s="153"/>
      <c r="L39" s="10">
        <f ca="1">SUMIF(Расчеты!$L$6:$CO$6,L$6,COGS)/Thousand</f>
        <v>0</v>
      </c>
      <c r="M39" s="10">
        <f ca="1">SUMIF(Расчеты!$L$6:$CO$6,M$6,COGS)/Thousand</f>
        <v>0</v>
      </c>
      <c r="N39" s="10">
        <f ca="1">SUMIF(Расчеты!$L$6:$CO$6,N$6,COGS)/Thousand</f>
        <v>0</v>
      </c>
      <c r="O39" s="10">
        <f ca="1">SUMIF(Расчеты!$L$6:$CO$6,O$6,COGS)/Thousand</f>
        <v>0</v>
      </c>
      <c r="P39" s="10">
        <f ca="1">SUMIF(Расчеты!$L$6:$CO$6,P$6,COGS)/Thousand</f>
        <v>-541.56047032328547</v>
      </c>
      <c r="Q39" s="10">
        <f ca="1">SUMIF(Расчеты!$L$6:$CO$6,Q$6,COGS)/Thousand</f>
        <v>-732.20665049290028</v>
      </c>
      <c r="R39" s="10">
        <f ca="1">SUMIF(Расчеты!$L$6:$CO$6,R$6,COGS)/Thousand</f>
        <v>-842.5670253274551</v>
      </c>
      <c r="S39" s="10">
        <f ca="1">SUMIF(Расчеты!$L$6:$CO$6,S$6,COGS)/Thousand</f>
        <v>-945.73065674500708</v>
      </c>
      <c r="T39" s="10">
        <f ca="1">SUMIF(Расчеты!$L$6:$CO$6,T$6,COGS)/Thousand</f>
        <v>-985.20058347120516</v>
      </c>
      <c r="U39" s="10">
        <f ca="1">SUMIF(Расчеты!$L$6:$CO$6,U$6,COGS)/Thousand</f>
        <v>-1024.6086068100531</v>
      </c>
      <c r="V39" s="10">
        <f ca="1">SUMIF(Расчеты!$L$6:$CO$6,V$6,COGS)/Thousand</f>
        <v>-1065.5929510824551</v>
      </c>
      <c r="W39" s="10">
        <f ca="1">SUMIF(Расчеты!$L$6:$CO$6,W$6,COGS)/Thousand</f>
        <v>-1110.013577716039</v>
      </c>
      <c r="X39" s="10">
        <f ca="1">SUMIF(Расчеты!$L$6:$CO$6,X$6,COGS)/Thousand</f>
        <v>-1152.545335890783</v>
      </c>
      <c r="Y39" s="10">
        <f ca="1">SUMIF(Расчеты!$L$6:$CO$6,Y$6,COGS)/Thousand</f>
        <v>-1198.6471493264144</v>
      </c>
      <c r="Z39" s="10">
        <f ca="1">SUMIF(Расчеты!$L$6:$CO$6,Z$6,COGS)/Thousand</f>
        <v>-1246.5930352994706</v>
      </c>
      <c r="AA39" s="10">
        <f ca="1">SUMIF(Расчеты!$L$6:$CO$6,AA$6,COGS)/Thousand</f>
        <v>-1298.5588856073325</v>
      </c>
      <c r="AB39" s="10">
        <f ca="1">SUMIF(Расчеты!$L$6:$CO$6,AB$6,COGS)/Thousand</f>
        <v>-1348.3150269799069</v>
      </c>
      <c r="AC39" s="10">
        <f ca="1">SUMIF(Расчеты!$L$6:$CO$6,AC$6,COGS)/Thousand</f>
        <v>-1402.2476280591031</v>
      </c>
      <c r="AD39" s="10">
        <f ca="1">SUMIF(Расчеты!$L$6:$CO$6,AD$6,COGS)/Thousand</f>
        <v>-1458.3375331814671</v>
      </c>
      <c r="AE39" s="10">
        <f ca="1">SUMIF(Расчеты!$L$6:$CO$6,AE$6,COGS)/Thousand</f>
        <v>-1519.1302279917986</v>
      </c>
      <c r="AF39" s="10">
        <f ca="1">SUMIF(Расчеты!$L$6:$CO$6,AF$6,COGS)/Thousand</f>
        <v>-621.77820700451309</v>
      </c>
      <c r="AG39" s="10">
        <f>SUMIF(Расчеты!$L$6:$CO$6,AG$6,COGS)/Thousand</f>
        <v>0</v>
      </c>
      <c r="AH39" s="10">
        <f>SUMIF(Расчеты!$L$6:$CO$6,AH$6,COGS)/Thousand</f>
        <v>0</v>
      </c>
      <c r="AI39" s="10">
        <f>SUMIF(Расчеты!$L$6:$CO$6,AI$6,COGS)/Thousand</f>
        <v>0</v>
      </c>
      <c r="AJ39" s="10">
        <f>SUMIF(Расчеты!$L$6:$CO$6,AJ$6,COGS)/Thousand</f>
        <v>0</v>
      </c>
      <c r="AK39" s="10">
        <f>SUMIF(Расчеты!$L$6:$CO$6,AK$6,COGS)/Thousand</f>
        <v>0</v>
      </c>
      <c r="AL39" s="149"/>
      <c r="AM39" s="10"/>
    </row>
    <row r="40" spans="1:39" s="141" customFormat="1" ht="15" customHeight="1">
      <c r="A40" s="153"/>
      <c r="B40" s="153"/>
      <c r="C40" s="156" t="s">
        <v>136</v>
      </c>
      <c r="D40" s="153"/>
      <c r="E40" s="11"/>
      <c r="F40" s="11"/>
      <c r="G40" s="11" t="s">
        <v>292</v>
      </c>
      <c r="H40" s="153"/>
      <c r="I40" s="23">
        <f t="shared" ca="1" si="8"/>
        <v>-355.60644199776112</v>
      </c>
      <c r="J40" s="153"/>
      <c r="K40" s="153"/>
      <c r="L40" s="10">
        <f ca="1">SUMIF(Расчеты!$L$6:$CO$6,L$6,SGA)/Thousand</f>
        <v>0</v>
      </c>
      <c r="M40" s="10">
        <f ca="1">SUMIF(Расчеты!$L$6:$CO$6,M$6,SGA)/Thousand</f>
        <v>0</v>
      </c>
      <c r="N40" s="10">
        <f ca="1">SUMIF(Расчеты!$L$6:$CO$6,N$6,SGA)/Thousand</f>
        <v>0</v>
      </c>
      <c r="O40" s="10">
        <f ca="1">SUMIF(Расчеты!$L$6:$CO$6,O$6,SGA)/Thousand</f>
        <v>0</v>
      </c>
      <c r="P40" s="10">
        <f ca="1">SUMIF(Расчеты!$L$6:$CO$6,P$6,SGA)/Thousand</f>
        <v>-6.9781109764029026</v>
      </c>
      <c r="Q40" s="10">
        <f ca="1">SUMIF(Расчеты!$L$6:$CO$6,Q$6,SGA)/Thousand</f>
        <v>-9.2618563868620356</v>
      </c>
      <c r="R40" s="10">
        <f ca="1">SUMIF(Расчеты!$L$6:$CO$6,R$6,SGA)/Thousand</f>
        <v>-9.2618563868620356</v>
      </c>
      <c r="S40" s="10">
        <f ca="1">SUMIF(Расчеты!$L$6:$CO$6,S$6,SGA)/Thousand</f>
        <v>-9.2618563868620338</v>
      </c>
      <c r="T40" s="10">
        <f ca="1">SUMIF(Расчеты!$L$6:$CO$6,T$6,SGA)/Thousand</f>
        <v>-9.2618563868620356</v>
      </c>
      <c r="U40" s="10">
        <f ca="1">SUMIF(Расчеты!$L$6:$CO$6,U$6,SGA)/Thousand</f>
        <v>-9.2618563868620356</v>
      </c>
      <c r="V40" s="10">
        <f ca="1">SUMIF(Расчеты!$L$6:$CO$6,V$6,SGA)/Thousand</f>
        <v>-9.2618563868620356</v>
      </c>
      <c r="W40" s="10">
        <f ca="1">SUMIF(Расчеты!$L$6:$CO$6,W$6,SGA)/Thousand</f>
        <v>-9.2618563868620338</v>
      </c>
      <c r="X40" s="10">
        <f ca="1">SUMIF(Расчеты!$L$6:$CO$6,X$6,SGA)/Thousand</f>
        <v>-9.2618563868620356</v>
      </c>
      <c r="Y40" s="10">
        <f ca="1">SUMIF(Расчеты!$L$6:$CO$6,Y$6,SGA)/Thousand</f>
        <v>-9.2618563868620356</v>
      </c>
      <c r="Z40" s="10">
        <f ca="1">SUMIF(Расчеты!$L$6:$CO$6,Z$6,SGA)/Thousand</f>
        <v>-29.321443809480886</v>
      </c>
      <c r="AA40" s="10">
        <f ca="1">SUMIF(Расчеты!$L$6:$CO$6,AA$6,SGA)/Thousand</f>
        <v>-47.520718993786339</v>
      </c>
      <c r="AB40" s="10">
        <f ca="1">SUMIF(Расчеты!$L$6:$CO$6,AB$6,SGA)/Thousand</f>
        <v>-45.477993475852301</v>
      </c>
      <c r="AC40" s="10">
        <f ca="1">SUMIF(Расчеты!$L$6:$CO$6,AC$6,SGA)/Thousand</f>
        <v>-43.437372124331709</v>
      </c>
      <c r="AD40" s="10">
        <f ca="1">SUMIF(Расчеты!$L$6:$CO$6,AD$6,SGA)/Thousand</f>
        <v>-41.396750772811117</v>
      </c>
      <c r="AE40" s="10">
        <f ca="1">SUMIF(Расчеты!$L$6:$CO$6,AE$6,SGA)/Thousand</f>
        <v>-39.358233587703964</v>
      </c>
      <c r="AF40" s="10">
        <f ca="1">SUMIF(Расчеты!$L$6:$CO$6,AF$6,SGA)/Thousand</f>
        <v>-18.759110775633598</v>
      </c>
      <c r="AG40" s="10">
        <f>SUMIF(Расчеты!$L$6:$CO$6,AG$6,SGA)/Thousand</f>
        <v>0</v>
      </c>
      <c r="AH40" s="10">
        <f>SUMIF(Расчеты!$L$6:$CO$6,AH$6,SGA)/Thousand</f>
        <v>0</v>
      </c>
      <c r="AI40" s="10">
        <f>SUMIF(Расчеты!$L$6:$CO$6,AI$6,SGA)/Thousand</f>
        <v>0</v>
      </c>
      <c r="AJ40" s="10">
        <f>SUMIF(Расчеты!$L$6:$CO$6,AJ$6,SGA)/Thousand</f>
        <v>0</v>
      </c>
      <c r="AK40" s="10">
        <f>SUMIF(Расчеты!$L$6:$CO$6,AK$6,SGA)/Thousand</f>
        <v>0</v>
      </c>
      <c r="AL40" s="149"/>
      <c r="AM40" s="10"/>
    </row>
    <row r="41" spans="1:39" s="158" customFormat="1" ht="15" customHeight="1">
      <c r="A41" s="153"/>
      <c r="B41" s="153"/>
      <c r="C41" s="156" t="s">
        <v>107</v>
      </c>
      <c r="D41" s="153"/>
      <c r="E41" s="11"/>
      <c r="F41" s="11"/>
      <c r="G41" s="11" t="s">
        <v>292</v>
      </c>
      <c r="H41" s="153"/>
      <c r="I41" s="23">
        <f t="shared" ca="1" si="8"/>
        <v>-1083.1771599277668</v>
      </c>
      <c r="J41" s="153"/>
      <c r="K41" s="153"/>
      <c r="L41" s="10">
        <f ca="1">SUMIF(Расчеты!$L$6:$CO$6,L$6,Profits_Tax)/Thousand</f>
        <v>0</v>
      </c>
      <c r="M41" s="10">
        <f ca="1">SUMIF(Расчеты!$L$6:$CO$6,M$6,Profits_Tax)/Thousand</f>
        <v>0</v>
      </c>
      <c r="N41" s="10">
        <f ca="1">SUMIF(Расчеты!$L$6:$CO$6,N$6,Profits_Tax)/Thousand</f>
        <v>0</v>
      </c>
      <c r="O41" s="10">
        <f ca="1">SUMIF(Расчеты!$L$6:$CO$6,O$6,Profits_Tax)/Thousand</f>
        <v>0</v>
      </c>
      <c r="P41" s="10">
        <f ca="1">SUMIF(Расчеты!$L$6:$CO$6,P$6,Profits_Tax)/Thousand</f>
        <v>-1.8183117376434448</v>
      </c>
      <c r="Q41" s="10">
        <f ca="1">SUMIF(Расчеты!$L$6:$CO$6,Q$6,Profits_Tax)/Thousand</f>
        <v>-3.2450267471806193</v>
      </c>
      <c r="R41" s="10">
        <f ca="1">SUMIF(Расчеты!$L$6:$CO$6,R$6,Profits_Tax)/Thousand</f>
        <v>-4.4869417423057989</v>
      </c>
      <c r="S41" s="10">
        <f ca="1">SUMIF(Расчеты!$L$6:$CO$6,S$6,Profits_Tax)/Thousand</f>
        <v>-5.9758467241874405</v>
      </c>
      <c r="T41" s="10">
        <f ca="1">SUMIF(Расчеты!$L$6:$CO$6,T$6,Profits_Tax)/Thousand</f>
        <v>-17.545986460656394</v>
      </c>
      <c r="U41" s="10">
        <f ca="1">SUMIF(Расчеты!$L$6:$CO$6,U$6,Profits_Tax)/Thousand</f>
        <v>-39.99435530382565</v>
      </c>
      <c r="V41" s="10">
        <f ca="1">SUMIF(Расчеты!$L$6:$CO$6,V$6,Profits_Tax)/Thousand</f>
        <v>-40.544849684535265</v>
      </c>
      <c r="W41" s="10">
        <f ca="1">SUMIF(Расчеты!$L$6:$CO$6,W$6,Profits_Tax)/Thousand</f>
        <v>-45.763680422261217</v>
      </c>
      <c r="X41" s="10">
        <f ca="1">SUMIF(Расчеты!$L$6:$CO$6,X$6,Profits_Tax)/Thousand</f>
        <v>-48.831107566407994</v>
      </c>
      <c r="Y41" s="10">
        <f ca="1">SUMIF(Расчеты!$L$6:$CO$6,Y$6,Profits_Tax)/Thousand</f>
        <v>-60.063999278022081</v>
      </c>
      <c r="Z41" s="10">
        <f ca="1">SUMIF(Расчеты!$L$6:$CO$6,Z$6,Profits_Tax)/Thousand</f>
        <v>-114.90304953085675</v>
      </c>
      <c r="AA41" s="10">
        <f ca="1">SUMIF(Расчеты!$L$6:$CO$6,AA$6,Profits_Tax)/Thousand</f>
        <v>-117.52221359310626</v>
      </c>
      <c r="AB41" s="10">
        <f ca="1">SUMIF(Расчеты!$L$6:$CO$6,AB$6,Profits_Tax)/Thousand</f>
        <v>-123.09176497032588</v>
      </c>
      <c r="AC41" s="10">
        <f ca="1">SUMIF(Расчеты!$L$6:$CO$6,AC$6,Profits_Tax)/Thousand</f>
        <v>-129.07743768069273</v>
      </c>
      <c r="AD41" s="10">
        <f ca="1">SUMIF(Расчеты!$L$6:$CO$6,AD$6,Profits_Tax)/Thousand</f>
        <v>-135.28988544709483</v>
      </c>
      <c r="AE41" s="10">
        <f ca="1">SUMIF(Расчеты!$L$6:$CO$6,AE$6,Profits_Tax)/Thousand</f>
        <v>-141.96994667737744</v>
      </c>
      <c r="AF41" s="10">
        <f ca="1">SUMIF(Расчеты!$L$6:$CO$6,AF$6,Profits_Tax)/Thousand</f>
        <v>-53.05275636128674</v>
      </c>
      <c r="AG41" s="10">
        <f>SUMIF(Расчеты!$L$6:$CO$6,AG$6,Profits_Tax)/Thousand</f>
        <v>0</v>
      </c>
      <c r="AH41" s="10">
        <f>SUMIF(Расчеты!$L$6:$CO$6,AH$6,Profits_Tax)/Thousand</f>
        <v>0</v>
      </c>
      <c r="AI41" s="10">
        <f>SUMIF(Расчеты!$L$6:$CO$6,AI$6,Profits_Tax)/Thousand</f>
        <v>0</v>
      </c>
      <c r="AJ41" s="10">
        <f>SUMIF(Расчеты!$L$6:$CO$6,AJ$6,Profits_Tax)/Thousand</f>
        <v>0</v>
      </c>
      <c r="AK41" s="10">
        <f>SUMIF(Расчеты!$L$6:$CO$6,AK$6,Profits_Tax)/Thousand</f>
        <v>0</v>
      </c>
      <c r="AL41" s="149"/>
      <c r="AM41" s="10"/>
    </row>
    <row r="42" spans="1:39" s="158" customFormat="1" ht="15" customHeight="1" thickBot="1">
      <c r="A42" s="153"/>
      <c r="B42" s="153"/>
      <c r="C42" s="156" t="s">
        <v>211</v>
      </c>
      <c r="D42" s="153"/>
      <c r="E42" s="11"/>
      <c r="F42" s="11"/>
      <c r="G42" s="11" t="s">
        <v>292</v>
      </c>
      <c r="H42" s="153"/>
      <c r="I42" s="23">
        <f t="shared" ca="1" si="8"/>
        <v>-78.21176184797794</v>
      </c>
      <c r="J42" s="153"/>
      <c r="K42" s="153"/>
      <c r="L42" s="10">
        <f ca="1">(SUMIF(Расчеты!$L$6:$CO$6,L$6,WC_Cash_Flow)+SUMIF(Расчеты!$L$6:$CO$6,L$6,VAT_Cash_Flow))/Thousand</f>
        <v>-13.777614244774297</v>
      </c>
      <c r="M42" s="10">
        <f ca="1">(SUMIF(Расчеты!$L$6:$CO$6,M$6,WC_Cash_Flow)+SUMIF(Расчеты!$L$6:$CO$6,M$6,VAT_Cash_Flow))/Thousand</f>
        <v>-120.08739633525596</v>
      </c>
      <c r="N42" s="10">
        <f ca="1">(SUMIF(Расчеты!$L$6:$CO$6,N$6,WC_Cash_Flow)+SUMIF(Расчеты!$L$6:$CO$6,N$6,VAT_Cash_Flow))/Thousand</f>
        <v>-124.89089218866616</v>
      </c>
      <c r="O42" s="10">
        <f ca="1">(SUMIF(Расчеты!$L$6:$CO$6,O$6,WC_Cash_Flow)+SUMIF(Расчеты!$L$6:$CO$6,O$6,VAT_Cash_Flow))/Thousand</f>
        <v>-248.69604773381394</v>
      </c>
      <c r="P42" s="10">
        <f ca="1">(SUMIF(Расчеты!$L$6:$CO$6,P$6,WC_Cash_Flow)+SUMIF(Расчеты!$L$6:$CO$6,P$6,VAT_Cash_Flow))/Thousand</f>
        <v>428.26281573323593</v>
      </c>
      <c r="Q42" s="10">
        <f ca="1">(SUMIF(Расчеты!$L$6:$CO$6,Q$6,WC_Cash_Flow)+SUMIF(Расчеты!$L$6:$CO$6,Q$6,VAT_Cash_Flow))/Thousand</f>
        <v>-12.683793388807837</v>
      </c>
      <c r="R42" s="10">
        <f ca="1">(SUMIF(Расчеты!$L$6:$CO$6,R$6,WC_Cash_Flow)+SUMIF(Расчеты!$L$6:$CO$6,R$6,VAT_Cash_Flow))/Thousand</f>
        <v>-13.571794244281817</v>
      </c>
      <c r="S42" s="10">
        <f ca="1">(SUMIF(Расчеты!$L$6:$CO$6,S$6,WC_Cash_Flow)+SUMIF(Расчеты!$L$6:$CO$6,S$6,VAT_Cash_Flow))/Thousand</f>
        <v>-10.135071459111241</v>
      </c>
      <c r="T42" s="10">
        <f ca="1">(SUMIF(Расчеты!$L$6:$CO$6,T$6,WC_Cash_Flow)+SUMIF(Расчеты!$L$6:$CO$6,T$6,VAT_Cash_Flow))/Thousand</f>
        <v>-4.623364510754298</v>
      </c>
      <c r="U42" s="10">
        <f ca="1">(SUMIF(Расчеты!$L$6:$CO$6,U$6,WC_Cash_Flow)+SUMIF(Расчеты!$L$6:$CO$6,U$6,VAT_Cash_Flow))/Thousand</f>
        <v>87.043499576578682</v>
      </c>
      <c r="V42" s="10">
        <f ca="1">(SUMIF(Расчеты!$L$6:$CO$6,V$6,WC_Cash_Flow)+SUMIF(Расчеты!$L$6:$CO$6,V$6,VAT_Cash_Flow))/Thousand</f>
        <v>-1.3263863518260477</v>
      </c>
      <c r="W42" s="10">
        <f ca="1">(SUMIF(Расчеты!$L$6:$CO$6,W$6,WC_Cash_Flow)+SUMIF(Расчеты!$L$6:$CO$6,W$6,VAT_Cash_Flow))/Thousand</f>
        <v>-1.379411246292453</v>
      </c>
      <c r="X42" s="10">
        <f ca="1">(SUMIF(Расчеты!$L$6:$CO$6,X$6,WC_Cash_Flow)+SUMIF(Расчеты!$L$6:$CO$6,X$6,VAT_Cash_Flow))/Thousand</f>
        <v>-1.4346500377415941</v>
      </c>
      <c r="Y42" s="10">
        <f ca="1">(SUMIF(Расчеты!$L$6:$CO$6,Y$6,WC_Cash_Flow)+SUMIF(Расчеты!$L$6:$CO$6,Y$6,VAT_Cash_Flow))/Thousand</f>
        <v>-1.4920042572605308</v>
      </c>
      <c r="Z42" s="10">
        <f ca="1">(SUMIF(Расчеты!$L$6:$CO$6,Z$6,WC_Cash_Flow)+SUMIF(Расчеты!$L$6:$CO$6,Z$6,VAT_Cash_Flow))/Thousand</f>
        <v>-1.5516844275509065</v>
      </c>
      <c r="AA42" s="10">
        <f ca="1">(SUMIF(Расчеты!$L$6:$CO$6,AA$6,WC_Cash_Flow)+SUMIF(Расчеты!$L$6:$CO$6,AA$6,VAT_Cash_Flow))/Thousand</f>
        <v>-1.6137160542354831</v>
      </c>
      <c r="AB42" s="10">
        <f ca="1">(SUMIF(Расчеты!$L$6:$CO$6,AB$6,WC_Cash_Flow)+SUMIF(Расчеты!$L$6:$CO$6,AB$6,VAT_Cash_Flow))/Thousand</f>
        <v>-1.6783376272563619</v>
      </c>
      <c r="AC42" s="10">
        <f ca="1">(SUMIF(Расчеты!$L$6:$CO$6,AC$6,WC_Cash_Flow)+SUMIF(Расчеты!$L$6:$CO$6,AC$6,VAT_Cash_Flow))/Thousand</f>
        <v>-1.745433951912535</v>
      </c>
      <c r="AD42" s="10">
        <f ca="1">(SUMIF(Расчеты!$L$6:$CO$6,AD$6,WC_Cash_Flow)+SUMIF(Расчеты!$L$6:$CO$6,AD$6,VAT_Cash_Flow))/Thousand</f>
        <v>-1.8152513099889329</v>
      </c>
      <c r="AE42" s="10">
        <f ca="1">(SUMIF(Расчеты!$L$6:$CO$6,AE$6,WC_Cash_Flow)+SUMIF(Расчеты!$L$6:$CO$6,AE$6,VAT_Cash_Flow))/Thousand</f>
        <v>-1.8878195394567883</v>
      </c>
      <c r="AF42" s="10">
        <f ca="1">(SUMIF(Расчеты!$L$6:$CO$6,AF$6,WC_Cash_Flow)+SUMIF(Расчеты!$L$6:$CO$6,AF$6,VAT_Cash_Flow))/Thousand</f>
        <v>-29.127408248805384</v>
      </c>
      <c r="AG42" s="10">
        <f>(SUMIF(Расчеты!$L$6:$CO$6,AG$6,WC_Cash_Flow)+SUMIF(Расчеты!$L$6:$CO$6,AG$6,VAT_Cash_Flow))/Thousand</f>
        <v>0</v>
      </c>
      <c r="AH42" s="10">
        <f>(SUMIF(Расчеты!$L$6:$CO$6,AH$6,WC_Cash_Flow)+SUMIF(Расчеты!$L$6:$CO$6,AH$6,VAT_Cash_Flow))/Thousand</f>
        <v>0</v>
      </c>
      <c r="AI42" s="10">
        <f>(SUMIF(Расчеты!$L$6:$CO$6,AI$6,WC_Cash_Flow)+SUMIF(Расчеты!$L$6:$CO$6,AI$6,VAT_Cash_Flow))/Thousand</f>
        <v>0</v>
      </c>
      <c r="AJ42" s="10">
        <f>(SUMIF(Расчеты!$L$6:$CO$6,AJ$6,WC_Cash_Flow)+SUMIF(Расчеты!$L$6:$CO$6,AJ$6,VAT_Cash_Flow))/Thousand</f>
        <v>0</v>
      </c>
      <c r="AK42" s="10">
        <f>(SUMIF(Расчеты!$L$6:$CO$6,AK$6,WC_Cash_Flow)+SUMIF(Расчеты!$L$6:$CO$6,AK$6,VAT_Cash_Flow))/Thousand</f>
        <v>0</v>
      </c>
      <c r="AL42" s="149"/>
      <c r="AM42" s="10"/>
    </row>
    <row r="43" spans="1:39" s="141" customFormat="1" ht="15" customHeight="1" thickTop="1">
      <c r="A43" s="153"/>
      <c r="B43" s="153"/>
      <c r="C43" s="49" t="s">
        <v>555</v>
      </c>
      <c r="D43" s="49"/>
      <c r="E43" s="49"/>
      <c r="F43" s="49"/>
      <c r="G43" s="159" t="s">
        <v>292</v>
      </c>
      <c r="H43" s="49"/>
      <c r="I43" s="23">
        <f t="shared" ca="1" si="8"/>
        <v>11938.312131651213</v>
      </c>
      <c r="J43" s="49"/>
      <c r="K43" s="49"/>
      <c r="L43" s="49">
        <f ca="1">SUM(L38:L42)</f>
        <v>-13.777614244774297</v>
      </c>
      <c r="M43" s="49">
        <f ca="1">SUM(M38:M42)</f>
        <v>-120.08739633525596</v>
      </c>
      <c r="N43" s="49">
        <f t="shared" ref="N43:Z43" ca="1" si="9">SUM(N38:N42)</f>
        <v>-124.89089218866616</v>
      </c>
      <c r="O43" s="49">
        <f t="shared" ca="1" si="9"/>
        <v>-248.69604773381394</v>
      </c>
      <c r="P43" s="49">
        <f t="shared" ca="1" si="9"/>
        <v>915.92801298572954</v>
      </c>
      <c r="Q43" s="49">
        <f t="shared" ca="1" si="9"/>
        <v>634.04969555805417</v>
      </c>
      <c r="R43" s="49">
        <f t="shared" ca="1" si="9"/>
        <v>731.43060696575901</v>
      </c>
      <c r="S43" s="49">
        <f t="shared" ca="1" si="9"/>
        <v>826.07560978618108</v>
      </c>
      <c r="T43" s="49">
        <f t="shared" ca="1" si="9"/>
        <v>855.39080027709792</v>
      </c>
      <c r="U43" s="49">
        <f t="shared" ca="1" si="9"/>
        <v>761.54205473902027</v>
      </c>
      <c r="V43" s="49">
        <f t="shared" ca="1" si="9"/>
        <v>671.54279813292283</v>
      </c>
      <c r="W43" s="49">
        <f t="shared" ca="1" si="9"/>
        <v>696.27209737878695</v>
      </c>
      <c r="X43" s="49">
        <f t="shared" ca="1" si="9"/>
        <v>722.11862923451611</v>
      </c>
      <c r="Y43" s="49">
        <f t="shared" ca="1" si="9"/>
        <v>742.09423303240396</v>
      </c>
      <c r="Z43" s="49">
        <f t="shared" ca="1" si="9"/>
        <v>699.65239890484224</v>
      </c>
      <c r="AA43" s="49">
        <f t="shared" ref="AA43:AK43" ca="1" si="10">SUM(AA38:AA42)</f>
        <v>713.8690358755822</v>
      </c>
      <c r="AB43" s="49">
        <f t="shared" ca="1" si="10"/>
        <v>744.16745245579057</v>
      </c>
      <c r="AC43" s="49">
        <f t="shared" ca="1" si="10"/>
        <v>776.73192671345691</v>
      </c>
      <c r="AD43" s="49">
        <f t="shared" ca="1" si="10"/>
        <v>810.52996975931455</v>
      </c>
      <c r="AE43" s="49">
        <f t="shared" ca="1" si="10"/>
        <v>846.87450952719382</v>
      </c>
      <c r="AF43" s="49">
        <f t="shared" ca="1" si="10"/>
        <v>297.49425082707035</v>
      </c>
      <c r="AG43" s="49">
        <f t="shared" si="10"/>
        <v>0</v>
      </c>
      <c r="AH43" s="49">
        <f t="shared" si="10"/>
        <v>0</v>
      </c>
      <c r="AI43" s="49">
        <f t="shared" si="10"/>
        <v>0</v>
      </c>
      <c r="AJ43" s="49">
        <f t="shared" si="10"/>
        <v>0</v>
      </c>
      <c r="AK43" s="49">
        <f t="shared" si="10"/>
        <v>0</v>
      </c>
      <c r="AL43" s="160"/>
      <c r="AM43" s="35"/>
    </row>
    <row r="44" spans="1:39" s="158" customFormat="1" ht="15" customHeight="1" thickBot="1">
      <c r="A44" s="153"/>
      <c r="B44" s="153"/>
      <c r="C44" s="153"/>
      <c r="D44" s="153"/>
      <c r="E44" s="11"/>
      <c r="F44" s="11"/>
      <c r="G44" s="11"/>
      <c r="H44" s="153"/>
      <c r="I44" s="154"/>
      <c r="J44" s="153"/>
      <c r="K44" s="153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s="158" customFormat="1" ht="15" customHeight="1" thickTop="1">
      <c r="A45" s="153"/>
      <c r="B45" s="153"/>
      <c r="C45" s="161" t="s">
        <v>557</v>
      </c>
      <c r="D45" s="161"/>
      <c r="E45" s="162"/>
      <c r="F45" s="162"/>
      <c r="G45" s="162" t="s">
        <v>292</v>
      </c>
      <c r="H45" s="161"/>
      <c r="I45" s="163">
        <f ca="1" xml:space="preserve"> SUM(L45:AL45)</f>
        <v>-483.49653451990054</v>
      </c>
      <c r="J45" s="161"/>
      <c r="K45" s="161"/>
      <c r="L45" s="49">
        <f ca="1">(SUMIF(Расчеты!$L$6:$CO$6,L$6,Bank_Fees)+SUMIF(Расчеты!$L$6:$CO$6,L$6,Debt_Interest_Paid)+SUMIF(Расчеты!$L$6:$CO$6,L$6,Debt_Repaiment)+SUMIF(Расчеты!$L$6:$CO$6,L$6,Debt_Drawdown))/Thousand</f>
        <v>0</v>
      </c>
      <c r="M45" s="49">
        <f ca="1">(SUMIF(Расчеты!$L$6:$CO$6,M$6,Bank_Fees)+SUMIF(Расчеты!$L$6:$CO$6,M$6,Debt_Interest_Paid)+SUMIF(Расчеты!$L$6:$CO$6,M$6,Debt_Repaiment)+SUMIF(Расчеты!$L$6:$CO$6,M$6,Debt_Drawdown))/Thousand</f>
        <v>0</v>
      </c>
      <c r="N45" s="49">
        <f ca="1">(SUMIF(Расчеты!$L$6:$CO$6,N$6,Bank_Fees)+SUMIF(Расчеты!$L$6:$CO$6,N$6,Debt_Interest_Paid)+SUMIF(Расчеты!$L$6:$CO$6,N$6,Debt_Repaiment)+SUMIF(Расчеты!$L$6:$CO$6,N$6,Debt_Drawdown))/Thousand</f>
        <v>599.50709267264017</v>
      </c>
      <c r="O45" s="49">
        <f ca="1">(SUMIF(Расчеты!$L$6:$CO$6,O$6,Bank_Fees)+SUMIF(Расчеты!$L$6:$CO$6,O$6,Debt_Interest_Paid)+SUMIF(Расчеты!$L$6:$CO$6,O$6,Debt_Repaiment)+SUMIF(Расчеты!$L$6:$CO$6,O$6,Debt_Drawdown))/Thousand</f>
        <v>1411.7311484204188</v>
      </c>
      <c r="P45" s="49">
        <f ca="1">(SUMIF(Расчеты!$L$6:$CO$6,P$6,Bank_Fees)+SUMIF(Расчеты!$L$6:$CO$6,P$6,Debt_Interest_Paid)+SUMIF(Расчеты!$L$6:$CO$6,P$6,Debt_Repaiment)+SUMIF(Расчеты!$L$6:$CO$6,P$6,Debt_Drawdown))/Thousand</f>
        <v>-228.81855017244303</v>
      </c>
      <c r="Q45" s="49">
        <f ca="1">(SUMIF(Расчеты!$L$6:$CO$6,Q$6,Bank_Fees)+SUMIF(Расчеты!$L$6:$CO$6,Q$6,Debt_Interest_Paid)+SUMIF(Расчеты!$L$6:$CO$6,Q$6,Debt_Repaiment)+SUMIF(Расчеты!$L$6:$CO$6,Q$6,Debt_Drawdown))/Thousand</f>
        <v>-528.37474629837857</v>
      </c>
      <c r="R45" s="49">
        <f ca="1">(SUMIF(Расчеты!$L$6:$CO$6,R$6,Bank_Fees)+SUMIF(Расчеты!$L$6:$CO$6,R$6,Debt_Interest_Paid)+SUMIF(Расчеты!$L$6:$CO$6,R$6,Debt_Repaiment)+SUMIF(Расчеты!$L$6:$CO$6,R$6,Debt_Drawdown))/Thousand</f>
        <v>-609.52550580479931</v>
      </c>
      <c r="S45" s="49">
        <f ca="1">(SUMIF(Расчеты!$L$6:$CO$6,S$6,Bank_Fees)+SUMIF(Расчеты!$L$6:$CO$6,S$6,Debt_Interest_Paid)+SUMIF(Расчеты!$L$6:$CO$6,S$6,Debt_Repaiment)+SUMIF(Расчеты!$L$6:$CO$6,S$6,Debt_Drawdown))/Thousand</f>
        <v>-688.39634148848427</v>
      </c>
      <c r="T45" s="49">
        <f ca="1">(SUMIF(Расчеты!$L$6:$CO$6,T$6,Bank_Fees)+SUMIF(Расчеты!$L$6:$CO$6,T$6,Debt_Interest_Paid)+SUMIF(Расчеты!$L$6:$CO$6,T$6,Debt_Repaiment)+SUMIF(Расчеты!$L$6:$CO$6,T$6,Debt_Drawdown))/Thousand</f>
        <v>-439.61963184885434</v>
      </c>
      <c r="U45" s="49">
        <f ca="1">(SUMIF(Расчеты!$L$6:$CO$6,U$6,Bank_Fees)+SUMIF(Расчеты!$L$6:$CO$6,U$6,Debt_Interest_Paid)+SUMIF(Расчеты!$L$6:$CO$6,U$6,Debt_Repaiment)+SUMIF(Расчеты!$L$6:$CO$6,U$6,Debt_Drawdown))/Thousand</f>
        <v>0</v>
      </c>
      <c r="V45" s="49">
        <f ca="1">(SUMIF(Расчеты!$L$6:$CO$6,V$6,Bank_Fees)+SUMIF(Расчеты!$L$6:$CO$6,V$6,Debt_Interest_Paid)+SUMIF(Расчеты!$L$6:$CO$6,V$6,Debt_Repaiment)+SUMIF(Расчеты!$L$6:$CO$6,V$6,Debt_Drawdown))/Thousand</f>
        <v>0</v>
      </c>
      <c r="W45" s="49">
        <f ca="1">(SUMIF(Расчеты!$L$6:$CO$6,W$6,Bank_Fees)+SUMIF(Расчеты!$L$6:$CO$6,W$6,Debt_Interest_Paid)+SUMIF(Расчеты!$L$6:$CO$6,W$6,Debt_Repaiment)+SUMIF(Расчеты!$L$6:$CO$6,W$6,Debt_Drawdown))/Thousand</f>
        <v>0</v>
      </c>
      <c r="X45" s="49">
        <f ca="1">(SUMIF(Расчеты!$L$6:$CO$6,X$6,Bank_Fees)+SUMIF(Расчеты!$L$6:$CO$6,X$6,Debt_Interest_Paid)+SUMIF(Расчеты!$L$6:$CO$6,X$6,Debt_Repaiment)+SUMIF(Расчеты!$L$6:$CO$6,X$6,Debt_Drawdown))/Thousand</f>
        <v>0</v>
      </c>
      <c r="Y45" s="49">
        <f ca="1">(SUMIF(Расчеты!$L$6:$CO$6,Y$6,Bank_Fees)+SUMIF(Расчеты!$L$6:$CO$6,Y$6,Debt_Interest_Paid)+SUMIF(Расчеты!$L$6:$CO$6,Y$6,Debt_Repaiment)+SUMIF(Расчеты!$L$6:$CO$6,Y$6,Debt_Drawdown))/Thousand</f>
        <v>0</v>
      </c>
      <c r="Z45" s="49">
        <f ca="1">(SUMIF(Расчеты!$L$6:$CO$6,Z$6,Bank_Fees)+SUMIF(Расчеты!$L$6:$CO$6,Z$6,Debt_Interest_Paid)+SUMIF(Расчеты!$L$6:$CO$6,Z$6,Debt_Repaiment)+SUMIF(Расчеты!$L$6:$CO$6,Z$6,Debt_Drawdown))/Thousand</f>
        <v>0</v>
      </c>
      <c r="AA45" s="49">
        <f ca="1">(SUMIF(Расчеты!$L$6:$CO$6,AA$6,Bank_Fees)+SUMIF(Расчеты!$L$6:$CO$6,AA$6,Debt_Interest_Paid)+SUMIF(Расчеты!$L$6:$CO$6,AA$6,Debt_Repaiment)+SUMIF(Расчеты!$L$6:$CO$6,AA$6,Debt_Drawdown))/Thousand</f>
        <v>0</v>
      </c>
      <c r="AB45" s="49">
        <f ca="1">(SUMIF(Расчеты!$L$6:$CO$6,AB$6,Bank_Fees)+SUMIF(Расчеты!$L$6:$CO$6,AB$6,Debt_Interest_Paid)+SUMIF(Расчеты!$L$6:$CO$6,AB$6,Debt_Repaiment)+SUMIF(Расчеты!$L$6:$CO$6,AB$6,Debt_Drawdown))/Thousand</f>
        <v>0</v>
      </c>
      <c r="AC45" s="49">
        <f ca="1">(SUMIF(Расчеты!$L$6:$CO$6,AC$6,Bank_Fees)+SUMIF(Расчеты!$L$6:$CO$6,AC$6,Debt_Interest_Paid)+SUMIF(Расчеты!$L$6:$CO$6,AC$6,Debt_Repaiment)+SUMIF(Расчеты!$L$6:$CO$6,AC$6,Debt_Drawdown))/Thousand</f>
        <v>0</v>
      </c>
      <c r="AD45" s="49">
        <f ca="1">(SUMIF(Расчеты!$L$6:$CO$6,AD$6,Bank_Fees)+SUMIF(Расчеты!$L$6:$CO$6,AD$6,Debt_Interest_Paid)+SUMIF(Расчеты!$L$6:$CO$6,AD$6,Debt_Repaiment)+SUMIF(Расчеты!$L$6:$CO$6,AD$6,Debt_Drawdown))/Thousand</f>
        <v>0</v>
      </c>
      <c r="AE45" s="49">
        <f ca="1">(SUMIF(Расчеты!$L$6:$CO$6,AE$6,Bank_Fees)+SUMIF(Расчеты!$L$6:$CO$6,AE$6,Debt_Interest_Paid)+SUMIF(Расчеты!$L$6:$CO$6,AE$6,Debt_Repaiment)+SUMIF(Расчеты!$L$6:$CO$6,AE$6,Debt_Drawdown))/Thousand</f>
        <v>0</v>
      </c>
      <c r="AF45" s="49">
        <f ca="1">(SUMIF(Расчеты!$L$6:$CO$6,AF$6,Bank_Fees)+SUMIF(Расчеты!$L$6:$CO$6,AF$6,Debt_Interest_Paid)+SUMIF(Расчеты!$L$6:$CO$6,AF$6,Debt_Repaiment)+SUMIF(Расчеты!$L$6:$CO$6,AF$6,Debt_Drawdown))/Thousand</f>
        <v>0</v>
      </c>
      <c r="AG45" s="49">
        <f>(SUMIF(Расчеты!$L$6:$CO$6,AG$6,Bank_Fees)+SUMIF(Расчеты!$L$6:$CO$6,AG$6,Debt_Interest_Paid)+SUMIF(Расчеты!$L$6:$CO$6,AG$6,Debt_Repaiment)+SUMIF(Расчеты!$L$6:$CO$6,AG$6,Debt_Drawdown))/Thousand</f>
        <v>0</v>
      </c>
      <c r="AH45" s="49">
        <f>(SUMIF(Расчеты!$L$6:$CO$6,AH$6,Bank_Fees)+SUMIF(Расчеты!$L$6:$CO$6,AH$6,Debt_Interest_Paid)+SUMIF(Расчеты!$L$6:$CO$6,AH$6,Debt_Repaiment)+SUMIF(Расчеты!$L$6:$CO$6,AH$6,Debt_Drawdown))/Thousand</f>
        <v>0</v>
      </c>
      <c r="AI45" s="49">
        <f>(SUMIF(Расчеты!$L$6:$CO$6,AI$6,Bank_Fees)+SUMIF(Расчеты!$L$6:$CO$6,AI$6,Debt_Interest_Paid)+SUMIF(Расчеты!$L$6:$CO$6,AI$6,Debt_Repaiment)+SUMIF(Расчеты!$L$6:$CO$6,AI$6,Debt_Drawdown))/Thousand</f>
        <v>0</v>
      </c>
      <c r="AJ45" s="49">
        <f>(SUMIF(Расчеты!$L$6:$CO$6,AJ$6,Bank_Fees)+SUMIF(Расчеты!$L$6:$CO$6,AJ$6,Debt_Interest_Paid)+SUMIF(Расчеты!$L$6:$CO$6,AJ$6,Debt_Repaiment)+SUMIF(Расчеты!$L$6:$CO$6,AJ$6,Debt_Drawdown))/Thousand</f>
        <v>0</v>
      </c>
      <c r="AK45" s="49">
        <f>(SUMIF(Расчеты!$L$6:$CO$6,AK$6,Bank_Fees)+SUMIF(Расчеты!$L$6:$CO$6,AK$6,Debt_Interest_Paid)+SUMIF(Расчеты!$L$6:$CO$6,AK$6,Debt_Repaiment)+SUMIF(Расчеты!$L$6:$CO$6,AK$6,Debt_Drawdown))/Thousand</f>
        <v>0</v>
      </c>
      <c r="AL45" s="164"/>
      <c r="AM45" s="35"/>
    </row>
    <row r="46" spans="1:39" s="158" customFormat="1" ht="15" customHeight="1" thickBot="1">
      <c r="A46" s="153"/>
      <c r="B46" s="153"/>
      <c r="C46" s="153"/>
      <c r="D46" s="153"/>
      <c r="E46" s="11"/>
      <c r="F46" s="11"/>
      <c r="G46" s="11"/>
      <c r="H46" s="153"/>
      <c r="I46" s="154"/>
      <c r="J46" s="153"/>
      <c r="K46" s="153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  <c r="AI46" s="149"/>
      <c r="AJ46" s="149"/>
      <c r="AK46" s="149"/>
      <c r="AL46" s="149"/>
      <c r="AM46" s="10"/>
    </row>
    <row r="47" spans="1:39" s="141" customFormat="1" ht="15" customHeight="1" thickTop="1">
      <c r="A47" s="153"/>
      <c r="B47" s="153"/>
      <c r="C47" s="161" t="s">
        <v>556</v>
      </c>
      <c r="D47" s="161"/>
      <c r="E47" s="162"/>
      <c r="F47" s="162"/>
      <c r="G47" s="162" t="s">
        <v>292</v>
      </c>
      <c r="H47" s="161"/>
      <c r="I47" s="23">
        <f ca="1" xml:space="preserve"> SUM(L47:AL47)</f>
        <v>-3087.2854622873447</v>
      </c>
      <c r="J47" s="161"/>
      <c r="K47" s="161"/>
      <c r="L47" s="49">
        <f ca="1" xml:space="preserve"> SUMIF(Расчеты!$6:$6,L$6,Расчеты!1345:1345)/Thousand</f>
        <v>-68.888071223871492</v>
      </c>
      <c r="M47" s="49">
        <f ca="1" xml:space="preserve"> SUMIF(Расчеты!$6:$6,M$6,Расчеты!1345:1345)/Thousand</f>
        <v>-600.43698167627986</v>
      </c>
      <c r="N47" s="49">
        <f ca="1" xml:space="preserve"> SUMIF(Расчеты!$6:$6,N$6,Расчеты!1345:1345)/Thousand</f>
        <v>-624.4544609433309</v>
      </c>
      <c r="O47" s="49">
        <f ca="1" xml:space="preserve"> SUMIF(Расчеты!$6:$6,O$6,Расчеты!1345:1345)/Thousand</f>
        <v>-1243.4802386690694</v>
      </c>
      <c r="P47" s="49">
        <f ca="1" xml:space="preserve"> SUMIF(Расчеты!$6:$6,P$6,Расчеты!1345:1345)/Thousand</f>
        <v>-550.02570977479309</v>
      </c>
      <c r="Q47" s="49">
        <f ca="1" xml:space="preserve"> SUMIF(Расчеты!$6:$6,Q$6,Расчеты!1345:1345)/Thousand</f>
        <v>0</v>
      </c>
      <c r="R47" s="49">
        <f ca="1" xml:space="preserve"> SUMIF(Расчеты!$6:$6,R$6,Расчеты!1345:1345)/Thousand</f>
        <v>0</v>
      </c>
      <c r="S47" s="49">
        <f ca="1" xml:space="preserve"> SUMIF(Расчеты!$6:$6,S$6,Расчеты!1345:1345)/Thousand</f>
        <v>0</v>
      </c>
      <c r="T47" s="49">
        <f ca="1" xml:space="preserve"> SUMIF(Расчеты!$6:$6,T$6,Расчеты!1345:1345)/Thousand</f>
        <v>0</v>
      </c>
      <c r="U47" s="49">
        <f ca="1" xml:space="preserve"> SUMIF(Расчеты!$6:$6,U$6,Расчеты!1345:1345)/Thousand</f>
        <v>0</v>
      </c>
      <c r="V47" s="49">
        <f ca="1" xml:space="preserve"> SUMIF(Расчеты!$6:$6,V$6,Расчеты!1345:1345)/Thousand</f>
        <v>0</v>
      </c>
      <c r="W47" s="49">
        <f ca="1" xml:space="preserve"> SUMIF(Расчеты!$6:$6,W$6,Расчеты!1345:1345)/Thousand</f>
        <v>0</v>
      </c>
      <c r="X47" s="49">
        <f ca="1" xml:space="preserve"> SUMIF(Расчеты!$6:$6,X$6,Расчеты!1345:1345)/Thousand</f>
        <v>0</v>
      </c>
      <c r="Y47" s="49">
        <f ca="1" xml:space="preserve"> SUMIF(Расчеты!$6:$6,Y$6,Расчеты!1345:1345)/Thousand</f>
        <v>0</v>
      </c>
      <c r="Z47" s="49">
        <f ca="1" xml:space="preserve"> SUMIF(Расчеты!$6:$6,Z$6,Расчеты!1345:1345)/Thousand</f>
        <v>0</v>
      </c>
      <c r="AA47" s="49">
        <f ca="1" xml:space="preserve"> SUMIF(Расчеты!$6:$6,AA$6,Расчеты!1345:1345)/Thousand</f>
        <v>0</v>
      </c>
      <c r="AB47" s="49">
        <f ca="1" xml:space="preserve"> SUMIF(Расчеты!$6:$6,AB$6,Расчеты!1345:1345)/Thousand</f>
        <v>0</v>
      </c>
      <c r="AC47" s="49">
        <f ca="1" xml:space="preserve"> SUMIF(Расчеты!$6:$6,AC$6,Расчеты!1345:1345)/Thousand</f>
        <v>0</v>
      </c>
      <c r="AD47" s="49">
        <f ca="1" xml:space="preserve"> SUMIF(Расчеты!$6:$6,AD$6,Расчеты!1345:1345)/Thousand</f>
        <v>0</v>
      </c>
      <c r="AE47" s="49">
        <f ca="1" xml:space="preserve"> SUMIF(Расчеты!$6:$6,AE$6,Расчеты!1345:1345)/Thousand</f>
        <v>0</v>
      </c>
      <c r="AF47" s="49">
        <f ca="1" xml:space="preserve"> SUMIF(Расчеты!$6:$6,AF$6,Расчеты!1345:1345)/Thousand</f>
        <v>0</v>
      </c>
      <c r="AG47" s="49">
        <f xml:space="preserve"> SUMIF(Расчеты!$6:$6,AG$6,Расчеты!1345:1345)/Thousand</f>
        <v>0</v>
      </c>
      <c r="AH47" s="49">
        <f xml:space="preserve"> SUMIF(Расчеты!$6:$6,AH$6,Расчеты!1345:1345)/Thousand</f>
        <v>0</v>
      </c>
      <c r="AI47" s="49">
        <f xml:space="preserve"> SUMIF(Расчеты!$6:$6,AI$6,Расчеты!1345:1345)/Thousand</f>
        <v>0</v>
      </c>
      <c r="AJ47" s="49">
        <f xml:space="preserve"> SUMIF(Расчеты!$6:$6,AJ$6,Расчеты!1345:1345)/Thousand</f>
        <v>0</v>
      </c>
      <c r="AK47" s="49">
        <f xml:space="preserve"> SUMIF(Расчеты!$6:$6,AK$6,Расчеты!1345:1345)/Thousand</f>
        <v>0</v>
      </c>
      <c r="AL47" s="164"/>
      <c r="AM47" s="10"/>
    </row>
    <row r="48" spans="1:39" s="158" customFormat="1" ht="15" customHeight="1" thickBot="1">
      <c r="A48" s="153"/>
      <c r="B48" s="153"/>
      <c r="C48" s="153"/>
      <c r="D48" s="153"/>
      <c r="E48" s="11"/>
      <c r="F48" s="11"/>
      <c r="G48" s="11"/>
      <c r="H48" s="11"/>
      <c r="I48" s="165"/>
      <c r="J48" s="11"/>
      <c r="K48" s="11"/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</row>
    <row r="49" spans="1:39" s="141" customFormat="1" ht="15" customHeight="1" thickTop="1">
      <c r="A49" s="153"/>
      <c r="B49" s="153"/>
      <c r="C49" s="49" t="s">
        <v>558</v>
      </c>
      <c r="D49" s="49"/>
      <c r="E49" s="49"/>
      <c r="F49" s="49"/>
      <c r="G49" s="159" t="s">
        <v>292</v>
      </c>
      <c r="H49" s="49"/>
      <c r="I49" s="23">
        <f ca="1" xml:space="preserve"> SUM(L49:AL49)</f>
        <v>8367.5301348439662</v>
      </c>
      <c r="J49" s="49"/>
      <c r="K49" s="49"/>
      <c r="L49" s="49">
        <f ca="1">L43+L45+L47</f>
        <v>-82.66568546864579</v>
      </c>
      <c r="M49" s="49">
        <f t="shared" ref="M49:Z49" ca="1" si="11">M43+M45+M47</f>
        <v>-720.52437801153587</v>
      </c>
      <c r="N49" s="49">
        <f t="shared" ca="1" si="11"/>
        <v>-149.83826045935689</v>
      </c>
      <c r="O49" s="49">
        <f t="shared" ca="1" si="11"/>
        <v>-80.44513798246453</v>
      </c>
      <c r="P49" s="49">
        <f t="shared" ca="1" si="11"/>
        <v>137.08375303849346</v>
      </c>
      <c r="Q49" s="49">
        <f t="shared" ca="1" si="11"/>
        <v>105.6749492596756</v>
      </c>
      <c r="R49" s="49">
        <f t="shared" ca="1" si="11"/>
        <v>121.9051011609597</v>
      </c>
      <c r="S49" s="49">
        <f t="shared" ca="1" si="11"/>
        <v>137.67926829769681</v>
      </c>
      <c r="T49" s="49">
        <f t="shared" ca="1" si="11"/>
        <v>415.77116842824358</v>
      </c>
      <c r="U49" s="49">
        <f t="shared" ca="1" si="11"/>
        <v>761.54205473902027</v>
      </c>
      <c r="V49" s="49">
        <f t="shared" ca="1" si="11"/>
        <v>671.54279813292283</v>
      </c>
      <c r="W49" s="49">
        <f t="shared" ca="1" si="11"/>
        <v>696.27209737878695</v>
      </c>
      <c r="X49" s="49">
        <f t="shared" ca="1" si="11"/>
        <v>722.11862923451611</v>
      </c>
      <c r="Y49" s="49">
        <f t="shared" ca="1" si="11"/>
        <v>742.09423303240396</v>
      </c>
      <c r="Z49" s="49">
        <f t="shared" ca="1" si="11"/>
        <v>699.65239890484224</v>
      </c>
      <c r="AA49" s="49">
        <f t="shared" ref="AA49:AK49" ca="1" si="12">AA43+AA45+AA47</f>
        <v>713.8690358755822</v>
      </c>
      <c r="AB49" s="49">
        <f t="shared" ca="1" si="12"/>
        <v>744.16745245579057</v>
      </c>
      <c r="AC49" s="49">
        <f t="shared" ca="1" si="12"/>
        <v>776.73192671345691</v>
      </c>
      <c r="AD49" s="49">
        <f t="shared" ca="1" si="12"/>
        <v>810.52996975931455</v>
      </c>
      <c r="AE49" s="49">
        <f t="shared" ca="1" si="12"/>
        <v>846.87450952719382</v>
      </c>
      <c r="AF49" s="49">
        <f t="shared" ca="1" si="12"/>
        <v>297.49425082707035</v>
      </c>
      <c r="AG49" s="49">
        <f t="shared" si="12"/>
        <v>0</v>
      </c>
      <c r="AH49" s="49">
        <f t="shared" si="12"/>
        <v>0</v>
      </c>
      <c r="AI49" s="49">
        <f t="shared" si="12"/>
        <v>0</v>
      </c>
      <c r="AJ49" s="49">
        <f t="shared" si="12"/>
        <v>0</v>
      </c>
      <c r="AK49" s="49">
        <f t="shared" si="12"/>
        <v>0</v>
      </c>
      <c r="AL49" s="160"/>
      <c r="AM49" s="10"/>
    </row>
    <row r="50" spans="1:39" s="141" customFormat="1" ht="15" customHeight="1">
      <c r="A50" s="10"/>
      <c r="B50" s="153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</row>
  </sheetData>
  <conditionalFormatting sqref="E4">
    <cfRule type="cellIs" dxfId="16" priority="1" operator="equal">
      <formula>FALSE</formula>
    </cfRule>
    <cfRule type="cellIs" dxfId="15" priority="2" operator="equal">
      <formula>TRUE</formula>
    </cfRule>
  </conditionalFormatting>
  <pageMargins left="0.7" right="0.7" top="0.75" bottom="0.75" header="0.3" footer="0.3"/>
  <pageSetup paperSize="8" scale="46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tabColor theme="9"/>
  </sheetPr>
  <dimension ref="A1:K52"/>
  <sheetViews>
    <sheetView view="pageBreakPreview" zoomScale="70" zoomScaleNormal="70" zoomScaleSheetLayoutView="70" workbookViewId="0">
      <selection activeCell="D45" sqref="D45"/>
    </sheetView>
  </sheetViews>
  <sheetFormatPr defaultColWidth="0" defaultRowHeight="15" customHeight="1" zeroHeight="1"/>
  <cols>
    <col min="1" max="1" width="3" customWidth="1"/>
    <col min="2" max="10" width="14.28515625" customWidth="1"/>
    <col min="11" max="11" width="3" customWidth="1"/>
    <col min="12" max="16384" width="8.7109375" hidden="1"/>
  </cols>
  <sheetData>
    <row r="1" spans="1:11" s="133" customFormat="1" ht="14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</row>
    <row r="2" spans="1:11" s="133" customFormat="1" ht="24.75" customHeight="1">
      <c r="A2" s="47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5"/>
      <c r="H2" s="5"/>
      <c r="I2" s="31"/>
      <c r="J2" s="31"/>
      <c r="K2" s="47"/>
    </row>
    <row r="3" spans="1:11" s="141" customFormat="1" ht="15" customHeight="1">
      <c r="A3" s="153"/>
      <c r="B3" s="153"/>
      <c r="C3" s="153"/>
      <c r="D3" s="153"/>
      <c r="E3" s="153"/>
      <c r="F3" s="153"/>
      <c r="G3" s="153"/>
      <c r="H3" s="153"/>
      <c r="I3" s="153"/>
      <c r="J3" s="153"/>
      <c r="K3" s="153"/>
    </row>
    <row r="4" spans="1:11" s="141" customFormat="1" ht="15" customHeight="1" thickBot="1">
      <c r="A4" s="153"/>
      <c r="B4" s="345" t="s">
        <v>957</v>
      </c>
      <c r="C4" s="345"/>
      <c r="D4" s="345"/>
      <c r="E4" s="345"/>
      <c r="F4" s="345"/>
      <c r="G4" s="345"/>
      <c r="H4" s="345"/>
      <c r="I4" s="345"/>
      <c r="J4" s="345"/>
      <c r="K4" s="153"/>
    </row>
    <row r="5" spans="1:11" s="141" customFormat="1" ht="15" customHeight="1" thickTop="1">
      <c r="A5" s="153"/>
      <c r="B5" s="153"/>
      <c r="C5" s="153"/>
      <c r="D5" s="153"/>
      <c r="E5" s="153"/>
      <c r="F5" s="153"/>
      <c r="G5" s="153"/>
      <c r="H5" s="153"/>
      <c r="I5" s="153"/>
      <c r="J5" s="153"/>
      <c r="K5" s="153"/>
    </row>
    <row r="6" spans="1:11" s="141" customFormat="1" ht="15" customHeight="1">
      <c r="A6" s="153"/>
      <c r="B6" s="10" t="s">
        <v>958</v>
      </c>
      <c r="C6" s="153"/>
      <c r="D6" s="153"/>
      <c r="E6" s="153"/>
      <c r="F6" s="80">
        <v>0</v>
      </c>
      <c r="G6" s="346" t="s">
        <v>959</v>
      </c>
      <c r="H6" s="153"/>
      <c r="I6" s="153"/>
      <c r="J6" s="153"/>
      <c r="K6" s="153"/>
    </row>
    <row r="7" spans="1:11" s="141" customFormat="1" ht="15" customHeight="1">
      <c r="A7" s="153"/>
      <c r="B7" s="10" t="s">
        <v>960</v>
      </c>
      <c r="C7" s="10"/>
      <c r="D7" s="153"/>
      <c r="E7" s="153"/>
      <c r="F7" s="80">
        <v>0</v>
      </c>
      <c r="G7" s="346" t="s">
        <v>961</v>
      </c>
      <c r="H7" s="153"/>
      <c r="I7" s="153"/>
      <c r="J7" s="153"/>
      <c r="K7" s="153"/>
    </row>
    <row r="8" spans="1:11" s="141" customFormat="1" ht="15" customHeight="1">
      <c r="A8" s="153"/>
      <c r="B8" s="10" t="s">
        <v>962</v>
      </c>
      <c r="C8" s="10"/>
      <c r="D8" s="153"/>
      <c r="E8" s="153"/>
      <c r="F8" s="80">
        <v>0</v>
      </c>
      <c r="G8" s="346" t="s">
        <v>963</v>
      </c>
      <c r="H8" s="153"/>
      <c r="I8" s="153"/>
      <c r="J8" s="153"/>
      <c r="K8" s="153"/>
    </row>
    <row r="9" spans="1:11" s="141" customFormat="1" ht="15" customHeight="1">
      <c r="A9" s="153"/>
      <c r="B9" s="10" t="s">
        <v>964</v>
      </c>
      <c r="C9" s="10"/>
      <c r="D9" s="153"/>
      <c r="E9" s="153"/>
      <c r="F9" s="80">
        <v>0</v>
      </c>
      <c r="G9" s="346" t="s">
        <v>965</v>
      </c>
      <c r="H9" s="153"/>
      <c r="I9" s="153"/>
      <c r="J9" s="153"/>
      <c r="K9" s="153"/>
    </row>
    <row r="10" spans="1:11" s="141" customFormat="1" ht="15" customHeight="1">
      <c r="A10" s="153"/>
      <c r="B10" s="153"/>
      <c r="C10" s="153"/>
      <c r="D10" s="153"/>
      <c r="E10" s="153"/>
      <c r="F10" s="153"/>
      <c r="G10" s="153"/>
      <c r="H10" s="153"/>
      <c r="I10" s="153"/>
      <c r="J10" s="153"/>
      <c r="K10" s="153"/>
    </row>
    <row r="11" spans="1:11" s="141" customFormat="1" ht="15" customHeight="1" thickBot="1">
      <c r="A11" s="153"/>
      <c r="B11" s="345" t="s">
        <v>966</v>
      </c>
      <c r="C11" s="345"/>
      <c r="D11" s="345"/>
      <c r="E11" s="345"/>
      <c r="F11" s="345"/>
      <c r="G11" s="345"/>
      <c r="H11" s="345"/>
      <c r="I11" s="345"/>
      <c r="J11" s="345"/>
      <c r="K11" s="153"/>
    </row>
    <row r="12" spans="1:11" s="141" customFormat="1" ht="15" customHeight="1" thickTop="1">
      <c r="A12" s="153"/>
      <c r="B12" s="153"/>
      <c r="C12" s="153"/>
      <c r="D12" s="153"/>
      <c r="E12" s="153"/>
      <c r="F12" s="153"/>
      <c r="G12" s="153"/>
      <c r="H12" s="153"/>
      <c r="I12" s="153"/>
      <c r="J12" s="153"/>
      <c r="K12" s="153"/>
    </row>
    <row r="13" spans="1:11" s="141" customFormat="1" ht="15" customHeight="1">
      <c r="A13" s="153"/>
      <c r="B13" s="689" t="s">
        <v>967</v>
      </c>
      <c r="C13" s="689"/>
      <c r="D13" s="690" t="s">
        <v>968</v>
      </c>
      <c r="E13" s="690"/>
      <c r="F13" s="690"/>
      <c r="G13" s="690"/>
      <c r="H13" s="690"/>
      <c r="I13" s="690"/>
      <c r="J13" s="690"/>
      <c r="K13" s="153"/>
    </row>
    <row r="14" spans="1:11" s="141" customFormat="1" ht="15" customHeight="1">
      <c r="A14" s="153"/>
      <c r="B14" s="689"/>
      <c r="C14" s="689"/>
      <c r="D14" s="347">
        <v>-0.15</v>
      </c>
      <c r="E14" s="347">
        <v>-0.1</v>
      </c>
      <c r="F14" s="347">
        <v>-0.05</v>
      </c>
      <c r="G14" s="347">
        <v>0</v>
      </c>
      <c r="H14" s="347">
        <v>0.05</v>
      </c>
      <c r="I14" s="347">
        <v>0.1</v>
      </c>
      <c r="J14" s="347">
        <v>0.15</v>
      </c>
      <c r="K14" s="153"/>
    </row>
    <row r="15" spans="1:11" s="141" customFormat="1" ht="15" customHeight="1">
      <c r="A15" s="153"/>
      <c r="B15" s="688" t="s">
        <v>969</v>
      </c>
      <c r="C15" s="347">
        <v>-0.15</v>
      </c>
      <c r="D15" s="348">
        <v>4677.180131019305</v>
      </c>
      <c r="E15" s="348">
        <v>4306.7704692871876</v>
      </c>
      <c r="F15" s="348">
        <v>3938.4159939796014</v>
      </c>
      <c r="G15" s="348">
        <v>3597.1067897767134</v>
      </c>
      <c r="H15" s="348">
        <v>3207.3284973409209</v>
      </c>
      <c r="I15" s="348">
        <v>2848.4479591173599</v>
      </c>
      <c r="J15" s="349">
        <v>2478.4184747259578</v>
      </c>
      <c r="K15" s="153"/>
    </row>
    <row r="16" spans="1:11" s="141" customFormat="1" ht="15" customHeight="1">
      <c r="A16" s="153"/>
      <c r="B16" s="688"/>
      <c r="C16" s="347">
        <v>-0.1</v>
      </c>
      <c r="D16" s="348">
        <v>4554.2107567550902</v>
      </c>
      <c r="E16" s="348">
        <v>4183.7489379207718</v>
      </c>
      <c r="F16" s="348">
        <v>3782.0727652021073</v>
      </c>
      <c r="G16" s="348">
        <v>3449.0471722608409</v>
      </c>
      <c r="H16" s="348">
        <v>3087.7288815368966</v>
      </c>
      <c r="I16" s="348">
        <v>2723.7552938803487</v>
      </c>
      <c r="J16" s="349">
        <v>2365.3206719256277</v>
      </c>
      <c r="K16" s="153"/>
    </row>
    <row r="17" spans="1:11" s="141" customFormat="1" ht="15" customHeight="1" thickBot="1">
      <c r="A17" s="153"/>
      <c r="B17" s="688"/>
      <c r="C17" s="347">
        <v>-0.05</v>
      </c>
      <c r="D17" s="348">
        <v>4431.2652497060035</v>
      </c>
      <c r="E17" s="348">
        <v>4050.985549454746</v>
      </c>
      <c r="F17" s="348">
        <v>3692.7523366646897</v>
      </c>
      <c r="G17" s="348">
        <v>3329.2471070995603</v>
      </c>
      <c r="H17" s="348">
        <v>2963.6373205516161</v>
      </c>
      <c r="I17" s="348">
        <v>2603.1152984744895</v>
      </c>
      <c r="J17" s="349">
        <v>2244.6114449817524</v>
      </c>
      <c r="K17" s="153"/>
    </row>
    <row r="18" spans="1:11" s="141" customFormat="1" ht="15" customHeight="1" thickBot="1">
      <c r="A18" s="153"/>
      <c r="B18" s="688"/>
      <c r="C18" s="347">
        <v>0</v>
      </c>
      <c r="D18" s="348">
        <v>4302.6918385465133</v>
      </c>
      <c r="E18" s="348">
        <v>3938.5485152166229</v>
      </c>
      <c r="F18" s="348">
        <v>3573.0568215563299</v>
      </c>
      <c r="G18" s="350">
        <v>3205.2387123168419</v>
      </c>
      <c r="H18" s="348">
        <v>2842.9963275785099</v>
      </c>
      <c r="I18" s="348">
        <v>2483.2655192432776</v>
      </c>
      <c r="J18" s="349">
        <v>2120.5872165732644</v>
      </c>
      <c r="K18" s="153"/>
    </row>
    <row r="19" spans="1:11" s="141" customFormat="1" ht="15" customHeight="1">
      <c r="A19" s="153"/>
      <c r="B19" s="688"/>
      <c r="C19" s="347">
        <v>0.05</v>
      </c>
      <c r="D19" s="348">
        <v>4186.4853199028339</v>
      </c>
      <c r="E19" s="348">
        <v>3819.2681683144397</v>
      </c>
      <c r="F19" s="348">
        <v>3448.890145358595</v>
      </c>
      <c r="G19" s="348">
        <v>3086.0423661922769</v>
      </c>
      <c r="H19" s="348">
        <v>2679.0729024946249</v>
      </c>
      <c r="I19" s="348">
        <v>2357.8660185385538</v>
      </c>
      <c r="J19" s="349">
        <v>2001.7651992140734</v>
      </c>
      <c r="K19" s="153"/>
    </row>
    <row r="20" spans="1:11" s="141" customFormat="1" ht="15" customHeight="1">
      <c r="A20" s="153"/>
      <c r="B20" s="688"/>
      <c r="C20" s="347">
        <v>0.1</v>
      </c>
      <c r="D20" s="348">
        <v>4068.1607889077259</v>
      </c>
      <c r="E20" s="348">
        <v>3694.6936508801846</v>
      </c>
      <c r="F20" s="348">
        <v>3291.3017450953989</v>
      </c>
      <c r="G20" s="348">
        <v>2959.1347483863342</v>
      </c>
      <c r="H20" s="348">
        <v>2597.7582043804332</v>
      </c>
      <c r="I20" s="348">
        <v>2247.9769006692727</v>
      </c>
      <c r="J20" s="349">
        <v>1897.3812344808807</v>
      </c>
      <c r="K20" s="153"/>
    </row>
    <row r="21" spans="1:11" s="141" customFormat="1" ht="15" customHeight="1">
      <c r="A21" s="153"/>
      <c r="B21" s="688"/>
      <c r="C21" s="347">
        <v>0.15</v>
      </c>
      <c r="D21" s="351">
        <v>3942.6762687465662</v>
      </c>
      <c r="E21" s="351">
        <v>3569.7015850983867</v>
      </c>
      <c r="F21" s="351">
        <v>3204.0866224392744</v>
      </c>
      <c r="G21" s="351">
        <v>2839.9973351552089</v>
      </c>
      <c r="H21" s="351">
        <v>2475.5649906487697</v>
      </c>
      <c r="I21" s="351">
        <v>2115.7391868472528</v>
      </c>
      <c r="J21" s="352">
        <v>1761.7889243047105</v>
      </c>
      <c r="K21" s="153"/>
    </row>
    <row r="22" spans="1:11" s="141" customFormat="1" ht="15" customHeight="1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</row>
    <row r="23" spans="1:11" s="141" customFormat="1" ht="15" customHeight="1">
      <c r="A23" s="153"/>
      <c r="B23" s="689" t="s">
        <v>970</v>
      </c>
      <c r="C23" s="689"/>
      <c r="D23" s="690" t="s">
        <v>968</v>
      </c>
      <c r="E23" s="690"/>
      <c r="F23" s="690"/>
      <c r="G23" s="690"/>
      <c r="H23" s="690"/>
      <c r="I23" s="690"/>
      <c r="J23" s="690"/>
      <c r="K23" s="153"/>
    </row>
    <row r="24" spans="1:11" s="141" customFormat="1" ht="15" customHeight="1">
      <c r="A24" s="153"/>
      <c r="B24" s="689"/>
      <c r="C24" s="689"/>
      <c r="D24" s="347">
        <v>-0.15</v>
      </c>
      <c r="E24" s="347">
        <v>-0.1</v>
      </c>
      <c r="F24" s="347">
        <v>-0.05</v>
      </c>
      <c r="G24" s="347">
        <v>0</v>
      </c>
      <c r="H24" s="347">
        <v>0.05</v>
      </c>
      <c r="I24" s="347">
        <v>0.1</v>
      </c>
      <c r="J24" s="347">
        <v>0.15</v>
      </c>
      <c r="K24" s="153"/>
    </row>
    <row r="25" spans="1:11" s="141" customFormat="1" ht="15" customHeight="1">
      <c r="A25" s="153"/>
      <c r="B25" s="688" t="s">
        <v>969</v>
      </c>
      <c r="C25" s="347">
        <v>-0.15</v>
      </c>
      <c r="D25" s="353">
        <v>0.3245725861896227</v>
      </c>
      <c r="E25" s="353">
        <v>0.31149111176630728</v>
      </c>
      <c r="F25" s="353">
        <v>0.29873752942199316</v>
      </c>
      <c r="G25" s="353">
        <v>0.28569790680708906</v>
      </c>
      <c r="H25" s="353">
        <v>0.27190577732185428</v>
      </c>
      <c r="I25" s="353">
        <v>0.25730278733522383</v>
      </c>
      <c r="J25" s="354">
        <v>0.24206318642455726</v>
      </c>
      <c r="K25" s="153"/>
    </row>
    <row r="26" spans="1:11" s="141" customFormat="1" ht="15" customHeight="1">
      <c r="A26" s="153"/>
      <c r="B26" s="688"/>
      <c r="C26" s="347">
        <v>-0.1</v>
      </c>
      <c r="D26" s="353">
        <v>0.31069979201034603</v>
      </c>
      <c r="E26" s="353">
        <v>0.29868691024737082</v>
      </c>
      <c r="F26" s="353">
        <v>0.28632059313264469</v>
      </c>
      <c r="G26" s="353">
        <v>0.27328695217841048</v>
      </c>
      <c r="H26" s="353">
        <v>0.25954663170602643</v>
      </c>
      <c r="I26" s="353">
        <v>0.24513286988891925</v>
      </c>
      <c r="J26" s="354">
        <v>0.23081376534013565</v>
      </c>
      <c r="K26" s="153"/>
    </row>
    <row r="27" spans="1:11" s="141" customFormat="1" ht="15" customHeight="1" thickBot="1">
      <c r="A27" s="153"/>
      <c r="B27" s="688"/>
      <c r="C27" s="347">
        <v>-0.05</v>
      </c>
      <c r="D27" s="353">
        <v>0.29870946643867113</v>
      </c>
      <c r="E27" s="353">
        <v>0.2869466568412935</v>
      </c>
      <c r="F27" s="353">
        <v>0.27458829253378414</v>
      </c>
      <c r="G27" s="353">
        <v>0.26161005902132217</v>
      </c>
      <c r="H27" s="353">
        <v>0.24791824900106008</v>
      </c>
      <c r="I27" s="353">
        <v>0.23451675472708255</v>
      </c>
      <c r="J27" s="354">
        <v>0.22013549906059215</v>
      </c>
      <c r="K27" s="153"/>
    </row>
    <row r="28" spans="1:11" s="141" customFormat="1" ht="15" customHeight="1" thickBot="1">
      <c r="A28" s="153"/>
      <c r="B28" s="688"/>
      <c r="C28" s="347">
        <v>0</v>
      </c>
      <c r="D28" s="353">
        <v>0.28757532920086915</v>
      </c>
      <c r="E28" s="353">
        <v>0.27582211261479461</v>
      </c>
      <c r="F28" s="353">
        <v>0.26352220506957136</v>
      </c>
      <c r="G28" s="355">
        <v>0.25058061806896825</v>
      </c>
      <c r="H28" s="353">
        <v>0.23785919497167018</v>
      </c>
      <c r="I28" s="353">
        <v>0.22440963593529162</v>
      </c>
      <c r="J28" s="354">
        <v>0.2100245793787765</v>
      </c>
      <c r="K28" s="153"/>
    </row>
    <row r="29" spans="1:11" s="141" customFormat="1" ht="15" customHeight="1">
      <c r="A29" s="153"/>
      <c r="B29" s="688"/>
      <c r="C29" s="347">
        <v>0.05</v>
      </c>
      <c r="D29" s="353">
        <v>0.27699826580782339</v>
      </c>
      <c r="E29" s="353">
        <v>0.26530617224939501</v>
      </c>
      <c r="F29" s="353">
        <v>0.25303175770179043</v>
      </c>
      <c r="G29" s="353">
        <v>0.24090033018822865</v>
      </c>
      <c r="H29" s="353">
        <v>0.22826566752589184</v>
      </c>
      <c r="I29" s="353">
        <v>0.21479752679740716</v>
      </c>
      <c r="J29" s="354">
        <v>0.20113082193662435</v>
      </c>
      <c r="K29" s="153"/>
    </row>
    <row r="30" spans="1:11" s="141" customFormat="1" ht="15" customHeight="1">
      <c r="A30" s="153"/>
      <c r="B30" s="688"/>
      <c r="C30" s="347">
        <v>0.1</v>
      </c>
      <c r="D30" s="353">
        <v>0.26697980713138159</v>
      </c>
      <c r="E30" s="353">
        <v>0.25530339096474597</v>
      </c>
      <c r="F30" s="353">
        <v>0.24368172228408613</v>
      </c>
      <c r="G30" s="353">
        <v>0.23177253469404446</v>
      </c>
      <c r="H30" s="353">
        <v>0.21912341071346453</v>
      </c>
      <c r="I30" s="353">
        <v>0.20610705811376229</v>
      </c>
      <c r="J30" s="354">
        <v>0.19263650224433015</v>
      </c>
      <c r="K30" s="153"/>
    </row>
    <row r="31" spans="1:11" s="141" customFormat="1" ht="15" customHeight="1">
      <c r="A31" s="153"/>
      <c r="B31" s="688"/>
      <c r="C31" s="347">
        <v>0.15</v>
      </c>
      <c r="D31" s="356">
        <v>0.25742113392633126</v>
      </c>
      <c r="E31" s="356">
        <v>0.24624359426072395</v>
      </c>
      <c r="F31" s="356">
        <v>0.2349754598494127</v>
      </c>
      <c r="G31" s="356">
        <v>0.22303870394538716</v>
      </c>
      <c r="H31" s="356">
        <v>0.21057571847620782</v>
      </c>
      <c r="I31" s="356">
        <v>0.19803145199992667</v>
      </c>
      <c r="J31" s="357">
        <v>0.184562812408539</v>
      </c>
      <c r="K31" s="153"/>
    </row>
    <row r="32" spans="1:11" s="141" customFormat="1" ht="15" customHeight="1">
      <c r="A32" s="153"/>
      <c r="B32" s="153"/>
      <c r="C32" s="153"/>
      <c r="D32" s="153"/>
      <c r="E32" s="153"/>
      <c r="F32" s="153"/>
      <c r="G32" s="153"/>
      <c r="H32" s="153"/>
      <c r="I32" s="153"/>
      <c r="J32" s="153"/>
      <c r="K32" s="153"/>
    </row>
    <row r="33" spans="1:11" s="141" customFormat="1" ht="15" customHeight="1">
      <c r="A33" s="153"/>
      <c r="B33" s="689" t="s">
        <v>967</v>
      </c>
      <c r="C33" s="689"/>
      <c r="D33" s="690" t="s">
        <v>971</v>
      </c>
      <c r="E33" s="690"/>
      <c r="F33" s="690"/>
      <c r="G33" s="690"/>
      <c r="H33" s="690"/>
      <c r="I33" s="690"/>
      <c r="J33" s="690"/>
      <c r="K33" s="153"/>
    </row>
    <row r="34" spans="1:11" s="141" customFormat="1" ht="15" customHeight="1">
      <c r="A34" s="153"/>
      <c r="B34" s="689"/>
      <c r="C34" s="689"/>
      <c r="D34" s="347">
        <v>-0.03</v>
      </c>
      <c r="E34" s="347">
        <v>-0.02</v>
      </c>
      <c r="F34" s="347">
        <v>-0.01</v>
      </c>
      <c r="G34" s="347">
        <v>0</v>
      </c>
      <c r="H34" s="347">
        <v>0.01</v>
      </c>
      <c r="I34" s="347">
        <v>0.02</v>
      </c>
      <c r="J34" s="347">
        <v>0.03</v>
      </c>
      <c r="K34" s="153"/>
    </row>
    <row r="35" spans="1:11" s="141" customFormat="1" ht="15" customHeight="1">
      <c r="A35" s="153"/>
      <c r="B35" s="688" t="s">
        <v>972</v>
      </c>
      <c r="C35" s="347">
        <v>-0.15</v>
      </c>
      <c r="D35" s="348">
        <v>2455.2906671617793</v>
      </c>
      <c r="E35" s="348">
        <v>2061.9336841553359</v>
      </c>
      <c r="F35" s="348">
        <v>1725.147671956207</v>
      </c>
      <c r="G35" s="348">
        <v>1440.9678621347541</v>
      </c>
      <c r="H35" s="348">
        <v>1184.7317758287024</v>
      </c>
      <c r="I35" s="348">
        <v>964.07548566808987</v>
      </c>
      <c r="J35" s="349">
        <v>765.96486827839124</v>
      </c>
      <c r="K35" s="153"/>
    </row>
    <row r="36" spans="1:11" s="141" customFormat="1" ht="15" customHeight="1">
      <c r="A36" s="153"/>
      <c r="B36" s="688"/>
      <c r="C36" s="347">
        <v>-0.1</v>
      </c>
      <c r="D36" s="348">
        <v>3244.5543207508995</v>
      </c>
      <c r="E36" s="348">
        <v>2777.2026159524639</v>
      </c>
      <c r="F36" s="348">
        <v>2372.4195783350706</v>
      </c>
      <c r="G36" s="348">
        <v>2023.9944944806189</v>
      </c>
      <c r="H36" s="348">
        <v>1716.7147764738804</v>
      </c>
      <c r="I36" s="348">
        <v>1446.5882375268586</v>
      </c>
      <c r="J36" s="349">
        <v>1219.8788220205938</v>
      </c>
      <c r="K36" s="153"/>
    </row>
    <row r="37" spans="1:11" s="141" customFormat="1" ht="15" customHeight="1" thickBot="1">
      <c r="A37" s="153"/>
      <c r="B37" s="688"/>
      <c r="C37" s="347">
        <v>-0.05</v>
      </c>
      <c r="D37" s="348">
        <v>4024.0653571161729</v>
      </c>
      <c r="E37" s="348">
        <v>3459.235552570537</v>
      </c>
      <c r="F37" s="348">
        <v>3018.8306373511364</v>
      </c>
      <c r="G37" s="348">
        <v>2603.1035474974337</v>
      </c>
      <c r="H37" s="348">
        <v>2254.525644906294</v>
      </c>
      <c r="I37" s="348">
        <v>1943.4418545030389</v>
      </c>
      <c r="J37" s="349">
        <v>1668.5299657271378</v>
      </c>
      <c r="K37" s="153"/>
    </row>
    <row r="38" spans="1:11" s="141" customFormat="1" ht="15" customHeight="1" thickBot="1">
      <c r="A38" s="153"/>
      <c r="B38" s="688"/>
      <c r="C38" s="347">
        <v>0</v>
      </c>
      <c r="D38" s="348">
        <v>4810.6194105253799</v>
      </c>
      <c r="E38" s="348">
        <v>4199.5882566996297</v>
      </c>
      <c r="F38" s="348">
        <v>3664.8751353146213</v>
      </c>
      <c r="G38" s="350">
        <v>3205.2387123168419</v>
      </c>
      <c r="H38" s="348">
        <v>2798.2264078442854</v>
      </c>
      <c r="I38" s="348">
        <v>2441.0407905643988</v>
      </c>
      <c r="J38" s="349">
        <v>2118.048817263109</v>
      </c>
      <c r="K38" s="153"/>
    </row>
    <row r="39" spans="1:11" s="141" customFormat="1" ht="15" customHeight="1">
      <c r="A39" s="153"/>
      <c r="B39" s="688"/>
      <c r="C39" s="347">
        <v>0.05</v>
      </c>
      <c r="D39" s="348">
        <v>5595.7381137935236</v>
      </c>
      <c r="E39" s="348">
        <v>4913.7012157150957</v>
      </c>
      <c r="F39" s="348">
        <v>4317.6502587032201</v>
      </c>
      <c r="G39" s="348">
        <v>3795.5570517376827</v>
      </c>
      <c r="H39" s="348">
        <v>3342.5306424030155</v>
      </c>
      <c r="I39" s="348">
        <v>2942.2281174440582</v>
      </c>
      <c r="J39" s="349">
        <v>2587.6884919365184</v>
      </c>
      <c r="K39" s="153"/>
    </row>
    <row r="40" spans="1:11" s="141" customFormat="1" ht="15" customHeight="1">
      <c r="A40" s="153"/>
      <c r="B40" s="688"/>
      <c r="C40" s="347">
        <v>0.1</v>
      </c>
      <c r="D40" s="348">
        <v>6380.8299746105031</v>
      </c>
      <c r="E40" s="348">
        <v>5626.6588181054785</v>
      </c>
      <c r="F40" s="348">
        <v>4968.2960647527179</v>
      </c>
      <c r="G40" s="348">
        <v>4390.7059062370463</v>
      </c>
      <c r="H40" s="348">
        <v>3883.4346217376615</v>
      </c>
      <c r="I40" s="348">
        <v>3441.1457529630279</v>
      </c>
      <c r="J40" s="349">
        <v>3036.8408910757607</v>
      </c>
      <c r="K40" s="153"/>
    </row>
    <row r="41" spans="1:11" s="141" customFormat="1" ht="15" customHeight="1">
      <c r="A41" s="153"/>
      <c r="B41" s="688"/>
      <c r="C41" s="347">
        <v>0.15</v>
      </c>
      <c r="D41" s="351">
        <v>7165.8527717121433</v>
      </c>
      <c r="E41" s="351">
        <v>6339.5562027811948</v>
      </c>
      <c r="F41" s="351">
        <v>5617.9350980378304</v>
      </c>
      <c r="G41" s="351">
        <v>4985.5424366362358</v>
      </c>
      <c r="H41" s="351">
        <v>4428.6016312270222</v>
      </c>
      <c r="I41" s="351">
        <v>3937.9068446081737</v>
      </c>
      <c r="J41" s="352">
        <v>3508.8590489872768</v>
      </c>
      <c r="K41" s="153"/>
    </row>
    <row r="42" spans="1:11" s="141" customFormat="1" ht="1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53"/>
    </row>
    <row r="43" spans="1:11" s="141" customFormat="1" ht="15" customHeight="1">
      <c r="A43" s="153"/>
      <c r="B43" s="689" t="s">
        <v>970</v>
      </c>
      <c r="C43" s="689"/>
      <c r="D43" s="690" t="s">
        <v>971</v>
      </c>
      <c r="E43" s="690"/>
      <c r="F43" s="690"/>
      <c r="G43" s="690"/>
      <c r="H43" s="690"/>
      <c r="I43" s="690"/>
      <c r="J43" s="690"/>
      <c r="K43" s="153"/>
    </row>
    <row r="44" spans="1:11" s="141" customFormat="1" ht="15" customHeight="1">
      <c r="A44" s="153"/>
      <c r="B44" s="689"/>
      <c r="C44" s="689"/>
      <c r="D44" s="347">
        <v>-0.03</v>
      </c>
      <c r="E44" s="347">
        <v>-0.02</v>
      </c>
      <c r="F44" s="347">
        <v>-0.01</v>
      </c>
      <c r="G44" s="347">
        <v>0</v>
      </c>
      <c r="H44" s="347">
        <v>0.01</v>
      </c>
      <c r="I44" s="347">
        <v>0.02</v>
      </c>
      <c r="J44" s="347">
        <v>0.03</v>
      </c>
      <c r="K44" s="153"/>
    </row>
    <row r="45" spans="1:11" s="141" customFormat="1" ht="15" customHeight="1">
      <c r="A45" s="153"/>
      <c r="B45" s="688" t="s">
        <v>972</v>
      </c>
      <c r="C45" s="347">
        <v>-0.15</v>
      </c>
      <c r="D45" s="353">
        <v>0.19457723653462833</v>
      </c>
      <c r="E45" s="353">
        <v>0.18957808717457758</v>
      </c>
      <c r="F45" s="353">
        <v>0.18460631738053523</v>
      </c>
      <c r="G45" s="353">
        <v>0.17984850965484478</v>
      </c>
      <c r="H45" s="353">
        <v>0.17485435690317264</v>
      </c>
      <c r="I45" s="353">
        <v>0.16978207689450353</v>
      </c>
      <c r="J45" s="354">
        <v>0.16690922654573792</v>
      </c>
      <c r="K45" s="153"/>
    </row>
    <row r="46" spans="1:11" s="141" customFormat="1" ht="15" customHeight="1">
      <c r="A46" s="153"/>
      <c r="B46" s="688"/>
      <c r="C46" s="347">
        <v>-0.1</v>
      </c>
      <c r="D46" s="353">
        <v>0.22000256915850147</v>
      </c>
      <c r="E46" s="353">
        <v>0.21499550442073789</v>
      </c>
      <c r="F46" s="353">
        <v>0.2099071516950568</v>
      </c>
      <c r="G46" s="353">
        <v>0.20525613291406897</v>
      </c>
      <c r="H46" s="353">
        <v>0.20052727131204473</v>
      </c>
      <c r="I46" s="353">
        <v>0.19563390176080664</v>
      </c>
      <c r="J46" s="354">
        <v>0.19059480498306081</v>
      </c>
      <c r="K46" s="153"/>
    </row>
    <row r="47" spans="1:11" s="141" customFormat="1" ht="15" customHeight="1" thickBot="1">
      <c r="A47" s="153"/>
      <c r="B47" s="688"/>
      <c r="C47" s="347">
        <v>-0.05</v>
      </c>
      <c r="D47" s="353">
        <v>0.24313551716547943</v>
      </c>
      <c r="E47" s="353">
        <v>0.23847855879798385</v>
      </c>
      <c r="F47" s="353">
        <v>0.23374492187322216</v>
      </c>
      <c r="G47" s="353">
        <v>0.22892131574880814</v>
      </c>
      <c r="H47" s="353">
        <v>0.22403008791010115</v>
      </c>
      <c r="I47" s="353">
        <v>0.2192179699054706</v>
      </c>
      <c r="J47" s="354">
        <v>0.21434472746751299</v>
      </c>
      <c r="K47" s="153"/>
    </row>
    <row r="48" spans="1:11" s="141" customFormat="1" ht="15" customHeight="1" thickBot="1">
      <c r="A48" s="153"/>
      <c r="B48" s="688"/>
      <c r="C48" s="347">
        <v>0</v>
      </c>
      <c r="D48" s="353">
        <v>0.26541231299054102</v>
      </c>
      <c r="E48" s="353">
        <v>0.26052361660280865</v>
      </c>
      <c r="F48" s="353">
        <v>0.25557606726473003</v>
      </c>
      <c r="G48" s="355">
        <v>0.25058061806896825</v>
      </c>
      <c r="H48" s="353">
        <v>0.24587881379887788</v>
      </c>
      <c r="I48" s="353">
        <v>0.24123857202152088</v>
      </c>
      <c r="J48" s="354">
        <v>0.23662698192413001</v>
      </c>
      <c r="K48" s="153"/>
    </row>
    <row r="49" spans="1:11" s="141" customFormat="1" ht="15" customHeight="1">
      <c r="A49" s="153"/>
      <c r="B49" s="688"/>
      <c r="C49" s="347">
        <v>0.05</v>
      </c>
      <c r="D49" s="353">
        <v>0.28596727552559065</v>
      </c>
      <c r="E49" s="353">
        <v>0.28130308633005141</v>
      </c>
      <c r="F49" s="353">
        <v>0.27658566276127106</v>
      </c>
      <c r="G49" s="353">
        <v>0.27182940554474122</v>
      </c>
      <c r="H49" s="353">
        <v>0.26702665031751627</v>
      </c>
      <c r="I49" s="353">
        <v>0.26214077263071789</v>
      </c>
      <c r="J49" s="354">
        <v>0.25719116407240872</v>
      </c>
      <c r="K49" s="153"/>
    </row>
    <row r="50" spans="1:11" s="141" customFormat="1" ht="15" customHeight="1">
      <c r="A50" s="153"/>
      <c r="B50" s="688"/>
      <c r="C50" s="347">
        <v>0.1</v>
      </c>
      <c r="D50" s="353">
        <v>0.3048484337290529</v>
      </c>
      <c r="E50" s="353">
        <v>0.30037600569925726</v>
      </c>
      <c r="F50" s="353">
        <v>0.29588155227403368</v>
      </c>
      <c r="G50" s="353">
        <v>0.29133664321516473</v>
      </c>
      <c r="H50" s="353">
        <v>0.28675260397724345</v>
      </c>
      <c r="I50" s="353">
        <v>0.28210355217653582</v>
      </c>
      <c r="J50" s="354">
        <v>0.27739704680331045</v>
      </c>
      <c r="K50" s="153"/>
    </row>
    <row r="51" spans="1:11" s="141" customFormat="1" ht="15" customHeight="1">
      <c r="A51" s="153"/>
      <c r="B51" s="688"/>
      <c r="C51" s="347">
        <v>0.15</v>
      </c>
      <c r="D51" s="356">
        <v>0.32403932303438232</v>
      </c>
      <c r="E51" s="356">
        <v>0.3192087615403687</v>
      </c>
      <c r="F51" s="356">
        <v>0.31435957336061526</v>
      </c>
      <c r="G51" s="356">
        <v>0.30949160605386594</v>
      </c>
      <c r="H51" s="356">
        <v>0.30492491534513211</v>
      </c>
      <c r="I51" s="356">
        <v>0.30050491320057682</v>
      </c>
      <c r="J51" s="357">
        <v>0.29603435159759983</v>
      </c>
      <c r="K51" s="153"/>
    </row>
    <row r="52" spans="1:11" s="141" customFormat="1" ht="12.75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</row>
  </sheetData>
  <mergeCells count="12">
    <mergeCell ref="B45:B51"/>
    <mergeCell ref="B13:C14"/>
    <mergeCell ref="D13:J13"/>
    <mergeCell ref="B15:B21"/>
    <mergeCell ref="B23:C24"/>
    <mergeCell ref="D23:J23"/>
    <mergeCell ref="B25:B31"/>
    <mergeCell ref="B33:C34"/>
    <mergeCell ref="D33:J33"/>
    <mergeCell ref="B35:B41"/>
    <mergeCell ref="B43:C44"/>
    <mergeCell ref="D43:J43"/>
  </mergeCells>
  <conditionalFormatting sqref="D15:J21">
    <cfRule type="colorScale" priority="4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35:J41">
    <cfRule type="colorScale" priority="3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45:J51">
    <cfRule type="colorScale" priority="2">
      <colorScale>
        <cfvo type="min"/>
        <cfvo type="percentile" val="50"/>
        <cfvo type="max"/>
        <color rgb="FFFFCDCD"/>
        <color rgb="FFFFF5C5"/>
        <color rgb="FFCAE8AA"/>
      </colorScale>
    </cfRule>
  </conditionalFormatting>
  <conditionalFormatting sqref="D25:J31">
    <cfRule type="colorScale" priority="1">
      <colorScale>
        <cfvo type="min"/>
        <cfvo type="percentile" val="50"/>
        <cfvo type="max"/>
        <color rgb="FFFFCDCD"/>
        <color rgb="FFFFF5C5"/>
        <color rgb="FFCAE8AA"/>
      </colorScale>
    </cfRule>
  </conditionalFormatting>
  <pageMargins left="0.7" right="0.7" top="0.75" bottom="0.75" header="0.3" footer="0.3"/>
  <pageSetup paperSize="8" scale="65" orientation="landscape" horizontalDpi="4294967293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theme="9"/>
  </sheetPr>
  <dimension ref="A1:XFC162"/>
  <sheetViews>
    <sheetView view="pageBreakPreview" zoomScale="70" zoomScaleNormal="70" zoomScaleSheetLayoutView="70" workbookViewId="0">
      <pane xSplit="11" ySplit="9" topLeftCell="L83" activePane="bottomRight" state="frozen"/>
      <selection pane="topRight"/>
      <selection pane="bottomLeft"/>
      <selection pane="bottomRight" activeCell="I83" sqref="I83"/>
    </sheetView>
  </sheetViews>
  <sheetFormatPr defaultColWidth="0" defaultRowHeight="0" customHeight="1" zeroHeight="1"/>
  <cols>
    <col min="1" max="1" width="2.140625" style="133" customWidth="1"/>
    <col min="2" max="2" width="2.42578125" style="133" customWidth="1"/>
    <col min="3" max="3" width="52.42578125" style="133" customWidth="1"/>
    <col min="4" max="4" width="15.140625" style="133" customWidth="1"/>
    <col min="5" max="5" width="13.28515625" style="133" customWidth="1"/>
    <col min="6" max="6" width="2.140625" style="133" customWidth="1"/>
    <col min="7" max="7" width="14.42578125" style="207" customWidth="1"/>
    <col min="8" max="8" width="3.42578125" style="133" customWidth="1"/>
    <col min="9" max="9" width="13.42578125" style="133" customWidth="1"/>
    <col min="10" max="11" width="2.140625" style="133" customWidth="1"/>
    <col min="12" max="93" width="12.42578125" style="133" customWidth="1"/>
    <col min="94" max="100" width="12.42578125" style="133" hidden="1"/>
    <col min="101" max="124" width="8.7109375" style="133" hidden="1"/>
    <col min="125" max="132" width="12.42578125" style="133" hidden="1"/>
    <col min="133" max="144" width="8.7109375" style="133" hidden="1"/>
    <col min="145" max="152" width="12.42578125" style="133" hidden="1"/>
    <col min="153" max="164" width="8.7109375" style="133" hidden="1"/>
    <col min="165" max="173" width="12.42578125" style="133" hidden="1"/>
    <col min="174" max="229" width="8.7109375" style="133" hidden="1"/>
    <col min="230" max="237" width="12.42578125" style="133" hidden="1"/>
    <col min="238" max="261" width="8.7109375" style="133" hidden="1"/>
    <col min="262" max="269" width="12.42578125" style="133" hidden="1"/>
    <col min="270" max="281" width="8.7109375" style="133" hidden="1"/>
    <col min="282" max="289" width="12.42578125" style="133" hidden="1"/>
    <col min="290" max="301" width="8.7109375" style="133" hidden="1"/>
    <col min="302" max="310" width="12.42578125" style="133" hidden="1"/>
    <col min="311" max="16383" width="8.7109375" style="133" hidden="1"/>
    <col min="16384" max="16384" width="2.42578125" style="133" hidden="1"/>
  </cols>
  <sheetData>
    <row r="1" spans="1:93" ht="14.25">
      <c r="A1" s="47"/>
      <c r="B1" s="47"/>
      <c r="C1" s="47"/>
      <c r="D1" s="47"/>
      <c r="E1" s="47"/>
      <c r="F1" s="47"/>
      <c r="G1" s="319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358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359"/>
      <c r="C4" s="100" t="s">
        <v>973</v>
      </c>
      <c r="D4" s="320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N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>YEAR(CO7)</f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N7" si="1">Beginning_of_period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si="1"/>
        <v>48580</v>
      </c>
      <c r="AS7" s="113">
        <f t="shared" si="1"/>
        <v>48670</v>
      </c>
      <c r="AT7" s="113">
        <f t="shared" si="1"/>
        <v>48761</v>
      </c>
      <c r="AU7" s="113">
        <f t="shared" si="1"/>
        <v>48853</v>
      </c>
      <c r="AV7" s="113">
        <f t="shared" si="1"/>
        <v>48945</v>
      </c>
      <c r="AW7" s="113">
        <f t="shared" si="1"/>
        <v>49035</v>
      </c>
      <c r="AX7" s="113">
        <f t="shared" si="1"/>
        <v>49126</v>
      </c>
      <c r="AY7" s="113">
        <f t="shared" si="1"/>
        <v>49218</v>
      </c>
      <c r="AZ7" s="113">
        <f t="shared" si="1"/>
        <v>49310</v>
      </c>
      <c r="BA7" s="113">
        <f t="shared" si="1"/>
        <v>49400</v>
      </c>
      <c r="BB7" s="113">
        <f t="shared" si="1"/>
        <v>49491</v>
      </c>
      <c r="BC7" s="113">
        <f t="shared" si="1"/>
        <v>49583</v>
      </c>
      <c r="BD7" s="113">
        <f t="shared" si="1"/>
        <v>49675</v>
      </c>
      <c r="BE7" s="113">
        <f t="shared" si="1"/>
        <v>49766</v>
      </c>
      <c r="BF7" s="113">
        <f t="shared" si="1"/>
        <v>49857</v>
      </c>
      <c r="BG7" s="113">
        <f t="shared" si="1"/>
        <v>49949</v>
      </c>
      <c r="BH7" s="113">
        <f t="shared" si="1"/>
        <v>50041</v>
      </c>
      <c r="BI7" s="113">
        <f t="shared" si="1"/>
        <v>50131</v>
      </c>
      <c r="BJ7" s="113">
        <f t="shared" si="1"/>
        <v>50222</v>
      </c>
      <c r="BK7" s="113">
        <f t="shared" si="1"/>
        <v>50314</v>
      </c>
      <c r="BL7" s="113">
        <f t="shared" si="1"/>
        <v>50406</v>
      </c>
      <c r="BM7" s="113">
        <f t="shared" si="1"/>
        <v>50496</v>
      </c>
      <c r="BN7" s="113">
        <f t="shared" si="1"/>
        <v>50587</v>
      </c>
      <c r="BO7" s="113">
        <f t="shared" si="1"/>
        <v>50679</v>
      </c>
      <c r="BP7" s="113">
        <f t="shared" si="1"/>
        <v>50771</v>
      </c>
      <c r="BQ7" s="113">
        <f t="shared" si="1"/>
        <v>50861</v>
      </c>
      <c r="BR7" s="113">
        <f t="shared" si="1"/>
        <v>50952</v>
      </c>
      <c r="BS7" s="113">
        <f t="shared" si="1"/>
        <v>51044</v>
      </c>
      <c r="BT7" s="113">
        <f t="shared" si="1"/>
        <v>51136</v>
      </c>
      <c r="BU7" s="113">
        <f t="shared" si="1"/>
        <v>51227</v>
      </c>
      <c r="BV7" s="113">
        <f t="shared" si="1"/>
        <v>51318</v>
      </c>
      <c r="BW7" s="113">
        <f t="shared" si="1"/>
        <v>51410</v>
      </c>
      <c r="BX7" s="113">
        <f t="shared" si="1"/>
        <v>51502</v>
      </c>
      <c r="BY7" s="113">
        <f t="shared" si="1"/>
        <v>51592</v>
      </c>
      <c r="BZ7" s="113">
        <f t="shared" si="1"/>
        <v>51683</v>
      </c>
      <c r="CA7" s="113">
        <f t="shared" si="1"/>
        <v>51775</v>
      </c>
      <c r="CB7" s="113">
        <f t="shared" si="1"/>
        <v>51867</v>
      </c>
      <c r="CC7" s="113">
        <f t="shared" si="1"/>
        <v>51957</v>
      </c>
      <c r="CD7" s="113">
        <f t="shared" si="1"/>
        <v>52048</v>
      </c>
      <c r="CE7" s="113">
        <f t="shared" si="1"/>
        <v>52140</v>
      </c>
      <c r="CF7" s="113">
        <f t="shared" si="1"/>
        <v>52232</v>
      </c>
      <c r="CG7" s="113">
        <f t="shared" si="1"/>
        <v>52322</v>
      </c>
      <c r="CH7" s="113">
        <f t="shared" si="1"/>
        <v>52413</v>
      </c>
      <c r="CI7" s="113">
        <f t="shared" si="1"/>
        <v>52505</v>
      </c>
      <c r="CJ7" s="113">
        <f t="shared" si="1"/>
        <v>52597</v>
      </c>
      <c r="CK7" s="113">
        <f t="shared" si="1"/>
        <v>52688</v>
      </c>
      <c r="CL7" s="113">
        <f t="shared" si="1"/>
        <v>52779</v>
      </c>
      <c r="CM7" s="113">
        <f t="shared" si="1"/>
        <v>52871</v>
      </c>
      <c r="CN7" s="113">
        <f t="shared" si="1"/>
        <v>52963</v>
      </c>
      <c r="CO7" s="113">
        <f>Beginning_of_period</f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N8" si="2">End_of_period</f>
        <v>45747</v>
      </c>
      <c r="M8" s="113">
        <f t="shared" si="2"/>
        <v>45838</v>
      </c>
      <c r="N8" s="113">
        <f t="shared" si="2"/>
        <v>45930</v>
      </c>
      <c r="O8" s="113">
        <f t="shared" si="2"/>
        <v>46022</v>
      </c>
      <c r="P8" s="113">
        <f t="shared" si="2"/>
        <v>46112</v>
      </c>
      <c r="Q8" s="113">
        <f t="shared" si="2"/>
        <v>46203</v>
      </c>
      <c r="R8" s="113">
        <f t="shared" si="2"/>
        <v>46295</v>
      </c>
      <c r="S8" s="113">
        <f t="shared" si="2"/>
        <v>46387</v>
      </c>
      <c r="T8" s="113">
        <f t="shared" si="2"/>
        <v>46477</v>
      </c>
      <c r="U8" s="113">
        <f t="shared" si="2"/>
        <v>46568</v>
      </c>
      <c r="V8" s="113">
        <f t="shared" si="2"/>
        <v>46660</v>
      </c>
      <c r="W8" s="113">
        <f t="shared" si="2"/>
        <v>46752</v>
      </c>
      <c r="X8" s="113">
        <f t="shared" si="2"/>
        <v>46843</v>
      </c>
      <c r="Y8" s="113">
        <f t="shared" si="2"/>
        <v>46934</v>
      </c>
      <c r="Z8" s="113">
        <f t="shared" si="2"/>
        <v>47026</v>
      </c>
      <c r="AA8" s="113">
        <f t="shared" si="2"/>
        <v>47118</v>
      </c>
      <c r="AB8" s="113">
        <f t="shared" si="2"/>
        <v>47208</v>
      </c>
      <c r="AC8" s="113">
        <f t="shared" si="2"/>
        <v>47299</v>
      </c>
      <c r="AD8" s="113">
        <f t="shared" si="2"/>
        <v>47391</v>
      </c>
      <c r="AE8" s="113">
        <f t="shared" si="2"/>
        <v>47483</v>
      </c>
      <c r="AF8" s="113">
        <f t="shared" si="2"/>
        <v>47573</v>
      </c>
      <c r="AG8" s="113">
        <f t="shared" si="2"/>
        <v>47664</v>
      </c>
      <c r="AH8" s="113">
        <f t="shared" si="2"/>
        <v>47756</v>
      </c>
      <c r="AI8" s="113">
        <f t="shared" si="2"/>
        <v>47848</v>
      </c>
      <c r="AJ8" s="113">
        <f t="shared" si="2"/>
        <v>47938</v>
      </c>
      <c r="AK8" s="113">
        <f t="shared" si="2"/>
        <v>48029</v>
      </c>
      <c r="AL8" s="113">
        <f t="shared" si="2"/>
        <v>48121</v>
      </c>
      <c r="AM8" s="113">
        <f t="shared" si="2"/>
        <v>48213</v>
      </c>
      <c r="AN8" s="113">
        <f t="shared" si="2"/>
        <v>48304</v>
      </c>
      <c r="AO8" s="113">
        <f t="shared" si="2"/>
        <v>48395</v>
      </c>
      <c r="AP8" s="113">
        <f t="shared" si="2"/>
        <v>48487</v>
      </c>
      <c r="AQ8" s="113">
        <f t="shared" si="2"/>
        <v>48579</v>
      </c>
      <c r="AR8" s="113">
        <f t="shared" si="2"/>
        <v>48669</v>
      </c>
      <c r="AS8" s="113">
        <f t="shared" si="2"/>
        <v>48760</v>
      </c>
      <c r="AT8" s="113">
        <f t="shared" si="2"/>
        <v>48852</v>
      </c>
      <c r="AU8" s="113">
        <f t="shared" si="2"/>
        <v>48944</v>
      </c>
      <c r="AV8" s="113">
        <f t="shared" si="2"/>
        <v>49034</v>
      </c>
      <c r="AW8" s="113">
        <f t="shared" si="2"/>
        <v>49125</v>
      </c>
      <c r="AX8" s="113">
        <f t="shared" si="2"/>
        <v>49217</v>
      </c>
      <c r="AY8" s="113">
        <f t="shared" si="2"/>
        <v>49309</v>
      </c>
      <c r="AZ8" s="113">
        <f t="shared" si="2"/>
        <v>49399</v>
      </c>
      <c r="BA8" s="113">
        <f t="shared" si="2"/>
        <v>49490</v>
      </c>
      <c r="BB8" s="113">
        <f t="shared" si="2"/>
        <v>49582</v>
      </c>
      <c r="BC8" s="113">
        <f t="shared" si="2"/>
        <v>49674</v>
      </c>
      <c r="BD8" s="113">
        <f t="shared" si="2"/>
        <v>49765</v>
      </c>
      <c r="BE8" s="113">
        <f t="shared" si="2"/>
        <v>49856</v>
      </c>
      <c r="BF8" s="113">
        <f t="shared" si="2"/>
        <v>49948</v>
      </c>
      <c r="BG8" s="113">
        <f t="shared" si="2"/>
        <v>50040</v>
      </c>
      <c r="BH8" s="113">
        <f t="shared" si="2"/>
        <v>50130</v>
      </c>
      <c r="BI8" s="113">
        <f t="shared" si="2"/>
        <v>50221</v>
      </c>
      <c r="BJ8" s="113">
        <f t="shared" si="2"/>
        <v>50313</v>
      </c>
      <c r="BK8" s="113">
        <f t="shared" si="2"/>
        <v>50405</v>
      </c>
      <c r="BL8" s="113">
        <f t="shared" si="2"/>
        <v>50495</v>
      </c>
      <c r="BM8" s="113">
        <f t="shared" si="2"/>
        <v>50586</v>
      </c>
      <c r="BN8" s="113">
        <f t="shared" si="2"/>
        <v>50678</v>
      </c>
      <c r="BO8" s="113">
        <f t="shared" si="2"/>
        <v>50770</v>
      </c>
      <c r="BP8" s="113">
        <f t="shared" si="2"/>
        <v>50860</v>
      </c>
      <c r="BQ8" s="113">
        <f t="shared" si="2"/>
        <v>50951</v>
      </c>
      <c r="BR8" s="113">
        <f t="shared" si="2"/>
        <v>51043</v>
      </c>
      <c r="BS8" s="113">
        <f t="shared" si="2"/>
        <v>51135</v>
      </c>
      <c r="BT8" s="113">
        <f t="shared" si="2"/>
        <v>51226</v>
      </c>
      <c r="BU8" s="113">
        <f t="shared" si="2"/>
        <v>51317</v>
      </c>
      <c r="BV8" s="113">
        <f t="shared" si="2"/>
        <v>51409</v>
      </c>
      <c r="BW8" s="113">
        <f t="shared" si="2"/>
        <v>51501</v>
      </c>
      <c r="BX8" s="113">
        <f t="shared" si="2"/>
        <v>51591</v>
      </c>
      <c r="BY8" s="113">
        <f t="shared" si="2"/>
        <v>51682</v>
      </c>
      <c r="BZ8" s="113">
        <f t="shared" si="2"/>
        <v>51774</v>
      </c>
      <c r="CA8" s="113">
        <f t="shared" si="2"/>
        <v>51866</v>
      </c>
      <c r="CB8" s="113">
        <f t="shared" si="2"/>
        <v>51956</v>
      </c>
      <c r="CC8" s="113">
        <f t="shared" si="2"/>
        <v>52047</v>
      </c>
      <c r="CD8" s="113">
        <f t="shared" si="2"/>
        <v>52139</v>
      </c>
      <c r="CE8" s="113">
        <f t="shared" si="2"/>
        <v>52231</v>
      </c>
      <c r="CF8" s="113">
        <f t="shared" si="2"/>
        <v>52321</v>
      </c>
      <c r="CG8" s="113">
        <f t="shared" si="2"/>
        <v>52412</v>
      </c>
      <c r="CH8" s="113">
        <f t="shared" si="2"/>
        <v>52504</v>
      </c>
      <c r="CI8" s="113">
        <f t="shared" si="2"/>
        <v>52596</v>
      </c>
      <c r="CJ8" s="113">
        <f t="shared" si="2"/>
        <v>52687</v>
      </c>
      <c r="CK8" s="113">
        <f t="shared" si="2"/>
        <v>52778</v>
      </c>
      <c r="CL8" s="113">
        <f t="shared" si="2"/>
        <v>52870</v>
      </c>
      <c r="CM8" s="113">
        <f t="shared" si="2"/>
        <v>52962</v>
      </c>
      <c r="CN8" s="113">
        <f t="shared" si="2"/>
        <v>53052</v>
      </c>
      <c r="CO8" s="113">
        <f>End_of_period</f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N9" si="3">IF(Flag_Construction,1,2)*Flag_Financial_Model</f>
        <v>1</v>
      </c>
      <c r="M9" s="152">
        <f t="shared" si="3"/>
        <v>1</v>
      </c>
      <c r="N9" s="152">
        <f t="shared" si="3"/>
        <v>1</v>
      </c>
      <c r="O9" s="152">
        <f t="shared" si="3"/>
        <v>1</v>
      </c>
      <c r="P9" s="152">
        <f t="shared" si="3"/>
        <v>1</v>
      </c>
      <c r="Q9" s="152">
        <f t="shared" si="3"/>
        <v>1</v>
      </c>
      <c r="R9" s="152">
        <f t="shared" si="3"/>
        <v>1</v>
      </c>
      <c r="S9" s="152">
        <f t="shared" si="3"/>
        <v>1</v>
      </c>
      <c r="T9" s="152">
        <f t="shared" si="3"/>
        <v>1</v>
      </c>
      <c r="U9" s="152">
        <f t="shared" si="3"/>
        <v>1</v>
      </c>
      <c r="V9" s="152">
        <f t="shared" si="3"/>
        <v>1</v>
      </c>
      <c r="W9" s="152">
        <f t="shared" si="3"/>
        <v>1</v>
      </c>
      <c r="X9" s="152">
        <f t="shared" si="3"/>
        <v>1</v>
      </c>
      <c r="Y9" s="152">
        <f t="shared" si="3"/>
        <v>1</v>
      </c>
      <c r="Z9" s="152">
        <f t="shared" si="3"/>
        <v>1</v>
      </c>
      <c r="AA9" s="152">
        <f t="shared" si="3"/>
        <v>1</v>
      </c>
      <c r="AB9" s="152">
        <f t="shared" si="3"/>
        <v>1</v>
      </c>
      <c r="AC9" s="152">
        <f t="shared" si="3"/>
        <v>2</v>
      </c>
      <c r="AD9" s="152">
        <f t="shared" si="3"/>
        <v>2</v>
      </c>
      <c r="AE9" s="152">
        <f t="shared" si="3"/>
        <v>2</v>
      </c>
      <c r="AF9" s="152">
        <f t="shared" si="3"/>
        <v>2</v>
      </c>
      <c r="AG9" s="152">
        <f t="shared" si="3"/>
        <v>2</v>
      </c>
      <c r="AH9" s="152">
        <f t="shared" si="3"/>
        <v>2</v>
      </c>
      <c r="AI9" s="152">
        <f t="shared" si="3"/>
        <v>2</v>
      </c>
      <c r="AJ9" s="152">
        <f t="shared" si="3"/>
        <v>2</v>
      </c>
      <c r="AK9" s="152">
        <f t="shared" si="3"/>
        <v>2</v>
      </c>
      <c r="AL9" s="152">
        <f t="shared" si="3"/>
        <v>2</v>
      </c>
      <c r="AM9" s="152">
        <f t="shared" si="3"/>
        <v>2</v>
      </c>
      <c r="AN9" s="152">
        <f t="shared" si="3"/>
        <v>2</v>
      </c>
      <c r="AO9" s="152">
        <f t="shared" si="3"/>
        <v>2</v>
      </c>
      <c r="AP9" s="152">
        <f t="shared" si="3"/>
        <v>2</v>
      </c>
      <c r="AQ9" s="152">
        <f t="shared" si="3"/>
        <v>2</v>
      </c>
      <c r="AR9" s="152">
        <f t="shared" si="3"/>
        <v>2</v>
      </c>
      <c r="AS9" s="152">
        <f t="shared" si="3"/>
        <v>2</v>
      </c>
      <c r="AT9" s="152">
        <f t="shared" si="3"/>
        <v>2</v>
      </c>
      <c r="AU9" s="152">
        <f t="shared" si="3"/>
        <v>2</v>
      </c>
      <c r="AV9" s="152">
        <f t="shared" si="3"/>
        <v>2</v>
      </c>
      <c r="AW9" s="152">
        <f t="shared" si="3"/>
        <v>2</v>
      </c>
      <c r="AX9" s="152">
        <f t="shared" si="3"/>
        <v>2</v>
      </c>
      <c r="AY9" s="152">
        <f t="shared" si="3"/>
        <v>2</v>
      </c>
      <c r="AZ9" s="152">
        <f t="shared" si="3"/>
        <v>2</v>
      </c>
      <c r="BA9" s="152">
        <f t="shared" si="3"/>
        <v>2</v>
      </c>
      <c r="BB9" s="152">
        <f t="shared" si="3"/>
        <v>2</v>
      </c>
      <c r="BC9" s="152">
        <f t="shared" si="3"/>
        <v>2</v>
      </c>
      <c r="BD9" s="152">
        <f t="shared" si="3"/>
        <v>2</v>
      </c>
      <c r="BE9" s="152">
        <f t="shared" si="3"/>
        <v>2</v>
      </c>
      <c r="BF9" s="152">
        <f t="shared" si="3"/>
        <v>2</v>
      </c>
      <c r="BG9" s="152">
        <f t="shared" si="3"/>
        <v>2</v>
      </c>
      <c r="BH9" s="152">
        <f t="shared" si="3"/>
        <v>2</v>
      </c>
      <c r="BI9" s="152">
        <f t="shared" si="3"/>
        <v>2</v>
      </c>
      <c r="BJ9" s="152">
        <f t="shared" si="3"/>
        <v>2</v>
      </c>
      <c r="BK9" s="152">
        <f t="shared" si="3"/>
        <v>2</v>
      </c>
      <c r="BL9" s="152">
        <f t="shared" si="3"/>
        <v>2</v>
      </c>
      <c r="BM9" s="152">
        <f t="shared" si="3"/>
        <v>2</v>
      </c>
      <c r="BN9" s="152">
        <f t="shared" si="3"/>
        <v>2</v>
      </c>
      <c r="BO9" s="152">
        <f t="shared" si="3"/>
        <v>2</v>
      </c>
      <c r="BP9" s="152">
        <f t="shared" si="3"/>
        <v>2</v>
      </c>
      <c r="BQ9" s="152">
        <f t="shared" si="3"/>
        <v>2</v>
      </c>
      <c r="BR9" s="152">
        <f t="shared" si="3"/>
        <v>2</v>
      </c>
      <c r="BS9" s="152">
        <f t="shared" si="3"/>
        <v>2</v>
      </c>
      <c r="BT9" s="152">
        <f t="shared" si="3"/>
        <v>2</v>
      </c>
      <c r="BU9" s="152">
        <f t="shared" si="3"/>
        <v>2</v>
      </c>
      <c r="BV9" s="152">
        <f t="shared" si="3"/>
        <v>2</v>
      </c>
      <c r="BW9" s="152">
        <f t="shared" si="3"/>
        <v>2</v>
      </c>
      <c r="BX9" s="152">
        <f t="shared" si="3"/>
        <v>2</v>
      </c>
      <c r="BY9" s="152">
        <f t="shared" si="3"/>
        <v>2</v>
      </c>
      <c r="BZ9" s="152">
        <f t="shared" si="3"/>
        <v>2</v>
      </c>
      <c r="CA9" s="152">
        <f t="shared" si="3"/>
        <v>2</v>
      </c>
      <c r="CB9" s="152">
        <f t="shared" si="3"/>
        <v>2</v>
      </c>
      <c r="CC9" s="152">
        <f t="shared" si="3"/>
        <v>2</v>
      </c>
      <c r="CD9" s="152">
        <f t="shared" si="3"/>
        <v>2</v>
      </c>
      <c r="CE9" s="152">
        <f t="shared" si="3"/>
        <v>2</v>
      </c>
      <c r="CF9" s="152">
        <f t="shared" si="3"/>
        <v>2</v>
      </c>
      <c r="CG9" s="152">
        <f t="shared" si="3"/>
        <v>2</v>
      </c>
      <c r="CH9" s="152">
        <f t="shared" si="3"/>
        <v>2</v>
      </c>
      <c r="CI9" s="152">
        <f t="shared" si="3"/>
        <v>2</v>
      </c>
      <c r="CJ9" s="152">
        <f t="shared" si="3"/>
        <v>2</v>
      </c>
      <c r="CK9" s="152">
        <f t="shared" si="3"/>
        <v>2</v>
      </c>
      <c r="CL9" s="152">
        <f t="shared" si="3"/>
        <v>2</v>
      </c>
      <c r="CM9" s="152">
        <f t="shared" si="3"/>
        <v>2</v>
      </c>
      <c r="CN9" s="152">
        <f t="shared" si="3"/>
        <v>2</v>
      </c>
      <c r="CO9" s="152">
        <f>IF(Flag_Construction,1,2)*Flag_Financial_Model</f>
        <v>2</v>
      </c>
    </row>
    <row r="10" spans="1:93" ht="15" customHeight="1">
      <c r="A10" s="47"/>
      <c r="B10" s="47"/>
      <c r="C10" s="47"/>
      <c r="D10" s="47"/>
      <c r="E10" s="47"/>
      <c r="F10" s="47"/>
      <c r="G10" s="319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15" customHeight="1" thickBot="1">
      <c r="A11" s="47"/>
      <c r="B11" s="47"/>
      <c r="C11" s="12" t="s">
        <v>974</v>
      </c>
      <c r="D11" s="12"/>
      <c r="E11" s="12"/>
      <c r="F11" s="12"/>
      <c r="G11" s="360"/>
      <c r="H11" s="12"/>
      <c r="I11" s="12"/>
      <c r="J11" s="47"/>
      <c r="K11" s="47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</row>
    <row r="12" spans="1:93" ht="15" customHeight="1">
      <c r="A12" s="47"/>
      <c r="B12" s="47"/>
      <c r="C12" s="47"/>
      <c r="D12" s="47"/>
      <c r="E12" s="47"/>
      <c r="F12" s="47"/>
      <c r="G12" s="319"/>
      <c r="H12" s="47"/>
      <c r="I12" s="47"/>
      <c r="J12" s="47"/>
      <c r="K12" s="47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ht="15" customHeight="1">
      <c r="A13" s="47"/>
      <c r="B13" s="47"/>
      <c r="C13" s="17" t="s">
        <v>975</v>
      </c>
      <c r="D13" s="47"/>
      <c r="E13" s="47"/>
      <c r="F13" s="47"/>
      <c r="G13" s="11" t="str">
        <f>Monetary_Unit</f>
        <v>тыс. руб.</v>
      </c>
      <c r="H13" s="10"/>
      <c r="I13" s="23">
        <f ca="1" xml:space="preserve"> I37</f>
        <v>-939517.6963137642</v>
      </c>
      <c r="J13" s="47"/>
      <c r="K13" s="47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 ht="15" customHeight="1">
      <c r="A14" s="47"/>
      <c r="B14" s="47"/>
      <c r="C14" s="17" t="s">
        <v>976</v>
      </c>
      <c r="D14" s="47"/>
      <c r="E14" s="47"/>
      <c r="F14" s="47"/>
      <c r="G14" s="11" t="str">
        <f>Monetary_Unit</f>
        <v>тыс. руб.</v>
      </c>
      <c r="H14" s="10"/>
      <c r="I14" s="23">
        <f ca="1" xml:space="preserve"> I42 + I47</f>
        <v>5205949.9774024626</v>
      </c>
      <c r="J14" s="47"/>
      <c r="K14" s="47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</row>
    <row r="15" spans="1:93" ht="15" customHeight="1">
      <c r="A15" s="47"/>
      <c r="B15" s="47"/>
      <c r="C15" s="17" t="s">
        <v>977</v>
      </c>
      <c r="D15" s="47"/>
      <c r="E15" s="47"/>
      <c r="F15" s="47"/>
      <c r="G15" s="11" t="str">
        <f>Monetary_Unit</f>
        <v>тыс. руб.</v>
      </c>
      <c r="H15" s="10"/>
      <c r="I15" s="23">
        <f xml:space="preserve"> I47</f>
        <v>0</v>
      </c>
      <c r="J15" s="47"/>
      <c r="K15" s="47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3" ht="15" customHeight="1">
      <c r="A16" s="47"/>
      <c r="B16" s="47"/>
      <c r="C16" s="17"/>
      <c r="D16" s="47"/>
      <c r="E16" s="47"/>
      <c r="F16" s="47"/>
      <c r="G16" s="319"/>
      <c r="H16" s="47"/>
      <c r="I16" s="47"/>
      <c r="J16" s="47"/>
      <c r="K16" s="47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1019 1104:2031 2116:3043 3128:4055 4140:5067 5152:6079 6164:7091 7176:8188 8193:9207 9292:10219 10304:11231 11316:12243 12328:13255 13340:14267 14352:15279 15364:16383" ht="15" customHeight="1">
      <c r="A17" s="47"/>
      <c r="B17" s="47"/>
      <c r="C17" s="17" t="s">
        <v>978</v>
      </c>
      <c r="D17" s="47"/>
      <c r="E17" s="47"/>
      <c r="F17" s="47"/>
      <c r="G17" s="11" t="str">
        <f>Monetary_Unit</f>
        <v>тыс. руб.</v>
      </c>
      <c r="H17" s="10"/>
      <c r="I17" s="23">
        <f ca="1" xml:space="preserve"> I51</f>
        <v>-460714.06683307159</v>
      </c>
      <c r="J17" s="47"/>
      <c r="K17" s="47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1019 1104:2031 2116:3043 3128:4055 4140:5067 5152:6079 6164:7091 7176:8188 8193:9207 9292:10219 10304:11231 11316:12243 12328:13255 13340:14267 14352:15279 15364:16383" ht="15" customHeight="1">
      <c r="A18" s="47"/>
      <c r="B18" s="47"/>
      <c r="C18" s="17" t="s">
        <v>979</v>
      </c>
      <c r="D18" s="47"/>
      <c r="E18" s="47"/>
      <c r="F18" s="47"/>
      <c r="G18" s="11" t="str">
        <f>Monetary_Unit</f>
        <v>тыс. руб.</v>
      </c>
      <c r="H18" s="10"/>
      <c r="I18" s="23">
        <f ca="1" xml:space="preserve"> I52</f>
        <v>833154.87172577775</v>
      </c>
      <c r="J18" s="47"/>
      <c r="K18" s="47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</row>
    <row r="19" spans="1:1019 1104:2031 2116:3043 3128:4055 4140:5067 5152:6079 6164:7091 7176:8188 8193:9207 9292:10219 10304:11231 11316:12243 12328:13255 13340:14267 14352:15279 15364:16383" ht="15" customHeight="1">
      <c r="A19" s="47"/>
      <c r="B19" s="47"/>
      <c r="C19" s="17" t="s">
        <v>980</v>
      </c>
      <c r="D19" s="47"/>
      <c r="E19" s="47"/>
      <c r="F19" s="47"/>
      <c r="G19" s="11" t="str">
        <f>Monetary_Unit</f>
        <v>тыс. руб.</v>
      </c>
      <c r="H19" s="10"/>
      <c r="I19" s="23">
        <f xml:space="preserve"> I53</f>
        <v>0</v>
      </c>
      <c r="J19" s="47"/>
      <c r="K19" s="47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</row>
    <row r="20" spans="1:1019 1104:2031 2116:3043 3128:4055 4140:5067 5152:6079 6164:7091 7176:8188 8193:9207 9292:10219 10304:11231 11316:12243 12328:13255 13340:14267 14352:15279 15364:16383" ht="15" customHeight="1">
      <c r="A20" s="47"/>
      <c r="B20" s="47"/>
      <c r="C20" s="17"/>
      <c r="D20" s="47"/>
      <c r="E20" s="47"/>
      <c r="F20" s="47"/>
      <c r="G20" s="11"/>
      <c r="H20" s="10"/>
      <c r="I20" s="10"/>
      <c r="J20" s="47"/>
      <c r="K20" s="47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</row>
    <row r="21" spans="1:1019 1104:2031 2116:3043 3128:4055 4140:5067 5152:6079 6164:7091 7176:8188 8193:9207 9292:10219 10304:11231 11316:12243 12328:13255 13340:14267 14352:15279 15364:16383" ht="15" customHeight="1">
      <c r="A21" s="47"/>
      <c r="B21" s="47"/>
      <c r="C21" s="17" t="s">
        <v>981</v>
      </c>
      <c r="D21" s="47"/>
      <c r="E21" s="47"/>
      <c r="F21" s="47"/>
      <c r="G21" s="11" t="str">
        <f>Monetary_Unit</f>
        <v>тыс. руб.</v>
      </c>
      <c r="H21" s="10"/>
      <c r="I21" s="361">
        <f ca="1" xml:space="preserve"> I55</f>
        <v>372440.80489270616</v>
      </c>
      <c r="J21" s="47"/>
      <c r="K21" s="47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</row>
    <row r="22" spans="1:1019 1104:2031 2116:3043 3128:4055 4140:5067 5152:6079 6164:7091 7176:8188 8193:9207 9292:10219 10304:11231 11316:12243 12328:13255 13340:14267 14352:15279 15364:16383" ht="15" customHeight="1">
      <c r="A22" s="47"/>
      <c r="B22" s="47"/>
      <c r="C22" s="17" t="s">
        <v>982</v>
      </c>
      <c r="D22" s="47"/>
      <c r="E22" s="47"/>
      <c r="F22" s="47"/>
      <c r="G22" s="11" t="s">
        <v>927</v>
      </c>
      <c r="H22" s="10"/>
      <c r="I22" s="362">
        <f ca="1" xml:space="preserve"> I56</f>
        <v>1.8083990303418518</v>
      </c>
      <c r="J22" s="47"/>
      <c r="K22" s="4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1019 1104:2031 2116:3043 3128:4055 4140:5067 5152:6079 6164:7091 7176:8188 8193:9207 9292:10219 10304:11231 11316:12243 12328:13255 13340:14267 14352:15279 15364:16383" ht="15" customHeight="1">
      <c r="A23" s="47"/>
      <c r="B23" s="47"/>
      <c r="C23" s="47"/>
      <c r="D23" s="47"/>
      <c r="E23" s="47"/>
      <c r="F23" s="47"/>
      <c r="G23" s="319"/>
      <c r="H23" s="47"/>
      <c r="I23" s="47"/>
      <c r="J23" s="47"/>
      <c r="K23" s="47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</row>
    <row r="24" spans="1:1019 1104:2031 2116:3043 3128:4055 4140:5067 5152:6079 6164:7091 7176:8188 8193:9207 9292:10219 10304:11231 11316:12243 12328:13255 13340:14267 14352:15279 15364:16383" ht="16.5" thickBot="1">
      <c r="A24" s="10"/>
      <c r="B24" s="10"/>
      <c r="C24" s="12" t="s">
        <v>924</v>
      </c>
      <c r="D24" s="12"/>
      <c r="E24" s="12"/>
      <c r="F24" s="12"/>
      <c r="G24" s="360"/>
      <c r="H24" s="12"/>
      <c r="I24" s="12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</row>
    <row r="25" spans="1:1019 1104:2031 2116:3043 3128:4055 4140:5067 5152:6079 6164:7091 7176:8188 8193:9207 9292:10219 10304:11231 11316:12243 12328:13255 13340:14267 14352:15279 15364:16383" s="10" customFormat="1" ht="14.65" customHeight="1">
      <c r="E25" s="47"/>
      <c r="G25" s="11"/>
      <c r="CS25" s="47"/>
      <c r="CU25" s="11"/>
      <c r="GB25" s="47"/>
      <c r="GG25" s="47"/>
      <c r="GI25" s="11"/>
      <c r="JP25" s="47"/>
      <c r="JU25" s="47"/>
      <c r="JW25" s="11"/>
      <c r="ND25" s="47"/>
      <c r="NI25" s="47"/>
      <c r="NK25" s="11"/>
      <c r="QR25" s="47"/>
      <c r="QW25" s="47"/>
      <c r="QY25" s="11"/>
      <c r="UF25" s="47"/>
      <c r="UK25" s="47"/>
      <c r="UM25" s="11"/>
      <c r="XT25" s="47"/>
      <c r="XY25" s="47"/>
      <c r="YA25" s="11"/>
      <c r="ABH25" s="47"/>
      <c r="ABM25" s="47"/>
      <c r="ABO25" s="11"/>
      <c r="AEV25" s="47"/>
      <c r="AFA25" s="47"/>
      <c r="AFC25" s="11"/>
      <c r="AIJ25" s="47"/>
      <c r="AIO25" s="47"/>
      <c r="AIQ25" s="11"/>
      <c r="ALX25" s="47"/>
      <c r="AMC25" s="47"/>
      <c r="AME25" s="11"/>
      <c r="APL25" s="47"/>
      <c r="APQ25" s="47"/>
      <c r="APS25" s="11"/>
      <c r="ASZ25" s="47"/>
      <c r="ATE25" s="47"/>
      <c r="ATG25" s="11"/>
      <c r="AWN25" s="47"/>
      <c r="AWS25" s="47"/>
      <c r="AWU25" s="11"/>
      <c r="BAB25" s="47"/>
      <c r="BAG25" s="47"/>
      <c r="BAI25" s="11"/>
      <c r="BDP25" s="47"/>
      <c r="BDU25" s="47"/>
      <c r="BDW25" s="11"/>
      <c r="BHD25" s="47"/>
      <c r="BHI25" s="47"/>
      <c r="BHK25" s="11"/>
      <c r="BKR25" s="47"/>
      <c r="BKW25" s="47"/>
      <c r="BKY25" s="11"/>
      <c r="BOF25" s="47"/>
      <c r="BOK25" s="47"/>
      <c r="BOM25" s="11"/>
      <c r="BRT25" s="47"/>
      <c r="BRY25" s="47"/>
      <c r="BSA25" s="11"/>
      <c r="BVH25" s="47"/>
      <c r="BVM25" s="47"/>
      <c r="BVO25" s="11"/>
      <c r="BYV25" s="47"/>
      <c r="BZA25" s="47"/>
      <c r="BZC25" s="11"/>
      <c r="CCJ25" s="47"/>
      <c r="CCO25" s="47"/>
      <c r="CCQ25" s="11"/>
      <c r="CFX25" s="47"/>
      <c r="CGC25" s="47"/>
      <c r="CGE25" s="11"/>
      <c r="CJL25" s="47"/>
      <c r="CJQ25" s="47"/>
      <c r="CJS25" s="11"/>
      <c r="CMZ25" s="47"/>
      <c r="CNE25" s="47"/>
      <c r="CNG25" s="11"/>
      <c r="CQN25" s="47"/>
      <c r="CQS25" s="47"/>
      <c r="CQU25" s="11"/>
      <c r="CUB25" s="47"/>
      <c r="CUG25" s="47"/>
      <c r="CUI25" s="11"/>
      <c r="CXP25" s="47"/>
      <c r="CXU25" s="47"/>
      <c r="CXW25" s="11"/>
      <c r="DBD25" s="47"/>
      <c r="DBI25" s="47"/>
      <c r="DBK25" s="11"/>
      <c r="DER25" s="47"/>
      <c r="DEW25" s="47"/>
      <c r="DEY25" s="11"/>
      <c r="DIF25" s="47"/>
      <c r="DIK25" s="47"/>
      <c r="DIM25" s="11"/>
      <c r="DLT25" s="47"/>
      <c r="DLY25" s="47"/>
      <c r="DMA25" s="11"/>
      <c r="DPH25" s="47"/>
      <c r="DPM25" s="47"/>
      <c r="DPO25" s="11"/>
      <c r="DSV25" s="47"/>
      <c r="DTA25" s="47"/>
      <c r="DTC25" s="11"/>
      <c r="DWJ25" s="47"/>
      <c r="DWO25" s="47"/>
      <c r="DWQ25" s="11"/>
      <c r="DZX25" s="47"/>
      <c r="EAC25" s="47"/>
      <c r="EAE25" s="11"/>
      <c r="EDL25" s="47"/>
      <c r="EDQ25" s="47"/>
      <c r="EDS25" s="11"/>
      <c r="EGZ25" s="47"/>
      <c r="EHE25" s="47"/>
      <c r="EHG25" s="11"/>
      <c r="EKN25" s="47"/>
      <c r="EKS25" s="47"/>
      <c r="EKU25" s="11"/>
      <c r="EOB25" s="47"/>
      <c r="EOG25" s="47"/>
      <c r="EOI25" s="11"/>
      <c r="ERP25" s="47"/>
      <c r="ERU25" s="47"/>
      <c r="ERW25" s="11"/>
      <c r="EVD25" s="47"/>
      <c r="EVI25" s="47"/>
      <c r="EVK25" s="11"/>
      <c r="EYR25" s="47"/>
      <c r="EYW25" s="47"/>
      <c r="EYY25" s="11"/>
      <c r="FCF25" s="47"/>
      <c r="FCK25" s="47"/>
      <c r="FCM25" s="11"/>
      <c r="FFT25" s="47"/>
      <c r="FFY25" s="47"/>
      <c r="FGA25" s="11"/>
      <c r="FJH25" s="47"/>
      <c r="FJM25" s="47"/>
      <c r="FJO25" s="11"/>
      <c r="FMV25" s="47"/>
      <c r="FNA25" s="47"/>
      <c r="FNC25" s="11"/>
      <c r="FQJ25" s="47"/>
      <c r="FQO25" s="47"/>
      <c r="FQQ25" s="11"/>
      <c r="FTX25" s="47"/>
      <c r="FUC25" s="47"/>
      <c r="FUE25" s="11"/>
      <c r="FXL25" s="47"/>
      <c r="FXQ25" s="47"/>
      <c r="FXS25" s="11"/>
      <c r="GAZ25" s="47"/>
      <c r="GBE25" s="47"/>
      <c r="GBG25" s="11"/>
      <c r="GEN25" s="47"/>
      <c r="GES25" s="47"/>
      <c r="GEU25" s="11"/>
      <c r="GIB25" s="47"/>
      <c r="GIG25" s="47"/>
      <c r="GII25" s="11"/>
      <c r="GLP25" s="47"/>
      <c r="GLU25" s="47"/>
      <c r="GLW25" s="11"/>
      <c r="GPD25" s="47"/>
      <c r="GPI25" s="47"/>
      <c r="GPK25" s="11"/>
      <c r="GSR25" s="47"/>
      <c r="GSW25" s="47"/>
      <c r="GSY25" s="11"/>
      <c r="GWF25" s="47"/>
      <c r="GWK25" s="47"/>
      <c r="GWM25" s="11"/>
      <c r="GZT25" s="47"/>
      <c r="GZY25" s="47"/>
      <c r="HAA25" s="11"/>
      <c r="HDH25" s="47"/>
      <c r="HDM25" s="47"/>
      <c r="HDO25" s="11"/>
      <c r="HGV25" s="47"/>
      <c r="HHA25" s="47"/>
      <c r="HHC25" s="11"/>
      <c r="HKJ25" s="47"/>
      <c r="HKO25" s="47"/>
      <c r="HKQ25" s="11"/>
      <c r="HNX25" s="47"/>
      <c r="HOC25" s="47"/>
      <c r="HOE25" s="11"/>
      <c r="HRL25" s="47"/>
      <c r="HRQ25" s="47"/>
      <c r="HRS25" s="11"/>
      <c r="HUZ25" s="47"/>
      <c r="HVE25" s="47"/>
      <c r="HVG25" s="11"/>
      <c r="HYN25" s="47"/>
      <c r="HYS25" s="47"/>
      <c r="HYU25" s="11"/>
      <c r="ICB25" s="47"/>
      <c r="ICG25" s="47"/>
      <c r="ICI25" s="11"/>
      <c r="IFP25" s="47"/>
      <c r="IFU25" s="47"/>
      <c r="IFW25" s="11"/>
      <c r="IJD25" s="47"/>
      <c r="IJI25" s="47"/>
      <c r="IJK25" s="11"/>
      <c r="IMR25" s="47"/>
      <c r="IMW25" s="47"/>
      <c r="IMY25" s="11"/>
      <c r="IQF25" s="47"/>
      <c r="IQK25" s="47"/>
      <c r="IQM25" s="11"/>
      <c r="ITT25" s="47"/>
      <c r="ITY25" s="47"/>
      <c r="IUA25" s="11"/>
      <c r="IXH25" s="47"/>
      <c r="IXM25" s="47"/>
      <c r="IXO25" s="11"/>
      <c r="JAV25" s="47"/>
      <c r="JBA25" s="47"/>
      <c r="JBC25" s="11"/>
      <c r="JEJ25" s="47"/>
      <c r="JEO25" s="47"/>
      <c r="JEQ25" s="11"/>
      <c r="JHX25" s="47"/>
      <c r="JIC25" s="47"/>
      <c r="JIE25" s="11"/>
      <c r="JLL25" s="47"/>
      <c r="JLQ25" s="47"/>
      <c r="JLS25" s="11"/>
      <c r="JOZ25" s="47"/>
      <c r="JPE25" s="47"/>
      <c r="JPG25" s="11"/>
      <c r="JSN25" s="47"/>
      <c r="JSS25" s="47"/>
      <c r="JSU25" s="11"/>
      <c r="JWB25" s="47"/>
      <c r="JWG25" s="47"/>
      <c r="JWI25" s="11"/>
      <c r="JZP25" s="47"/>
      <c r="JZU25" s="47"/>
      <c r="JZW25" s="11"/>
      <c r="KDD25" s="47"/>
      <c r="KDI25" s="47"/>
      <c r="KDK25" s="11"/>
      <c r="KGR25" s="47"/>
      <c r="KGW25" s="47"/>
      <c r="KGY25" s="11"/>
      <c r="KKF25" s="47"/>
      <c r="KKK25" s="47"/>
      <c r="KKM25" s="11"/>
      <c r="KNT25" s="47"/>
      <c r="KNY25" s="47"/>
      <c r="KOA25" s="11"/>
      <c r="KRH25" s="47"/>
      <c r="KRM25" s="47"/>
      <c r="KRO25" s="11"/>
      <c r="KUV25" s="47"/>
      <c r="KVA25" s="47"/>
      <c r="KVC25" s="11"/>
      <c r="KYJ25" s="47"/>
      <c r="KYO25" s="47"/>
      <c r="KYQ25" s="11"/>
      <c r="LBX25" s="47"/>
      <c r="LCC25" s="47"/>
      <c r="LCE25" s="11"/>
      <c r="LFL25" s="47"/>
      <c r="LFQ25" s="47"/>
      <c r="LFS25" s="11"/>
      <c r="LIZ25" s="47"/>
      <c r="LJE25" s="47"/>
      <c r="LJG25" s="11"/>
      <c r="LMN25" s="47"/>
      <c r="LMS25" s="47"/>
      <c r="LMU25" s="11"/>
      <c r="LQB25" s="47"/>
      <c r="LQG25" s="47"/>
      <c r="LQI25" s="11"/>
      <c r="LTP25" s="47"/>
      <c r="LTU25" s="47"/>
      <c r="LTW25" s="11"/>
      <c r="LXD25" s="47"/>
      <c r="LXI25" s="47"/>
      <c r="LXK25" s="11"/>
      <c r="MAR25" s="47"/>
      <c r="MAW25" s="47"/>
      <c r="MAY25" s="11"/>
      <c r="MEF25" s="47"/>
      <c r="MEK25" s="47"/>
      <c r="MEM25" s="11"/>
      <c r="MHT25" s="47"/>
      <c r="MHY25" s="47"/>
      <c r="MIA25" s="11"/>
      <c r="MLH25" s="47"/>
      <c r="MLM25" s="47"/>
      <c r="MLO25" s="11"/>
      <c r="MOV25" s="47"/>
      <c r="MPA25" s="47"/>
      <c r="MPC25" s="11"/>
      <c r="MSJ25" s="47"/>
      <c r="MSO25" s="47"/>
      <c r="MSQ25" s="11"/>
      <c r="MVX25" s="47"/>
      <c r="MWC25" s="47"/>
      <c r="MWE25" s="11"/>
      <c r="MZL25" s="47"/>
      <c r="MZQ25" s="47"/>
      <c r="MZS25" s="11"/>
      <c r="NCZ25" s="47"/>
      <c r="NDE25" s="47"/>
      <c r="NDG25" s="11"/>
      <c r="NGN25" s="47"/>
      <c r="NGS25" s="47"/>
      <c r="NGU25" s="11"/>
      <c r="NKB25" s="47"/>
      <c r="NKG25" s="47"/>
      <c r="NKI25" s="11"/>
      <c r="NNP25" s="47"/>
      <c r="NNU25" s="47"/>
      <c r="NNW25" s="11"/>
      <c r="NRD25" s="47"/>
      <c r="NRI25" s="47"/>
      <c r="NRK25" s="11"/>
      <c r="NUR25" s="47"/>
      <c r="NUW25" s="47"/>
      <c r="NUY25" s="11"/>
      <c r="NYF25" s="47"/>
      <c r="NYK25" s="47"/>
      <c r="NYM25" s="11"/>
      <c r="OBT25" s="47"/>
      <c r="OBY25" s="47"/>
      <c r="OCA25" s="11"/>
      <c r="OFH25" s="47"/>
      <c r="OFM25" s="47"/>
      <c r="OFO25" s="11"/>
      <c r="OIV25" s="47"/>
      <c r="OJA25" s="47"/>
      <c r="OJC25" s="11"/>
      <c r="OMJ25" s="47"/>
      <c r="OMO25" s="47"/>
      <c r="OMQ25" s="11"/>
      <c r="OPX25" s="47"/>
      <c r="OQC25" s="47"/>
      <c r="OQE25" s="11"/>
      <c r="OTL25" s="47"/>
      <c r="OTQ25" s="47"/>
      <c r="OTS25" s="11"/>
      <c r="OWZ25" s="47"/>
      <c r="OXE25" s="47"/>
      <c r="OXG25" s="11"/>
      <c r="PAN25" s="47"/>
      <c r="PAS25" s="47"/>
      <c r="PAU25" s="11"/>
      <c r="PEB25" s="47"/>
      <c r="PEG25" s="47"/>
      <c r="PEI25" s="11"/>
      <c r="PHP25" s="47"/>
      <c r="PHU25" s="47"/>
      <c r="PHW25" s="11"/>
      <c r="PLD25" s="47"/>
      <c r="PLI25" s="47"/>
      <c r="PLK25" s="11"/>
      <c r="POR25" s="47"/>
      <c r="POW25" s="47"/>
      <c r="POY25" s="11"/>
      <c r="PSF25" s="47"/>
      <c r="PSK25" s="47"/>
      <c r="PSM25" s="11"/>
      <c r="PVT25" s="47"/>
      <c r="PVY25" s="47"/>
      <c r="PWA25" s="11"/>
      <c r="PZH25" s="47"/>
      <c r="PZM25" s="47"/>
      <c r="PZO25" s="11"/>
      <c r="QCV25" s="47"/>
      <c r="QDA25" s="47"/>
      <c r="QDC25" s="11"/>
      <c r="QGJ25" s="47"/>
      <c r="QGO25" s="47"/>
      <c r="QGQ25" s="11"/>
      <c r="QJX25" s="47"/>
      <c r="QKC25" s="47"/>
      <c r="QKE25" s="11"/>
      <c r="QNL25" s="47"/>
      <c r="QNQ25" s="47"/>
      <c r="QNS25" s="11"/>
      <c r="QQZ25" s="47"/>
      <c r="QRE25" s="47"/>
      <c r="QRG25" s="11"/>
      <c r="QUN25" s="47"/>
      <c r="QUS25" s="47"/>
      <c r="QUU25" s="11"/>
      <c r="QYB25" s="47"/>
      <c r="QYG25" s="47"/>
      <c r="QYI25" s="11"/>
      <c r="RBP25" s="47"/>
      <c r="RBU25" s="47"/>
      <c r="RBW25" s="11"/>
      <c r="RFD25" s="47"/>
      <c r="RFI25" s="47"/>
      <c r="RFK25" s="11"/>
      <c r="RIR25" s="47"/>
      <c r="RIW25" s="47"/>
      <c r="RIY25" s="11"/>
      <c r="RMF25" s="47"/>
      <c r="RMK25" s="47"/>
      <c r="RMM25" s="11"/>
      <c r="RPT25" s="47"/>
      <c r="RPY25" s="47"/>
      <c r="RQA25" s="11"/>
      <c r="RTH25" s="47"/>
      <c r="RTM25" s="47"/>
      <c r="RTO25" s="11"/>
      <c r="RWV25" s="47"/>
      <c r="RXA25" s="47"/>
      <c r="RXC25" s="11"/>
      <c r="SAJ25" s="47"/>
      <c r="SAO25" s="47"/>
      <c r="SAQ25" s="11"/>
      <c r="SDX25" s="47"/>
      <c r="SEC25" s="47"/>
      <c r="SEE25" s="11"/>
      <c r="SHL25" s="47"/>
      <c r="SHQ25" s="47"/>
      <c r="SHS25" s="11"/>
      <c r="SKZ25" s="47"/>
      <c r="SLE25" s="47"/>
      <c r="SLG25" s="11"/>
      <c r="SON25" s="47"/>
      <c r="SOS25" s="47"/>
      <c r="SOU25" s="11"/>
      <c r="SSB25" s="47"/>
      <c r="SSG25" s="47"/>
      <c r="SSI25" s="11"/>
      <c r="SVP25" s="47"/>
      <c r="SVU25" s="47"/>
      <c r="SVW25" s="11"/>
      <c r="SZD25" s="47"/>
      <c r="SZI25" s="47"/>
      <c r="SZK25" s="11"/>
      <c r="TCR25" s="47"/>
      <c r="TCW25" s="47"/>
      <c r="TCY25" s="11"/>
      <c r="TGF25" s="47"/>
      <c r="TGK25" s="47"/>
      <c r="TGM25" s="11"/>
      <c r="TJT25" s="47"/>
      <c r="TJY25" s="47"/>
      <c r="TKA25" s="11"/>
      <c r="TNH25" s="47"/>
      <c r="TNM25" s="47"/>
      <c r="TNO25" s="11"/>
      <c r="TQV25" s="47"/>
      <c r="TRA25" s="47"/>
      <c r="TRC25" s="11"/>
      <c r="TUJ25" s="47"/>
      <c r="TUO25" s="47"/>
      <c r="TUQ25" s="11"/>
      <c r="TXX25" s="47"/>
      <c r="TYC25" s="47"/>
      <c r="TYE25" s="11"/>
      <c r="UBL25" s="47"/>
      <c r="UBQ25" s="47"/>
      <c r="UBS25" s="11"/>
      <c r="UEZ25" s="47"/>
      <c r="UFE25" s="47"/>
      <c r="UFG25" s="11"/>
      <c r="UIN25" s="47"/>
      <c r="UIS25" s="47"/>
      <c r="UIU25" s="11"/>
      <c r="UMB25" s="47"/>
      <c r="UMG25" s="47"/>
      <c r="UMI25" s="11"/>
      <c r="UPP25" s="47"/>
      <c r="UPU25" s="47"/>
      <c r="UPW25" s="11"/>
      <c r="UTD25" s="47"/>
      <c r="UTI25" s="47"/>
      <c r="UTK25" s="11"/>
      <c r="UWR25" s="47"/>
      <c r="UWW25" s="47"/>
      <c r="UWY25" s="11"/>
      <c r="VAF25" s="47"/>
      <c r="VAK25" s="47"/>
      <c r="VAM25" s="11"/>
      <c r="VDT25" s="47"/>
      <c r="VDY25" s="47"/>
      <c r="VEA25" s="11"/>
      <c r="VHH25" s="47"/>
      <c r="VHM25" s="47"/>
      <c r="VHO25" s="11"/>
      <c r="VKV25" s="47"/>
      <c r="VLA25" s="47"/>
      <c r="VLC25" s="11"/>
      <c r="VOJ25" s="47"/>
      <c r="VOO25" s="47"/>
      <c r="VOQ25" s="11"/>
      <c r="VRX25" s="47"/>
      <c r="VSC25" s="47"/>
      <c r="VSE25" s="11"/>
      <c r="VVL25" s="47"/>
      <c r="VVQ25" s="47"/>
      <c r="VVS25" s="11"/>
      <c r="VYZ25" s="47"/>
      <c r="VZE25" s="47"/>
      <c r="VZG25" s="11"/>
      <c r="WCN25" s="47"/>
      <c r="WCS25" s="47"/>
      <c r="WCU25" s="11"/>
      <c r="WGB25" s="47"/>
      <c r="WGG25" s="47"/>
      <c r="WGI25" s="11"/>
      <c r="WJP25" s="47"/>
      <c r="WJU25" s="47"/>
      <c r="WJW25" s="11"/>
      <c r="WND25" s="47"/>
      <c r="WNI25" s="47"/>
      <c r="WNK25" s="11"/>
      <c r="WQR25" s="47"/>
      <c r="WQW25" s="47"/>
      <c r="WQY25" s="11"/>
      <c r="WUF25" s="47"/>
      <c r="WUK25" s="47"/>
      <c r="WUM25" s="11"/>
      <c r="WXT25" s="47"/>
      <c r="WXY25" s="47"/>
      <c r="WYA25" s="11"/>
      <c r="XBH25" s="47"/>
      <c r="XBM25" s="47"/>
      <c r="XBO25" s="11"/>
      <c r="XEV25" s="47"/>
      <c r="XFA25" s="47"/>
      <c r="XFC25" s="11"/>
    </row>
    <row r="26" spans="1:1019 1104:2031 2116:3043 3128:4055 4140:5067 5152:6079 6164:7091 7176:8188 8193:9207 9292:10219 10304:11231 11316:12243 12328:13255 13340:14267 14352:15279 15364:16383" s="10" customFormat="1" ht="14.65" customHeight="1">
      <c r="C26" s="17" t="str">
        <f>Предпосылки!C588</f>
        <v>Доходность гособлигаций РФ в рублях - ОФЗ 26230</v>
      </c>
      <c r="E26" s="80">
        <f>Предпосылки!E588</f>
        <v>0.14099999999999999</v>
      </c>
      <c r="G26" s="207" t="s">
        <v>983</v>
      </c>
      <c r="I26" s="363" t="s">
        <v>984</v>
      </c>
      <c r="CS26" s="47"/>
      <c r="CU26" s="11"/>
      <c r="GB26" s="47"/>
      <c r="GG26" s="47"/>
      <c r="GI26" s="11"/>
      <c r="JP26" s="47"/>
      <c r="JU26" s="47"/>
      <c r="JW26" s="11"/>
      <c r="ND26" s="47"/>
      <c r="NI26" s="47"/>
      <c r="NK26" s="11"/>
      <c r="QR26" s="47"/>
      <c r="QW26" s="47"/>
      <c r="QY26" s="11"/>
      <c r="UF26" s="47"/>
      <c r="UK26" s="47"/>
      <c r="UM26" s="11"/>
      <c r="XT26" s="47"/>
      <c r="XY26" s="47"/>
      <c r="YA26" s="11"/>
      <c r="ABH26" s="47"/>
      <c r="ABM26" s="47"/>
      <c r="ABO26" s="11"/>
      <c r="AEV26" s="47"/>
      <c r="AFA26" s="47"/>
      <c r="AFC26" s="11"/>
      <c r="AIJ26" s="47"/>
      <c r="AIO26" s="47"/>
      <c r="AIQ26" s="11"/>
      <c r="ALX26" s="47"/>
      <c r="AMC26" s="47"/>
      <c r="AME26" s="11"/>
      <c r="APL26" s="47"/>
      <c r="APQ26" s="47"/>
      <c r="APS26" s="11"/>
      <c r="ASZ26" s="47"/>
      <c r="ATE26" s="47"/>
      <c r="ATG26" s="11"/>
      <c r="AWN26" s="47"/>
      <c r="AWS26" s="47"/>
      <c r="AWU26" s="11"/>
      <c r="BAB26" s="47"/>
      <c r="BAG26" s="47"/>
      <c r="BAI26" s="11"/>
      <c r="BDP26" s="47"/>
      <c r="BDU26" s="47"/>
      <c r="BDW26" s="11"/>
      <c r="BHD26" s="47"/>
      <c r="BHI26" s="47"/>
      <c r="BHK26" s="11"/>
      <c r="BKR26" s="47"/>
      <c r="BKW26" s="47"/>
      <c r="BKY26" s="11"/>
      <c r="BOF26" s="47"/>
      <c r="BOK26" s="47"/>
      <c r="BOM26" s="11"/>
      <c r="BRT26" s="47"/>
      <c r="BRY26" s="47"/>
      <c r="BSA26" s="11"/>
      <c r="BVH26" s="47"/>
      <c r="BVM26" s="47"/>
      <c r="BVO26" s="11"/>
      <c r="BYV26" s="47"/>
      <c r="BZA26" s="47"/>
      <c r="BZC26" s="11"/>
      <c r="CCJ26" s="47"/>
      <c r="CCO26" s="47"/>
      <c r="CCQ26" s="11"/>
      <c r="CFX26" s="47"/>
      <c r="CGC26" s="47"/>
      <c r="CGE26" s="11"/>
      <c r="CJL26" s="47"/>
      <c r="CJQ26" s="47"/>
      <c r="CJS26" s="11"/>
      <c r="CMZ26" s="47"/>
      <c r="CNE26" s="47"/>
      <c r="CNG26" s="11"/>
      <c r="CQN26" s="47"/>
      <c r="CQS26" s="47"/>
      <c r="CQU26" s="11"/>
      <c r="CUB26" s="47"/>
      <c r="CUG26" s="47"/>
      <c r="CUI26" s="11"/>
      <c r="CXP26" s="47"/>
      <c r="CXU26" s="47"/>
      <c r="CXW26" s="11"/>
      <c r="DBD26" s="47"/>
      <c r="DBI26" s="47"/>
      <c r="DBK26" s="11"/>
      <c r="DER26" s="47"/>
      <c r="DEW26" s="47"/>
      <c r="DEY26" s="11"/>
      <c r="DIF26" s="47"/>
      <c r="DIK26" s="47"/>
      <c r="DIM26" s="11"/>
      <c r="DLT26" s="47"/>
      <c r="DLY26" s="47"/>
      <c r="DMA26" s="11"/>
      <c r="DPH26" s="47"/>
      <c r="DPM26" s="47"/>
      <c r="DPO26" s="11"/>
      <c r="DSV26" s="47"/>
      <c r="DTA26" s="47"/>
      <c r="DTC26" s="11"/>
      <c r="DWJ26" s="47"/>
      <c r="DWO26" s="47"/>
      <c r="DWQ26" s="11"/>
      <c r="DZX26" s="47"/>
      <c r="EAC26" s="47"/>
      <c r="EAE26" s="11"/>
      <c r="EDL26" s="47"/>
      <c r="EDQ26" s="47"/>
      <c r="EDS26" s="11"/>
      <c r="EGZ26" s="47"/>
      <c r="EHE26" s="47"/>
      <c r="EHG26" s="11"/>
      <c r="EKN26" s="47"/>
      <c r="EKS26" s="47"/>
      <c r="EKU26" s="11"/>
      <c r="EOB26" s="47"/>
      <c r="EOG26" s="47"/>
      <c r="EOI26" s="11"/>
      <c r="ERP26" s="47"/>
      <c r="ERU26" s="47"/>
      <c r="ERW26" s="11"/>
      <c r="EVD26" s="47"/>
      <c r="EVI26" s="47"/>
      <c r="EVK26" s="11"/>
      <c r="EYR26" s="47"/>
      <c r="EYW26" s="47"/>
      <c r="EYY26" s="11"/>
      <c r="FCF26" s="47"/>
      <c r="FCK26" s="47"/>
      <c r="FCM26" s="11"/>
      <c r="FFT26" s="47"/>
      <c r="FFY26" s="47"/>
      <c r="FGA26" s="11"/>
      <c r="FJH26" s="47"/>
      <c r="FJM26" s="47"/>
      <c r="FJO26" s="11"/>
      <c r="FMV26" s="47"/>
      <c r="FNA26" s="47"/>
      <c r="FNC26" s="11"/>
      <c r="FQJ26" s="47"/>
      <c r="FQO26" s="47"/>
      <c r="FQQ26" s="11"/>
      <c r="FTX26" s="47"/>
      <c r="FUC26" s="47"/>
      <c r="FUE26" s="11"/>
      <c r="FXL26" s="47"/>
      <c r="FXQ26" s="47"/>
      <c r="FXS26" s="11"/>
      <c r="GAZ26" s="47"/>
      <c r="GBE26" s="47"/>
      <c r="GBG26" s="11"/>
      <c r="GEN26" s="47"/>
      <c r="GES26" s="47"/>
      <c r="GEU26" s="11"/>
      <c r="GIB26" s="47"/>
      <c r="GIG26" s="47"/>
      <c r="GII26" s="11"/>
      <c r="GLP26" s="47"/>
      <c r="GLU26" s="47"/>
      <c r="GLW26" s="11"/>
      <c r="GPD26" s="47"/>
      <c r="GPI26" s="47"/>
      <c r="GPK26" s="11"/>
      <c r="GSR26" s="47"/>
      <c r="GSW26" s="47"/>
      <c r="GSY26" s="11"/>
      <c r="GWF26" s="47"/>
      <c r="GWK26" s="47"/>
      <c r="GWM26" s="11"/>
      <c r="GZT26" s="47"/>
      <c r="GZY26" s="47"/>
      <c r="HAA26" s="11"/>
      <c r="HDH26" s="47"/>
      <c r="HDM26" s="47"/>
      <c r="HDO26" s="11"/>
      <c r="HGV26" s="47"/>
      <c r="HHA26" s="47"/>
      <c r="HHC26" s="11"/>
      <c r="HKJ26" s="47"/>
      <c r="HKO26" s="47"/>
      <c r="HKQ26" s="11"/>
      <c r="HNX26" s="47"/>
      <c r="HOC26" s="47"/>
      <c r="HOE26" s="11"/>
      <c r="HRL26" s="47"/>
      <c r="HRQ26" s="47"/>
      <c r="HRS26" s="11"/>
      <c r="HUZ26" s="47"/>
      <c r="HVE26" s="47"/>
      <c r="HVG26" s="11"/>
      <c r="HYN26" s="47"/>
      <c r="HYS26" s="47"/>
      <c r="HYU26" s="11"/>
      <c r="ICB26" s="47"/>
      <c r="ICG26" s="47"/>
      <c r="ICI26" s="11"/>
      <c r="IFP26" s="47"/>
      <c r="IFU26" s="47"/>
      <c r="IFW26" s="11"/>
      <c r="IJD26" s="47"/>
      <c r="IJI26" s="47"/>
      <c r="IJK26" s="11"/>
      <c r="IMR26" s="47"/>
      <c r="IMW26" s="47"/>
      <c r="IMY26" s="11"/>
      <c r="IQF26" s="47"/>
      <c r="IQK26" s="47"/>
      <c r="IQM26" s="11"/>
      <c r="ITT26" s="47"/>
      <c r="ITY26" s="47"/>
      <c r="IUA26" s="11"/>
      <c r="IXH26" s="47"/>
      <c r="IXM26" s="47"/>
      <c r="IXO26" s="11"/>
      <c r="JAV26" s="47"/>
      <c r="JBA26" s="47"/>
      <c r="JBC26" s="11"/>
      <c r="JEJ26" s="47"/>
      <c r="JEO26" s="47"/>
      <c r="JEQ26" s="11"/>
      <c r="JHX26" s="47"/>
      <c r="JIC26" s="47"/>
      <c r="JIE26" s="11"/>
      <c r="JLL26" s="47"/>
      <c r="JLQ26" s="47"/>
      <c r="JLS26" s="11"/>
      <c r="JOZ26" s="47"/>
      <c r="JPE26" s="47"/>
      <c r="JPG26" s="11"/>
      <c r="JSN26" s="47"/>
      <c r="JSS26" s="47"/>
      <c r="JSU26" s="11"/>
      <c r="JWB26" s="47"/>
      <c r="JWG26" s="47"/>
      <c r="JWI26" s="11"/>
      <c r="JZP26" s="47"/>
      <c r="JZU26" s="47"/>
      <c r="JZW26" s="11"/>
      <c r="KDD26" s="47"/>
      <c r="KDI26" s="47"/>
      <c r="KDK26" s="11"/>
      <c r="KGR26" s="47"/>
      <c r="KGW26" s="47"/>
      <c r="KGY26" s="11"/>
      <c r="KKF26" s="47"/>
      <c r="KKK26" s="47"/>
      <c r="KKM26" s="11"/>
      <c r="KNT26" s="47"/>
      <c r="KNY26" s="47"/>
      <c r="KOA26" s="11"/>
      <c r="KRH26" s="47"/>
      <c r="KRM26" s="47"/>
      <c r="KRO26" s="11"/>
      <c r="KUV26" s="47"/>
      <c r="KVA26" s="47"/>
      <c r="KVC26" s="11"/>
      <c r="KYJ26" s="47"/>
      <c r="KYO26" s="47"/>
      <c r="KYQ26" s="11"/>
      <c r="LBX26" s="47"/>
      <c r="LCC26" s="47"/>
      <c r="LCE26" s="11"/>
      <c r="LFL26" s="47"/>
      <c r="LFQ26" s="47"/>
      <c r="LFS26" s="11"/>
      <c r="LIZ26" s="47"/>
      <c r="LJE26" s="47"/>
      <c r="LJG26" s="11"/>
      <c r="LMN26" s="47"/>
      <c r="LMS26" s="47"/>
      <c r="LMU26" s="11"/>
      <c r="LQB26" s="47"/>
      <c r="LQG26" s="47"/>
      <c r="LQI26" s="11"/>
      <c r="LTP26" s="47"/>
      <c r="LTU26" s="47"/>
      <c r="LTW26" s="11"/>
      <c r="LXD26" s="47"/>
      <c r="LXI26" s="47"/>
      <c r="LXK26" s="11"/>
      <c r="MAR26" s="47"/>
      <c r="MAW26" s="47"/>
      <c r="MAY26" s="11"/>
      <c r="MEF26" s="47"/>
      <c r="MEK26" s="47"/>
      <c r="MEM26" s="11"/>
      <c r="MHT26" s="47"/>
      <c r="MHY26" s="47"/>
      <c r="MIA26" s="11"/>
      <c r="MLH26" s="47"/>
      <c r="MLM26" s="47"/>
      <c r="MLO26" s="11"/>
      <c r="MOV26" s="47"/>
      <c r="MPA26" s="47"/>
      <c r="MPC26" s="11"/>
      <c r="MSJ26" s="47"/>
      <c r="MSO26" s="47"/>
      <c r="MSQ26" s="11"/>
      <c r="MVX26" s="47"/>
      <c r="MWC26" s="47"/>
      <c r="MWE26" s="11"/>
      <c r="MZL26" s="47"/>
      <c r="MZQ26" s="47"/>
      <c r="MZS26" s="11"/>
      <c r="NCZ26" s="47"/>
      <c r="NDE26" s="47"/>
      <c r="NDG26" s="11"/>
      <c r="NGN26" s="47"/>
      <c r="NGS26" s="47"/>
      <c r="NGU26" s="11"/>
      <c r="NKB26" s="47"/>
      <c r="NKG26" s="47"/>
      <c r="NKI26" s="11"/>
      <c r="NNP26" s="47"/>
      <c r="NNU26" s="47"/>
      <c r="NNW26" s="11"/>
      <c r="NRD26" s="47"/>
      <c r="NRI26" s="47"/>
      <c r="NRK26" s="11"/>
      <c r="NUR26" s="47"/>
      <c r="NUW26" s="47"/>
      <c r="NUY26" s="11"/>
      <c r="NYF26" s="47"/>
      <c r="NYK26" s="47"/>
      <c r="NYM26" s="11"/>
      <c r="OBT26" s="47"/>
      <c r="OBY26" s="47"/>
      <c r="OCA26" s="11"/>
      <c r="OFH26" s="47"/>
      <c r="OFM26" s="47"/>
      <c r="OFO26" s="11"/>
      <c r="OIV26" s="47"/>
      <c r="OJA26" s="47"/>
      <c r="OJC26" s="11"/>
      <c r="OMJ26" s="47"/>
      <c r="OMO26" s="47"/>
      <c r="OMQ26" s="11"/>
      <c r="OPX26" s="47"/>
      <c r="OQC26" s="47"/>
      <c r="OQE26" s="11"/>
      <c r="OTL26" s="47"/>
      <c r="OTQ26" s="47"/>
      <c r="OTS26" s="11"/>
      <c r="OWZ26" s="47"/>
      <c r="OXE26" s="47"/>
      <c r="OXG26" s="11"/>
      <c r="PAN26" s="47"/>
      <c r="PAS26" s="47"/>
      <c r="PAU26" s="11"/>
      <c r="PEB26" s="47"/>
      <c r="PEG26" s="47"/>
      <c r="PEI26" s="11"/>
      <c r="PHP26" s="47"/>
      <c r="PHU26" s="47"/>
      <c r="PHW26" s="11"/>
      <c r="PLD26" s="47"/>
      <c r="PLI26" s="47"/>
      <c r="PLK26" s="11"/>
      <c r="POR26" s="47"/>
      <c r="POW26" s="47"/>
      <c r="POY26" s="11"/>
      <c r="PSF26" s="47"/>
      <c r="PSK26" s="47"/>
      <c r="PSM26" s="11"/>
      <c r="PVT26" s="47"/>
      <c r="PVY26" s="47"/>
      <c r="PWA26" s="11"/>
      <c r="PZH26" s="47"/>
      <c r="PZM26" s="47"/>
      <c r="PZO26" s="11"/>
      <c r="QCV26" s="47"/>
      <c r="QDA26" s="47"/>
      <c r="QDC26" s="11"/>
      <c r="QGJ26" s="47"/>
      <c r="QGO26" s="47"/>
      <c r="QGQ26" s="11"/>
      <c r="QJX26" s="47"/>
      <c r="QKC26" s="47"/>
      <c r="QKE26" s="11"/>
      <c r="QNL26" s="47"/>
      <c r="QNQ26" s="47"/>
      <c r="QNS26" s="11"/>
      <c r="QQZ26" s="47"/>
      <c r="QRE26" s="47"/>
      <c r="QRG26" s="11"/>
      <c r="QUN26" s="47"/>
      <c r="QUS26" s="47"/>
      <c r="QUU26" s="11"/>
      <c r="QYB26" s="47"/>
      <c r="QYG26" s="47"/>
      <c r="QYI26" s="11"/>
      <c r="RBP26" s="47"/>
      <c r="RBU26" s="47"/>
      <c r="RBW26" s="11"/>
      <c r="RFD26" s="47"/>
      <c r="RFI26" s="47"/>
      <c r="RFK26" s="11"/>
      <c r="RIR26" s="47"/>
      <c r="RIW26" s="47"/>
      <c r="RIY26" s="11"/>
      <c r="RMF26" s="47"/>
      <c r="RMK26" s="47"/>
      <c r="RMM26" s="11"/>
      <c r="RPT26" s="47"/>
      <c r="RPY26" s="47"/>
      <c r="RQA26" s="11"/>
      <c r="RTH26" s="47"/>
      <c r="RTM26" s="47"/>
      <c r="RTO26" s="11"/>
      <c r="RWV26" s="47"/>
      <c r="RXA26" s="47"/>
      <c r="RXC26" s="11"/>
      <c r="SAJ26" s="47"/>
      <c r="SAO26" s="47"/>
      <c r="SAQ26" s="11"/>
      <c r="SDX26" s="47"/>
      <c r="SEC26" s="47"/>
      <c r="SEE26" s="11"/>
      <c r="SHL26" s="47"/>
      <c r="SHQ26" s="47"/>
      <c r="SHS26" s="11"/>
      <c r="SKZ26" s="47"/>
      <c r="SLE26" s="47"/>
      <c r="SLG26" s="11"/>
      <c r="SON26" s="47"/>
      <c r="SOS26" s="47"/>
      <c r="SOU26" s="11"/>
      <c r="SSB26" s="47"/>
      <c r="SSG26" s="47"/>
      <c r="SSI26" s="11"/>
      <c r="SVP26" s="47"/>
      <c r="SVU26" s="47"/>
      <c r="SVW26" s="11"/>
      <c r="SZD26" s="47"/>
      <c r="SZI26" s="47"/>
      <c r="SZK26" s="11"/>
      <c r="TCR26" s="47"/>
      <c r="TCW26" s="47"/>
      <c r="TCY26" s="11"/>
      <c r="TGF26" s="47"/>
      <c r="TGK26" s="47"/>
      <c r="TGM26" s="11"/>
      <c r="TJT26" s="47"/>
      <c r="TJY26" s="47"/>
      <c r="TKA26" s="11"/>
      <c r="TNH26" s="47"/>
      <c r="TNM26" s="47"/>
      <c r="TNO26" s="11"/>
      <c r="TQV26" s="47"/>
      <c r="TRA26" s="47"/>
      <c r="TRC26" s="11"/>
      <c r="TUJ26" s="47"/>
      <c r="TUO26" s="47"/>
      <c r="TUQ26" s="11"/>
      <c r="TXX26" s="47"/>
      <c r="TYC26" s="47"/>
      <c r="TYE26" s="11"/>
      <c r="UBL26" s="47"/>
      <c r="UBQ26" s="47"/>
      <c r="UBS26" s="11"/>
      <c r="UEZ26" s="47"/>
      <c r="UFE26" s="47"/>
      <c r="UFG26" s="11"/>
      <c r="UIN26" s="47"/>
      <c r="UIS26" s="47"/>
      <c r="UIU26" s="11"/>
      <c r="UMB26" s="47"/>
      <c r="UMG26" s="47"/>
      <c r="UMI26" s="11"/>
      <c r="UPP26" s="47"/>
      <c r="UPU26" s="47"/>
      <c r="UPW26" s="11"/>
      <c r="UTD26" s="47"/>
      <c r="UTI26" s="47"/>
      <c r="UTK26" s="11"/>
      <c r="UWR26" s="47"/>
      <c r="UWW26" s="47"/>
      <c r="UWY26" s="11"/>
      <c r="VAF26" s="47"/>
      <c r="VAK26" s="47"/>
      <c r="VAM26" s="11"/>
      <c r="VDT26" s="47"/>
      <c r="VDY26" s="47"/>
      <c r="VEA26" s="11"/>
      <c r="VHH26" s="47"/>
      <c r="VHM26" s="47"/>
      <c r="VHO26" s="11"/>
      <c r="VKV26" s="47"/>
      <c r="VLA26" s="47"/>
      <c r="VLC26" s="11"/>
      <c r="VOJ26" s="47"/>
      <c r="VOO26" s="47"/>
      <c r="VOQ26" s="11"/>
      <c r="VRX26" s="47"/>
      <c r="VSC26" s="47"/>
      <c r="VSE26" s="11"/>
      <c r="VVL26" s="47"/>
      <c r="VVQ26" s="47"/>
      <c r="VVS26" s="11"/>
      <c r="VYZ26" s="47"/>
      <c r="VZE26" s="47"/>
      <c r="VZG26" s="11"/>
      <c r="WCN26" s="47"/>
      <c r="WCS26" s="47"/>
      <c r="WCU26" s="11"/>
      <c r="WGB26" s="47"/>
      <c r="WGG26" s="47"/>
      <c r="WGI26" s="11"/>
      <c r="WJP26" s="47"/>
      <c r="WJU26" s="47"/>
      <c r="WJW26" s="11"/>
      <c r="WND26" s="47"/>
      <c r="WNI26" s="47"/>
      <c r="WNK26" s="11"/>
      <c r="WQR26" s="47"/>
      <c r="WQW26" s="47"/>
      <c r="WQY26" s="11"/>
      <c r="WUF26" s="47"/>
      <c r="WUK26" s="47"/>
      <c r="WUM26" s="11"/>
      <c r="WXT26" s="47"/>
      <c r="WXY26" s="47"/>
      <c r="WYA26" s="11"/>
      <c r="XBH26" s="47"/>
      <c r="XBM26" s="47"/>
      <c r="XBO26" s="11"/>
      <c r="XEV26" s="47"/>
      <c r="XFA26" s="47"/>
      <c r="XFC26" s="11"/>
    </row>
    <row r="27" spans="1:1019 1104:2031 2116:3043 3128:4055 4140:5067 5152:6079 6164:7091 7176:8188 8193:9207 9292:10219 10304:11231 11316:12243 12328:13255 13340:14267 14352:15279 15364:16383" s="10" customFormat="1" ht="14.65" customHeight="1">
      <c r="C27" s="17"/>
      <c r="E27" s="47"/>
      <c r="G27" s="11"/>
      <c r="CS27" s="47"/>
      <c r="CU27" s="11"/>
      <c r="GB27" s="47"/>
      <c r="GG27" s="47"/>
      <c r="GI27" s="11"/>
      <c r="JP27" s="47"/>
      <c r="JU27" s="47"/>
      <c r="JW27" s="11"/>
      <c r="ND27" s="47"/>
      <c r="NI27" s="47"/>
      <c r="NK27" s="11"/>
      <c r="QR27" s="47"/>
      <c r="QW27" s="47"/>
      <c r="QY27" s="11"/>
      <c r="UF27" s="47"/>
      <c r="UK27" s="47"/>
      <c r="UM27" s="11"/>
      <c r="XT27" s="47"/>
      <c r="XY27" s="47"/>
      <c r="YA27" s="11"/>
      <c r="ABH27" s="47"/>
      <c r="ABM27" s="47"/>
      <c r="ABO27" s="11"/>
      <c r="AEV27" s="47"/>
      <c r="AFA27" s="47"/>
      <c r="AFC27" s="11"/>
      <c r="AIJ27" s="47"/>
      <c r="AIO27" s="47"/>
      <c r="AIQ27" s="11"/>
      <c r="ALX27" s="47"/>
      <c r="AMC27" s="47"/>
      <c r="AME27" s="11"/>
      <c r="APL27" s="47"/>
      <c r="APQ27" s="47"/>
      <c r="APS27" s="11"/>
      <c r="ASZ27" s="47"/>
      <c r="ATE27" s="47"/>
      <c r="ATG27" s="11"/>
      <c r="AWN27" s="47"/>
      <c r="AWS27" s="47"/>
      <c r="AWU27" s="11"/>
      <c r="BAB27" s="47"/>
      <c r="BAG27" s="47"/>
      <c r="BAI27" s="11"/>
      <c r="BDP27" s="47"/>
      <c r="BDU27" s="47"/>
      <c r="BDW27" s="11"/>
      <c r="BHD27" s="47"/>
      <c r="BHI27" s="47"/>
      <c r="BHK27" s="11"/>
      <c r="BKR27" s="47"/>
      <c r="BKW27" s="47"/>
      <c r="BKY27" s="11"/>
      <c r="BOF27" s="47"/>
      <c r="BOK27" s="47"/>
      <c r="BOM27" s="11"/>
      <c r="BRT27" s="47"/>
      <c r="BRY27" s="47"/>
      <c r="BSA27" s="11"/>
      <c r="BVH27" s="47"/>
      <c r="BVM27" s="47"/>
      <c r="BVO27" s="11"/>
      <c r="BYV27" s="47"/>
      <c r="BZA27" s="47"/>
      <c r="BZC27" s="11"/>
      <c r="CCJ27" s="47"/>
      <c r="CCO27" s="47"/>
      <c r="CCQ27" s="11"/>
      <c r="CFX27" s="47"/>
      <c r="CGC27" s="47"/>
      <c r="CGE27" s="11"/>
      <c r="CJL27" s="47"/>
      <c r="CJQ27" s="47"/>
      <c r="CJS27" s="11"/>
      <c r="CMZ27" s="47"/>
      <c r="CNE27" s="47"/>
      <c r="CNG27" s="11"/>
      <c r="CQN27" s="47"/>
      <c r="CQS27" s="47"/>
      <c r="CQU27" s="11"/>
      <c r="CUB27" s="47"/>
      <c r="CUG27" s="47"/>
      <c r="CUI27" s="11"/>
      <c r="CXP27" s="47"/>
      <c r="CXU27" s="47"/>
      <c r="CXW27" s="11"/>
      <c r="DBD27" s="47"/>
      <c r="DBI27" s="47"/>
      <c r="DBK27" s="11"/>
      <c r="DER27" s="47"/>
      <c r="DEW27" s="47"/>
      <c r="DEY27" s="11"/>
      <c r="DIF27" s="47"/>
      <c r="DIK27" s="47"/>
      <c r="DIM27" s="11"/>
      <c r="DLT27" s="47"/>
      <c r="DLY27" s="47"/>
      <c r="DMA27" s="11"/>
      <c r="DPH27" s="47"/>
      <c r="DPM27" s="47"/>
      <c r="DPO27" s="11"/>
      <c r="DSV27" s="47"/>
      <c r="DTA27" s="47"/>
      <c r="DTC27" s="11"/>
      <c r="DWJ27" s="47"/>
      <c r="DWO27" s="47"/>
      <c r="DWQ27" s="11"/>
      <c r="DZX27" s="47"/>
      <c r="EAC27" s="47"/>
      <c r="EAE27" s="11"/>
      <c r="EDL27" s="47"/>
      <c r="EDQ27" s="47"/>
      <c r="EDS27" s="11"/>
      <c r="EGZ27" s="47"/>
      <c r="EHE27" s="47"/>
      <c r="EHG27" s="11"/>
      <c r="EKN27" s="47"/>
      <c r="EKS27" s="47"/>
      <c r="EKU27" s="11"/>
      <c r="EOB27" s="47"/>
      <c r="EOG27" s="47"/>
      <c r="EOI27" s="11"/>
      <c r="ERP27" s="47"/>
      <c r="ERU27" s="47"/>
      <c r="ERW27" s="11"/>
      <c r="EVD27" s="47"/>
      <c r="EVI27" s="47"/>
      <c r="EVK27" s="11"/>
      <c r="EYR27" s="47"/>
      <c r="EYW27" s="47"/>
      <c r="EYY27" s="11"/>
      <c r="FCF27" s="47"/>
      <c r="FCK27" s="47"/>
      <c r="FCM27" s="11"/>
      <c r="FFT27" s="47"/>
      <c r="FFY27" s="47"/>
      <c r="FGA27" s="11"/>
      <c r="FJH27" s="47"/>
      <c r="FJM27" s="47"/>
      <c r="FJO27" s="11"/>
      <c r="FMV27" s="47"/>
      <c r="FNA27" s="47"/>
      <c r="FNC27" s="11"/>
      <c r="FQJ27" s="47"/>
      <c r="FQO27" s="47"/>
      <c r="FQQ27" s="11"/>
      <c r="FTX27" s="47"/>
      <c r="FUC27" s="47"/>
      <c r="FUE27" s="11"/>
      <c r="FXL27" s="47"/>
      <c r="FXQ27" s="47"/>
      <c r="FXS27" s="11"/>
      <c r="GAZ27" s="47"/>
      <c r="GBE27" s="47"/>
      <c r="GBG27" s="11"/>
      <c r="GEN27" s="47"/>
      <c r="GES27" s="47"/>
      <c r="GEU27" s="11"/>
      <c r="GIB27" s="47"/>
      <c r="GIG27" s="47"/>
      <c r="GII27" s="11"/>
      <c r="GLP27" s="47"/>
      <c r="GLU27" s="47"/>
      <c r="GLW27" s="11"/>
      <c r="GPD27" s="47"/>
      <c r="GPI27" s="47"/>
      <c r="GPK27" s="11"/>
      <c r="GSR27" s="47"/>
      <c r="GSW27" s="47"/>
      <c r="GSY27" s="11"/>
      <c r="GWF27" s="47"/>
      <c r="GWK27" s="47"/>
      <c r="GWM27" s="11"/>
      <c r="GZT27" s="47"/>
      <c r="GZY27" s="47"/>
      <c r="HAA27" s="11"/>
      <c r="HDH27" s="47"/>
      <c r="HDM27" s="47"/>
      <c r="HDO27" s="11"/>
      <c r="HGV27" s="47"/>
      <c r="HHA27" s="47"/>
      <c r="HHC27" s="11"/>
      <c r="HKJ27" s="47"/>
      <c r="HKO27" s="47"/>
      <c r="HKQ27" s="11"/>
      <c r="HNX27" s="47"/>
      <c r="HOC27" s="47"/>
      <c r="HOE27" s="11"/>
      <c r="HRL27" s="47"/>
      <c r="HRQ27" s="47"/>
      <c r="HRS27" s="11"/>
      <c r="HUZ27" s="47"/>
      <c r="HVE27" s="47"/>
      <c r="HVG27" s="11"/>
      <c r="HYN27" s="47"/>
      <c r="HYS27" s="47"/>
      <c r="HYU27" s="11"/>
      <c r="ICB27" s="47"/>
      <c r="ICG27" s="47"/>
      <c r="ICI27" s="11"/>
      <c r="IFP27" s="47"/>
      <c r="IFU27" s="47"/>
      <c r="IFW27" s="11"/>
      <c r="IJD27" s="47"/>
      <c r="IJI27" s="47"/>
      <c r="IJK27" s="11"/>
      <c r="IMR27" s="47"/>
      <c r="IMW27" s="47"/>
      <c r="IMY27" s="11"/>
      <c r="IQF27" s="47"/>
      <c r="IQK27" s="47"/>
      <c r="IQM27" s="11"/>
      <c r="ITT27" s="47"/>
      <c r="ITY27" s="47"/>
      <c r="IUA27" s="11"/>
      <c r="IXH27" s="47"/>
      <c r="IXM27" s="47"/>
      <c r="IXO27" s="11"/>
      <c r="JAV27" s="47"/>
      <c r="JBA27" s="47"/>
      <c r="JBC27" s="11"/>
      <c r="JEJ27" s="47"/>
      <c r="JEO27" s="47"/>
      <c r="JEQ27" s="11"/>
      <c r="JHX27" s="47"/>
      <c r="JIC27" s="47"/>
      <c r="JIE27" s="11"/>
      <c r="JLL27" s="47"/>
      <c r="JLQ27" s="47"/>
      <c r="JLS27" s="11"/>
      <c r="JOZ27" s="47"/>
      <c r="JPE27" s="47"/>
      <c r="JPG27" s="11"/>
      <c r="JSN27" s="47"/>
      <c r="JSS27" s="47"/>
      <c r="JSU27" s="11"/>
      <c r="JWB27" s="47"/>
      <c r="JWG27" s="47"/>
      <c r="JWI27" s="11"/>
      <c r="JZP27" s="47"/>
      <c r="JZU27" s="47"/>
      <c r="JZW27" s="11"/>
      <c r="KDD27" s="47"/>
      <c r="KDI27" s="47"/>
      <c r="KDK27" s="11"/>
      <c r="KGR27" s="47"/>
      <c r="KGW27" s="47"/>
      <c r="KGY27" s="11"/>
      <c r="KKF27" s="47"/>
      <c r="KKK27" s="47"/>
      <c r="KKM27" s="11"/>
      <c r="KNT27" s="47"/>
      <c r="KNY27" s="47"/>
      <c r="KOA27" s="11"/>
      <c r="KRH27" s="47"/>
      <c r="KRM27" s="47"/>
      <c r="KRO27" s="11"/>
      <c r="KUV27" s="47"/>
      <c r="KVA27" s="47"/>
      <c r="KVC27" s="11"/>
      <c r="KYJ27" s="47"/>
      <c r="KYO27" s="47"/>
      <c r="KYQ27" s="11"/>
      <c r="LBX27" s="47"/>
      <c r="LCC27" s="47"/>
      <c r="LCE27" s="11"/>
      <c r="LFL27" s="47"/>
      <c r="LFQ27" s="47"/>
      <c r="LFS27" s="11"/>
      <c r="LIZ27" s="47"/>
      <c r="LJE27" s="47"/>
      <c r="LJG27" s="11"/>
      <c r="LMN27" s="47"/>
      <c r="LMS27" s="47"/>
      <c r="LMU27" s="11"/>
      <c r="LQB27" s="47"/>
      <c r="LQG27" s="47"/>
      <c r="LQI27" s="11"/>
      <c r="LTP27" s="47"/>
      <c r="LTU27" s="47"/>
      <c r="LTW27" s="11"/>
      <c r="LXD27" s="47"/>
      <c r="LXI27" s="47"/>
      <c r="LXK27" s="11"/>
      <c r="MAR27" s="47"/>
      <c r="MAW27" s="47"/>
      <c r="MAY27" s="11"/>
      <c r="MEF27" s="47"/>
      <c r="MEK27" s="47"/>
      <c r="MEM27" s="11"/>
      <c r="MHT27" s="47"/>
      <c r="MHY27" s="47"/>
      <c r="MIA27" s="11"/>
      <c r="MLH27" s="47"/>
      <c r="MLM27" s="47"/>
      <c r="MLO27" s="11"/>
      <c r="MOV27" s="47"/>
      <c r="MPA27" s="47"/>
      <c r="MPC27" s="11"/>
      <c r="MSJ27" s="47"/>
      <c r="MSO27" s="47"/>
      <c r="MSQ27" s="11"/>
      <c r="MVX27" s="47"/>
      <c r="MWC27" s="47"/>
      <c r="MWE27" s="11"/>
      <c r="MZL27" s="47"/>
      <c r="MZQ27" s="47"/>
      <c r="MZS27" s="11"/>
      <c r="NCZ27" s="47"/>
      <c r="NDE27" s="47"/>
      <c r="NDG27" s="11"/>
      <c r="NGN27" s="47"/>
      <c r="NGS27" s="47"/>
      <c r="NGU27" s="11"/>
      <c r="NKB27" s="47"/>
      <c r="NKG27" s="47"/>
      <c r="NKI27" s="11"/>
      <c r="NNP27" s="47"/>
      <c r="NNU27" s="47"/>
      <c r="NNW27" s="11"/>
      <c r="NRD27" s="47"/>
      <c r="NRI27" s="47"/>
      <c r="NRK27" s="11"/>
      <c r="NUR27" s="47"/>
      <c r="NUW27" s="47"/>
      <c r="NUY27" s="11"/>
      <c r="NYF27" s="47"/>
      <c r="NYK27" s="47"/>
      <c r="NYM27" s="11"/>
      <c r="OBT27" s="47"/>
      <c r="OBY27" s="47"/>
      <c r="OCA27" s="11"/>
      <c r="OFH27" s="47"/>
      <c r="OFM27" s="47"/>
      <c r="OFO27" s="11"/>
      <c r="OIV27" s="47"/>
      <c r="OJA27" s="47"/>
      <c r="OJC27" s="11"/>
      <c r="OMJ27" s="47"/>
      <c r="OMO27" s="47"/>
      <c r="OMQ27" s="11"/>
      <c r="OPX27" s="47"/>
      <c r="OQC27" s="47"/>
      <c r="OQE27" s="11"/>
      <c r="OTL27" s="47"/>
      <c r="OTQ27" s="47"/>
      <c r="OTS27" s="11"/>
      <c r="OWZ27" s="47"/>
      <c r="OXE27" s="47"/>
      <c r="OXG27" s="11"/>
      <c r="PAN27" s="47"/>
      <c r="PAS27" s="47"/>
      <c r="PAU27" s="11"/>
      <c r="PEB27" s="47"/>
      <c r="PEG27" s="47"/>
      <c r="PEI27" s="11"/>
      <c r="PHP27" s="47"/>
      <c r="PHU27" s="47"/>
      <c r="PHW27" s="11"/>
      <c r="PLD27" s="47"/>
      <c r="PLI27" s="47"/>
      <c r="PLK27" s="11"/>
      <c r="POR27" s="47"/>
      <c r="POW27" s="47"/>
      <c r="POY27" s="11"/>
      <c r="PSF27" s="47"/>
      <c r="PSK27" s="47"/>
      <c r="PSM27" s="11"/>
      <c r="PVT27" s="47"/>
      <c r="PVY27" s="47"/>
      <c r="PWA27" s="11"/>
      <c r="PZH27" s="47"/>
      <c r="PZM27" s="47"/>
      <c r="PZO27" s="11"/>
      <c r="QCV27" s="47"/>
      <c r="QDA27" s="47"/>
      <c r="QDC27" s="11"/>
      <c r="QGJ27" s="47"/>
      <c r="QGO27" s="47"/>
      <c r="QGQ27" s="11"/>
      <c r="QJX27" s="47"/>
      <c r="QKC27" s="47"/>
      <c r="QKE27" s="11"/>
      <c r="QNL27" s="47"/>
      <c r="QNQ27" s="47"/>
      <c r="QNS27" s="11"/>
      <c r="QQZ27" s="47"/>
      <c r="QRE27" s="47"/>
      <c r="QRG27" s="11"/>
      <c r="QUN27" s="47"/>
      <c r="QUS27" s="47"/>
      <c r="QUU27" s="11"/>
      <c r="QYB27" s="47"/>
      <c r="QYG27" s="47"/>
      <c r="QYI27" s="11"/>
      <c r="RBP27" s="47"/>
      <c r="RBU27" s="47"/>
      <c r="RBW27" s="11"/>
      <c r="RFD27" s="47"/>
      <c r="RFI27" s="47"/>
      <c r="RFK27" s="11"/>
      <c r="RIR27" s="47"/>
      <c r="RIW27" s="47"/>
      <c r="RIY27" s="11"/>
      <c r="RMF27" s="47"/>
      <c r="RMK27" s="47"/>
      <c r="RMM27" s="11"/>
      <c r="RPT27" s="47"/>
      <c r="RPY27" s="47"/>
      <c r="RQA27" s="11"/>
      <c r="RTH27" s="47"/>
      <c r="RTM27" s="47"/>
      <c r="RTO27" s="11"/>
      <c r="RWV27" s="47"/>
      <c r="RXA27" s="47"/>
      <c r="RXC27" s="11"/>
      <c r="SAJ27" s="47"/>
      <c r="SAO27" s="47"/>
      <c r="SAQ27" s="11"/>
      <c r="SDX27" s="47"/>
      <c r="SEC27" s="47"/>
      <c r="SEE27" s="11"/>
      <c r="SHL27" s="47"/>
      <c r="SHQ27" s="47"/>
      <c r="SHS27" s="11"/>
      <c r="SKZ27" s="47"/>
      <c r="SLE27" s="47"/>
      <c r="SLG27" s="11"/>
      <c r="SON27" s="47"/>
      <c r="SOS27" s="47"/>
      <c r="SOU27" s="11"/>
      <c r="SSB27" s="47"/>
      <c r="SSG27" s="47"/>
      <c r="SSI27" s="11"/>
      <c r="SVP27" s="47"/>
      <c r="SVU27" s="47"/>
      <c r="SVW27" s="11"/>
      <c r="SZD27" s="47"/>
      <c r="SZI27" s="47"/>
      <c r="SZK27" s="11"/>
      <c r="TCR27" s="47"/>
      <c r="TCW27" s="47"/>
      <c r="TCY27" s="11"/>
      <c r="TGF27" s="47"/>
      <c r="TGK27" s="47"/>
      <c r="TGM27" s="11"/>
      <c r="TJT27" s="47"/>
      <c r="TJY27" s="47"/>
      <c r="TKA27" s="11"/>
      <c r="TNH27" s="47"/>
      <c r="TNM27" s="47"/>
      <c r="TNO27" s="11"/>
      <c r="TQV27" s="47"/>
      <c r="TRA27" s="47"/>
      <c r="TRC27" s="11"/>
      <c r="TUJ27" s="47"/>
      <c r="TUO27" s="47"/>
      <c r="TUQ27" s="11"/>
      <c r="TXX27" s="47"/>
      <c r="TYC27" s="47"/>
      <c r="TYE27" s="11"/>
      <c r="UBL27" s="47"/>
      <c r="UBQ27" s="47"/>
      <c r="UBS27" s="11"/>
      <c r="UEZ27" s="47"/>
      <c r="UFE27" s="47"/>
      <c r="UFG27" s="11"/>
      <c r="UIN27" s="47"/>
      <c r="UIS27" s="47"/>
      <c r="UIU27" s="11"/>
      <c r="UMB27" s="47"/>
      <c r="UMG27" s="47"/>
      <c r="UMI27" s="11"/>
      <c r="UPP27" s="47"/>
      <c r="UPU27" s="47"/>
      <c r="UPW27" s="11"/>
      <c r="UTD27" s="47"/>
      <c r="UTI27" s="47"/>
      <c r="UTK27" s="11"/>
      <c r="UWR27" s="47"/>
      <c r="UWW27" s="47"/>
      <c r="UWY27" s="11"/>
      <c r="VAF27" s="47"/>
      <c r="VAK27" s="47"/>
      <c r="VAM27" s="11"/>
      <c r="VDT27" s="47"/>
      <c r="VDY27" s="47"/>
      <c r="VEA27" s="11"/>
      <c r="VHH27" s="47"/>
      <c r="VHM27" s="47"/>
      <c r="VHO27" s="11"/>
      <c r="VKV27" s="47"/>
      <c r="VLA27" s="47"/>
      <c r="VLC27" s="11"/>
      <c r="VOJ27" s="47"/>
      <c r="VOO27" s="47"/>
      <c r="VOQ27" s="11"/>
      <c r="VRX27" s="47"/>
      <c r="VSC27" s="47"/>
      <c r="VSE27" s="11"/>
      <c r="VVL27" s="47"/>
      <c r="VVQ27" s="47"/>
      <c r="VVS27" s="11"/>
      <c r="VYZ27" s="47"/>
      <c r="VZE27" s="47"/>
      <c r="VZG27" s="11"/>
      <c r="WCN27" s="47"/>
      <c r="WCS27" s="47"/>
      <c r="WCU27" s="11"/>
      <c r="WGB27" s="47"/>
      <c r="WGG27" s="47"/>
      <c r="WGI27" s="11"/>
      <c r="WJP27" s="47"/>
      <c r="WJU27" s="47"/>
      <c r="WJW27" s="11"/>
      <c r="WND27" s="47"/>
      <c r="WNI27" s="47"/>
      <c r="WNK27" s="11"/>
      <c r="WQR27" s="47"/>
      <c r="WQW27" s="47"/>
      <c r="WQY27" s="11"/>
      <c r="WUF27" s="47"/>
      <c r="WUK27" s="47"/>
      <c r="WUM27" s="11"/>
      <c r="WXT27" s="47"/>
      <c r="WXY27" s="47"/>
      <c r="WYA27" s="11"/>
      <c r="XBH27" s="47"/>
      <c r="XBM27" s="47"/>
      <c r="XBO27" s="11"/>
      <c r="XEV27" s="47"/>
      <c r="XFA27" s="47"/>
      <c r="XFC27" s="11"/>
    </row>
    <row r="28" spans="1:1019 1104:2031 2116:3043 3128:4055 4140:5067 5152:6079 6164:7091 7176:8188 8193:9207 9292:10219 10304:11231 11316:12243 12328:13255 13340:14267 14352:15279 15364:16383" s="10" customFormat="1" ht="14.65" customHeight="1">
      <c r="C28" s="17" t="s">
        <v>226</v>
      </c>
      <c r="E28" s="47"/>
      <c r="G28" s="11" t="s">
        <v>123</v>
      </c>
      <c r="L28" s="151">
        <f>IF(L6 &lt; 2022, 0, K28 + 0.25)</f>
        <v>0.25</v>
      </c>
      <c r="M28" s="151">
        <f t="shared" ref="M28:BX28" si="4">IF(M6 &lt; 2022, 0, L28 + 0.25)</f>
        <v>0.5</v>
      </c>
      <c r="N28" s="151">
        <f t="shared" si="4"/>
        <v>0.75</v>
      </c>
      <c r="O28" s="151">
        <f t="shared" si="4"/>
        <v>1</v>
      </c>
      <c r="P28" s="151">
        <f t="shared" si="4"/>
        <v>1.25</v>
      </c>
      <c r="Q28" s="151">
        <f t="shared" si="4"/>
        <v>1.5</v>
      </c>
      <c r="R28" s="151">
        <f t="shared" si="4"/>
        <v>1.75</v>
      </c>
      <c r="S28" s="151">
        <f t="shared" si="4"/>
        <v>2</v>
      </c>
      <c r="T28" s="151">
        <f t="shared" si="4"/>
        <v>2.25</v>
      </c>
      <c r="U28" s="151">
        <f t="shared" si="4"/>
        <v>2.5</v>
      </c>
      <c r="V28" s="151">
        <f t="shared" si="4"/>
        <v>2.75</v>
      </c>
      <c r="W28" s="151">
        <f t="shared" si="4"/>
        <v>3</v>
      </c>
      <c r="X28" s="151">
        <f t="shared" si="4"/>
        <v>3.25</v>
      </c>
      <c r="Y28" s="151">
        <f t="shared" si="4"/>
        <v>3.5</v>
      </c>
      <c r="Z28" s="151">
        <f t="shared" si="4"/>
        <v>3.75</v>
      </c>
      <c r="AA28" s="151">
        <f t="shared" si="4"/>
        <v>4</v>
      </c>
      <c r="AB28" s="151">
        <f t="shared" si="4"/>
        <v>4.25</v>
      </c>
      <c r="AC28" s="151">
        <f t="shared" si="4"/>
        <v>4.5</v>
      </c>
      <c r="AD28" s="151">
        <f t="shared" si="4"/>
        <v>4.75</v>
      </c>
      <c r="AE28" s="151">
        <f t="shared" si="4"/>
        <v>5</v>
      </c>
      <c r="AF28" s="151">
        <f t="shared" si="4"/>
        <v>5.25</v>
      </c>
      <c r="AG28" s="151">
        <f t="shared" si="4"/>
        <v>5.5</v>
      </c>
      <c r="AH28" s="151">
        <f t="shared" si="4"/>
        <v>5.75</v>
      </c>
      <c r="AI28" s="151">
        <f t="shared" si="4"/>
        <v>6</v>
      </c>
      <c r="AJ28" s="151">
        <f t="shared" si="4"/>
        <v>6.25</v>
      </c>
      <c r="AK28" s="151">
        <f t="shared" si="4"/>
        <v>6.5</v>
      </c>
      <c r="AL28" s="151">
        <f t="shared" si="4"/>
        <v>6.75</v>
      </c>
      <c r="AM28" s="151">
        <f t="shared" si="4"/>
        <v>7</v>
      </c>
      <c r="AN28" s="151">
        <f t="shared" si="4"/>
        <v>7.25</v>
      </c>
      <c r="AO28" s="151">
        <f t="shared" si="4"/>
        <v>7.5</v>
      </c>
      <c r="AP28" s="151">
        <f t="shared" si="4"/>
        <v>7.75</v>
      </c>
      <c r="AQ28" s="151">
        <f t="shared" si="4"/>
        <v>8</v>
      </c>
      <c r="AR28" s="151">
        <f t="shared" si="4"/>
        <v>8.25</v>
      </c>
      <c r="AS28" s="151">
        <f t="shared" si="4"/>
        <v>8.5</v>
      </c>
      <c r="AT28" s="151">
        <f t="shared" si="4"/>
        <v>8.75</v>
      </c>
      <c r="AU28" s="151">
        <f t="shared" si="4"/>
        <v>9</v>
      </c>
      <c r="AV28" s="151">
        <f t="shared" si="4"/>
        <v>9.25</v>
      </c>
      <c r="AW28" s="151">
        <f t="shared" si="4"/>
        <v>9.5</v>
      </c>
      <c r="AX28" s="151">
        <f t="shared" si="4"/>
        <v>9.75</v>
      </c>
      <c r="AY28" s="151">
        <f t="shared" si="4"/>
        <v>10</v>
      </c>
      <c r="AZ28" s="151">
        <f t="shared" si="4"/>
        <v>10.25</v>
      </c>
      <c r="BA28" s="151">
        <f t="shared" si="4"/>
        <v>10.5</v>
      </c>
      <c r="BB28" s="151">
        <f t="shared" si="4"/>
        <v>10.75</v>
      </c>
      <c r="BC28" s="151">
        <f t="shared" si="4"/>
        <v>11</v>
      </c>
      <c r="BD28" s="151">
        <f t="shared" si="4"/>
        <v>11.25</v>
      </c>
      <c r="BE28" s="151">
        <f t="shared" si="4"/>
        <v>11.5</v>
      </c>
      <c r="BF28" s="151">
        <f t="shared" si="4"/>
        <v>11.75</v>
      </c>
      <c r="BG28" s="151">
        <f t="shared" si="4"/>
        <v>12</v>
      </c>
      <c r="BH28" s="151">
        <f t="shared" si="4"/>
        <v>12.25</v>
      </c>
      <c r="BI28" s="151">
        <f t="shared" si="4"/>
        <v>12.5</v>
      </c>
      <c r="BJ28" s="151">
        <f t="shared" si="4"/>
        <v>12.75</v>
      </c>
      <c r="BK28" s="151">
        <f t="shared" si="4"/>
        <v>13</v>
      </c>
      <c r="BL28" s="151">
        <f t="shared" si="4"/>
        <v>13.25</v>
      </c>
      <c r="BM28" s="151">
        <f t="shared" si="4"/>
        <v>13.5</v>
      </c>
      <c r="BN28" s="151">
        <f t="shared" si="4"/>
        <v>13.75</v>
      </c>
      <c r="BO28" s="151">
        <f t="shared" si="4"/>
        <v>14</v>
      </c>
      <c r="BP28" s="151">
        <f t="shared" si="4"/>
        <v>14.25</v>
      </c>
      <c r="BQ28" s="151">
        <f t="shared" si="4"/>
        <v>14.5</v>
      </c>
      <c r="BR28" s="151">
        <f t="shared" si="4"/>
        <v>14.75</v>
      </c>
      <c r="BS28" s="151">
        <f t="shared" si="4"/>
        <v>15</v>
      </c>
      <c r="BT28" s="151">
        <f t="shared" si="4"/>
        <v>15.25</v>
      </c>
      <c r="BU28" s="151">
        <f t="shared" si="4"/>
        <v>15.5</v>
      </c>
      <c r="BV28" s="151">
        <f t="shared" si="4"/>
        <v>15.75</v>
      </c>
      <c r="BW28" s="151">
        <f t="shared" si="4"/>
        <v>16</v>
      </c>
      <c r="BX28" s="151">
        <f t="shared" si="4"/>
        <v>16.25</v>
      </c>
      <c r="BY28" s="151">
        <f t="shared" ref="BY28:CM28" si="5">IF(BY6 &lt; 2022, 0, BX28 + 0.25)</f>
        <v>16.5</v>
      </c>
      <c r="BZ28" s="151">
        <f t="shared" si="5"/>
        <v>16.75</v>
      </c>
      <c r="CA28" s="151">
        <f t="shared" si="5"/>
        <v>17</v>
      </c>
      <c r="CB28" s="151">
        <f t="shared" si="5"/>
        <v>17.25</v>
      </c>
      <c r="CC28" s="151">
        <f t="shared" si="5"/>
        <v>17.5</v>
      </c>
      <c r="CD28" s="151">
        <f t="shared" si="5"/>
        <v>17.75</v>
      </c>
      <c r="CE28" s="151">
        <f t="shared" si="5"/>
        <v>18</v>
      </c>
      <c r="CF28" s="151">
        <f t="shared" si="5"/>
        <v>18.25</v>
      </c>
      <c r="CG28" s="151">
        <f t="shared" si="5"/>
        <v>18.5</v>
      </c>
      <c r="CH28" s="151">
        <f t="shared" si="5"/>
        <v>18.75</v>
      </c>
      <c r="CI28" s="151">
        <f t="shared" si="5"/>
        <v>19</v>
      </c>
      <c r="CJ28" s="151">
        <f t="shared" si="5"/>
        <v>19.25</v>
      </c>
      <c r="CK28" s="151">
        <f t="shared" si="5"/>
        <v>19.5</v>
      </c>
      <c r="CL28" s="151">
        <f t="shared" si="5"/>
        <v>19.75</v>
      </c>
      <c r="CM28" s="151">
        <f t="shared" si="5"/>
        <v>20</v>
      </c>
      <c r="CN28" s="151">
        <f>IF(CN6 &lt; 2022, 0, CM28 + 0.25)</f>
        <v>20.25</v>
      </c>
      <c r="CO28" s="151">
        <f>IF(CO6 &lt; 2022, 0, CN28 + 0.25)</f>
        <v>20.5</v>
      </c>
      <c r="CS28" s="47"/>
      <c r="CU28" s="11"/>
      <c r="GB28" s="47"/>
      <c r="GG28" s="47"/>
      <c r="GI28" s="11"/>
      <c r="JP28" s="47"/>
      <c r="JU28" s="47"/>
      <c r="JW28" s="11"/>
      <c r="ND28" s="47"/>
      <c r="NI28" s="47"/>
      <c r="NK28" s="11"/>
      <c r="QR28" s="47"/>
      <c r="QW28" s="47"/>
      <c r="QY28" s="11"/>
      <c r="UF28" s="47"/>
      <c r="UK28" s="47"/>
      <c r="UM28" s="11"/>
      <c r="XT28" s="47"/>
      <c r="XY28" s="47"/>
      <c r="YA28" s="11"/>
      <c r="ABH28" s="47"/>
      <c r="ABM28" s="47"/>
      <c r="ABO28" s="11"/>
      <c r="AEV28" s="47"/>
      <c r="AFA28" s="47"/>
      <c r="AFC28" s="11"/>
      <c r="AIJ28" s="47"/>
      <c r="AIO28" s="47"/>
      <c r="AIQ28" s="11"/>
      <c r="ALX28" s="47"/>
      <c r="AMC28" s="47"/>
      <c r="AME28" s="11"/>
      <c r="APL28" s="47"/>
      <c r="APQ28" s="47"/>
      <c r="APS28" s="11"/>
      <c r="ASZ28" s="47"/>
      <c r="ATE28" s="47"/>
      <c r="ATG28" s="11"/>
      <c r="AWN28" s="47"/>
      <c r="AWS28" s="47"/>
      <c r="AWU28" s="11"/>
      <c r="BAB28" s="47"/>
      <c r="BAG28" s="47"/>
      <c r="BAI28" s="11"/>
      <c r="BDP28" s="47"/>
      <c r="BDU28" s="47"/>
      <c r="BDW28" s="11"/>
      <c r="BHD28" s="47"/>
      <c r="BHI28" s="47"/>
      <c r="BHK28" s="11"/>
      <c r="BKR28" s="47"/>
      <c r="BKW28" s="47"/>
      <c r="BKY28" s="11"/>
      <c r="BOF28" s="47"/>
      <c r="BOK28" s="47"/>
      <c r="BOM28" s="11"/>
      <c r="BRT28" s="47"/>
      <c r="BRY28" s="47"/>
      <c r="BSA28" s="11"/>
      <c r="BVH28" s="47"/>
      <c r="BVM28" s="47"/>
      <c r="BVO28" s="11"/>
      <c r="BYV28" s="47"/>
      <c r="BZA28" s="47"/>
      <c r="BZC28" s="11"/>
      <c r="CCJ28" s="47"/>
      <c r="CCO28" s="47"/>
      <c r="CCQ28" s="11"/>
      <c r="CFX28" s="47"/>
      <c r="CGC28" s="47"/>
      <c r="CGE28" s="11"/>
      <c r="CJL28" s="47"/>
      <c r="CJQ28" s="47"/>
      <c r="CJS28" s="11"/>
      <c r="CMZ28" s="47"/>
      <c r="CNE28" s="47"/>
      <c r="CNG28" s="11"/>
      <c r="CQN28" s="47"/>
      <c r="CQS28" s="47"/>
      <c r="CQU28" s="11"/>
      <c r="CUB28" s="47"/>
      <c r="CUG28" s="47"/>
      <c r="CUI28" s="11"/>
      <c r="CXP28" s="47"/>
      <c r="CXU28" s="47"/>
      <c r="CXW28" s="11"/>
      <c r="DBD28" s="47"/>
      <c r="DBI28" s="47"/>
      <c r="DBK28" s="11"/>
      <c r="DER28" s="47"/>
      <c r="DEW28" s="47"/>
      <c r="DEY28" s="11"/>
      <c r="DIF28" s="47"/>
      <c r="DIK28" s="47"/>
      <c r="DIM28" s="11"/>
      <c r="DLT28" s="47"/>
      <c r="DLY28" s="47"/>
      <c r="DMA28" s="11"/>
      <c r="DPH28" s="47"/>
      <c r="DPM28" s="47"/>
      <c r="DPO28" s="11"/>
      <c r="DSV28" s="47"/>
      <c r="DTA28" s="47"/>
      <c r="DTC28" s="11"/>
      <c r="DWJ28" s="47"/>
      <c r="DWO28" s="47"/>
      <c r="DWQ28" s="11"/>
      <c r="DZX28" s="47"/>
      <c r="EAC28" s="47"/>
      <c r="EAE28" s="11"/>
      <c r="EDL28" s="47"/>
      <c r="EDQ28" s="47"/>
      <c r="EDS28" s="11"/>
      <c r="EGZ28" s="47"/>
      <c r="EHE28" s="47"/>
      <c r="EHG28" s="11"/>
      <c r="EKN28" s="47"/>
      <c r="EKS28" s="47"/>
      <c r="EKU28" s="11"/>
      <c r="EOB28" s="47"/>
      <c r="EOG28" s="47"/>
      <c r="EOI28" s="11"/>
      <c r="ERP28" s="47"/>
      <c r="ERU28" s="47"/>
      <c r="ERW28" s="11"/>
      <c r="EVD28" s="47"/>
      <c r="EVI28" s="47"/>
      <c r="EVK28" s="11"/>
      <c r="EYR28" s="47"/>
      <c r="EYW28" s="47"/>
      <c r="EYY28" s="11"/>
      <c r="FCF28" s="47"/>
      <c r="FCK28" s="47"/>
      <c r="FCM28" s="11"/>
      <c r="FFT28" s="47"/>
      <c r="FFY28" s="47"/>
      <c r="FGA28" s="11"/>
      <c r="FJH28" s="47"/>
      <c r="FJM28" s="47"/>
      <c r="FJO28" s="11"/>
      <c r="FMV28" s="47"/>
      <c r="FNA28" s="47"/>
      <c r="FNC28" s="11"/>
      <c r="FQJ28" s="47"/>
      <c r="FQO28" s="47"/>
      <c r="FQQ28" s="11"/>
      <c r="FTX28" s="47"/>
      <c r="FUC28" s="47"/>
      <c r="FUE28" s="11"/>
      <c r="FXL28" s="47"/>
      <c r="FXQ28" s="47"/>
      <c r="FXS28" s="11"/>
      <c r="GAZ28" s="47"/>
      <c r="GBE28" s="47"/>
      <c r="GBG28" s="11"/>
      <c r="GEN28" s="47"/>
      <c r="GES28" s="47"/>
      <c r="GEU28" s="11"/>
      <c r="GIB28" s="47"/>
      <c r="GIG28" s="47"/>
      <c r="GII28" s="11"/>
      <c r="GLP28" s="47"/>
      <c r="GLU28" s="47"/>
      <c r="GLW28" s="11"/>
      <c r="GPD28" s="47"/>
      <c r="GPI28" s="47"/>
      <c r="GPK28" s="11"/>
      <c r="GSR28" s="47"/>
      <c r="GSW28" s="47"/>
      <c r="GSY28" s="11"/>
      <c r="GWF28" s="47"/>
      <c r="GWK28" s="47"/>
      <c r="GWM28" s="11"/>
      <c r="GZT28" s="47"/>
      <c r="GZY28" s="47"/>
      <c r="HAA28" s="11"/>
      <c r="HDH28" s="47"/>
      <c r="HDM28" s="47"/>
      <c r="HDO28" s="11"/>
      <c r="HGV28" s="47"/>
      <c r="HHA28" s="47"/>
      <c r="HHC28" s="11"/>
      <c r="HKJ28" s="47"/>
      <c r="HKO28" s="47"/>
      <c r="HKQ28" s="11"/>
      <c r="HNX28" s="47"/>
      <c r="HOC28" s="47"/>
      <c r="HOE28" s="11"/>
      <c r="HRL28" s="47"/>
      <c r="HRQ28" s="47"/>
      <c r="HRS28" s="11"/>
      <c r="HUZ28" s="47"/>
      <c r="HVE28" s="47"/>
      <c r="HVG28" s="11"/>
      <c r="HYN28" s="47"/>
      <c r="HYS28" s="47"/>
      <c r="HYU28" s="11"/>
      <c r="ICB28" s="47"/>
      <c r="ICG28" s="47"/>
      <c r="ICI28" s="11"/>
      <c r="IFP28" s="47"/>
      <c r="IFU28" s="47"/>
      <c r="IFW28" s="11"/>
      <c r="IJD28" s="47"/>
      <c r="IJI28" s="47"/>
      <c r="IJK28" s="11"/>
      <c r="IMR28" s="47"/>
      <c r="IMW28" s="47"/>
      <c r="IMY28" s="11"/>
      <c r="IQF28" s="47"/>
      <c r="IQK28" s="47"/>
      <c r="IQM28" s="11"/>
      <c r="ITT28" s="47"/>
      <c r="ITY28" s="47"/>
      <c r="IUA28" s="11"/>
      <c r="IXH28" s="47"/>
      <c r="IXM28" s="47"/>
      <c r="IXO28" s="11"/>
      <c r="JAV28" s="47"/>
      <c r="JBA28" s="47"/>
      <c r="JBC28" s="11"/>
      <c r="JEJ28" s="47"/>
      <c r="JEO28" s="47"/>
      <c r="JEQ28" s="11"/>
      <c r="JHX28" s="47"/>
      <c r="JIC28" s="47"/>
      <c r="JIE28" s="11"/>
      <c r="JLL28" s="47"/>
      <c r="JLQ28" s="47"/>
      <c r="JLS28" s="11"/>
      <c r="JOZ28" s="47"/>
      <c r="JPE28" s="47"/>
      <c r="JPG28" s="11"/>
      <c r="JSN28" s="47"/>
      <c r="JSS28" s="47"/>
      <c r="JSU28" s="11"/>
      <c r="JWB28" s="47"/>
      <c r="JWG28" s="47"/>
      <c r="JWI28" s="11"/>
      <c r="JZP28" s="47"/>
      <c r="JZU28" s="47"/>
      <c r="JZW28" s="11"/>
      <c r="KDD28" s="47"/>
      <c r="KDI28" s="47"/>
      <c r="KDK28" s="11"/>
      <c r="KGR28" s="47"/>
      <c r="KGW28" s="47"/>
      <c r="KGY28" s="11"/>
      <c r="KKF28" s="47"/>
      <c r="KKK28" s="47"/>
      <c r="KKM28" s="11"/>
      <c r="KNT28" s="47"/>
      <c r="KNY28" s="47"/>
      <c r="KOA28" s="11"/>
      <c r="KRH28" s="47"/>
      <c r="KRM28" s="47"/>
      <c r="KRO28" s="11"/>
      <c r="KUV28" s="47"/>
      <c r="KVA28" s="47"/>
      <c r="KVC28" s="11"/>
      <c r="KYJ28" s="47"/>
      <c r="KYO28" s="47"/>
      <c r="KYQ28" s="11"/>
      <c r="LBX28" s="47"/>
      <c r="LCC28" s="47"/>
      <c r="LCE28" s="11"/>
      <c r="LFL28" s="47"/>
      <c r="LFQ28" s="47"/>
      <c r="LFS28" s="11"/>
      <c r="LIZ28" s="47"/>
      <c r="LJE28" s="47"/>
      <c r="LJG28" s="11"/>
      <c r="LMN28" s="47"/>
      <c r="LMS28" s="47"/>
      <c r="LMU28" s="11"/>
      <c r="LQB28" s="47"/>
      <c r="LQG28" s="47"/>
      <c r="LQI28" s="11"/>
      <c r="LTP28" s="47"/>
      <c r="LTU28" s="47"/>
      <c r="LTW28" s="11"/>
      <c r="LXD28" s="47"/>
      <c r="LXI28" s="47"/>
      <c r="LXK28" s="11"/>
      <c r="MAR28" s="47"/>
      <c r="MAW28" s="47"/>
      <c r="MAY28" s="11"/>
      <c r="MEF28" s="47"/>
      <c r="MEK28" s="47"/>
      <c r="MEM28" s="11"/>
      <c r="MHT28" s="47"/>
      <c r="MHY28" s="47"/>
      <c r="MIA28" s="11"/>
      <c r="MLH28" s="47"/>
      <c r="MLM28" s="47"/>
      <c r="MLO28" s="11"/>
      <c r="MOV28" s="47"/>
      <c r="MPA28" s="47"/>
      <c r="MPC28" s="11"/>
      <c r="MSJ28" s="47"/>
      <c r="MSO28" s="47"/>
      <c r="MSQ28" s="11"/>
      <c r="MVX28" s="47"/>
      <c r="MWC28" s="47"/>
      <c r="MWE28" s="11"/>
      <c r="MZL28" s="47"/>
      <c r="MZQ28" s="47"/>
      <c r="MZS28" s="11"/>
      <c r="NCZ28" s="47"/>
      <c r="NDE28" s="47"/>
      <c r="NDG28" s="11"/>
      <c r="NGN28" s="47"/>
      <c r="NGS28" s="47"/>
      <c r="NGU28" s="11"/>
      <c r="NKB28" s="47"/>
      <c r="NKG28" s="47"/>
      <c r="NKI28" s="11"/>
      <c r="NNP28" s="47"/>
      <c r="NNU28" s="47"/>
      <c r="NNW28" s="11"/>
      <c r="NRD28" s="47"/>
      <c r="NRI28" s="47"/>
      <c r="NRK28" s="11"/>
      <c r="NUR28" s="47"/>
      <c r="NUW28" s="47"/>
      <c r="NUY28" s="11"/>
      <c r="NYF28" s="47"/>
      <c r="NYK28" s="47"/>
      <c r="NYM28" s="11"/>
      <c r="OBT28" s="47"/>
      <c r="OBY28" s="47"/>
      <c r="OCA28" s="11"/>
      <c r="OFH28" s="47"/>
      <c r="OFM28" s="47"/>
      <c r="OFO28" s="11"/>
      <c r="OIV28" s="47"/>
      <c r="OJA28" s="47"/>
      <c r="OJC28" s="11"/>
      <c r="OMJ28" s="47"/>
      <c r="OMO28" s="47"/>
      <c r="OMQ28" s="11"/>
      <c r="OPX28" s="47"/>
      <c r="OQC28" s="47"/>
      <c r="OQE28" s="11"/>
      <c r="OTL28" s="47"/>
      <c r="OTQ28" s="47"/>
      <c r="OTS28" s="11"/>
      <c r="OWZ28" s="47"/>
      <c r="OXE28" s="47"/>
      <c r="OXG28" s="11"/>
      <c r="PAN28" s="47"/>
      <c r="PAS28" s="47"/>
      <c r="PAU28" s="11"/>
      <c r="PEB28" s="47"/>
      <c r="PEG28" s="47"/>
      <c r="PEI28" s="11"/>
      <c r="PHP28" s="47"/>
      <c r="PHU28" s="47"/>
      <c r="PHW28" s="11"/>
      <c r="PLD28" s="47"/>
      <c r="PLI28" s="47"/>
      <c r="PLK28" s="11"/>
      <c r="POR28" s="47"/>
      <c r="POW28" s="47"/>
      <c r="POY28" s="11"/>
      <c r="PSF28" s="47"/>
      <c r="PSK28" s="47"/>
      <c r="PSM28" s="11"/>
      <c r="PVT28" s="47"/>
      <c r="PVY28" s="47"/>
      <c r="PWA28" s="11"/>
      <c r="PZH28" s="47"/>
      <c r="PZM28" s="47"/>
      <c r="PZO28" s="11"/>
      <c r="QCV28" s="47"/>
      <c r="QDA28" s="47"/>
      <c r="QDC28" s="11"/>
      <c r="QGJ28" s="47"/>
      <c r="QGO28" s="47"/>
      <c r="QGQ28" s="11"/>
      <c r="QJX28" s="47"/>
      <c r="QKC28" s="47"/>
      <c r="QKE28" s="11"/>
      <c r="QNL28" s="47"/>
      <c r="QNQ28" s="47"/>
      <c r="QNS28" s="11"/>
      <c r="QQZ28" s="47"/>
      <c r="QRE28" s="47"/>
      <c r="QRG28" s="11"/>
      <c r="QUN28" s="47"/>
      <c r="QUS28" s="47"/>
      <c r="QUU28" s="11"/>
      <c r="QYB28" s="47"/>
      <c r="QYG28" s="47"/>
      <c r="QYI28" s="11"/>
      <c r="RBP28" s="47"/>
      <c r="RBU28" s="47"/>
      <c r="RBW28" s="11"/>
      <c r="RFD28" s="47"/>
      <c r="RFI28" s="47"/>
      <c r="RFK28" s="11"/>
      <c r="RIR28" s="47"/>
      <c r="RIW28" s="47"/>
      <c r="RIY28" s="11"/>
      <c r="RMF28" s="47"/>
      <c r="RMK28" s="47"/>
      <c r="RMM28" s="11"/>
      <c r="RPT28" s="47"/>
      <c r="RPY28" s="47"/>
      <c r="RQA28" s="11"/>
      <c r="RTH28" s="47"/>
      <c r="RTM28" s="47"/>
      <c r="RTO28" s="11"/>
      <c r="RWV28" s="47"/>
      <c r="RXA28" s="47"/>
      <c r="RXC28" s="11"/>
      <c r="SAJ28" s="47"/>
      <c r="SAO28" s="47"/>
      <c r="SAQ28" s="11"/>
      <c r="SDX28" s="47"/>
      <c r="SEC28" s="47"/>
      <c r="SEE28" s="11"/>
      <c r="SHL28" s="47"/>
      <c r="SHQ28" s="47"/>
      <c r="SHS28" s="11"/>
      <c r="SKZ28" s="47"/>
      <c r="SLE28" s="47"/>
      <c r="SLG28" s="11"/>
      <c r="SON28" s="47"/>
      <c r="SOS28" s="47"/>
      <c r="SOU28" s="11"/>
      <c r="SSB28" s="47"/>
      <c r="SSG28" s="47"/>
      <c r="SSI28" s="11"/>
      <c r="SVP28" s="47"/>
      <c r="SVU28" s="47"/>
      <c r="SVW28" s="11"/>
      <c r="SZD28" s="47"/>
      <c r="SZI28" s="47"/>
      <c r="SZK28" s="11"/>
      <c r="TCR28" s="47"/>
      <c r="TCW28" s="47"/>
      <c r="TCY28" s="11"/>
      <c r="TGF28" s="47"/>
      <c r="TGK28" s="47"/>
      <c r="TGM28" s="11"/>
      <c r="TJT28" s="47"/>
      <c r="TJY28" s="47"/>
      <c r="TKA28" s="11"/>
      <c r="TNH28" s="47"/>
      <c r="TNM28" s="47"/>
      <c r="TNO28" s="11"/>
      <c r="TQV28" s="47"/>
      <c r="TRA28" s="47"/>
      <c r="TRC28" s="11"/>
      <c r="TUJ28" s="47"/>
      <c r="TUO28" s="47"/>
      <c r="TUQ28" s="11"/>
      <c r="TXX28" s="47"/>
      <c r="TYC28" s="47"/>
      <c r="TYE28" s="11"/>
      <c r="UBL28" s="47"/>
      <c r="UBQ28" s="47"/>
      <c r="UBS28" s="11"/>
      <c r="UEZ28" s="47"/>
      <c r="UFE28" s="47"/>
      <c r="UFG28" s="11"/>
      <c r="UIN28" s="47"/>
      <c r="UIS28" s="47"/>
      <c r="UIU28" s="11"/>
      <c r="UMB28" s="47"/>
      <c r="UMG28" s="47"/>
      <c r="UMI28" s="11"/>
      <c r="UPP28" s="47"/>
      <c r="UPU28" s="47"/>
      <c r="UPW28" s="11"/>
      <c r="UTD28" s="47"/>
      <c r="UTI28" s="47"/>
      <c r="UTK28" s="11"/>
      <c r="UWR28" s="47"/>
      <c r="UWW28" s="47"/>
      <c r="UWY28" s="11"/>
      <c r="VAF28" s="47"/>
      <c r="VAK28" s="47"/>
      <c r="VAM28" s="11"/>
      <c r="VDT28" s="47"/>
      <c r="VDY28" s="47"/>
      <c r="VEA28" s="11"/>
      <c r="VHH28" s="47"/>
      <c r="VHM28" s="47"/>
      <c r="VHO28" s="11"/>
      <c r="VKV28" s="47"/>
      <c r="VLA28" s="47"/>
      <c r="VLC28" s="11"/>
      <c r="VOJ28" s="47"/>
      <c r="VOO28" s="47"/>
      <c r="VOQ28" s="11"/>
      <c r="VRX28" s="47"/>
      <c r="VSC28" s="47"/>
      <c r="VSE28" s="11"/>
      <c r="VVL28" s="47"/>
      <c r="VVQ28" s="47"/>
      <c r="VVS28" s="11"/>
      <c r="VYZ28" s="47"/>
      <c r="VZE28" s="47"/>
      <c r="VZG28" s="11"/>
      <c r="WCN28" s="47"/>
      <c r="WCS28" s="47"/>
      <c r="WCU28" s="11"/>
      <c r="WGB28" s="47"/>
      <c r="WGG28" s="47"/>
      <c r="WGI28" s="11"/>
      <c r="WJP28" s="47"/>
      <c r="WJU28" s="47"/>
      <c r="WJW28" s="11"/>
      <c r="WND28" s="47"/>
      <c r="WNI28" s="47"/>
      <c r="WNK28" s="11"/>
      <c r="WQR28" s="47"/>
      <c r="WQW28" s="47"/>
      <c r="WQY28" s="11"/>
      <c r="WUF28" s="47"/>
      <c r="WUK28" s="47"/>
      <c r="WUM28" s="11"/>
      <c r="WXT28" s="47"/>
      <c r="WXY28" s="47"/>
      <c r="WYA28" s="11"/>
      <c r="XBH28" s="47"/>
      <c r="XBM28" s="47"/>
      <c r="XBO28" s="11"/>
      <c r="XEV28" s="47"/>
      <c r="XFA28" s="47"/>
      <c r="XFC28" s="11"/>
    </row>
    <row r="29" spans="1:1019 1104:2031 2116:3043 3128:4055 4140:5067 5152:6079 6164:7091 7176:8188 8193:9207 9292:10219 10304:11231 11316:12243 12328:13255 13340:14267 14352:15279 15364:16383" s="10" customFormat="1" ht="14.65" customHeight="1">
      <c r="C29" s="17" t="s">
        <v>985</v>
      </c>
      <c r="E29" s="47"/>
      <c r="G29" s="11" t="s">
        <v>983</v>
      </c>
      <c r="L29" s="43">
        <f xml:space="preserve"> $E$26</f>
        <v>0.14099999999999999</v>
      </c>
      <c r="M29" s="43">
        <f t="shared" ref="M29:BX29" si="6" xml:space="preserve"> $E$26</f>
        <v>0.14099999999999999</v>
      </c>
      <c r="N29" s="43">
        <f t="shared" si="6"/>
        <v>0.14099999999999999</v>
      </c>
      <c r="O29" s="43">
        <f t="shared" si="6"/>
        <v>0.14099999999999999</v>
      </c>
      <c r="P29" s="43">
        <f t="shared" si="6"/>
        <v>0.14099999999999999</v>
      </c>
      <c r="Q29" s="43">
        <f t="shared" si="6"/>
        <v>0.14099999999999999</v>
      </c>
      <c r="R29" s="43">
        <f t="shared" si="6"/>
        <v>0.14099999999999999</v>
      </c>
      <c r="S29" s="43">
        <f t="shared" si="6"/>
        <v>0.14099999999999999</v>
      </c>
      <c r="T29" s="43">
        <f t="shared" si="6"/>
        <v>0.14099999999999999</v>
      </c>
      <c r="U29" s="43">
        <f t="shared" si="6"/>
        <v>0.14099999999999999</v>
      </c>
      <c r="V29" s="43">
        <f t="shared" si="6"/>
        <v>0.14099999999999999</v>
      </c>
      <c r="W29" s="43">
        <f t="shared" si="6"/>
        <v>0.14099999999999999</v>
      </c>
      <c r="X29" s="43">
        <f t="shared" si="6"/>
        <v>0.14099999999999999</v>
      </c>
      <c r="Y29" s="43">
        <f t="shared" si="6"/>
        <v>0.14099999999999999</v>
      </c>
      <c r="Z29" s="43">
        <f t="shared" si="6"/>
        <v>0.14099999999999999</v>
      </c>
      <c r="AA29" s="43">
        <f t="shared" si="6"/>
        <v>0.14099999999999999</v>
      </c>
      <c r="AB29" s="43">
        <f t="shared" si="6"/>
        <v>0.14099999999999999</v>
      </c>
      <c r="AC29" s="43">
        <f t="shared" si="6"/>
        <v>0.14099999999999999</v>
      </c>
      <c r="AD29" s="43">
        <f t="shared" si="6"/>
        <v>0.14099999999999999</v>
      </c>
      <c r="AE29" s="43">
        <f t="shared" si="6"/>
        <v>0.14099999999999999</v>
      </c>
      <c r="AF29" s="43">
        <f t="shared" si="6"/>
        <v>0.14099999999999999</v>
      </c>
      <c r="AG29" s="43">
        <f t="shared" si="6"/>
        <v>0.14099999999999999</v>
      </c>
      <c r="AH29" s="43">
        <f t="shared" si="6"/>
        <v>0.14099999999999999</v>
      </c>
      <c r="AI29" s="43">
        <f t="shared" si="6"/>
        <v>0.14099999999999999</v>
      </c>
      <c r="AJ29" s="43">
        <f t="shared" si="6"/>
        <v>0.14099999999999999</v>
      </c>
      <c r="AK29" s="43">
        <f t="shared" si="6"/>
        <v>0.14099999999999999</v>
      </c>
      <c r="AL29" s="43">
        <f t="shared" si="6"/>
        <v>0.14099999999999999</v>
      </c>
      <c r="AM29" s="43">
        <f t="shared" si="6"/>
        <v>0.14099999999999999</v>
      </c>
      <c r="AN29" s="43">
        <f t="shared" si="6"/>
        <v>0.14099999999999999</v>
      </c>
      <c r="AO29" s="43">
        <f t="shared" si="6"/>
        <v>0.14099999999999999</v>
      </c>
      <c r="AP29" s="43">
        <f t="shared" si="6"/>
        <v>0.14099999999999999</v>
      </c>
      <c r="AQ29" s="43">
        <f t="shared" si="6"/>
        <v>0.14099999999999999</v>
      </c>
      <c r="AR29" s="43">
        <f t="shared" si="6"/>
        <v>0.14099999999999999</v>
      </c>
      <c r="AS29" s="43">
        <f t="shared" si="6"/>
        <v>0.14099999999999999</v>
      </c>
      <c r="AT29" s="43">
        <f t="shared" si="6"/>
        <v>0.14099999999999999</v>
      </c>
      <c r="AU29" s="43">
        <f t="shared" si="6"/>
        <v>0.14099999999999999</v>
      </c>
      <c r="AV29" s="43">
        <f t="shared" si="6"/>
        <v>0.14099999999999999</v>
      </c>
      <c r="AW29" s="43">
        <f t="shared" si="6"/>
        <v>0.14099999999999999</v>
      </c>
      <c r="AX29" s="43">
        <f t="shared" si="6"/>
        <v>0.14099999999999999</v>
      </c>
      <c r="AY29" s="43">
        <f t="shared" si="6"/>
        <v>0.14099999999999999</v>
      </c>
      <c r="AZ29" s="43">
        <f t="shared" si="6"/>
        <v>0.14099999999999999</v>
      </c>
      <c r="BA29" s="43">
        <f t="shared" si="6"/>
        <v>0.14099999999999999</v>
      </c>
      <c r="BB29" s="43">
        <f t="shared" si="6"/>
        <v>0.14099999999999999</v>
      </c>
      <c r="BC29" s="43">
        <f t="shared" si="6"/>
        <v>0.14099999999999999</v>
      </c>
      <c r="BD29" s="43">
        <f t="shared" si="6"/>
        <v>0.14099999999999999</v>
      </c>
      <c r="BE29" s="43">
        <f t="shared" si="6"/>
        <v>0.14099999999999999</v>
      </c>
      <c r="BF29" s="43">
        <f t="shared" si="6"/>
        <v>0.14099999999999999</v>
      </c>
      <c r="BG29" s="43">
        <f t="shared" si="6"/>
        <v>0.14099999999999999</v>
      </c>
      <c r="BH29" s="43">
        <f t="shared" si="6"/>
        <v>0.14099999999999999</v>
      </c>
      <c r="BI29" s="43">
        <f t="shared" si="6"/>
        <v>0.14099999999999999</v>
      </c>
      <c r="BJ29" s="43">
        <f t="shared" si="6"/>
        <v>0.14099999999999999</v>
      </c>
      <c r="BK29" s="43">
        <f t="shared" si="6"/>
        <v>0.14099999999999999</v>
      </c>
      <c r="BL29" s="43">
        <f t="shared" si="6"/>
        <v>0.14099999999999999</v>
      </c>
      <c r="BM29" s="43">
        <f t="shared" si="6"/>
        <v>0.14099999999999999</v>
      </c>
      <c r="BN29" s="43">
        <f t="shared" si="6"/>
        <v>0.14099999999999999</v>
      </c>
      <c r="BO29" s="43">
        <f t="shared" si="6"/>
        <v>0.14099999999999999</v>
      </c>
      <c r="BP29" s="43">
        <f t="shared" si="6"/>
        <v>0.14099999999999999</v>
      </c>
      <c r="BQ29" s="43">
        <f t="shared" si="6"/>
        <v>0.14099999999999999</v>
      </c>
      <c r="BR29" s="43">
        <f t="shared" si="6"/>
        <v>0.14099999999999999</v>
      </c>
      <c r="BS29" s="43">
        <f t="shared" si="6"/>
        <v>0.14099999999999999</v>
      </c>
      <c r="BT29" s="43">
        <f t="shared" si="6"/>
        <v>0.14099999999999999</v>
      </c>
      <c r="BU29" s="43">
        <f t="shared" si="6"/>
        <v>0.14099999999999999</v>
      </c>
      <c r="BV29" s="43">
        <f t="shared" si="6"/>
        <v>0.14099999999999999</v>
      </c>
      <c r="BW29" s="43">
        <f t="shared" si="6"/>
        <v>0.14099999999999999</v>
      </c>
      <c r="BX29" s="43">
        <f t="shared" si="6"/>
        <v>0.14099999999999999</v>
      </c>
      <c r="BY29" s="43">
        <f t="shared" ref="BY29:CO29" si="7" xml:space="preserve"> $E$26</f>
        <v>0.14099999999999999</v>
      </c>
      <c r="BZ29" s="43">
        <f t="shared" si="7"/>
        <v>0.14099999999999999</v>
      </c>
      <c r="CA29" s="43">
        <f t="shared" si="7"/>
        <v>0.14099999999999999</v>
      </c>
      <c r="CB29" s="43">
        <f t="shared" si="7"/>
        <v>0.14099999999999999</v>
      </c>
      <c r="CC29" s="43">
        <f t="shared" si="7"/>
        <v>0.14099999999999999</v>
      </c>
      <c r="CD29" s="43">
        <f t="shared" si="7"/>
        <v>0.14099999999999999</v>
      </c>
      <c r="CE29" s="43">
        <f t="shared" si="7"/>
        <v>0.14099999999999999</v>
      </c>
      <c r="CF29" s="43">
        <f t="shared" si="7"/>
        <v>0.14099999999999999</v>
      </c>
      <c r="CG29" s="43">
        <f t="shared" si="7"/>
        <v>0.14099999999999999</v>
      </c>
      <c r="CH29" s="43">
        <f t="shared" si="7"/>
        <v>0.14099999999999999</v>
      </c>
      <c r="CI29" s="43">
        <f t="shared" si="7"/>
        <v>0.14099999999999999</v>
      </c>
      <c r="CJ29" s="43">
        <f t="shared" si="7"/>
        <v>0.14099999999999999</v>
      </c>
      <c r="CK29" s="43">
        <f t="shared" si="7"/>
        <v>0.14099999999999999</v>
      </c>
      <c r="CL29" s="43">
        <f t="shared" si="7"/>
        <v>0.14099999999999999</v>
      </c>
      <c r="CM29" s="43">
        <f t="shared" si="7"/>
        <v>0.14099999999999999</v>
      </c>
      <c r="CN29" s="43">
        <f t="shared" si="7"/>
        <v>0.14099999999999999</v>
      </c>
      <c r="CO29" s="43">
        <f t="shared" si="7"/>
        <v>0.14099999999999999</v>
      </c>
      <c r="CS29" s="47"/>
      <c r="CU29" s="11"/>
      <c r="GB29" s="47"/>
      <c r="GG29" s="47"/>
      <c r="GI29" s="11"/>
      <c r="JP29" s="47"/>
      <c r="JU29" s="47"/>
      <c r="JW29" s="11"/>
      <c r="ND29" s="47"/>
      <c r="NI29" s="47"/>
      <c r="NK29" s="11"/>
      <c r="QR29" s="47"/>
      <c r="QW29" s="47"/>
      <c r="QY29" s="11"/>
      <c r="UF29" s="47"/>
      <c r="UK29" s="47"/>
      <c r="UM29" s="11"/>
      <c r="XT29" s="47"/>
      <c r="XY29" s="47"/>
      <c r="YA29" s="11"/>
      <c r="ABH29" s="47"/>
      <c r="ABM29" s="47"/>
      <c r="ABO29" s="11"/>
      <c r="AEV29" s="47"/>
      <c r="AFA29" s="47"/>
      <c r="AFC29" s="11"/>
      <c r="AIJ29" s="47"/>
      <c r="AIO29" s="47"/>
      <c r="AIQ29" s="11"/>
      <c r="ALX29" s="47"/>
      <c r="AMC29" s="47"/>
      <c r="AME29" s="11"/>
      <c r="APL29" s="47"/>
      <c r="APQ29" s="47"/>
      <c r="APS29" s="11"/>
      <c r="ASZ29" s="47"/>
      <c r="ATE29" s="47"/>
      <c r="ATG29" s="11"/>
      <c r="AWN29" s="47"/>
      <c r="AWS29" s="47"/>
      <c r="AWU29" s="11"/>
      <c r="BAB29" s="47"/>
      <c r="BAG29" s="47"/>
      <c r="BAI29" s="11"/>
      <c r="BDP29" s="47"/>
      <c r="BDU29" s="47"/>
      <c r="BDW29" s="11"/>
      <c r="BHD29" s="47"/>
      <c r="BHI29" s="47"/>
      <c r="BHK29" s="11"/>
      <c r="BKR29" s="47"/>
      <c r="BKW29" s="47"/>
      <c r="BKY29" s="11"/>
      <c r="BOF29" s="47"/>
      <c r="BOK29" s="47"/>
      <c r="BOM29" s="11"/>
      <c r="BRT29" s="47"/>
      <c r="BRY29" s="47"/>
      <c r="BSA29" s="11"/>
      <c r="BVH29" s="47"/>
      <c r="BVM29" s="47"/>
      <c r="BVO29" s="11"/>
      <c r="BYV29" s="47"/>
      <c r="BZA29" s="47"/>
      <c r="BZC29" s="11"/>
      <c r="CCJ29" s="47"/>
      <c r="CCO29" s="47"/>
      <c r="CCQ29" s="11"/>
      <c r="CFX29" s="47"/>
      <c r="CGC29" s="47"/>
      <c r="CGE29" s="11"/>
      <c r="CJL29" s="47"/>
      <c r="CJQ29" s="47"/>
      <c r="CJS29" s="11"/>
      <c r="CMZ29" s="47"/>
      <c r="CNE29" s="47"/>
      <c r="CNG29" s="11"/>
      <c r="CQN29" s="47"/>
      <c r="CQS29" s="47"/>
      <c r="CQU29" s="11"/>
      <c r="CUB29" s="47"/>
      <c r="CUG29" s="47"/>
      <c r="CUI29" s="11"/>
      <c r="CXP29" s="47"/>
      <c r="CXU29" s="47"/>
      <c r="CXW29" s="11"/>
      <c r="DBD29" s="47"/>
      <c r="DBI29" s="47"/>
      <c r="DBK29" s="11"/>
      <c r="DER29" s="47"/>
      <c r="DEW29" s="47"/>
      <c r="DEY29" s="11"/>
      <c r="DIF29" s="47"/>
      <c r="DIK29" s="47"/>
      <c r="DIM29" s="11"/>
      <c r="DLT29" s="47"/>
      <c r="DLY29" s="47"/>
      <c r="DMA29" s="11"/>
      <c r="DPH29" s="47"/>
      <c r="DPM29" s="47"/>
      <c r="DPO29" s="11"/>
      <c r="DSV29" s="47"/>
      <c r="DTA29" s="47"/>
      <c r="DTC29" s="11"/>
      <c r="DWJ29" s="47"/>
      <c r="DWO29" s="47"/>
      <c r="DWQ29" s="11"/>
      <c r="DZX29" s="47"/>
      <c r="EAC29" s="47"/>
      <c r="EAE29" s="11"/>
      <c r="EDL29" s="47"/>
      <c r="EDQ29" s="47"/>
      <c r="EDS29" s="11"/>
      <c r="EGZ29" s="47"/>
      <c r="EHE29" s="47"/>
      <c r="EHG29" s="11"/>
      <c r="EKN29" s="47"/>
      <c r="EKS29" s="47"/>
      <c r="EKU29" s="11"/>
      <c r="EOB29" s="47"/>
      <c r="EOG29" s="47"/>
      <c r="EOI29" s="11"/>
      <c r="ERP29" s="47"/>
      <c r="ERU29" s="47"/>
      <c r="ERW29" s="11"/>
      <c r="EVD29" s="47"/>
      <c r="EVI29" s="47"/>
      <c r="EVK29" s="11"/>
      <c r="EYR29" s="47"/>
      <c r="EYW29" s="47"/>
      <c r="EYY29" s="11"/>
      <c r="FCF29" s="47"/>
      <c r="FCK29" s="47"/>
      <c r="FCM29" s="11"/>
      <c r="FFT29" s="47"/>
      <c r="FFY29" s="47"/>
      <c r="FGA29" s="11"/>
      <c r="FJH29" s="47"/>
      <c r="FJM29" s="47"/>
      <c r="FJO29" s="11"/>
      <c r="FMV29" s="47"/>
      <c r="FNA29" s="47"/>
      <c r="FNC29" s="11"/>
      <c r="FQJ29" s="47"/>
      <c r="FQO29" s="47"/>
      <c r="FQQ29" s="11"/>
      <c r="FTX29" s="47"/>
      <c r="FUC29" s="47"/>
      <c r="FUE29" s="11"/>
      <c r="FXL29" s="47"/>
      <c r="FXQ29" s="47"/>
      <c r="FXS29" s="11"/>
      <c r="GAZ29" s="47"/>
      <c r="GBE29" s="47"/>
      <c r="GBG29" s="11"/>
      <c r="GEN29" s="47"/>
      <c r="GES29" s="47"/>
      <c r="GEU29" s="11"/>
      <c r="GIB29" s="47"/>
      <c r="GIG29" s="47"/>
      <c r="GII29" s="11"/>
      <c r="GLP29" s="47"/>
      <c r="GLU29" s="47"/>
      <c r="GLW29" s="11"/>
      <c r="GPD29" s="47"/>
      <c r="GPI29" s="47"/>
      <c r="GPK29" s="11"/>
      <c r="GSR29" s="47"/>
      <c r="GSW29" s="47"/>
      <c r="GSY29" s="11"/>
      <c r="GWF29" s="47"/>
      <c r="GWK29" s="47"/>
      <c r="GWM29" s="11"/>
      <c r="GZT29" s="47"/>
      <c r="GZY29" s="47"/>
      <c r="HAA29" s="11"/>
      <c r="HDH29" s="47"/>
      <c r="HDM29" s="47"/>
      <c r="HDO29" s="11"/>
      <c r="HGV29" s="47"/>
      <c r="HHA29" s="47"/>
      <c r="HHC29" s="11"/>
      <c r="HKJ29" s="47"/>
      <c r="HKO29" s="47"/>
      <c r="HKQ29" s="11"/>
      <c r="HNX29" s="47"/>
      <c r="HOC29" s="47"/>
      <c r="HOE29" s="11"/>
      <c r="HRL29" s="47"/>
      <c r="HRQ29" s="47"/>
      <c r="HRS29" s="11"/>
      <c r="HUZ29" s="47"/>
      <c r="HVE29" s="47"/>
      <c r="HVG29" s="11"/>
      <c r="HYN29" s="47"/>
      <c r="HYS29" s="47"/>
      <c r="HYU29" s="11"/>
      <c r="ICB29" s="47"/>
      <c r="ICG29" s="47"/>
      <c r="ICI29" s="11"/>
      <c r="IFP29" s="47"/>
      <c r="IFU29" s="47"/>
      <c r="IFW29" s="11"/>
      <c r="IJD29" s="47"/>
      <c r="IJI29" s="47"/>
      <c r="IJK29" s="11"/>
      <c r="IMR29" s="47"/>
      <c r="IMW29" s="47"/>
      <c r="IMY29" s="11"/>
      <c r="IQF29" s="47"/>
      <c r="IQK29" s="47"/>
      <c r="IQM29" s="11"/>
      <c r="ITT29" s="47"/>
      <c r="ITY29" s="47"/>
      <c r="IUA29" s="11"/>
      <c r="IXH29" s="47"/>
      <c r="IXM29" s="47"/>
      <c r="IXO29" s="11"/>
      <c r="JAV29" s="47"/>
      <c r="JBA29" s="47"/>
      <c r="JBC29" s="11"/>
      <c r="JEJ29" s="47"/>
      <c r="JEO29" s="47"/>
      <c r="JEQ29" s="11"/>
      <c r="JHX29" s="47"/>
      <c r="JIC29" s="47"/>
      <c r="JIE29" s="11"/>
      <c r="JLL29" s="47"/>
      <c r="JLQ29" s="47"/>
      <c r="JLS29" s="11"/>
      <c r="JOZ29" s="47"/>
      <c r="JPE29" s="47"/>
      <c r="JPG29" s="11"/>
      <c r="JSN29" s="47"/>
      <c r="JSS29" s="47"/>
      <c r="JSU29" s="11"/>
      <c r="JWB29" s="47"/>
      <c r="JWG29" s="47"/>
      <c r="JWI29" s="11"/>
      <c r="JZP29" s="47"/>
      <c r="JZU29" s="47"/>
      <c r="JZW29" s="11"/>
      <c r="KDD29" s="47"/>
      <c r="KDI29" s="47"/>
      <c r="KDK29" s="11"/>
      <c r="KGR29" s="47"/>
      <c r="KGW29" s="47"/>
      <c r="KGY29" s="11"/>
      <c r="KKF29" s="47"/>
      <c r="KKK29" s="47"/>
      <c r="KKM29" s="11"/>
      <c r="KNT29" s="47"/>
      <c r="KNY29" s="47"/>
      <c r="KOA29" s="11"/>
      <c r="KRH29" s="47"/>
      <c r="KRM29" s="47"/>
      <c r="KRO29" s="11"/>
      <c r="KUV29" s="47"/>
      <c r="KVA29" s="47"/>
      <c r="KVC29" s="11"/>
      <c r="KYJ29" s="47"/>
      <c r="KYO29" s="47"/>
      <c r="KYQ29" s="11"/>
      <c r="LBX29" s="47"/>
      <c r="LCC29" s="47"/>
      <c r="LCE29" s="11"/>
      <c r="LFL29" s="47"/>
      <c r="LFQ29" s="47"/>
      <c r="LFS29" s="11"/>
      <c r="LIZ29" s="47"/>
      <c r="LJE29" s="47"/>
      <c r="LJG29" s="11"/>
      <c r="LMN29" s="47"/>
      <c r="LMS29" s="47"/>
      <c r="LMU29" s="11"/>
      <c r="LQB29" s="47"/>
      <c r="LQG29" s="47"/>
      <c r="LQI29" s="11"/>
      <c r="LTP29" s="47"/>
      <c r="LTU29" s="47"/>
      <c r="LTW29" s="11"/>
      <c r="LXD29" s="47"/>
      <c r="LXI29" s="47"/>
      <c r="LXK29" s="11"/>
      <c r="MAR29" s="47"/>
      <c r="MAW29" s="47"/>
      <c r="MAY29" s="11"/>
      <c r="MEF29" s="47"/>
      <c r="MEK29" s="47"/>
      <c r="MEM29" s="11"/>
      <c r="MHT29" s="47"/>
      <c r="MHY29" s="47"/>
      <c r="MIA29" s="11"/>
      <c r="MLH29" s="47"/>
      <c r="MLM29" s="47"/>
      <c r="MLO29" s="11"/>
      <c r="MOV29" s="47"/>
      <c r="MPA29" s="47"/>
      <c r="MPC29" s="11"/>
      <c r="MSJ29" s="47"/>
      <c r="MSO29" s="47"/>
      <c r="MSQ29" s="11"/>
      <c r="MVX29" s="47"/>
      <c r="MWC29" s="47"/>
      <c r="MWE29" s="11"/>
      <c r="MZL29" s="47"/>
      <c r="MZQ29" s="47"/>
      <c r="MZS29" s="11"/>
      <c r="NCZ29" s="47"/>
      <c r="NDE29" s="47"/>
      <c r="NDG29" s="11"/>
      <c r="NGN29" s="47"/>
      <c r="NGS29" s="47"/>
      <c r="NGU29" s="11"/>
      <c r="NKB29" s="47"/>
      <c r="NKG29" s="47"/>
      <c r="NKI29" s="11"/>
      <c r="NNP29" s="47"/>
      <c r="NNU29" s="47"/>
      <c r="NNW29" s="11"/>
      <c r="NRD29" s="47"/>
      <c r="NRI29" s="47"/>
      <c r="NRK29" s="11"/>
      <c r="NUR29" s="47"/>
      <c r="NUW29" s="47"/>
      <c r="NUY29" s="11"/>
      <c r="NYF29" s="47"/>
      <c r="NYK29" s="47"/>
      <c r="NYM29" s="11"/>
      <c r="OBT29" s="47"/>
      <c r="OBY29" s="47"/>
      <c r="OCA29" s="11"/>
      <c r="OFH29" s="47"/>
      <c r="OFM29" s="47"/>
      <c r="OFO29" s="11"/>
      <c r="OIV29" s="47"/>
      <c r="OJA29" s="47"/>
      <c r="OJC29" s="11"/>
      <c r="OMJ29" s="47"/>
      <c r="OMO29" s="47"/>
      <c r="OMQ29" s="11"/>
      <c r="OPX29" s="47"/>
      <c r="OQC29" s="47"/>
      <c r="OQE29" s="11"/>
      <c r="OTL29" s="47"/>
      <c r="OTQ29" s="47"/>
      <c r="OTS29" s="11"/>
      <c r="OWZ29" s="47"/>
      <c r="OXE29" s="47"/>
      <c r="OXG29" s="11"/>
      <c r="PAN29" s="47"/>
      <c r="PAS29" s="47"/>
      <c r="PAU29" s="11"/>
      <c r="PEB29" s="47"/>
      <c r="PEG29" s="47"/>
      <c r="PEI29" s="11"/>
      <c r="PHP29" s="47"/>
      <c r="PHU29" s="47"/>
      <c r="PHW29" s="11"/>
      <c r="PLD29" s="47"/>
      <c r="PLI29" s="47"/>
      <c r="PLK29" s="11"/>
      <c r="POR29" s="47"/>
      <c r="POW29" s="47"/>
      <c r="POY29" s="11"/>
      <c r="PSF29" s="47"/>
      <c r="PSK29" s="47"/>
      <c r="PSM29" s="11"/>
      <c r="PVT29" s="47"/>
      <c r="PVY29" s="47"/>
      <c r="PWA29" s="11"/>
      <c r="PZH29" s="47"/>
      <c r="PZM29" s="47"/>
      <c r="PZO29" s="11"/>
      <c r="QCV29" s="47"/>
      <c r="QDA29" s="47"/>
      <c r="QDC29" s="11"/>
      <c r="QGJ29" s="47"/>
      <c r="QGO29" s="47"/>
      <c r="QGQ29" s="11"/>
      <c r="QJX29" s="47"/>
      <c r="QKC29" s="47"/>
      <c r="QKE29" s="11"/>
      <c r="QNL29" s="47"/>
      <c r="QNQ29" s="47"/>
      <c r="QNS29" s="11"/>
      <c r="QQZ29" s="47"/>
      <c r="QRE29" s="47"/>
      <c r="QRG29" s="11"/>
      <c r="QUN29" s="47"/>
      <c r="QUS29" s="47"/>
      <c r="QUU29" s="11"/>
      <c r="QYB29" s="47"/>
      <c r="QYG29" s="47"/>
      <c r="QYI29" s="11"/>
      <c r="RBP29" s="47"/>
      <c r="RBU29" s="47"/>
      <c r="RBW29" s="11"/>
      <c r="RFD29" s="47"/>
      <c r="RFI29" s="47"/>
      <c r="RFK29" s="11"/>
      <c r="RIR29" s="47"/>
      <c r="RIW29" s="47"/>
      <c r="RIY29" s="11"/>
      <c r="RMF29" s="47"/>
      <c r="RMK29" s="47"/>
      <c r="RMM29" s="11"/>
      <c r="RPT29" s="47"/>
      <c r="RPY29" s="47"/>
      <c r="RQA29" s="11"/>
      <c r="RTH29" s="47"/>
      <c r="RTM29" s="47"/>
      <c r="RTO29" s="11"/>
      <c r="RWV29" s="47"/>
      <c r="RXA29" s="47"/>
      <c r="RXC29" s="11"/>
      <c r="SAJ29" s="47"/>
      <c r="SAO29" s="47"/>
      <c r="SAQ29" s="11"/>
      <c r="SDX29" s="47"/>
      <c r="SEC29" s="47"/>
      <c r="SEE29" s="11"/>
      <c r="SHL29" s="47"/>
      <c r="SHQ29" s="47"/>
      <c r="SHS29" s="11"/>
      <c r="SKZ29" s="47"/>
      <c r="SLE29" s="47"/>
      <c r="SLG29" s="11"/>
      <c r="SON29" s="47"/>
      <c r="SOS29" s="47"/>
      <c r="SOU29" s="11"/>
      <c r="SSB29" s="47"/>
      <c r="SSG29" s="47"/>
      <c r="SSI29" s="11"/>
      <c r="SVP29" s="47"/>
      <c r="SVU29" s="47"/>
      <c r="SVW29" s="11"/>
      <c r="SZD29" s="47"/>
      <c r="SZI29" s="47"/>
      <c r="SZK29" s="11"/>
      <c r="TCR29" s="47"/>
      <c r="TCW29" s="47"/>
      <c r="TCY29" s="11"/>
      <c r="TGF29" s="47"/>
      <c r="TGK29" s="47"/>
      <c r="TGM29" s="11"/>
      <c r="TJT29" s="47"/>
      <c r="TJY29" s="47"/>
      <c r="TKA29" s="11"/>
      <c r="TNH29" s="47"/>
      <c r="TNM29" s="47"/>
      <c r="TNO29" s="11"/>
      <c r="TQV29" s="47"/>
      <c r="TRA29" s="47"/>
      <c r="TRC29" s="11"/>
      <c r="TUJ29" s="47"/>
      <c r="TUO29" s="47"/>
      <c r="TUQ29" s="11"/>
      <c r="TXX29" s="47"/>
      <c r="TYC29" s="47"/>
      <c r="TYE29" s="11"/>
      <c r="UBL29" s="47"/>
      <c r="UBQ29" s="47"/>
      <c r="UBS29" s="11"/>
      <c r="UEZ29" s="47"/>
      <c r="UFE29" s="47"/>
      <c r="UFG29" s="11"/>
      <c r="UIN29" s="47"/>
      <c r="UIS29" s="47"/>
      <c r="UIU29" s="11"/>
      <c r="UMB29" s="47"/>
      <c r="UMG29" s="47"/>
      <c r="UMI29" s="11"/>
      <c r="UPP29" s="47"/>
      <c r="UPU29" s="47"/>
      <c r="UPW29" s="11"/>
      <c r="UTD29" s="47"/>
      <c r="UTI29" s="47"/>
      <c r="UTK29" s="11"/>
      <c r="UWR29" s="47"/>
      <c r="UWW29" s="47"/>
      <c r="UWY29" s="11"/>
      <c r="VAF29" s="47"/>
      <c r="VAK29" s="47"/>
      <c r="VAM29" s="11"/>
      <c r="VDT29" s="47"/>
      <c r="VDY29" s="47"/>
      <c r="VEA29" s="11"/>
      <c r="VHH29" s="47"/>
      <c r="VHM29" s="47"/>
      <c r="VHO29" s="11"/>
      <c r="VKV29" s="47"/>
      <c r="VLA29" s="47"/>
      <c r="VLC29" s="11"/>
      <c r="VOJ29" s="47"/>
      <c r="VOO29" s="47"/>
      <c r="VOQ29" s="11"/>
      <c r="VRX29" s="47"/>
      <c r="VSC29" s="47"/>
      <c r="VSE29" s="11"/>
      <c r="VVL29" s="47"/>
      <c r="VVQ29" s="47"/>
      <c r="VVS29" s="11"/>
      <c r="VYZ29" s="47"/>
      <c r="VZE29" s="47"/>
      <c r="VZG29" s="11"/>
      <c r="WCN29" s="47"/>
      <c r="WCS29" s="47"/>
      <c r="WCU29" s="11"/>
      <c r="WGB29" s="47"/>
      <c r="WGG29" s="47"/>
      <c r="WGI29" s="11"/>
      <c r="WJP29" s="47"/>
      <c r="WJU29" s="47"/>
      <c r="WJW29" s="11"/>
      <c r="WND29" s="47"/>
      <c r="WNI29" s="47"/>
      <c r="WNK29" s="11"/>
      <c r="WQR29" s="47"/>
      <c r="WQW29" s="47"/>
      <c r="WQY29" s="11"/>
      <c r="WUF29" s="47"/>
      <c r="WUK29" s="47"/>
      <c r="WUM29" s="11"/>
      <c r="WXT29" s="47"/>
      <c r="WXY29" s="47"/>
      <c r="WYA29" s="11"/>
      <c r="XBH29" s="47"/>
      <c r="XBM29" s="47"/>
      <c r="XBO29" s="11"/>
      <c r="XEV29" s="47"/>
      <c r="XFA29" s="47"/>
      <c r="XFC29" s="11"/>
    </row>
    <row r="30" spans="1:1019 1104:2031 2116:3043 3128:4055 4140:5067 5152:6079 6164:7091 7176:8188 8193:9207 9292:10219 10304:11231 11316:12243 12328:13255 13340:14267 14352:15279 15364:16383" s="10" customFormat="1" ht="14.65" customHeight="1">
      <c r="C30" s="17" t="s">
        <v>986</v>
      </c>
      <c r="E30" s="47"/>
      <c r="G30" s="11" t="s">
        <v>927</v>
      </c>
      <c r="L30" s="364">
        <f xml:space="preserve"> 1 / (1 + L29) ^ L28</f>
        <v>0.96756152175752497</v>
      </c>
      <c r="M30" s="364">
        <f t="shared" ref="M30:BX30" si="8" xml:space="preserve"> 1 / (1 + M29) ^ M28</f>
        <v>0.93617529838573765</v>
      </c>
      <c r="N30" s="364">
        <f t="shared" si="8"/>
        <v>0.9058071963379094</v>
      </c>
      <c r="O30" s="364">
        <f t="shared" si="8"/>
        <v>0.87642418930762489</v>
      </c>
      <c r="P30" s="364">
        <f t="shared" si="8"/>
        <v>0.84799432231159078</v>
      </c>
      <c r="Q30" s="364">
        <f t="shared" si="8"/>
        <v>0.82048667693754385</v>
      </c>
      <c r="R30" s="364">
        <f t="shared" si="8"/>
        <v>0.79387133771946483</v>
      </c>
      <c r="S30" s="364">
        <f t="shared" si="8"/>
        <v>0.76811935960352751</v>
      </c>
      <c r="T30" s="364">
        <f t="shared" si="8"/>
        <v>0.74320273646940471</v>
      </c>
      <c r="U30" s="364">
        <f t="shared" si="8"/>
        <v>0.71909437067269399</v>
      </c>
      <c r="V30" s="364">
        <f t="shared" si="8"/>
        <v>0.69576804357534172</v>
      </c>
      <c r="W30" s="364">
        <f t="shared" si="8"/>
        <v>0.67319838703201351</v>
      </c>
      <c r="X30" s="364">
        <f t="shared" si="8"/>
        <v>0.65136085580140635</v>
      </c>
      <c r="Y30" s="364">
        <f t="shared" si="8"/>
        <v>0.63023170085249258</v>
      </c>
      <c r="Z30" s="364">
        <f t="shared" si="8"/>
        <v>0.60978794353667098</v>
      </c>
      <c r="AA30" s="364">
        <f t="shared" si="8"/>
        <v>0.59000735059773313</v>
      </c>
      <c r="AB30" s="364">
        <f t="shared" si="8"/>
        <v>0.57086840999246835</v>
      </c>
      <c r="AC30" s="364">
        <f t="shared" si="8"/>
        <v>0.55235030749561143</v>
      </c>
      <c r="AD30" s="364">
        <f t="shared" si="8"/>
        <v>0.53443290406369059</v>
      </c>
      <c r="AE30" s="364">
        <f t="shared" si="8"/>
        <v>0.51709671393315793</v>
      </c>
      <c r="AF30" s="364">
        <f t="shared" si="8"/>
        <v>0.5003228834289819</v>
      </c>
      <c r="AG30" s="364">
        <f t="shared" si="8"/>
        <v>0.48409317046065847</v>
      </c>
      <c r="AH30" s="364">
        <f t="shared" si="8"/>
        <v>0.46838992468333973</v>
      </c>
      <c r="AI30" s="364">
        <f t="shared" si="8"/>
        <v>0.4531960683025047</v>
      </c>
      <c r="AJ30" s="364">
        <f t="shared" si="8"/>
        <v>0.43849507750129874</v>
      </c>
      <c r="AK30" s="364">
        <f t="shared" si="8"/>
        <v>0.42427096447034046</v>
      </c>
      <c r="AL30" s="364">
        <f t="shared" si="8"/>
        <v>0.41050826002045554</v>
      </c>
      <c r="AM30" s="364">
        <f t="shared" si="8"/>
        <v>0.39719199675942568</v>
      </c>
      <c r="AN30" s="364">
        <f t="shared" si="8"/>
        <v>0.38430769281445987</v>
      </c>
      <c r="AO30" s="364">
        <f t="shared" si="8"/>
        <v>0.37184133608268227</v>
      </c>
      <c r="AP30" s="364">
        <f t="shared" si="8"/>
        <v>0.35977936899251139</v>
      </c>
      <c r="AQ30" s="364">
        <f t="shared" si="8"/>
        <v>0.34810867375935639</v>
      </c>
      <c r="AR30" s="364">
        <f t="shared" si="8"/>
        <v>0.33681655811959671</v>
      </c>
      <c r="AS30" s="364">
        <f t="shared" si="8"/>
        <v>0.32589074152732889</v>
      </c>
      <c r="AT30" s="364">
        <f t="shared" si="8"/>
        <v>0.31531934179887061</v>
      </c>
      <c r="AU30" s="364">
        <f t="shared" si="8"/>
        <v>0.30509086219049641</v>
      </c>
      <c r="AV30" s="364">
        <f t="shared" si="8"/>
        <v>0.2951941788953521</v>
      </c>
      <c r="AW30" s="364">
        <f t="shared" si="8"/>
        <v>0.28561852894594991</v>
      </c>
      <c r="AX30" s="364">
        <f t="shared" si="8"/>
        <v>0.27635349850908902</v>
      </c>
      <c r="AY30" s="364">
        <f t="shared" si="8"/>
        <v>0.26738901156047012</v>
      </c>
      <c r="AZ30" s="364">
        <f t="shared" si="8"/>
        <v>0.25871531892668892</v>
      </c>
      <c r="BA30" s="364">
        <f t="shared" si="8"/>
        <v>0.25032298768269057</v>
      </c>
      <c r="BB30" s="364">
        <f t="shared" si="8"/>
        <v>0.24220289089315425</v>
      </c>
      <c r="BC30" s="364">
        <f t="shared" si="8"/>
        <v>0.23434619768665219</v>
      </c>
      <c r="BD30" s="364">
        <f t="shared" si="8"/>
        <v>0.22674436365178696</v>
      </c>
      <c r="BE30" s="364">
        <f t="shared" si="8"/>
        <v>0.21938912154486467</v>
      </c>
      <c r="BF30" s="364">
        <f t="shared" si="8"/>
        <v>0.21227247229899585</v>
      </c>
      <c r="BG30" s="364">
        <f t="shared" si="8"/>
        <v>0.20538667632484853</v>
      </c>
      <c r="BH30" s="364">
        <f t="shared" si="8"/>
        <v>0.19872424509359068</v>
      </c>
      <c r="BI30" s="364">
        <f t="shared" si="8"/>
        <v>0.19227793299286997</v>
      </c>
      <c r="BJ30" s="364">
        <f t="shared" si="8"/>
        <v>0.18604072944697272</v>
      </c>
      <c r="BK30" s="364">
        <f t="shared" si="8"/>
        <v>0.18000585129259289</v>
      </c>
      <c r="BL30" s="364">
        <f t="shared" si="8"/>
        <v>0.17416673540191996</v>
      </c>
      <c r="BM30" s="364">
        <f t="shared" si="8"/>
        <v>0.16851703154502187</v>
      </c>
      <c r="BN30" s="364">
        <f t="shared" si="8"/>
        <v>0.16305059548376222</v>
      </c>
      <c r="BO30" s="364">
        <f t="shared" si="8"/>
        <v>0.1577614822897396</v>
      </c>
      <c r="BP30" s="364">
        <f t="shared" si="8"/>
        <v>0.15264393987898331</v>
      </c>
      <c r="BQ30" s="364">
        <f t="shared" si="8"/>
        <v>0.14769240275637327</v>
      </c>
      <c r="BR30" s="364">
        <f t="shared" si="8"/>
        <v>0.1429014859629818</v>
      </c>
      <c r="BS30" s="364">
        <f t="shared" si="8"/>
        <v>0.13826597921975428</v>
      </c>
      <c r="BT30" s="364">
        <f t="shared" si="8"/>
        <v>0.13378084126115977</v>
      </c>
      <c r="BU30" s="364">
        <f t="shared" si="8"/>
        <v>0.12944119435264967</v>
      </c>
      <c r="BV30" s="364">
        <f t="shared" si="8"/>
        <v>0.12524231898596125</v>
      </c>
      <c r="BW30" s="364">
        <f t="shared" si="8"/>
        <v>0.12117964874649804</v>
      </c>
      <c r="BX30" s="364">
        <f t="shared" si="8"/>
        <v>0.11724876534720401</v>
      </c>
      <c r="BY30" s="364">
        <f t="shared" ref="BY30:CM30" si="9" xml:space="preserve"> 1 / (1 + BY29) ^ BY28</f>
        <v>0.11344539382353165</v>
      </c>
      <c r="BZ30" s="364">
        <f t="shared" si="9"/>
        <v>0.10976539788427805</v>
      </c>
      <c r="CA30" s="364">
        <f t="shared" si="9"/>
        <v>0.1062047754132323</v>
      </c>
      <c r="CB30" s="364">
        <f t="shared" si="9"/>
        <v>0.10275965411674323</v>
      </c>
      <c r="CC30" s="364">
        <f t="shared" si="9"/>
        <v>9.9426287312472966E-2</v>
      </c>
      <c r="CD30" s="364">
        <f t="shared" si="9"/>
        <v>9.6201049854757262E-2</v>
      </c>
      <c r="CE30" s="364">
        <f t="shared" si="9"/>
        <v>9.3080434192140474E-2</v>
      </c>
      <c r="CF30" s="364">
        <f t="shared" si="9"/>
        <v>9.006104655279859E-2</v>
      </c>
      <c r="CG30" s="364">
        <f t="shared" si="9"/>
        <v>8.7139603253701126E-2</v>
      </c>
      <c r="CH30" s="364">
        <f t="shared" si="9"/>
        <v>8.4312927129498047E-2</v>
      </c>
      <c r="CI30" s="364">
        <f t="shared" si="9"/>
        <v>8.1577944077248443E-2</v>
      </c>
      <c r="CJ30" s="364">
        <f t="shared" si="9"/>
        <v>7.8931679713232769E-2</v>
      </c>
      <c r="CK30" s="364">
        <f t="shared" si="9"/>
        <v>7.6371256138213078E-2</v>
      </c>
      <c r="CL30" s="364">
        <f t="shared" si="9"/>
        <v>7.3893888807623181E-2</v>
      </c>
      <c r="CM30" s="364">
        <f t="shared" si="9"/>
        <v>7.149688350328523E-2</v>
      </c>
      <c r="CN30" s="364">
        <f xml:space="preserve"> 1 / (1 + CN29) ^ CN28</f>
        <v>6.9177633403359154E-2</v>
      </c>
      <c r="CO30" s="364">
        <f xml:space="preserve"> 1 / (1 + CO29) ^ CO28</f>
        <v>6.6933616247338387E-2</v>
      </c>
      <c r="CS30" s="47"/>
      <c r="CU30" s="11"/>
      <c r="GB30" s="47"/>
      <c r="GG30" s="47"/>
      <c r="GI30" s="11"/>
      <c r="JP30" s="47"/>
      <c r="JU30" s="47"/>
      <c r="JW30" s="11"/>
      <c r="ND30" s="47"/>
      <c r="NI30" s="47"/>
      <c r="NK30" s="11"/>
      <c r="QR30" s="47"/>
      <c r="QW30" s="47"/>
      <c r="QY30" s="11"/>
      <c r="UF30" s="47"/>
      <c r="UK30" s="47"/>
      <c r="UM30" s="11"/>
      <c r="XT30" s="47"/>
      <c r="XY30" s="47"/>
      <c r="YA30" s="11"/>
      <c r="ABH30" s="47"/>
      <c r="ABM30" s="47"/>
      <c r="ABO30" s="11"/>
      <c r="AEV30" s="47"/>
      <c r="AFA30" s="47"/>
      <c r="AFC30" s="11"/>
      <c r="AIJ30" s="47"/>
      <c r="AIO30" s="47"/>
      <c r="AIQ30" s="11"/>
      <c r="ALX30" s="47"/>
      <c r="AMC30" s="47"/>
      <c r="AME30" s="11"/>
      <c r="APL30" s="47"/>
      <c r="APQ30" s="47"/>
      <c r="APS30" s="11"/>
      <c r="ASZ30" s="47"/>
      <c r="ATE30" s="47"/>
      <c r="ATG30" s="11"/>
      <c r="AWN30" s="47"/>
      <c r="AWS30" s="47"/>
      <c r="AWU30" s="11"/>
      <c r="BAB30" s="47"/>
      <c r="BAG30" s="47"/>
      <c r="BAI30" s="11"/>
      <c r="BDP30" s="47"/>
      <c r="BDU30" s="47"/>
      <c r="BDW30" s="11"/>
      <c r="BHD30" s="47"/>
      <c r="BHI30" s="47"/>
      <c r="BHK30" s="11"/>
      <c r="BKR30" s="47"/>
      <c r="BKW30" s="47"/>
      <c r="BKY30" s="11"/>
      <c r="BOF30" s="47"/>
      <c r="BOK30" s="47"/>
      <c r="BOM30" s="11"/>
      <c r="BRT30" s="47"/>
      <c r="BRY30" s="47"/>
      <c r="BSA30" s="11"/>
      <c r="BVH30" s="47"/>
      <c r="BVM30" s="47"/>
      <c r="BVO30" s="11"/>
      <c r="BYV30" s="47"/>
      <c r="BZA30" s="47"/>
      <c r="BZC30" s="11"/>
      <c r="CCJ30" s="47"/>
      <c r="CCO30" s="47"/>
      <c r="CCQ30" s="11"/>
      <c r="CFX30" s="47"/>
      <c r="CGC30" s="47"/>
      <c r="CGE30" s="11"/>
      <c r="CJL30" s="47"/>
      <c r="CJQ30" s="47"/>
      <c r="CJS30" s="11"/>
      <c r="CMZ30" s="47"/>
      <c r="CNE30" s="47"/>
      <c r="CNG30" s="11"/>
      <c r="CQN30" s="47"/>
      <c r="CQS30" s="47"/>
      <c r="CQU30" s="11"/>
      <c r="CUB30" s="47"/>
      <c r="CUG30" s="47"/>
      <c r="CUI30" s="11"/>
      <c r="CXP30" s="47"/>
      <c r="CXU30" s="47"/>
      <c r="CXW30" s="11"/>
      <c r="DBD30" s="47"/>
      <c r="DBI30" s="47"/>
      <c r="DBK30" s="11"/>
      <c r="DER30" s="47"/>
      <c r="DEW30" s="47"/>
      <c r="DEY30" s="11"/>
      <c r="DIF30" s="47"/>
      <c r="DIK30" s="47"/>
      <c r="DIM30" s="11"/>
      <c r="DLT30" s="47"/>
      <c r="DLY30" s="47"/>
      <c r="DMA30" s="11"/>
      <c r="DPH30" s="47"/>
      <c r="DPM30" s="47"/>
      <c r="DPO30" s="11"/>
      <c r="DSV30" s="47"/>
      <c r="DTA30" s="47"/>
      <c r="DTC30" s="11"/>
      <c r="DWJ30" s="47"/>
      <c r="DWO30" s="47"/>
      <c r="DWQ30" s="11"/>
      <c r="DZX30" s="47"/>
      <c r="EAC30" s="47"/>
      <c r="EAE30" s="11"/>
      <c r="EDL30" s="47"/>
      <c r="EDQ30" s="47"/>
      <c r="EDS30" s="11"/>
      <c r="EGZ30" s="47"/>
      <c r="EHE30" s="47"/>
      <c r="EHG30" s="11"/>
      <c r="EKN30" s="47"/>
      <c r="EKS30" s="47"/>
      <c r="EKU30" s="11"/>
      <c r="EOB30" s="47"/>
      <c r="EOG30" s="47"/>
      <c r="EOI30" s="11"/>
      <c r="ERP30" s="47"/>
      <c r="ERU30" s="47"/>
      <c r="ERW30" s="11"/>
      <c r="EVD30" s="47"/>
      <c r="EVI30" s="47"/>
      <c r="EVK30" s="11"/>
      <c r="EYR30" s="47"/>
      <c r="EYW30" s="47"/>
      <c r="EYY30" s="11"/>
      <c r="FCF30" s="47"/>
      <c r="FCK30" s="47"/>
      <c r="FCM30" s="11"/>
      <c r="FFT30" s="47"/>
      <c r="FFY30" s="47"/>
      <c r="FGA30" s="11"/>
      <c r="FJH30" s="47"/>
      <c r="FJM30" s="47"/>
      <c r="FJO30" s="11"/>
      <c r="FMV30" s="47"/>
      <c r="FNA30" s="47"/>
      <c r="FNC30" s="11"/>
      <c r="FQJ30" s="47"/>
      <c r="FQO30" s="47"/>
      <c r="FQQ30" s="11"/>
      <c r="FTX30" s="47"/>
      <c r="FUC30" s="47"/>
      <c r="FUE30" s="11"/>
      <c r="FXL30" s="47"/>
      <c r="FXQ30" s="47"/>
      <c r="FXS30" s="11"/>
      <c r="GAZ30" s="47"/>
      <c r="GBE30" s="47"/>
      <c r="GBG30" s="11"/>
      <c r="GEN30" s="47"/>
      <c r="GES30" s="47"/>
      <c r="GEU30" s="11"/>
      <c r="GIB30" s="47"/>
      <c r="GIG30" s="47"/>
      <c r="GII30" s="11"/>
      <c r="GLP30" s="47"/>
      <c r="GLU30" s="47"/>
      <c r="GLW30" s="11"/>
      <c r="GPD30" s="47"/>
      <c r="GPI30" s="47"/>
      <c r="GPK30" s="11"/>
      <c r="GSR30" s="47"/>
      <c r="GSW30" s="47"/>
      <c r="GSY30" s="11"/>
      <c r="GWF30" s="47"/>
      <c r="GWK30" s="47"/>
      <c r="GWM30" s="11"/>
      <c r="GZT30" s="47"/>
      <c r="GZY30" s="47"/>
      <c r="HAA30" s="11"/>
      <c r="HDH30" s="47"/>
      <c r="HDM30" s="47"/>
      <c r="HDO30" s="11"/>
      <c r="HGV30" s="47"/>
      <c r="HHA30" s="47"/>
      <c r="HHC30" s="11"/>
      <c r="HKJ30" s="47"/>
      <c r="HKO30" s="47"/>
      <c r="HKQ30" s="11"/>
      <c r="HNX30" s="47"/>
      <c r="HOC30" s="47"/>
      <c r="HOE30" s="11"/>
      <c r="HRL30" s="47"/>
      <c r="HRQ30" s="47"/>
      <c r="HRS30" s="11"/>
      <c r="HUZ30" s="47"/>
      <c r="HVE30" s="47"/>
      <c r="HVG30" s="11"/>
      <c r="HYN30" s="47"/>
      <c r="HYS30" s="47"/>
      <c r="HYU30" s="11"/>
      <c r="ICB30" s="47"/>
      <c r="ICG30" s="47"/>
      <c r="ICI30" s="11"/>
      <c r="IFP30" s="47"/>
      <c r="IFU30" s="47"/>
      <c r="IFW30" s="11"/>
      <c r="IJD30" s="47"/>
      <c r="IJI30" s="47"/>
      <c r="IJK30" s="11"/>
      <c r="IMR30" s="47"/>
      <c r="IMW30" s="47"/>
      <c r="IMY30" s="11"/>
      <c r="IQF30" s="47"/>
      <c r="IQK30" s="47"/>
      <c r="IQM30" s="11"/>
      <c r="ITT30" s="47"/>
      <c r="ITY30" s="47"/>
      <c r="IUA30" s="11"/>
      <c r="IXH30" s="47"/>
      <c r="IXM30" s="47"/>
      <c r="IXO30" s="11"/>
      <c r="JAV30" s="47"/>
      <c r="JBA30" s="47"/>
      <c r="JBC30" s="11"/>
      <c r="JEJ30" s="47"/>
      <c r="JEO30" s="47"/>
      <c r="JEQ30" s="11"/>
      <c r="JHX30" s="47"/>
      <c r="JIC30" s="47"/>
      <c r="JIE30" s="11"/>
      <c r="JLL30" s="47"/>
      <c r="JLQ30" s="47"/>
      <c r="JLS30" s="11"/>
      <c r="JOZ30" s="47"/>
      <c r="JPE30" s="47"/>
      <c r="JPG30" s="11"/>
      <c r="JSN30" s="47"/>
      <c r="JSS30" s="47"/>
      <c r="JSU30" s="11"/>
      <c r="JWB30" s="47"/>
      <c r="JWG30" s="47"/>
      <c r="JWI30" s="11"/>
      <c r="JZP30" s="47"/>
      <c r="JZU30" s="47"/>
      <c r="JZW30" s="11"/>
      <c r="KDD30" s="47"/>
      <c r="KDI30" s="47"/>
      <c r="KDK30" s="11"/>
      <c r="KGR30" s="47"/>
      <c r="KGW30" s="47"/>
      <c r="KGY30" s="11"/>
      <c r="KKF30" s="47"/>
      <c r="KKK30" s="47"/>
      <c r="KKM30" s="11"/>
      <c r="KNT30" s="47"/>
      <c r="KNY30" s="47"/>
      <c r="KOA30" s="11"/>
      <c r="KRH30" s="47"/>
      <c r="KRM30" s="47"/>
      <c r="KRO30" s="11"/>
      <c r="KUV30" s="47"/>
      <c r="KVA30" s="47"/>
      <c r="KVC30" s="11"/>
      <c r="KYJ30" s="47"/>
      <c r="KYO30" s="47"/>
      <c r="KYQ30" s="11"/>
      <c r="LBX30" s="47"/>
      <c r="LCC30" s="47"/>
      <c r="LCE30" s="11"/>
      <c r="LFL30" s="47"/>
      <c r="LFQ30" s="47"/>
      <c r="LFS30" s="11"/>
      <c r="LIZ30" s="47"/>
      <c r="LJE30" s="47"/>
      <c r="LJG30" s="11"/>
      <c r="LMN30" s="47"/>
      <c r="LMS30" s="47"/>
      <c r="LMU30" s="11"/>
      <c r="LQB30" s="47"/>
      <c r="LQG30" s="47"/>
      <c r="LQI30" s="11"/>
      <c r="LTP30" s="47"/>
      <c r="LTU30" s="47"/>
      <c r="LTW30" s="11"/>
      <c r="LXD30" s="47"/>
      <c r="LXI30" s="47"/>
      <c r="LXK30" s="11"/>
      <c r="MAR30" s="47"/>
      <c r="MAW30" s="47"/>
      <c r="MAY30" s="11"/>
      <c r="MEF30" s="47"/>
      <c r="MEK30" s="47"/>
      <c r="MEM30" s="11"/>
      <c r="MHT30" s="47"/>
      <c r="MHY30" s="47"/>
      <c r="MIA30" s="11"/>
      <c r="MLH30" s="47"/>
      <c r="MLM30" s="47"/>
      <c r="MLO30" s="11"/>
      <c r="MOV30" s="47"/>
      <c r="MPA30" s="47"/>
      <c r="MPC30" s="11"/>
      <c r="MSJ30" s="47"/>
      <c r="MSO30" s="47"/>
      <c r="MSQ30" s="11"/>
      <c r="MVX30" s="47"/>
      <c r="MWC30" s="47"/>
      <c r="MWE30" s="11"/>
      <c r="MZL30" s="47"/>
      <c r="MZQ30" s="47"/>
      <c r="MZS30" s="11"/>
      <c r="NCZ30" s="47"/>
      <c r="NDE30" s="47"/>
      <c r="NDG30" s="11"/>
      <c r="NGN30" s="47"/>
      <c r="NGS30" s="47"/>
      <c r="NGU30" s="11"/>
      <c r="NKB30" s="47"/>
      <c r="NKG30" s="47"/>
      <c r="NKI30" s="11"/>
      <c r="NNP30" s="47"/>
      <c r="NNU30" s="47"/>
      <c r="NNW30" s="11"/>
      <c r="NRD30" s="47"/>
      <c r="NRI30" s="47"/>
      <c r="NRK30" s="11"/>
      <c r="NUR30" s="47"/>
      <c r="NUW30" s="47"/>
      <c r="NUY30" s="11"/>
      <c r="NYF30" s="47"/>
      <c r="NYK30" s="47"/>
      <c r="NYM30" s="11"/>
      <c r="OBT30" s="47"/>
      <c r="OBY30" s="47"/>
      <c r="OCA30" s="11"/>
      <c r="OFH30" s="47"/>
      <c r="OFM30" s="47"/>
      <c r="OFO30" s="11"/>
      <c r="OIV30" s="47"/>
      <c r="OJA30" s="47"/>
      <c r="OJC30" s="11"/>
      <c r="OMJ30" s="47"/>
      <c r="OMO30" s="47"/>
      <c r="OMQ30" s="11"/>
      <c r="OPX30" s="47"/>
      <c r="OQC30" s="47"/>
      <c r="OQE30" s="11"/>
      <c r="OTL30" s="47"/>
      <c r="OTQ30" s="47"/>
      <c r="OTS30" s="11"/>
      <c r="OWZ30" s="47"/>
      <c r="OXE30" s="47"/>
      <c r="OXG30" s="11"/>
      <c r="PAN30" s="47"/>
      <c r="PAS30" s="47"/>
      <c r="PAU30" s="11"/>
      <c r="PEB30" s="47"/>
      <c r="PEG30" s="47"/>
      <c r="PEI30" s="11"/>
      <c r="PHP30" s="47"/>
      <c r="PHU30" s="47"/>
      <c r="PHW30" s="11"/>
      <c r="PLD30" s="47"/>
      <c r="PLI30" s="47"/>
      <c r="PLK30" s="11"/>
      <c r="POR30" s="47"/>
      <c r="POW30" s="47"/>
      <c r="POY30" s="11"/>
      <c r="PSF30" s="47"/>
      <c r="PSK30" s="47"/>
      <c r="PSM30" s="11"/>
      <c r="PVT30" s="47"/>
      <c r="PVY30" s="47"/>
      <c r="PWA30" s="11"/>
      <c r="PZH30" s="47"/>
      <c r="PZM30" s="47"/>
      <c r="PZO30" s="11"/>
      <c r="QCV30" s="47"/>
      <c r="QDA30" s="47"/>
      <c r="QDC30" s="11"/>
      <c r="QGJ30" s="47"/>
      <c r="QGO30" s="47"/>
      <c r="QGQ30" s="11"/>
      <c r="QJX30" s="47"/>
      <c r="QKC30" s="47"/>
      <c r="QKE30" s="11"/>
      <c r="QNL30" s="47"/>
      <c r="QNQ30" s="47"/>
      <c r="QNS30" s="11"/>
      <c r="QQZ30" s="47"/>
      <c r="QRE30" s="47"/>
      <c r="QRG30" s="11"/>
      <c r="QUN30" s="47"/>
      <c r="QUS30" s="47"/>
      <c r="QUU30" s="11"/>
      <c r="QYB30" s="47"/>
      <c r="QYG30" s="47"/>
      <c r="QYI30" s="11"/>
      <c r="RBP30" s="47"/>
      <c r="RBU30" s="47"/>
      <c r="RBW30" s="11"/>
      <c r="RFD30" s="47"/>
      <c r="RFI30" s="47"/>
      <c r="RFK30" s="11"/>
      <c r="RIR30" s="47"/>
      <c r="RIW30" s="47"/>
      <c r="RIY30" s="11"/>
      <c r="RMF30" s="47"/>
      <c r="RMK30" s="47"/>
      <c r="RMM30" s="11"/>
      <c r="RPT30" s="47"/>
      <c r="RPY30" s="47"/>
      <c r="RQA30" s="11"/>
      <c r="RTH30" s="47"/>
      <c r="RTM30" s="47"/>
      <c r="RTO30" s="11"/>
      <c r="RWV30" s="47"/>
      <c r="RXA30" s="47"/>
      <c r="RXC30" s="11"/>
      <c r="SAJ30" s="47"/>
      <c r="SAO30" s="47"/>
      <c r="SAQ30" s="11"/>
      <c r="SDX30" s="47"/>
      <c r="SEC30" s="47"/>
      <c r="SEE30" s="11"/>
      <c r="SHL30" s="47"/>
      <c r="SHQ30" s="47"/>
      <c r="SHS30" s="11"/>
      <c r="SKZ30" s="47"/>
      <c r="SLE30" s="47"/>
      <c r="SLG30" s="11"/>
      <c r="SON30" s="47"/>
      <c r="SOS30" s="47"/>
      <c r="SOU30" s="11"/>
      <c r="SSB30" s="47"/>
      <c r="SSG30" s="47"/>
      <c r="SSI30" s="11"/>
      <c r="SVP30" s="47"/>
      <c r="SVU30" s="47"/>
      <c r="SVW30" s="11"/>
      <c r="SZD30" s="47"/>
      <c r="SZI30" s="47"/>
      <c r="SZK30" s="11"/>
      <c r="TCR30" s="47"/>
      <c r="TCW30" s="47"/>
      <c r="TCY30" s="11"/>
      <c r="TGF30" s="47"/>
      <c r="TGK30" s="47"/>
      <c r="TGM30" s="11"/>
      <c r="TJT30" s="47"/>
      <c r="TJY30" s="47"/>
      <c r="TKA30" s="11"/>
      <c r="TNH30" s="47"/>
      <c r="TNM30" s="47"/>
      <c r="TNO30" s="11"/>
      <c r="TQV30" s="47"/>
      <c r="TRA30" s="47"/>
      <c r="TRC30" s="11"/>
      <c r="TUJ30" s="47"/>
      <c r="TUO30" s="47"/>
      <c r="TUQ30" s="11"/>
      <c r="TXX30" s="47"/>
      <c r="TYC30" s="47"/>
      <c r="TYE30" s="11"/>
      <c r="UBL30" s="47"/>
      <c r="UBQ30" s="47"/>
      <c r="UBS30" s="11"/>
      <c r="UEZ30" s="47"/>
      <c r="UFE30" s="47"/>
      <c r="UFG30" s="11"/>
      <c r="UIN30" s="47"/>
      <c r="UIS30" s="47"/>
      <c r="UIU30" s="11"/>
      <c r="UMB30" s="47"/>
      <c r="UMG30" s="47"/>
      <c r="UMI30" s="11"/>
      <c r="UPP30" s="47"/>
      <c r="UPU30" s="47"/>
      <c r="UPW30" s="11"/>
      <c r="UTD30" s="47"/>
      <c r="UTI30" s="47"/>
      <c r="UTK30" s="11"/>
      <c r="UWR30" s="47"/>
      <c r="UWW30" s="47"/>
      <c r="UWY30" s="11"/>
      <c r="VAF30" s="47"/>
      <c r="VAK30" s="47"/>
      <c r="VAM30" s="11"/>
      <c r="VDT30" s="47"/>
      <c r="VDY30" s="47"/>
      <c r="VEA30" s="11"/>
      <c r="VHH30" s="47"/>
      <c r="VHM30" s="47"/>
      <c r="VHO30" s="11"/>
      <c r="VKV30" s="47"/>
      <c r="VLA30" s="47"/>
      <c r="VLC30" s="11"/>
      <c r="VOJ30" s="47"/>
      <c r="VOO30" s="47"/>
      <c r="VOQ30" s="11"/>
      <c r="VRX30" s="47"/>
      <c r="VSC30" s="47"/>
      <c r="VSE30" s="11"/>
      <c r="VVL30" s="47"/>
      <c r="VVQ30" s="47"/>
      <c r="VVS30" s="11"/>
      <c r="VYZ30" s="47"/>
      <c r="VZE30" s="47"/>
      <c r="VZG30" s="11"/>
      <c r="WCN30" s="47"/>
      <c r="WCS30" s="47"/>
      <c r="WCU30" s="11"/>
      <c r="WGB30" s="47"/>
      <c r="WGG30" s="47"/>
      <c r="WGI30" s="11"/>
      <c r="WJP30" s="47"/>
      <c r="WJU30" s="47"/>
      <c r="WJW30" s="11"/>
      <c r="WND30" s="47"/>
      <c r="WNI30" s="47"/>
      <c r="WNK30" s="11"/>
      <c r="WQR30" s="47"/>
      <c r="WQW30" s="47"/>
      <c r="WQY30" s="11"/>
      <c r="WUF30" s="47"/>
      <c r="WUK30" s="47"/>
      <c r="WUM30" s="11"/>
      <c r="WXT30" s="47"/>
      <c r="WXY30" s="47"/>
      <c r="WYA30" s="11"/>
      <c r="XBH30" s="47"/>
      <c r="XBM30" s="47"/>
      <c r="XBO30" s="11"/>
      <c r="XEV30" s="47"/>
      <c r="XFA30" s="47"/>
      <c r="XFC30" s="11"/>
    </row>
    <row r="31" spans="1:1019 1104:2031 2116:3043 3128:4055 4140:5067 5152:6079 6164:7091 7176:8188 8193:9207 9292:10219 10304:11231 11316:12243 12328:13255 13340:14267 14352:15279 15364:16383" s="10" customFormat="1" ht="14.65" customHeight="1">
      <c r="E31" s="47"/>
      <c r="G31" s="11"/>
      <c r="CS31" s="47"/>
      <c r="CU31" s="11"/>
      <c r="GB31" s="47"/>
      <c r="GG31" s="47"/>
      <c r="GI31" s="11"/>
      <c r="JP31" s="47"/>
      <c r="JU31" s="47"/>
      <c r="JW31" s="11"/>
      <c r="ND31" s="47"/>
      <c r="NI31" s="47"/>
      <c r="NK31" s="11"/>
      <c r="QR31" s="47"/>
      <c r="QW31" s="47"/>
      <c r="QY31" s="11"/>
      <c r="UF31" s="47"/>
      <c r="UK31" s="47"/>
      <c r="UM31" s="11"/>
      <c r="XT31" s="47"/>
      <c r="XY31" s="47"/>
      <c r="YA31" s="11"/>
      <c r="ABH31" s="47"/>
      <c r="ABM31" s="47"/>
      <c r="ABO31" s="11"/>
      <c r="AEV31" s="47"/>
      <c r="AFA31" s="47"/>
      <c r="AFC31" s="11"/>
      <c r="AIJ31" s="47"/>
      <c r="AIO31" s="47"/>
      <c r="AIQ31" s="11"/>
      <c r="ALX31" s="47"/>
      <c r="AMC31" s="47"/>
      <c r="AME31" s="11"/>
      <c r="APL31" s="47"/>
      <c r="APQ31" s="47"/>
      <c r="APS31" s="11"/>
      <c r="ASZ31" s="47"/>
      <c r="ATE31" s="47"/>
      <c r="ATG31" s="11"/>
      <c r="AWN31" s="47"/>
      <c r="AWS31" s="47"/>
      <c r="AWU31" s="11"/>
      <c r="BAB31" s="47"/>
      <c r="BAG31" s="47"/>
      <c r="BAI31" s="11"/>
      <c r="BDP31" s="47"/>
      <c r="BDU31" s="47"/>
      <c r="BDW31" s="11"/>
      <c r="BHD31" s="47"/>
      <c r="BHI31" s="47"/>
      <c r="BHK31" s="11"/>
      <c r="BKR31" s="47"/>
      <c r="BKW31" s="47"/>
      <c r="BKY31" s="11"/>
      <c r="BOF31" s="47"/>
      <c r="BOK31" s="47"/>
      <c r="BOM31" s="11"/>
      <c r="BRT31" s="47"/>
      <c r="BRY31" s="47"/>
      <c r="BSA31" s="11"/>
      <c r="BVH31" s="47"/>
      <c r="BVM31" s="47"/>
      <c r="BVO31" s="11"/>
      <c r="BYV31" s="47"/>
      <c r="BZA31" s="47"/>
      <c r="BZC31" s="11"/>
      <c r="CCJ31" s="47"/>
      <c r="CCO31" s="47"/>
      <c r="CCQ31" s="11"/>
      <c r="CFX31" s="47"/>
      <c r="CGC31" s="47"/>
      <c r="CGE31" s="11"/>
      <c r="CJL31" s="47"/>
      <c r="CJQ31" s="47"/>
      <c r="CJS31" s="11"/>
      <c r="CMZ31" s="47"/>
      <c r="CNE31" s="47"/>
      <c r="CNG31" s="11"/>
      <c r="CQN31" s="47"/>
      <c r="CQS31" s="47"/>
      <c r="CQU31" s="11"/>
      <c r="CUB31" s="47"/>
      <c r="CUG31" s="47"/>
      <c r="CUI31" s="11"/>
      <c r="CXP31" s="47"/>
      <c r="CXU31" s="47"/>
      <c r="CXW31" s="11"/>
      <c r="DBD31" s="47"/>
      <c r="DBI31" s="47"/>
      <c r="DBK31" s="11"/>
      <c r="DER31" s="47"/>
      <c r="DEW31" s="47"/>
      <c r="DEY31" s="11"/>
      <c r="DIF31" s="47"/>
      <c r="DIK31" s="47"/>
      <c r="DIM31" s="11"/>
      <c r="DLT31" s="47"/>
      <c r="DLY31" s="47"/>
      <c r="DMA31" s="11"/>
      <c r="DPH31" s="47"/>
      <c r="DPM31" s="47"/>
      <c r="DPO31" s="11"/>
      <c r="DSV31" s="47"/>
      <c r="DTA31" s="47"/>
      <c r="DTC31" s="11"/>
      <c r="DWJ31" s="47"/>
      <c r="DWO31" s="47"/>
      <c r="DWQ31" s="11"/>
      <c r="DZX31" s="47"/>
      <c r="EAC31" s="47"/>
      <c r="EAE31" s="11"/>
      <c r="EDL31" s="47"/>
      <c r="EDQ31" s="47"/>
      <c r="EDS31" s="11"/>
      <c r="EGZ31" s="47"/>
      <c r="EHE31" s="47"/>
      <c r="EHG31" s="11"/>
      <c r="EKN31" s="47"/>
      <c r="EKS31" s="47"/>
      <c r="EKU31" s="11"/>
      <c r="EOB31" s="47"/>
      <c r="EOG31" s="47"/>
      <c r="EOI31" s="11"/>
      <c r="ERP31" s="47"/>
      <c r="ERU31" s="47"/>
      <c r="ERW31" s="11"/>
      <c r="EVD31" s="47"/>
      <c r="EVI31" s="47"/>
      <c r="EVK31" s="11"/>
      <c r="EYR31" s="47"/>
      <c r="EYW31" s="47"/>
      <c r="EYY31" s="11"/>
      <c r="FCF31" s="47"/>
      <c r="FCK31" s="47"/>
      <c r="FCM31" s="11"/>
      <c r="FFT31" s="47"/>
      <c r="FFY31" s="47"/>
      <c r="FGA31" s="11"/>
      <c r="FJH31" s="47"/>
      <c r="FJM31" s="47"/>
      <c r="FJO31" s="11"/>
      <c r="FMV31" s="47"/>
      <c r="FNA31" s="47"/>
      <c r="FNC31" s="11"/>
      <c r="FQJ31" s="47"/>
      <c r="FQO31" s="47"/>
      <c r="FQQ31" s="11"/>
      <c r="FTX31" s="47"/>
      <c r="FUC31" s="47"/>
      <c r="FUE31" s="11"/>
      <c r="FXL31" s="47"/>
      <c r="FXQ31" s="47"/>
      <c r="FXS31" s="11"/>
      <c r="GAZ31" s="47"/>
      <c r="GBE31" s="47"/>
      <c r="GBG31" s="11"/>
      <c r="GEN31" s="47"/>
      <c r="GES31" s="47"/>
      <c r="GEU31" s="11"/>
      <c r="GIB31" s="47"/>
      <c r="GIG31" s="47"/>
      <c r="GII31" s="11"/>
      <c r="GLP31" s="47"/>
      <c r="GLU31" s="47"/>
      <c r="GLW31" s="11"/>
      <c r="GPD31" s="47"/>
      <c r="GPI31" s="47"/>
      <c r="GPK31" s="11"/>
      <c r="GSR31" s="47"/>
      <c r="GSW31" s="47"/>
      <c r="GSY31" s="11"/>
      <c r="GWF31" s="47"/>
      <c r="GWK31" s="47"/>
      <c r="GWM31" s="11"/>
      <c r="GZT31" s="47"/>
      <c r="GZY31" s="47"/>
      <c r="HAA31" s="11"/>
      <c r="HDH31" s="47"/>
      <c r="HDM31" s="47"/>
      <c r="HDO31" s="11"/>
      <c r="HGV31" s="47"/>
      <c r="HHA31" s="47"/>
      <c r="HHC31" s="11"/>
      <c r="HKJ31" s="47"/>
      <c r="HKO31" s="47"/>
      <c r="HKQ31" s="11"/>
      <c r="HNX31" s="47"/>
      <c r="HOC31" s="47"/>
      <c r="HOE31" s="11"/>
      <c r="HRL31" s="47"/>
      <c r="HRQ31" s="47"/>
      <c r="HRS31" s="11"/>
      <c r="HUZ31" s="47"/>
      <c r="HVE31" s="47"/>
      <c r="HVG31" s="11"/>
      <c r="HYN31" s="47"/>
      <c r="HYS31" s="47"/>
      <c r="HYU31" s="11"/>
      <c r="ICB31" s="47"/>
      <c r="ICG31" s="47"/>
      <c r="ICI31" s="11"/>
      <c r="IFP31" s="47"/>
      <c r="IFU31" s="47"/>
      <c r="IFW31" s="11"/>
      <c r="IJD31" s="47"/>
      <c r="IJI31" s="47"/>
      <c r="IJK31" s="11"/>
      <c r="IMR31" s="47"/>
      <c r="IMW31" s="47"/>
      <c r="IMY31" s="11"/>
      <c r="IQF31" s="47"/>
      <c r="IQK31" s="47"/>
      <c r="IQM31" s="11"/>
      <c r="ITT31" s="47"/>
      <c r="ITY31" s="47"/>
      <c r="IUA31" s="11"/>
      <c r="IXH31" s="47"/>
      <c r="IXM31" s="47"/>
      <c r="IXO31" s="11"/>
      <c r="JAV31" s="47"/>
      <c r="JBA31" s="47"/>
      <c r="JBC31" s="11"/>
      <c r="JEJ31" s="47"/>
      <c r="JEO31" s="47"/>
      <c r="JEQ31" s="11"/>
      <c r="JHX31" s="47"/>
      <c r="JIC31" s="47"/>
      <c r="JIE31" s="11"/>
      <c r="JLL31" s="47"/>
      <c r="JLQ31" s="47"/>
      <c r="JLS31" s="11"/>
      <c r="JOZ31" s="47"/>
      <c r="JPE31" s="47"/>
      <c r="JPG31" s="11"/>
      <c r="JSN31" s="47"/>
      <c r="JSS31" s="47"/>
      <c r="JSU31" s="11"/>
      <c r="JWB31" s="47"/>
      <c r="JWG31" s="47"/>
      <c r="JWI31" s="11"/>
      <c r="JZP31" s="47"/>
      <c r="JZU31" s="47"/>
      <c r="JZW31" s="11"/>
      <c r="KDD31" s="47"/>
      <c r="KDI31" s="47"/>
      <c r="KDK31" s="11"/>
      <c r="KGR31" s="47"/>
      <c r="KGW31" s="47"/>
      <c r="KGY31" s="11"/>
      <c r="KKF31" s="47"/>
      <c r="KKK31" s="47"/>
      <c r="KKM31" s="11"/>
      <c r="KNT31" s="47"/>
      <c r="KNY31" s="47"/>
      <c r="KOA31" s="11"/>
      <c r="KRH31" s="47"/>
      <c r="KRM31" s="47"/>
      <c r="KRO31" s="11"/>
      <c r="KUV31" s="47"/>
      <c r="KVA31" s="47"/>
      <c r="KVC31" s="11"/>
      <c r="KYJ31" s="47"/>
      <c r="KYO31" s="47"/>
      <c r="KYQ31" s="11"/>
      <c r="LBX31" s="47"/>
      <c r="LCC31" s="47"/>
      <c r="LCE31" s="11"/>
      <c r="LFL31" s="47"/>
      <c r="LFQ31" s="47"/>
      <c r="LFS31" s="11"/>
      <c r="LIZ31" s="47"/>
      <c r="LJE31" s="47"/>
      <c r="LJG31" s="11"/>
      <c r="LMN31" s="47"/>
      <c r="LMS31" s="47"/>
      <c r="LMU31" s="11"/>
      <c r="LQB31" s="47"/>
      <c r="LQG31" s="47"/>
      <c r="LQI31" s="11"/>
      <c r="LTP31" s="47"/>
      <c r="LTU31" s="47"/>
      <c r="LTW31" s="11"/>
      <c r="LXD31" s="47"/>
      <c r="LXI31" s="47"/>
      <c r="LXK31" s="11"/>
      <c r="MAR31" s="47"/>
      <c r="MAW31" s="47"/>
      <c r="MAY31" s="11"/>
      <c r="MEF31" s="47"/>
      <c r="MEK31" s="47"/>
      <c r="MEM31" s="11"/>
      <c r="MHT31" s="47"/>
      <c r="MHY31" s="47"/>
      <c r="MIA31" s="11"/>
      <c r="MLH31" s="47"/>
      <c r="MLM31" s="47"/>
      <c r="MLO31" s="11"/>
      <c r="MOV31" s="47"/>
      <c r="MPA31" s="47"/>
      <c r="MPC31" s="11"/>
      <c r="MSJ31" s="47"/>
      <c r="MSO31" s="47"/>
      <c r="MSQ31" s="11"/>
      <c r="MVX31" s="47"/>
      <c r="MWC31" s="47"/>
      <c r="MWE31" s="11"/>
      <c r="MZL31" s="47"/>
      <c r="MZQ31" s="47"/>
      <c r="MZS31" s="11"/>
      <c r="NCZ31" s="47"/>
      <c r="NDE31" s="47"/>
      <c r="NDG31" s="11"/>
      <c r="NGN31" s="47"/>
      <c r="NGS31" s="47"/>
      <c r="NGU31" s="11"/>
      <c r="NKB31" s="47"/>
      <c r="NKG31" s="47"/>
      <c r="NKI31" s="11"/>
      <c r="NNP31" s="47"/>
      <c r="NNU31" s="47"/>
      <c r="NNW31" s="11"/>
      <c r="NRD31" s="47"/>
      <c r="NRI31" s="47"/>
      <c r="NRK31" s="11"/>
      <c r="NUR31" s="47"/>
      <c r="NUW31" s="47"/>
      <c r="NUY31" s="11"/>
      <c r="NYF31" s="47"/>
      <c r="NYK31" s="47"/>
      <c r="NYM31" s="11"/>
      <c r="OBT31" s="47"/>
      <c r="OBY31" s="47"/>
      <c r="OCA31" s="11"/>
      <c r="OFH31" s="47"/>
      <c r="OFM31" s="47"/>
      <c r="OFO31" s="11"/>
      <c r="OIV31" s="47"/>
      <c r="OJA31" s="47"/>
      <c r="OJC31" s="11"/>
      <c r="OMJ31" s="47"/>
      <c r="OMO31" s="47"/>
      <c r="OMQ31" s="11"/>
      <c r="OPX31" s="47"/>
      <c r="OQC31" s="47"/>
      <c r="OQE31" s="11"/>
      <c r="OTL31" s="47"/>
      <c r="OTQ31" s="47"/>
      <c r="OTS31" s="11"/>
      <c r="OWZ31" s="47"/>
      <c r="OXE31" s="47"/>
      <c r="OXG31" s="11"/>
      <c r="PAN31" s="47"/>
      <c r="PAS31" s="47"/>
      <c r="PAU31" s="11"/>
      <c r="PEB31" s="47"/>
      <c r="PEG31" s="47"/>
      <c r="PEI31" s="11"/>
      <c r="PHP31" s="47"/>
      <c r="PHU31" s="47"/>
      <c r="PHW31" s="11"/>
      <c r="PLD31" s="47"/>
      <c r="PLI31" s="47"/>
      <c r="PLK31" s="11"/>
      <c r="POR31" s="47"/>
      <c r="POW31" s="47"/>
      <c r="POY31" s="11"/>
      <c r="PSF31" s="47"/>
      <c r="PSK31" s="47"/>
      <c r="PSM31" s="11"/>
      <c r="PVT31" s="47"/>
      <c r="PVY31" s="47"/>
      <c r="PWA31" s="11"/>
      <c r="PZH31" s="47"/>
      <c r="PZM31" s="47"/>
      <c r="PZO31" s="11"/>
      <c r="QCV31" s="47"/>
      <c r="QDA31" s="47"/>
      <c r="QDC31" s="11"/>
      <c r="QGJ31" s="47"/>
      <c r="QGO31" s="47"/>
      <c r="QGQ31" s="11"/>
      <c r="QJX31" s="47"/>
      <c r="QKC31" s="47"/>
      <c r="QKE31" s="11"/>
      <c r="QNL31" s="47"/>
      <c r="QNQ31" s="47"/>
      <c r="QNS31" s="11"/>
      <c r="QQZ31" s="47"/>
      <c r="QRE31" s="47"/>
      <c r="QRG31" s="11"/>
      <c r="QUN31" s="47"/>
      <c r="QUS31" s="47"/>
      <c r="QUU31" s="11"/>
      <c r="QYB31" s="47"/>
      <c r="QYG31" s="47"/>
      <c r="QYI31" s="11"/>
      <c r="RBP31" s="47"/>
      <c r="RBU31" s="47"/>
      <c r="RBW31" s="11"/>
      <c r="RFD31" s="47"/>
      <c r="RFI31" s="47"/>
      <c r="RFK31" s="11"/>
      <c r="RIR31" s="47"/>
      <c r="RIW31" s="47"/>
      <c r="RIY31" s="11"/>
      <c r="RMF31" s="47"/>
      <c r="RMK31" s="47"/>
      <c r="RMM31" s="11"/>
      <c r="RPT31" s="47"/>
      <c r="RPY31" s="47"/>
      <c r="RQA31" s="11"/>
      <c r="RTH31" s="47"/>
      <c r="RTM31" s="47"/>
      <c r="RTO31" s="11"/>
      <c r="RWV31" s="47"/>
      <c r="RXA31" s="47"/>
      <c r="RXC31" s="11"/>
      <c r="SAJ31" s="47"/>
      <c r="SAO31" s="47"/>
      <c r="SAQ31" s="11"/>
      <c r="SDX31" s="47"/>
      <c r="SEC31" s="47"/>
      <c r="SEE31" s="11"/>
      <c r="SHL31" s="47"/>
      <c r="SHQ31" s="47"/>
      <c r="SHS31" s="11"/>
      <c r="SKZ31" s="47"/>
      <c r="SLE31" s="47"/>
      <c r="SLG31" s="11"/>
      <c r="SON31" s="47"/>
      <c r="SOS31" s="47"/>
      <c r="SOU31" s="11"/>
      <c r="SSB31" s="47"/>
      <c r="SSG31" s="47"/>
      <c r="SSI31" s="11"/>
      <c r="SVP31" s="47"/>
      <c r="SVU31" s="47"/>
      <c r="SVW31" s="11"/>
      <c r="SZD31" s="47"/>
      <c r="SZI31" s="47"/>
      <c r="SZK31" s="11"/>
      <c r="TCR31" s="47"/>
      <c r="TCW31" s="47"/>
      <c r="TCY31" s="11"/>
      <c r="TGF31" s="47"/>
      <c r="TGK31" s="47"/>
      <c r="TGM31" s="11"/>
      <c r="TJT31" s="47"/>
      <c r="TJY31" s="47"/>
      <c r="TKA31" s="11"/>
      <c r="TNH31" s="47"/>
      <c r="TNM31" s="47"/>
      <c r="TNO31" s="11"/>
      <c r="TQV31" s="47"/>
      <c r="TRA31" s="47"/>
      <c r="TRC31" s="11"/>
      <c r="TUJ31" s="47"/>
      <c r="TUO31" s="47"/>
      <c r="TUQ31" s="11"/>
      <c r="TXX31" s="47"/>
      <c r="TYC31" s="47"/>
      <c r="TYE31" s="11"/>
      <c r="UBL31" s="47"/>
      <c r="UBQ31" s="47"/>
      <c r="UBS31" s="11"/>
      <c r="UEZ31" s="47"/>
      <c r="UFE31" s="47"/>
      <c r="UFG31" s="11"/>
      <c r="UIN31" s="47"/>
      <c r="UIS31" s="47"/>
      <c r="UIU31" s="11"/>
      <c r="UMB31" s="47"/>
      <c r="UMG31" s="47"/>
      <c r="UMI31" s="11"/>
      <c r="UPP31" s="47"/>
      <c r="UPU31" s="47"/>
      <c r="UPW31" s="11"/>
      <c r="UTD31" s="47"/>
      <c r="UTI31" s="47"/>
      <c r="UTK31" s="11"/>
      <c r="UWR31" s="47"/>
      <c r="UWW31" s="47"/>
      <c r="UWY31" s="11"/>
      <c r="VAF31" s="47"/>
      <c r="VAK31" s="47"/>
      <c r="VAM31" s="11"/>
      <c r="VDT31" s="47"/>
      <c r="VDY31" s="47"/>
      <c r="VEA31" s="11"/>
      <c r="VHH31" s="47"/>
      <c r="VHM31" s="47"/>
      <c r="VHO31" s="11"/>
      <c r="VKV31" s="47"/>
      <c r="VLA31" s="47"/>
      <c r="VLC31" s="11"/>
      <c r="VOJ31" s="47"/>
      <c r="VOO31" s="47"/>
      <c r="VOQ31" s="11"/>
      <c r="VRX31" s="47"/>
      <c r="VSC31" s="47"/>
      <c r="VSE31" s="11"/>
      <c r="VVL31" s="47"/>
      <c r="VVQ31" s="47"/>
      <c r="VVS31" s="11"/>
      <c r="VYZ31" s="47"/>
      <c r="VZE31" s="47"/>
      <c r="VZG31" s="11"/>
      <c r="WCN31" s="47"/>
      <c r="WCS31" s="47"/>
      <c r="WCU31" s="11"/>
      <c r="WGB31" s="47"/>
      <c r="WGG31" s="47"/>
      <c r="WGI31" s="11"/>
      <c r="WJP31" s="47"/>
      <c r="WJU31" s="47"/>
      <c r="WJW31" s="11"/>
      <c r="WND31" s="47"/>
      <c r="WNI31" s="47"/>
      <c r="WNK31" s="11"/>
      <c r="WQR31" s="47"/>
      <c r="WQW31" s="47"/>
      <c r="WQY31" s="11"/>
      <c r="WUF31" s="47"/>
      <c r="WUK31" s="47"/>
      <c r="WUM31" s="11"/>
      <c r="WXT31" s="47"/>
      <c r="WXY31" s="47"/>
      <c r="WYA31" s="11"/>
      <c r="XBH31" s="47"/>
      <c r="XBM31" s="47"/>
      <c r="XBO31" s="11"/>
      <c r="XEV31" s="47"/>
      <c r="XFA31" s="47"/>
      <c r="XFC31" s="11"/>
    </row>
    <row r="32" spans="1:1019 1104:2031 2116:3043 3128:4055 4140:5067 5152:6079 6164:7091 7176:8188 8193:9207 9292:10219 10304:11231 11316:12243 12328:13255 13340:14267 14352:15279 15364:16383" s="10" customFormat="1" ht="14.65" customHeight="1" thickBot="1">
      <c r="C32" s="12" t="s">
        <v>987</v>
      </c>
      <c r="D32" s="12"/>
      <c r="E32" s="12"/>
      <c r="F32" s="12"/>
      <c r="G32" s="360"/>
      <c r="H32" s="12"/>
      <c r="I32" s="12"/>
      <c r="CS32" s="47"/>
      <c r="CU32" s="11"/>
      <c r="GB32" s="47"/>
      <c r="GG32" s="47"/>
      <c r="GI32" s="11"/>
      <c r="JP32" s="47"/>
      <c r="JU32" s="47"/>
      <c r="JW32" s="11"/>
      <c r="ND32" s="47"/>
      <c r="NI32" s="47"/>
      <c r="NK32" s="11"/>
      <c r="QR32" s="47"/>
      <c r="QW32" s="47"/>
      <c r="QY32" s="11"/>
      <c r="UF32" s="47"/>
      <c r="UK32" s="47"/>
      <c r="UM32" s="11"/>
      <c r="XT32" s="47"/>
      <c r="XY32" s="47"/>
      <c r="YA32" s="11"/>
      <c r="ABH32" s="47"/>
      <c r="ABM32" s="47"/>
      <c r="ABO32" s="11"/>
      <c r="AEV32" s="47"/>
      <c r="AFA32" s="47"/>
      <c r="AFC32" s="11"/>
      <c r="AIJ32" s="47"/>
      <c r="AIO32" s="47"/>
      <c r="AIQ32" s="11"/>
      <c r="ALX32" s="47"/>
      <c r="AMC32" s="47"/>
      <c r="AME32" s="11"/>
      <c r="APL32" s="47"/>
      <c r="APQ32" s="47"/>
      <c r="APS32" s="11"/>
      <c r="ASZ32" s="47"/>
      <c r="ATE32" s="47"/>
      <c r="ATG32" s="11"/>
      <c r="AWN32" s="47"/>
      <c r="AWS32" s="47"/>
      <c r="AWU32" s="11"/>
      <c r="BAB32" s="47"/>
      <c r="BAG32" s="47"/>
      <c r="BAI32" s="11"/>
      <c r="BDP32" s="47"/>
      <c r="BDU32" s="47"/>
      <c r="BDW32" s="11"/>
      <c r="BHD32" s="47"/>
      <c r="BHI32" s="47"/>
      <c r="BHK32" s="11"/>
      <c r="BKR32" s="47"/>
      <c r="BKW32" s="47"/>
      <c r="BKY32" s="11"/>
      <c r="BOF32" s="47"/>
      <c r="BOK32" s="47"/>
      <c r="BOM32" s="11"/>
      <c r="BRT32" s="47"/>
      <c r="BRY32" s="47"/>
      <c r="BSA32" s="11"/>
      <c r="BVH32" s="47"/>
      <c r="BVM32" s="47"/>
      <c r="BVO32" s="11"/>
      <c r="BYV32" s="47"/>
      <c r="BZA32" s="47"/>
      <c r="BZC32" s="11"/>
      <c r="CCJ32" s="47"/>
      <c r="CCO32" s="47"/>
      <c r="CCQ32" s="11"/>
      <c r="CFX32" s="47"/>
      <c r="CGC32" s="47"/>
      <c r="CGE32" s="11"/>
      <c r="CJL32" s="47"/>
      <c r="CJQ32" s="47"/>
      <c r="CJS32" s="11"/>
      <c r="CMZ32" s="47"/>
      <c r="CNE32" s="47"/>
      <c r="CNG32" s="11"/>
      <c r="CQN32" s="47"/>
      <c r="CQS32" s="47"/>
      <c r="CQU32" s="11"/>
      <c r="CUB32" s="47"/>
      <c r="CUG32" s="47"/>
      <c r="CUI32" s="11"/>
      <c r="CXP32" s="47"/>
      <c r="CXU32" s="47"/>
      <c r="CXW32" s="11"/>
      <c r="DBD32" s="47"/>
      <c r="DBI32" s="47"/>
      <c r="DBK32" s="11"/>
      <c r="DER32" s="47"/>
      <c r="DEW32" s="47"/>
      <c r="DEY32" s="11"/>
      <c r="DIF32" s="47"/>
      <c r="DIK32" s="47"/>
      <c r="DIM32" s="11"/>
      <c r="DLT32" s="47"/>
      <c r="DLY32" s="47"/>
      <c r="DMA32" s="11"/>
      <c r="DPH32" s="47"/>
      <c r="DPM32" s="47"/>
      <c r="DPO32" s="11"/>
      <c r="DSV32" s="47"/>
      <c r="DTA32" s="47"/>
      <c r="DTC32" s="11"/>
      <c r="DWJ32" s="47"/>
      <c r="DWO32" s="47"/>
      <c r="DWQ32" s="11"/>
      <c r="DZX32" s="47"/>
      <c r="EAC32" s="47"/>
      <c r="EAE32" s="11"/>
      <c r="EDL32" s="47"/>
      <c r="EDQ32" s="47"/>
      <c r="EDS32" s="11"/>
      <c r="EGZ32" s="47"/>
      <c r="EHE32" s="47"/>
      <c r="EHG32" s="11"/>
      <c r="EKN32" s="47"/>
      <c r="EKS32" s="47"/>
      <c r="EKU32" s="11"/>
      <c r="EOB32" s="47"/>
      <c r="EOG32" s="47"/>
      <c r="EOI32" s="11"/>
      <c r="ERP32" s="47"/>
      <c r="ERU32" s="47"/>
      <c r="ERW32" s="11"/>
      <c r="EVD32" s="47"/>
      <c r="EVI32" s="47"/>
      <c r="EVK32" s="11"/>
      <c r="EYR32" s="47"/>
      <c r="EYW32" s="47"/>
      <c r="EYY32" s="11"/>
      <c r="FCF32" s="47"/>
      <c r="FCK32" s="47"/>
      <c r="FCM32" s="11"/>
      <c r="FFT32" s="47"/>
      <c r="FFY32" s="47"/>
      <c r="FGA32" s="11"/>
      <c r="FJH32" s="47"/>
      <c r="FJM32" s="47"/>
      <c r="FJO32" s="11"/>
      <c r="FMV32" s="47"/>
      <c r="FNA32" s="47"/>
      <c r="FNC32" s="11"/>
      <c r="FQJ32" s="47"/>
      <c r="FQO32" s="47"/>
      <c r="FQQ32" s="11"/>
      <c r="FTX32" s="47"/>
      <c r="FUC32" s="47"/>
      <c r="FUE32" s="11"/>
      <c r="FXL32" s="47"/>
      <c r="FXQ32" s="47"/>
      <c r="FXS32" s="11"/>
      <c r="GAZ32" s="47"/>
      <c r="GBE32" s="47"/>
      <c r="GBG32" s="11"/>
      <c r="GEN32" s="47"/>
      <c r="GES32" s="47"/>
      <c r="GEU32" s="11"/>
      <c r="GIB32" s="47"/>
      <c r="GIG32" s="47"/>
      <c r="GII32" s="11"/>
      <c r="GLP32" s="47"/>
      <c r="GLU32" s="47"/>
      <c r="GLW32" s="11"/>
      <c r="GPD32" s="47"/>
      <c r="GPI32" s="47"/>
      <c r="GPK32" s="11"/>
      <c r="GSR32" s="47"/>
      <c r="GSW32" s="47"/>
      <c r="GSY32" s="11"/>
      <c r="GWF32" s="47"/>
      <c r="GWK32" s="47"/>
      <c r="GWM32" s="11"/>
      <c r="GZT32" s="47"/>
      <c r="GZY32" s="47"/>
      <c r="HAA32" s="11"/>
      <c r="HDH32" s="47"/>
      <c r="HDM32" s="47"/>
      <c r="HDO32" s="11"/>
      <c r="HGV32" s="47"/>
      <c r="HHA32" s="47"/>
      <c r="HHC32" s="11"/>
      <c r="HKJ32" s="47"/>
      <c r="HKO32" s="47"/>
      <c r="HKQ32" s="11"/>
      <c r="HNX32" s="47"/>
      <c r="HOC32" s="47"/>
      <c r="HOE32" s="11"/>
      <c r="HRL32" s="47"/>
      <c r="HRQ32" s="47"/>
      <c r="HRS32" s="11"/>
      <c r="HUZ32" s="47"/>
      <c r="HVE32" s="47"/>
      <c r="HVG32" s="11"/>
      <c r="HYN32" s="47"/>
      <c r="HYS32" s="47"/>
      <c r="HYU32" s="11"/>
      <c r="ICB32" s="47"/>
      <c r="ICG32" s="47"/>
      <c r="ICI32" s="11"/>
      <c r="IFP32" s="47"/>
      <c r="IFU32" s="47"/>
      <c r="IFW32" s="11"/>
      <c r="IJD32" s="47"/>
      <c r="IJI32" s="47"/>
      <c r="IJK32" s="11"/>
      <c r="IMR32" s="47"/>
      <c r="IMW32" s="47"/>
      <c r="IMY32" s="11"/>
      <c r="IQF32" s="47"/>
      <c r="IQK32" s="47"/>
      <c r="IQM32" s="11"/>
      <c r="ITT32" s="47"/>
      <c r="ITY32" s="47"/>
      <c r="IUA32" s="11"/>
      <c r="IXH32" s="47"/>
      <c r="IXM32" s="47"/>
      <c r="IXO32" s="11"/>
      <c r="JAV32" s="47"/>
      <c r="JBA32" s="47"/>
      <c r="JBC32" s="11"/>
      <c r="JEJ32" s="47"/>
      <c r="JEO32" s="47"/>
      <c r="JEQ32" s="11"/>
      <c r="JHX32" s="47"/>
      <c r="JIC32" s="47"/>
      <c r="JIE32" s="11"/>
      <c r="JLL32" s="47"/>
      <c r="JLQ32" s="47"/>
      <c r="JLS32" s="11"/>
      <c r="JOZ32" s="47"/>
      <c r="JPE32" s="47"/>
      <c r="JPG32" s="11"/>
      <c r="JSN32" s="47"/>
      <c r="JSS32" s="47"/>
      <c r="JSU32" s="11"/>
      <c r="JWB32" s="47"/>
      <c r="JWG32" s="47"/>
      <c r="JWI32" s="11"/>
      <c r="JZP32" s="47"/>
      <c r="JZU32" s="47"/>
      <c r="JZW32" s="11"/>
      <c r="KDD32" s="47"/>
      <c r="KDI32" s="47"/>
      <c r="KDK32" s="11"/>
      <c r="KGR32" s="47"/>
      <c r="KGW32" s="47"/>
      <c r="KGY32" s="11"/>
      <c r="KKF32" s="47"/>
      <c r="KKK32" s="47"/>
      <c r="KKM32" s="11"/>
      <c r="KNT32" s="47"/>
      <c r="KNY32" s="47"/>
      <c r="KOA32" s="11"/>
      <c r="KRH32" s="47"/>
      <c r="KRM32" s="47"/>
      <c r="KRO32" s="11"/>
      <c r="KUV32" s="47"/>
      <c r="KVA32" s="47"/>
      <c r="KVC32" s="11"/>
      <c r="KYJ32" s="47"/>
      <c r="KYO32" s="47"/>
      <c r="KYQ32" s="11"/>
      <c r="LBX32" s="47"/>
      <c r="LCC32" s="47"/>
      <c r="LCE32" s="11"/>
      <c r="LFL32" s="47"/>
      <c r="LFQ32" s="47"/>
      <c r="LFS32" s="11"/>
      <c r="LIZ32" s="47"/>
      <c r="LJE32" s="47"/>
      <c r="LJG32" s="11"/>
      <c r="LMN32" s="47"/>
      <c r="LMS32" s="47"/>
      <c r="LMU32" s="11"/>
      <c r="LQB32" s="47"/>
      <c r="LQG32" s="47"/>
      <c r="LQI32" s="11"/>
      <c r="LTP32" s="47"/>
      <c r="LTU32" s="47"/>
      <c r="LTW32" s="11"/>
      <c r="LXD32" s="47"/>
      <c r="LXI32" s="47"/>
      <c r="LXK32" s="11"/>
      <c r="MAR32" s="47"/>
      <c r="MAW32" s="47"/>
      <c r="MAY32" s="11"/>
      <c r="MEF32" s="47"/>
      <c r="MEK32" s="47"/>
      <c r="MEM32" s="11"/>
      <c r="MHT32" s="47"/>
      <c r="MHY32" s="47"/>
      <c r="MIA32" s="11"/>
      <c r="MLH32" s="47"/>
      <c r="MLM32" s="47"/>
      <c r="MLO32" s="11"/>
      <c r="MOV32" s="47"/>
      <c r="MPA32" s="47"/>
      <c r="MPC32" s="11"/>
      <c r="MSJ32" s="47"/>
      <c r="MSO32" s="47"/>
      <c r="MSQ32" s="11"/>
      <c r="MVX32" s="47"/>
      <c r="MWC32" s="47"/>
      <c r="MWE32" s="11"/>
      <c r="MZL32" s="47"/>
      <c r="MZQ32" s="47"/>
      <c r="MZS32" s="11"/>
      <c r="NCZ32" s="47"/>
      <c r="NDE32" s="47"/>
      <c r="NDG32" s="11"/>
      <c r="NGN32" s="47"/>
      <c r="NGS32" s="47"/>
      <c r="NGU32" s="11"/>
      <c r="NKB32" s="47"/>
      <c r="NKG32" s="47"/>
      <c r="NKI32" s="11"/>
      <c r="NNP32" s="47"/>
      <c r="NNU32" s="47"/>
      <c r="NNW32" s="11"/>
      <c r="NRD32" s="47"/>
      <c r="NRI32" s="47"/>
      <c r="NRK32" s="11"/>
      <c r="NUR32" s="47"/>
      <c r="NUW32" s="47"/>
      <c r="NUY32" s="11"/>
      <c r="NYF32" s="47"/>
      <c r="NYK32" s="47"/>
      <c r="NYM32" s="11"/>
      <c r="OBT32" s="47"/>
      <c r="OBY32" s="47"/>
      <c r="OCA32" s="11"/>
      <c r="OFH32" s="47"/>
      <c r="OFM32" s="47"/>
      <c r="OFO32" s="11"/>
      <c r="OIV32" s="47"/>
      <c r="OJA32" s="47"/>
      <c r="OJC32" s="11"/>
      <c r="OMJ32" s="47"/>
      <c r="OMO32" s="47"/>
      <c r="OMQ32" s="11"/>
      <c r="OPX32" s="47"/>
      <c r="OQC32" s="47"/>
      <c r="OQE32" s="11"/>
      <c r="OTL32" s="47"/>
      <c r="OTQ32" s="47"/>
      <c r="OTS32" s="11"/>
      <c r="OWZ32" s="47"/>
      <c r="OXE32" s="47"/>
      <c r="OXG32" s="11"/>
      <c r="PAN32" s="47"/>
      <c r="PAS32" s="47"/>
      <c r="PAU32" s="11"/>
      <c r="PEB32" s="47"/>
      <c r="PEG32" s="47"/>
      <c r="PEI32" s="11"/>
      <c r="PHP32" s="47"/>
      <c r="PHU32" s="47"/>
      <c r="PHW32" s="11"/>
      <c r="PLD32" s="47"/>
      <c r="PLI32" s="47"/>
      <c r="PLK32" s="11"/>
      <c r="POR32" s="47"/>
      <c r="POW32" s="47"/>
      <c r="POY32" s="11"/>
      <c r="PSF32" s="47"/>
      <c r="PSK32" s="47"/>
      <c r="PSM32" s="11"/>
      <c r="PVT32" s="47"/>
      <c r="PVY32" s="47"/>
      <c r="PWA32" s="11"/>
      <c r="PZH32" s="47"/>
      <c r="PZM32" s="47"/>
      <c r="PZO32" s="11"/>
      <c r="QCV32" s="47"/>
      <c r="QDA32" s="47"/>
      <c r="QDC32" s="11"/>
      <c r="QGJ32" s="47"/>
      <c r="QGO32" s="47"/>
      <c r="QGQ32" s="11"/>
      <c r="QJX32" s="47"/>
      <c r="QKC32" s="47"/>
      <c r="QKE32" s="11"/>
      <c r="QNL32" s="47"/>
      <c r="QNQ32" s="47"/>
      <c r="QNS32" s="11"/>
      <c r="QQZ32" s="47"/>
      <c r="QRE32" s="47"/>
      <c r="QRG32" s="11"/>
      <c r="QUN32" s="47"/>
      <c r="QUS32" s="47"/>
      <c r="QUU32" s="11"/>
      <c r="QYB32" s="47"/>
      <c r="QYG32" s="47"/>
      <c r="QYI32" s="11"/>
      <c r="RBP32" s="47"/>
      <c r="RBU32" s="47"/>
      <c r="RBW32" s="11"/>
      <c r="RFD32" s="47"/>
      <c r="RFI32" s="47"/>
      <c r="RFK32" s="11"/>
      <c r="RIR32" s="47"/>
      <c r="RIW32" s="47"/>
      <c r="RIY32" s="11"/>
      <c r="RMF32" s="47"/>
      <c r="RMK32" s="47"/>
      <c r="RMM32" s="11"/>
      <c r="RPT32" s="47"/>
      <c r="RPY32" s="47"/>
      <c r="RQA32" s="11"/>
      <c r="RTH32" s="47"/>
      <c r="RTM32" s="47"/>
      <c r="RTO32" s="11"/>
      <c r="RWV32" s="47"/>
      <c r="RXA32" s="47"/>
      <c r="RXC32" s="11"/>
      <c r="SAJ32" s="47"/>
      <c r="SAO32" s="47"/>
      <c r="SAQ32" s="11"/>
      <c r="SDX32" s="47"/>
      <c r="SEC32" s="47"/>
      <c r="SEE32" s="11"/>
      <c r="SHL32" s="47"/>
      <c r="SHQ32" s="47"/>
      <c r="SHS32" s="11"/>
      <c r="SKZ32" s="47"/>
      <c r="SLE32" s="47"/>
      <c r="SLG32" s="11"/>
      <c r="SON32" s="47"/>
      <c r="SOS32" s="47"/>
      <c r="SOU32" s="11"/>
      <c r="SSB32" s="47"/>
      <c r="SSG32" s="47"/>
      <c r="SSI32" s="11"/>
      <c r="SVP32" s="47"/>
      <c r="SVU32" s="47"/>
      <c r="SVW32" s="11"/>
      <c r="SZD32" s="47"/>
      <c r="SZI32" s="47"/>
      <c r="SZK32" s="11"/>
      <c r="TCR32" s="47"/>
      <c r="TCW32" s="47"/>
      <c r="TCY32" s="11"/>
      <c r="TGF32" s="47"/>
      <c r="TGK32" s="47"/>
      <c r="TGM32" s="11"/>
      <c r="TJT32" s="47"/>
      <c r="TJY32" s="47"/>
      <c r="TKA32" s="11"/>
      <c r="TNH32" s="47"/>
      <c r="TNM32" s="47"/>
      <c r="TNO32" s="11"/>
      <c r="TQV32" s="47"/>
      <c r="TRA32" s="47"/>
      <c r="TRC32" s="11"/>
      <c r="TUJ32" s="47"/>
      <c r="TUO32" s="47"/>
      <c r="TUQ32" s="11"/>
      <c r="TXX32" s="47"/>
      <c r="TYC32" s="47"/>
      <c r="TYE32" s="11"/>
      <c r="UBL32" s="47"/>
      <c r="UBQ32" s="47"/>
      <c r="UBS32" s="11"/>
      <c r="UEZ32" s="47"/>
      <c r="UFE32" s="47"/>
      <c r="UFG32" s="11"/>
      <c r="UIN32" s="47"/>
      <c r="UIS32" s="47"/>
      <c r="UIU32" s="11"/>
      <c r="UMB32" s="47"/>
      <c r="UMG32" s="47"/>
      <c r="UMI32" s="11"/>
      <c r="UPP32" s="47"/>
      <c r="UPU32" s="47"/>
      <c r="UPW32" s="11"/>
      <c r="UTD32" s="47"/>
      <c r="UTI32" s="47"/>
      <c r="UTK32" s="11"/>
      <c r="UWR32" s="47"/>
      <c r="UWW32" s="47"/>
      <c r="UWY32" s="11"/>
      <c r="VAF32" s="47"/>
      <c r="VAK32" s="47"/>
      <c r="VAM32" s="11"/>
      <c r="VDT32" s="47"/>
      <c r="VDY32" s="47"/>
      <c r="VEA32" s="11"/>
      <c r="VHH32" s="47"/>
      <c r="VHM32" s="47"/>
      <c r="VHO32" s="11"/>
      <c r="VKV32" s="47"/>
      <c r="VLA32" s="47"/>
      <c r="VLC32" s="11"/>
      <c r="VOJ32" s="47"/>
      <c r="VOO32" s="47"/>
      <c r="VOQ32" s="11"/>
      <c r="VRX32" s="47"/>
      <c r="VSC32" s="47"/>
      <c r="VSE32" s="11"/>
      <c r="VVL32" s="47"/>
      <c r="VVQ32" s="47"/>
      <c r="VVS32" s="11"/>
      <c r="VYZ32" s="47"/>
      <c r="VZE32" s="47"/>
      <c r="VZG32" s="11"/>
      <c r="WCN32" s="47"/>
      <c r="WCS32" s="47"/>
      <c r="WCU32" s="11"/>
      <c r="WGB32" s="47"/>
      <c r="WGG32" s="47"/>
      <c r="WGI32" s="11"/>
      <c r="WJP32" s="47"/>
      <c r="WJU32" s="47"/>
      <c r="WJW32" s="11"/>
      <c r="WND32" s="47"/>
      <c r="WNI32" s="47"/>
      <c r="WNK32" s="11"/>
      <c r="WQR32" s="47"/>
      <c r="WQW32" s="47"/>
      <c r="WQY32" s="11"/>
      <c r="WUF32" s="47"/>
      <c r="WUK32" s="47"/>
      <c r="WUM32" s="11"/>
      <c r="WXT32" s="47"/>
      <c r="WXY32" s="47"/>
      <c r="WYA32" s="11"/>
      <c r="XBH32" s="47"/>
      <c r="XBM32" s="47"/>
      <c r="XBO32" s="11"/>
      <c r="XEV32" s="47"/>
      <c r="XFA32" s="47"/>
      <c r="XFC32" s="11"/>
    </row>
    <row r="33" spans="1:1019 1104:2031 2116:3043 3128:4055 4140:5067 5152:6079 6164:7091 7176:8188 8193:9207 9292:10219 10304:11231 11316:12243 12328:13255 13340:14267 14352:15279 15364:16383" s="10" customFormat="1" ht="14.65" customHeight="1">
      <c r="E33" s="47"/>
      <c r="G33" s="11"/>
      <c r="CS33" s="47"/>
      <c r="CU33" s="11"/>
      <c r="GB33" s="47"/>
      <c r="GG33" s="47"/>
      <c r="GI33" s="11"/>
      <c r="JP33" s="47"/>
      <c r="JU33" s="47"/>
      <c r="JW33" s="11"/>
      <c r="ND33" s="47"/>
      <c r="NI33" s="47"/>
      <c r="NK33" s="11"/>
      <c r="QR33" s="47"/>
      <c r="QW33" s="47"/>
      <c r="QY33" s="11"/>
      <c r="UF33" s="47"/>
      <c r="UK33" s="47"/>
      <c r="UM33" s="11"/>
      <c r="XT33" s="47"/>
      <c r="XY33" s="47"/>
      <c r="YA33" s="11"/>
      <c r="ABH33" s="47"/>
      <c r="ABM33" s="47"/>
      <c r="ABO33" s="11"/>
      <c r="AEV33" s="47"/>
      <c r="AFA33" s="47"/>
      <c r="AFC33" s="11"/>
      <c r="AIJ33" s="47"/>
      <c r="AIO33" s="47"/>
      <c r="AIQ33" s="11"/>
      <c r="ALX33" s="47"/>
      <c r="AMC33" s="47"/>
      <c r="AME33" s="11"/>
      <c r="APL33" s="47"/>
      <c r="APQ33" s="47"/>
      <c r="APS33" s="11"/>
      <c r="ASZ33" s="47"/>
      <c r="ATE33" s="47"/>
      <c r="ATG33" s="11"/>
      <c r="AWN33" s="47"/>
      <c r="AWS33" s="47"/>
      <c r="AWU33" s="11"/>
      <c r="BAB33" s="47"/>
      <c r="BAG33" s="47"/>
      <c r="BAI33" s="11"/>
      <c r="BDP33" s="47"/>
      <c r="BDU33" s="47"/>
      <c r="BDW33" s="11"/>
      <c r="BHD33" s="47"/>
      <c r="BHI33" s="47"/>
      <c r="BHK33" s="11"/>
      <c r="BKR33" s="47"/>
      <c r="BKW33" s="47"/>
      <c r="BKY33" s="11"/>
      <c r="BOF33" s="47"/>
      <c r="BOK33" s="47"/>
      <c r="BOM33" s="11"/>
      <c r="BRT33" s="47"/>
      <c r="BRY33" s="47"/>
      <c r="BSA33" s="11"/>
      <c r="BVH33" s="47"/>
      <c r="BVM33" s="47"/>
      <c r="BVO33" s="11"/>
      <c r="BYV33" s="47"/>
      <c r="BZA33" s="47"/>
      <c r="BZC33" s="11"/>
      <c r="CCJ33" s="47"/>
      <c r="CCO33" s="47"/>
      <c r="CCQ33" s="11"/>
      <c r="CFX33" s="47"/>
      <c r="CGC33" s="47"/>
      <c r="CGE33" s="11"/>
      <c r="CJL33" s="47"/>
      <c r="CJQ33" s="47"/>
      <c r="CJS33" s="11"/>
      <c r="CMZ33" s="47"/>
      <c r="CNE33" s="47"/>
      <c r="CNG33" s="11"/>
      <c r="CQN33" s="47"/>
      <c r="CQS33" s="47"/>
      <c r="CQU33" s="11"/>
      <c r="CUB33" s="47"/>
      <c r="CUG33" s="47"/>
      <c r="CUI33" s="11"/>
      <c r="CXP33" s="47"/>
      <c r="CXU33" s="47"/>
      <c r="CXW33" s="11"/>
      <c r="DBD33" s="47"/>
      <c r="DBI33" s="47"/>
      <c r="DBK33" s="11"/>
      <c r="DER33" s="47"/>
      <c r="DEW33" s="47"/>
      <c r="DEY33" s="11"/>
      <c r="DIF33" s="47"/>
      <c r="DIK33" s="47"/>
      <c r="DIM33" s="11"/>
      <c r="DLT33" s="47"/>
      <c r="DLY33" s="47"/>
      <c r="DMA33" s="11"/>
      <c r="DPH33" s="47"/>
      <c r="DPM33" s="47"/>
      <c r="DPO33" s="11"/>
      <c r="DSV33" s="47"/>
      <c r="DTA33" s="47"/>
      <c r="DTC33" s="11"/>
      <c r="DWJ33" s="47"/>
      <c r="DWO33" s="47"/>
      <c r="DWQ33" s="11"/>
      <c r="DZX33" s="47"/>
      <c r="EAC33" s="47"/>
      <c r="EAE33" s="11"/>
      <c r="EDL33" s="47"/>
      <c r="EDQ33" s="47"/>
      <c r="EDS33" s="11"/>
      <c r="EGZ33" s="47"/>
      <c r="EHE33" s="47"/>
      <c r="EHG33" s="11"/>
      <c r="EKN33" s="47"/>
      <c r="EKS33" s="47"/>
      <c r="EKU33" s="11"/>
      <c r="EOB33" s="47"/>
      <c r="EOG33" s="47"/>
      <c r="EOI33" s="11"/>
      <c r="ERP33" s="47"/>
      <c r="ERU33" s="47"/>
      <c r="ERW33" s="11"/>
      <c r="EVD33" s="47"/>
      <c r="EVI33" s="47"/>
      <c r="EVK33" s="11"/>
      <c r="EYR33" s="47"/>
      <c r="EYW33" s="47"/>
      <c r="EYY33" s="11"/>
      <c r="FCF33" s="47"/>
      <c r="FCK33" s="47"/>
      <c r="FCM33" s="11"/>
      <c r="FFT33" s="47"/>
      <c r="FFY33" s="47"/>
      <c r="FGA33" s="11"/>
      <c r="FJH33" s="47"/>
      <c r="FJM33" s="47"/>
      <c r="FJO33" s="11"/>
      <c r="FMV33" s="47"/>
      <c r="FNA33" s="47"/>
      <c r="FNC33" s="11"/>
      <c r="FQJ33" s="47"/>
      <c r="FQO33" s="47"/>
      <c r="FQQ33" s="11"/>
      <c r="FTX33" s="47"/>
      <c r="FUC33" s="47"/>
      <c r="FUE33" s="11"/>
      <c r="FXL33" s="47"/>
      <c r="FXQ33" s="47"/>
      <c r="FXS33" s="11"/>
      <c r="GAZ33" s="47"/>
      <c r="GBE33" s="47"/>
      <c r="GBG33" s="11"/>
      <c r="GEN33" s="47"/>
      <c r="GES33" s="47"/>
      <c r="GEU33" s="11"/>
      <c r="GIB33" s="47"/>
      <c r="GIG33" s="47"/>
      <c r="GII33" s="11"/>
      <c r="GLP33" s="47"/>
      <c r="GLU33" s="47"/>
      <c r="GLW33" s="11"/>
      <c r="GPD33" s="47"/>
      <c r="GPI33" s="47"/>
      <c r="GPK33" s="11"/>
      <c r="GSR33" s="47"/>
      <c r="GSW33" s="47"/>
      <c r="GSY33" s="11"/>
      <c r="GWF33" s="47"/>
      <c r="GWK33" s="47"/>
      <c r="GWM33" s="11"/>
      <c r="GZT33" s="47"/>
      <c r="GZY33" s="47"/>
      <c r="HAA33" s="11"/>
      <c r="HDH33" s="47"/>
      <c r="HDM33" s="47"/>
      <c r="HDO33" s="11"/>
      <c r="HGV33" s="47"/>
      <c r="HHA33" s="47"/>
      <c r="HHC33" s="11"/>
      <c r="HKJ33" s="47"/>
      <c r="HKO33" s="47"/>
      <c r="HKQ33" s="11"/>
      <c r="HNX33" s="47"/>
      <c r="HOC33" s="47"/>
      <c r="HOE33" s="11"/>
      <c r="HRL33" s="47"/>
      <c r="HRQ33" s="47"/>
      <c r="HRS33" s="11"/>
      <c r="HUZ33" s="47"/>
      <c r="HVE33" s="47"/>
      <c r="HVG33" s="11"/>
      <c r="HYN33" s="47"/>
      <c r="HYS33" s="47"/>
      <c r="HYU33" s="11"/>
      <c r="ICB33" s="47"/>
      <c r="ICG33" s="47"/>
      <c r="ICI33" s="11"/>
      <c r="IFP33" s="47"/>
      <c r="IFU33" s="47"/>
      <c r="IFW33" s="11"/>
      <c r="IJD33" s="47"/>
      <c r="IJI33" s="47"/>
      <c r="IJK33" s="11"/>
      <c r="IMR33" s="47"/>
      <c r="IMW33" s="47"/>
      <c r="IMY33" s="11"/>
      <c r="IQF33" s="47"/>
      <c r="IQK33" s="47"/>
      <c r="IQM33" s="11"/>
      <c r="ITT33" s="47"/>
      <c r="ITY33" s="47"/>
      <c r="IUA33" s="11"/>
      <c r="IXH33" s="47"/>
      <c r="IXM33" s="47"/>
      <c r="IXO33" s="11"/>
      <c r="JAV33" s="47"/>
      <c r="JBA33" s="47"/>
      <c r="JBC33" s="11"/>
      <c r="JEJ33" s="47"/>
      <c r="JEO33" s="47"/>
      <c r="JEQ33" s="11"/>
      <c r="JHX33" s="47"/>
      <c r="JIC33" s="47"/>
      <c r="JIE33" s="11"/>
      <c r="JLL33" s="47"/>
      <c r="JLQ33" s="47"/>
      <c r="JLS33" s="11"/>
      <c r="JOZ33" s="47"/>
      <c r="JPE33" s="47"/>
      <c r="JPG33" s="11"/>
      <c r="JSN33" s="47"/>
      <c r="JSS33" s="47"/>
      <c r="JSU33" s="11"/>
      <c r="JWB33" s="47"/>
      <c r="JWG33" s="47"/>
      <c r="JWI33" s="11"/>
      <c r="JZP33" s="47"/>
      <c r="JZU33" s="47"/>
      <c r="JZW33" s="11"/>
      <c r="KDD33" s="47"/>
      <c r="KDI33" s="47"/>
      <c r="KDK33" s="11"/>
      <c r="KGR33" s="47"/>
      <c r="KGW33" s="47"/>
      <c r="KGY33" s="11"/>
      <c r="KKF33" s="47"/>
      <c r="KKK33" s="47"/>
      <c r="KKM33" s="11"/>
      <c r="KNT33" s="47"/>
      <c r="KNY33" s="47"/>
      <c r="KOA33" s="11"/>
      <c r="KRH33" s="47"/>
      <c r="KRM33" s="47"/>
      <c r="KRO33" s="11"/>
      <c r="KUV33" s="47"/>
      <c r="KVA33" s="47"/>
      <c r="KVC33" s="11"/>
      <c r="KYJ33" s="47"/>
      <c r="KYO33" s="47"/>
      <c r="KYQ33" s="11"/>
      <c r="LBX33" s="47"/>
      <c r="LCC33" s="47"/>
      <c r="LCE33" s="11"/>
      <c r="LFL33" s="47"/>
      <c r="LFQ33" s="47"/>
      <c r="LFS33" s="11"/>
      <c r="LIZ33" s="47"/>
      <c r="LJE33" s="47"/>
      <c r="LJG33" s="11"/>
      <c r="LMN33" s="47"/>
      <c r="LMS33" s="47"/>
      <c r="LMU33" s="11"/>
      <c r="LQB33" s="47"/>
      <c r="LQG33" s="47"/>
      <c r="LQI33" s="11"/>
      <c r="LTP33" s="47"/>
      <c r="LTU33" s="47"/>
      <c r="LTW33" s="11"/>
      <c r="LXD33" s="47"/>
      <c r="LXI33" s="47"/>
      <c r="LXK33" s="11"/>
      <c r="MAR33" s="47"/>
      <c r="MAW33" s="47"/>
      <c r="MAY33" s="11"/>
      <c r="MEF33" s="47"/>
      <c r="MEK33" s="47"/>
      <c r="MEM33" s="11"/>
      <c r="MHT33" s="47"/>
      <c r="MHY33" s="47"/>
      <c r="MIA33" s="11"/>
      <c r="MLH33" s="47"/>
      <c r="MLM33" s="47"/>
      <c r="MLO33" s="11"/>
      <c r="MOV33" s="47"/>
      <c r="MPA33" s="47"/>
      <c r="MPC33" s="11"/>
      <c r="MSJ33" s="47"/>
      <c r="MSO33" s="47"/>
      <c r="MSQ33" s="11"/>
      <c r="MVX33" s="47"/>
      <c r="MWC33" s="47"/>
      <c r="MWE33" s="11"/>
      <c r="MZL33" s="47"/>
      <c r="MZQ33" s="47"/>
      <c r="MZS33" s="11"/>
      <c r="NCZ33" s="47"/>
      <c r="NDE33" s="47"/>
      <c r="NDG33" s="11"/>
      <c r="NGN33" s="47"/>
      <c r="NGS33" s="47"/>
      <c r="NGU33" s="11"/>
      <c r="NKB33" s="47"/>
      <c r="NKG33" s="47"/>
      <c r="NKI33" s="11"/>
      <c r="NNP33" s="47"/>
      <c r="NNU33" s="47"/>
      <c r="NNW33" s="11"/>
      <c r="NRD33" s="47"/>
      <c r="NRI33" s="47"/>
      <c r="NRK33" s="11"/>
      <c r="NUR33" s="47"/>
      <c r="NUW33" s="47"/>
      <c r="NUY33" s="11"/>
      <c r="NYF33" s="47"/>
      <c r="NYK33" s="47"/>
      <c r="NYM33" s="11"/>
      <c r="OBT33" s="47"/>
      <c r="OBY33" s="47"/>
      <c r="OCA33" s="11"/>
      <c r="OFH33" s="47"/>
      <c r="OFM33" s="47"/>
      <c r="OFO33" s="11"/>
      <c r="OIV33" s="47"/>
      <c r="OJA33" s="47"/>
      <c r="OJC33" s="11"/>
      <c r="OMJ33" s="47"/>
      <c r="OMO33" s="47"/>
      <c r="OMQ33" s="11"/>
      <c r="OPX33" s="47"/>
      <c r="OQC33" s="47"/>
      <c r="OQE33" s="11"/>
      <c r="OTL33" s="47"/>
      <c r="OTQ33" s="47"/>
      <c r="OTS33" s="11"/>
      <c r="OWZ33" s="47"/>
      <c r="OXE33" s="47"/>
      <c r="OXG33" s="11"/>
      <c r="PAN33" s="47"/>
      <c r="PAS33" s="47"/>
      <c r="PAU33" s="11"/>
      <c r="PEB33" s="47"/>
      <c r="PEG33" s="47"/>
      <c r="PEI33" s="11"/>
      <c r="PHP33" s="47"/>
      <c r="PHU33" s="47"/>
      <c r="PHW33" s="11"/>
      <c r="PLD33" s="47"/>
      <c r="PLI33" s="47"/>
      <c r="PLK33" s="11"/>
      <c r="POR33" s="47"/>
      <c r="POW33" s="47"/>
      <c r="POY33" s="11"/>
      <c r="PSF33" s="47"/>
      <c r="PSK33" s="47"/>
      <c r="PSM33" s="11"/>
      <c r="PVT33" s="47"/>
      <c r="PVY33" s="47"/>
      <c r="PWA33" s="11"/>
      <c r="PZH33" s="47"/>
      <c r="PZM33" s="47"/>
      <c r="PZO33" s="11"/>
      <c r="QCV33" s="47"/>
      <c r="QDA33" s="47"/>
      <c r="QDC33" s="11"/>
      <c r="QGJ33" s="47"/>
      <c r="QGO33" s="47"/>
      <c r="QGQ33" s="11"/>
      <c r="QJX33" s="47"/>
      <c r="QKC33" s="47"/>
      <c r="QKE33" s="11"/>
      <c r="QNL33" s="47"/>
      <c r="QNQ33" s="47"/>
      <c r="QNS33" s="11"/>
      <c r="QQZ33" s="47"/>
      <c r="QRE33" s="47"/>
      <c r="QRG33" s="11"/>
      <c r="QUN33" s="47"/>
      <c r="QUS33" s="47"/>
      <c r="QUU33" s="11"/>
      <c r="QYB33" s="47"/>
      <c r="QYG33" s="47"/>
      <c r="QYI33" s="11"/>
      <c r="RBP33" s="47"/>
      <c r="RBU33" s="47"/>
      <c r="RBW33" s="11"/>
      <c r="RFD33" s="47"/>
      <c r="RFI33" s="47"/>
      <c r="RFK33" s="11"/>
      <c r="RIR33" s="47"/>
      <c r="RIW33" s="47"/>
      <c r="RIY33" s="11"/>
      <c r="RMF33" s="47"/>
      <c r="RMK33" s="47"/>
      <c r="RMM33" s="11"/>
      <c r="RPT33" s="47"/>
      <c r="RPY33" s="47"/>
      <c r="RQA33" s="11"/>
      <c r="RTH33" s="47"/>
      <c r="RTM33" s="47"/>
      <c r="RTO33" s="11"/>
      <c r="RWV33" s="47"/>
      <c r="RXA33" s="47"/>
      <c r="RXC33" s="11"/>
      <c r="SAJ33" s="47"/>
      <c r="SAO33" s="47"/>
      <c r="SAQ33" s="11"/>
      <c r="SDX33" s="47"/>
      <c r="SEC33" s="47"/>
      <c r="SEE33" s="11"/>
      <c r="SHL33" s="47"/>
      <c r="SHQ33" s="47"/>
      <c r="SHS33" s="11"/>
      <c r="SKZ33" s="47"/>
      <c r="SLE33" s="47"/>
      <c r="SLG33" s="11"/>
      <c r="SON33" s="47"/>
      <c r="SOS33" s="47"/>
      <c r="SOU33" s="11"/>
      <c r="SSB33" s="47"/>
      <c r="SSG33" s="47"/>
      <c r="SSI33" s="11"/>
      <c r="SVP33" s="47"/>
      <c r="SVU33" s="47"/>
      <c r="SVW33" s="11"/>
      <c r="SZD33" s="47"/>
      <c r="SZI33" s="47"/>
      <c r="SZK33" s="11"/>
      <c r="TCR33" s="47"/>
      <c r="TCW33" s="47"/>
      <c r="TCY33" s="11"/>
      <c r="TGF33" s="47"/>
      <c r="TGK33" s="47"/>
      <c r="TGM33" s="11"/>
      <c r="TJT33" s="47"/>
      <c r="TJY33" s="47"/>
      <c r="TKA33" s="11"/>
      <c r="TNH33" s="47"/>
      <c r="TNM33" s="47"/>
      <c r="TNO33" s="11"/>
      <c r="TQV33" s="47"/>
      <c r="TRA33" s="47"/>
      <c r="TRC33" s="11"/>
      <c r="TUJ33" s="47"/>
      <c r="TUO33" s="47"/>
      <c r="TUQ33" s="11"/>
      <c r="TXX33" s="47"/>
      <c r="TYC33" s="47"/>
      <c r="TYE33" s="11"/>
      <c r="UBL33" s="47"/>
      <c r="UBQ33" s="47"/>
      <c r="UBS33" s="11"/>
      <c r="UEZ33" s="47"/>
      <c r="UFE33" s="47"/>
      <c r="UFG33" s="11"/>
      <c r="UIN33" s="47"/>
      <c r="UIS33" s="47"/>
      <c r="UIU33" s="11"/>
      <c r="UMB33" s="47"/>
      <c r="UMG33" s="47"/>
      <c r="UMI33" s="11"/>
      <c r="UPP33" s="47"/>
      <c r="UPU33" s="47"/>
      <c r="UPW33" s="11"/>
      <c r="UTD33" s="47"/>
      <c r="UTI33" s="47"/>
      <c r="UTK33" s="11"/>
      <c r="UWR33" s="47"/>
      <c r="UWW33" s="47"/>
      <c r="UWY33" s="11"/>
      <c r="VAF33" s="47"/>
      <c r="VAK33" s="47"/>
      <c r="VAM33" s="11"/>
      <c r="VDT33" s="47"/>
      <c r="VDY33" s="47"/>
      <c r="VEA33" s="11"/>
      <c r="VHH33" s="47"/>
      <c r="VHM33" s="47"/>
      <c r="VHO33" s="11"/>
      <c r="VKV33" s="47"/>
      <c r="VLA33" s="47"/>
      <c r="VLC33" s="11"/>
      <c r="VOJ33" s="47"/>
      <c r="VOO33" s="47"/>
      <c r="VOQ33" s="11"/>
      <c r="VRX33" s="47"/>
      <c r="VSC33" s="47"/>
      <c r="VSE33" s="11"/>
      <c r="VVL33" s="47"/>
      <c r="VVQ33" s="47"/>
      <c r="VVS33" s="11"/>
      <c r="VYZ33" s="47"/>
      <c r="VZE33" s="47"/>
      <c r="VZG33" s="11"/>
      <c r="WCN33" s="47"/>
      <c r="WCS33" s="47"/>
      <c r="WCU33" s="11"/>
      <c r="WGB33" s="47"/>
      <c r="WGG33" s="47"/>
      <c r="WGI33" s="11"/>
      <c r="WJP33" s="47"/>
      <c r="WJU33" s="47"/>
      <c r="WJW33" s="11"/>
      <c r="WND33" s="47"/>
      <c r="WNI33" s="47"/>
      <c r="WNK33" s="11"/>
      <c r="WQR33" s="47"/>
      <c r="WQW33" s="47"/>
      <c r="WQY33" s="11"/>
      <c r="WUF33" s="47"/>
      <c r="WUK33" s="47"/>
      <c r="WUM33" s="11"/>
      <c r="WXT33" s="47"/>
      <c r="WXY33" s="47"/>
      <c r="WYA33" s="11"/>
      <c r="XBH33" s="47"/>
      <c r="XBM33" s="47"/>
      <c r="XBO33" s="11"/>
      <c r="XEV33" s="47"/>
      <c r="XFA33" s="47"/>
      <c r="XFC33" s="11"/>
    </row>
    <row r="34" spans="1:1019 1104:2031 2116:3043 3128:4055 4140:5067 5152:6079 6164:7091 7176:8188 8193:9207 9292:10219 10304:11231 11316:12243 12328:13255 13340:14267 14352:15279 15364:16383" s="10" customFormat="1" ht="14.65" customHeight="1">
      <c r="C34" s="365" t="s">
        <v>988</v>
      </c>
      <c r="E34" s="47"/>
      <c r="G34" s="11"/>
      <c r="CS34" s="47"/>
      <c r="CU34" s="11"/>
      <c r="GB34" s="47"/>
      <c r="GG34" s="47"/>
      <c r="GI34" s="11"/>
      <c r="JP34" s="47"/>
      <c r="JU34" s="47"/>
      <c r="JW34" s="11"/>
      <c r="ND34" s="47"/>
      <c r="NI34" s="47"/>
      <c r="NK34" s="11"/>
      <c r="QR34" s="47"/>
      <c r="QW34" s="47"/>
      <c r="QY34" s="11"/>
      <c r="UF34" s="47"/>
      <c r="UK34" s="47"/>
      <c r="UM34" s="11"/>
      <c r="XT34" s="47"/>
      <c r="XY34" s="47"/>
      <c r="YA34" s="11"/>
      <c r="ABH34" s="47"/>
      <c r="ABM34" s="47"/>
      <c r="ABO34" s="11"/>
      <c r="AEV34" s="47"/>
      <c r="AFA34" s="47"/>
      <c r="AFC34" s="11"/>
      <c r="AIJ34" s="47"/>
      <c r="AIO34" s="47"/>
      <c r="AIQ34" s="11"/>
      <c r="ALX34" s="47"/>
      <c r="AMC34" s="47"/>
      <c r="AME34" s="11"/>
      <c r="APL34" s="47"/>
      <c r="APQ34" s="47"/>
      <c r="APS34" s="11"/>
      <c r="ASZ34" s="47"/>
      <c r="ATE34" s="47"/>
      <c r="ATG34" s="11"/>
      <c r="AWN34" s="47"/>
      <c r="AWS34" s="47"/>
      <c r="AWU34" s="11"/>
      <c r="BAB34" s="47"/>
      <c r="BAG34" s="47"/>
      <c r="BAI34" s="11"/>
      <c r="BDP34" s="47"/>
      <c r="BDU34" s="47"/>
      <c r="BDW34" s="11"/>
      <c r="BHD34" s="47"/>
      <c r="BHI34" s="47"/>
      <c r="BHK34" s="11"/>
      <c r="BKR34" s="47"/>
      <c r="BKW34" s="47"/>
      <c r="BKY34" s="11"/>
      <c r="BOF34" s="47"/>
      <c r="BOK34" s="47"/>
      <c r="BOM34" s="11"/>
      <c r="BRT34" s="47"/>
      <c r="BRY34" s="47"/>
      <c r="BSA34" s="11"/>
      <c r="BVH34" s="47"/>
      <c r="BVM34" s="47"/>
      <c r="BVO34" s="11"/>
      <c r="BYV34" s="47"/>
      <c r="BZA34" s="47"/>
      <c r="BZC34" s="11"/>
      <c r="CCJ34" s="47"/>
      <c r="CCO34" s="47"/>
      <c r="CCQ34" s="11"/>
      <c r="CFX34" s="47"/>
      <c r="CGC34" s="47"/>
      <c r="CGE34" s="11"/>
      <c r="CJL34" s="47"/>
      <c r="CJQ34" s="47"/>
      <c r="CJS34" s="11"/>
      <c r="CMZ34" s="47"/>
      <c r="CNE34" s="47"/>
      <c r="CNG34" s="11"/>
      <c r="CQN34" s="47"/>
      <c r="CQS34" s="47"/>
      <c r="CQU34" s="11"/>
      <c r="CUB34" s="47"/>
      <c r="CUG34" s="47"/>
      <c r="CUI34" s="11"/>
      <c r="CXP34" s="47"/>
      <c r="CXU34" s="47"/>
      <c r="CXW34" s="11"/>
      <c r="DBD34" s="47"/>
      <c r="DBI34" s="47"/>
      <c r="DBK34" s="11"/>
      <c r="DER34" s="47"/>
      <c r="DEW34" s="47"/>
      <c r="DEY34" s="11"/>
      <c r="DIF34" s="47"/>
      <c r="DIK34" s="47"/>
      <c r="DIM34" s="11"/>
      <c r="DLT34" s="47"/>
      <c r="DLY34" s="47"/>
      <c r="DMA34" s="11"/>
      <c r="DPH34" s="47"/>
      <c r="DPM34" s="47"/>
      <c r="DPO34" s="11"/>
      <c r="DSV34" s="47"/>
      <c r="DTA34" s="47"/>
      <c r="DTC34" s="11"/>
      <c r="DWJ34" s="47"/>
      <c r="DWO34" s="47"/>
      <c r="DWQ34" s="11"/>
      <c r="DZX34" s="47"/>
      <c r="EAC34" s="47"/>
      <c r="EAE34" s="11"/>
      <c r="EDL34" s="47"/>
      <c r="EDQ34" s="47"/>
      <c r="EDS34" s="11"/>
      <c r="EGZ34" s="47"/>
      <c r="EHE34" s="47"/>
      <c r="EHG34" s="11"/>
      <c r="EKN34" s="47"/>
      <c r="EKS34" s="47"/>
      <c r="EKU34" s="11"/>
      <c r="EOB34" s="47"/>
      <c r="EOG34" s="47"/>
      <c r="EOI34" s="11"/>
      <c r="ERP34" s="47"/>
      <c r="ERU34" s="47"/>
      <c r="ERW34" s="11"/>
      <c r="EVD34" s="47"/>
      <c r="EVI34" s="47"/>
      <c r="EVK34" s="11"/>
      <c r="EYR34" s="47"/>
      <c r="EYW34" s="47"/>
      <c r="EYY34" s="11"/>
      <c r="FCF34" s="47"/>
      <c r="FCK34" s="47"/>
      <c r="FCM34" s="11"/>
      <c r="FFT34" s="47"/>
      <c r="FFY34" s="47"/>
      <c r="FGA34" s="11"/>
      <c r="FJH34" s="47"/>
      <c r="FJM34" s="47"/>
      <c r="FJO34" s="11"/>
      <c r="FMV34" s="47"/>
      <c r="FNA34" s="47"/>
      <c r="FNC34" s="11"/>
      <c r="FQJ34" s="47"/>
      <c r="FQO34" s="47"/>
      <c r="FQQ34" s="11"/>
      <c r="FTX34" s="47"/>
      <c r="FUC34" s="47"/>
      <c r="FUE34" s="11"/>
      <c r="FXL34" s="47"/>
      <c r="FXQ34" s="47"/>
      <c r="FXS34" s="11"/>
      <c r="GAZ34" s="47"/>
      <c r="GBE34" s="47"/>
      <c r="GBG34" s="11"/>
      <c r="GEN34" s="47"/>
      <c r="GES34" s="47"/>
      <c r="GEU34" s="11"/>
      <c r="GIB34" s="47"/>
      <c r="GIG34" s="47"/>
      <c r="GII34" s="11"/>
      <c r="GLP34" s="47"/>
      <c r="GLU34" s="47"/>
      <c r="GLW34" s="11"/>
      <c r="GPD34" s="47"/>
      <c r="GPI34" s="47"/>
      <c r="GPK34" s="11"/>
      <c r="GSR34" s="47"/>
      <c r="GSW34" s="47"/>
      <c r="GSY34" s="11"/>
      <c r="GWF34" s="47"/>
      <c r="GWK34" s="47"/>
      <c r="GWM34" s="11"/>
      <c r="GZT34" s="47"/>
      <c r="GZY34" s="47"/>
      <c r="HAA34" s="11"/>
      <c r="HDH34" s="47"/>
      <c r="HDM34" s="47"/>
      <c r="HDO34" s="11"/>
      <c r="HGV34" s="47"/>
      <c r="HHA34" s="47"/>
      <c r="HHC34" s="11"/>
      <c r="HKJ34" s="47"/>
      <c r="HKO34" s="47"/>
      <c r="HKQ34" s="11"/>
      <c r="HNX34" s="47"/>
      <c r="HOC34" s="47"/>
      <c r="HOE34" s="11"/>
      <c r="HRL34" s="47"/>
      <c r="HRQ34" s="47"/>
      <c r="HRS34" s="11"/>
      <c r="HUZ34" s="47"/>
      <c r="HVE34" s="47"/>
      <c r="HVG34" s="11"/>
      <c r="HYN34" s="47"/>
      <c r="HYS34" s="47"/>
      <c r="HYU34" s="11"/>
      <c r="ICB34" s="47"/>
      <c r="ICG34" s="47"/>
      <c r="ICI34" s="11"/>
      <c r="IFP34" s="47"/>
      <c r="IFU34" s="47"/>
      <c r="IFW34" s="11"/>
      <c r="IJD34" s="47"/>
      <c r="IJI34" s="47"/>
      <c r="IJK34" s="11"/>
      <c r="IMR34" s="47"/>
      <c r="IMW34" s="47"/>
      <c r="IMY34" s="11"/>
      <c r="IQF34" s="47"/>
      <c r="IQK34" s="47"/>
      <c r="IQM34" s="11"/>
      <c r="ITT34" s="47"/>
      <c r="ITY34" s="47"/>
      <c r="IUA34" s="11"/>
      <c r="IXH34" s="47"/>
      <c r="IXM34" s="47"/>
      <c r="IXO34" s="11"/>
      <c r="JAV34" s="47"/>
      <c r="JBA34" s="47"/>
      <c r="JBC34" s="11"/>
      <c r="JEJ34" s="47"/>
      <c r="JEO34" s="47"/>
      <c r="JEQ34" s="11"/>
      <c r="JHX34" s="47"/>
      <c r="JIC34" s="47"/>
      <c r="JIE34" s="11"/>
      <c r="JLL34" s="47"/>
      <c r="JLQ34" s="47"/>
      <c r="JLS34" s="11"/>
      <c r="JOZ34" s="47"/>
      <c r="JPE34" s="47"/>
      <c r="JPG34" s="11"/>
      <c r="JSN34" s="47"/>
      <c r="JSS34" s="47"/>
      <c r="JSU34" s="11"/>
      <c r="JWB34" s="47"/>
      <c r="JWG34" s="47"/>
      <c r="JWI34" s="11"/>
      <c r="JZP34" s="47"/>
      <c r="JZU34" s="47"/>
      <c r="JZW34" s="11"/>
      <c r="KDD34" s="47"/>
      <c r="KDI34" s="47"/>
      <c r="KDK34" s="11"/>
      <c r="KGR34" s="47"/>
      <c r="KGW34" s="47"/>
      <c r="KGY34" s="11"/>
      <c r="KKF34" s="47"/>
      <c r="KKK34" s="47"/>
      <c r="KKM34" s="11"/>
      <c r="KNT34" s="47"/>
      <c r="KNY34" s="47"/>
      <c r="KOA34" s="11"/>
      <c r="KRH34" s="47"/>
      <c r="KRM34" s="47"/>
      <c r="KRO34" s="11"/>
      <c r="KUV34" s="47"/>
      <c r="KVA34" s="47"/>
      <c r="KVC34" s="11"/>
      <c r="KYJ34" s="47"/>
      <c r="KYO34" s="47"/>
      <c r="KYQ34" s="11"/>
      <c r="LBX34" s="47"/>
      <c r="LCC34" s="47"/>
      <c r="LCE34" s="11"/>
      <c r="LFL34" s="47"/>
      <c r="LFQ34" s="47"/>
      <c r="LFS34" s="11"/>
      <c r="LIZ34" s="47"/>
      <c r="LJE34" s="47"/>
      <c r="LJG34" s="11"/>
      <c r="LMN34" s="47"/>
      <c r="LMS34" s="47"/>
      <c r="LMU34" s="11"/>
      <c r="LQB34" s="47"/>
      <c r="LQG34" s="47"/>
      <c r="LQI34" s="11"/>
      <c r="LTP34" s="47"/>
      <c r="LTU34" s="47"/>
      <c r="LTW34" s="11"/>
      <c r="LXD34" s="47"/>
      <c r="LXI34" s="47"/>
      <c r="LXK34" s="11"/>
      <c r="MAR34" s="47"/>
      <c r="MAW34" s="47"/>
      <c r="MAY34" s="11"/>
      <c r="MEF34" s="47"/>
      <c r="MEK34" s="47"/>
      <c r="MEM34" s="11"/>
      <c r="MHT34" s="47"/>
      <c r="MHY34" s="47"/>
      <c r="MIA34" s="11"/>
      <c r="MLH34" s="47"/>
      <c r="MLM34" s="47"/>
      <c r="MLO34" s="11"/>
      <c r="MOV34" s="47"/>
      <c r="MPA34" s="47"/>
      <c r="MPC34" s="11"/>
      <c r="MSJ34" s="47"/>
      <c r="MSO34" s="47"/>
      <c r="MSQ34" s="11"/>
      <c r="MVX34" s="47"/>
      <c r="MWC34" s="47"/>
      <c r="MWE34" s="11"/>
      <c r="MZL34" s="47"/>
      <c r="MZQ34" s="47"/>
      <c r="MZS34" s="11"/>
      <c r="NCZ34" s="47"/>
      <c r="NDE34" s="47"/>
      <c r="NDG34" s="11"/>
      <c r="NGN34" s="47"/>
      <c r="NGS34" s="47"/>
      <c r="NGU34" s="11"/>
      <c r="NKB34" s="47"/>
      <c r="NKG34" s="47"/>
      <c r="NKI34" s="11"/>
      <c r="NNP34" s="47"/>
      <c r="NNU34" s="47"/>
      <c r="NNW34" s="11"/>
      <c r="NRD34" s="47"/>
      <c r="NRI34" s="47"/>
      <c r="NRK34" s="11"/>
      <c r="NUR34" s="47"/>
      <c r="NUW34" s="47"/>
      <c r="NUY34" s="11"/>
      <c r="NYF34" s="47"/>
      <c r="NYK34" s="47"/>
      <c r="NYM34" s="11"/>
      <c r="OBT34" s="47"/>
      <c r="OBY34" s="47"/>
      <c r="OCA34" s="11"/>
      <c r="OFH34" s="47"/>
      <c r="OFM34" s="47"/>
      <c r="OFO34" s="11"/>
      <c r="OIV34" s="47"/>
      <c r="OJA34" s="47"/>
      <c r="OJC34" s="11"/>
      <c r="OMJ34" s="47"/>
      <c r="OMO34" s="47"/>
      <c r="OMQ34" s="11"/>
      <c r="OPX34" s="47"/>
      <c r="OQC34" s="47"/>
      <c r="OQE34" s="11"/>
      <c r="OTL34" s="47"/>
      <c r="OTQ34" s="47"/>
      <c r="OTS34" s="11"/>
      <c r="OWZ34" s="47"/>
      <c r="OXE34" s="47"/>
      <c r="OXG34" s="11"/>
      <c r="PAN34" s="47"/>
      <c r="PAS34" s="47"/>
      <c r="PAU34" s="11"/>
      <c r="PEB34" s="47"/>
      <c r="PEG34" s="47"/>
      <c r="PEI34" s="11"/>
      <c r="PHP34" s="47"/>
      <c r="PHU34" s="47"/>
      <c r="PHW34" s="11"/>
      <c r="PLD34" s="47"/>
      <c r="PLI34" s="47"/>
      <c r="PLK34" s="11"/>
      <c r="POR34" s="47"/>
      <c r="POW34" s="47"/>
      <c r="POY34" s="11"/>
      <c r="PSF34" s="47"/>
      <c r="PSK34" s="47"/>
      <c r="PSM34" s="11"/>
      <c r="PVT34" s="47"/>
      <c r="PVY34" s="47"/>
      <c r="PWA34" s="11"/>
      <c r="PZH34" s="47"/>
      <c r="PZM34" s="47"/>
      <c r="PZO34" s="11"/>
      <c r="QCV34" s="47"/>
      <c r="QDA34" s="47"/>
      <c r="QDC34" s="11"/>
      <c r="QGJ34" s="47"/>
      <c r="QGO34" s="47"/>
      <c r="QGQ34" s="11"/>
      <c r="QJX34" s="47"/>
      <c r="QKC34" s="47"/>
      <c r="QKE34" s="11"/>
      <c r="QNL34" s="47"/>
      <c r="QNQ34" s="47"/>
      <c r="QNS34" s="11"/>
      <c r="QQZ34" s="47"/>
      <c r="QRE34" s="47"/>
      <c r="QRG34" s="11"/>
      <c r="QUN34" s="47"/>
      <c r="QUS34" s="47"/>
      <c r="QUU34" s="11"/>
      <c r="QYB34" s="47"/>
      <c r="QYG34" s="47"/>
      <c r="QYI34" s="11"/>
      <c r="RBP34" s="47"/>
      <c r="RBU34" s="47"/>
      <c r="RBW34" s="11"/>
      <c r="RFD34" s="47"/>
      <c r="RFI34" s="47"/>
      <c r="RFK34" s="11"/>
      <c r="RIR34" s="47"/>
      <c r="RIW34" s="47"/>
      <c r="RIY34" s="11"/>
      <c r="RMF34" s="47"/>
      <c r="RMK34" s="47"/>
      <c r="RMM34" s="11"/>
      <c r="RPT34" s="47"/>
      <c r="RPY34" s="47"/>
      <c r="RQA34" s="11"/>
      <c r="RTH34" s="47"/>
      <c r="RTM34" s="47"/>
      <c r="RTO34" s="11"/>
      <c r="RWV34" s="47"/>
      <c r="RXA34" s="47"/>
      <c r="RXC34" s="11"/>
      <c r="SAJ34" s="47"/>
      <c r="SAO34" s="47"/>
      <c r="SAQ34" s="11"/>
      <c r="SDX34" s="47"/>
      <c r="SEC34" s="47"/>
      <c r="SEE34" s="11"/>
      <c r="SHL34" s="47"/>
      <c r="SHQ34" s="47"/>
      <c r="SHS34" s="11"/>
      <c r="SKZ34" s="47"/>
      <c r="SLE34" s="47"/>
      <c r="SLG34" s="11"/>
      <c r="SON34" s="47"/>
      <c r="SOS34" s="47"/>
      <c r="SOU34" s="11"/>
      <c r="SSB34" s="47"/>
      <c r="SSG34" s="47"/>
      <c r="SSI34" s="11"/>
      <c r="SVP34" s="47"/>
      <c r="SVU34" s="47"/>
      <c r="SVW34" s="11"/>
      <c r="SZD34" s="47"/>
      <c r="SZI34" s="47"/>
      <c r="SZK34" s="11"/>
      <c r="TCR34" s="47"/>
      <c r="TCW34" s="47"/>
      <c r="TCY34" s="11"/>
      <c r="TGF34" s="47"/>
      <c r="TGK34" s="47"/>
      <c r="TGM34" s="11"/>
      <c r="TJT34" s="47"/>
      <c r="TJY34" s="47"/>
      <c r="TKA34" s="11"/>
      <c r="TNH34" s="47"/>
      <c r="TNM34" s="47"/>
      <c r="TNO34" s="11"/>
      <c r="TQV34" s="47"/>
      <c r="TRA34" s="47"/>
      <c r="TRC34" s="11"/>
      <c r="TUJ34" s="47"/>
      <c r="TUO34" s="47"/>
      <c r="TUQ34" s="11"/>
      <c r="TXX34" s="47"/>
      <c r="TYC34" s="47"/>
      <c r="TYE34" s="11"/>
      <c r="UBL34" s="47"/>
      <c r="UBQ34" s="47"/>
      <c r="UBS34" s="11"/>
      <c r="UEZ34" s="47"/>
      <c r="UFE34" s="47"/>
      <c r="UFG34" s="11"/>
      <c r="UIN34" s="47"/>
      <c r="UIS34" s="47"/>
      <c r="UIU34" s="11"/>
      <c r="UMB34" s="47"/>
      <c r="UMG34" s="47"/>
      <c r="UMI34" s="11"/>
      <c r="UPP34" s="47"/>
      <c r="UPU34" s="47"/>
      <c r="UPW34" s="11"/>
      <c r="UTD34" s="47"/>
      <c r="UTI34" s="47"/>
      <c r="UTK34" s="11"/>
      <c r="UWR34" s="47"/>
      <c r="UWW34" s="47"/>
      <c r="UWY34" s="11"/>
      <c r="VAF34" s="47"/>
      <c r="VAK34" s="47"/>
      <c r="VAM34" s="11"/>
      <c r="VDT34" s="47"/>
      <c r="VDY34" s="47"/>
      <c r="VEA34" s="11"/>
      <c r="VHH34" s="47"/>
      <c r="VHM34" s="47"/>
      <c r="VHO34" s="11"/>
      <c r="VKV34" s="47"/>
      <c r="VLA34" s="47"/>
      <c r="VLC34" s="11"/>
      <c r="VOJ34" s="47"/>
      <c r="VOO34" s="47"/>
      <c r="VOQ34" s="11"/>
      <c r="VRX34" s="47"/>
      <c r="VSC34" s="47"/>
      <c r="VSE34" s="11"/>
      <c r="VVL34" s="47"/>
      <c r="VVQ34" s="47"/>
      <c r="VVS34" s="11"/>
      <c r="VYZ34" s="47"/>
      <c r="VZE34" s="47"/>
      <c r="VZG34" s="11"/>
      <c r="WCN34" s="47"/>
      <c r="WCS34" s="47"/>
      <c r="WCU34" s="11"/>
      <c r="WGB34" s="47"/>
      <c r="WGG34" s="47"/>
      <c r="WGI34" s="11"/>
      <c r="WJP34" s="47"/>
      <c r="WJU34" s="47"/>
      <c r="WJW34" s="11"/>
      <c r="WND34" s="47"/>
      <c r="WNI34" s="47"/>
      <c r="WNK34" s="11"/>
      <c r="WQR34" s="47"/>
      <c r="WQW34" s="47"/>
      <c r="WQY34" s="11"/>
      <c r="WUF34" s="47"/>
      <c r="WUK34" s="47"/>
      <c r="WUM34" s="11"/>
      <c r="WXT34" s="47"/>
      <c r="WXY34" s="47"/>
      <c r="WYA34" s="11"/>
      <c r="XBH34" s="47"/>
      <c r="XBM34" s="47"/>
      <c r="XBO34" s="11"/>
      <c r="XEV34" s="47"/>
      <c r="XFA34" s="47"/>
      <c r="XFC34" s="11"/>
    </row>
    <row r="35" spans="1:1019 1104:2031 2116:3043 3128:4055 4140:5067 5152:6079 6164:7091 7176:8188 8193:9207 9292:10219 10304:11231 11316:12243 12328:13255 13340:14267 14352:15279 15364:16383" s="10" customFormat="1" ht="14.65" customHeight="1">
      <c r="C35" s="17" t="s">
        <v>989</v>
      </c>
      <c r="E35" s="47"/>
      <c r="G35" s="11" t="str">
        <f>Monetary_Unit</f>
        <v>тыс. руб.</v>
      </c>
      <c r="I35" s="23">
        <f ca="1">SUM(L35:CM35)</f>
        <v>0</v>
      </c>
      <c r="L35" s="10">
        <f t="shared" ref="L35:AQ35" ca="1" si="10" xml:space="preserve"> L106 * (Flag_Construction)</f>
        <v>0</v>
      </c>
      <c r="M35" s="10">
        <f t="shared" ca="1" si="10"/>
        <v>0</v>
      </c>
      <c r="N35" s="10">
        <f t="shared" ca="1" si="10"/>
        <v>0</v>
      </c>
      <c r="O35" s="10">
        <f t="shared" ca="1" si="10"/>
        <v>0</v>
      </c>
      <c r="P35" s="10">
        <f t="shared" ca="1" si="10"/>
        <v>0</v>
      </c>
      <c r="Q35" s="10">
        <f t="shared" ca="1" si="10"/>
        <v>0</v>
      </c>
      <c r="R35" s="10">
        <f t="shared" ca="1" si="10"/>
        <v>0</v>
      </c>
      <c r="S35" s="10">
        <f t="shared" ca="1" si="10"/>
        <v>0</v>
      </c>
      <c r="T35" s="10">
        <f t="shared" ca="1" si="10"/>
        <v>0</v>
      </c>
      <c r="U35" s="10">
        <f t="shared" ca="1" si="10"/>
        <v>0</v>
      </c>
      <c r="V35" s="10">
        <f t="shared" ca="1" si="10"/>
        <v>0</v>
      </c>
      <c r="W35" s="10">
        <f t="shared" ca="1" si="10"/>
        <v>0</v>
      </c>
      <c r="X35" s="10">
        <f t="shared" ca="1" si="10"/>
        <v>0</v>
      </c>
      <c r="Y35" s="10">
        <f t="shared" ca="1" si="10"/>
        <v>0</v>
      </c>
      <c r="Z35" s="10">
        <f t="shared" ca="1" si="10"/>
        <v>0</v>
      </c>
      <c r="AA35" s="10">
        <f t="shared" ca="1" si="10"/>
        <v>0</v>
      </c>
      <c r="AB35" s="10">
        <f t="shared" ca="1" si="10"/>
        <v>0</v>
      </c>
      <c r="AC35" s="10">
        <f t="shared" ca="1" si="10"/>
        <v>0</v>
      </c>
      <c r="AD35" s="10">
        <f t="shared" ca="1" si="10"/>
        <v>0</v>
      </c>
      <c r="AE35" s="10">
        <f t="shared" ca="1" si="10"/>
        <v>0</v>
      </c>
      <c r="AF35" s="10">
        <f t="shared" ca="1" si="10"/>
        <v>0</v>
      </c>
      <c r="AG35" s="10">
        <f t="shared" ca="1" si="10"/>
        <v>0</v>
      </c>
      <c r="AH35" s="10">
        <f t="shared" ca="1" si="10"/>
        <v>0</v>
      </c>
      <c r="AI35" s="10">
        <f t="shared" ca="1" si="10"/>
        <v>0</v>
      </c>
      <c r="AJ35" s="10">
        <f t="shared" ca="1" si="10"/>
        <v>0</v>
      </c>
      <c r="AK35" s="10">
        <f t="shared" ca="1" si="10"/>
        <v>0</v>
      </c>
      <c r="AL35" s="10">
        <f t="shared" ca="1" si="10"/>
        <v>0</v>
      </c>
      <c r="AM35" s="10">
        <f t="shared" ca="1" si="10"/>
        <v>0</v>
      </c>
      <c r="AN35" s="10">
        <f t="shared" ca="1" si="10"/>
        <v>0</v>
      </c>
      <c r="AO35" s="10">
        <f t="shared" ca="1" si="10"/>
        <v>0</v>
      </c>
      <c r="AP35" s="10">
        <f t="shared" ca="1" si="10"/>
        <v>0</v>
      </c>
      <c r="AQ35" s="10">
        <f t="shared" ca="1" si="10"/>
        <v>0</v>
      </c>
      <c r="AR35" s="10">
        <f t="shared" ref="AR35:BW35" ca="1" si="11" xml:space="preserve"> AR106 * (Flag_Construction)</f>
        <v>0</v>
      </c>
      <c r="AS35" s="10">
        <f t="shared" ca="1" si="11"/>
        <v>0</v>
      </c>
      <c r="AT35" s="10">
        <f t="shared" ca="1" si="11"/>
        <v>0</v>
      </c>
      <c r="AU35" s="10">
        <f t="shared" ca="1" si="11"/>
        <v>0</v>
      </c>
      <c r="AV35" s="10">
        <f t="shared" ca="1" si="11"/>
        <v>0</v>
      </c>
      <c r="AW35" s="10">
        <f t="shared" ca="1" si="11"/>
        <v>0</v>
      </c>
      <c r="AX35" s="10">
        <f t="shared" ca="1" si="11"/>
        <v>0</v>
      </c>
      <c r="AY35" s="10">
        <f t="shared" ca="1" si="11"/>
        <v>0</v>
      </c>
      <c r="AZ35" s="10">
        <f t="shared" ca="1" si="11"/>
        <v>0</v>
      </c>
      <c r="BA35" s="10">
        <f t="shared" ca="1" si="11"/>
        <v>0</v>
      </c>
      <c r="BB35" s="10">
        <f t="shared" ca="1" si="11"/>
        <v>0</v>
      </c>
      <c r="BC35" s="10">
        <f t="shared" ca="1" si="11"/>
        <v>0</v>
      </c>
      <c r="BD35" s="10">
        <f t="shared" ca="1" si="11"/>
        <v>0</v>
      </c>
      <c r="BE35" s="10">
        <f t="shared" ca="1" si="11"/>
        <v>0</v>
      </c>
      <c r="BF35" s="10">
        <f t="shared" ca="1" si="11"/>
        <v>0</v>
      </c>
      <c r="BG35" s="10">
        <f t="shared" ca="1" si="11"/>
        <v>0</v>
      </c>
      <c r="BH35" s="10">
        <f t="shared" ca="1" si="11"/>
        <v>0</v>
      </c>
      <c r="BI35" s="10">
        <f t="shared" ca="1" si="11"/>
        <v>0</v>
      </c>
      <c r="BJ35" s="10">
        <f t="shared" ca="1" si="11"/>
        <v>0</v>
      </c>
      <c r="BK35" s="10">
        <f t="shared" ca="1" si="11"/>
        <v>0</v>
      </c>
      <c r="BL35" s="10">
        <f t="shared" ca="1" si="11"/>
        <v>0</v>
      </c>
      <c r="BM35" s="10">
        <f t="shared" ca="1" si="11"/>
        <v>0</v>
      </c>
      <c r="BN35" s="10">
        <f t="shared" ca="1" si="11"/>
        <v>0</v>
      </c>
      <c r="BO35" s="10">
        <f t="shared" ca="1" si="11"/>
        <v>0</v>
      </c>
      <c r="BP35" s="10">
        <f t="shared" ca="1" si="11"/>
        <v>0</v>
      </c>
      <c r="BQ35" s="10">
        <f t="shared" ca="1" si="11"/>
        <v>0</v>
      </c>
      <c r="BR35" s="10">
        <f t="shared" ca="1" si="11"/>
        <v>0</v>
      </c>
      <c r="BS35" s="10">
        <f t="shared" ca="1" si="11"/>
        <v>0</v>
      </c>
      <c r="BT35" s="10">
        <f t="shared" ca="1" si="11"/>
        <v>0</v>
      </c>
      <c r="BU35" s="10">
        <f t="shared" ca="1" si="11"/>
        <v>0</v>
      </c>
      <c r="BV35" s="10">
        <f t="shared" ca="1" si="11"/>
        <v>0</v>
      </c>
      <c r="BW35" s="10">
        <f t="shared" ca="1" si="11"/>
        <v>0</v>
      </c>
      <c r="BX35" s="10">
        <f t="shared" ref="BX35:CM35" ca="1" si="12" xml:space="preserve"> BX106 * (Flag_Construction)</f>
        <v>0</v>
      </c>
      <c r="BY35" s="10">
        <f t="shared" ca="1" si="12"/>
        <v>0</v>
      </c>
      <c r="BZ35" s="10">
        <f t="shared" ca="1" si="12"/>
        <v>0</v>
      </c>
      <c r="CA35" s="10">
        <f t="shared" ca="1" si="12"/>
        <v>0</v>
      </c>
      <c r="CB35" s="10">
        <f t="shared" ca="1" si="12"/>
        <v>0</v>
      </c>
      <c r="CC35" s="10">
        <f t="shared" ca="1" si="12"/>
        <v>0</v>
      </c>
      <c r="CD35" s="10">
        <f t="shared" ca="1" si="12"/>
        <v>0</v>
      </c>
      <c r="CE35" s="10">
        <f t="shared" ca="1" si="12"/>
        <v>0</v>
      </c>
      <c r="CF35" s="10">
        <f t="shared" ca="1" si="12"/>
        <v>0</v>
      </c>
      <c r="CG35" s="10">
        <f t="shared" ca="1" si="12"/>
        <v>0</v>
      </c>
      <c r="CH35" s="10">
        <f t="shared" ca="1" si="12"/>
        <v>0</v>
      </c>
      <c r="CI35" s="10">
        <f t="shared" ca="1" si="12"/>
        <v>0</v>
      </c>
      <c r="CJ35" s="10">
        <f t="shared" ca="1" si="12"/>
        <v>0</v>
      </c>
      <c r="CK35" s="10">
        <f t="shared" ca="1" si="12"/>
        <v>0</v>
      </c>
      <c r="CL35" s="10">
        <f t="shared" ca="1" si="12"/>
        <v>0</v>
      </c>
      <c r="CM35" s="10">
        <f t="shared" ca="1" si="12"/>
        <v>0</v>
      </c>
      <c r="CN35" s="10">
        <f ca="1" xml:space="preserve"> CN106 * (Flag_Construction)</f>
        <v>0</v>
      </c>
      <c r="CO35" s="10">
        <f ca="1" xml:space="preserve"> CO106 * (Flag_Construction)</f>
        <v>0</v>
      </c>
      <c r="CS35" s="47"/>
      <c r="CU35" s="11"/>
      <c r="GB35" s="47"/>
      <c r="GG35" s="47"/>
      <c r="GI35" s="11"/>
      <c r="JP35" s="47"/>
      <c r="JU35" s="47"/>
      <c r="JW35" s="11"/>
      <c r="ND35" s="47"/>
      <c r="NI35" s="47"/>
      <c r="NK35" s="11"/>
      <c r="QR35" s="47"/>
      <c r="QW35" s="47"/>
      <c r="QY35" s="11"/>
      <c r="UF35" s="47"/>
      <c r="UK35" s="47"/>
      <c r="UM35" s="11"/>
      <c r="XT35" s="47"/>
      <c r="XY35" s="47"/>
      <c r="YA35" s="11"/>
      <c r="ABH35" s="47"/>
      <c r="ABM35" s="47"/>
      <c r="ABO35" s="11"/>
      <c r="AEV35" s="47"/>
      <c r="AFA35" s="47"/>
      <c r="AFC35" s="11"/>
      <c r="AIJ35" s="47"/>
      <c r="AIO35" s="47"/>
      <c r="AIQ35" s="11"/>
      <c r="ALX35" s="47"/>
      <c r="AMC35" s="47"/>
      <c r="AME35" s="11"/>
      <c r="APL35" s="47"/>
      <c r="APQ35" s="47"/>
      <c r="APS35" s="11"/>
      <c r="ASZ35" s="47"/>
      <c r="ATE35" s="47"/>
      <c r="ATG35" s="11"/>
      <c r="AWN35" s="47"/>
      <c r="AWS35" s="47"/>
      <c r="AWU35" s="11"/>
      <c r="BAB35" s="47"/>
      <c r="BAG35" s="47"/>
      <c r="BAI35" s="11"/>
      <c r="BDP35" s="47"/>
      <c r="BDU35" s="47"/>
      <c r="BDW35" s="11"/>
      <c r="BHD35" s="47"/>
      <c r="BHI35" s="47"/>
      <c r="BHK35" s="11"/>
      <c r="BKR35" s="47"/>
      <c r="BKW35" s="47"/>
      <c r="BKY35" s="11"/>
      <c r="BOF35" s="47"/>
      <c r="BOK35" s="47"/>
      <c r="BOM35" s="11"/>
      <c r="BRT35" s="47"/>
      <c r="BRY35" s="47"/>
      <c r="BSA35" s="11"/>
      <c r="BVH35" s="47"/>
      <c r="BVM35" s="47"/>
      <c r="BVO35" s="11"/>
      <c r="BYV35" s="47"/>
      <c r="BZA35" s="47"/>
      <c r="BZC35" s="11"/>
      <c r="CCJ35" s="47"/>
      <c r="CCO35" s="47"/>
      <c r="CCQ35" s="11"/>
      <c r="CFX35" s="47"/>
      <c r="CGC35" s="47"/>
      <c r="CGE35" s="11"/>
      <c r="CJL35" s="47"/>
      <c r="CJQ35" s="47"/>
      <c r="CJS35" s="11"/>
      <c r="CMZ35" s="47"/>
      <c r="CNE35" s="47"/>
      <c r="CNG35" s="11"/>
      <c r="CQN35" s="47"/>
      <c r="CQS35" s="47"/>
      <c r="CQU35" s="11"/>
      <c r="CUB35" s="47"/>
      <c r="CUG35" s="47"/>
      <c r="CUI35" s="11"/>
      <c r="CXP35" s="47"/>
      <c r="CXU35" s="47"/>
      <c r="CXW35" s="11"/>
      <c r="DBD35" s="47"/>
      <c r="DBI35" s="47"/>
      <c r="DBK35" s="11"/>
      <c r="DER35" s="47"/>
      <c r="DEW35" s="47"/>
      <c r="DEY35" s="11"/>
      <c r="DIF35" s="47"/>
      <c r="DIK35" s="47"/>
      <c r="DIM35" s="11"/>
      <c r="DLT35" s="47"/>
      <c r="DLY35" s="47"/>
      <c r="DMA35" s="11"/>
      <c r="DPH35" s="47"/>
      <c r="DPM35" s="47"/>
      <c r="DPO35" s="11"/>
      <c r="DSV35" s="47"/>
      <c r="DTA35" s="47"/>
      <c r="DTC35" s="11"/>
      <c r="DWJ35" s="47"/>
      <c r="DWO35" s="47"/>
      <c r="DWQ35" s="11"/>
      <c r="DZX35" s="47"/>
      <c r="EAC35" s="47"/>
      <c r="EAE35" s="11"/>
      <c r="EDL35" s="47"/>
      <c r="EDQ35" s="47"/>
      <c r="EDS35" s="11"/>
      <c r="EGZ35" s="47"/>
      <c r="EHE35" s="47"/>
      <c r="EHG35" s="11"/>
      <c r="EKN35" s="47"/>
      <c r="EKS35" s="47"/>
      <c r="EKU35" s="11"/>
      <c r="EOB35" s="47"/>
      <c r="EOG35" s="47"/>
      <c r="EOI35" s="11"/>
      <c r="ERP35" s="47"/>
      <c r="ERU35" s="47"/>
      <c r="ERW35" s="11"/>
      <c r="EVD35" s="47"/>
      <c r="EVI35" s="47"/>
      <c r="EVK35" s="11"/>
      <c r="EYR35" s="47"/>
      <c r="EYW35" s="47"/>
      <c r="EYY35" s="11"/>
      <c r="FCF35" s="47"/>
      <c r="FCK35" s="47"/>
      <c r="FCM35" s="11"/>
      <c r="FFT35" s="47"/>
      <c r="FFY35" s="47"/>
      <c r="FGA35" s="11"/>
      <c r="FJH35" s="47"/>
      <c r="FJM35" s="47"/>
      <c r="FJO35" s="11"/>
      <c r="FMV35" s="47"/>
      <c r="FNA35" s="47"/>
      <c r="FNC35" s="11"/>
      <c r="FQJ35" s="47"/>
      <c r="FQO35" s="47"/>
      <c r="FQQ35" s="11"/>
      <c r="FTX35" s="47"/>
      <c r="FUC35" s="47"/>
      <c r="FUE35" s="11"/>
      <c r="FXL35" s="47"/>
      <c r="FXQ35" s="47"/>
      <c r="FXS35" s="11"/>
      <c r="GAZ35" s="47"/>
      <c r="GBE35" s="47"/>
      <c r="GBG35" s="11"/>
      <c r="GEN35" s="47"/>
      <c r="GES35" s="47"/>
      <c r="GEU35" s="11"/>
      <c r="GIB35" s="47"/>
      <c r="GIG35" s="47"/>
      <c r="GII35" s="11"/>
      <c r="GLP35" s="47"/>
      <c r="GLU35" s="47"/>
      <c r="GLW35" s="11"/>
      <c r="GPD35" s="47"/>
      <c r="GPI35" s="47"/>
      <c r="GPK35" s="11"/>
      <c r="GSR35" s="47"/>
      <c r="GSW35" s="47"/>
      <c r="GSY35" s="11"/>
      <c r="GWF35" s="47"/>
      <c r="GWK35" s="47"/>
      <c r="GWM35" s="11"/>
      <c r="GZT35" s="47"/>
      <c r="GZY35" s="47"/>
      <c r="HAA35" s="11"/>
      <c r="HDH35" s="47"/>
      <c r="HDM35" s="47"/>
      <c r="HDO35" s="11"/>
      <c r="HGV35" s="47"/>
      <c r="HHA35" s="47"/>
      <c r="HHC35" s="11"/>
      <c r="HKJ35" s="47"/>
      <c r="HKO35" s="47"/>
      <c r="HKQ35" s="11"/>
      <c r="HNX35" s="47"/>
      <c r="HOC35" s="47"/>
      <c r="HOE35" s="11"/>
      <c r="HRL35" s="47"/>
      <c r="HRQ35" s="47"/>
      <c r="HRS35" s="11"/>
      <c r="HUZ35" s="47"/>
      <c r="HVE35" s="47"/>
      <c r="HVG35" s="11"/>
      <c r="HYN35" s="47"/>
      <c r="HYS35" s="47"/>
      <c r="HYU35" s="11"/>
      <c r="ICB35" s="47"/>
      <c r="ICG35" s="47"/>
      <c r="ICI35" s="11"/>
      <c r="IFP35" s="47"/>
      <c r="IFU35" s="47"/>
      <c r="IFW35" s="11"/>
      <c r="IJD35" s="47"/>
      <c r="IJI35" s="47"/>
      <c r="IJK35" s="11"/>
      <c r="IMR35" s="47"/>
      <c r="IMW35" s="47"/>
      <c r="IMY35" s="11"/>
      <c r="IQF35" s="47"/>
      <c r="IQK35" s="47"/>
      <c r="IQM35" s="11"/>
      <c r="ITT35" s="47"/>
      <c r="ITY35" s="47"/>
      <c r="IUA35" s="11"/>
      <c r="IXH35" s="47"/>
      <c r="IXM35" s="47"/>
      <c r="IXO35" s="11"/>
      <c r="JAV35" s="47"/>
      <c r="JBA35" s="47"/>
      <c r="JBC35" s="11"/>
      <c r="JEJ35" s="47"/>
      <c r="JEO35" s="47"/>
      <c r="JEQ35" s="11"/>
      <c r="JHX35" s="47"/>
      <c r="JIC35" s="47"/>
      <c r="JIE35" s="11"/>
      <c r="JLL35" s="47"/>
      <c r="JLQ35" s="47"/>
      <c r="JLS35" s="11"/>
      <c r="JOZ35" s="47"/>
      <c r="JPE35" s="47"/>
      <c r="JPG35" s="11"/>
      <c r="JSN35" s="47"/>
      <c r="JSS35" s="47"/>
      <c r="JSU35" s="11"/>
      <c r="JWB35" s="47"/>
      <c r="JWG35" s="47"/>
      <c r="JWI35" s="11"/>
      <c r="JZP35" s="47"/>
      <c r="JZU35" s="47"/>
      <c r="JZW35" s="11"/>
      <c r="KDD35" s="47"/>
      <c r="KDI35" s="47"/>
      <c r="KDK35" s="11"/>
      <c r="KGR35" s="47"/>
      <c r="KGW35" s="47"/>
      <c r="KGY35" s="11"/>
      <c r="KKF35" s="47"/>
      <c r="KKK35" s="47"/>
      <c r="KKM35" s="11"/>
      <c r="KNT35" s="47"/>
      <c r="KNY35" s="47"/>
      <c r="KOA35" s="11"/>
      <c r="KRH35" s="47"/>
      <c r="KRM35" s="47"/>
      <c r="KRO35" s="11"/>
      <c r="KUV35" s="47"/>
      <c r="KVA35" s="47"/>
      <c r="KVC35" s="11"/>
      <c r="KYJ35" s="47"/>
      <c r="KYO35" s="47"/>
      <c r="KYQ35" s="11"/>
      <c r="LBX35" s="47"/>
      <c r="LCC35" s="47"/>
      <c r="LCE35" s="11"/>
      <c r="LFL35" s="47"/>
      <c r="LFQ35" s="47"/>
      <c r="LFS35" s="11"/>
      <c r="LIZ35" s="47"/>
      <c r="LJE35" s="47"/>
      <c r="LJG35" s="11"/>
      <c r="LMN35" s="47"/>
      <c r="LMS35" s="47"/>
      <c r="LMU35" s="11"/>
      <c r="LQB35" s="47"/>
      <c r="LQG35" s="47"/>
      <c r="LQI35" s="11"/>
      <c r="LTP35" s="47"/>
      <c r="LTU35" s="47"/>
      <c r="LTW35" s="11"/>
      <c r="LXD35" s="47"/>
      <c r="LXI35" s="47"/>
      <c r="LXK35" s="11"/>
      <c r="MAR35" s="47"/>
      <c r="MAW35" s="47"/>
      <c r="MAY35" s="11"/>
      <c r="MEF35" s="47"/>
      <c r="MEK35" s="47"/>
      <c r="MEM35" s="11"/>
      <c r="MHT35" s="47"/>
      <c r="MHY35" s="47"/>
      <c r="MIA35" s="11"/>
      <c r="MLH35" s="47"/>
      <c r="MLM35" s="47"/>
      <c r="MLO35" s="11"/>
      <c r="MOV35" s="47"/>
      <c r="MPA35" s="47"/>
      <c r="MPC35" s="11"/>
      <c r="MSJ35" s="47"/>
      <c r="MSO35" s="47"/>
      <c r="MSQ35" s="11"/>
      <c r="MVX35" s="47"/>
      <c r="MWC35" s="47"/>
      <c r="MWE35" s="11"/>
      <c r="MZL35" s="47"/>
      <c r="MZQ35" s="47"/>
      <c r="MZS35" s="11"/>
      <c r="NCZ35" s="47"/>
      <c r="NDE35" s="47"/>
      <c r="NDG35" s="11"/>
      <c r="NGN35" s="47"/>
      <c r="NGS35" s="47"/>
      <c r="NGU35" s="11"/>
      <c r="NKB35" s="47"/>
      <c r="NKG35" s="47"/>
      <c r="NKI35" s="11"/>
      <c r="NNP35" s="47"/>
      <c r="NNU35" s="47"/>
      <c r="NNW35" s="11"/>
      <c r="NRD35" s="47"/>
      <c r="NRI35" s="47"/>
      <c r="NRK35" s="11"/>
      <c r="NUR35" s="47"/>
      <c r="NUW35" s="47"/>
      <c r="NUY35" s="11"/>
      <c r="NYF35" s="47"/>
      <c r="NYK35" s="47"/>
      <c r="NYM35" s="11"/>
      <c r="OBT35" s="47"/>
      <c r="OBY35" s="47"/>
      <c r="OCA35" s="11"/>
      <c r="OFH35" s="47"/>
      <c r="OFM35" s="47"/>
      <c r="OFO35" s="11"/>
      <c r="OIV35" s="47"/>
      <c r="OJA35" s="47"/>
      <c r="OJC35" s="11"/>
      <c r="OMJ35" s="47"/>
      <c r="OMO35" s="47"/>
      <c r="OMQ35" s="11"/>
      <c r="OPX35" s="47"/>
      <c r="OQC35" s="47"/>
      <c r="OQE35" s="11"/>
      <c r="OTL35" s="47"/>
      <c r="OTQ35" s="47"/>
      <c r="OTS35" s="11"/>
      <c r="OWZ35" s="47"/>
      <c r="OXE35" s="47"/>
      <c r="OXG35" s="11"/>
      <c r="PAN35" s="47"/>
      <c r="PAS35" s="47"/>
      <c r="PAU35" s="11"/>
      <c r="PEB35" s="47"/>
      <c r="PEG35" s="47"/>
      <c r="PEI35" s="11"/>
      <c r="PHP35" s="47"/>
      <c r="PHU35" s="47"/>
      <c r="PHW35" s="11"/>
      <c r="PLD35" s="47"/>
      <c r="PLI35" s="47"/>
      <c r="PLK35" s="11"/>
      <c r="POR35" s="47"/>
      <c r="POW35" s="47"/>
      <c r="POY35" s="11"/>
      <c r="PSF35" s="47"/>
      <c r="PSK35" s="47"/>
      <c r="PSM35" s="11"/>
      <c r="PVT35" s="47"/>
      <c r="PVY35" s="47"/>
      <c r="PWA35" s="11"/>
      <c r="PZH35" s="47"/>
      <c r="PZM35" s="47"/>
      <c r="PZO35" s="11"/>
      <c r="QCV35" s="47"/>
      <c r="QDA35" s="47"/>
      <c r="QDC35" s="11"/>
      <c r="QGJ35" s="47"/>
      <c r="QGO35" s="47"/>
      <c r="QGQ35" s="11"/>
      <c r="QJX35" s="47"/>
      <c r="QKC35" s="47"/>
      <c r="QKE35" s="11"/>
      <c r="QNL35" s="47"/>
      <c r="QNQ35" s="47"/>
      <c r="QNS35" s="11"/>
      <c r="QQZ35" s="47"/>
      <c r="QRE35" s="47"/>
      <c r="QRG35" s="11"/>
      <c r="QUN35" s="47"/>
      <c r="QUS35" s="47"/>
      <c r="QUU35" s="11"/>
      <c r="QYB35" s="47"/>
      <c r="QYG35" s="47"/>
      <c r="QYI35" s="11"/>
      <c r="RBP35" s="47"/>
      <c r="RBU35" s="47"/>
      <c r="RBW35" s="11"/>
      <c r="RFD35" s="47"/>
      <c r="RFI35" s="47"/>
      <c r="RFK35" s="11"/>
      <c r="RIR35" s="47"/>
      <c r="RIW35" s="47"/>
      <c r="RIY35" s="11"/>
      <c r="RMF35" s="47"/>
      <c r="RMK35" s="47"/>
      <c r="RMM35" s="11"/>
      <c r="RPT35" s="47"/>
      <c r="RPY35" s="47"/>
      <c r="RQA35" s="11"/>
      <c r="RTH35" s="47"/>
      <c r="RTM35" s="47"/>
      <c r="RTO35" s="11"/>
      <c r="RWV35" s="47"/>
      <c r="RXA35" s="47"/>
      <c r="RXC35" s="11"/>
      <c r="SAJ35" s="47"/>
      <c r="SAO35" s="47"/>
      <c r="SAQ35" s="11"/>
      <c r="SDX35" s="47"/>
      <c r="SEC35" s="47"/>
      <c r="SEE35" s="11"/>
      <c r="SHL35" s="47"/>
      <c r="SHQ35" s="47"/>
      <c r="SHS35" s="11"/>
      <c r="SKZ35" s="47"/>
      <c r="SLE35" s="47"/>
      <c r="SLG35" s="11"/>
      <c r="SON35" s="47"/>
      <c r="SOS35" s="47"/>
      <c r="SOU35" s="11"/>
      <c r="SSB35" s="47"/>
      <c r="SSG35" s="47"/>
      <c r="SSI35" s="11"/>
      <c r="SVP35" s="47"/>
      <c r="SVU35" s="47"/>
      <c r="SVW35" s="11"/>
      <c r="SZD35" s="47"/>
      <c r="SZI35" s="47"/>
      <c r="SZK35" s="11"/>
      <c r="TCR35" s="47"/>
      <c r="TCW35" s="47"/>
      <c r="TCY35" s="11"/>
      <c r="TGF35" s="47"/>
      <c r="TGK35" s="47"/>
      <c r="TGM35" s="11"/>
      <c r="TJT35" s="47"/>
      <c r="TJY35" s="47"/>
      <c r="TKA35" s="11"/>
      <c r="TNH35" s="47"/>
      <c r="TNM35" s="47"/>
      <c r="TNO35" s="11"/>
      <c r="TQV35" s="47"/>
      <c r="TRA35" s="47"/>
      <c r="TRC35" s="11"/>
      <c r="TUJ35" s="47"/>
      <c r="TUO35" s="47"/>
      <c r="TUQ35" s="11"/>
      <c r="TXX35" s="47"/>
      <c r="TYC35" s="47"/>
      <c r="TYE35" s="11"/>
      <c r="UBL35" s="47"/>
      <c r="UBQ35" s="47"/>
      <c r="UBS35" s="11"/>
      <c r="UEZ35" s="47"/>
      <c r="UFE35" s="47"/>
      <c r="UFG35" s="11"/>
      <c r="UIN35" s="47"/>
      <c r="UIS35" s="47"/>
      <c r="UIU35" s="11"/>
      <c r="UMB35" s="47"/>
      <c r="UMG35" s="47"/>
      <c r="UMI35" s="11"/>
      <c r="UPP35" s="47"/>
      <c r="UPU35" s="47"/>
      <c r="UPW35" s="11"/>
      <c r="UTD35" s="47"/>
      <c r="UTI35" s="47"/>
      <c r="UTK35" s="11"/>
      <c r="UWR35" s="47"/>
      <c r="UWW35" s="47"/>
      <c r="UWY35" s="11"/>
      <c r="VAF35" s="47"/>
      <c r="VAK35" s="47"/>
      <c r="VAM35" s="11"/>
      <c r="VDT35" s="47"/>
      <c r="VDY35" s="47"/>
      <c r="VEA35" s="11"/>
      <c r="VHH35" s="47"/>
      <c r="VHM35" s="47"/>
      <c r="VHO35" s="11"/>
      <c r="VKV35" s="47"/>
      <c r="VLA35" s="47"/>
      <c r="VLC35" s="11"/>
      <c r="VOJ35" s="47"/>
      <c r="VOO35" s="47"/>
      <c r="VOQ35" s="11"/>
      <c r="VRX35" s="47"/>
      <c r="VSC35" s="47"/>
      <c r="VSE35" s="11"/>
      <c r="VVL35" s="47"/>
      <c r="VVQ35" s="47"/>
      <c r="VVS35" s="11"/>
      <c r="VYZ35" s="47"/>
      <c r="VZE35" s="47"/>
      <c r="VZG35" s="11"/>
      <c r="WCN35" s="47"/>
      <c r="WCS35" s="47"/>
      <c r="WCU35" s="11"/>
      <c r="WGB35" s="47"/>
      <c r="WGG35" s="47"/>
      <c r="WGI35" s="11"/>
      <c r="WJP35" s="47"/>
      <c r="WJU35" s="47"/>
      <c r="WJW35" s="11"/>
      <c r="WND35" s="47"/>
      <c r="WNI35" s="47"/>
      <c r="WNK35" s="11"/>
      <c r="WQR35" s="47"/>
      <c r="WQW35" s="47"/>
      <c r="WQY35" s="11"/>
      <c r="WUF35" s="47"/>
      <c r="WUK35" s="47"/>
      <c r="WUM35" s="11"/>
      <c r="WXT35" s="47"/>
      <c r="WXY35" s="47"/>
      <c r="WYA35" s="11"/>
      <c r="XBH35" s="47"/>
      <c r="XBM35" s="47"/>
      <c r="XBO35" s="11"/>
      <c r="XEV35" s="47"/>
      <c r="XFA35" s="47"/>
      <c r="XFC35" s="11"/>
    </row>
    <row r="36" spans="1:1019 1104:2031 2116:3043 3128:4055 4140:5067 5152:6079 6164:7091 7176:8188 8193:9207 9292:10219 10304:11231 11316:12243 12328:13255 13340:14267 14352:15279 15364:16383" s="10" customFormat="1" ht="14.65" customHeight="1" thickBot="1">
      <c r="C36" s="17" t="s">
        <v>990</v>
      </c>
      <c r="E36" s="47"/>
      <c r="G36" s="11" t="str">
        <f>Monetary_Unit</f>
        <v>тыс. руб.</v>
      </c>
      <c r="I36" s="23">
        <f ca="1">SUM(L36:CM36)</f>
        <v>-939517.6963137642</v>
      </c>
      <c r="L36" s="10">
        <f t="shared" ref="L36:AQ36" ca="1" si="13" xml:space="preserve"> L106 * (Flag_Operations)</f>
        <v>0</v>
      </c>
      <c r="M36" s="10">
        <f t="shared" ca="1" si="13"/>
        <v>0</v>
      </c>
      <c r="N36" s="10">
        <f t="shared" ca="1" si="13"/>
        <v>0</v>
      </c>
      <c r="O36" s="10">
        <f t="shared" ca="1" si="13"/>
        <v>0</v>
      </c>
      <c r="P36" s="10">
        <f t="shared" ca="1" si="13"/>
        <v>0</v>
      </c>
      <c r="Q36" s="10">
        <f t="shared" ca="1" si="13"/>
        <v>0</v>
      </c>
      <c r="R36" s="10">
        <f t="shared" ca="1" si="13"/>
        <v>0</v>
      </c>
      <c r="S36" s="10">
        <f t="shared" ca="1" si="13"/>
        <v>0</v>
      </c>
      <c r="T36" s="10">
        <f t="shared" ca="1" si="13"/>
        <v>0</v>
      </c>
      <c r="U36" s="10">
        <f t="shared" ca="1" si="13"/>
        <v>0</v>
      </c>
      <c r="V36" s="10">
        <f t="shared" ca="1" si="13"/>
        <v>0</v>
      </c>
      <c r="W36" s="10">
        <f t="shared" ca="1" si="13"/>
        <v>0</v>
      </c>
      <c r="X36" s="10">
        <f t="shared" ca="1" si="13"/>
        <v>0</v>
      </c>
      <c r="Y36" s="10">
        <f t="shared" ca="1" si="13"/>
        <v>0</v>
      </c>
      <c r="Z36" s="10">
        <f t="shared" ca="1" si="13"/>
        <v>0</v>
      </c>
      <c r="AA36" s="10">
        <f t="shared" ca="1" si="13"/>
        <v>0</v>
      </c>
      <c r="AB36" s="10">
        <f t="shared" ca="1" si="13"/>
        <v>0</v>
      </c>
      <c r="AC36" s="10">
        <f t="shared" ca="1" si="13"/>
        <v>-507451.95050251036</v>
      </c>
      <c r="AD36" s="10">
        <f t="shared" ca="1" si="13"/>
        <v>-110005.14195495863</v>
      </c>
      <c r="AE36" s="10">
        <f t="shared" ca="1" si="13"/>
        <v>-11422.887247221315</v>
      </c>
      <c r="AF36" s="10">
        <f t="shared" ca="1" si="13"/>
        <v>-23278.821301859451</v>
      </c>
      <c r="AG36" s="10">
        <f t="shared" ca="1" si="13"/>
        <v>-7791.8173422687105</v>
      </c>
      <c r="AH36" s="10">
        <f t="shared" ca="1" si="13"/>
        <v>-6908.8504737552994</v>
      </c>
      <c r="AI36" s="10">
        <f t="shared" ca="1" si="13"/>
        <v>-13318.803120198072</v>
      </c>
      <c r="AJ36" s="10">
        <f t="shared" ca="1" si="13"/>
        <v>-27061.573908005023</v>
      </c>
      <c r="AK36" s="10">
        <f t="shared" ca="1" si="13"/>
        <v>-9026.9486138278335</v>
      </c>
      <c r="AL36" s="10">
        <f t="shared" ca="1" si="13"/>
        <v>-7980.6650179042736</v>
      </c>
      <c r="AM36" s="10">
        <f t="shared" ca="1" si="13"/>
        <v>-15348.115643417412</v>
      </c>
      <c r="AN36" s="10">
        <f t="shared" ca="1" si="13"/>
        <v>-31109.700608559247</v>
      </c>
      <c r="AO36" s="10">
        <f t="shared" ca="1" si="13"/>
        <v>-10348.423479364079</v>
      </c>
      <c r="AP36" s="10">
        <f t="shared" ca="1" si="13"/>
        <v>-9228.4477923332597</v>
      </c>
      <c r="AQ36" s="10">
        <f t="shared" ca="1" si="13"/>
        <v>-17518.325966848792</v>
      </c>
      <c r="AR36" s="10">
        <f t="shared" ref="AR36:BW36" ca="1" si="14" xml:space="preserve"> AR106 * (Flag_Operations)</f>
        <v>-34667.166364061552</v>
      </c>
      <c r="AS36" s="10">
        <f t="shared" ca="1" si="14"/>
        <v>-11261.625448735358</v>
      </c>
      <c r="AT36" s="10">
        <f t="shared" ca="1" si="14"/>
        <v>-9707.3499134339854</v>
      </c>
      <c r="AU36" s="10">
        <f t="shared" ca="1" si="14"/>
        <v>-18219.201606842045</v>
      </c>
      <c r="AV36" s="10">
        <f t="shared" ca="1" si="14"/>
        <v>-36053.998607540314</v>
      </c>
      <c r="AW36" s="10">
        <f t="shared" ca="1" si="14"/>
        <v>-11712.237490147843</v>
      </c>
      <c r="AX36" s="10">
        <f t="shared" ca="1" si="14"/>
        <v>-10095.643909971333</v>
      </c>
      <c r="AY36" s="10">
        <f t="shared" ca="1" si="14"/>
        <v>0</v>
      </c>
      <c r="AZ36" s="10">
        <f t="shared" ca="1" si="14"/>
        <v>0</v>
      </c>
      <c r="BA36" s="10">
        <f t="shared" ca="1" si="14"/>
        <v>0</v>
      </c>
      <c r="BB36" s="10">
        <f t="shared" ca="1" si="14"/>
        <v>0</v>
      </c>
      <c r="BC36" s="10">
        <f t="shared" ca="1" si="14"/>
        <v>0</v>
      </c>
      <c r="BD36" s="10">
        <f t="shared" ca="1" si="14"/>
        <v>0</v>
      </c>
      <c r="BE36" s="10">
        <f t="shared" ca="1" si="14"/>
        <v>0</v>
      </c>
      <c r="BF36" s="10">
        <f t="shared" ca="1" si="14"/>
        <v>0</v>
      </c>
      <c r="BG36" s="10">
        <f t="shared" ca="1" si="14"/>
        <v>0</v>
      </c>
      <c r="BH36" s="10">
        <f t="shared" ca="1" si="14"/>
        <v>0</v>
      </c>
      <c r="BI36" s="10">
        <f t="shared" ca="1" si="14"/>
        <v>0</v>
      </c>
      <c r="BJ36" s="10">
        <f t="shared" ca="1" si="14"/>
        <v>0</v>
      </c>
      <c r="BK36" s="10">
        <f t="shared" ca="1" si="14"/>
        <v>0</v>
      </c>
      <c r="BL36" s="10">
        <f t="shared" ca="1" si="14"/>
        <v>0</v>
      </c>
      <c r="BM36" s="10">
        <f t="shared" ca="1" si="14"/>
        <v>0</v>
      </c>
      <c r="BN36" s="10">
        <f t="shared" ca="1" si="14"/>
        <v>0</v>
      </c>
      <c r="BO36" s="10">
        <f t="shared" ca="1" si="14"/>
        <v>0</v>
      </c>
      <c r="BP36" s="10">
        <f t="shared" ca="1" si="14"/>
        <v>0</v>
      </c>
      <c r="BQ36" s="10">
        <f t="shared" ca="1" si="14"/>
        <v>0</v>
      </c>
      <c r="BR36" s="10">
        <f t="shared" ca="1" si="14"/>
        <v>0</v>
      </c>
      <c r="BS36" s="10">
        <f t="shared" ca="1" si="14"/>
        <v>0</v>
      </c>
      <c r="BT36" s="10">
        <f t="shared" ca="1" si="14"/>
        <v>0</v>
      </c>
      <c r="BU36" s="10">
        <f t="shared" ca="1" si="14"/>
        <v>0</v>
      </c>
      <c r="BV36" s="10">
        <f t="shared" ca="1" si="14"/>
        <v>0</v>
      </c>
      <c r="BW36" s="10">
        <f t="shared" ca="1" si="14"/>
        <v>0</v>
      </c>
      <c r="BX36" s="10">
        <f t="shared" ref="BX36:CM36" ca="1" si="15" xml:space="preserve"> BX106 * (Flag_Operations)</f>
        <v>0</v>
      </c>
      <c r="BY36" s="10">
        <f t="shared" ca="1" si="15"/>
        <v>0</v>
      </c>
      <c r="BZ36" s="10">
        <f t="shared" ca="1" si="15"/>
        <v>0</v>
      </c>
      <c r="CA36" s="10">
        <f t="shared" ca="1" si="15"/>
        <v>0</v>
      </c>
      <c r="CB36" s="10">
        <f t="shared" ca="1" si="15"/>
        <v>0</v>
      </c>
      <c r="CC36" s="10">
        <f t="shared" ca="1" si="15"/>
        <v>0</v>
      </c>
      <c r="CD36" s="10">
        <f t="shared" ca="1" si="15"/>
        <v>0</v>
      </c>
      <c r="CE36" s="10">
        <f t="shared" ca="1" si="15"/>
        <v>0</v>
      </c>
      <c r="CF36" s="10">
        <f t="shared" ca="1" si="15"/>
        <v>0</v>
      </c>
      <c r="CG36" s="10">
        <f t="shared" ca="1" si="15"/>
        <v>0</v>
      </c>
      <c r="CH36" s="10">
        <f t="shared" ca="1" si="15"/>
        <v>0</v>
      </c>
      <c r="CI36" s="10">
        <f t="shared" ca="1" si="15"/>
        <v>0</v>
      </c>
      <c r="CJ36" s="10">
        <f t="shared" ca="1" si="15"/>
        <v>0</v>
      </c>
      <c r="CK36" s="10">
        <f t="shared" ca="1" si="15"/>
        <v>0</v>
      </c>
      <c r="CL36" s="10">
        <f t="shared" ca="1" si="15"/>
        <v>0</v>
      </c>
      <c r="CM36" s="10">
        <f t="shared" ca="1" si="15"/>
        <v>0</v>
      </c>
      <c r="CN36" s="10">
        <f ca="1" xml:space="preserve"> CN106 * (Flag_Operations)</f>
        <v>0</v>
      </c>
      <c r="CO36" s="10">
        <f ca="1" xml:space="preserve"> CO106 * (Flag_Operations)</f>
        <v>0</v>
      </c>
      <c r="CS36" s="47"/>
      <c r="CU36" s="11"/>
      <c r="GB36" s="47"/>
      <c r="GG36" s="47"/>
      <c r="GI36" s="11"/>
      <c r="JP36" s="47"/>
      <c r="JU36" s="47"/>
      <c r="JW36" s="11"/>
      <c r="ND36" s="47"/>
      <c r="NI36" s="47"/>
      <c r="NK36" s="11"/>
      <c r="QR36" s="47"/>
      <c r="QW36" s="47"/>
      <c r="QY36" s="11"/>
      <c r="UF36" s="47"/>
      <c r="UK36" s="47"/>
      <c r="UM36" s="11"/>
      <c r="XT36" s="47"/>
      <c r="XY36" s="47"/>
      <c r="YA36" s="11"/>
      <c r="ABH36" s="47"/>
      <c r="ABM36" s="47"/>
      <c r="ABO36" s="11"/>
      <c r="AEV36" s="47"/>
      <c r="AFA36" s="47"/>
      <c r="AFC36" s="11"/>
      <c r="AIJ36" s="47"/>
      <c r="AIO36" s="47"/>
      <c r="AIQ36" s="11"/>
      <c r="ALX36" s="47"/>
      <c r="AMC36" s="47"/>
      <c r="AME36" s="11"/>
      <c r="APL36" s="47"/>
      <c r="APQ36" s="47"/>
      <c r="APS36" s="11"/>
      <c r="ASZ36" s="47"/>
      <c r="ATE36" s="47"/>
      <c r="ATG36" s="11"/>
      <c r="AWN36" s="47"/>
      <c r="AWS36" s="47"/>
      <c r="AWU36" s="11"/>
      <c r="BAB36" s="47"/>
      <c r="BAG36" s="47"/>
      <c r="BAI36" s="11"/>
      <c r="BDP36" s="47"/>
      <c r="BDU36" s="47"/>
      <c r="BDW36" s="11"/>
      <c r="BHD36" s="47"/>
      <c r="BHI36" s="47"/>
      <c r="BHK36" s="11"/>
      <c r="BKR36" s="47"/>
      <c r="BKW36" s="47"/>
      <c r="BKY36" s="11"/>
      <c r="BOF36" s="47"/>
      <c r="BOK36" s="47"/>
      <c r="BOM36" s="11"/>
      <c r="BRT36" s="47"/>
      <c r="BRY36" s="47"/>
      <c r="BSA36" s="11"/>
      <c r="BVH36" s="47"/>
      <c r="BVM36" s="47"/>
      <c r="BVO36" s="11"/>
      <c r="BYV36" s="47"/>
      <c r="BZA36" s="47"/>
      <c r="BZC36" s="11"/>
      <c r="CCJ36" s="47"/>
      <c r="CCO36" s="47"/>
      <c r="CCQ36" s="11"/>
      <c r="CFX36" s="47"/>
      <c r="CGC36" s="47"/>
      <c r="CGE36" s="11"/>
      <c r="CJL36" s="47"/>
      <c r="CJQ36" s="47"/>
      <c r="CJS36" s="11"/>
      <c r="CMZ36" s="47"/>
      <c r="CNE36" s="47"/>
      <c r="CNG36" s="11"/>
      <c r="CQN36" s="47"/>
      <c r="CQS36" s="47"/>
      <c r="CQU36" s="11"/>
      <c r="CUB36" s="47"/>
      <c r="CUG36" s="47"/>
      <c r="CUI36" s="11"/>
      <c r="CXP36" s="47"/>
      <c r="CXU36" s="47"/>
      <c r="CXW36" s="11"/>
      <c r="DBD36" s="47"/>
      <c r="DBI36" s="47"/>
      <c r="DBK36" s="11"/>
      <c r="DER36" s="47"/>
      <c r="DEW36" s="47"/>
      <c r="DEY36" s="11"/>
      <c r="DIF36" s="47"/>
      <c r="DIK36" s="47"/>
      <c r="DIM36" s="11"/>
      <c r="DLT36" s="47"/>
      <c r="DLY36" s="47"/>
      <c r="DMA36" s="11"/>
      <c r="DPH36" s="47"/>
      <c r="DPM36" s="47"/>
      <c r="DPO36" s="11"/>
      <c r="DSV36" s="47"/>
      <c r="DTA36" s="47"/>
      <c r="DTC36" s="11"/>
      <c r="DWJ36" s="47"/>
      <c r="DWO36" s="47"/>
      <c r="DWQ36" s="11"/>
      <c r="DZX36" s="47"/>
      <c r="EAC36" s="47"/>
      <c r="EAE36" s="11"/>
      <c r="EDL36" s="47"/>
      <c r="EDQ36" s="47"/>
      <c r="EDS36" s="11"/>
      <c r="EGZ36" s="47"/>
      <c r="EHE36" s="47"/>
      <c r="EHG36" s="11"/>
      <c r="EKN36" s="47"/>
      <c r="EKS36" s="47"/>
      <c r="EKU36" s="11"/>
      <c r="EOB36" s="47"/>
      <c r="EOG36" s="47"/>
      <c r="EOI36" s="11"/>
      <c r="ERP36" s="47"/>
      <c r="ERU36" s="47"/>
      <c r="ERW36" s="11"/>
      <c r="EVD36" s="47"/>
      <c r="EVI36" s="47"/>
      <c r="EVK36" s="11"/>
      <c r="EYR36" s="47"/>
      <c r="EYW36" s="47"/>
      <c r="EYY36" s="11"/>
      <c r="FCF36" s="47"/>
      <c r="FCK36" s="47"/>
      <c r="FCM36" s="11"/>
      <c r="FFT36" s="47"/>
      <c r="FFY36" s="47"/>
      <c r="FGA36" s="11"/>
      <c r="FJH36" s="47"/>
      <c r="FJM36" s="47"/>
      <c r="FJO36" s="11"/>
      <c r="FMV36" s="47"/>
      <c r="FNA36" s="47"/>
      <c r="FNC36" s="11"/>
      <c r="FQJ36" s="47"/>
      <c r="FQO36" s="47"/>
      <c r="FQQ36" s="11"/>
      <c r="FTX36" s="47"/>
      <c r="FUC36" s="47"/>
      <c r="FUE36" s="11"/>
      <c r="FXL36" s="47"/>
      <c r="FXQ36" s="47"/>
      <c r="FXS36" s="11"/>
      <c r="GAZ36" s="47"/>
      <c r="GBE36" s="47"/>
      <c r="GBG36" s="11"/>
      <c r="GEN36" s="47"/>
      <c r="GES36" s="47"/>
      <c r="GEU36" s="11"/>
      <c r="GIB36" s="47"/>
      <c r="GIG36" s="47"/>
      <c r="GII36" s="11"/>
      <c r="GLP36" s="47"/>
      <c r="GLU36" s="47"/>
      <c r="GLW36" s="11"/>
      <c r="GPD36" s="47"/>
      <c r="GPI36" s="47"/>
      <c r="GPK36" s="11"/>
      <c r="GSR36" s="47"/>
      <c r="GSW36" s="47"/>
      <c r="GSY36" s="11"/>
      <c r="GWF36" s="47"/>
      <c r="GWK36" s="47"/>
      <c r="GWM36" s="11"/>
      <c r="GZT36" s="47"/>
      <c r="GZY36" s="47"/>
      <c r="HAA36" s="11"/>
      <c r="HDH36" s="47"/>
      <c r="HDM36" s="47"/>
      <c r="HDO36" s="11"/>
      <c r="HGV36" s="47"/>
      <c r="HHA36" s="47"/>
      <c r="HHC36" s="11"/>
      <c r="HKJ36" s="47"/>
      <c r="HKO36" s="47"/>
      <c r="HKQ36" s="11"/>
      <c r="HNX36" s="47"/>
      <c r="HOC36" s="47"/>
      <c r="HOE36" s="11"/>
      <c r="HRL36" s="47"/>
      <c r="HRQ36" s="47"/>
      <c r="HRS36" s="11"/>
      <c r="HUZ36" s="47"/>
      <c r="HVE36" s="47"/>
      <c r="HVG36" s="11"/>
      <c r="HYN36" s="47"/>
      <c r="HYS36" s="47"/>
      <c r="HYU36" s="11"/>
      <c r="ICB36" s="47"/>
      <c r="ICG36" s="47"/>
      <c r="ICI36" s="11"/>
      <c r="IFP36" s="47"/>
      <c r="IFU36" s="47"/>
      <c r="IFW36" s="11"/>
      <c r="IJD36" s="47"/>
      <c r="IJI36" s="47"/>
      <c r="IJK36" s="11"/>
      <c r="IMR36" s="47"/>
      <c r="IMW36" s="47"/>
      <c r="IMY36" s="11"/>
      <c r="IQF36" s="47"/>
      <c r="IQK36" s="47"/>
      <c r="IQM36" s="11"/>
      <c r="ITT36" s="47"/>
      <c r="ITY36" s="47"/>
      <c r="IUA36" s="11"/>
      <c r="IXH36" s="47"/>
      <c r="IXM36" s="47"/>
      <c r="IXO36" s="11"/>
      <c r="JAV36" s="47"/>
      <c r="JBA36" s="47"/>
      <c r="JBC36" s="11"/>
      <c r="JEJ36" s="47"/>
      <c r="JEO36" s="47"/>
      <c r="JEQ36" s="11"/>
      <c r="JHX36" s="47"/>
      <c r="JIC36" s="47"/>
      <c r="JIE36" s="11"/>
      <c r="JLL36" s="47"/>
      <c r="JLQ36" s="47"/>
      <c r="JLS36" s="11"/>
      <c r="JOZ36" s="47"/>
      <c r="JPE36" s="47"/>
      <c r="JPG36" s="11"/>
      <c r="JSN36" s="47"/>
      <c r="JSS36" s="47"/>
      <c r="JSU36" s="11"/>
      <c r="JWB36" s="47"/>
      <c r="JWG36" s="47"/>
      <c r="JWI36" s="11"/>
      <c r="JZP36" s="47"/>
      <c r="JZU36" s="47"/>
      <c r="JZW36" s="11"/>
      <c r="KDD36" s="47"/>
      <c r="KDI36" s="47"/>
      <c r="KDK36" s="11"/>
      <c r="KGR36" s="47"/>
      <c r="KGW36" s="47"/>
      <c r="KGY36" s="11"/>
      <c r="KKF36" s="47"/>
      <c r="KKK36" s="47"/>
      <c r="KKM36" s="11"/>
      <c r="KNT36" s="47"/>
      <c r="KNY36" s="47"/>
      <c r="KOA36" s="11"/>
      <c r="KRH36" s="47"/>
      <c r="KRM36" s="47"/>
      <c r="KRO36" s="11"/>
      <c r="KUV36" s="47"/>
      <c r="KVA36" s="47"/>
      <c r="KVC36" s="11"/>
      <c r="KYJ36" s="47"/>
      <c r="KYO36" s="47"/>
      <c r="KYQ36" s="11"/>
      <c r="LBX36" s="47"/>
      <c r="LCC36" s="47"/>
      <c r="LCE36" s="11"/>
      <c r="LFL36" s="47"/>
      <c r="LFQ36" s="47"/>
      <c r="LFS36" s="11"/>
      <c r="LIZ36" s="47"/>
      <c r="LJE36" s="47"/>
      <c r="LJG36" s="11"/>
      <c r="LMN36" s="47"/>
      <c r="LMS36" s="47"/>
      <c r="LMU36" s="11"/>
      <c r="LQB36" s="47"/>
      <c r="LQG36" s="47"/>
      <c r="LQI36" s="11"/>
      <c r="LTP36" s="47"/>
      <c r="LTU36" s="47"/>
      <c r="LTW36" s="11"/>
      <c r="LXD36" s="47"/>
      <c r="LXI36" s="47"/>
      <c r="LXK36" s="11"/>
      <c r="MAR36" s="47"/>
      <c r="MAW36" s="47"/>
      <c r="MAY36" s="11"/>
      <c r="MEF36" s="47"/>
      <c r="MEK36" s="47"/>
      <c r="MEM36" s="11"/>
      <c r="MHT36" s="47"/>
      <c r="MHY36" s="47"/>
      <c r="MIA36" s="11"/>
      <c r="MLH36" s="47"/>
      <c r="MLM36" s="47"/>
      <c r="MLO36" s="11"/>
      <c r="MOV36" s="47"/>
      <c r="MPA36" s="47"/>
      <c r="MPC36" s="11"/>
      <c r="MSJ36" s="47"/>
      <c r="MSO36" s="47"/>
      <c r="MSQ36" s="11"/>
      <c r="MVX36" s="47"/>
      <c r="MWC36" s="47"/>
      <c r="MWE36" s="11"/>
      <c r="MZL36" s="47"/>
      <c r="MZQ36" s="47"/>
      <c r="MZS36" s="11"/>
      <c r="NCZ36" s="47"/>
      <c r="NDE36" s="47"/>
      <c r="NDG36" s="11"/>
      <c r="NGN36" s="47"/>
      <c r="NGS36" s="47"/>
      <c r="NGU36" s="11"/>
      <c r="NKB36" s="47"/>
      <c r="NKG36" s="47"/>
      <c r="NKI36" s="11"/>
      <c r="NNP36" s="47"/>
      <c r="NNU36" s="47"/>
      <c r="NNW36" s="11"/>
      <c r="NRD36" s="47"/>
      <c r="NRI36" s="47"/>
      <c r="NRK36" s="11"/>
      <c r="NUR36" s="47"/>
      <c r="NUW36" s="47"/>
      <c r="NUY36" s="11"/>
      <c r="NYF36" s="47"/>
      <c r="NYK36" s="47"/>
      <c r="NYM36" s="11"/>
      <c r="OBT36" s="47"/>
      <c r="OBY36" s="47"/>
      <c r="OCA36" s="11"/>
      <c r="OFH36" s="47"/>
      <c r="OFM36" s="47"/>
      <c r="OFO36" s="11"/>
      <c r="OIV36" s="47"/>
      <c r="OJA36" s="47"/>
      <c r="OJC36" s="11"/>
      <c r="OMJ36" s="47"/>
      <c r="OMO36" s="47"/>
      <c r="OMQ36" s="11"/>
      <c r="OPX36" s="47"/>
      <c r="OQC36" s="47"/>
      <c r="OQE36" s="11"/>
      <c r="OTL36" s="47"/>
      <c r="OTQ36" s="47"/>
      <c r="OTS36" s="11"/>
      <c r="OWZ36" s="47"/>
      <c r="OXE36" s="47"/>
      <c r="OXG36" s="11"/>
      <c r="PAN36" s="47"/>
      <c r="PAS36" s="47"/>
      <c r="PAU36" s="11"/>
      <c r="PEB36" s="47"/>
      <c r="PEG36" s="47"/>
      <c r="PEI36" s="11"/>
      <c r="PHP36" s="47"/>
      <c r="PHU36" s="47"/>
      <c r="PHW36" s="11"/>
      <c r="PLD36" s="47"/>
      <c r="PLI36" s="47"/>
      <c r="PLK36" s="11"/>
      <c r="POR36" s="47"/>
      <c r="POW36" s="47"/>
      <c r="POY36" s="11"/>
      <c r="PSF36" s="47"/>
      <c r="PSK36" s="47"/>
      <c r="PSM36" s="11"/>
      <c r="PVT36" s="47"/>
      <c r="PVY36" s="47"/>
      <c r="PWA36" s="11"/>
      <c r="PZH36" s="47"/>
      <c r="PZM36" s="47"/>
      <c r="PZO36" s="11"/>
      <c r="QCV36" s="47"/>
      <c r="QDA36" s="47"/>
      <c r="QDC36" s="11"/>
      <c r="QGJ36" s="47"/>
      <c r="QGO36" s="47"/>
      <c r="QGQ36" s="11"/>
      <c r="QJX36" s="47"/>
      <c r="QKC36" s="47"/>
      <c r="QKE36" s="11"/>
      <c r="QNL36" s="47"/>
      <c r="QNQ36" s="47"/>
      <c r="QNS36" s="11"/>
      <c r="QQZ36" s="47"/>
      <c r="QRE36" s="47"/>
      <c r="QRG36" s="11"/>
      <c r="QUN36" s="47"/>
      <c r="QUS36" s="47"/>
      <c r="QUU36" s="11"/>
      <c r="QYB36" s="47"/>
      <c r="QYG36" s="47"/>
      <c r="QYI36" s="11"/>
      <c r="RBP36" s="47"/>
      <c r="RBU36" s="47"/>
      <c r="RBW36" s="11"/>
      <c r="RFD36" s="47"/>
      <c r="RFI36" s="47"/>
      <c r="RFK36" s="11"/>
      <c r="RIR36" s="47"/>
      <c r="RIW36" s="47"/>
      <c r="RIY36" s="11"/>
      <c r="RMF36" s="47"/>
      <c r="RMK36" s="47"/>
      <c r="RMM36" s="11"/>
      <c r="RPT36" s="47"/>
      <c r="RPY36" s="47"/>
      <c r="RQA36" s="11"/>
      <c r="RTH36" s="47"/>
      <c r="RTM36" s="47"/>
      <c r="RTO36" s="11"/>
      <c r="RWV36" s="47"/>
      <c r="RXA36" s="47"/>
      <c r="RXC36" s="11"/>
      <c r="SAJ36" s="47"/>
      <c r="SAO36" s="47"/>
      <c r="SAQ36" s="11"/>
      <c r="SDX36" s="47"/>
      <c r="SEC36" s="47"/>
      <c r="SEE36" s="11"/>
      <c r="SHL36" s="47"/>
      <c r="SHQ36" s="47"/>
      <c r="SHS36" s="11"/>
      <c r="SKZ36" s="47"/>
      <c r="SLE36" s="47"/>
      <c r="SLG36" s="11"/>
      <c r="SON36" s="47"/>
      <c r="SOS36" s="47"/>
      <c r="SOU36" s="11"/>
      <c r="SSB36" s="47"/>
      <c r="SSG36" s="47"/>
      <c r="SSI36" s="11"/>
      <c r="SVP36" s="47"/>
      <c r="SVU36" s="47"/>
      <c r="SVW36" s="11"/>
      <c r="SZD36" s="47"/>
      <c r="SZI36" s="47"/>
      <c r="SZK36" s="11"/>
      <c r="TCR36" s="47"/>
      <c r="TCW36" s="47"/>
      <c r="TCY36" s="11"/>
      <c r="TGF36" s="47"/>
      <c r="TGK36" s="47"/>
      <c r="TGM36" s="11"/>
      <c r="TJT36" s="47"/>
      <c r="TJY36" s="47"/>
      <c r="TKA36" s="11"/>
      <c r="TNH36" s="47"/>
      <c r="TNM36" s="47"/>
      <c r="TNO36" s="11"/>
      <c r="TQV36" s="47"/>
      <c r="TRA36" s="47"/>
      <c r="TRC36" s="11"/>
      <c r="TUJ36" s="47"/>
      <c r="TUO36" s="47"/>
      <c r="TUQ36" s="11"/>
      <c r="TXX36" s="47"/>
      <c r="TYC36" s="47"/>
      <c r="TYE36" s="11"/>
      <c r="UBL36" s="47"/>
      <c r="UBQ36" s="47"/>
      <c r="UBS36" s="11"/>
      <c r="UEZ36" s="47"/>
      <c r="UFE36" s="47"/>
      <c r="UFG36" s="11"/>
      <c r="UIN36" s="47"/>
      <c r="UIS36" s="47"/>
      <c r="UIU36" s="11"/>
      <c r="UMB36" s="47"/>
      <c r="UMG36" s="47"/>
      <c r="UMI36" s="11"/>
      <c r="UPP36" s="47"/>
      <c r="UPU36" s="47"/>
      <c r="UPW36" s="11"/>
      <c r="UTD36" s="47"/>
      <c r="UTI36" s="47"/>
      <c r="UTK36" s="11"/>
      <c r="UWR36" s="47"/>
      <c r="UWW36" s="47"/>
      <c r="UWY36" s="11"/>
      <c r="VAF36" s="47"/>
      <c r="VAK36" s="47"/>
      <c r="VAM36" s="11"/>
      <c r="VDT36" s="47"/>
      <c r="VDY36" s="47"/>
      <c r="VEA36" s="11"/>
      <c r="VHH36" s="47"/>
      <c r="VHM36" s="47"/>
      <c r="VHO36" s="11"/>
      <c r="VKV36" s="47"/>
      <c r="VLA36" s="47"/>
      <c r="VLC36" s="11"/>
      <c r="VOJ36" s="47"/>
      <c r="VOO36" s="47"/>
      <c r="VOQ36" s="11"/>
      <c r="VRX36" s="47"/>
      <c r="VSC36" s="47"/>
      <c r="VSE36" s="11"/>
      <c r="VVL36" s="47"/>
      <c r="VVQ36" s="47"/>
      <c r="VVS36" s="11"/>
      <c r="VYZ36" s="47"/>
      <c r="VZE36" s="47"/>
      <c r="VZG36" s="11"/>
      <c r="WCN36" s="47"/>
      <c r="WCS36" s="47"/>
      <c r="WCU36" s="11"/>
      <c r="WGB36" s="47"/>
      <c r="WGG36" s="47"/>
      <c r="WGI36" s="11"/>
      <c r="WJP36" s="47"/>
      <c r="WJU36" s="47"/>
      <c r="WJW36" s="11"/>
      <c r="WND36" s="47"/>
      <c r="WNI36" s="47"/>
      <c r="WNK36" s="11"/>
      <c r="WQR36" s="47"/>
      <c r="WQW36" s="47"/>
      <c r="WQY36" s="11"/>
      <c r="WUF36" s="47"/>
      <c r="WUK36" s="47"/>
      <c r="WUM36" s="11"/>
      <c r="WXT36" s="47"/>
      <c r="WXY36" s="47"/>
      <c r="WYA36" s="11"/>
      <c r="XBH36" s="47"/>
      <c r="XBM36" s="47"/>
      <c r="XBO36" s="11"/>
      <c r="XEV36" s="47"/>
      <c r="XFA36" s="47"/>
      <c r="XFC36" s="11"/>
    </row>
    <row r="37" spans="1:1019 1104:2031 2116:3043 3128:4055 4140:5067 5152:6079 6164:7091 7176:8188 8193:9207 9292:10219 10304:11231 11316:12243 12328:13255 13340:14267 14352:15279 15364:16383" s="141" customFormat="1" ht="15" customHeight="1" thickTop="1">
      <c r="A37" s="153"/>
      <c r="B37" s="153"/>
      <c r="C37" s="49" t="s">
        <v>991</v>
      </c>
      <c r="D37" s="49"/>
      <c r="E37" s="49"/>
      <c r="F37" s="49"/>
      <c r="G37" s="159" t="str">
        <f>Monetary_Unit</f>
        <v>тыс. руб.</v>
      </c>
      <c r="H37" s="49"/>
      <c r="I37" s="23">
        <f ca="1">SUM(L37:CM37)</f>
        <v>-939517.6963137642</v>
      </c>
      <c r="J37" s="49"/>
      <c r="K37" s="49"/>
      <c r="L37" s="49">
        <f ca="1">SUM(L35:L36)</f>
        <v>0</v>
      </c>
      <c r="M37" s="49">
        <f t="shared" ref="M37:BX37" ca="1" si="16">SUM(M35:M36)</f>
        <v>0</v>
      </c>
      <c r="N37" s="49">
        <f t="shared" ca="1" si="16"/>
        <v>0</v>
      </c>
      <c r="O37" s="49">
        <f t="shared" ca="1" si="16"/>
        <v>0</v>
      </c>
      <c r="P37" s="49">
        <f t="shared" ca="1" si="16"/>
        <v>0</v>
      </c>
      <c r="Q37" s="49">
        <f t="shared" ca="1" si="16"/>
        <v>0</v>
      </c>
      <c r="R37" s="49">
        <f t="shared" ca="1" si="16"/>
        <v>0</v>
      </c>
      <c r="S37" s="49">
        <f t="shared" ca="1" si="16"/>
        <v>0</v>
      </c>
      <c r="T37" s="49">
        <f t="shared" ca="1" si="16"/>
        <v>0</v>
      </c>
      <c r="U37" s="49">
        <f t="shared" ca="1" si="16"/>
        <v>0</v>
      </c>
      <c r="V37" s="49">
        <f t="shared" ca="1" si="16"/>
        <v>0</v>
      </c>
      <c r="W37" s="49">
        <f t="shared" ca="1" si="16"/>
        <v>0</v>
      </c>
      <c r="X37" s="49">
        <f t="shared" ca="1" si="16"/>
        <v>0</v>
      </c>
      <c r="Y37" s="49">
        <f t="shared" ca="1" si="16"/>
        <v>0</v>
      </c>
      <c r="Z37" s="49">
        <f t="shared" ca="1" si="16"/>
        <v>0</v>
      </c>
      <c r="AA37" s="49">
        <f t="shared" ca="1" si="16"/>
        <v>0</v>
      </c>
      <c r="AB37" s="49">
        <f t="shared" ca="1" si="16"/>
        <v>0</v>
      </c>
      <c r="AC37" s="49">
        <f t="shared" ca="1" si="16"/>
        <v>-507451.95050251036</v>
      </c>
      <c r="AD37" s="49">
        <f t="shared" ca="1" si="16"/>
        <v>-110005.14195495863</v>
      </c>
      <c r="AE37" s="49">
        <f t="shared" ca="1" si="16"/>
        <v>-11422.887247221315</v>
      </c>
      <c r="AF37" s="49">
        <f t="shared" ca="1" si="16"/>
        <v>-23278.821301859451</v>
      </c>
      <c r="AG37" s="49">
        <f t="shared" ca="1" si="16"/>
        <v>-7791.8173422687105</v>
      </c>
      <c r="AH37" s="49">
        <f t="shared" ca="1" si="16"/>
        <v>-6908.8504737552994</v>
      </c>
      <c r="AI37" s="49">
        <f t="shared" ca="1" si="16"/>
        <v>-13318.803120198072</v>
      </c>
      <c r="AJ37" s="49">
        <f t="shared" ca="1" si="16"/>
        <v>-27061.573908005023</v>
      </c>
      <c r="AK37" s="49">
        <f t="shared" ca="1" si="16"/>
        <v>-9026.9486138278335</v>
      </c>
      <c r="AL37" s="49">
        <f t="shared" ca="1" si="16"/>
        <v>-7980.6650179042736</v>
      </c>
      <c r="AM37" s="49">
        <f t="shared" ca="1" si="16"/>
        <v>-15348.115643417412</v>
      </c>
      <c r="AN37" s="49">
        <f t="shared" ca="1" si="16"/>
        <v>-31109.700608559247</v>
      </c>
      <c r="AO37" s="49">
        <f t="shared" ca="1" si="16"/>
        <v>-10348.423479364079</v>
      </c>
      <c r="AP37" s="49">
        <f t="shared" ca="1" si="16"/>
        <v>-9228.4477923332597</v>
      </c>
      <c r="AQ37" s="49">
        <f t="shared" ca="1" si="16"/>
        <v>-17518.325966848792</v>
      </c>
      <c r="AR37" s="49">
        <f t="shared" ca="1" si="16"/>
        <v>-34667.166364061552</v>
      </c>
      <c r="AS37" s="49">
        <f t="shared" ca="1" si="16"/>
        <v>-11261.625448735358</v>
      </c>
      <c r="AT37" s="49">
        <f t="shared" ca="1" si="16"/>
        <v>-9707.3499134339854</v>
      </c>
      <c r="AU37" s="49">
        <f t="shared" ca="1" si="16"/>
        <v>-18219.201606842045</v>
      </c>
      <c r="AV37" s="49">
        <f t="shared" ca="1" si="16"/>
        <v>-36053.998607540314</v>
      </c>
      <c r="AW37" s="49">
        <f t="shared" ca="1" si="16"/>
        <v>-11712.237490147843</v>
      </c>
      <c r="AX37" s="49">
        <f t="shared" ca="1" si="16"/>
        <v>-10095.643909971333</v>
      </c>
      <c r="AY37" s="49">
        <f t="shared" ca="1" si="16"/>
        <v>0</v>
      </c>
      <c r="AZ37" s="49">
        <f t="shared" ca="1" si="16"/>
        <v>0</v>
      </c>
      <c r="BA37" s="49">
        <f t="shared" ca="1" si="16"/>
        <v>0</v>
      </c>
      <c r="BB37" s="49">
        <f t="shared" ca="1" si="16"/>
        <v>0</v>
      </c>
      <c r="BC37" s="49">
        <f t="shared" ca="1" si="16"/>
        <v>0</v>
      </c>
      <c r="BD37" s="49">
        <f t="shared" ca="1" si="16"/>
        <v>0</v>
      </c>
      <c r="BE37" s="49">
        <f t="shared" ca="1" si="16"/>
        <v>0</v>
      </c>
      <c r="BF37" s="49">
        <f t="shared" ca="1" si="16"/>
        <v>0</v>
      </c>
      <c r="BG37" s="49">
        <f t="shared" ca="1" si="16"/>
        <v>0</v>
      </c>
      <c r="BH37" s="49">
        <f t="shared" ca="1" si="16"/>
        <v>0</v>
      </c>
      <c r="BI37" s="49">
        <f t="shared" ca="1" si="16"/>
        <v>0</v>
      </c>
      <c r="BJ37" s="49">
        <f t="shared" ca="1" si="16"/>
        <v>0</v>
      </c>
      <c r="BK37" s="49">
        <f t="shared" ca="1" si="16"/>
        <v>0</v>
      </c>
      <c r="BL37" s="49">
        <f t="shared" ca="1" si="16"/>
        <v>0</v>
      </c>
      <c r="BM37" s="49">
        <f t="shared" ca="1" si="16"/>
        <v>0</v>
      </c>
      <c r="BN37" s="49">
        <f t="shared" ca="1" si="16"/>
        <v>0</v>
      </c>
      <c r="BO37" s="49">
        <f t="shared" ca="1" si="16"/>
        <v>0</v>
      </c>
      <c r="BP37" s="49">
        <f t="shared" ca="1" si="16"/>
        <v>0</v>
      </c>
      <c r="BQ37" s="49">
        <f t="shared" ca="1" si="16"/>
        <v>0</v>
      </c>
      <c r="BR37" s="49">
        <f t="shared" ca="1" si="16"/>
        <v>0</v>
      </c>
      <c r="BS37" s="49">
        <f t="shared" ca="1" si="16"/>
        <v>0</v>
      </c>
      <c r="BT37" s="49">
        <f t="shared" ca="1" si="16"/>
        <v>0</v>
      </c>
      <c r="BU37" s="49">
        <f t="shared" ca="1" si="16"/>
        <v>0</v>
      </c>
      <c r="BV37" s="49">
        <f t="shared" ca="1" si="16"/>
        <v>0</v>
      </c>
      <c r="BW37" s="49">
        <f t="shared" ca="1" si="16"/>
        <v>0</v>
      </c>
      <c r="BX37" s="49">
        <f t="shared" ca="1" si="16"/>
        <v>0</v>
      </c>
      <c r="BY37" s="49">
        <f t="shared" ref="BY37:CM37" ca="1" si="17">SUM(BY35:BY36)</f>
        <v>0</v>
      </c>
      <c r="BZ37" s="49">
        <f t="shared" ca="1" si="17"/>
        <v>0</v>
      </c>
      <c r="CA37" s="49">
        <f t="shared" ca="1" si="17"/>
        <v>0</v>
      </c>
      <c r="CB37" s="49">
        <f t="shared" ca="1" si="17"/>
        <v>0</v>
      </c>
      <c r="CC37" s="49">
        <f t="shared" ca="1" si="17"/>
        <v>0</v>
      </c>
      <c r="CD37" s="49">
        <f t="shared" ca="1" si="17"/>
        <v>0</v>
      </c>
      <c r="CE37" s="49">
        <f t="shared" ca="1" si="17"/>
        <v>0</v>
      </c>
      <c r="CF37" s="49">
        <f t="shared" ca="1" si="17"/>
        <v>0</v>
      </c>
      <c r="CG37" s="49">
        <f t="shared" ca="1" si="17"/>
        <v>0</v>
      </c>
      <c r="CH37" s="49">
        <f t="shared" ca="1" si="17"/>
        <v>0</v>
      </c>
      <c r="CI37" s="49">
        <f t="shared" ca="1" si="17"/>
        <v>0</v>
      </c>
      <c r="CJ37" s="49">
        <f t="shared" ca="1" si="17"/>
        <v>0</v>
      </c>
      <c r="CK37" s="49">
        <f t="shared" ca="1" si="17"/>
        <v>0</v>
      </c>
      <c r="CL37" s="49">
        <f t="shared" ca="1" si="17"/>
        <v>0</v>
      </c>
      <c r="CM37" s="49">
        <f t="shared" ca="1" si="17"/>
        <v>0</v>
      </c>
      <c r="CN37" s="49">
        <f ca="1">SUM(CN35:CN36)</f>
        <v>0</v>
      </c>
      <c r="CO37" s="49">
        <f ca="1">SUM(CO35:CO36)</f>
        <v>0</v>
      </c>
    </row>
    <row r="38" spans="1:1019 1104:2031 2116:3043 3128:4055 4140:5067 5152:6079 6164:7091 7176:8188 8193:9207 9292:10219 10304:11231 11316:12243 12328:13255 13340:14267 14352:15279 15364:16383" s="10" customFormat="1" ht="14.65" customHeight="1">
      <c r="E38" s="47"/>
      <c r="G38" s="11"/>
      <c r="CS38" s="47"/>
      <c r="CU38" s="11"/>
      <c r="GB38" s="47"/>
      <c r="GG38" s="47"/>
      <c r="GI38" s="11"/>
      <c r="JP38" s="47"/>
      <c r="JU38" s="47"/>
      <c r="JW38" s="11"/>
      <c r="ND38" s="47"/>
      <c r="NI38" s="47"/>
      <c r="NK38" s="11"/>
      <c r="QR38" s="47"/>
      <c r="QW38" s="47"/>
      <c r="QY38" s="11"/>
      <c r="UF38" s="47"/>
      <c r="UK38" s="47"/>
      <c r="UM38" s="11"/>
      <c r="XT38" s="47"/>
      <c r="XY38" s="47"/>
      <c r="YA38" s="11"/>
      <c r="ABH38" s="47"/>
      <c r="ABM38" s="47"/>
      <c r="ABO38" s="11"/>
      <c r="AEV38" s="47"/>
      <c r="AFA38" s="47"/>
      <c r="AFC38" s="11"/>
      <c r="AIJ38" s="47"/>
      <c r="AIO38" s="47"/>
      <c r="AIQ38" s="11"/>
      <c r="ALX38" s="47"/>
      <c r="AMC38" s="47"/>
      <c r="AME38" s="11"/>
      <c r="APL38" s="47"/>
      <c r="APQ38" s="47"/>
      <c r="APS38" s="11"/>
      <c r="ASZ38" s="47"/>
      <c r="ATE38" s="47"/>
      <c r="ATG38" s="11"/>
      <c r="AWN38" s="47"/>
      <c r="AWS38" s="47"/>
      <c r="AWU38" s="11"/>
      <c r="BAB38" s="47"/>
      <c r="BAG38" s="47"/>
      <c r="BAI38" s="11"/>
      <c r="BDP38" s="47"/>
      <c r="BDU38" s="47"/>
      <c r="BDW38" s="11"/>
      <c r="BHD38" s="47"/>
      <c r="BHI38" s="47"/>
      <c r="BHK38" s="11"/>
      <c r="BKR38" s="47"/>
      <c r="BKW38" s="47"/>
      <c r="BKY38" s="11"/>
      <c r="BOF38" s="47"/>
      <c r="BOK38" s="47"/>
      <c r="BOM38" s="11"/>
      <c r="BRT38" s="47"/>
      <c r="BRY38" s="47"/>
      <c r="BSA38" s="11"/>
      <c r="BVH38" s="47"/>
      <c r="BVM38" s="47"/>
      <c r="BVO38" s="11"/>
      <c r="BYV38" s="47"/>
      <c r="BZA38" s="47"/>
      <c r="BZC38" s="11"/>
      <c r="CCJ38" s="47"/>
      <c r="CCO38" s="47"/>
      <c r="CCQ38" s="11"/>
      <c r="CFX38" s="47"/>
      <c r="CGC38" s="47"/>
      <c r="CGE38" s="11"/>
      <c r="CJL38" s="47"/>
      <c r="CJQ38" s="47"/>
      <c r="CJS38" s="11"/>
      <c r="CMZ38" s="47"/>
      <c r="CNE38" s="47"/>
      <c r="CNG38" s="11"/>
      <c r="CQN38" s="47"/>
      <c r="CQS38" s="47"/>
      <c r="CQU38" s="11"/>
      <c r="CUB38" s="47"/>
      <c r="CUG38" s="47"/>
      <c r="CUI38" s="11"/>
      <c r="CXP38" s="47"/>
      <c r="CXU38" s="47"/>
      <c r="CXW38" s="11"/>
      <c r="DBD38" s="47"/>
      <c r="DBI38" s="47"/>
      <c r="DBK38" s="11"/>
      <c r="DER38" s="47"/>
      <c r="DEW38" s="47"/>
      <c r="DEY38" s="11"/>
      <c r="DIF38" s="47"/>
      <c r="DIK38" s="47"/>
      <c r="DIM38" s="11"/>
      <c r="DLT38" s="47"/>
      <c r="DLY38" s="47"/>
      <c r="DMA38" s="11"/>
      <c r="DPH38" s="47"/>
      <c r="DPM38" s="47"/>
      <c r="DPO38" s="11"/>
      <c r="DSV38" s="47"/>
      <c r="DTA38" s="47"/>
      <c r="DTC38" s="11"/>
      <c r="DWJ38" s="47"/>
      <c r="DWO38" s="47"/>
      <c r="DWQ38" s="11"/>
      <c r="DZX38" s="47"/>
      <c r="EAC38" s="47"/>
      <c r="EAE38" s="11"/>
      <c r="EDL38" s="47"/>
      <c r="EDQ38" s="47"/>
      <c r="EDS38" s="11"/>
      <c r="EGZ38" s="47"/>
      <c r="EHE38" s="47"/>
      <c r="EHG38" s="11"/>
      <c r="EKN38" s="47"/>
      <c r="EKS38" s="47"/>
      <c r="EKU38" s="11"/>
      <c r="EOB38" s="47"/>
      <c r="EOG38" s="47"/>
      <c r="EOI38" s="11"/>
      <c r="ERP38" s="47"/>
      <c r="ERU38" s="47"/>
      <c r="ERW38" s="11"/>
      <c r="EVD38" s="47"/>
      <c r="EVI38" s="47"/>
      <c r="EVK38" s="11"/>
      <c r="EYR38" s="47"/>
      <c r="EYW38" s="47"/>
      <c r="EYY38" s="11"/>
      <c r="FCF38" s="47"/>
      <c r="FCK38" s="47"/>
      <c r="FCM38" s="11"/>
      <c r="FFT38" s="47"/>
      <c r="FFY38" s="47"/>
      <c r="FGA38" s="11"/>
      <c r="FJH38" s="47"/>
      <c r="FJM38" s="47"/>
      <c r="FJO38" s="11"/>
      <c r="FMV38" s="47"/>
      <c r="FNA38" s="47"/>
      <c r="FNC38" s="11"/>
      <c r="FQJ38" s="47"/>
      <c r="FQO38" s="47"/>
      <c r="FQQ38" s="11"/>
      <c r="FTX38" s="47"/>
      <c r="FUC38" s="47"/>
      <c r="FUE38" s="11"/>
      <c r="FXL38" s="47"/>
      <c r="FXQ38" s="47"/>
      <c r="FXS38" s="11"/>
      <c r="GAZ38" s="47"/>
      <c r="GBE38" s="47"/>
      <c r="GBG38" s="11"/>
      <c r="GEN38" s="47"/>
      <c r="GES38" s="47"/>
      <c r="GEU38" s="11"/>
      <c r="GIB38" s="47"/>
      <c r="GIG38" s="47"/>
      <c r="GII38" s="11"/>
      <c r="GLP38" s="47"/>
      <c r="GLU38" s="47"/>
      <c r="GLW38" s="11"/>
      <c r="GPD38" s="47"/>
      <c r="GPI38" s="47"/>
      <c r="GPK38" s="11"/>
      <c r="GSR38" s="47"/>
      <c r="GSW38" s="47"/>
      <c r="GSY38" s="11"/>
      <c r="GWF38" s="47"/>
      <c r="GWK38" s="47"/>
      <c r="GWM38" s="11"/>
      <c r="GZT38" s="47"/>
      <c r="GZY38" s="47"/>
      <c r="HAA38" s="11"/>
      <c r="HDH38" s="47"/>
      <c r="HDM38" s="47"/>
      <c r="HDO38" s="11"/>
      <c r="HGV38" s="47"/>
      <c r="HHA38" s="47"/>
      <c r="HHC38" s="11"/>
      <c r="HKJ38" s="47"/>
      <c r="HKO38" s="47"/>
      <c r="HKQ38" s="11"/>
      <c r="HNX38" s="47"/>
      <c r="HOC38" s="47"/>
      <c r="HOE38" s="11"/>
      <c r="HRL38" s="47"/>
      <c r="HRQ38" s="47"/>
      <c r="HRS38" s="11"/>
      <c r="HUZ38" s="47"/>
      <c r="HVE38" s="47"/>
      <c r="HVG38" s="11"/>
      <c r="HYN38" s="47"/>
      <c r="HYS38" s="47"/>
      <c r="HYU38" s="11"/>
      <c r="ICB38" s="47"/>
      <c r="ICG38" s="47"/>
      <c r="ICI38" s="11"/>
      <c r="IFP38" s="47"/>
      <c r="IFU38" s="47"/>
      <c r="IFW38" s="11"/>
      <c r="IJD38" s="47"/>
      <c r="IJI38" s="47"/>
      <c r="IJK38" s="11"/>
      <c r="IMR38" s="47"/>
      <c r="IMW38" s="47"/>
      <c r="IMY38" s="11"/>
      <c r="IQF38" s="47"/>
      <c r="IQK38" s="47"/>
      <c r="IQM38" s="11"/>
      <c r="ITT38" s="47"/>
      <c r="ITY38" s="47"/>
      <c r="IUA38" s="11"/>
      <c r="IXH38" s="47"/>
      <c r="IXM38" s="47"/>
      <c r="IXO38" s="11"/>
      <c r="JAV38" s="47"/>
      <c r="JBA38" s="47"/>
      <c r="JBC38" s="11"/>
      <c r="JEJ38" s="47"/>
      <c r="JEO38" s="47"/>
      <c r="JEQ38" s="11"/>
      <c r="JHX38" s="47"/>
      <c r="JIC38" s="47"/>
      <c r="JIE38" s="11"/>
      <c r="JLL38" s="47"/>
      <c r="JLQ38" s="47"/>
      <c r="JLS38" s="11"/>
      <c r="JOZ38" s="47"/>
      <c r="JPE38" s="47"/>
      <c r="JPG38" s="11"/>
      <c r="JSN38" s="47"/>
      <c r="JSS38" s="47"/>
      <c r="JSU38" s="11"/>
      <c r="JWB38" s="47"/>
      <c r="JWG38" s="47"/>
      <c r="JWI38" s="11"/>
      <c r="JZP38" s="47"/>
      <c r="JZU38" s="47"/>
      <c r="JZW38" s="11"/>
      <c r="KDD38" s="47"/>
      <c r="KDI38" s="47"/>
      <c r="KDK38" s="11"/>
      <c r="KGR38" s="47"/>
      <c r="KGW38" s="47"/>
      <c r="KGY38" s="11"/>
      <c r="KKF38" s="47"/>
      <c r="KKK38" s="47"/>
      <c r="KKM38" s="11"/>
      <c r="KNT38" s="47"/>
      <c r="KNY38" s="47"/>
      <c r="KOA38" s="11"/>
      <c r="KRH38" s="47"/>
      <c r="KRM38" s="47"/>
      <c r="KRO38" s="11"/>
      <c r="KUV38" s="47"/>
      <c r="KVA38" s="47"/>
      <c r="KVC38" s="11"/>
      <c r="KYJ38" s="47"/>
      <c r="KYO38" s="47"/>
      <c r="KYQ38" s="11"/>
      <c r="LBX38" s="47"/>
      <c r="LCC38" s="47"/>
      <c r="LCE38" s="11"/>
      <c r="LFL38" s="47"/>
      <c r="LFQ38" s="47"/>
      <c r="LFS38" s="11"/>
      <c r="LIZ38" s="47"/>
      <c r="LJE38" s="47"/>
      <c r="LJG38" s="11"/>
      <c r="LMN38" s="47"/>
      <c r="LMS38" s="47"/>
      <c r="LMU38" s="11"/>
      <c r="LQB38" s="47"/>
      <c r="LQG38" s="47"/>
      <c r="LQI38" s="11"/>
      <c r="LTP38" s="47"/>
      <c r="LTU38" s="47"/>
      <c r="LTW38" s="11"/>
      <c r="LXD38" s="47"/>
      <c r="LXI38" s="47"/>
      <c r="LXK38" s="11"/>
      <c r="MAR38" s="47"/>
      <c r="MAW38" s="47"/>
      <c r="MAY38" s="11"/>
      <c r="MEF38" s="47"/>
      <c r="MEK38" s="47"/>
      <c r="MEM38" s="11"/>
      <c r="MHT38" s="47"/>
      <c r="MHY38" s="47"/>
      <c r="MIA38" s="11"/>
      <c r="MLH38" s="47"/>
      <c r="MLM38" s="47"/>
      <c r="MLO38" s="11"/>
      <c r="MOV38" s="47"/>
      <c r="MPA38" s="47"/>
      <c r="MPC38" s="11"/>
      <c r="MSJ38" s="47"/>
      <c r="MSO38" s="47"/>
      <c r="MSQ38" s="11"/>
      <c r="MVX38" s="47"/>
      <c r="MWC38" s="47"/>
      <c r="MWE38" s="11"/>
      <c r="MZL38" s="47"/>
      <c r="MZQ38" s="47"/>
      <c r="MZS38" s="11"/>
      <c r="NCZ38" s="47"/>
      <c r="NDE38" s="47"/>
      <c r="NDG38" s="11"/>
      <c r="NGN38" s="47"/>
      <c r="NGS38" s="47"/>
      <c r="NGU38" s="11"/>
      <c r="NKB38" s="47"/>
      <c r="NKG38" s="47"/>
      <c r="NKI38" s="11"/>
      <c r="NNP38" s="47"/>
      <c r="NNU38" s="47"/>
      <c r="NNW38" s="11"/>
      <c r="NRD38" s="47"/>
      <c r="NRI38" s="47"/>
      <c r="NRK38" s="11"/>
      <c r="NUR38" s="47"/>
      <c r="NUW38" s="47"/>
      <c r="NUY38" s="11"/>
      <c r="NYF38" s="47"/>
      <c r="NYK38" s="47"/>
      <c r="NYM38" s="11"/>
      <c r="OBT38" s="47"/>
      <c r="OBY38" s="47"/>
      <c r="OCA38" s="11"/>
      <c r="OFH38" s="47"/>
      <c r="OFM38" s="47"/>
      <c r="OFO38" s="11"/>
      <c r="OIV38" s="47"/>
      <c r="OJA38" s="47"/>
      <c r="OJC38" s="11"/>
      <c r="OMJ38" s="47"/>
      <c r="OMO38" s="47"/>
      <c r="OMQ38" s="11"/>
      <c r="OPX38" s="47"/>
      <c r="OQC38" s="47"/>
      <c r="OQE38" s="11"/>
      <c r="OTL38" s="47"/>
      <c r="OTQ38" s="47"/>
      <c r="OTS38" s="11"/>
      <c r="OWZ38" s="47"/>
      <c r="OXE38" s="47"/>
      <c r="OXG38" s="11"/>
      <c r="PAN38" s="47"/>
      <c r="PAS38" s="47"/>
      <c r="PAU38" s="11"/>
      <c r="PEB38" s="47"/>
      <c r="PEG38" s="47"/>
      <c r="PEI38" s="11"/>
      <c r="PHP38" s="47"/>
      <c r="PHU38" s="47"/>
      <c r="PHW38" s="11"/>
      <c r="PLD38" s="47"/>
      <c r="PLI38" s="47"/>
      <c r="PLK38" s="11"/>
      <c r="POR38" s="47"/>
      <c r="POW38" s="47"/>
      <c r="POY38" s="11"/>
      <c r="PSF38" s="47"/>
      <c r="PSK38" s="47"/>
      <c r="PSM38" s="11"/>
      <c r="PVT38" s="47"/>
      <c r="PVY38" s="47"/>
      <c r="PWA38" s="11"/>
      <c r="PZH38" s="47"/>
      <c r="PZM38" s="47"/>
      <c r="PZO38" s="11"/>
      <c r="QCV38" s="47"/>
      <c r="QDA38" s="47"/>
      <c r="QDC38" s="11"/>
      <c r="QGJ38" s="47"/>
      <c r="QGO38" s="47"/>
      <c r="QGQ38" s="11"/>
      <c r="QJX38" s="47"/>
      <c r="QKC38" s="47"/>
      <c r="QKE38" s="11"/>
      <c r="QNL38" s="47"/>
      <c r="QNQ38" s="47"/>
      <c r="QNS38" s="11"/>
      <c r="QQZ38" s="47"/>
      <c r="QRE38" s="47"/>
      <c r="QRG38" s="11"/>
      <c r="QUN38" s="47"/>
      <c r="QUS38" s="47"/>
      <c r="QUU38" s="11"/>
      <c r="QYB38" s="47"/>
      <c r="QYG38" s="47"/>
      <c r="QYI38" s="11"/>
      <c r="RBP38" s="47"/>
      <c r="RBU38" s="47"/>
      <c r="RBW38" s="11"/>
      <c r="RFD38" s="47"/>
      <c r="RFI38" s="47"/>
      <c r="RFK38" s="11"/>
      <c r="RIR38" s="47"/>
      <c r="RIW38" s="47"/>
      <c r="RIY38" s="11"/>
      <c r="RMF38" s="47"/>
      <c r="RMK38" s="47"/>
      <c r="RMM38" s="11"/>
      <c r="RPT38" s="47"/>
      <c r="RPY38" s="47"/>
      <c r="RQA38" s="11"/>
      <c r="RTH38" s="47"/>
      <c r="RTM38" s="47"/>
      <c r="RTO38" s="11"/>
      <c r="RWV38" s="47"/>
      <c r="RXA38" s="47"/>
      <c r="RXC38" s="11"/>
      <c r="SAJ38" s="47"/>
      <c r="SAO38" s="47"/>
      <c r="SAQ38" s="11"/>
      <c r="SDX38" s="47"/>
      <c r="SEC38" s="47"/>
      <c r="SEE38" s="11"/>
      <c r="SHL38" s="47"/>
      <c r="SHQ38" s="47"/>
      <c r="SHS38" s="11"/>
      <c r="SKZ38" s="47"/>
      <c r="SLE38" s="47"/>
      <c r="SLG38" s="11"/>
      <c r="SON38" s="47"/>
      <c r="SOS38" s="47"/>
      <c r="SOU38" s="11"/>
      <c r="SSB38" s="47"/>
      <c r="SSG38" s="47"/>
      <c r="SSI38" s="11"/>
      <c r="SVP38" s="47"/>
      <c r="SVU38" s="47"/>
      <c r="SVW38" s="11"/>
      <c r="SZD38" s="47"/>
      <c r="SZI38" s="47"/>
      <c r="SZK38" s="11"/>
      <c r="TCR38" s="47"/>
      <c r="TCW38" s="47"/>
      <c r="TCY38" s="11"/>
      <c r="TGF38" s="47"/>
      <c r="TGK38" s="47"/>
      <c r="TGM38" s="11"/>
      <c r="TJT38" s="47"/>
      <c r="TJY38" s="47"/>
      <c r="TKA38" s="11"/>
      <c r="TNH38" s="47"/>
      <c r="TNM38" s="47"/>
      <c r="TNO38" s="11"/>
      <c r="TQV38" s="47"/>
      <c r="TRA38" s="47"/>
      <c r="TRC38" s="11"/>
      <c r="TUJ38" s="47"/>
      <c r="TUO38" s="47"/>
      <c r="TUQ38" s="11"/>
      <c r="TXX38" s="47"/>
      <c r="TYC38" s="47"/>
      <c r="TYE38" s="11"/>
      <c r="UBL38" s="47"/>
      <c r="UBQ38" s="47"/>
      <c r="UBS38" s="11"/>
      <c r="UEZ38" s="47"/>
      <c r="UFE38" s="47"/>
      <c r="UFG38" s="11"/>
      <c r="UIN38" s="47"/>
      <c r="UIS38" s="47"/>
      <c r="UIU38" s="11"/>
      <c r="UMB38" s="47"/>
      <c r="UMG38" s="47"/>
      <c r="UMI38" s="11"/>
      <c r="UPP38" s="47"/>
      <c r="UPU38" s="47"/>
      <c r="UPW38" s="11"/>
      <c r="UTD38" s="47"/>
      <c r="UTI38" s="47"/>
      <c r="UTK38" s="11"/>
      <c r="UWR38" s="47"/>
      <c r="UWW38" s="47"/>
      <c r="UWY38" s="11"/>
      <c r="VAF38" s="47"/>
      <c r="VAK38" s="47"/>
      <c r="VAM38" s="11"/>
      <c r="VDT38" s="47"/>
      <c r="VDY38" s="47"/>
      <c r="VEA38" s="11"/>
      <c r="VHH38" s="47"/>
      <c r="VHM38" s="47"/>
      <c r="VHO38" s="11"/>
      <c r="VKV38" s="47"/>
      <c r="VLA38" s="47"/>
      <c r="VLC38" s="11"/>
      <c r="VOJ38" s="47"/>
      <c r="VOO38" s="47"/>
      <c r="VOQ38" s="11"/>
      <c r="VRX38" s="47"/>
      <c r="VSC38" s="47"/>
      <c r="VSE38" s="11"/>
      <c r="VVL38" s="47"/>
      <c r="VVQ38" s="47"/>
      <c r="VVS38" s="11"/>
      <c r="VYZ38" s="47"/>
      <c r="VZE38" s="47"/>
      <c r="VZG38" s="11"/>
      <c r="WCN38" s="47"/>
      <c r="WCS38" s="47"/>
      <c r="WCU38" s="11"/>
      <c r="WGB38" s="47"/>
      <c r="WGG38" s="47"/>
      <c r="WGI38" s="11"/>
      <c r="WJP38" s="47"/>
      <c r="WJU38" s="47"/>
      <c r="WJW38" s="11"/>
      <c r="WND38" s="47"/>
      <c r="WNI38" s="47"/>
      <c r="WNK38" s="11"/>
      <c r="WQR38" s="47"/>
      <c r="WQW38" s="47"/>
      <c r="WQY38" s="11"/>
      <c r="WUF38" s="47"/>
      <c r="WUK38" s="47"/>
      <c r="WUM38" s="11"/>
      <c r="WXT38" s="47"/>
      <c r="WXY38" s="47"/>
      <c r="WYA38" s="11"/>
      <c r="XBH38" s="47"/>
      <c r="XBM38" s="47"/>
      <c r="XBO38" s="11"/>
      <c r="XEV38" s="47"/>
      <c r="XFA38" s="47"/>
      <c r="XFC38" s="11"/>
    </row>
    <row r="39" spans="1:1019 1104:2031 2116:3043 3128:4055 4140:5067 5152:6079 6164:7091 7176:8188 8193:9207 9292:10219 10304:11231 11316:12243 12328:13255 13340:14267 14352:15279 15364:16383" s="10" customFormat="1" ht="14.65" customHeight="1">
      <c r="C39" s="365" t="s">
        <v>992</v>
      </c>
      <c r="E39" s="47"/>
      <c r="G39" s="11"/>
      <c r="CS39" s="47"/>
      <c r="CU39" s="11"/>
      <c r="GB39" s="47"/>
      <c r="GG39" s="47"/>
      <c r="GI39" s="11"/>
      <c r="JP39" s="47"/>
      <c r="JU39" s="47"/>
      <c r="JW39" s="11"/>
      <c r="ND39" s="47"/>
      <c r="NI39" s="47"/>
      <c r="NK39" s="11"/>
      <c r="QR39" s="47"/>
      <c r="QW39" s="47"/>
      <c r="QY39" s="11"/>
      <c r="UF39" s="47"/>
      <c r="UK39" s="47"/>
      <c r="UM39" s="11"/>
      <c r="XT39" s="47"/>
      <c r="XY39" s="47"/>
      <c r="YA39" s="11"/>
      <c r="ABH39" s="47"/>
      <c r="ABM39" s="47"/>
      <c r="ABO39" s="11"/>
      <c r="AEV39" s="47"/>
      <c r="AFA39" s="47"/>
      <c r="AFC39" s="11"/>
      <c r="AIJ39" s="47"/>
      <c r="AIO39" s="47"/>
      <c r="AIQ39" s="11"/>
      <c r="ALX39" s="47"/>
      <c r="AMC39" s="47"/>
      <c r="AME39" s="11"/>
      <c r="APL39" s="47"/>
      <c r="APQ39" s="47"/>
      <c r="APS39" s="11"/>
      <c r="ASZ39" s="47"/>
      <c r="ATE39" s="47"/>
      <c r="ATG39" s="11"/>
      <c r="AWN39" s="47"/>
      <c r="AWS39" s="47"/>
      <c r="AWU39" s="11"/>
      <c r="BAB39" s="47"/>
      <c r="BAG39" s="47"/>
      <c r="BAI39" s="11"/>
      <c r="BDP39" s="47"/>
      <c r="BDU39" s="47"/>
      <c r="BDW39" s="11"/>
      <c r="BHD39" s="47"/>
      <c r="BHI39" s="47"/>
      <c r="BHK39" s="11"/>
      <c r="BKR39" s="47"/>
      <c r="BKW39" s="47"/>
      <c r="BKY39" s="11"/>
      <c r="BOF39" s="47"/>
      <c r="BOK39" s="47"/>
      <c r="BOM39" s="11"/>
      <c r="BRT39" s="47"/>
      <c r="BRY39" s="47"/>
      <c r="BSA39" s="11"/>
      <c r="BVH39" s="47"/>
      <c r="BVM39" s="47"/>
      <c r="BVO39" s="11"/>
      <c r="BYV39" s="47"/>
      <c r="BZA39" s="47"/>
      <c r="BZC39" s="11"/>
      <c r="CCJ39" s="47"/>
      <c r="CCO39" s="47"/>
      <c r="CCQ39" s="11"/>
      <c r="CFX39" s="47"/>
      <c r="CGC39" s="47"/>
      <c r="CGE39" s="11"/>
      <c r="CJL39" s="47"/>
      <c r="CJQ39" s="47"/>
      <c r="CJS39" s="11"/>
      <c r="CMZ39" s="47"/>
      <c r="CNE39" s="47"/>
      <c r="CNG39" s="11"/>
      <c r="CQN39" s="47"/>
      <c r="CQS39" s="47"/>
      <c r="CQU39" s="11"/>
      <c r="CUB39" s="47"/>
      <c r="CUG39" s="47"/>
      <c r="CUI39" s="11"/>
      <c r="CXP39" s="47"/>
      <c r="CXU39" s="47"/>
      <c r="CXW39" s="11"/>
      <c r="DBD39" s="47"/>
      <c r="DBI39" s="47"/>
      <c r="DBK39" s="11"/>
      <c r="DER39" s="47"/>
      <c r="DEW39" s="47"/>
      <c r="DEY39" s="11"/>
      <c r="DIF39" s="47"/>
      <c r="DIK39" s="47"/>
      <c r="DIM39" s="11"/>
      <c r="DLT39" s="47"/>
      <c r="DLY39" s="47"/>
      <c r="DMA39" s="11"/>
      <c r="DPH39" s="47"/>
      <c r="DPM39" s="47"/>
      <c r="DPO39" s="11"/>
      <c r="DSV39" s="47"/>
      <c r="DTA39" s="47"/>
      <c r="DTC39" s="11"/>
      <c r="DWJ39" s="47"/>
      <c r="DWO39" s="47"/>
      <c r="DWQ39" s="11"/>
      <c r="DZX39" s="47"/>
      <c r="EAC39" s="47"/>
      <c r="EAE39" s="11"/>
      <c r="EDL39" s="47"/>
      <c r="EDQ39" s="47"/>
      <c r="EDS39" s="11"/>
      <c r="EGZ39" s="47"/>
      <c r="EHE39" s="47"/>
      <c r="EHG39" s="11"/>
      <c r="EKN39" s="47"/>
      <c r="EKS39" s="47"/>
      <c r="EKU39" s="11"/>
      <c r="EOB39" s="47"/>
      <c r="EOG39" s="47"/>
      <c r="EOI39" s="11"/>
      <c r="ERP39" s="47"/>
      <c r="ERU39" s="47"/>
      <c r="ERW39" s="11"/>
      <c r="EVD39" s="47"/>
      <c r="EVI39" s="47"/>
      <c r="EVK39" s="11"/>
      <c r="EYR39" s="47"/>
      <c r="EYW39" s="47"/>
      <c r="EYY39" s="11"/>
      <c r="FCF39" s="47"/>
      <c r="FCK39" s="47"/>
      <c r="FCM39" s="11"/>
      <c r="FFT39" s="47"/>
      <c r="FFY39" s="47"/>
      <c r="FGA39" s="11"/>
      <c r="FJH39" s="47"/>
      <c r="FJM39" s="47"/>
      <c r="FJO39" s="11"/>
      <c r="FMV39" s="47"/>
      <c r="FNA39" s="47"/>
      <c r="FNC39" s="11"/>
      <c r="FQJ39" s="47"/>
      <c r="FQO39" s="47"/>
      <c r="FQQ39" s="11"/>
      <c r="FTX39" s="47"/>
      <c r="FUC39" s="47"/>
      <c r="FUE39" s="11"/>
      <c r="FXL39" s="47"/>
      <c r="FXQ39" s="47"/>
      <c r="FXS39" s="11"/>
      <c r="GAZ39" s="47"/>
      <c r="GBE39" s="47"/>
      <c r="GBG39" s="11"/>
      <c r="GEN39" s="47"/>
      <c r="GES39" s="47"/>
      <c r="GEU39" s="11"/>
      <c r="GIB39" s="47"/>
      <c r="GIG39" s="47"/>
      <c r="GII39" s="11"/>
      <c r="GLP39" s="47"/>
      <c r="GLU39" s="47"/>
      <c r="GLW39" s="11"/>
      <c r="GPD39" s="47"/>
      <c r="GPI39" s="47"/>
      <c r="GPK39" s="11"/>
      <c r="GSR39" s="47"/>
      <c r="GSW39" s="47"/>
      <c r="GSY39" s="11"/>
      <c r="GWF39" s="47"/>
      <c r="GWK39" s="47"/>
      <c r="GWM39" s="11"/>
      <c r="GZT39" s="47"/>
      <c r="GZY39" s="47"/>
      <c r="HAA39" s="11"/>
      <c r="HDH39" s="47"/>
      <c r="HDM39" s="47"/>
      <c r="HDO39" s="11"/>
      <c r="HGV39" s="47"/>
      <c r="HHA39" s="47"/>
      <c r="HHC39" s="11"/>
      <c r="HKJ39" s="47"/>
      <c r="HKO39" s="47"/>
      <c r="HKQ39" s="11"/>
      <c r="HNX39" s="47"/>
      <c r="HOC39" s="47"/>
      <c r="HOE39" s="11"/>
      <c r="HRL39" s="47"/>
      <c r="HRQ39" s="47"/>
      <c r="HRS39" s="11"/>
      <c r="HUZ39" s="47"/>
      <c r="HVE39" s="47"/>
      <c r="HVG39" s="11"/>
      <c r="HYN39" s="47"/>
      <c r="HYS39" s="47"/>
      <c r="HYU39" s="11"/>
      <c r="ICB39" s="47"/>
      <c r="ICG39" s="47"/>
      <c r="ICI39" s="11"/>
      <c r="IFP39" s="47"/>
      <c r="IFU39" s="47"/>
      <c r="IFW39" s="11"/>
      <c r="IJD39" s="47"/>
      <c r="IJI39" s="47"/>
      <c r="IJK39" s="11"/>
      <c r="IMR39" s="47"/>
      <c r="IMW39" s="47"/>
      <c r="IMY39" s="11"/>
      <c r="IQF39" s="47"/>
      <c r="IQK39" s="47"/>
      <c r="IQM39" s="11"/>
      <c r="ITT39" s="47"/>
      <c r="ITY39" s="47"/>
      <c r="IUA39" s="11"/>
      <c r="IXH39" s="47"/>
      <c r="IXM39" s="47"/>
      <c r="IXO39" s="11"/>
      <c r="JAV39" s="47"/>
      <c r="JBA39" s="47"/>
      <c r="JBC39" s="11"/>
      <c r="JEJ39" s="47"/>
      <c r="JEO39" s="47"/>
      <c r="JEQ39" s="11"/>
      <c r="JHX39" s="47"/>
      <c r="JIC39" s="47"/>
      <c r="JIE39" s="11"/>
      <c r="JLL39" s="47"/>
      <c r="JLQ39" s="47"/>
      <c r="JLS39" s="11"/>
      <c r="JOZ39" s="47"/>
      <c r="JPE39" s="47"/>
      <c r="JPG39" s="11"/>
      <c r="JSN39" s="47"/>
      <c r="JSS39" s="47"/>
      <c r="JSU39" s="11"/>
      <c r="JWB39" s="47"/>
      <c r="JWG39" s="47"/>
      <c r="JWI39" s="11"/>
      <c r="JZP39" s="47"/>
      <c r="JZU39" s="47"/>
      <c r="JZW39" s="11"/>
      <c r="KDD39" s="47"/>
      <c r="KDI39" s="47"/>
      <c r="KDK39" s="11"/>
      <c r="KGR39" s="47"/>
      <c r="KGW39" s="47"/>
      <c r="KGY39" s="11"/>
      <c r="KKF39" s="47"/>
      <c r="KKK39" s="47"/>
      <c r="KKM39" s="11"/>
      <c r="KNT39" s="47"/>
      <c r="KNY39" s="47"/>
      <c r="KOA39" s="11"/>
      <c r="KRH39" s="47"/>
      <c r="KRM39" s="47"/>
      <c r="KRO39" s="11"/>
      <c r="KUV39" s="47"/>
      <c r="KVA39" s="47"/>
      <c r="KVC39" s="11"/>
      <c r="KYJ39" s="47"/>
      <c r="KYO39" s="47"/>
      <c r="KYQ39" s="11"/>
      <c r="LBX39" s="47"/>
      <c r="LCC39" s="47"/>
      <c r="LCE39" s="11"/>
      <c r="LFL39" s="47"/>
      <c r="LFQ39" s="47"/>
      <c r="LFS39" s="11"/>
      <c r="LIZ39" s="47"/>
      <c r="LJE39" s="47"/>
      <c r="LJG39" s="11"/>
      <c r="LMN39" s="47"/>
      <c r="LMS39" s="47"/>
      <c r="LMU39" s="11"/>
      <c r="LQB39" s="47"/>
      <c r="LQG39" s="47"/>
      <c r="LQI39" s="11"/>
      <c r="LTP39" s="47"/>
      <c r="LTU39" s="47"/>
      <c r="LTW39" s="11"/>
      <c r="LXD39" s="47"/>
      <c r="LXI39" s="47"/>
      <c r="LXK39" s="11"/>
      <c r="MAR39" s="47"/>
      <c r="MAW39" s="47"/>
      <c r="MAY39" s="11"/>
      <c r="MEF39" s="47"/>
      <c r="MEK39" s="47"/>
      <c r="MEM39" s="11"/>
      <c r="MHT39" s="47"/>
      <c r="MHY39" s="47"/>
      <c r="MIA39" s="11"/>
      <c r="MLH39" s="47"/>
      <c r="MLM39" s="47"/>
      <c r="MLO39" s="11"/>
      <c r="MOV39" s="47"/>
      <c r="MPA39" s="47"/>
      <c r="MPC39" s="11"/>
      <c r="MSJ39" s="47"/>
      <c r="MSO39" s="47"/>
      <c r="MSQ39" s="11"/>
      <c r="MVX39" s="47"/>
      <c r="MWC39" s="47"/>
      <c r="MWE39" s="11"/>
      <c r="MZL39" s="47"/>
      <c r="MZQ39" s="47"/>
      <c r="MZS39" s="11"/>
      <c r="NCZ39" s="47"/>
      <c r="NDE39" s="47"/>
      <c r="NDG39" s="11"/>
      <c r="NGN39" s="47"/>
      <c r="NGS39" s="47"/>
      <c r="NGU39" s="11"/>
      <c r="NKB39" s="47"/>
      <c r="NKG39" s="47"/>
      <c r="NKI39" s="11"/>
      <c r="NNP39" s="47"/>
      <c r="NNU39" s="47"/>
      <c r="NNW39" s="11"/>
      <c r="NRD39" s="47"/>
      <c r="NRI39" s="47"/>
      <c r="NRK39" s="11"/>
      <c r="NUR39" s="47"/>
      <c r="NUW39" s="47"/>
      <c r="NUY39" s="11"/>
      <c r="NYF39" s="47"/>
      <c r="NYK39" s="47"/>
      <c r="NYM39" s="11"/>
      <c r="OBT39" s="47"/>
      <c r="OBY39" s="47"/>
      <c r="OCA39" s="11"/>
      <c r="OFH39" s="47"/>
      <c r="OFM39" s="47"/>
      <c r="OFO39" s="11"/>
      <c r="OIV39" s="47"/>
      <c r="OJA39" s="47"/>
      <c r="OJC39" s="11"/>
      <c r="OMJ39" s="47"/>
      <c r="OMO39" s="47"/>
      <c r="OMQ39" s="11"/>
      <c r="OPX39" s="47"/>
      <c r="OQC39" s="47"/>
      <c r="OQE39" s="11"/>
      <c r="OTL39" s="47"/>
      <c r="OTQ39" s="47"/>
      <c r="OTS39" s="11"/>
      <c r="OWZ39" s="47"/>
      <c r="OXE39" s="47"/>
      <c r="OXG39" s="11"/>
      <c r="PAN39" s="47"/>
      <c r="PAS39" s="47"/>
      <c r="PAU39" s="11"/>
      <c r="PEB39" s="47"/>
      <c r="PEG39" s="47"/>
      <c r="PEI39" s="11"/>
      <c r="PHP39" s="47"/>
      <c r="PHU39" s="47"/>
      <c r="PHW39" s="11"/>
      <c r="PLD39" s="47"/>
      <c r="PLI39" s="47"/>
      <c r="PLK39" s="11"/>
      <c r="POR39" s="47"/>
      <c r="POW39" s="47"/>
      <c r="POY39" s="11"/>
      <c r="PSF39" s="47"/>
      <c r="PSK39" s="47"/>
      <c r="PSM39" s="11"/>
      <c r="PVT39" s="47"/>
      <c r="PVY39" s="47"/>
      <c r="PWA39" s="11"/>
      <c r="PZH39" s="47"/>
      <c r="PZM39" s="47"/>
      <c r="PZO39" s="11"/>
      <c r="QCV39" s="47"/>
      <c r="QDA39" s="47"/>
      <c r="QDC39" s="11"/>
      <c r="QGJ39" s="47"/>
      <c r="QGO39" s="47"/>
      <c r="QGQ39" s="11"/>
      <c r="QJX39" s="47"/>
      <c r="QKC39" s="47"/>
      <c r="QKE39" s="11"/>
      <c r="QNL39" s="47"/>
      <c r="QNQ39" s="47"/>
      <c r="QNS39" s="11"/>
      <c r="QQZ39" s="47"/>
      <c r="QRE39" s="47"/>
      <c r="QRG39" s="11"/>
      <c r="QUN39" s="47"/>
      <c r="QUS39" s="47"/>
      <c r="QUU39" s="11"/>
      <c r="QYB39" s="47"/>
      <c r="QYG39" s="47"/>
      <c r="QYI39" s="11"/>
      <c r="RBP39" s="47"/>
      <c r="RBU39" s="47"/>
      <c r="RBW39" s="11"/>
      <c r="RFD39" s="47"/>
      <c r="RFI39" s="47"/>
      <c r="RFK39" s="11"/>
      <c r="RIR39" s="47"/>
      <c r="RIW39" s="47"/>
      <c r="RIY39" s="11"/>
      <c r="RMF39" s="47"/>
      <c r="RMK39" s="47"/>
      <c r="RMM39" s="11"/>
      <c r="RPT39" s="47"/>
      <c r="RPY39" s="47"/>
      <c r="RQA39" s="11"/>
      <c r="RTH39" s="47"/>
      <c r="RTM39" s="47"/>
      <c r="RTO39" s="11"/>
      <c r="RWV39" s="47"/>
      <c r="RXA39" s="47"/>
      <c r="RXC39" s="11"/>
      <c r="SAJ39" s="47"/>
      <c r="SAO39" s="47"/>
      <c r="SAQ39" s="11"/>
      <c r="SDX39" s="47"/>
      <c r="SEC39" s="47"/>
      <c r="SEE39" s="11"/>
      <c r="SHL39" s="47"/>
      <c r="SHQ39" s="47"/>
      <c r="SHS39" s="11"/>
      <c r="SKZ39" s="47"/>
      <c r="SLE39" s="47"/>
      <c r="SLG39" s="11"/>
      <c r="SON39" s="47"/>
      <c r="SOS39" s="47"/>
      <c r="SOU39" s="11"/>
      <c r="SSB39" s="47"/>
      <c r="SSG39" s="47"/>
      <c r="SSI39" s="11"/>
      <c r="SVP39" s="47"/>
      <c r="SVU39" s="47"/>
      <c r="SVW39" s="11"/>
      <c r="SZD39" s="47"/>
      <c r="SZI39" s="47"/>
      <c r="SZK39" s="11"/>
      <c r="TCR39" s="47"/>
      <c r="TCW39" s="47"/>
      <c r="TCY39" s="11"/>
      <c r="TGF39" s="47"/>
      <c r="TGK39" s="47"/>
      <c r="TGM39" s="11"/>
      <c r="TJT39" s="47"/>
      <c r="TJY39" s="47"/>
      <c r="TKA39" s="11"/>
      <c r="TNH39" s="47"/>
      <c r="TNM39" s="47"/>
      <c r="TNO39" s="11"/>
      <c r="TQV39" s="47"/>
      <c r="TRA39" s="47"/>
      <c r="TRC39" s="11"/>
      <c r="TUJ39" s="47"/>
      <c r="TUO39" s="47"/>
      <c r="TUQ39" s="11"/>
      <c r="TXX39" s="47"/>
      <c r="TYC39" s="47"/>
      <c r="TYE39" s="11"/>
      <c r="UBL39" s="47"/>
      <c r="UBQ39" s="47"/>
      <c r="UBS39" s="11"/>
      <c r="UEZ39" s="47"/>
      <c r="UFE39" s="47"/>
      <c r="UFG39" s="11"/>
      <c r="UIN39" s="47"/>
      <c r="UIS39" s="47"/>
      <c r="UIU39" s="11"/>
      <c r="UMB39" s="47"/>
      <c r="UMG39" s="47"/>
      <c r="UMI39" s="11"/>
      <c r="UPP39" s="47"/>
      <c r="UPU39" s="47"/>
      <c r="UPW39" s="11"/>
      <c r="UTD39" s="47"/>
      <c r="UTI39" s="47"/>
      <c r="UTK39" s="11"/>
      <c r="UWR39" s="47"/>
      <c r="UWW39" s="47"/>
      <c r="UWY39" s="11"/>
      <c r="VAF39" s="47"/>
      <c r="VAK39" s="47"/>
      <c r="VAM39" s="11"/>
      <c r="VDT39" s="47"/>
      <c r="VDY39" s="47"/>
      <c r="VEA39" s="11"/>
      <c r="VHH39" s="47"/>
      <c r="VHM39" s="47"/>
      <c r="VHO39" s="11"/>
      <c r="VKV39" s="47"/>
      <c r="VLA39" s="47"/>
      <c r="VLC39" s="11"/>
      <c r="VOJ39" s="47"/>
      <c r="VOO39" s="47"/>
      <c r="VOQ39" s="11"/>
      <c r="VRX39" s="47"/>
      <c r="VSC39" s="47"/>
      <c r="VSE39" s="11"/>
      <c r="VVL39" s="47"/>
      <c r="VVQ39" s="47"/>
      <c r="VVS39" s="11"/>
      <c r="VYZ39" s="47"/>
      <c r="VZE39" s="47"/>
      <c r="VZG39" s="11"/>
      <c r="WCN39" s="47"/>
      <c r="WCS39" s="47"/>
      <c r="WCU39" s="11"/>
      <c r="WGB39" s="47"/>
      <c r="WGG39" s="47"/>
      <c r="WGI39" s="11"/>
      <c r="WJP39" s="47"/>
      <c r="WJU39" s="47"/>
      <c r="WJW39" s="11"/>
      <c r="WND39" s="47"/>
      <c r="WNI39" s="47"/>
      <c r="WNK39" s="11"/>
      <c r="WQR39" s="47"/>
      <c r="WQW39" s="47"/>
      <c r="WQY39" s="11"/>
      <c r="WUF39" s="47"/>
      <c r="WUK39" s="47"/>
      <c r="WUM39" s="11"/>
      <c r="WXT39" s="47"/>
      <c r="WXY39" s="47"/>
      <c r="WYA39" s="11"/>
      <c r="XBH39" s="47"/>
      <c r="XBM39" s="47"/>
      <c r="XBO39" s="11"/>
      <c r="XEV39" s="47"/>
      <c r="XFA39" s="47"/>
      <c r="XFC39" s="11"/>
    </row>
    <row r="40" spans="1:1019 1104:2031 2116:3043 3128:4055 4140:5067 5152:6079 6164:7091 7176:8188 8193:9207 9292:10219 10304:11231 11316:12243 12328:13255 13340:14267 14352:15279 15364:16383" s="10" customFormat="1" ht="14.65" customHeight="1">
      <c r="C40" s="17" t="s">
        <v>993</v>
      </c>
      <c r="E40" s="47"/>
      <c r="G40" s="11" t="str">
        <f>Monetary_Unit</f>
        <v>тыс. руб.</v>
      </c>
      <c r="I40" s="23">
        <f ca="1">SUM(L40:CM40)</f>
        <v>5205949.9774024626</v>
      </c>
      <c r="L40" s="10">
        <f ca="1" xml:space="preserve"> L66</f>
        <v>0</v>
      </c>
      <c r="M40" s="10">
        <f t="shared" ref="M40:BX40" ca="1" si="18" xml:space="preserve"> M66</f>
        <v>0</v>
      </c>
      <c r="N40" s="10">
        <f t="shared" ca="1" si="18"/>
        <v>0</v>
      </c>
      <c r="O40" s="10">
        <f t="shared" ca="1" si="18"/>
        <v>0</v>
      </c>
      <c r="P40" s="10">
        <f t="shared" ca="1" si="18"/>
        <v>0</v>
      </c>
      <c r="Q40" s="10">
        <f t="shared" ca="1" si="18"/>
        <v>0</v>
      </c>
      <c r="R40" s="10">
        <f t="shared" ca="1" si="18"/>
        <v>0</v>
      </c>
      <c r="S40" s="10">
        <f t="shared" ca="1" si="18"/>
        <v>0</v>
      </c>
      <c r="T40" s="10">
        <f t="shared" ca="1" si="18"/>
        <v>0</v>
      </c>
      <c r="U40" s="10">
        <f t="shared" ca="1" si="18"/>
        <v>0</v>
      </c>
      <c r="V40" s="10">
        <f t="shared" ca="1" si="18"/>
        <v>0</v>
      </c>
      <c r="W40" s="10">
        <f t="shared" ca="1" si="18"/>
        <v>0</v>
      </c>
      <c r="X40" s="10">
        <f t="shared" ca="1" si="18"/>
        <v>0</v>
      </c>
      <c r="Y40" s="10">
        <f t="shared" ca="1" si="18"/>
        <v>0</v>
      </c>
      <c r="Z40" s="10">
        <f t="shared" ca="1" si="18"/>
        <v>0</v>
      </c>
      <c r="AA40" s="10">
        <f t="shared" ca="1" si="18"/>
        <v>0</v>
      </c>
      <c r="AB40" s="10">
        <f t="shared" ca="1" si="18"/>
        <v>0</v>
      </c>
      <c r="AC40" s="10">
        <f t="shared" ca="1" si="18"/>
        <v>12858.90299010021</v>
      </c>
      <c r="AD40" s="10">
        <f t="shared" ca="1" si="18"/>
        <v>24171.028107821418</v>
      </c>
      <c r="AE40" s="10">
        <f t="shared" ca="1" si="18"/>
        <v>9568.025517895876</v>
      </c>
      <c r="AF40" s="10">
        <f t="shared" ca="1" si="18"/>
        <v>8850.8151916235511</v>
      </c>
      <c r="AG40" s="10">
        <f t="shared" ca="1" si="18"/>
        <v>15709.966970739388</v>
      </c>
      <c r="AH40" s="10">
        <f t="shared" ca="1" si="18"/>
        <v>28325.213483896892</v>
      </c>
      <c r="AI40" s="10">
        <f t="shared" ca="1" si="18"/>
        <v>11291.277182500522</v>
      </c>
      <c r="AJ40" s="10">
        <f t="shared" ca="1" si="18"/>
        <v>10385.298525488661</v>
      </c>
      <c r="AK40" s="10">
        <f t="shared" ca="1" si="18"/>
        <v>18308.184209189709</v>
      </c>
      <c r="AL40" s="10">
        <f t="shared" ca="1" si="18"/>
        <v>32768.181406412303</v>
      </c>
      <c r="AM40" s="10">
        <f t="shared" ca="1" si="18"/>
        <v>13151.636091902599</v>
      </c>
      <c r="AN40" s="10">
        <f t="shared" ca="1" si="18"/>
        <v>12221.235285845391</v>
      </c>
      <c r="AO40" s="10">
        <f t="shared" ca="1" si="18"/>
        <v>21105.243817240163</v>
      </c>
      <c r="AP40" s="10">
        <f t="shared" ca="1" si="18"/>
        <v>36705.024429924953</v>
      </c>
      <c r="AQ40" s="10">
        <f t="shared" ca="1" si="18"/>
        <v>14675.263801864336</v>
      </c>
      <c r="AR40" s="10">
        <f t="shared" ca="1" si="18"/>
        <v>13554.404772954898</v>
      </c>
      <c r="AS40" s="10">
        <f t="shared" ca="1" si="18"/>
        <v>23644.247464688298</v>
      </c>
      <c r="AT40" s="10">
        <f t="shared" ca="1" si="18"/>
        <v>41940.700752765333</v>
      </c>
      <c r="AU40" s="10">
        <f t="shared" ca="1" si="18"/>
        <v>20428.889328307669</v>
      </c>
      <c r="AV40" s="10">
        <f t="shared" ca="1" si="18"/>
        <v>18343.446024472771</v>
      </c>
      <c r="AW40" s="10">
        <f t="shared" ca="1" si="18"/>
        <v>30452.920400811134</v>
      </c>
      <c r="AX40" s="10">
        <f t="shared" ca="1" si="18"/>
        <v>102943.7976553592</v>
      </c>
      <c r="AY40" s="10">
        <f t="shared" ca="1" si="18"/>
        <v>107209.56895323792</v>
      </c>
      <c r="AZ40" s="10">
        <f t="shared" ca="1" si="18"/>
        <v>48350.373294979887</v>
      </c>
      <c r="BA40" s="10">
        <f t="shared" ca="1" si="18"/>
        <v>58928.779322173978</v>
      </c>
      <c r="BB40" s="10">
        <f t="shared" ca="1" si="18"/>
        <v>107162.02747551042</v>
      </c>
      <c r="BC40" s="10">
        <f t="shared" ca="1" si="18"/>
        <v>111598.42962530424</v>
      </c>
      <c r="BD40" s="10">
        <f t="shared" ca="1" si="18"/>
        <v>50615.441943727987</v>
      </c>
      <c r="BE40" s="10">
        <f t="shared" ca="1" si="18"/>
        <v>62738.566357753189</v>
      </c>
      <c r="BF40" s="10">
        <f t="shared" ca="1" si="18"/>
        <v>112589.23400119164</v>
      </c>
      <c r="BG40" s="10">
        <f t="shared" ca="1" si="18"/>
        <v>117203.09616240198</v>
      </c>
      <c r="BH40" s="10">
        <f t="shared" ca="1" si="18"/>
        <v>53540.197497018766</v>
      </c>
      <c r="BI40" s="10">
        <f t="shared" ca="1" si="18"/>
        <v>64981.781016339854</v>
      </c>
      <c r="BJ40" s="10">
        <f t="shared" ca="1" si="18"/>
        <v>117151.00716069722</v>
      </c>
      <c r="BK40" s="10">
        <f t="shared" ca="1" si="18"/>
        <v>121949.41972591421</v>
      </c>
      <c r="BL40" s="10">
        <f t="shared" ca="1" si="18"/>
        <v>55740.38588251498</v>
      </c>
      <c r="BM40" s="10">
        <f t="shared" ca="1" si="18"/>
        <v>67639.875789122932</v>
      </c>
      <c r="BN40" s="10">
        <f t="shared" ca="1" si="18"/>
        <v>121895.94202911179</v>
      </c>
      <c r="BO40" s="10">
        <f t="shared" ca="1" si="18"/>
        <v>135930.57332752005</v>
      </c>
      <c r="BP40" s="10">
        <f t="shared" ca="1" si="18"/>
        <v>65632.423815050905</v>
      </c>
      <c r="BQ40" s="10">
        <f t="shared" ca="1" si="18"/>
        <v>85996.815752914365</v>
      </c>
      <c r="BR40" s="10">
        <f t="shared" ca="1" si="18"/>
        <v>167402.83291681824</v>
      </c>
      <c r="BS40" s="10">
        <f t="shared" ca="1" si="18"/>
        <v>149919.05332894973</v>
      </c>
      <c r="BT40" s="10">
        <f t="shared" ca="1" si="18"/>
        <v>76964.260144603104</v>
      </c>
      <c r="BU40" s="10">
        <f t="shared" ca="1" si="18"/>
        <v>98025.428922280582</v>
      </c>
      <c r="BV40" s="10">
        <f t="shared" ca="1" si="18"/>
        <v>173432.75874922407</v>
      </c>
      <c r="BW40" s="10">
        <f t="shared" ca="1" si="18"/>
        <v>155254.27649086079</v>
      </c>
      <c r="BX40" s="10">
        <f t="shared" ca="1" si="18"/>
        <v>78959.932111278773</v>
      </c>
      <c r="BY40" s="10">
        <f t="shared" ref="BY40:CM40" ca="1" si="19" xml:space="preserve"> BY66</f>
        <v>100964.3365766168</v>
      </c>
      <c r="BZ40" s="10">
        <f t="shared" ca="1" si="19"/>
        <v>179763.68303006009</v>
      </c>
      <c r="CA40" s="10">
        <f t="shared" ca="1" si="19"/>
        <v>160862.09336546232</v>
      </c>
      <c r="CB40" s="10">
        <f t="shared" ca="1" si="19"/>
        <v>81514.79430100348</v>
      </c>
      <c r="CC40" s="10">
        <f t="shared" ca="1" si="19"/>
        <v>104395.88327616923</v>
      </c>
      <c r="CD40" s="10">
        <f t="shared" ca="1" si="19"/>
        <v>186343.60519076724</v>
      </c>
      <c r="CE40" s="10">
        <f t="shared" ca="1" si="19"/>
        <v>166690.29818352705</v>
      </c>
      <c r="CF40" s="10">
        <f t="shared" ca="1" si="19"/>
        <v>84189.059231588923</v>
      </c>
      <c r="CG40" s="10">
        <f t="shared" ca="1" si="19"/>
        <v>107981.88785234217</v>
      </c>
      <c r="CH40" s="10">
        <f t="shared" ca="1" si="19"/>
        <v>193204.10921366885</v>
      </c>
      <c r="CI40" s="10">
        <f t="shared" ca="1" si="19"/>
        <v>172769.01617008066</v>
      </c>
      <c r="CJ40" s="10">
        <f t="shared" ca="1" si="19"/>
        <v>87482.606351389928</v>
      </c>
      <c r="CK40" s="10">
        <f t="shared" ca="1" si="19"/>
        <v>112139.40060889376</v>
      </c>
      <c r="CL40" s="10">
        <f t="shared" ca="1" si="19"/>
        <v>200340.43308929796</v>
      </c>
      <c r="CM40" s="10">
        <f t="shared" ca="1" si="19"/>
        <v>179092.58575328696</v>
      </c>
      <c r="CN40" s="10">
        <f ca="1" xml:space="preserve"> CN66</f>
        <v>89914.707450377435</v>
      </c>
      <c r="CO40" s="10">
        <f ca="1" xml:space="preserve"> CO66</f>
        <v>115642.23102741136</v>
      </c>
      <c r="CS40" s="47"/>
      <c r="CU40" s="11"/>
      <c r="GB40" s="47"/>
      <c r="GG40" s="47"/>
      <c r="GI40" s="11"/>
      <c r="JP40" s="47"/>
      <c r="JU40" s="47"/>
      <c r="JW40" s="11"/>
      <c r="ND40" s="47"/>
      <c r="NI40" s="47"/>
      <c r="NK40" s="11"/>
      <c r="QR40" s="47"/>
      <c r="QW40" s="47"/>
      <c r="QY40" s="11"/>
      <c r="UF40" s="47"/>
      <c r="UK40" s="47"/>
      <c r="UM40" s="11"/>
      <c r="XT40" s="47"/>
      <c r="XY40" s="47"/>
      <c r="YA40" s="11"/>
      <c r="ABH40" s="47"/>
      <c r="ABM40" s="47"/>
      <c r="ABO40" s="11"/>
      <c r="AEV40" s="47"/>
      <c r="AFA40" s="47"/>
      <c r="AFC40" s="11"/>
      <c r="AIJ40" s="47"/>
      <c r="AIO40" s="47"/>
      <c r="AIQ40" s="11"/>
      <c r="ALX40" s="47"/>
      <c r="AMC40" s="47"/>
      <c r="AME40" s="11"/>
      <c r="APL40" s="47"/>
      <c r="APQ40" s="47"/>
      <c r="APS40" s="11"/>
      <c r="ASZ40" s="47"/>
      <c r="ATE40" s="47"/>
      <c r="ATG40" s="11"/>
      <c r="AWN40" s="47"/>
      <c r="AWS40" s="47"/>
      <c r="AWU40" s="11"/>
      <c r="BAB40" s="47"/>
      <c r="BAG40" s="47"/>
      <c r="BAI40" s="11"/>
      <c r="BDP40" s="47"/>
      <c r="BDU40" s="47"/>
      <c r="BDW40" s="11"/>
      <c r="BHD40" s="47"/>
      <c r="BHI40" s="47"/>
      <c r="BHK40" s="11"/>
      <c r="BKR40" s="47"/>
      <c r="BKW40" s="47"/>
      <c r="BKY40" s="11"/>
      <c r="BOF40" s="47"/>
      <c r="BOK40" s="47"/>
      <c r="BOM40" s="11"/>
      <c r="BRT40" s="47"/>
      <c r="BRY40" s="47"/>
      <c r="BSA40" s="11"/>
      <c r="BVH40" s="47"/>
      <c r="BVM40" s="47"/>
      <c r="BVO40" s="11"/>
      <c r="BYV40" s="47"/>
      <c r="BZA40" s="47"/>
      <c r="BZC40" s="11"/>
      <c r="CCJ40" s="47"/>
      <c r="CCO40" s="47"/>
      <c r="CCQ40" s="11"/>
      <c r="CFX40" s="47"/>
      <c r="CGC40" s="47"/>
      <c r="CGE40" s="11"/>
      <c r="CJL40" s="47"/>
      <c r="CJQ40" s="47"/>
      <c r="CJS40" s="11"/>
      <c r="CMZ40" s="47"/>
      <c r="CNE40" s="47"/>
      <c r="CNG40" s="11"/>
      <c r="CQN40" s="47"/>
      <c r="CQS40" s="47"/>
      <c r="CQU40" s="11"/>
      <c r="CUB40" s="47"/>
      <c r="CUG40" s="47"/>
      <c r="CUI40" s="11"/>
      <c r="CXP40" s="47"/>
      <c r="CXU40" s="47"/>
      <c r="CXW40" s="11"/>
      <c r="DBD40" s="47"/>
      <c r="DBI40" s="47"/>
      <c r="DBK40" s="11"/>
      <c r="DER40" s="47"/>
      <c r="DEW40" s="47"/>
      <c r="DEY40" s="11"/>
      <c r="DIF40" s="47"/>
      <c r="DIK40" s="47"/>
      <c r="DIM40" s="11"/>
      <c r="DLT40" s="47"/>
      <c r="DLY40" s="47"/>
      <c r="DMA40" s="11"/>
      <c r="DPH40" s="47"/>
      <c r="DPM40" s="47"/>
      <c r="DPO40" s="11"/>
      <c r="DSV40" s="47"/>
      <c r="DTA40" s="47"/>
      <c r="DTC40" s="11"/>
      <c r="DWJ40" s="47"/>
      <c r="DWO40" s="47"/>
      <c r="DWQ40" s="11"/>
      <c r="DZX40" s="47"/>
      <c r="EAC40" s="47"/>
      <c r="EAE40" s="11"/>
      <c r="EDL40" s="47"/>
      <c r="EDQ40" s="47"/>
      <c r="EDS40" s="11"/>
      <c r="EGZ40" s="47"/>
      <c r="EHE40" s="47"/>
      <c r="EHG40" s="11"/>
      <c r="EKN40" s="47"/>
      <c r="EKS40" s="47"/>
      <c r="EKU40" s="11"/>
      <c r="EOB40" s="47"/>
      <c r="EOG40" s="47"/>
      <c r="EOI40" s="11"/>
      <c r="ERP40" s="47"/>
      <c r="ERU40" s="47"/>
      <c r="ERW40" s="11"/>
      <c r="EVD40" s="47"/>
      <c r="EVI40" s="47"/>
      <c r="EVK40" s="11"/>
      <c r="EYR40" s="47"/>
      <c r="EYW40" s="47"/>
      <c r="EYY40" s="11"/>
      <c r="FCF40" s="47"/>
      <c r="FCK40" s="47"/>
      <c r="FCM40" s="11"/>
      <c r="FFT40" s="47"/>
      <c r="FFY40" s="47"/>
      <c r="FGA40" s="11"/>
      <c r="FJH40" s="47"/>
      <c r="FJM40" s="47"/>
      <c r="FJO40" s="11"/>
      <c r="FMV40" s="47"/>
      <c r="FNA40" s="47"/>
      <c r="FNC40" s="11"/>
      <c r="FQJ40" s="47"/>
      <c r="FQO40" s="47"/>
      <c r="FQQ40" s="11"/>
      <c r="FTX40" s="47"/>
      <c r="FUC40" s="47"/>
      <c r="FUE40" s="11"/>
      <c r="FXL40" s="47"/>
      <c r="FXQ40" s="47"/>
      <c r="FXS40" s="11"/>
      <c r="GAZ40" s="47"/>
      <c r="GBE40" s="47"/>
      <c r="GBG40" s="11"/>
      <c r="GEN40" s="47"/>
      <c r="GES40" s="47"/>
      <c r="GEU40" s="11"/>
      <c r="GIB40" s="47"/>
      <c r="GIG40" s="47"/>
      <c r="GII40" s="11"/>
      <c r="GLP40" s="47"/>
      <c r="GLU40" s="47"/>
      <c r="GLW40" s="11"/>
      <c r="GPD40" s="47"/>
      <c r="GPI40" s="47"/>
      <c r="GPK40" s="11"/>
      <c r="GSR40" s="47"/>
      <c r="GSW40" s="47"/>
      <c r="GSY40" s="11"/>
      <c r="GWF40" s="47"/>
      <c r="GWK40" s="47"/>
      <c r="GWM40" s="11"/>
      <c r="GZT40" s="47"/>
      <c r="GZY40" s="47"/>
      <c r="HAA40" s="11"/>
      <c r="HDH40" s="47"/>
      <c r="HDM40" s="47"/>
      <c r="HDO40" s="11"/>
      <c r="HGV40" s="47"/>
      <c r="HHA40" s="47"/>
      <c r="HHC40" s="11"/>
      <c r="HKJ40" s="47"/>
      <c r="HKO40" s="47"/>
      <c r="HKQ40" s="11"/>
      <c r="HNX40" s="47"/>
      <c r="HOC40" s="47"/>
      <c r="HOE40" s="11"/>
      <c r="HRL40" s="47"/>
      <c r="HRQ40" s="47"/>
      <c r="HRS40" s="11"/>
      <c r="HUZ40" s="47"/>
      <c r="HVE40" s="47"/>
      <c r="HVG40" s="11"/>
      <c r="HYN40" s="47"/>
      <c r="HYS40" s="47"/>
      <c r="HYU40" s="11"/>
      <c r="ICB40" s="47"/>
      <c r="ICG40" s="47"/>
      <c r="ICI40" s="11"/>
      <c r="IFP40" s="47"/>
      <c r="IFU40" s="47"/>
      <c r="IFW40" s="11"/>
      <c r="IJD40" s="47"/>
      <c r="IJI40" s="47"/>
      <c r="IJK40" s="11"/>
      <c r="IMR40" s="47"/>
      <c r="IMW40" s="47"/>
      <c r="IMY40" s="11"/>
      <c r="IQF40" s="47"/>
      <c r="IQK40" s="47"/>
      <c r="IQM40" s="11"/>
      <c r="ITT40" s="47"/>
      <c r="ITY40" s="47"/>
      <c r="IUA40" s="11"/>
      <c r="IXH40" s="47"/>
      <c r="IXM40" s="47"/>
      <c r="IXO40" s="11"/>
      <c r="JAV40" s="47"/>
      <c r="JBA40" s="47"/>
      <c r="JBC40" s="11"/>
      <c r="JEJ40" s="47"/>
      <c r="JEO40" s="47"/>
      <c r="JEQ40" s="11"/>
      <c r="JHX40" s="47"/>
      <c r="JIC40" s="47"/>
      <c r="JIE40" s="11"/>
      <c r="JLL40" s="47"/>
      <c r="JLQ40" s="47"/>
      <c r="JLS40" s="11"/>
      <c r="JOZ40" s="47"/>
      <c r="JPE40" s="47"/>
      <c r="JPG40" s="11"/>
      <c r="JSN40" s="47"/>
      <c r="JSS40" s="47"/>
      <c r="JSU40" s="11"/>
      <c r="JWB40" s="47"/>
      <c r="JWG40" s="47"/>
      <c r="JWI40" s="11"/>
      <c r="JZP40" s="47"/>
      <c r="JZU40" s="47"/>
      <c r="JZW40" s="11"/>
      <c r="KDD40" s="47"/>
      <c r="KDI40" s="47"/>
      <c r="KDK40" s="11"/>
      <c r="KGR40" s="47"/>
      <c r="KGW40" s="47"/>
      <c r="KGY40" s="11"/>
      <c r="KKF40" s="47"/>
      <c r="KKK40" s="47"/>
      <c r="KKM40" s="11"/>
      <c r="KNT40" s="47"/>
      <c r="KNY40" s="47"/>
      <c r="KOA40" s="11"/>
      <c r="KRH40" s="47"/>
      <c r="KRM40" s="47"/>
      <c r="KRO40" s="11"/>
      <c r="KUV40" s="47"/>
      <c r="KVA40" s="47"/>
      <c r="KVC40" s="11"/>
      <c r="KYJ40" s="47"/>
      <c r="KYO40" s="47"/>
      <c r="KYQ40" s="11"/>
      <c r="LBX40" s="47"/>
      <c r="LCC40" s="47"/>
      <c r="LCE40" s="11"/>
      <c r="LFL40" s="47"/>
      <c r="LFQ40" s="47"/>
      <c r="LFS40" s="11"/>
      <c r="LIZ40" s="47"/>
      <c r="LJE40" s="47"/>
      <c r="LJG40" s="11"/>
      <c r="LMN40" s="47"/>
      <c r="LMS40" s="47"/>
      <c r="LMU40" s="11"/>
      <c r="LQB40" s="47"/>
      <c r="LQG40" s="47"/>
      <c r="LQI40" s="11"/>
      <c r="LTP40" s="47"/>
      <c r="LTU40" s="47"/>
      <c r="LTW40" s="11"/>
      <c r="LXD40" s="47"/>
      <c r="LXI40" s="47"/>
      <c r="LXK40" s="11"/>
      <c r="MAR40" s="47"/>
      <c r="MAW40" s="47"/>
      <c r="MAY40" s="11"/>
      <c r="MEF40" s="47"/>
      <c r="MEK40" s="47"/>
      <c r="MEM40" s="11"/>
      <c r="MHT40" s="47"/>
      <c r="MHY40" s="47"/>
      <c r="MIA40" s="11"/>
      <c r="MLH40" s="47"/>
      <c r="MLM40" s="47"/>
      <c r="MLO40" s="11"/>
      <c r="MOV40" s="47"/>
      <c r="MPA40" s="47"/>
      <c r="MPC40" s="11"/>
      <c r="MSJ40" s="47"/>
      <c r="MSO40" s="47"/>
      <c r="MSQ40" s="11"/>
      <c r="MVX40" s="47"/>
      <c r="MWC40" s="47"/>
      <c r="MWE40" s="11"/>
      <c r="MZL40" s="47"/>
      <c r="MZQ40" s="47"/>
      <c r="MZS40" s="11"/>
      <c r="NCZ40" s="47"/>
      <c r="NDE40" s="47"/>
      <c r="NDG40" s="11"/>
      <c r="NGN40" s="47"/>
      <c r="NGS40" s="47"/>
      <c r="NGU40" s="11"/>
      <c r="NKB40" s="47"/>
      <c r="NKG40" s="47"/>
      <c r="NKI40" s="11"/>
      <c r="NNP40" s="47"/>
      <c r="NNU40" s="47"/>
      <c r="NNW40" s="11"/>
      <c r="NRD40" s="47"/>
      <c r="NRI40" s="47"/>
      <c r="NRK40" s="11"/>
      <c r="NUR40" s="47"/>
      <c r="NUW40" s="47"/>
      <c r="NUY40" s="11"/>
      <c r="NYF40" s="47"/>
      <c r="NYK40" s="47"/>
      <c r="NYM40" s="11"/>
      <c r="OBT40" s="47"/>
      <c r="OBY40" s="47"/>
      <c r="OCA40" s="11"/>
      <c r="OFH40" s="47"/>
      <c r="OFM40" s="47"/>
      <c r="OFO40" s="11"/>
      <c r="OIV40" s="47"/>
      <c r="OJA40" s="47"/>
      <c r="OJC40" s="11"/>
      <c r="OMJ40" s="47"/>
      <c r="OMO40" s="47"/>
      <c r="OMQ40" s="11"/>
      <c r="OPX40" s="47"/>
      <c r="OQC40" s="47"/>
      <c r="OQE40" s="11"/>
      <c r="OTL40" s="47"/>
      <c r="OTQ40" s="47"/>
      <c r="OTS40" s="11"/>
      <c r="OWZ40" s="47"/>
      <c r="OXE40" s="47"/>
      <c r="OXG40" s="11"/>
      <c r="PAN40" s="47"/>
      <c r="PAS40" s="47"/>
      <c r="PAU40" s="11"/>
      <c r="PEB40" s="47"/>
      <c r="PEG40" s="47"/>
      <c r="PEI40" s="11"/>
      <c r="PHP40" s="47"/>
      <c r="PHU40" s="47"/>
      <c r="PHW40" s="11"/>
      <c r="PLD40" s="47"/>
      <c r="PLI40" s="47"/>
      <c r="PLK40" s="11"/>
      <c r="POR40" s="47"/>
      <c r="POW40" s="47"/>
      <c r="POY40" s="11"/>
      <c r="PSF40" s="47"/>
      <c r="PSK40" s="47"/>
      <c r="PSM40" s="11"/>
      <c r="PVT40" s="47"/>
      <c r="PVY40" s="47"/>
      <c r="PWA40" s="11"/>
      <c r="PZH40" s="47"/>
      <c r="PZM40" s="47"/>
      <c r="PZO40" s="11"/>
      <c r="QCV40" s="47"/>
      <c r="QDA40" s="47"/>
      <c r="QDC40" s="11"/>
      <c r="QGJ40" s="47"/>
      <c r="QGO40" s="47"/>
      <c r="QGQ40" s="11"/>
      <c r="QJX40" s="47"/>
      <c r="QKC40" s="47"/>
      <c r="QKE40" s="11"/>
      <c r="QNL40" s="47"/>
      <c r="QNQ40" s="47"/>
      <c r="QNS40" s="11"/>
      <c r="QQZ40" s="47"/>
      <c r="QRE40" s="47"/>
      <c r="QRG40" s="11"/>
      <c r="QUN40" s="47"/>
      <c r="QUS40" s="47"/>
      <c r="QUU40" s="11"/>
      <c r="QYB40" s="47"/>
      <c r="QYG40" s="47"/>
      <c r="QYI40" s="11"/>
      <c r="RBP40" s="47"/>
      <c r="RBU40" s="47"/>
      <c r="RBW40" s="11"/>
      <c r="RFD40" s="47"/>
      <c r="RFI40" s="47"/>
      <c r="RFK40" s="11"/>
      <c r="RIR40" s="47"/>
      <c r="RIW40" s="47"/>
      <c r="RIY40" s="11"/>
      <c r="RMF40" s="47"/>
      <c r="RMK40" s="47"/>
      <c r="RMM40" s="11"/>
      <c r="RPT40" s="47"/>
      <c r="RPY40" s="47"/>
      <c r="RQA40" s="11"/>
      <c r="RTH40" s="47"/>
      <c r="RTM40" s="47"/>
      <c r="RTO40" s="11"/>
      <c r="RWV40" s="47"/>
      <c r="RXA40" s="47"/>
      <c r="RXC40" s="11"/>
      <c r="SAJ40" s="47"/>
      <c r="SAO40" s="47"/>
      <c r="SAQ40" s="11"/>
      <c r="SDX40" s="47"/>
      <c r="SEC40" s="47"/>
      <c r="SEE40" s="11"/>
      <c r="SHL40" s="47"/>
      <c r="SHQ40" s="47"/>
      <c r="SHS40" s="11"/>
      <c r="SKZ40" s="47"/>
      <c r="SLE40" s="47"/>
      <c r="SLG40" s="11"/>
      <c r="SON40" s="47"/>
      <c r="SOS40" s="47"/>
      <c r="SOU40" s="11"/>
      <c r="SSB40" s="47"/>
      <c r="SSG40" s="47"/>
      <c r="SSI40" s="11"/>
      <c r="SVP40" s="47"/>
      <c r="SVU40" s="47"/>
      <c r="SVW40" s="11"/>
      <c r="SZD40" s="47"/>
      <c r="SZI40" s="47"/>
      <c r="SZK40" s="11"/>
      <c r="TCR40" s="47"/>
      <c r="TCW40" s="47"/>
      <c r="TCY40" s="11"/>
      <c r="TGF40" s="47"/>
      <c r="TGK40" s="47"/>
      <c r="TGM40" s="11"/>
      <c r="TJT40" s="47"/>
      <c r="TJY40" s="47"/>
      <c r="TKA40" s="11"/>
      <c r="TNH40" s="47"/>
      <c r="TNM40" s="47"/>
      <c r="TNO40" s="11"/>
      <c r="TQV40" s="47"/>
      <c r="TRA40" s="47"/>
      <c r="TRC40" s="11"/>
      <c r="TUJ40" s="47"/>
      <c r="TUO40" s="47"/>
      <c r="TUQ40" s="11"/>
      <c r="TXX40" s="47"/>
      <c r="TYC40" s="47"/>
      <c r="TYE40" s="11"/>
      <c r="UBL40" s="47"/>
      <c r="UBQ40" s="47"/>
      <c r="UBS40" s="11"/>
      <c r="UEZ40" s="47"/>
      <c r="UFE40" s="47"/>
      <c r="UFG40" s="11"/>
      <c r="UIN40" s="47"/>
      <c r="UIS40" s="47"/>
      <c r="UIU40" s="11"/>
      <c r="UMB40" s="47"/>
      <c r="UMG40" s="47"/>
      <c r="UMI40" s="11"/>
      <c r="UPP40" s="47"/>
      <c r="UPU40" s="47"/>
      <c r="UPW40" s="11"/>
      <c r="UTD40" s="47"/>
      <c r="UTI40" s="47"/>
      <c r="UTK40" s="11"/>
      <c r="UWR40" s="47"/>
      <c r="UWW40" s="47"/>
      <c r="UWY40" s="11"/>
      <c r="VAF40" s="47"/>
      <c r="VAK40" s="47"/>
      <c r="VAM40" s="11"/>
      <c r="VDT40" s="47"/>
      <c r="VDY40" s="47"/>
      <c r="VEA40" s="11"/>
      <c r="VHH40" s="47"/>
      <c r="VHM40" s="47"/>
      <c r="VHO40" s="11"/>
      <c r="VKV40" s="47"/>
      <c r="VLA40" s="47"/>
      <c r="VLC40" s="11"/>
      <c r="VOJ40" s="47"/>
      <c r="VOO40" s="47"/>
      <c r="VOQ40" s="11"/>
      <c r="VRX40" s="47"/>
      <c r="VSC40" s="47"/>
      <c r="VSE40" s="11"/>
      <c r="VVL40" s="47"/>
      <c r="VVQ40" s="47"/>
      <c r="VVS40" s="11"/>
      <c r="VYZ40" s="47"/>
      <c r="VZE40" s="47"/>
      <c r="VZG40" s="11"/>
      <c r="WCN40" s="47"/>
      <c r="WCS40" s="47"/>
      <c r="WCU40" s="11"/>
      <c r="WGB40" s="47"/>
      <c r="WGG40" s="47"/>
      <c r="WGI40" s="11"/>
      <c r="WJP40" s="47"/>
      <c r="WJU40" s="47"/>
      <c r="WJW40" s="11"/>
      <c r="WND40" s="47"/>
      <c r="WNI40" s="47"/>
      <c r="WNK40" s="11"/>
      <c r="WQR40" s="47"/>
      <c r="WQW40" s="47"/>
      <c r="WQY40" s="11"/>
      <c r="WUF40" s="47"/>
      <c r="WUK40" s="47"/>
      <c r="WUM40" s="11"/>
      <c r="WXT40" s="47"/>
      <c r="WXY40" s="47"/>
      <c r="WYA40" s="11"/>
      <c r="XBH40" s="47"/>
      <c r="XBM40" s="47"/>
      <c r="XBO40" s="11"/>
      <c r="XEV40" s="47"/>
      <c r="XFA40" s="47"/>
      <c r="XFC40" s="11"/>
    </row>
    <row r="41" spans="1:1019 1104:2031 2116:3043 3128:4055 4140:5067 5152:6079 6164:7091 7176:8188 8193:9207 9292:10219 10304:11231 11316:12243 12328:13255 13340:14267 14352:15279 15364:16383" s="10" customFormat="1" ht="14.65" customHeight="1" thickBot="1">
      <c r="C41" s="17" t="s">
        <v>994</v>
      </c>
      <c r="E41" s="47"/>
      <c r="G41" s="11" t="str">
        <f>Monetary_Unit</f>
        <v>тыс. руб.</v>
      </c>
      <c r="I41" s="23">
        <f>SUM(L41:CM41)</f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0</v>
      </c>
      <c r="AO41" s="10">
        <v>0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0</v>
      </c>
      <c r="BD41" s="10">
        <v>0</v>
      </c>
      <c r="BE41" s="10">
        <v>0</v>
      </c>
      <c r="BF41" s="10">
        <v>0</v>
      </c>
      <c r="BG41" s="10">
        <v>0</v>
      </c>
      <c r="BH41" s="10">
        <v>0</v>
      </c>
      <c r="BI41" s="10">
        <v>0</v>
      </c>
      <c r="BJ41" s="10">
        <v>0</v>
      </c>
      <c r="BK41" s="10">
        <v>0</v>
      </c>
      <c r="BL41" s="10">
        <v>0</v>
      </c>
      <c r="BM41" s="10">
        <v>0</v>
      </c>
      <c r="BN41" s="10">
        <v>0</v>
      </c>
      <c r="BO41" s="10">
        <v>0</v>
      </c>
      <c r="BP41" s="10">
        <v>0</v>
      </c>
      <c r="BQ41" s="10">
        <v>0</v>
      </c>
      <c r="BR41" s="10">
        <v>0</v>
      </c>
      <c r="BS41" s="10">
        <v>0</v>
      </c>
      <c r="BT41" s="10">
        <v>0</v>
      </c>
      <c r="BU41" s="10">
        <v>0</v>
      </c>
      <c r="BV41" s="10">
        <v>0</v>
      </c>
      <c r="BW41" s="10">
        <v>0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10">
        <v>0</v>
      </c>
      <c r="CL41" s="10">
        <v>0</v>
      </c>
      <c r="CM41" s="10">
        <v>0</v>
      </c>
      <c r="CN41" s="10">
        <v>0</v>
      </c>
      <c r="CO41" s="10">
        <v>0</v>
      </c>
      <c r="CS41" s="47"/>
      <c r="CU41" s="11"/>
      <c r="GB41" s="47"/>
      <c r="GG41" s="47"/>
      <c r="GI41" s="11"/>
      <c r="JP41" s="47"/>
      <c r="JU41" s="47"/>
      <c r="JW41" s="11"/>
      <c r="ND41" s="47"/>
      <c r="NI41" s="47"/>
      <c r="NK41" s="11"/>
      <c r="QR41" s="47"/>
      <c r="QW41" s="47"/>
      <c r="QY41" s="11"/>
      <c r="UF41" s="47"/>
      <c r="UK41" s="47"/>
      <c r="UM41" s="11"/>
      <c r="XT41" s="47"/>
      <c r="XY41" s="47"/>
      <c r="YA41" s="11"/>
      <c r="ABH41" s="47"/>
      <c r="ABM41" s="47"/>
      <c r="ABO41" s="11"/>
      <c r="AEV41" s="47"/>
      <c r="AFA41" s="47"/>
      <c r="AFC41" s="11"/>
      <c r="AIJ41" s="47"/>
      <c r="AIO41" s="47"/>
      <c r="AIQ41" s="11"/>
      <c r="ALX41" s="47"/>
      <c r="AMC41" s="47"/>
      <c r="AME41" s="11"/>
      <c r="APL41" s="47"/>
      <c r="APQ41" s="47"/>
      <c r="APS41" s="11"/>
      <c r="ASZ41" s="47"/>
      <c r="ATE41" s="47"/>
      <c r="ATG41" s="11"/>
      <c r="AWN41" s="47"/>
      <c r="AWS41" s="47"/>
      <c r="AWU41" s="11"/>
      <c r="BAB41" s="47"/>
      <c r="BAG41" s="47"/>
      <c r="BAI41" s="11"/>
      <c r="BDP41" s="47"/>
      <c r="BDU41" s="47"/>
      <c r="BDW41" s="11"/>
      <c r="BHD41" s="47"/>
      <c r="BHI41" s="47"/>
      <c r="BHK41" s="11"/>
      <c r="BKR41" s="47"/>
      <c r="BKW41" s="47"/>
      <c r="BKY41" s="11"/>
      <c r="BOF41" s="47"/>
      <c r="BOK41" s="47"/>
      <c r="BOM41" s="11"/>
      <c r="BRT41" s="47"/>
      <c r="BRY41" s="47"/>
      <c r="BSA41" s="11"/>
      <c r="BVH41" s="47"/>
      <c r="BVM41" s="47"/>
      <c r="BVO41" s="11"/>
      <c r="BYV41" s="47"/>
      <c r="BZA41" s="47"/>
      <c r="BZC41" s="11"/>
      <c r="CCJ41" s="47"/>
      <c r="CCO41" s="47"/>
      <c r="CCQ41" s="11"/>
      <c r="CFX41" s="47"/>
      <c r="CGC41" s="47"/>
      <c r="CGE41" s="11"/>
      <c r="CJL41" s="47"/>
      <c r="CJQ41" s="47"/>
      <c r="CJS41" s="11"/>
      <c r="CMZ41" s="47"/>
      <c r="CNE41" s="47"/>
      <c r="CNG41" s="11"/>
      <c r="CQN41" s="47"/>
      <c r="CQS41" s="47"/>
      <c r="CQU41" s="11"/>
      <c r="CUB41" s="47"/>
      <c r="CUG41" s="47"/>
      <c r="CUI41" s="11"/>
      <c r="CXP41" s="47"/>
      <c r="CXU41" s="47"/>
      <c r="CXW41" s="11"/>
      <c r="DBD41" s="47"/>
      <c r="DBI41" s="47"/>
      <c r="DBK41" s="11"/>
      <c r="DER41" s="47"/>
      <c r="DEW41" s="47"/>
      <c r="DEY41" s="11"/>
      <c r="DIF41" s="47"/>
      <c r="DIK41" s="47"/>
      <c r="DIM41" s="11"/>
      <c r="DLT41" s="47"/>
      <c r="DLY41" s="47"/>
      <c r="DMA41" s="11"/>
      <c r="DPH41" s="47"/>
      <c r="DPM41" s="47"/>
      <c r="DPO41" s="11"/>
      <c r="DSV41" s="47"/>
      <c r="DTA41" s="47"/>
      <c r="DTC41" s="11"/>
      <c r="DWJ41" s="47"/>
      <c r="DWO41" s="47"/>
      <c r="DWQ41" s="11"/>
      <c r="DZX41" s="47"/>
      <c r="EAC41" s="47"/>
      <c r="EAE41" s="11"/>
      <c r="EDL41" s="47"/>
      <c r="EDQ41" s="47"/>
      <c r="EDS41" s="11"/>
      <c r="EGZ41" s="47"/>
      <c r="EHE41" s="47"/>
      <c r="EHG41" s="11"/>
      <c r="EKN41" s="47"/>
      <c r="EKS41" s="47"/>
      <c r="EKU41" s="11"/>
      <c r="EOB41" s="47"/>
      <c r="EOG41" s="47"/>
      <c r="EOI41" s="11"/>
      <c r="ERP41" s="47"/>
      <c r="ERU41" s="47"/>
      <c r="ERW41" s="11"/>
      <c r="EVD41" s="47"/>
      <c r="EVI41" s="47"/>
      <c r="EVK41" s="11"/>
      <c r="EYR41" s="47"/>
      <c r="EYW41" s="47"/>
      <c r="EYY41" s="11"/>
      <c r="FCF41" s="47"/>
      <c r="FCK41" s="47"/>
      <c r="FCM41" s="11"/>
      <c r="FFT41" s="47"/>
      <c r="FFY41" s="47"/>
      <c r="FGA41" s="11"/>
      <c r="FJH41" s="47"/>
      <c r="FJM41" s="47"/>
      <c r="FJO41" s="11"/>
      <c r="FMV41" s="47"/>
      <c r="FNA41" s="47"/>
      <c r="FNC41" s="11"/>
      <c r="FQJ41" s="47"/>
      <c r="FQO41" s="47"/>
      <c r="FQQ41" s="11"/>
      <c r="FTX41" s="47"/>
      <c r="FUC41" s="47"/>
      <c r="FUE41" s="11"/>
      <c r="FXL41" s="47"/>
      <c r="FXQ41" s="47"/>
      <c r="FXS41" s="11"/>
      <c r="GAZ41" s="47"/>
      <c r="GBE41" s="47"/>
      <c r="GBG41" s="11"/>
      <c r="GEN41" s="47"/>
      <c r="GES41" s="47"/>
      <c r="GEU41" s="11"/>
      <c r="GIB41" s="47"/>
      <c r="GIG41" s="47"/>
      <c r="GII41" s="11"/>
      <c r="GLP41" s="47"/>
      <c r="GLU41" s="47"/>
      <c r="GLW41" s="11"/>
      <c r="GPD41" s="47"/>
      <c r="GPI41" s="47"/>
      <c r="GPK41" s="11"/>
      <c r="GSR41" s="47"/>
      <c r="GSW41" s="47"/>
      <c r="GSY41" s="11"/>
      <c r="GWF41" s="47"/>
      <c r="GWK41" s="47"/>
      <c r="GWM41" s="11"/>
      <c r="GZT41" s="47"/>
      <c r="GZY41" s="47"/>
      <c r="HAA41" s="11"/>
      <c r="HDH41" s="47"/>
      <c r="HDM41" s="47"/>
      <c r="HDO41" s="11"/>
      <c r="HGV41" s="47"/>
      <c r="HHA41" s="47"/>
      <c r="HHC41" s="11"/>
      <c r="HKJ41" s="47"/>
      <c r="HKO41" s="47"/>
      <c r="HKQ41" s="11"/>
      <c r="HNX41" s="47"/>
      <c r="HOC41" s="47"/>
      <c r="HOE41" s="11"/>
      <c r="HRL41" s="47"/>
      <c r="HRQ41" s="47"/>
      <c r="HRS41" s="11"/>
      <c r="HUZ41" s="47"/>
      <c r="HVE41" s="47"/>
      <c r="HVG41" s="11"/>
      <c r="HYN41" s="47"/>
      <c r="HYS41" s="47"/>
      <c r="HYU41" s="11"/>
      <c r="ICB41" s="47"/>
      <c r="ICG41" s="47"/>
      <c r="ICI41" s="11"/>
      <c r="IFP41" s="47"/>
      <c r="IFU41" s="47"/>
      <c r="IFW41" s="11"/>
      <c r="IJD41" s="47"/>
      <c r="IJI41" s="47"/>
      <c r="IJK41" s="11"/>
      <c r="IMR41" s="47"/>
      <c r="IMW41" s="47"/>
      <c r="IMY41" s="11"/>
      <c r="IQF41" s="47"/>
      <c r="IQK41" s="47"/>
      <c r="IQM41" s="11"/>
      <c r="ITT41" s="47"/>
      <c r="ITY41" s="47"/>
      <c r="IUA41" s="11"/>
      <c r="IXH41" s="47"/>
      <c r="IXM41" s="47"/>
      <c r="IXO41" s="11"/>
      <c r="JAV41" s="47"/>
      <c r="JBA41" s="47"/>
      <c r="JBC41" s="11"/>
      <c r="JEJ41" s="47"/>
      <c r="JEO41" s="47"/>
      <c r="JEQ41" s="11"/>
      <c r="JHX41" s="47"/>
      <c r="JIC41" s="47"/>
      <c r="JIE41" s="11"/>
      <c r="JLL41" s="47"/>
      <c r="JLQ41" s="47"/>
      <c r="JLS41" s="11"/>
      <c r="JOZ41" s="47"/>
      <c r="JPE41" s="47"/>
      <c r="JPG41" s="11"/>
      <c r="JSN41" s="47"/>
      <c r="JSS41" s="47"/>
      <c r="JSU41" s="11"/>
      <c r="JWB41" s="47"/>
      <c r="JWG41" s="47"/>
      <c r="JWI41" s="11"/>
      <c r="JZP41" s="47"/>
      <c r="JZU41" s="47"/>
      <c r="JZW41" s="11"/>
      <c r="KDD41" s="47"/>
      <c r="KDI41" s="47"/>
      <c r="KDK41" s="11"/>
      <c r="KGR41" s="47"/>
      <c r="KGW41" s="47"/>
      <c r="KGY41" s="11"/>
      <c r="KKF41" s="47"/>
      <c r="KKK41" s="47"/>
      <c r="KKM41" s="11"/>
      <c r="KNT41" s="47"/>
      <c r="KNY41" s="47"/>
      <c r="KOA41" s="11"/>
      <c r="KRH41" s="47"/>
      <c r="KRM41" s="47"/>
      <c r="KRO41" s="11"/>
      <c r="KUV41" s="47"/>
      <c r="KVA41" s="47"/>
      <c r="KVC41" s="11"/>
      <c r="KYJ41" s="47"/>
      <c r="KYO41" s="47"/>
      <c r="KYQ41" s="11"/>
      <c r="LBX41" s="47"/>
      <c r="LCC41" s="47"/>
      <c r="LCE41" s="11"/>
      <c r="LFL41" s="47"/>
      <c r="LFQ41" s="47"/>
      <c r="LFS41" s="11"/>
      <c r="LIZ41" s="47"/>
      <c r="LJE41" s="47"/>
      <c r="LJG41" s="11"/>
      <c r="LMN41" s="47"/>
      <c r="LMS41" s="47"/>
      <c r="LMU41" s="11"/>
      <c r="LQB41" s="47"/>
      <c r="LQG41" s="47"/>
      <c r="LQI41" s="11"/>
      <c r="LTP41" s="47"/>
      <c r="LTU41" s="47"/>
      <c r="LTW41" s="11"/>
      <c r="LXD41" s="47"/>
      <c r="LXI41" s="47"/>
      <c r="LXK41" s="11"/>
      <c r="MAR41" s="47"/>
      <c r="MAW41" s="47"/>
      <c r="MAY41" s="11"/>
      <c r="MEF41" s="47"/>
      <c r="MEK41" s="47"/>
      <c r="MEM41" s="11"/>
      <c r="MHT41" s="47"/>
      <c r="MHY41" s="47"/>
      <c r="MIA41" s="11"/>
      <c r="MLH41" s="47"/>
      <c r="MLM41" s="47"/>
      <c r="MLO41" s="11"/>
      <c r="MOV41" s="47"/>
      <c r="MPA41" s="47"/>
      <c r="MPC41" s="11"/>
      <c r="MSJ41" s="47"/>
      <c r="MSO41" s="47"/>
      <c r="MSQ41" s="11"/>
      <c r="MVX41" s="47"/>
      <c r="MWC41" s="47"/>
      <c r="MWE41" s="11"/>
      <c r="MZL41" s="47"/>
      <c r="MZQ41" s="47"/>
      <c r="MZS41" s="11"/>
      <c r="NCZ41" s="47"/>
      <c r="NDE41" s="47"/>
      <c r="NDG41" s="11"/>
      <c r="NGN41" s="47"/>
      <c r="NGS41" s="47"/>
      <c r="NGU41" s="11"/>
      <c r="NKB41" s="47"/>
      <c r="NKG41" s="47"/>
      <c r="NKI41" s="11"/>
      <c r="NNP41" s="47"/>
      <c r="NNU41" s="47"/>
      <c r="NNW41" s="11"/>
      <c r="NRD41" s="47"/>
      <c r="NRI41" s="47"/>
      <c r="NRK41" s="11"/>
      <c r="NUR41" s="47"/>
      <c r="NUW41" s="47"/>
      <c r="NUY41" s="11"/>
      <c r="NYF41" s="47"/>
      <c r="NYK41" s="47"/>
      <c r="NYM41" s="11"/>
      <c r="OBT41" s="47"/>
      <c r="OBY41" s="47"/>
      <c r="OCA41" s="11"/>
      <c r="OFH41" s="47"/>
      <c r="OFM41" s="47"/>
      <c r="OFO41" s="11"/>
      <c r="OIV41" s="47"/>
      <c r="OJA41" s="47"/>
      <c r="OJC41" s="11"/>
      <c r="OMJ41" s="47"/>
      <c r="OMO41" s="47"/>
      <c r="OMQ41" s="11"/>
      <c r="OPX41" s="47"/>
      <c r="OQC41" s="47"/>
      <c r="OQE41" s="11"/>
      <c r="OTL41" s="47"/>
      <c r="OTQ41" s="47"/>
      <c r="OTS41" s="11"/>
      <c r="OWZ41" s="47"/>
      <c r="OXE41" s="47"/>
      <c r="OXG41" s="11"/>
      <c r="PAN41" s="47"/>
      <c r="PAS41" s="47"/>
      <c r="PAU41" s="11"/>
      <c r="PEB41" s="47"/>
      <c r="PEG41" s="47"/>
      <c r="PEI41" s="11"/>
      <c r="PHP41" s="47"/>
      <c r="PHU41" s="47"/>
      <c r="PHW41" s="11"/>
      <c r="PLD41" s="47"/>
      <c r="PLI41" s="47"/>
      <c r="PLK41" s="11"/>
      <c r="POR41" s="47"/>
      <c r="POW41" s="47"/>
      <c r="POY41" s="11"/>
      <c r="PSF41" s="47"/>
      <c r="PSK41" s="47"/>
      <c r="PSM41" s="11"/>
      <c r="PVT41" s="47"/>
      <c r="PVY41" s="47"/>
      <c r="PWA41" s="11"/>
      <c r="PZH41" s="47"/>
      <c r="PZM41" s="47"/>
      <c r="PZO41" s="11"/>
      <c r="QCV41" s="47"/>
      <c r="QDA41" s="47"/>
      <c r="QDC41" s="11"/>
      <c r="QGJ41" s="47"/>
      <c r="QGO41" s="47"/>
      <c r="QGQ41" s="11"/>
      <c r="QJX41" s="47"/>
      <c r="QKC41" s="47"/>
      <c r="QKE41" s="11"/>
      <c r="QNL41" s="47"/>
      <c r="QNQ41" s="47"/>
      <c r="QNS41" s="11"/>
      <c r="QQZ41" s="47"/>
      <c r="QRE41" s="47"/>
      <c r="QRG41" s="11"/>
      <c r="QUN41" s="47"/>
      <c r="QUS41" s="47"/>
      <c r="QUU41" s="11"/>
      <c r="QYB41" s="47"/>
      <c r="QYG41" s="47"/>
      <c r="QYI41" s="11"/>
      <c r="RBP41" s="47"/>
      <c r="RBU41" s="47"/>
      <c r="RBW41" s="11"/>
      <c r="RFD41" s="47"/>
      <c r="RFI41" s="47"/>
      <c r="RFK41" s="11"/>
      <c r="RIR41" s="47"/>
      <c r="RIW41" s="47"/>
      <c r="RIY41" s="11"/>
      <c r="RMF41" s="47"/>
      <c r="RMK41" s="47"/>
      <c r="RMM41" s="11"/>
      <c r="RPT41" s="47"/>
      <c r="RPY41" s="47"/>
      <c r="RQA41" s="11"/>
      <c r="RTH41" s="47"/>
      <c r="RTM41" s="47"/>
      <c r="RTO41" s="11"/>
      <c r="RWV41" s="47"/>
      <c r="RXA41" s="47"/>
      <c r="RXC41" s="11"/>
      <c r="SAJ41" s="47"/>
      <c r="SAO41" s="47"/>
      <c r="SAQ41" s="11"/>
      <c r="SDX41" s="47"/>
      <c r="SEC41" s="47"/>
      <c r="SEE41" s="11"/>
      <c r="SHL41" s="47"/>
      <c r="SHQ41" s="47"/>
      <c r="SHS41" s="11"/>
      <c r="SKZ41" s="47"/>
      <c r="SLE41" s="47"/>
      <c r="SLG41" s="11"/>
      <c r="SON41" s="47"/>
      <c r="SOS41" s="47"/>
      <c r="SOU41" s="11"/>
      <c r="SSB41" s="47"/>
      <c r="SSG41" s="47"/>
      <c r="SSI41" s="11"/>
      <c r="SVP41" s="47"/>
      <c r="SVU41" s="47"/>
      <c r="SVW41" s="11"/>
      <c r="SZD41" s="47"/>
      <c r="SZI41" s="47"/>
      <c r="SZK41" s="11"/>
      <c r="TCR41" s="47"/>
      <c r="TCW41" s="47"/>
      <c r="TCY41" s="11"/>
      <c r="TGF41" s="47"/>
      <c r="TGK41" s="47"/>
      <c r="TGM41" s="11"/>
      <c r="TJT41" s="47"/>
      <c r="TJY41" s="47"/>
      <c r="TKA41" s="11"/>
      <c r="TNH41" s="47"/>
      <c r="TNM41" s="47"/>
      <c r="TNO41" s="11"/>
      <c r="TQV41" s="47"/>
      <c r="TRA41" s="47"/>
      <c r="TRC41" s="11"/>
      <c r="TUJ41" s="47"/>
      <c r="TUO41" s="47"/>
      <c r="TUQ41" s="11"/>
      <c r="TXX41" s="47"/>
      <c r="TYC41" s="47"/>
      <c r="TYE41" s="11"/>
      <c r="UBL41" s="47"/>
      <c r="UBQ41" s="47"/>
      <c r="UBS41" s="11"/>
      <c r="UEZ41" s="47"/>
      <c r="UFE41" s="47"/>
      <c r="UFG41" s="11"/>
      <c r="UIN41" s="47"/>
      <c r="UIS41" s="47"/>
      <c r="UIU41" s="11"/>
      <c r="UMB41" s="47"/>
      <c r="UMG41" s="47"/>
      <c r="UMI41" s="11"/>
      <c r="UPP41" s="47"/>
      <c r="UPU41" s="47"/>
      <c r="UPW41" s="11"/>
      <c r="UTD41" s="47"/>
      <c r="UTI41" s="47"/>
      <c r="UTK41" s="11"/>
      <c r="UWR41" s="47"/>
      <c r="UWW41" s="47"/>
      <c r="UWY41" s="11"/>
      <c r="VAF41" s="47"/>
      <c r="VAK41" s="47"/>
      <c r="VAM41" s="11"/>
      <c r="VDT41" s="47"/>
      <c r="VDY41" s="47"/>
      <c r="VEA41" s="11"/>
      <c r="VHH41" s="47"/>
      <c r="VHM41" s="47"/>
      <c r="VHO41" s="11"/>
      <c r="VKV41" s="47"/>
      <c r="VLA41" s="47"/>
      <c r="VLC41" s="11"/>
      <c r="VOJ41" s="47"/>
      <c r="VOO41" s="47"/>
      <c r="VOQ41" s="11"/>
      <c r="VRX41" s="47"/>
      <c r="VSC41" s="47"/>
      <c r="VSE41" s="11"/>
      <c r="VVL41" s="47"/>
      <c r="VVQ41" s="47"/>
      <c r="VVS41" s="11"/>
      <c r="VYZ41" s="47"/>
      <c r="VZE41" s="47"/>
      <c r="VZG41" s="11"/>
      <c r="WCN41" s="47"/>
      <c r="WCS41" s="47"/>
      <c r="WCU41" s="11"/>
      <c r="WGB41" s="47"/>
      <c r="WGG41" s="47"/>
      <c r="WGI41" s="11"/>
      <c r="WJP41" s="47"/>
      <c r="WJU41" s="47"/>
      <c r="WJW41" s="11"/>
      <c r="WND41" s="47"/>
      <c r="WNI41" s="47"/>
      <c r="WNK41" s="11"/>
      <c r="WQR41" s="47"/>
      <c r="WQW41" s="47"/>
      <c r="WQY41" s="11"/>
      <c r="WUF41" s="47"/>
      <c r="WUK41" s="47"/>
      <c r="WUM41" s="11"/>
      <c r="WXT41" s="47"/>
      <c r="WXY41" s="47"/>
      <c r="WYA41" s="11"/>
      <c r="XBH41" s="47"/>
      <c r="XBM41" s="47"/>
      <c r="XBO41" s="11"/>
      <c r="XEV41" s="47"/>
      <c r="XFA41" s="47"/>
      <c r="XFC41" s="11"/>
    </row>
    <row r="42" spans="1:1019 1104:2031 2116:3043 3128:4055 4140:5067 5152:6079 6164:7091 7176:8188 8193:9207 9292:10219 10304:11231 11316:12243 12328:13255 13340:14267 14352:15279 15364:16383" s="141" customFormat="1" ht="15" customHeight="1" thickTop="1">
      <c r="A42" s="153"/>
      <c r="B42" s="153"/>
      <c r="C42" s="49" t="s">
        <v>995</v>
      </c>
      <c r="D42" s="49"/>
      <c r="E42" s="49"/>
      <c r="F42" s="49"/>
      <c r="G42" s="159" t="str">
        <f>Monetary_Unit</f>
        <v>тыс. руб.</v>
      </c>
      <c r="H42" s="49"/>
      <c r="I42" s="176">
        <f ca="1">SUM(L42:CM42)</f>
        <v>5205949.9774024626</v>
      </c>
      <c r="J42" s="49"/>
      <c r="K42" s="49"/>
      <c r="L42" s="49">
        <f ca="1">SUM(L40:L41)</f>
        <v>0</v>
      </c>
      <c r="M42" s="49">
        <f t="shared" ref="M42:BX42" ca="1" si="20">SUM(M40:M41)</f>
        <v>0</v>
      </c>
      <c r="N42" s="49">
        <f t="shared" ca="1" si="20"/>
        <v>0</v>
      </c>
      <c r="O42" s="49">
        <f t="shared" ca="1" si="20"/>
        <v>0</v>
      </c>
      <c r="P42" s="49">
        <f t="shared" ca="1" si="20"/>
        <v>0</v>
      </c>
      <c r="Q42" s="49">
        <f t="shared" ca="1" si="20"/>
        <v>0</v>
      </c>
      <c r="R42" s="49">
        <f t="shared" ca="1" si="20"/>
        <v>0</v>
      </c>
      <c r="S42" s="49">
        <f t="shared" ca="1" si="20"/>
        <v>0</v>
      </c>
      <c r="T42" s="49">
        <f t="shared" ca="1" si="20"/>
        <v>0</v>
      </c>
      <c r="U42" s="49">
        <f t="shared" ca="1" si="20"/>
        <v>0</v>
      </c>
      <c r="V42" s="49">
        <f t="shared" ca="1" si="20"/>
        <v>0</v>
      </c>
      <c r="W42" s="49">
        <f t="shared" ca="1" si="20"/>
        <v>0</v>
      </c>
      <c r="X42" s="49">
        <f t="shared" ca="1" si="20"/>
        <v>0</v>
      </c>
      <c r="Y42" s="49">
        <f t="shared" ca="1" si="20"/>
        <v>0</v>
      </c>
      <c r="Z42" s="49">
        <f t="shared" ca="1" si="20"/>
        <v>0</v>
      </c>
      <c r="AA42" s="49">
        <f t="shared" ca="1" si="20"/>
        <v>0</v>
      </c>
      <c r="AB42" s="49">
        <f t="shared" ca="1" si="20"/>
        <v>0</v>
      </c>
      <c r="AC42" s="49">
        <f t="shared" ca="1" si="20"/>
        <v>12858.90299010021</v>
      </c>
      <c r="AD42" s="49">
        <f t="shared" ca="1" si="20"/>
        <v>24171.028107821418</v>
      </c>
      <c r="AE42" s="49">
        <f t="shared" ca="1" si="20"/>
        <v>9568.025517895876</v>
      </c>
      <c r="AF42" s="49">
        <f t="shared" ca="1" si="20"/>
        <v>8850.8151916235511</v>
      </c>
      <c r="AG42" s="49">
        <f t="shared" ca="1" si="20"/>
        <v>15709.966970739388</v>
      </c>
      <c r="AH42" s="49">
        <f t="shared" ca="1" si="20"/>
        <v>28325.213483896892</v>
      </c>
      <c r="AI42" s="49">
        <f t="shared" ca="1" si="20"/>
        <v>11291.277182500522</v>
      </c>
      <c r="AJ42" s="49">
        <f t="shared" ca="1" si="20"/>
        <v>10385.298525488661</v>
      </c>
      <c r="AK42" s="49">
        <f t="shared" ca="1" si="20"/>
        <v>18308.184209189709</v>
      </c>
      <c r="AL42" s="49">
        <f t="shared" ca="1" si="20"/>
        <v>32768.181406412303</v>
      </c>
      <c r="AM42" s="49">
        <f t="shared" ca="1" si="20"/>
        <v>13151.636091902599</v>
      </c>
      <c r="AN42" s="49">
        <f t="shared" ca="1" si="20"/>
        <v>12221.235285845391</v>
      </c>
      <c r="AO42" s="49">
        <f t="shared" ca="1" si="20"/>
        <v>21105.243817240163</v>
      </c>
      <c r="AP42" s="49">
        <f t="shared" ca="1" si="20"/>
        <v>36705.024429924953</v>
      </c>
      <c r="AQ42" s="49">
        <f t="shared" ca="1" si="20"/>
        <v>14675.263801864336</v>
      </c>
      <c r="AR42" s="49">
        <f t="shared" ca="1" si="20"/>
        <v>13554.404772954898</v>
      </c>
      <c r="AS42" s="49">
        <f t="shared" ca="1" si="20"/>
        <v>23644.247464688298</v>
      </c>
      <c r="AT42" s="49">
        <f t="shared" ca="1" si="20"/>
        <v>41940.700752765333</v>
      </c>
      <c r="AU42" s="49">
        <f t="shared" ca="1" si="20"/>
        <v>20428.889328307669</v>
      </c>
      <c r="AV42" s="49">
        <f t="shared" ca="1" si="20"/>
        <v>18343.446024472771</v>
      </c>
      <c r="AW42" s="49">
        <f t="shared" ca="1" si="20"/>
        <v>30452.920400811134</v>
      </c>
      <c r="AX42" s="49">
        <f t="shared" ca="1" si="20"/>
        <v>102943.7976553592</v>
      </c>
      <c r="AY42" s="49">
        <f t="shared" ca="1" si="20"/>
        <v>107209.56895323792</v>
      </c>
      <c r="AZ42" s="49">
        <f t="shared" ca="1" si="20"/>
        <v>48350.373294979887</v>
      </c>
      <c r="BA42" s="49">
        <f t="shared" ca="1" si="20"/>
        <v>58928.779322173978</v>
      </c>
      <c r="BB42" s="49">
        <f t="shared" ca="1" si="20"/>
        <v>107162.02747551042</v>
      </c>
      <c r="BC42" s="49">
        <f t="shared" ca="1" si="20"/>
        <v>111598.42962530424</v>
      </c>
      <c r="BD42" s="49">
        <f t="shared" ca="1" si="20"/>
        <v>50615.441943727987</v>
      </c>
      <c r="BE42" s="49">
        <f t="shared" ca="1" si="20"/>
        <v>62738.566357753189</v>
      </c>
      <c r="BF42" s="49">
        <f t="shared" ca="1" si="20"/>
        <v>112589.23400119164</v>
      </c>
      <c r="BG42" s="49">
        <f t="shared" ca="1" si="20"/>
        <v>117203.09616240198</v>
      </c>
      <c r="BH42" s="49">
        <f t="shared" ca="1" si="20"/>
        <v>53540.197497018766</v>
      </c>
      <c r="BI42" s="49">
        <f t="shared" ca="1" si="20"/>
        <v>64981.781016339854</v>
      </c>
      <c r="BJ42" s="49">
        <f t="shared" ca="1" si="20"/>
        <v>117151.00716069722</v>
      </c>
      <c r="BK42" s="49">
        <f t="shared" ca="1" si="20"/>
        <v>121949.41972591421</v>
      </c>
      <c r="BL42" s="49">
        <f t="shared" ca="1" si="20"/>
        <v>55740.38588251498</v>
      </c>
      <c r="BM42" s="49">
        <f t="shared" ca="1" si="20"/>
        <v>67639.875789122932</v>
      </c>
      <c r="BN42" s="49">
        <f t="shared" ca="1" si="20"/>
        <v>121895.94202911179</v>
      </c>
      <c r="BO42" s="49">
        <f t="shared" ca="1" si="20"/>
        <v>135930.57332752005</v>
      </c>
      <c r="BP42" s="49">
        <f t="shared" ca="1" si="20"/>
        <v>65632.423815050905</v>
      </c>
      <c r="BQ42" s="49">
        <f t="shared" ca="1" si="20"/>
        <v>85996.815752914365</v>
      </c>
      <c r="BR42" s="49">
        <f t="shared" ca="1" si="20"/>
        <v>167402.83291681824</v>
      </c>
      <c r="BS42" s="49">
        <f t="shared" ca="1" si="20"/>
        <v>149919.05332894973</v>
      </c>
      <c r="BT42" s="49">
        <f t="shared" ca="1" si="20"/>
        <v>76964.260144603104</v>
      </c>
      <c r="BU42" s="49">
        <f t="shared" ca="1" si="20"/>
        <v>98025.428922280582</v>
      </c>
      <c r="BV42" s="49">
        <f t="shared" ca="1" si="20"/>
        <v>173432.75874922407</v>
      </c>
      <c r="BW42" s="49">
        <f t="shared" ca="1" si="20"/>
        <v>155254.27649086079</v>
      </c>
      <c r="BX42" s="49">
        <f t="shared" ca="1" si="20"/>
        <v>78959.932111278773</v>
      </c>
      <c r="BY42" s="49">
        <f t="shared" ref="BY42:CM42" ca="1" si="21">SUM(BY40:BY41)</f>
        <v>100964.3365766168</v>
      </c>
      <c r="BZ42" s="49">
        <f t="shared" ca="1" si="21"/>
        <v>179763.68303006009</v>
      </c>
      <c r="CA42" s="49">
        <f t="shared" ca="1" si="21"/>
        <v>160862.09336546232</v>
      </c>
      <c r="CB42" s="49">
        <f t="shared" ca="1" si="21"/>
        <v>81514.79430100348</v>
      </c>
      <c r="CC42" s="49">
        <f t="shared" ca="1" si="21"/>
        <v>104395.88327616923</v>
      </c>
      <c r="CD42" s="49">
        <f t="shared" ca="1" si="21"/>
        <v>186343.60519076724</v>
      </c>
      <c r="CE42" s="49">
        <f t="shared" ca="1" si="21"/>
        <v>166690.29818352705</v>
      </c>
      <c r="CF42" s="49">
        <f t="shared" ca="1" si="21"/>
        <v>84189.059231588923</v>
      </c>
      <c r="CG42" s="49">
        <f t="shared" ca="1" si="21"/>
        <v>107981.88785234217</v>
      </c>
      <c r="CH42" s="49">
        <f t="shared" ca="1" si="21"/>
        <v>193204.10921366885</v>
      </c>
      <c r="CI42" s="49">
        <f t="shared" ca="1" si="21"/>
        <v>172769.01617008066</v>
      </c>
      <c r="CJ42" s="49">
        <f t="shared" ca="1" si="21"/>
        <v>87482.606351389928</v>
      </c>
      <c r="CK42" s="49">
        <f t="shared" ca="1" si="21"/>
        <v>112139.40060889376</v>
      </c>
      <c r="CL42" s="49">
        <f t="shared" ca="1" si="21"/>
        <v>200340.43308929796</v>
      </c>
      <c r="CM42" s="49">
        <f t="shared" ca="1" si="21"/>
        <v>179092.58575328696</v>
      </c>
      <c r="CN42" s="49">
        <f ca="1">SUM(CN40:CN41)</f>
        <v>89914.707450377435</v>
      </c>
      <c r="CO42" s="49">
        <f ca="1">SUM(CO40:CO41)</f>
        <v>115642.23102741136</v>
      </c>
    </row>
    <row r="43" spans="1:1019 1104:2031 2116:3043 3128:4055 4140:5067 5152:6079 6164:7091 7176:8188 8193:9207 9292:10219 10304:11231 11316:12243 12328:13255 13340:14267 14352:15279 15364:16383" s="10" customFormat="1" ht="14.65" customHeight="1">
      <c r="E43" s="47"/>
      <c r="G43" s="11"/>
      <c r="CS43" s="47"/>
      <c r="CU43" s="11"/>
      <c r="GB43" s="47"/>
      <c r="GG43" s="47"/>
      <c r="GI43" s="11"/>
      <c r="JP43" s="47"/>
      <c r="JU43" s="47"/>
      <c r="JW43" s="11"/>
      <c r="ND43" s="47"/>
      <c r="NI43" s="47"/>
      <c r="NK43" s="11"/>
      <c r="QR43" s="47"/>
      <c r="QW43" s="47"/>
      <c r="QY43" s="11"/>
      <c r="UF43" s="47"/>
      <c r="UK43" s="47"/>
      <c r="UM43" s="11"/>
      <c r="XT43" s="47"/>
      <c r="XY43" s="47"/>
      <c r="YA43" s="11"/>
      <c r="ABH43" s="47"/>
      <c r="ABM43" s="47"/>
      <c r="ABO43" s="11"/>
      <c r="AEV43" s="47"/>
      <c r="AFA43" s="47"/>
      <c r="AFC43" s="11"/>
      <c r="AIJ43" s="47"/>
      <c r="AIO43" s="47"/>
      <c r="AIQ43" s="11"/>
      <c r="ALX43" s="47"/>
      <c r="AMC43" s="47"/>
      <c r="AME43" s="11"/>
      <c r="APL43" s="47"/>
      <c r="APQ43" s="47"/>
      <c r="APS43" s="11"/>
      <c r="ASZ43" s="47"/>
      <c r="ATE43" s="47"/>
      <c r="ATG43" s="11"/>
      <c r="AWN43" s="47"/>
      <c r="AWS43" s="47"/>
      <c r="AWU43" s="11"/>
      <c r="BAB43" s="47"/>
      <c r="BAG43" s="47"/>
      <c r="BAI43" s="11"/>
      <c r="BDP43" s="47"/>
      <c r="BDU43" s="47"/>
      <c r="BDW43" s="11"/>
      <c r="BHD43" s="47"/>
      <c r="BHI43" s="47"/>
      <c r="BHK43" s="11"/>
      <c r="BKR43" s="47"/>
      <c r="BKW43" s="47"/>
      <c r="BKY43" s="11"/>
      <c r="BOF43" s="47"/>
      <c r="BOK43" s="47"/>
      <c r="BOM43" s="11"/>
      <c r="BRT43" s="47"/>
      <c r="BRY43" s="47"/>
      <c r="BSA43" s="11"/>
      <c r="BVH43" s="47"/>
      <c r="BVM43" s="47"/>
      <c r="BVO43" s="11"/>
      <c r="BYV43" s="47"/>
      <c r="BZA43" s="47"/>
      <c r="BZC43" s="11"/>
      <c r="CCJ43" s="47"/>
      <c r="CCO43" s="47"/>
      <c r="CCQ43" s="11"/>
      <c r="CFX43" s="47"/>
      <c r="CGC43" s="47"/>
      <c r="CGE43" s="11"/>
      <c r="CJL43" s="47"/>
      <c r="CJQ43" s="47"/>
      <c r="CJS43" s="11"/>
      <c r="CMZ43" s="47"/>
      <c r="CNE43" s="47"/>
      <c r="CNG43" s="11"/>
      <c r="CQN43" s="47"/>
      <c r="CQS43" s="47"/>
      <c r="CQU43" s="11"/>
      <c r="CUB43" s="47"/>
      <c r="CUG43" s="47"/>
      <c r="CUI43" s="11"/>
      <c r="CXP43" s="47"/>
      <c r="CXU43" s="47"/>
      <c r="CXW43" s="11"/>
      <c r="DBD43" s="47"/>
      <c r="DBI43" s="47"/>
      <c r="DBK43" s="11"/>
      <c r="DER43" s="47"/>
      <c r="DEW43" s="47"/>
      <c r="DEY43" s="11"/>
      <c r="DIF43" s="47"/>
      <c r="DIK43" s="47"/>
      <c r="DIM43" s="11"/>
      <c r="DLT43" s="47"/>
      <c r="DLY43" s="47"/>
      <c r="DMA43" s="11"/>
      <c r="DPH43" s="47"/>
      <c r="DPM43" s="47"/>
      <c r="DPO43" s="11"/>
      <c r="DSV43" s="47"/>
      <c r="DTA43" s="47"/>
      <c r="DTC43" s="11"/>
      <c r="DWJ43" s="47"/>
      <c r="DWO43" s="47"/>
      <c r="DWQ43" s="11"/>
      <c r="DZX43" s="47"/>
      <c r="EAC43" s="47"/>
      <c r="EAE43" s="11"/>
      <c r="EDL43" s="47"/>
      <c r="EDQ43" s="47"/>
      <c r="EDS43" s="11"/>
      <c r="EGZ43" s="47"/>
      <c r="EHE43" s="47"/>
      <c r="EHG43" s="11"/>
      <c r="EKN43" s="47"/>
      <c r="EKS43" s="47"/>
      <c r="EKU43" s="11"/>
      <c r="EOB43" s="47"/>
      <c r="EOG43" s="47"/>
      <c r="EOI43" s="11"/>
      <c r="ERP43" s="47"/>
      <c r="ERU43" s="47"/>
      <c r="ERW43" s="11"/>
      <c r="EVD43" s="47"/>
      <c r="EVI43" s="47"/>
      <c r="EVK43" s="11"/>
      <c r="EYR43" s="47"/>
      <c r="EYW43" s="47"/>
      <c r="EYY43" s="11"/>
      <c r="FCF43" s="47"/>
      <c r="FCK43" s="47"/>
      <c r="FCM43" s="11"/>
      <c r="FFT43" s="47"/>
      <c r="FFY43" s="47"/>
      <c r="FGA43" s="11"/>
      <c r="FJH43" s="47"/>
      <c r="FJM43" s="47"/>
      <c r="FJO43" s="11"/>
      <c r="FMV43" s="47"/>
      <c r="FNA43" s="47"/>
      <c r="FNC43" s="11"/>
      <c r="FQJ43" s="47"/>
      <c r="FQO43" s="47"/>
      <c r="FQQ43" s="11"/>
      <c r="FTX43" s="47"/>
      <c r="FUC43" s="47"/>
      <c r="FUE43" s="11"/>
      <c r="FXL43" s="47"/>
      <c r="FXQ43" s="47"/>
      <c r="FXS43" s="11"/>
      <c r="GAZ43" s="47"/>
      <c r="GBE43" s="47"/>
      <c r="GBG43" s="11"/>
      <c r="GEN43" s="47"/>
      <c r="GES43" s="47"/>
      <c r="GEU43" s="11"/>
      <c r="GIB43" s="47"/>
      <c r="GIG43" s="47"/>
      <c r="GII43" s="11"/>
      <c r="GLP43" s="47"/>
      <c r="GLU43" s="47"/>
      <c r="GLW43" s="11"/>
      <c r="GPD43" s="47"/>
      <c r="GPI43" s="47"/>
      <c r="GPK43" s="11"/>
      <c r="GSR43" s="47"/>
      <c r="GSW43" s="47"/>
      <c r="GSY43" s="11"/>
      <c r="GWF43" s="47"/>
      <c r="GWK43" s="47"/>
      <c r="GWM43" s="11"/>
      <c r="GZT43" s="47"/>
      <c r="GZY43" s="47"/>
      <c r="HAA43" s="11"/>
      <c r="HDH43" s="47"/>
      <c r="HDM43" s="47"/>
      <c r="HDO43" s="11"/>
      <c r="HGV43" s="47"/>
      <c r="HHA43" s="47"/>
      <c r="HHC43" s="11"/>
      <c r="HKJ43" s="47"/>
      <c r="HKO43" s="47"/>
      <c r="HKQ43" s="11"/>
      <c r="HNX43" s="47"/>
      <c r="HOC43" s="47"/>
      <c r="HOE43" s="11"/>
      <c r="HRL43" s="47"/>
      <c r="HRQ43" s="47"/>
      <c r="HRS43" s="11"/>
      <c r="HUZ43" s="47"/>
      <c r="HVE43" s="47"/>
      <c r="HVG43" s="11"/>
      <c r="HYN43" s="47"/>
      <c r="HYS43" s="47"/>
      <c r="HYU43" s="11"/>
      <c r="ICB43" s="47"/>
      <c r="ICG43" s="47"/>
      <c r="ICI43" s="11"/>
      <c r="IFP43" s="47"/>
      <c r="IFU43" s="47"/>
      <c r="IFW43" s="11"/>
      <c r="IJD43" s="47"/>
      <c r="IJI43" s="47"/>
      <c r="IJK43" s="11"/>
      <c r="IMR43" s="47"/>
      <c r="IMW43" s="47"/>
      <c r="IMY43" s="11"/>
      <c r="IQF43" s="47"/>
      <c r="IQK43" s="47"/>
      <c r="IQM43" s="11"/>
      <c r="ITT43" s="47"/>
      <c r="ITY43" s="47"/>
      <c r="IUA43" s="11"/>
      <c r="IXH43" s="47"/>
      <c r="IXM43" s="47"/>
      <c r="IXO43" s="11"/>
      <c r="JAV43" s="47"/>
      <c r="JBA43" s="47"/>
      <c r="JBC43" s="11"/>
      <c r="JEJ43" s="47"/>
      <c r="JEO43" s="47"/>
      <c r="JEQ43" s="11"/>
      <c r="JHX43" s="47"/>
      <c r="JIC43" s="47"/>
      <c r="JIE43" s="11"/>
      <c r="JLL43" s="47"/>
      <c r="JLQ43" s="47"/>
      <c r="JLS43" s="11"/>
      <c r="JOZ43" s="47"/>
      <c r="JPE43" s="47"/>
      <c r="JPG43" s="11"/>
      <c r="JSN43" s="47"/>
      <c r="JSS43" s="47"/>
      <c r="JSU43" s="11"/>
      <c r="JWB43" s="47"/>
      <c r="JWG43" s="47"/>
      <c r="JWI43" s="11"/>
      <c r="JZP43" s="47"/>
      <c r="JZU43" s="47"/>
      <c r="JZW43" s="11"/>
      <c r="KDD43" s="47"/>
      <c r="KDI43" s="47"/>
      <c r="KDK43" s="11"/>
      <c r="KGR43" s="47"/>
      <c r="KGW43" s="47"/>
      <c r="KGY43" s="11"/>
      <c r="KKF43" s="47"/>
      <c r="KKK43" s="47"/>
      <c r="KKM43" s="11"/>
      <c r="KNT43" s="47"/>
      <c r="KNY43" s="47"/>
      <c r="KOA43" s="11"/>
      <c r="KRH43" s="47"/>
      <c r="KRM43" s="47"/>
      <c r="KRO43" s="11"/>
      <c r="KUV43" s="47"/>
      <c r="KVA43" s="47"/>
      <c r="KVC43" s="11"/>
      <c r="KYJ43" s="47"/>
      <c r="KYO43" s="47"/>
      <c r="KYQ43" s="11"/>
      <c r="LBX43" s="47"/>
      <c r="LCC43" s="47"/>
      <c r="LCE43" s="11"/>
      <c r="LFL43" s="47"/>
      <c r="LFQ43" s="47"/>
      <c r="LFS43" s="11"/>
      <c r="LIZ43" s="47"/>
      <c r="LJE43" s="47"/>
      <c r="LJG43" s="11"/>
      <c r="LMN43" s="47"/>
      <c r="LMS43" s="47"/>
      <c r="LMU43" s="11"/>
      <c r="LQB43" s="47"/>
      <c r="LQG43" s="47"/>
      <c r="LQI43" s="11"/>
      <c r="LTP43" s="47"/>
      <c r="LTU43" s="47"/>
      <c r="LTW43" s="11"/>
      <c r="LXD43" s="47"/>
      <c r="LXI43" s="47"/>
      <c r="LXK43" s="11"/>
      <c r="MAR43" s="47"/>
      <c r="MAW43" s="47"/>
      <c r="MAY43" s="11"/>
      <c r="MEF43" s="47"/>
      <c r="MEK43" s="47"/>
      <c r="MEM43" s="11"/>
      <c r="MHT43" s="47"/>
      <c r="MHY43" s="47"/>
      <c r="MIA43" s="11"/>
      <c r="MLH43" s="47"/>
      <c r="MLM43" s="47"/>
      <c r="MLO43" s="11"/>
      <c r="MOV43" s="47"/>
      <c r="MPA43" s="47"/>
      <c r="MPC43" s="11"/>
      <c r="MSJ43" s="47"/>
      <c r="MSO43" s="47"/>
      <c r="MSQ43" s="11"/>
      <c r="MVX43" s="47"/>
      <c r="MWC43" s="47"/>
      <c r="MWE43" s="11"/>
      <c r="MZL43" s="47"/>
      <c r="MZQ43" s="47"/>
      <c r="MZS43" s="11"/>
      <c r="NCZ43" s="47"/>
      <c r="NDE43" s="47"/>
      <c r="NDG43" s="11"/>
      <c r="NGN43" s="47"/>
      <c r="NGS43" s="47"/>
      <c r="NGU43" s="11"/>
      <c r="NKB43" s="47"/>
      <c r="NKG43" s="47"/>
      <c r="NKI43" s="11"/>
      <c r="NNP43" s="47"/>
      <c r="NNU43" s="47"/>
      <c r="NNW43" s="11"/>
      <c r="NRD43" s="47"/>
      <c r="NRI43" s="47"/>
      <c r="NRK43" s="11"/>
      <c r="NUR43" s="47"/>
      <c r="NUW43" s="47"/>
      <c r="NUY43" s="11"/>
      <c r="NYF43" s="47"/>
      <c r="NYK43" s="47"/>
      <c r="NYM43" s="11"/>
      <c r="OBT43" s="47"/>
      <c r="OBY43" s="47"/>
      <c r="OCA43" s="11"/>
      <c r="OFH43" s="47"/>
      <c r="OFM43" s="47"/>
      <c r="OFO43" s="11"/>
      <c r="OIV43" s="47"/>
      <c r="OJA43" s="47"/>
      <c r="OJC43" s="11"/>
      <c r="OMJ43" s="47"/>
      <c r="OMO43" s="47"/>
      <c r="OMQ43" s="11"/>
      <c r="OPX43" s="47"/>
      <c r="OQC43" s="47"/>
      <c r="OQE43" s="11"/>
      <c r="OTL43" s="47"/>
      <c r="OTQ43" s="47"/>
      <c r="OTS43" s="11"/>
      <c r="OWZ43" s="47"/>
      <c r="OXE43" s="47"/>
      <c r="OXG43" s="11"/>
      <c r="PAN43" s="47"/>
      <c r="PAS43" s="47"/>
      <c r="PAU43" s="11"/>
      <c r="PEB43" s="47"/>
      <c r="PEG43" s="47"/>
      <c r="PEI43" s="11"/>
      <c r="PHP43" s="47"/>
      <c r="PHU43" s="47"/>
      <c r="PHW43" s="11"/>
      <c r="PLD43" s="47"/>
      <c r="PLI43" s="47"/>
      <c r="PLK43" s="11"/>
      <c r="POR43" s="47"/>
      <c r="POW43" s="47"/>
      <c r="POY43" s="11"/>
      <c r="PSF43" s="47"/>
      <c r="PSK43" s="47"/>
      <c r="PSM43" s="11"/>
      <c r="PVT43" s="47"/>
      <c r="PVY43" s="47"/>
      <c r="PWA43" s="11"/>
      <c r="PZH43" s="47"/>
      <c r="PZM43" s="47"/>
      <c r="PZO43" s="11"/>
      <c r="QCV43" s="47"/>
      <c r="QDA43" s="47"/>
      <c r="QDC43" s="11"/>
      <c r="QGJ43" s="47"/>
      <c r="QGO43" s="47"/>
      <c r="QGQ43" s="11"/>
      <c r="QJX43" s="47"/>
      <c r="QKC43" s="47"/>
      <c r="QKE43" s="11"/>
      <c r="QNL43" s="47"/>
      <c r="QNQ43" s="47"/>
      <c r="QNS43" s="11"/>
      <c r="QQZ43" s="47"/>
      <c r="QRE43" s="47"/>
      <c r="QRG43" s="11"/>
      <c r="QUN43" s="47"/>
      <c r="QUS43" s="47"/>
      <c r="QUU43" s="11"/>
      <c r="QYB43" s="47"/>
      <c r="QYG43" s="47"/>
      <c r="QYI43" s="11"/>
      <c r="RBP43" s="47"/>
      <c r="RBU43" s="47"/>
      <c r="RBW43" s="11"/>
      <c r="RFD43" s="47"/>
      <c r="RFI43" s="47"/>
      <c r="RFK43" s="11"/>
      <c r="RIR43" s="47"/>
      <c r="RIW43" s="47"/>
      <c r="RIY43" s="11"/>
      <c r="RMF43" s="47"/>
      <c r="RMK43" s="47"/>
      <c r="RMM43" s="11"/>
      <c r="RPT43" s="47"/>
      <c r="RPY43" s="47"/>
      <c r="RQA43" s="11"/>
      <c r="RTH43" s="47"/>
      <c r="RTM43" s="47"/>
      <c r="RTO43" s="11"/>
      <c r="RWV43" s="47"/>
      <c r="RXA43" s="47"/>
      <c r="RXC43" s="11"/>
      <c r="SAJ43" s="47"/>
      <c r="SAO43" s="47"/>
      <c r="SAQ43" s="11"/>
      <c r="SDX43" s="47"/>
      <c r="SEC43" s="47"/>
      <c r="SEE43" s="11"/>
      <c r="SHL43" s="47"/>
      <c r="SHQ43" s="47"/>
      <c r="SHS43" s="11"/>
      <c r="SKZ43" s="47"/>
      <c r="SLE43" s="47"/>
      <c r="SLG43" s="11"/>
      <c r="SON43" s="47"/>
      <c r="SOS43" s="47"/>
      <c r="SOU43" s="11"/>
      <c r="SSB43" s="47"/>
      <c r="SSG43" s="47"/>
      <c r="SSI43" s="11"/>
      <c r="SVP43" s="47"/>
      <c r="SVU43" s="47"/>
      <c r="SVW43" s="11"/>
      <c r="SZD43" s="47"/>
      <c r="SZI43" s="47"/>
      <c r="SZK43" s="11"/>
      <c r="TCR43" s="47"/>
      <c r="TCW43" s="47"/>
      <c r="TCY43" s="11"/>
      <c r="TGF43" s="47"/>
      <c r="TGK43" s="47"/>
      <c r="TGM43" s="11"/>
      <c r="TJT43" s="47"/>
      <c r="TJY43" s="47"/>
      <c r="TKA43" s="11"/>
      <c r="TNH43" s="47"/>
      <c r="TNM43" s="47"/>
      <c r="TNO43" s="11"/>
      <c r="TQV43" s="47"/>
      <c r="TRA43" s="47"/>
      <c r="TRC43" s="11"/>
      <c r="TUJ43" s="47"/>
      <c r="TUO43" s="47"/>
      <c r="TUQ43" s="11"/>
      <c r="TXX43" s="47"/>
      <c r="TYC43" s="47"/>
      <c r="TYE43" s="11"/>
      <c r="UBL43" s="47"/>
      <c r="UBQ43" s="47"/>
      <c r="UBS43" s="11"/>
      <c r="UEZ43" s="47"/>
      <c r="UFE43" s="47"/>
      <c r="UFG43" s="11"/>
      <c r="UIN43" s="47"/>
      <c r="UIS43" s="47"/>
      <c r="UIU43" s="11"/>
      <c r="UMB43" s="47"/>
      <c r="UMG43" s="47"/>
      <c r="UMI43" s="11"/>
      <c r="UPP43" s="47"/>
      <c r="UPU43" s="47"/>
      <c r="UPW43" s="11"/>
      <c r="UTD43" s="47"/>
      <c r="UTI43" s="47"/>
      <c r="UTK43" s="11"/>
      <c r="UWR43" s="47"/>
      <c r="UWW43" s="47"/>
      <c r="UWY43" s="11"/>
      <c r="VAF43" s="47"/>
      <c r="VAK43" s="47"/>
      <c r="VAM43" s="11"/>
      <c r="VDT43" s="47"/>
      <c r="VDY43" s="47"/>
      <c r="VEA43" s="11"/>
      <c r="VHH43" s="47"/>
      <c r="VHM43" s="47"/>
      <c r="VHO43" s="11"/>
      <c r="VKV43" s="47"/>
      <c r="VLA43" s="47"/>
      <c r="VLC43" s="11"/>
      <c r="VOJ43" s="47"/>
      <c r="VOO43" s="47"/>
      <c r="VOQ43" s="11"/>
      <c r="VRX43" s="47"/>
      <c r="VSC43" s="47"/>
      <c r="VSE43" s="11"/>
      <c r="VVL43" s="47"/>
      <c r="VVQ43" s="47"/>
      <c r="VVS43" s="11"/>
      <c r="VYZ43" s="47"/>
      <c r="VZE43" s="47"/>
      <c r="VZG43" s="11"/>
      <c r="WCN43" s="47"/>
      <c r="WCS43" s="47"/>
      <c r="WCU43" s="11"/>
      <c r="WGB43" s="47"/>
      <c r="WGG43" s="47"/>
      <c r="WGI43" s="11"/>
      <c r="WJP43" s="47"/>
      <c r="WJU43" s="47"/>
      <c r="WJW43" s="11"/>
      <c r="WND43" s="47"/>
      <c r="WNI43" s="47"/>
      <c r="WNK43" s="11"/>
      <c r="WQR43" s="47"/>
      <c r="WQW43" s="47"/>
      <c r="WQY43" s="11"/>
      <c r="WUF43" s="47"/>
      <c r="WUK43" s="47"/>
      <c r="WUM43" s="11"/>
      <c r="WXT43" s="47"/>
      <c r="WXY43" s="47"/>
      <c r="WYA43" s="11"/>
      <c r="XBH43" s="47"/>
      <c r="XBM43" s="47"/>
      <c r="XBO43" s="11"/>
      <c r="XEV43" s="47"/>
      <c r="XFA43" s="47"/>
      <c r="XFC43" s="11"/>
    </row>
    <row r="44" spans="1:1019 1104:2031 2116:3043 3128:4055 4140:5067 5152:6079 6164:7091 7176:8188 8193:9207 9292:10219 10304:11231 11316:12243 12328:13255 13340:14267 14352:15279 15364:16383" s="10" customFormat="1" ht="14.65" customHeight="1">
      <c r="C44" s="365" t="s">
        <v>996</v>
      </c>
      <c r="E44" s="47"/>
      <c r="G44" s="11"/>
      <c r="CS44" s="47"/>
      <c r="CU44" s="11"/>
      <c r="GB44" s="47"/>
      <c r="GG44" s="47"/>
      <c r="GI44" s="11"/>
      <c r="JP44" s="47"/>
      <c r="JU44" s="47"/>
      <c r="JW44" s="11"/>
      <c r="ND44" s="47"/>
      <c r="NI44" s="47"/>
      <c r="NK44" s="11"/>
      <c r="QR44" s="47"/>
      <c r="QW44" s="47"/>
      <c r="QY44" s="11"/>
      <c r="UF44" s="47"/>
      <c r="UK44" s="47"/>
      <c r="UM44" s="11"/>
      <c r="XT44" s="47"/>
      <c r="XY44" s="47"/>
      <c r="YA44" s="11"/>
      <c r="ABH44" s="47"/>
      <c r="ABM44" s="47"/>
      <c r="ABO44" s="11"/>
      <c r="AEV44" s="47"/>
      <c r="AFA44" s="47"/>
      <c r="AFC44" s="11"/>
      <c r="AIJ44" s="47"/>
      <c r="AIO44" s="47"/>
      <c r="AIQ44" s="11"/>
      <c r="ALX44" s="47"/>
      <c r="AMC44" s="47"/>
      <c r="AME44" s="11"/>
      <c r="APL44" s="47"/>
      <c r="APQ44" s="47"/>
      <c r="APS44" s="11"/>
      <c r="ASZ44" s="47"/>
      <c r="ATE44" s="47"/>
      <c r="ATG44" s="11"/>
      <c r="AWN44" s="47"/>
      <c r="AWS44" s="47"/>
      <c r="AWU44" s="11"/>
      <c r="BAB44" s="47"/>
      <c r="BAG44" s="47"/>
      <c r="BAI44" s="11"/>
      <c r="BDP44" s="47"/>
      <c r="BDU44" s="47"/>
      <c r="BDW44" s="11"/>
      <c r="BHD44" s="47"/>
      <c r="BHI44" s="47"/>
      <c r="BHK44" s="11"/>
      <c r="BKR44" s="47"/>
      <c r="BKW44" s="47"/>
      <c r="BKY44" s="11"/>
      <c r="BOF44" s="47"/>
      <c r="BOK44" s="47"/>
      <c r="BOM44" s="11"/>
      <c r="BRT44" s="47"/>
      <c r="BRY44" s="47"/>
      <c r="BSA44" s="11"/>
      <c r="BVH44" s="47"/>
      <c r="BVM44" s="47"/>
      <c r="BVO44" s="11"/>
      <c r="BYV44" s="47"/>
      <c r="BZA44" s="47"/>
      <c r="BZC44" s="11"/>
      <c r="CCJ44" s="47"/>
      <c r="CCO44" s="47"/>
      <c r="CCQ44" s="11"/>
      <c r="CFX44" s="47"/>
      <c r="CGC44" s="47"/>
      <c r="CGE44" s="11"/>
      <c r="CJL44" s="47"/>
      <c r="CJQ44" s="47"/>
      <c r="CJS44" s="11"/>
      <c r="CMZ44" s="47"/>
      <c r="CNE44" s="47"/>
      <c r="CNG44" s="11"/>
      <c r="CQN44" s="47"/>
      <c r="CQS44" s="47"/>
      <c r="CQU44" s="11"/>
      <c r="CUB44" s="47"/>
      <c r="CUG44" s="47"/>
      <c r="CUI44" s="11"/>
      <c r="CXP44" s="47"/>
      <c r="CXU44" s="47"/>
      <c r="CXW44" s="11"/>
      <c r="DBD44" s="47"/>
      <c r="DBI44" s="47"/>
      <c r="DBK44" s="11"/>
      <c r="DER44" s="47"/>
      <c r="DEW44" s="47"/>
      <c r="DEY44" s="11"/>
      <c r="DIF44" s="47"/>
      <c r="DIK44" s="47"/>
      <c r="DIM44" s="11"/>
      <c r="DLT44" s="47"/>
      <c r="DLY44" s="47"/>
      <c r="DMA44" s="11"/>
      <c r="DPH44" s="47"/>
      <c r="DPM44" s="47"/>
      <c r="DPO44" s="11"/>
      <c r="DSV44" s="47"/>
      <c r="DTA44" s="47"/>
      <c r="DTC44" s="11"/>
      <c r="DWJ44" s="47"/>
      <c r="DWO44" s="47"/>
      <c r="DWQ44" s="11"/>
      <c r="DZX44" s="47"/>
      <c r="EAC44" s="47"/>
      <c r="EAE44" s="11"/>
      <c r="EDL44" s="47"/>
      <c r="EDQ44" s="47"/>
      <c r="EDS44" s="11"/>
      <c r="EGZ44" s="47"/>
      <c r="EHE44" s="47"/>
      <c r="EHG44" s="11"/>
      <c r="EKN44" s="47"/>
      <c r="EKS44" s="47"/>
      <c r="EKU44" s="11"/>
      <c r="EOB44" s="47"/>
      <c r="EOG44" s="47"/>
      <c r="EOI44" s="11"/>
      <c r="ERP44" s="47"/>
      <c r="ERU44" s="47"/>
      <c r="ERW44" s="11"/>
      <c r="EVD44" s="47"/>
      <c r="EVI44" s="47"/>
      <c r="EVK44" s="11"/>
      <c r="EYR44" s="47"/>
      <c r="EYW44" s="47"/>
      <c r="EYY44" s="11"/>
      <c r="FCF44" s="47"/>
      <c r="FCK44" s="47"/>
      <c r="FCM44" s="11"/>
      <c r="FFT44" s="47"/>
      <c r="FFY44" s="47"/>
      <c r="FGA44" s="11"/>
      <c r="FJH44" s="47"/>
      <c r="FJM44" s="47"/>
      <c r="FJO44" s="11"/>
      <c r="FMV44" s="47"/>
      <c r="FNA44" s="47"/>
      <c r="FNC44" s="11"/>
      <c r="FQJ44" s="47"/>
      <c r="FQO44" s="47"/>
      <c r="FQQ44" s="11"/>
      <c r="FTX44" s="47"/>
      <c r="FUC44" s="47"/>
      <c r="FUE44" s="11"/>
      <c r="FXL44" s="47"/>
      <c r="FXQ44" s="47"/>
      <c r="FXS44" s="11"/>
      <c r="GAZ44" s="47"/>
      <c r="GBE44" s="47"/>
      <c r="GBG44" s="11"/>
      <c r="GEN44" s="47"/>
      <c r="GES44" s="47"/>
      <c r="GEU44" s="11"/>
      <c r="GIB44" s="47"/>
      <c r="GIG44" s="47"/>
      <c r="GII44" s="11"/>
      <c r="GLP44" s="47"/>
      <c r="GLU44" s="47"/>
      <c r="GLW44" s="11"/>
      <c r="GPD44" s="47"/>
      <c r="GPI44" s="47"/>
      <c r="GPK44" s="11"/>
      <c r="GSR44" s="47"/>
      <c r="GSW44" s="47"/>
      <c r="GSY44" s="11"/>
      <c r="GWF44" s="47"/>
      <c r="GWK44" s="47"/>
      <c r="GWM44" s="11"/>
      <c r="GZT44" s="47"/>
      <c r="GZY44" s="47"/>
      <c r="HAA44" s="11"/>
      <c r="HDH44" s="47"/>
      <c r="HDM44" s="47"/>
      <c r="HDO44" s="11"/>
      <c r="HGV44" s="47"/>
      <c r="HHA44" s="47"/>
      <c r="HHC44" s="11"/>
      <c r="HKJ44" s="47"/>
      <c r="HKO44" s="47"/>
      <c r="HKQ44" s="11"/>
      <c r="HNX44" s="47"/>
      <c r="HOC44" s="47"/>
      <c r="HOE44" s="11"/>
      <c r="HRL44" s="47"/>
      <c r="HRQ44" s="47"/>
      <c r="HRS44" s="11"/>
      <c r="HUZ44" s="47"/>
      <c r="HVE44" s="47"/>
      <c r="HVG44" s="11"/>
      <c r="HYN44" s="47"/>
      <c r="HYS44" s="47"/>
      <c r="HYU44" s="11"/>
      <c r="ICB44" s="47"/>
      <c r="ICG44" s="47"/>
      <c r="ICI44" s="11"/>
      <c r="IFP44" s="47"/>
      <c r="IFU44" s="47"/>
      <c r="IFW44" s="11"/>
      <c r="IJD44" s="47"/>
      <c r="IJI44" s="47"/>
      <c r="IJK44" s="11"/>
      <c r="IMR44" s="47"/>
      <c r="IMW44" s="47"/>
      <c r="IMY44" s="11"/>
      <c r="IQF44" s="47"/>
      <c r="IQK44" s="47"/>
      <c r="IQM44" s="11"/>
      <c r="ITT44" s="47"/>
      <c r="ITY44" s="47"/>
      <c r="IUA44" s="11"/>
      <c r="IXH44" s="47"/>
      <c r="IXM44" s="47"/>
      <c r="IXO44" s="11"/>
      <c r="JAV44" s="47"/>
      <c r="JBA44" s="47"/>
      <c r="JBC44" s="11"/>
      <c r="JEJ44" s="47"/>
      <c r="JEO44" s="47"/>
      <c r="JEQ44" s="11"/>
      <c r="JHX44" s="47"/>
      <c r="JIC44" s="47"/>
      <c r="JIE44" s="11"/>
      <c r="JLL44" s="47"/>
      <c r="JLQ44" s="47"/>
      <c r="JLS44" s="11"/>
      <c r="JOZ44" s="47"/>
      <c r="JPE44" s="47"/>
      <c r="JPG44" s="11"/>
      <c r="JSN44" s="47"/>
      <c r="JSS44" s="47"/>
      <c r="JSU44" s="11"/>
      <c r="JWB44" s="47"/>
      <c r="JWG44" s="47"/>
      <c r="JWI44" s="11"/>
      <c r="JZP44" s="47"/>
      <c r="JZU44" s="47"/>
      <c r="JZW44" s="11"/>
      <c r="KDD44" s="47"/>
      <c r="KDI44" s="47"/>
      <c r="KDK44" s="11"/>
      <c r="KGR44" s="47"/>
      <c r="KGW44" s="47"/>
      <c r="KGY44" s="11"/>
      <c r="KKF44" s="47"/>
      <c r="KKK44" s="47"/>
      <c r="KKM44" s="11"/>
      <c r="KNT44" s="47"/>
      <c r="KNY44" s="47"/>
      <c r="KOA44" s="11"/>
      <c r="KRH44" s="47"/>
      <c r="KRM44" s="47"/>
      <c r="KRO44" s="11"/>
      <c r="KUV44" s="47"/>
      <c r="KVA44" s="47"/>
      <c r="KVC44" s="11"/>
      <c r="KYJ44" s="47"/>
      <c r="KYO44" s="47"/>
      <c r="KYQ44" s="11"/>
      <c r="LBX44" s="47"/>
      <c r="LCC44" s="47"/>
      <c r="LCE44" s="11"/>
      <c r="LFL44" s="47"/>
      <c r="LFQ44" s="47"/>
      <c r="LFS44" s="11"/>
      <c r="LIZ44" s="47"/>
      <c r="LJE44" s="47"/>
      <c r="LJG44" s="11"/>
      <c r="LMN44" s="47"/>
      <c r="LMS44" s="47"/>
      <c r="LMU44" s="11"/>
      <c r="LQB44" s="47"/>
      <c r="LQG44" s="47"/>
      <c r="LQI44" s="11"/>
      <c r="LTP44" s="47"/>
      <c r="LTU44" s="47"/>
      <c r="LTW44" s="11"/>
      <c r="LXD44" s="47"/>
      <c r="LXI44" s="47"/>
      <c r="LXK44" s="11"/>
      <c r="MAR44" s="47"/>
      <c r="MAW44" s="47"/>
      <c r="MAY44" s="11"/>
      <c r="MEF44" s="47"/>
      <c r="MEK44" s="47"/>
      <c r="MEM44" s="11"/>
      <c r="MHT44" s="47"/>
      <c r="MHY44" s="47"/>
      <c r="MIA44" s="11"/>
      <c r="MLH44" s="47"/>
      <c r="MLM44" s="47"/>
      <c r="MLO44" s="11"/>
      <c r="MOV44" s="47"/>
      <c r="MPA44" s="47"/>
      <c r="MPC44" s="11"/>
      <c r="MSJ44" s="47"/>
      <c r="MSO44" s="47"/>
      <c r="MSQ44" s="11"/>
      <c r="MVX44" s="47"/>
      <c r="MWC44" s="47"/>
      <c r="MWE44" s="11"/>
      <c r="MZL44" s="47"/>
      <c r="MZQ44" s="47"/>
      <c r="MZS44" s="11"/>
      <c r="NCZ44" s="47"/>
      <c r="NDE44" s="47"/>
      <c r="NDG44" s="11"/>
      <c r="NGN44" s="47"/>
      <c r="NGS44" s="47"/>
      <c r="NGU44" s="11"/>
      <c r="NKB44" s="47"/>
      <c r="NKG44" s="47"/>
      <c r="NKI44" s="11"/>
      <c r="NNP44" s="47"/>
      <c r="NNU44" s="47"/>
      <c r="NNW44" s="11"/>
      <c r="NRD44" s="47"/>
      <c r="NRI44" s="47"/>
      <c r="NRK44" s="11"/>
      <c r="NUR44" s="47"/>
      <c r="NUW44" s="47"/>
      <c r="NUY44" s="11"/>
      <c r="NYF44" s="47"/>
      <c r="NYK44" s="47"/>
      <c r="NYM44" s="11"/>
      <c r="OBT44" s="47"/>
      <c r="OBY44" s="47"/>
      <c r="OCA44" s="11"/>
      <c r="OFH44" s="47"/>
      <c r="OFM44" s="47"/>
      <c r="OFO44" s="11"/>
      <c r="OIV44" s="47"/>
      <c r="OJA44" s="47"/>
      <c r="OJC44" s="11"/>
      <c r="OMJ44" s="47"/>
      <c r="OMO44" s="47"/>
      <c r="OMQ44" s="11"/>
      <c r="OPX44" s="47"/>
      <c r="OQC44" s="47"/>
      <c r="OQE44" s="11"/>
      <c r="OTL44" s="47"/>
      <c r="OTQ44" s="47"/>
      <c r="OTS44" s="11"/>
      <c r="OWZ44" s="47"/>
      <c r="OXE44" s="47"/>
      <c r="OXG44" s="11"/>
      <c r="PAN44" s="47"/>
      <c r="PAS44" s="47"/>
      <c r="PAU44" s="11"/>
      <c r="PEB44" s="47"/>
      <c r="PEG44" s="47"/>
      <c r="PEI44" s="11"/>
      <c r="PHP44" s="47"/>
      <c r="PHU44" s="47"/>
      <c r="PHW44" s="11"/>
      <c r="PLD44" s="47"/>
      <c r="PLI44" s="47"/>
      <c r="PLK44" s="11"/>
      <c r="POR44" s="47"/>
      <c r="POW44" s="47"/>
      <c r="POY44" s="11"/>
      <c r="PSF44" s="47"/>
      <c r="PSK44" s="47"/>
      <c r="PSM44" s="11"/>
      <c r="PVT44" s="47"/>
      <c r="PVY44" s="47"/>
      <c r="PWA44" s="11"/>
      <c r="PZH44" s="47"/>
      <c r="PZM44" s="47"/>
      <c r="PZO44" s="11"/>
      <c r="QCV44" s="47"/>
      <c r="QDA44" s="47"/>
      <c r="QDC44" s="11"/>
      <c r="QGJ44" s="47"/>
      <c r="QGO44" s="47"/>
      <c r="QGQ44" s="11"/>
      <c r="QJX44" s="47"/>
      <c r="QKC44" s="47"/>
      <c r="QKE44" s="11"/>
      <c r="QNL44" s="47"/>
      <c r="QNQ44" s="47"/>
      <c r="QNS44" s="11"/>
      <c r="QQZ44" s="47"/>
      <c r="QRE44" s="47"/>
      <c r="QRG44" s="11"/>
      <c r="QUN44" s="47"/>
      <c r="QUS44" s="47"/>
      <c r="QUU44" s="11"/>
      <c r="QYB44" s="47"/>
      <c r="QYG44" s="47"/>
      <c r="QYI44" s="11"/>
      <c r="RBP44" s="47"/>
      <c r="RBU44" s="47"/>
      <c r="RBW44" s="11"/>
      <c r="RFD44" s="47"/>
      <c r="RFI44" s="47"/>
      <c r="RFK44" s="11"/>
      <c r="RIR44" s="47"/>
      <c r="RIW44" s="47"/>
      <c r="RIY44" s="11"/>
      <c r="RMF44" s="47"/>
      <c r="RMK44" s="47"/>
      <c r="RMM44" s="11"/>
      <c r="RPT44" s="47"/>
      <c r="RPY44" s="47"/>
      <c r="RQA44" s="11"/>
      <c r="RTH44" s="47"/>
      <c r="RTM44" s="47"/>
      <c r="RTO44" s="11"/>
      <c r="RWV44" s="47"/>
      <c r="RXA44" s="47"/>
      <c r="RXC44" s="11"/>
      <c r="SAJ44" s="47"/>
      <c r="SAO44" s="47"/>
      <c r="SAQ44" s="11"/>
      <c r="SDX44" s="47"/>
      <c r="SEC44" s="47"/>
      <c r="SEE44" s="11"/>
      <c r="SHL44" s="47"/>
      <c r="SHQ44" s="47"/>
      <c r="SHS44" s="11"/>
      <c r="SKZ44" s="47"/>
      <c r="SLE44" s="47"/>
      <c r="SLG44" s="11"/>
      <c r="SON44" s="47"/>
      <c r="SOS44" s="47"/>
      <c r="SOU44" s="11"/>
      <c r="SSB44" s="47"/>
      <c r="SSG44" s="47"/>
      <c r="SSI44" s="11"/>
      <c r="SVP44" s="47"/>
      <c r="SVU44" s="47"/>
      <c r="SVW44" s="11"/>
      <c r="SZD44" s="47"/>
      <c r="SZI44" s="47"/>
      <c r="SZK44" s="11"/>
      <c r="TCR44" s="47"/>
      <c r="TCW44" s="47"/>
      <c r="TCY44" s="11"/>
      <c r="TGF44" s="47"/>
      <c r="TGK44" s="47"/>
      <c r="TGM44" s="11"/>
      <c r="TJT44" s="47"/>
      <c r="TJY44" s="47"/>
      <c r="TKA44" s="11"/>
      <c r="TNH44" s="47"/>
      <c r="TNM44" s="47"/>
      <c r="TNO44" s="11"/>
      <c r="TQV44" s="47"/>
      <c r="TRA44" s="47"/>
      <c r="TRC44" s="11"/>
      <c r="TUJ44" s="47"/>
      <c r="TUO44" s="47"/>
      <c r="TUQ44" s="11"/>
      <c r="TXX44" s="47"/>
      <c r="TYC44" s="47"/>
      <c r="TYE44" s="11"/>
      <c r="UBL44" s="47"/>
      <c r="UBQ44" s="47"/>
      <c r="UBS44" s="11"/>
      <c r="UEZ44" s="47"/>
      <c r="UFE44" s="47"/>
      <c r="UFG44" s="11"/>
      <c r="UIN44" s="47"/>
      <c r="UIS44" s="47"/>
      <c r="UIU44" s="11"/>
      <c r="UMB44" s="47"/>
      <c r="UMG44" s="47"/>
      <c r="UMI44" s="11"/>
      <c r="UPP44" s="47"/>
      <c r="UPU44" s="47"/>
      <c r="UPW44" s="11"/>
      <c r="UTD44" s="47"/>
      <c r="UTI44" s="47"/>
      <c r="UTK44" s="11"/>
      <c r="UWR44" s="47"/>
      <c r="UWW44" s="47"/>
      <c r="UWY44" s="11"/>
      <c r="VAF44" s="47"/>
      <c r="VAK44" s="47"/>
      <c r="VAM44" s="11"/>
      <c r="VDT44" s="47"/>
      <c r="VDY44" s="47"/>
      <c r="VEA44" s="11"/>
      <c r="VHH44" s="47"/>
      <c r="VHM44" s="47"/>
      <c r="VHO44" s="11"/>
      <c r="VKV44" s="47"/>
      <c r="VLA44" s="47"/>
      <c r="VLC44" s="11"/>
      <c r="VOJ44" s="47"/>
      <c r="VOO44" s="47"/>
      <c r="VOQ44" s="11"/>
      <c r="VRX44" s="47"/>
      <c r="VSC44" s="47"/>
      <c r="VSE44" s="11"/>
      <c r="VVL44" s="47"/>
      <c r="VVQ44" s="47"/>
      <c r="VVS44" s="11"/>
      <c r="VYZ44" s="47"/>
      <c r="VZE44" s="47"/>
      <c r="VZG44" s="11"/>
      <c r="WCN44" s="47"/>
      <c r="WCS44" s="47"/>
      <c r="WCU44" s="11"/>
      <c r="WGB44" s="47"/>
      <c r="WGG44" s="47"/>
      <c r="WGI44" s="11"/>
      <c r="WJP44" s="47"/>
      <c r="WJU44" s="47"/>
      <c r="WJW44" s="11"/>
      <c r="WND44" s="47"/>
      <c r="WNI44" s="47"/>
      <c r="WNK44" s="11"/>
      <c r="WQR44" s="47"/>
      <c r="WQW44" s="47"/>
      <c r="WQY44" s="11"/>
      <c r="WUF44" s="47"/>
      <c r="WUK44" s="47"/>
      <c r="WUM44" s="11"/>
      <c r="WXT44" s="47"/>
      <c r="WXY44" s="47"/>
      <c r="WYA44" s="11"/>
      <c r="XBH44" s="47"/>
      <c r="XBM44" s="47"/>
      <c r="XBO44" s="11"/>
      <c r="XEV44" s="47"/>
      <c r="XFA44" s="47"/>
      <c r="XFC44" s="11"/>
    </row>
    <row r="45" spans="1:1019 1104:2031 2116:3043 3128:4055 4140:5067 5152:6079 6164:7091 7176:8188 8193:9207 9292:10219 10304:11231 11316:12243 12328:13255 13340:14267 14352:15279 15364:16383" s="10" customFormat="1" ht="14.65" customHeight="1">
      <c r="C45" s="17" t="s">
        <v>997</v>
      </c>
      <c r="E45" s="47"/>
      <c r="G45" s="11" t="str">
        <f>Monetary_Unit</f>
        <v>тыс. руб.</v>
      </c>
      <c r="I45" s="23">
        <f t="shared" ref="I45:I53" si="22">SUM(L45:CM45)</f>
        <v>0</v>
      </c>
      <c r="L45" s="10">
        <v>0</v>
      </c>
      <c r="M45" s="10">
        <v>0</v>
      </c>
      <c r="N45" s="10">
        <v>0</v>
      </c>
      <c r="O45" s="10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10">
        <v>0</v>
      </c>
      <c r="AA45" s="10">
        <v>0</v>
      </c>
      <c r="AB45" s="10">
        <v>0</v>
      </c>
      <c r="AC45" s="10">
        <v>0</v>
      </c>
      <c r="AD45" s="10">
        <v>0</v>
      </c>
      <c r="AE45" s="10">
        <v>0</v>
      </c>
      <c r="AF45" s="10">
        <v>0</v>
      </c>
      <c r="AG45" s="10">
        <v>0</v>
      </c>
      <c r="AH45" s="10">
        <v>0</v>
      </c>
      <c r="AI45" s="10">
        <v>0</v>
      </c>
      <c r="AJ45" s="10">
        <v>0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Q45" s="10">
        <v>0</v>
      </c>
      <c r="AR45" s="10">
        <v>0</v>
      </c>
      <c r="AS45" s="10">
        <v>0</v>
      </c>
      <c r="AT45" s="10">
        <v>0</v>
      </c>
      <c r="AU45" s="10">
        <v>0</v>
      </c>
      <c r="AV45" s="10">
        <v>0</v>
      </c>
      <c r="AW45" s="10">
        <v>0</v>
      </c>
      <c r="AX45" s="10">
        <v>0</v>
      </c>
      <c r="AY45" s="10">
        <v>0</v>
      </c>
      <c r="AZ45" s="10">
        <v>0</v>
      </c>
      <c r="BA45" s="10">
        <v>0</v>
      </c>
      <c r="BB45" s="10">
        <v>0</v>
      </c>
      <c r="BC45" s="10">
        <v>0</v>
      </c>
      <c r="BD45" s="10">
        <v>0</v>
      </c>
      <c r="BE45" s="10">
        <v>0</v>
      </c>
      <c r="BF45" s="10">
        <v>0</v>
      </c>
      <c r="BG45" s="10">
        <v>0</v>
      </c>
      <c r="BH45" s="10">
        <v>0</v>
      </c>
      <c r="BI45" s="10">
        <v>0</v>
      </c>
      <c r="BJ45" s="10">
        <v>0</v>
      </c>
      <c r="BK45" s="10">
        <v>0</v>
      </c>
      <c r="BL45" s="10">
        <v>0</v>
      </c>
      <c r="BM45" s="10">
        <v>0</v>
      </c>
      <c r="BN45" s="10">
        <v>0</v>
      </c>
      <c r="BO45" s="10">
        <v>0</v>
      </c>
      <c r="BP45" s="10">
        <v>0</v>
      </c>
      <c r="BQ45" s="10">
        <v>0</v>
      </c>
      <c r="BR45" s="10">
        <v>0</v>
      </c>
      <c r="BS45" s="10">
        <v>0</v>
      </c>
      <c r="BT45" s="10">
        <v>0</v>
      </c>
      <c r="BU45" s="10">
        <v>0</v>
      </c>
      <c r="BV45" s="10">
        <v>0</v>
      </c>
      <c r="BW45" s="10">
        <v>0</v>
      </c>
      <c r="BX45" s="10">
        <v>0</v>
      </c>
      <c r="BY45" s="10">
        <v>0</v>
      </c>
      <c r="BZ45" s="10">
        <v>0</v>
      </c>
      <c r="CA45" s="10">
        <v>0</v>
      </c>
      <c r="CB45" s="10">
        <v>0</v>
      </c>
      <c r="CC45" s="10">
        <v>0</v>
      </c>
      <c r="CD45" s="10">
        <v>0</v>
      </c>
      <c r="CE45" s="10">
        <v>0</v>
      </c>
      <c r="CF45" s="10">
        <v>0</v>
      </c>
      <c r="CG45" s="10">
        <v>0</v>
      </c>
      <c r="CH45" s="10">
        <v>0</v>
      </c>
      <c r="CI45" s="10">
        <v>0</v>
      </c>
      <c r="CJ45" s="10">
        <v>0</v>
      </c>
      <c r="CK45" s="10">
        <v>0</v>
      </c>
      <c r="CL45" s="10">
        <v>0</v>
      </c>
      <c r="CM45" s="10">
        <v>0</v>
      </c>
      <c r="CN45" s="10">
        <v>0</v>
      </c>
      <c r="CO45" s="10">
        <v>0</v>
      </c>
      <c r="CS45" s="47"/>
      <c r="CU45" s="11"/>
      <c r="GB45" s="47"/>
      <c r="GG45" s="47"/>
      <c r="GI45" s="11"/>
      <c r="JP45" s="47"/>
      <c r="JU45" s="47"/>
      <c r="JW45" s="11"/>
      <c r="ND45" s="47"/>
      <c r="NI45" s="47"/>
      <c r="NK45" s="11"/>
      <c r="QR45" s="47"/>
      <c r="QW45" s="47"/>
      <c r="QY45" s="11"/>
      <c r="UF45" s="47"/>
      <c r="UK45" s="47"/>
      <c r="UM45" s="11"/>
      <c r="XT45" s="47"/>
      <c r="XY45" s="47"/>
      <c r="YA45" s="11"/>
      <c r="ABH45" s="47"/>
      <c r="ABM45" s="47"/>
      <c r="ABO45" s="11"/>
      <c r="AEV45" s="47"/>
      <c r="AFA45" s="47"/>
      <c r="AFC45" s="11"/>
      <c r="AIJ45" s="47"/>
      <c r="AIO45" s="47"/>
      <c r="AIQ45" s="11"/>
      <c r="ALX45" s="47"/>
      <c r="AMC45" s="47"/>
      <c r="AME45" s="11"/>
      <c r="APL45" s="47"/>
      <c r="APQ45" s="47"/>
      <c r="APS45" s="11"/>
      <c r="ASZ45" s="47"/>
      <c r="ATE45" s="47"/>
      <c r="ATG45" s="11"/>
      <c r="AWN45" s="47"/>
      <c r="AWS45" s="47"/>
      <c r="AWU45" s="11"/>
      <c r="BAB45" s="47"/>
      <c r="BAG45" s="47"/>
      <c r="BAI45" s="11"/>
      <c r="BDP45" s="47"/>
      <c r="BDU45" s="47"/>
      <c r="BDW45" s="11"/>
      <c r="BHD45" s="47"/>
      <c r="BHI45" s="47"/>
      <c r="BHK45" s="11"/>
      <c r="BKR45" s="47"/>
      <c r="BKW45" s="47"/>
      <c r="BKY45" s="11"/>
      <c r="BOF45" s="47"/>
      <c r="BOK45" s="47"/>
      <c r="BOM45" s="11"/>
      <c r="BRT45" s="47"/>
      <c r="BRY45" s="47"/>
      <c r="BSA45" s="11"/>
      <c r="BVH45" s="47"/>
      <c r="BVM45" s="47"/>
      <c r="BVO45" s="11"/>
      <c r="BYV45" s="47"/>
      <c r="BZA45" s="47"/>
      <c r="BZC45" s="11"/>
      <c r="CCJ45" s="47"/>
      <c r="CCO45" s="47"/>
      <c r="CCQ45" s="11"/>
      <c r="CFX45" s="47"/>
      <c r="CGC45" s="47"/>
      <c r="CGE45" s="11"/>
      <c r="CJL45" s="47"/>
      <c r="CJQ45" s="47"/>
      <c r="CJS45" s="11"/>
      <c r="CMZ45" s="47"/>
      <c r="CNE45" s="47"/>
      <c r="CNG45" s="11"/>
      <c r="CQN45" s="47"/>
      <c r="CQS45" s="47"/>
      <c r="CQU45" s="11"/>
      <c r="CUB45" s="47"/>
      <c r="CUG45" s="47"/>
      <c r="CUI45" s="11"/>
      <c r="CXP45" s="47"/>
      <c r="CXU45" s="47"/>
      <c r="CXW45" s="11"/>
      <c r="DBD45" s="47"/>
      <c r="DBI45" s="47"/>
      <c r="DBK45" s="11"/>
      <c r="DER45" s="47"/>
      <c r="DEW45" s="47"/>
      <c r="DEY45" s="11"/>
      <c r="DIF45" s="47"/>
      <c r="DIK45" s="47"/>
      <c r="DIM45" s="11"/>
      <c r="DLT45" s="47"/>
      <c r="DLY45" s="47"/>
      <c r="DMA45" s="11"/>
      <c r="DPH45" s="47"/>
      <c r="DPM45" s="47"/>
      <c r="DPO45" s="11"/>
      <c r="DSV45" s="47"/>
      <c r="DTA45" s="47"/>
      <c r="DTC45" s="11"/>
      <c r="DWJ45" s="47"/>
      <c r="DWO45" s="47"/>
      <c r="DWQ45" s="11"/>
      <c r="DZX45" s="47"/>
      <c r="EAC45" s="47"/>
      <c r="EAE45" s="11"/>
      <c r="EDL45" s="47"/>
      <c r="EDQ45" s="47"/>
      <c r="EDS45" s="11"/>
      <c r="EGZ45" s="47"/>
      <c r="EHE45" s="47"/>
      <c r="EHG45" s="11"/>
      <c r="EKN45" s="47"/>
      <c r="EKS45" s="47"/>
      <c r="EKU45" s="11"/>
      <c r="EOB45" s="47"/>
      <c r="EOG45" s="47"/>
      <c r="EOI45" s="11"/>
      <c r="ERP45" s="47"/>
      <c r="ERU45" s="47"/>
      <c r="ERW45" s="11"/>
      <c r="EVD45" s="47"/>
      <c r="EVI45" s="47"/>
      <c r="EVK45" s="11"/>
      <c r="EYR45" s="47"/>
      <c r="EYW45" s="47"/>
      <c r="EYY45" s="11"/>
      <c r="FCF45" s="47"/>
      <c r="FCK45" s="47"/>
      <c r="FCM45" s="11"/>
      <c r="FFT45" s="47"/>
      <c r="FFY45" s="47"/>
      <c r="FGA45" s="11"/>
      <c r="FJH45" s="47"/>
      <c r="FJM45" s="47"/>
      <c r="FJO45" s="11"/>
      <c r="FMV45" s="47"/>
      <c r="FNA45" s="47"/>
      <c r="FNC45" s="11"/>
      <c r="FQJ45" s="47"/>
      <c r="FQO45" s="47"/>
      <c r="FQQ45" s="11"/>
      <c r="FTX45" s="47"/>
      <c r="FUC45" s="47"/>
      <c r="FUE45" s="11"/>
      <c r="FXL45" s="47"/>
      <c r="FXQ45" s="47"/>
      <c r="FXS45" s="11"/>
      <c r="GAZ45" s="47"/>
      <c r="GBE45" s="47"/>
      <c r="GBG45" s="11"/>
      <c r="GEN45" s="47"/>
      <c r="GES45" s="47"/>
      <c r="GEU45" s="11"/>
      <c r="GIB45" s="47"/>
      <c r="GIG45" s="47"/>
      <c r="GII45" s="11"/>
      <c r="GLP45" s="47"/>
      <c r="GLU45" s="47"/>
      <c r="GLW45" s="11"/>
      <c r="GPD45" s="47"/>
      <c r="GPI45" s="47"/>
      <c r="GPK45" s="11"/>
      <c r="GSR45" s="47"/>
      <c r="GSW45" s="47"/>
      <c r="GSY45" s="11"/>
      <c r="GWF45" s="47"/>
      <c r="GWK45" s="47"/>
      <c r="GWM45" s="11"/>
      <c r="GZT45" s="47"/>
      <c r="GZY45" s="47"/>
      <c r="HAA45" s="11"/>
      <c r="HDH45" s="47"/>
      <c r="HDM45" s="47"/>
      <c r="HDO45" s="11"/>
      <c r="HGV45" s="47"/>
      <c r="HHA45" s="47"/>
      <c r="HHC45" s="11"/>
      <c r="HKJ45" s="47"/>
      <c r="HKO45" s="47"/>
      <c r="HKQ45" s="11"/>
      <c r="HNX45" s="47"/>
      <c r="HOC45" s="47"/>
      <c r="HOE45" s="11"/>
      <c r="HRL45" s="47"/>
      <c r="HRQ45" s="47"/>
      <c r="HRS45" s="11"/>
      <c r="HUZ45" s="47"/>
      <c r="HVE45" s="47"/>
      <c r="HVG45" s="11"/>
      <c r="HYN45" s="47"/>
      <c r="HYS45" s="47"/>
      <c r="HYU45" s="11"/>
      <c r="ICB45" s="47"/>
      <c r="ICG45" s="47"/>
      <c r="ICI45" s="11"/>
      <c r="IFP45" s="47"/>
      <c r="IFU45" s="47"/>
      <c r="IFW45" s="11"/>
      <c r="IJD45" s="47"/>
      <c r="IJI45" s="47"/>
      <c r="IJK45" s="11"/>
      <c r="IMR45" s="47"/>
      <c r="IMW45" s="47"/>
      <c r="IMY45" s="11"/>
      <c r="IQF45" s="47"/>
      <c r="IQK45" s="47"/>
      <c r="IQM45" s="11"/>
      <c r="ITT45" s="47"/>
      <c r="ITY45" s="47"/>
      <c r="IUA45" s="11"/>
      <c r="IXH45" s="47"/>
      <c r="IXM45" s="47"/>
      <c r="IXO45" s="11"/>
      <c r="JAV45" s="47"/>
      <c r="JBA45" s="47"/>
      <c r="JBC45" s="11"/>
      <c r="JEJ45" s="47"/>
      <c r="JEO45" s="47"/>
      <c r="JEQ45" s="11"/>
      <c r="JHX45" s="47"/>
      <c r="JIC45" s="47"/>
      <c r="JIE45" s="11"/>
      <c r="JLL45" s="47"/>
      <c r="JLQ45" s="47"/>
      <c r="JLS45" s="11"/>
      <c r="JOZ45" s="47"/>
      <c r="JPE45" s="47"/>
      <c r="JPG45" s="11"/>
      <c r="JSN45" s="47"/>
      <c r="JSS45" s="47"/>
      <c r="JSU45" s="11"/>
      <c r="JWB45" s="47"/>
      <c r="JWG45" s="47"/>
      <c r="JWI45" s="11"/>
      <c r="JZP45" s="47"/>
      <c r="JZU45" s="47"/>
      <c r="JZW45" s="11"/>
      <c r="KDD45" s="47"/>
      <c r="KDI45" s="47"/>
      <c r="KDK45" s="11"/>
      <c r="KGR45" s="47"/>
      <c r="KGW45" s="47"/>
      <c r="KGY45" s="11"/>
      <c r="KKF45" s="47"/>
      <c r="KKK45" s="47"/>
      <c r="KKM45" s="11"/>
      <c r="KNT45" s="47"/>
      <c r="KNY45" s="47"/>
      <c r="KOA45" s="11"/>
      <c r="KRH45" s="47"/>
      <c r="KRM45" s="47"/>
      <c r="KRO45" s="11"/>
      <c r="KUV45" s="47"/>
      <c r="KVA45" s="47"/>
      <c r="KVC45" s="11"/>
      <c r="KYJ45" s="47"/>
      <c r="KYO45" s="47"/>
      <c r="KYQ45" s="11"/>
      <c r="LBX45" s="47"/>
      <c r="LCC45" s="47"/>
      <c r="LCE45" s="11"/>
      <c r="LFL45" s="47"/>
      <c r="LFQ45" s="47"/>
      <c r="LFS45" s="11"/>
      <c r="LIZ45" s="47"/>
      <c r="LJE45" s="47"/>
      <c r="LJG45" s="11"/>
      <c r="LMN45" s="47"/>
      <c r="LMS45" s="47"/>
      <c r="LMU45" s="11"/>
      <c r="LQB45" s="47"/>
      <c r="LQG45" s="47"/>
      <c r="LQI45" s="11"/>
      <c r="LTP45" s="47"/>
      <c r="LTU45" s="47"/>
      <c r="LTW45" s="11"/>
      <c r="LXD45" s="47"/>
      <c r="LXI45" s="47"/>
      <c r="LXK45" s="11"/>
      <c r="MAR45" s="47"/>
      <c r="MAW45" s="47"/>
      <c r="MAY45" s="11"/>
      <c r="MEF45" s="47"/>
      <c r="MEK45" s="47"/>
      <c r="MEM45" s="11"/>
      <c r="MHT45" s="47"/>
      <c r="MHY45" s="47"/>
      <c r="MIA45" s="11"/>
      <c r="MLH45" s="47"/>
      <c r="MLM45" s="47"/>
      <c r="MLO45" s="11"/>
      <c r="MOV45" s="47"/>
      <c r="MPA45" s="47"/>
      <c r="MPC45" s="11"/>
      <c r="MSJ45" s="47"/>
      <c r="MSO45" s="47"/>
      <c r="MSQ45" s="11"/>
      <c r="MVX45" s="47"/>
      <c r="MWC45" s="47"/>
      <c r="MWE45" s="11"/>
      <c r="MZL45" s="47"/>
      <c r="MZQ45" s="47"/>
      <c r="MZS45" s="11"/>
      <c r="NCZ45" s="47"/>
      <c r="NDE45" s="47"/>
      <c r="NDG45" s="11"/>
      <c r="NGN45" s="47"/>
      <c r="NGS45" s="47"/>
      <c r="NGU45" s="11"/>
      <c r="NKB45" s="47"/>
      <c r="NKG45" s="47"/>
      <c r="NKI45" s="11"/>
      <c r="NNP45" s="47"/>
      <c r="NNU45" s="47"/>
      <c r="NNW45" s="11"/>
      <c r="NRD45" s="47"/>
      <c r="NRI45" s="47"/>
      <c r="NRK45" s="11"/>
      <c r="NUR45" s="47"/>
      <c r="NUW45" s="47"/>
      <c r="NUY45" s="11"/>
      <c r="NYF45" s="47"/>
      <c r="NYK45" s="47"/>
      <c r="NYM45" s="11"/>
      <c r="OBT45" s="47"/>
      <c r="OBY45" s="47"/>
      <c r="OCA45" s="11"/>
      <c r="OFH45" s="47"/>
      <c r="OFM45" s="47"/>
      <c r="OFO45" s="11"/>
      <c r="OIV45" s="47"/>
      <c r="OJA45" s="47"/>
      <c r="OJC45" s="11"/>
      <c r="OMJ45" s="47"/>
      <c r="OMO45" s="47"/>
      <c r="OMQ45" s="11"/>
      <c r="OPX45" s="47"/>
      <c r="OQC45" s="47"/>
      <c r="OQE45" s="11"/>
      <c r="OTL45" s="47"/>
      <c r="OTQ45" s="47"/>
      <c r="OTS45" s="11"/>
      <c r="OWZ45" s="47"/>
      <c r="OXE45" s="47"/>
      <c r="OXG45" s="11"/>
      <c r="PAN45" s="47"/>
      <c r="PAS45" s="47"/>
      <c r="PAU45" s="11"/>
      <c r="PEB45" s="47"/>
      <c r="PEG45" s="47"/>
      <c r="PEI45" s="11"/>
      <c r="PHP45" s="47"/>
      <c r="PHU45" s="47"/>
      <c r="PHW45" s="11"/>
      <c r="PLD45" s="47"/>
      <c r="PLI45" s="47"/>
      <c r="PLK45" s="11"/>
      <c r="POR45" s="47"/>
      <c r="POW45" s="47"/>
      <c r="POY45" s="11"/>
      <c r="PSF45" s="47"/>
      <c r="PSK45" s="47"/>
      <c r="PSM45" s="11"/>
      <c r="PVT45" s="47"/>
      <c r="PVY45" s="47"/>
      <c r="PWA45" s="11"/>
      <c r="PZH45" s="47"/>
      <c r="PZM45" s="47"/>
      <c r="PZO45" s="11"/>
      <c r="QCV45" s="47"/>
      <c r="QDA45" s="47"/>
      <c r="QDC45" s="11"/>
      <c r="QGJ45" s="47"/>
      <c r="QGO45" s="47"/>
      <c r="QGQ45" s="11"/>
      <c r="QJX45" s="47"/>
      <c r="QKC45" s="47"/>
      <c r="QKE45" s="11"/>
      <c r="QNL45" s="47"/>
      <c r="QNQ45" s="47"/>
      <c r="QNS45" s="11"/>
      <c r="QQZ45" s="47"/>
      <c r="QRE45" s="47"/>
      <c r="QRG45" s="11"/>
      <c r="QUN45" s="47"/>
      <c r="QUS45" s="47"/>
      <c r="QUU45" s="11"/>
      <c r="QYB45" s="47"/>
      <c r="QYG45" s="47"/>
      <c r="QYI45" s="11"/>
      <c r="RBP45" s="47"/>
      <c r="RBU45" s="47"/>
      <c r="RBW45" s="11"/>
      <c r="RFD45" s="47"/>
      <c r="RFI45" s="47"/>
      <c r="RFK45" s="11"/>
      <c r="RIR45" s="47"/>
      <c r="RIW45" s="47"/>
      <c r="RIY45" s="11"/>
      <c r="RMF45" s="47"/>
      <c r="RMK45" s="47"/>
      <c r="RMM45" s="11"/>
      <c r="RPT45" s="47"/>
      <c r="RPY45" s="47"/>
      <c r="RQA45" s="11"/>
      <c r="RTH45" s="47"/>
      <c r="RTM45" s="47"/>
      <c r="RTO45" s="11"/>
      <c r="RWV45" s="47"/>
      <c r="RXA45" s="47"/>
      <c r="RXC45" s="11"/>
      <c r="SAJ45" s="47"/>
      <c r="SAO45" s="47"/>
      <c r="SAQ45" s="11"/>
      <c r="SDX45" s="47"/>
      <c r="SEC45" s="47"/>
      <c r="SEE45" s="11"/>
      <c r="SHL45" s="47"/>
      <c r="SHQ45" s="47"/>
      <c r="SHS45" s="11"/>
      <c r="SKZ45" s="47"/>
      <c r="SLE45" s="47"/>
      <c r="SLG45" s="11"/>
      <c r="SON45" s="47"/>
      <c r="SOS45" s="47"/>
      <c r="SOU45" s="11"/>
      <c r="SSB45" s="47"/>
      <c r="SSG45" s="47"/>
      <c r="SSI45" s="11"/>
      <c r="SVP45" s="47"/>
      <c r="SVU45" s="47"/>
      <c r="SVW45" s="11"/>
      <c r="SZD45" s="47"/>
      <c r="SZI45" s="47"/>
      <c r="SZK45" s="11"/>
      <c r="TCR45" s="47"/>
      <c r="TCW45" s="47"/>
      <c r="TCY45" s="11"/>
      <c r="TGF45" s="47"/>
      <c r="TGK45" s="47"/>
      <c r="TGM45" s="11"/>
      <c r="TJT45" s="47"/>
      <c r="TJY45" s="47"/>
      <c r="TKA45" s="11"/>
      <c r="TNH45" s="47"/>
      <c r="TNM45" s="47"/>
      <c r="TNO45" s="11"/>
      <c r="TQV45" s="47"/>
      <c r="TRA45" s="47"/>
      <c r="TRC45" s="11"/>
      <c r="TUJ45" s="47"/>
      <c r="TUO45" s="47"/>
      <c r="TUQ45" s="11"/>
      <c r="TXX45" s="47"/>
      <c r="TYC45" s="47"/>
      <c r="TYE45" s="11"/>
      <c r="UBL45" s="47"/>
      <c r="UBQ45" s="47"/>
      <c r="UBS45" s="11"/>
      <c r="UEZ45" s="47"/>
      <c r="UFE45" s="47"/>
      <c r="UFG45" s="11"/>
      <c r="UIN45" s="47"/>
      <c r="UIS45" s="47"/>
      <c r="UIU45" s="11"/>
      <c r="UMB45" s="47"/>
      <c r="UMG45" s="47"/>
      <c r="UMI45" s="11"/>
      <c r="UPP45" s="47"/>
      <c r="UPU45" s="47"/>
      <c r="UPW45" s="11"/>
      <c r="UTD45" s="47"/>
      <c r="UTI45" s="47"/>
      <c r="UTK45" s="11"/>
      <c r="UWR45" s="47"/>
      <c r="UWW45" s="47"/>
      <c r="UWY45" s="11"/>
      <c r="VAF45" s="47"/>
      <c r="VAK45" s="47"/>
      <c r="VAM45" s="11"/>
      <c r="VDT45" s="47"/>
      <c r="VDY45" s="47"/>
      <c r="VEA45" s="11"/>
      <c r="VHH45" s="47"/>
      <c r="VHM45" s="47"/>
      <c r="VHO45" s="11"/>
      <c r="VKV45" s="47"/>
      <c r="VLA45" s="47"/>
      <c r="VLC45" s="11"/>
      <c r="VOJ45" s="47"/>
      <c r="VOO45" s="47"/>
      <c r="VOQ45" s="11"/>
      <c r="VRX45" s="47"/>
      <c r="VSC45" s="47"/>
      <c r="VSE45" s="11"/>
      <c r="VVL45" s="47"/>
      <c r="VVQ45" s="47"/>
      <c r="VVS45" s="11"/>
      <c r="VYZ45" s="47"/>
      <c r="VZE45" s="47"/>
      <c r="VZG45" s="11"/>
      <c r="WCN45" s="47"/>
      <c r="WCS45" s="47"/>
      <c r="WCU45" s="11"/>
      <c r="WGB45" s="47"/>
      <c r="WGG45" s="47"/>
      <c r="WGI45" s="11"/>
      <c r="WJP45" s="47"/>
      <c r="WJU45" s="47"/>
      <c r="WJW45" s="11"/>
      <c r="WND45" s="47"/>
      <c r="WNI45" s="47"/>
      <c r="WNK45" s="11"/>
      <c r="WQR45" s="47"/>
      <c r="WQW45" s="47"/>
      <c r="WQY45" s="11"/>
      <c r="WUF45" s="47"/>
      <c r="WUK45" s="47"/>
      <c r="WUM45" s="11"/>
      <c r="WXT45" s="47"/>
      <c r="WXY45" s="47"/>
      <c r="WYA45" s="11"/>
      <c r="XBH45" s="47"/>
      <c r="XBM45" s="47"/>
      <c r="XBO45" s="11"/>
      <c r="XEV45" s="47"/>
      <c r="XFA45" s="47"/>
      <c r="XFC45" s="11"/>
    </row>
    <row r="46" spans="1:1019 1104:2031 2116:3043 3128:4055 4140:5067 5152:6079 6164:7091 7176:8188 8193:9207 9292:10219 10304:11231 11316:12243 12328:13255 13340:14267 14352:15279 15364:16383" s="10" customFormat="1" ht="14.65" customHeight="1" thickBot="1">
      <c r="C46" s="17" t="s">
        <v>998</v>
      </c>
      <c r="E46" s="47"/>
      <c r="G46" s="11" t="str">
        <f>Monetary_Unit</f>
        <v>тыс. руб.</v>
      </c>
      <c r="I46" s="23">
        <f t="shared" si="22"/>
        <v>0</v>
      </c>
      <c r="L46" s="10">
        <v>0</v>
      </c>
      <c r="M46" s="10">
        <v>0</v>
      </c>
      <c r="N46" s="10">
        <v>0</v>
      </c>
      <c r="O46" s="10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10">
        <v>0</v>
      </c>
      <c r="AA46" s="10">
        <v>0</v>
      </c>
      <c r="AB46" s="10">
        <v>0</v>
      </c>
      <c r="AC46" s="10">
        <v>0</v>
      </c>
      <c r="AD46" s="10">
        <v>0</v>
      </c>
      <c r="AE46" s="10">
        <v>0</v>
      </c>
      <c r="AF46" s="10">
        <v>0</v>
      </c>
      <c r="AG46" s="10">
        <v>0</v>
      </c>
      <c r="AH46" s="10">
        <v>0</v>
      </c>
      <c r="AI46" s="10">
        <v>0</v>
      </c>
      <c r="AJ46" s="10">
        <v>0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Q46" s="10">
        <v>0</v>
      </c>
      <c r="AR46" s="10">
        <v>0</v>
      </c>
      <c r="AS46" s="10">
        <v>0</v>
      </c>
      <c r="AT46" s="10">
        <v>0</v>
      </c>
      <c r="AU46" s="10">
        <v>0</v>
      </c>
      <c r="AV46" s="10">
        <v>0</v>
      </c>
      <c r="AW46" s="10">
        <v>0</v>
      </c>
      <c r="AX46" s="10">
        <v>0</v>
      </c>
      <c r="AY46" s="10">
        <v>0</v>
      </c>
      <c r="AZ46" s="10">
        <v>0</v>
      </c>
      <c r="BA46" s="10">
        <v>0</v>
      </c>
      <c r="BB46" s="10">
        <v>0</v>
      </c>
      <c r="BC46" s="10">
        <v>0</v>
      </c>
      <c r="BD46" s="10">
        <v>0</v>
      </c>
      <c r="BE46" s="10">
        <v>0</v>
      </c>
      <c r="BF46" s="10">
        <v>0</v>
      </c>
      <c r="BG46" s="10">
        <v>0</v>
      </c>
      <c r="BH46" s="10">
        <v>0</v>
      </c>
      <c r="BI46" s="10">
        <v>0</v>
      </c>
      <c r="BJ46" s="10">
        <v>0</v>
      </c>
      <c r="BK46" s="10">
        <v>0</v>
      </c>
      <c r="BL46" s="10">
        <v>0</v>
      </c>
      <c r="BM46" s="10">
        <v>0</v>
      </c>
      <c r="BN46" s="10">
        <v>0</v>
      </c>
      <c r="BO46" s="10">
        <v>0</v>
      </c>
      <c r="BP46" s="10">
        <v>0</v>
      </c>
      <c r="BQ46" s="10">
        <v>0</v>
      </c>
      <c r="BR46" s="10">
        <v>0</v>
      </c>
      <c r="BS46" s="10">
        <v>0</v>
      </c>
      <c r="BT46" s="10">
        <v>0</v>
      </c>
      <c r="BU46" s="10">
        <v>0</v>
      </c>
      <c r="BV46" s="10">
        <v>0</v>
      </c>
      <c r="BW46" s="10">
        <v>0</v>
      </c>
      <c r="BX46" s="10">
        <v>0</v>
      </c>
      <c r="BY46" s="10">
        <v>0</v>
      </c>
      <c r="BZ46" s="10">
        <v>0</v>
      </c>
      <c r="CA46" s="10">
        <v>0</v>
      </c>
      <c r="CB46" s="10">
        <v>0</v>
      </c>
      <c r="CC46" s="10">
        <v>0</v>
      </c>
      <c r="CD46" s="10">
        <v>0</v>
      </c>
      <c r="CE46" s="10">
        <v>0</v>
      </c>
      <c r="CF46" s="10">
        <v>0</v>
      </c>
      <c r="CG46" s="10">
        <v>0</v>
      </c>
      <c r="CH46" s="10">
        <v>0</v>
      </c>
      <c r="CI46" s="10">
        <v>0</v>
      </c>
      <c r="CJ46" s="10">
        <v>0</v>
      </c>
      <c r="CK46" s="10">
        <v>0</v>
      </c>
      <c r="CL46" s="10">
        <v>0</v>
      </c>
      <c r="CM46" s="10">
        <v>0</v>
      </c>
      <c r="CN46" s="10">
        <v>0</v>
      </c>
      <c r="CO46" s="10">
        <v>0</v>
      </c>
      <c r="CS46" s="47"/>
      <c r="CU46" s="11"/>
      <c r="GB46" s="47"/>
      <c r="GG46" s="47"/>
      <c r="GI46" s="11"/>
      <c r="JP46" s="47"/>
      <c r="JU46" s="47"/>
      <c r="JW46" s="11"/>
      <c r="ND46" s="47"/>
      <c r="NI46" s="47"/>
      <c r="NK46" s="11"/>
      <c r="QR46" s="47"/>
      <c r="QW46" s="47"/>
      <c r="QY46" s="11"/>
      <c r="UF46" s="47"/>
      <c r="UK46" s="47"/>
      <c r="UM46" s="11"/>
      <c r="XT46" s="47"/>
      <c r="XY46" s="47"/>
      <c r="YA46" s="11"/>
      <c r="ABH46" s="47"/>
      <c r="ABM46" s="47"/>
      <c r="ABO46" s="11"/>
      <c r="AEV46" s="47"/>
      <c r="AFA46" s="47"/>
      <c r="AFC46" s="11"/>
      <c r="AIJ46" s="47"/>
      <c r="AIO46" s="47"/>
      <c r="AIQ46" s="11"/>
      <c r="ALX46" s="47"/>
      <c r="AMC46" s="47"/>
      <c r="AME46" s="11"/>
      <c r="APL46" s="47"/>
      <c r="APQ46" s="47"/>
      <c r="APS46" s="11"/>
      <c r="ASZ46" s="47"/>
      <c r="ATE46" s="47"/>
      <c r="ATG46" s="11"/>
      <c r="AWN46" s="47"/>
      <c r="AWS46" s="47"/>
      <c r="AWU46" s="11"/>
      <c r="BAB46" s="47"/>
      <c r="BAG46" s="47"/>
      <c r="BAI46" s="11"/>
      <c r="BDP46" s="47"/>
      <c r="BDU46" s="47"/>
      <c r="BDW46" s="11"/>
      <c r="BHD46" s="47"/>
      <c r="BHI46" s="47"/>
      <c r="BHK46" s="11"/>
      <c r="BKR46" s="47"/>
      <c r="BKW46" s="47"/>
      <c r="BKY46" s="11"/>
      <c r="BOF46" s="47"/>
      <c r="BOK46" s="47"/>
      <c r="BOM46" s="11"/>
      <c r="BRT46" s="47"/>
      <c r="BRY46" s="47"/>
      <c r="BSA46" s="11"/>
      <c r="BVH46" s="47"/>
      <c r="BVM46" s="47"/>
      <c r="BVO46" s="11"/>
      <c r="BYV46" s="47"/>
      <c r="BZA46" s="47"/>
      <c r="BZC46" s="11"/>
      <c r="CCJ46" s="47"/>
      <c r="CCO46" s="47"/>
      <c r="CCQ46" s="11"/>
      <c r="CFX46" s="47"/>
      <c r="CGC46" s="47"/>
      <c r="CGE46" s="11"/>
      <c r="CJL46" s="47"/>
      <c r="CJQ46" s="47"/>
      <c r="CJS46" s="11"/>
      <c r="CMZ46" s="47"/>
      <c r="CNE46" s="47"/>
      <c r="CNG46" s="11"/>
      <c r="CQN46" s="47"/>
      <c r="CQS46" s="47"/>
      <c r="CQU46" s="11"/>
      <c r="CUB46" s="47"/>
      <c r="CUG46" s="47"/>
      <c r="CUI46" s="11"/>
      <c r="CXP46" s="47"/>
      <c r="CXU46" s="47"/>
      <c r="CXW46" s="11"/>
      <c r="DBD46" s="47"/>
      <c r="DBI46" s="47"/>
      <c r="DBK46" s="11"/>
      <c r="DER46" s="47"/>
      <c r="DEW46" s="47"/>
      <c r="DEY46" s="11"/>
      <c r="DIF46" s="47"/>
      <c r="DIK46" s="47"/>
      <c r="DIM46" s="11"/>
      <c r="DLT46" s="47"/>
      <c r="DLY46" s="47"/>
      <c r="DMA46" s="11"/>
      <c r="DPH46" s="47"/>
      <c r="DPM46" s="47"/>
      <c r="DPO46" s="11"/>
      <c r="DSV46" s="47"/>
      <c r="DTA46" s="47"/>
      <c r="DTC46" s="11"/>
      <c r="DWJ46" s="47"/>
      <c r="DWO46" s="47"/>
      <c r="DWQ46" s="11"/>
      <c r="DZX46" s="47"/>
      <c r="EAC46" s="47"/>
      <c r="EAE46" s="11"/>
      <c r="EDL46" s="47"/>
      <c r="EDQ46" s="47"/>
      <c r="EDS46" s="11"/>
      <c r="EGZ46" s="47"/>
      <c r="EHE46" s="47"/>
      <c r="EHG46" s="11"/>
      <c r="EKN46" s="47"/>
      <c r="EKS46" s="47"/>
      <c r="EKU46" s="11"/>
      <c r="EOB46" s="47"/>
      <c r="EOG46" s="47"/>
      <c r="EOI46" s="11"/>
      <c r="ERP46" s="47"/>
      <c r="ERU46" s="47"/>
      <c r="ERW46" s="11"/>
      <c r="EVD46" s="47"/>
      <c r="EVI46" s="47"/>
      <c r="EVK46" s="11"/>
      <c r="EYR46" s="47"/>
      <c r="EYW46" s="47"/>
      <c r="EYY46" s="11"/>
      <c r="FCF46" s="47"/>
      <c r="FCK46" s="47"/>
      <c r="FCM46" s="11"/>
      <c r="FFT46" s="47"/>
      <c r="FFY46" s="47"/>
      <c r="FGA46" s="11"/>
      <c r="FJH46" s="47"/>
      <c r="FJM46" s="47"/>
      <c r="FJO46" s="11"/>
      <c r="FMV46" s="47"/>
      <c r="FNA46" s="47"/>
      <c r="FNC46" s="11"/>
      <c r="FQJ46" s="47"/>
      <c r="FQO46" s="47"/>
      <c r="FQQ46" s="11"/>
      <c r="FTX46" s="47"/>
      <c r="FUC46" s="47"/>
      <c r="FUE46" s="11"/>
      <c r="FXL46" s="47"/>
      <c r="FXQ46" s="47"/>
      <c r="FXS46" s="11"/>
      <c r="GAZ46" s="47"/>
      <c r="GBE46" s="47"/>
      <c r="GBG46" s="11"/>
      <c r="GEN46" s="47"/>
      <c r="GES46" s="47"/>
      <c r="GEU46" s="11"/>
      <c r="GIB46" s="47"/>
      <c r="GIG46" s="47"/>
      <c r="GII46" s="11"/>
      <c r="GLP46" s="47"/>
      <c r="GLU46" s="47"/>
      <c r="GLW46" s="11"/>
      <c r="GPD46" s="47"/>
      <c r="GPI46" s="47"/>
      <c r="GPK46" s="11"/>
      <c r="GSR46" s="47"/>
      <c r="GSW46" s="47"/>
      <c r="GSY46" s="11"/>
      <c r="GWF46" s="47"/>
      <c r="GWK46" s="47"/>
      <c r="GWM46" s="11"/>
      <c r="GZT46" s="47"/>
      <c r="GZY46" s="47"/>
      <c r="HAA46" s="11"/>
      <c r="HDH46" s="47"/>
      <c r="HDM46" s="47"/>
      <c r="HDO46" s="11"/>
      <c r="HGV46" s="47"/>
      <c r="HHA46" s="47"/>
      <c r="HHC46" s="11"/>
      <c r="HKJ46" s="47"/>
      <c r="HKO46" s="47"/>
      <c r="HKQ46" s="11"/>
      <c r="HNX46" s="47"/>
      <c r="HOC46" s="47"/>
      <c r="HOE46" s="11"/>
      <c r="HRL46" s="47"/>
      <c r="HRQ46" s="47"/>
      <c r="HRS46" s="11"/>
      <c r="HUZ46" s="47"/>
      <c r="HVE46" s="47"/>
      <c r="HVG46" s="11"/>
      <c r="HYN46" s="47"/>
      <c r="HYS46" s="47"/>
      <c r="HYU46" s="11"/>
      <c r="ICB46" s="47"/>
      <c r="ICG46" s="47"/>
      <c r="ICI46" s="11"/>
      <c r="IFP46" s="47"/>
      <c r="IFU46" s="47"/>
      <c r="IFW46" s="11"/>
      <c r="IJD46" s="47"/>
      <c r="IJI46" s="47"/>
      <c r="IJK46" s="11"/>
      <c r="IMR46" s="47"/>
      <c r="IMW46" s="47"/>
      <c r="IMY46" s="11"/>
      <c r="IQF46" s="47"/>
      <c r="IQK46" s="47"/>
      <c r="IQM46" s="11"/>
      <c r="ITT46" s="47"/>
      <c r="ITY46" s="47"/>
      <c r="IUA46" s="11"/>
      <c r="IXH46" s="47"/>
      <c r="IXM46" s="47"/>
      <c r="IXO46" s="11"/>
      <c r="JAV46" s="47"/>
      <c r="JBA46" s="47"/>
      <c r="JBC46" s="11"/>
      <c r="JEJ46" s="47"/>
      <c r="JEO46" s="47"/>
      <c r="JEQ46" s="11"/>
      <c r="JHX46" s="47"/>
      <c r="JIC46" s="47"/>
      <c r="JIE46" s="11"/>
      <c r="JLL46" s="47"/>
      <c r="JLQ46" s="47"/>
      <c r="JLS46" s="11"/>
      <c r="JOZ46" s="47"/>
      <c r="JPE46" s="47"/>
      <c r="JPG46" s="11"/>
      <c r="JSN46" s="47"/>
      <c r="JSS46" s="47"/>
      <c r="JSU46" s="11"/>
      <c r="JWB46" s="47"/>
      <c r="JWG46" s="47"/>
      <c r="JWI46" s="11"/>
      <c r="JZP46" s="47"/>
      <c r="JZU46" s="47"/>
      <c r="JZW46" s="11"/>
      <c r="KDD46" s="47"/>
      <c r="KDI46" s="47"/>
      <c r="KDK46" s="11"/>
      <c r="KGR46" s="47"/>
      <c r="KGW46" s="47"/>
      <c r="KGY46" s="11"/>
      <c r="KKF46" s="47"/>
      <c r="KKK46" s="47"/>
      <c r="KKM46" s="11"/>
      <c r="KNT46" s="47"/>
      <c r="KNY46" s="47"/>
      <c r="KOA46" s="11"/>
      <c r="KRH46" s="47"/>
      <c r="KRM46" s="47"/>
      <c r="KRO46" s="11"/>
      <c r="KUV46" s="47"/>
      <c r="KVA46" s="47"/>
      <c r="KVC46" s="11"/>
      <c r="KYJ46" s="47"/>
      <c r="KYO46" s="47"/>
      <c r="KYQ46" s="11"/>
      <c r="LBX46" s="47"/>
      <c r="LCC46" s="47"/>
      <c r="LCE46" s="11"/>
      <c r="LFL46" s="47"/>
      <c r="LFQ46" s="47"/>
      <c r="LFS46" s="11"/>
      <c r="LIZ46" s="47"/>
      <c r="LJE46" s="47"/>
      <c r="LJG46" s="11"/>
      <c r="LMN46" s="47"/>
      <c r="LMS46" s="47"/>
      <c r="LMU46" s="11"/>
      <c r="LQB46" s="47"/>
      <c r="LQG46" s="47"/>
      <c r="LQI46" s="11"/>
      <c r="LTP46" s="47"/>
      <c r="LTU46" s="47"/>
      <c r="LTW46" s="11"/>
      <c r="LXD46" s="47"/>
      <c r="LXI46" s="47"/>
      <c r="LXK46" s="11"/>
      <c r="MAR46" s="47"/>
      <c r="MAW46" s="47"/>
      <c r="MAY46" s="11"/>
      <c r="MEF46" s="47"/>
      <c r="MEK46" s="47"/>
      <c r="MEM46" s="11"/>
      <c r="MHT46" s="47"/>
      <c r="MHY46" s="47"/>
      <c r="MIA46" s="11"/>
      <c r="MLH46" s="47"/>
      <c r="MLM46" s="47"/>
      <c r="MLO46" s="11"/>
      <c r="MOV46" s="47"/>
      <c r="MPA46" s="47"/>
      <c r="MPC46" s="11"/>
      <c r="MSJ46" s="47"/>
      <c r="MSO46" s="47"/>
      <c r="MSQ46" s="11"/>
      <c r="MVX46" s="47"/>
      <c r="MWC46" s="47"/>
      <c r="MWE46" s="11"/>
      <c r="MZL46" s="47"/>
      <c r="MZQ46" s="47"/>
      <c r="MZS46" s="11"/>
      <c r="NCZ46" s="47"/>
      <c r="NDE46" s="47"/>
      <c r="NDG46" s="11"/>
      <c r="NGN46" s="47"/>
      <c r="NGS46" s="47"/>
      <c r="NGU46" s="11"/>
      <c r="NKB46" s="47"/>
      <c r="NKG46" s="47"/>
      <c r="NKI46" s="11"/>
      <c r="NNP46" s="47"/>
      <c r="NNU46" s="47"/>
      <c r="NNW46" s="11"/>
      <c r="NRD46" s="47"/>
      <c r="NRI46" s="47"/>
      <c r="NRK46" s="11"/>
      <c r="NUR46" s="47"/>
      <c r="NUW46" s="47"/>
      <c r="NUY46" s="11"/>
      <c r="NYF46" s="47"/>
      <c r="NYK46" s="47"/>
      <c r="NYM46" s="11"/>
      <c r="OBT46" s="47"/>
      <c r="OBY46" s="47"/>
      <c r="OCA46" s="11"/>
      <c r="OFH46" s="47"/>
      <c r="OFM46" s="47"/>
      <c r="OFO46" s="11"/>
      <c r="OIV46" s="47"/>
      <c r="OJA46" s="47"/>
      <c r="OJC46" s="11"/>
      <c r="OMJ46" s="47"/>
      <c r="OMO46" s="47"/>
      <c r="OMQ46" s="11"/>
      <c r="OPX46" s="47"/>
      <c r="OQC46" s="47"/>
      <c r="OQE46" s="11"/>
      <c r="OTL46" s="47"/>
      <c r="OTQ46" s="47"/>
      <c r="OTS46" s="11"/>
      <c r="OWZ46" s="47"/>
      <c r="OXE46" s="47"/>
      <c r="OXG46" s="11"/>
      <c r="PAN46" s="47"/>
      <c r="PAS46" s="47"/>
      <c r="PAU46" s="11"/>
      <c r="PEB46" s="47"/>
      <c r="PEG46" s="47"/>
      <c r="PEI46" s="11"/>
      <c r="PHP46" s="47"/>
      <c r="PHU46" s="47"/>
      <c r="PHW46" s="11"/>
      <c r="PLD46" s="47"/>
      <c r="PLI46" s="47"/>
      <c r="PLK46" s="11"/>
      <c r="POR46" s="47"/>
      <c r="POW46" s="47"/>
      <c r="POY46" s="11"/>
      <c r="PSF46" s="47"/>
      <c r="PSK46" s="47"/>
      <c r="PSM46" s="11"/>
      <c r="PVT46" s="47"/>
      <c r="PVY46" s="47"/>
      <c r="PWA46" s="11"/>
      <c r="PZH46" s="47"/>
      <c r="PZM46" s="47"/>
      <c r="PZO46" s="11"/>
      <c r="QCV46" s="47"/>
      <c r="QDA46" s="47"/>
      <c r="QDC46" s="11"/>
      <c r="QGJ46" s="47"/>
      <c r="QGO46" s="47"/>
      <c r="QGQ46" s="11"/>
      <c r="QJX46" s="47"/>
      <c r="QKC46" s="47"/>
      <c r="QKE46" s="11"/>
      <c r="QNL46" s="47"/>
      <c r="QNQ46" s="47"/>
      <c r="QNS46" s="11"/>
      <c r="QQZ46" s="47"/>
      <c r="QRE46" s="47"/>
      <c r="QRG46" s="11"/>
      <c r="QUN46" s="47"/>
      <c r="QUS46" s="47"/>
      <c r="QUU46" s="11"/>
      <c r="QYB46" s="47"/>
      <c r="QYG46" s="47"/>
      <c r="QYI46" s="11"/>
      <c r="RBP46" s="47"/>
      <c r="RBU46" s="47"/>
      <c r="RBW46" s="11"/>
      <c r="RFD46" s="47"/>
      <c r="RFI46" s="47"/>
      <c r="RFK46" s="11"/>
      <c r="RIR46" s="47"/>
      <c r="RIW46" s="47"/>
      <c r="RIY46" s="11"/>
      <c r="RMF46" s="47"/>
      <c r="RMK46" s="47"/>
      <c r="RMM46" s="11"/>
      <c r="RPT46" s="47"/>
      <c r="RPY46" s="47"/>
      <c r="RQA46" s="11"/>
      <c r="RTH46" s="47"/>
      <c r="RTM46" s="47"/>
      <c r="RTO46" s="11"/>
      <c r="RWV46" s="47"/>
      <c r="RXA46" s="47"/>
      <c r="RXC46" s="11"/>
      <c r="SAJ46" s="47"/>
      <c r="SAO46" s="47"/>
      <c r="SAQ46" s="11"/>
      <c r="SDX46" s="47"/>
      <c r="SEC46" s="47"/>
      <c r="SEE46" s="11"/>
      <c r="SHL46" s="47"/>
      <c r="SHQ46" s="47"/>
      <c r="SHS46" s="11"/>
      <c r="SKZ46" s="47"/>
      <c r="SLE46" s="47"/>
      <c r="SLG46" s="11"/>
      <c r="SON46" s="47"/>
      <c r="SOS46" s="47"/>
      <c r="SOU46" s="11"/>
      <c r="SSB46" s="47"/>
      <c r="SSG46" s="47"/>
      <c r="SSI46" s="11"/>
      <c r="SVP46" s="47"/>
      <c r="SVU46" s="47"/>
      <c r="SVW46" s="11"/>
      <c r="SZD46" s="47"/>
      <c r="SZI46" s="47"/>
      <c r="SZK46" s="11"/>
      <c r="TCR46" s="47"/>
      <c r="TCW46" s="47"/>
      <c r="TCY46" s="11"/>
      <c r="TGF46" s="47"/>
      <c r="TGK46" s="47"/>
      <c r="TGM46" s="11"/>
      <c r="TJT46" s="47"/>
      <c r="TJY46" s="47"/>
      <c r="TKA46" s="11"/>
      <c r="TNH46" s="47"/>
      <c r="TNM46" s="47"/>
      <c r="TNO46" s="11"/>
      <c r="TQV46" s="47"/>
      <c r="TRA46" s="47"/>
      <c r="TRC46" s="11"/>
      <c r="TUJ46" s="47"/>
      <c r="TUO46" s="47"/>
      <c r="TUQ46" s="11"/>
      <c r="TXX46" s="47"/>
      <c r="TYC46" s="47"/>
      <c r="TYE46" s="11"/>
      <c r="UBL46" s="47"/>
      <c r="UBQ46" s="47"/>
      <c r="UBS46" s="11"/>
      <c r="UEZ46" s="47"/>
      <c r="UFE46" s="47"/>
      <c r="UFG46" s="11"/>
      <c r="UIN46" s="47"/>
      <c r="UIS46" s="47"/>
      <c r="UIU46" s="11"/>
      <c r="UMB46" s="47"/>
      <c r="UMG46" s="47"/>
      <c r="UMI46" s="11"/>
      <c r="UPP46" s="47"/>
      <c r="UPU46" s="47"/>
      <c r="UPW46" s="11"/>
      <c r="UTD46" s="47"/>
      <c r="UTI46" s="47"/>
      <c r="UTK46" s="11"/>
      <c r="UWR46" s="47"/>
      <c r="UWW46" s="47"/>
      <c r="UWY46" s="11"/>
      <c r="VAF46" s="47"/>
      <c r="VAK46" s="47"/>
      <c r="VAM46" s="11"/>
      <c r="VDT46" s="47"/>
      <c r="VDY46" s="47"/>
      <c r="VEA46" s="11"/>
      <c r="VHH46" s="47"/>
      <c r="VHM46" s="47"/>
      <c r="VHO46" s="11"/>
      <c r="VKV46" s="47"/>
      <c r="VLA46" s="47"/>
      <c r="VLC46" s="11"/>
      <c r="VOJ46" s="47"/>
      <c r="VOO46" s="47"/>
      <c r="VOQ46" s="11"/>
      <c r="VRX46" s="47"/>
      <c r="VSC46" s="47"/>
      <c r="VSE46" s="11"/>
      <c r="VVL46" s="47"/>
      <c r="VVQ46" s="47"/>
      <c r="VVS46" s="11"/>
      <c r="VYZ46" s="47"/>
      <c r="VZE46" s="47"/>
      <c r="VZG46" s="11"/>
      <c r="WCN46" s="47"/>
      <c r="WCS46" s="47"/>
      <c r="WCU46" s="11"/>
      <c r="WGB46" s="47"/>
      <c r="WGG46" s="47"/>
      <c r="WGI46" s="11"/>
      <c r="WJP46" s="47"/>
      <c r="WJU46" s="47"/>
      <c r="WJW46" s="11"/>
      <c r="WND46" s="47"/>
      <c r="WNI46" s="47"/>
      <c r="WNK46" s="11"/>
      <c r="WQR46" s="47"/>
      <c r="WQW46" s="47"/>
      <c r="WQY46" s="11"/>
      <c r="WUF46" s="47"/>
      <c r="WUK46" s="47"/>
      <c r="WUM46" s="11"/>
      <c r="WXT46" s="47"/>
      <c r="WXY46" s="47"/>
      <c r="WYA46" s="11"/>
      <c r="XBH46" s="47"/>
      <c r="XBM46" s="47"/>
      <c r="XBO46" s="11"/>
      <c r="XEV46" s="47"/>
      <c r="XFA46" s="47"/>
      <c r="XFC46" s="11"/>
    </row>
    <row r="47" spans="1:1019 1104:2031 2116:3043 3128:4055 4140:5067 5152:6079 6164:7091 7176:8188 8193:9207 9292:10219 10304:11231 11316:12243 12328:13255 13340:14267 14352:15279 15364:16383" s="141" customFormat="1" ht="15" customHeight="1" thickTop="1">
      <c r="A47" s="153"/>
      <c r="B47" s="153"/>
      <c r="C47" s="49" t="s">
        <v>999</v>
      </c>
      <c r="D47" s="49"/>
      <c r="E47" s="49"/>
      <c r="F47" s="49"/>
      <c r="G47" s="159" t="str">
        <f>Monetary_Unit</f>
        <v>тыс. руб.</v>
      </c>
      <c r="H47" s="49"/>
      <c r="I47" s="176">
        <f t="shared" si="22"/>
        <v>0</v>
      </c>
      <c r="J47" s="49"/>
      <c r="K47" s="49"/>
      <c r="L47" s="49">
        <f t="shared" ref="L47:BS47" si="23">SUM(L45:L46)</f>
        <v>0</v>
      </c>
      <c r="M47" s="49">
        <f t="shared" si="23"/>
        <v>0</v>
      </c>
      <c r="N47" s="49">
        <f t="shared" si="23"/>
        <v>0</v>
      </c>
      <c r="O47" s="49">
        <f t="shared" si="23"/>
        <v>0</v>
      </c>
      <c r="P47" s="49">
        <f t="shared" si="23"/>
        <v>0</v>
      </c>
      <c r="Q47" s="49">
        <f t="shared" si="23"/>
        <v>0</v>
      </c>
      <c r="R47" s="49">
        <f t="shared" si="23"/>
        <v>0</v>
      </c>
      <c r="S47" s="49">
        <f t="shared" si="23"/>
        <v>0</v>
      </c>
      <c r="T47" s="49">
        <f t="shared" si="23"/>
        <v>0</v>
      </c>
      <c r="U47" s="49">
        <f t="shared" si="23"/>
        <v>0</v>
      </c>
      <c r="V47" s="49">
        <f t="shared" si="23"/>
        <v>0</v>
      </c>
      <c r="W47" s="49">
        <f t="shared" si="23"/>
        <v>0</v>
      </c>
      <c r="X47" s="49">
        <f t="shared" si="23"/>
        <v>0</v>
      </c>
      <c r="Y47" s="49">
        <f t="shared" si="23"/>
        <v>0</v>
      </c>
      <c r="Z47" s="49">
        <f t="shared" si="23"/>
        <v>0</v>
      </c>
      <c r="AA47" s="49">
        <f t="shared" si="23"/>
        <v>0</v>
      </c>
      <c r="AB47" s="49">
        <f t="shared" si="23"/>
        <v>0</v>
      </c>
      <c r="AC47" s="49">
        <f t="shared" si="23"/>
        <v>0</v>
      </c>
      <c r="AD47" s="49">
        <f t="shared" si="23"/>
        <v>0</v>
      </c>
      <c r="AE47" s="49">
        <f t="shared" si="23"/>
        <v>0</v>
      </c>
      <c r="AF47" s="49">
        <f t="shared" si="23"/>
        <v>0</v>
      </c>
      <c r="AG47" s="49">
        <f t="shared" si="23"/>
        <v>0</v>
      </c>
      <c r="AH47" s="49">
        <f t="shared" si="23"/>
        <v>0</v>
      </c>
      <c r="AI47" s="49">
        <f t="shared" si="23"/>
        <v>0</v>
      </c>
      <c r="AJ47" s="49">
        <f t="shared" si="23"/>
        <v>0</v>
      </c>
      <c r="AK47" s="49">
        <f t="shared" si="23"/>
        <v>0</v>
      </c>
      <c r="AL47" s="49">
        <f t="shared" si="23"/>
        <v>0</v>
      </c>
      <c r="AM47" s="49">
        <f t="shared" si="23"/>
        <v>0</v>
      </c>
      <c r="AN47" s="49">
        <f t="shared" si="23"/>
        <v>0</v>
      </c>
      <c r="AO47" s="49">
        <f t="shared" si="23"/>
        <v>0</v>
      </c>
      <c r="AP47" s="49">
        <f t="shared" si="23"/>
        <v>0</v>
      </c>
      <c r="AQ47" s="49">
        <f t="shared" si="23"/>
        <v>0</v>
      </c>
      <c r="AR47" s="49">
        <f t="shared" si="23"/>
        <v>0</v>
      </c>
      <c r="AS47" s="49">
        <f t="shared" si="23"/>
        <v>0</v>
      </c>
      <c r="AT47" s="49">
        <f t="shared" si="23"/>
        <v>0</v>
      </c>
      <c r="AU47" s="49">
        <f t="shared" si="23"/>
        <v>0</v>
      </c>
      <c r="AV47" s="49">
        <f t="shared" si="23"/>
        <v>0</v>
      </c>
      <c r="AW47" s="49">
        <f t="shared" si="23"/>
        <v>0</v>
      </c>
      <c r="AX47" s="49">
        <f t="shared" si="23"/>
        <v>0</v>
      </c>
      <c r="AY47" s="49">
        <f t="shared" si="23"/>
        <v>0</v>
      </c>
      <c r="AZ47" s="49">
        <f t="shared" si="23"/>
        <v>0</v>
      </c>
      <c r="BA47" s="49">
        <f t="shared" si="23"/>
        <v>0</v>
      </c>
      <c r="BB47" s="49">
        <f t="shared" si="23"/>
        <v>0</v>
      </c>
      <c r="BC47" s="49">
        <f t="shared" si="23"/>
        <v>0</v>
      </c>
      <c r="BD47" s="49">
        <f t="shared" si="23"/>
        <v>0</v>
      </c>
      <c r="BE47" s="49">
        <f t="shared" si="23"/>
        <v>0</v>
      </c>
      <c r="BF47" s="49">
        <f t="shared" si="23"/>
        <v>0</v>
      </c>
      <c r="BG47" s="49">
        <f t="shared" si="23"/>
        <v>0</v>
      </c>
      <c r="BH47" s="49">
        <f t="shared" si="23"/>
        <v>0</v>
      </c>
      <c r="BI47" s="49">
        <f t="shared" si="23"/>
        <v>0</v>
      </c>
      <c r="BJ47" s="49">
        <f t="shared" si="23"/>
        <v>0</v>
      </c>
      <c r="BK47" s="49">
        <f t="shared" si="23"/>
        <v>0</v>
      </c>
      <c r="BL47" s="49">
        <f t="shared" si="23"/>
        <v>0</v>
      </c>
      <c r="BM47" s="49">
        <f t="shared" si="23"/>
        <v>0</v>
      </c>
      <c r="BN47" s="49">
        <f t="shared" si="23"/>
        <v>0</v>
      </c>
      <c r="BO47" s="49">
        <f t="shared" si="23"/>
        <v>0</v>
      </c>
      <c r="BP47" s="49">
        <f t="shared" si="23"/>
        <v>0</v>
      </c>
      <c r="BQ47" s="49">
        <f t="shared" si="23"/>
        <v>0</v>
      </c>
      <c r="BR47" s="49">
        <f t="shared" si="23"/>
        <v>0</v>
      </c>
      <c r="BS47" s="49">
        <f t="shared" si="23"/>
        <v>0</v>
      </c>
      <c r="BT47" s="49">
        <f>SUM(BT45:BT46)</f>
        <v>0</v>
      </c>
      <c r="BU47" s="49">
        <f t="shared" ref="BU47:CM47" si="24">SUM(BU45:BU46)</f>
        <v>0</v>
      </c>
      <c r="BV47" s="49">
        <f t="shared" si="24"/>
        <v>0</v>
      </c>
      <c r="BW47" s="49">
        <f t="shared" si="24"/>
        <v>0</v>
      </c>
      <c r="BX47" s="49">
        <f t="shared" si="24"/>
        <v>0</v>
      </c>
      <c r="BY47" s="49">
        <f t="shared" si="24"/>
        <v>0</v>
      </c>
      <c r="BZ47" s="49">
        <f t="shared" si="24"/>
        <v>0</v>
      </c>
      <c r="CA47" s="49">
        <f t="shared" si="24"/>
        <v>0</v>
      </c>
      <c r="CB47" s="49">
        <f t="shared" si="24"/>
        <v>0</v>
      </c>
      <c r="CC47" s="49">
        <f t="shared" si="24"/>
        <v>0</v>
      </c>
      <c r="CD47" s="49">
        <f t="shared" si="24"/>
        <v>0</v>
      </c>
      <c r="CE47" s="49">
        <f t="shared" si="24"/>
        <v>0</v>
      </c>
      <c r="CF47" s="49">
        <f t="shared" si="24"/>
        <v>0</v>
      </c>
      <c r="CG47" s="49">
        <f t="shared" si="24"/>
        <v>0</v>
      </c>
      <c r="CH47" s="49">
        <f t="shared" si="24"/>
        <v>0</v>
      </c>
      <c r="CI47" s="49">
        <f t="shared" si="24"/>
        <v>0</v>
      </c>
      <c r="CJ47" s="49">
        <f t="shared" si="24"/>
        <v>0</v>
      </c>
      <c r="CK47" s="49">
        <f t="shared" si="24"/>
        <v>0</v>
      </c>
      <c r="CL47" s="49">
        <f t="shared" si="24"/>
        <v>0</v>
      </c>
      <c r="CM47" s="49">
        <f t="shared" si="24"/>
        <v>0</v>
      </c>
      <c r="CN47" s="49">
        <f>SUM(CN45:CN46)</f>
        <v>0</v>
      </c>
      <c r="CO47" s="49">
        <f>SUM(CO45:CO46)</f>
        <v>0</v>
      </c>
    </row>
    <row r="48" spans="1:1019 1104:2031 2116:3043 3128:4055 4140:5067 5152:6079 6164:7091 7176:8188 8193:9207 9292:10219 10304:11231 11316:12243 12328:13255 13340:14267 14352:15279 15364:16383" s="10" customFormat="1" ht="14.65" customHeight="1">
      <c r="E48" s="47"/>
      <c r="G48" s="11"/>
      <c r="CS48" s="47"/>
      <c r="CU48" s="11"/>
      <c r="GB48" s="47"/>
      <c r="GG48" s="47"/>
      <c r="GI48" s="11"/>
      <c r="JP48" s="47"/>
      <c r="JU48" s="47"/>
      <c r="JW48" s="11"/>
      <c r="ND48" s="47"/>
      <c r="NI48" s="47"/>
      <c r="NK48" s="11"/>
      <c r="QR48" s="47"/>
      <c r="QW48" s="47"/>
      <c r="QY48" s="11"/>
      <c r="UF48" s="47"/>
      <c r="UK48" s="47"/>
      <c r="UM48" s="11"/>
      <c r="XT48" s="47"/>
      <c r="XY48" s="47"/>
      <c r="YA48" s="11"/>
      <c r="ABH48" s="47"/>
      <c r="ABM48" s="47"/>
      <c r="ABO48" s="11"/>
      <c r="AEV48" s="47"/>
      <c r="AFA48" s="47"/>
      <c r="AFC48" s="11"/>
      <c r="AIJ48" s="47"/>
      <c r="AIO48" s="47"/>
      <c r="AIQ48" s="11"/>
      <c r="ALX48" s="47"/>
      <c r="AMC48" s="47"/>
      <c r="AME48" s="11"/>
      <c r="APL48" s="47"/>
      <c r="APQ48" s="47"/>
      <c r="APS48" s="11"/>
      <c r="ASZ48" s="47"/>
      <c r="ATE48" s="47"/>
      <c r="ATG48" s="11"/>
      <c r="AWN48" s="47"/>
      <c r="AWS48" s="47"/>
      <c r="AWU48" s="11"/>
      <c r="BAB48" s="47"/>
      <c r="BAG48" s="47"/>
      <c r="BAI48" s="11"/>
      <c r="BDP48" s="47"/>
      <c r="BDU48" s="47"/>
      <c r="BDW48" s="11"/>
      <c r="BHD48" s="47"/>
      <c r="BHI48" s="47"/>
      <c r="BHK48" s="11"/>
      <c r="BKR48" s="47"/>
      <c r="BKW48" s="47"/>
      <c r="BKY48" s="11"/>
      <c r="BOF48" s="47"/>
      <c r="BOK48" s="47"/>
      <c r="BOM48" s="11"/>
      <c r="BRT48" s="47"/>
      <c r="BRY48" s="47"/>
      <c r="BSA48" s="11"/>
      <c r="BVH48" s="47"/>
      <c r="BVM48" s="47"/>
      <c r="BVO48" s="11"/>
      <c r="BYV48" s="47"/>
      <c r="BZA48" s="47"/>
      <c r="BZC48" s="11"/>
      <c r="CCJ48" s="47"/>
      <c r="CCO48" s="47"/>
      <c r="CCQ48" s="11"/>
      <c r="CFX48" s="47"/>
      <c r="CGC48" s="47"/>
      <c r="CGE48" s="11"/>
      <c r="CJL48" s="47"/>
      <c r="CJQ48" s="47"/>
      <c r="CJS48" s="11"/>
      <c r="CMZ48" s="47"/>
      <c r="CNE48" s="47"/>
      <c r="CNG48" s="11"/>
      <c r="CQN48" s="47"/>
      <c r="CQS48" s="47"/>
      <c r="CQU48" s="11"/>
      <c r="CUB48" s="47"/>
      <c r="CUG48" s="47"/>
      <c r="CUI48" s="11"/>
      <c r="CXP48" s="47"/>
      <c r="CXU48" s="47"/>
      <c r="CXW48" s="11"/>
      <c r="DBD48" s="47"/>
      <c r="DBI48" s="47"/>
      <c r="DBK48" s="11"/>
      <c r="DER48" s="47"/>
      <c r="DEW48" s="47"/>
      <c r="DEY48" s="11"/>
      <c r="DIF48" s="47"/>
      <c r="DIK48" s="47"/>
      <c r="DIM48" s="11"/>
      <c r="DLT48" s="47"/>
      <c r="DLY48" s="47"/>
      <c r="DMA48" s="11"/>
      <c r="DPH48" s="47"/>
      <c r="DPM48" s="47"/>
      <c r="DPO48" s="11"/>
      <c r="DSV48" s="47"/>
      <c r="DTA48" s="47"/>
      <c r="DTC48" s="11"/>
      <c r="DWJ48" s="47"/>
      <c r="DWO48" s="47"/>
      <c r="DWQ48" s="11"/>
      <c r="DZX48" s="47"/>
      <c r="EAC48" s="47"/>
      <c r="EAE48" s="11"/>
      <c r="EDL48" s="47"/>
      <c r="EDQ48" s="47"/>
      <c r="EDS48" s="11"/>
      <c r="EGZ48" s="47"/>
      <c r="EHE48" s="47"/>
      <c r="EHG48" s="11"/>
      <c r="EKN48" s="47"/>
      <c r="EKS48" s="47"/>
      <c r="EKU48" s="11"/>
      <c r="EOB48" s="47"/>
      <c r="EOG48" s="47"/>
      <c r="EOI48" s="11"/>
      <c r="ERP48" s="47"/>
      <c r="ERU48" s="47"/>
      <c r="ERW48" s="11"/>
      <c r="EVD48" s="47"/>
      <c r="EVI48" s="47"/>
      <c r="EVK48" s="11"/>
      <c r="EYR48" s="47"/>
      <c r="EYW48" s="47"/>
      <c r="EYY48" s="11"/>
      <c r="FCF48" s="47"/>
      <c r="FCK48" s="47"/>
      <c r="FCM48" s="11"/>
      <c r="FFT48" s="47"/>
      <c r="FFY48" s="47"/>
      <c r="FGA48" s="11"/>
      <c r="FJH48" s="47"/>
      <c r="FJM48" s="47"/>
      <c r="FJO48" s="11"/>
      <c r="FMV48" s="47"/>
      <c r="FNA48" s="47"/>
      <c r="FNC48" s="11"/>
      <c r="FQJ48" s="47"/>
      <c r="FQO48" s="47"/>
      <c r="FQQ48" s="11"/>
      <c r="FTX48" s="47"/>
      <c r="FUC48" s="47"/>
      <c r="FUE48" s="11"/>
      <c r="FXL48" s="47"/>
      <c r="FXQ48" s="47"/>
      <c r="FXS48" s="11"/>
      <c r="GAZ48" s="47"/>
      <c r="GBE48" s="47"/>
      <c r="GBG48" s="11"/>
      <c r="GEN48" s="47"/>
      <c r="GES48" s="47"/>
      <c r="GEU48" s="11"/>
      <c r="GIB48" s="47"/>
      <c r="GIG48" s="47"/>
      <c r="GII48" s="11"/>
      <c r="GLP48" s="47"/>
      <c r="GLU48" s="47"/>
      <c r="GLW48" s="11"/>
      <c r="GPD48" s="47"/>
      <c r="GPI48" s="47"/>
      <c r="GPK48" s="11"/>
      <c r="GSR48" s="47"/>
      <c r="GSW48" s="47"/>
      <c r="GSY48" s="11"/>
      <c r="GWF48" s="47"/>
      <c r="GWK48" s="47"/>
      <c r="GWM48" s="11"/>
      <c r="GZT48" s="47"/>
      <c r="GZY48" s="47"/>
      <c r="HAA48" s="11"/>
      <c r="HDH48" s="47"/>
      <c r="HDM48" s="47"/>
      <c r="HDO48" s="11"/>
      <c r="HGV48" s="47"/>
      <c r="HHA48" s="47"/>
      <c r="HHC48" s="11"/>
      <c r="HKJ48" s="47"/>
      <c r="HKO48" s="47"/>
      <c r="HKQ48" s="11"/>
      <c r="HNX48" s="47"/>
      <c r="HOC48" s="47"/>
      <c r="HOE48" s="11"/>
      <c r="HRL48" s="47"/>
      <c r="HRQ48" s="47"/>
      <c r="HRS48" s="11"/>
      <c r="HUZ48" s="47"/>
      <c r="HVE48" s="47"/>
      <c r="HVG48" s="11"/>
      <c r="HYN48" s="47"/>
      <c r="HYS48" s="47"/>
      <c r="HYU48" s="11"/>
      <c r="ICB48" s="47"/>
      <c r="ICG48" s="47"/>
      <c r="ICI48" s="11"/>
      <c r="IFP48" s="47"/>
      <c r="IFU48" s="47"/>
      <c r="IFW48" s="11"/>
      <c r="IJD48" s="47"/>
      <c r="IJI48" s="47"/>
      <c r="IJK48" s="11"/>
      <c r="IMR48" s="47"/>
      <c r="IMW48" s="47"/>
      <c r="IMY48" s="11"/>
      <c r="IQF48" s="47"/>
      <c r="IQK48" s="47"/>
      <c r="IQM48" s="11"/>
      <c r="ITT48" s="47"/>
      <c r="ITY48" s="47"/>
      <c r="IUA48" s="11"/>
      <c r="IXH48" s="47"/>
      <c r="IXM48" s="47"/>
      <c r="IXO48" s="11"/>
      <c r="JAV48" s="47"/>
      <c r="JBA48" s="47"/>
      <c r="JBC48" s="11"/>
      <c r="JEJ48" s="47"/>
      <c r="JEO48" s="47"/>
      <c r="JEQ48" s="11"/>
      <c r="JHX48" s="47"/>
      <c r="JIC48" s="47"/>
      <c r="JIE48" s="11"/>
      <c r="JLL48" s="47"/>
      <c r="JLQ48" s="47"/>
      <c r="JLS48" s="11"/>
      <c r="JOZ48" s="47"/>
      <c r="JPE48" s="47"/>
      <c r="JPG48" s="11"/>
      <c r="JSN48" s="47"/>
      <c r="JSS48" s="47"/>
      <c r="JSU48" s="11"/>
      <c r="JWB48" s="47"/>
      <c r="JWG48" s="47"/>
      <c r="JWI48" s="11"/>
      <c r="JZP48" s="47"/>
      <c r="JZU48" s="47"/>
      <c r="JZW48" s="11"/>
      <c r="KDD48" s="47"/>
      <c r="KDI48" s="47"/>
      <c r="KDK48" s="11"/>
      <c r="KGR48" s="47"/>
      <c r="KGW48" s="47"/>
      <c r="KGY48" s="11"/>
      <c r="KKF48" s="47"/>
      <c r="KKK48" s="47"/>
      <c r="KKM48" s="11"/>
      <c r="KNT48" s="47"/>
      <c r="KNY48" s="47"/>
      <c r="KOA48" s="11"/>
      <c r="KRH48" s="47"/>
      <c r="KRM48" s="47"/>
      <c r="KRO48" s="11"/>
      <c r="KUV48" s="47"/>
      <c r="KVA48" s="47"/>
      <c r="KVC48" s="11"/>
      <c r="KYJ48" s="47"/>
      <c r="KYO48" s="47"/>
      <c r="KYQ48" s="11"/>
      <c r="LBX48" s="47"/>
      <c r="LCC48" s="47"/>
      <c r="LCE48" s="11"/>
      <c r="LFL48" s="47"/>
      <c r="LFQ48" s="47"/>
      <c r="LFS48" s="11"/>
      <c r="LIZ48" s="47"/>
      <c r="LJE48" s="47"/>
      <c r="LJG48" s="11"/>
      <c r="LMN48" s="47"/>
      <c r="LMS48" s="47"/>
      <c r="LMU48" s="11"/>
      <c r="LQB48" s="47"/>
      <c r="LQG48" s="47"/>
      <c r="LQI48" s="11"/>
      <c r="LTP48" s="47"/>
      <c r="LTU48" s="47"/>
      <c r="LTW48" s="11"/>
      <c r="LXD48" s="47"/>
      <c r="LXI48" s="47"/>
      <c r="LXK48" s="11"/>
      <c r="MAR48" s="47"/>
      <c r="MAW48" s="47"/>
      <c r="MAY48" s="11"/>
      <c r="MEF48" s="47"/>
      <c r="MEK48" s="47"/>
      <c r="MEM48" s="11"/>
      <c r="MHT48" s="47"/>
      <c r="MHY48" s="47"/>
      <c r="MIA48" s="11"/>
      <c r="MLH48" s="47"/>
      <c r="MLM48" s="47"/>
      <c r="MLO48" s="11"/>
      <c r="MOV48" s="47"/>
      <c r="MPA48" s="47"/>
      <c r="MPC48" s="11"/>
      <c r="MSJ48" s="47"/>
      <c r="MSO48" s="47"/>
      <c r="MSQ48" s="11"/>
      <c r="MVX48" s="47"/>
      <c r="MWC48" s="47"/>
      <c r="MWE48" s="11"/>
      <c r="MZL48" s="47"/>
      <c r="MZQ48" s="47"/>
      <c r="MZS48" s="11"/>
      <c r="NCZ48" s="47"/>
      <c r="NDE48" s="47"/>
      <c r="NDG48" s="11"/>
      <c r="NGN48" s="47"/>
      <c r="NGS48" s="47"/>
      <c r="NGU48" s="11"/>
      <c r="NKB48" s="47"/>
      <c r="NKG48" s="47"/>
      <c r="NKI48" s="11"/>
      <c r="NNP48" s="47"/>
      <c r="NNU48" s="47"/>
      <c r="NNW48" s="11"/>
      <c r="NRD48" s="47"/>
      <c r="NRI48" s="47"/>
      <c r="NRK48" s="11"/>
      <c r="NUR48" s="47"/>
      <c r="NUW48" s="47"/>
      <c r="NUY48" s="11"/>
      <c r="NYF48" s="47"/>
      <c r="NYK48" s="47"/>
      <c r="NYM48" s="11"/>
      <c r="OBT48" s="47"/>
      <c r="OBY48" s="47"/>
      <c r="OCA48" s="11"/>
      <c r="OFH48" s="47"/>
      <c r="OFM48" s="47"/>
      <c r="OFO48" s="11"/>
      <c r="OIV48" s="47"/>
      <c r="OJA48" s="47"/>
      <c r="OJC48" s="11"/>
      <c r="OMJ48" s="47"/>
      <c r="OMO48" s="47"/>
      <c r="OMQ48" s="11"/>
      <c r="OPX48" s="47"/>
      <c r="OQC48" s="47"/>
      <c r="OQE48" s="11"/>
      <c r="OTL48" s="47"/>
      <c r="OTQ48" s="47"/>
      <c r="OTS48" s="11"/>
      <c r="OWZ48" s="47"/>
      <c r="OXE48" s="47"/>
      <c r="OXG48" s="11"/>
      <c r="PAN48" s="47"/>
      <c r="PAS48" s="47"/>
      <c r="PAU48" s="11"/>
      <c r="PEB48" s="47"/>
      <c r="PEG48" s="47"/>
      <c r="PEI48" s="11"/>
      <c r="PHP48" s="47"/>
      <c r="PHU48" s="47"/>
      <c r="PHW48" s="11"/>
      <c r="PLD48" s="47"/>
      <c r="PLI48" s="47"/>
      <c r="PLK48" s="11"/>
      <c r="POR48" s="47"/>
      <c r="POW48" s="47"/>
      <c r="POY48" s="11"/>
      <c r="PSF48" s="47"/>
      <c r="PSK48" s="47"/>
      <c r="PSM48" s="11"/>
      <c r="PVT48" s="47"/>
      <c r="PVY48" s="47"/>
      <c r="PWA48" s="11"/>
      <c r="PZH48" s="47"/>
      <c r="PZM48" s="47"/>
      <c r="PZO48" s="11"/>
      <c r="QCV48" s="47"/>
      <c r="QDA48" s="47"/>
      <c r="QDC48" s="11"/>
      <c r="QGJ48" s="47"/>
      <c r="QGO48" s="47"/>
      <c r="QGQ48" s="11"/>
      <c r="QJX48" s="47"/>
      <c r="QKC48" s="47"/>
      <c r="QKE48" s="11"/>
      <c r="QNL48" s="47"/>
      <c r="QNQ48" s="47"/>
      <c r="QNS48" s="11"/>
      <c r="QQZ48" s="47"/>
      <c r="QRE48" s="47"/>
      <c r="QRG48" s="11"/>
      <c r="QUN48" s="47"/>
      <c r="QUS48" s="47"/>
      <c r="QUU48" s="11"/>
      <c r="QYB48" s="47"/>
      <c r="QYG48" s="47"/>
      <c r="QYI48" s="11"/>
      <c r="RBP48" s="47"/>
      <c r="RBU48" s="47"/>
      <c r="RBW48" s="11"/>
      <c r="RFD48" s="47"/>
      <c r="RFI48" s="47"/>
      <c r="RFK48" s="11"/>
      <c r="RIR48" s="47"/>
      <c r="RIW48" s="47"/>
      <c r="RIY48" s="11"/>
      <c r="RMF48" s="47"/>
      <c r="RMK48" s="47"/>
      <c r="RMM48" s="11"/>
      <c r="RPT48" s="47"/>
      <c r="RPY48" s="47"/>
      <c r="RQA48" s="11"/>
      <c r="RTH48" s="47"/>
      <c r="RTM48" s="47"/>
      <c r="RTO48" s="11"/>
      <c r="RWV48" s="47"/>
      <c r="RXA48" s="47"/>
      <c r="RXC48" s="11"/>
      <c r="SAJ48" s="47"/>
      <c r="SAO48" s="47"/>
      <c r="SAQ48" s="11"/>
      <c r="SDX48" s="47"/>
      <c r="SEC48" s="47"/>
      <c r="SEE48" s="11"/>
      <c r="SHL48" s="47"/>
      <c r="SHQ48" s="47"/>
      <c r="SHS48" s="11"/>
      <c r="SKZ48" s="47"/>
      <c r="SLE48" s="47"/>
      <c r="SLG48" s="11"/>
      <c r="SON48" s="47"/>
      <c r="SOS48" s="47"/>
      <c r="SOU48" s="11"/>
      <c r="SSB48" s="47"/>
      <c r="SSG48" s="47"/>
      <c r="SSI48" s="11"/>
      <c r="SVP48" s="47"/>
      <c r="SVU48" s="47"/>
      <c r="SVW48" s="11"/>
      <c r="SZD48" s="47"/>
      <c r="SZI48" s="47"/>
      <c r="SZK48" s="11"/>
      <c r="TCR48" s="47"/>
      <c r="TCW48" s="47"/>
      <c r="TCY48" s="11"/>
      <c r="TGF48" s="47"/>
      <c r="TGK48" s="47"/>
      <c r="TGM48" s="11"/>
      <c r="TJT48" s="47"/>
      <c r="TJY48" s="47"/>
      <c r="TKA48" s="11"/>
      <c r="TNH48" s="47"/>
      <c r="TNM48" s="47"/>
      <c r="TNO48" s="11"/>
      <c r="TQV48" s="47"/>
      <c r="TRA48" s="47"/>
      <c r="TRC48" s="11"/>
      <c r="TUJ48" s="47"/>
      <c r="TUO48" s="47"/>
      <c r="TUQ48" s="11"/>
      <c r="TXX48" s="47"/>
      <c r="TYC48" s="47"/>
      <c r="TYE48" s="11"/>
      <c r="UBL48" s="47"/>
      <c r="UBQ48" s="47"/>
      <c r="UBS48" s="11"/>
      <c r="UEZ48" s="47"/>
      <c r="UFE48" s="47"/>
      <c r="UFG48" s="11"/>
      <c r="UIN48" s="47"/>
      <c r="UIS48" s="47"/>
      <c r="UIU48" s="11"/>
      <c r="UMB48" s="47"/>
      <c r="UMG48" s="47"/>
      <c r="UMI48" s="11"/>
      <c r="UPP48" s="47"/>
      <c r="UPU48" s="47"/>
      <c r="UPW48" s="11"/>
      <c r="UTD48" s="47"/>
      <c r="UTI48" s="47"/>
      <c r="UTK48" s="11"/>
      <c r="UWR48" s="47"/>
      <c r="UWW48" s="47"/>
      <c r="UWY48" s="11"/>
      <c r="VAF48" s="47"/>
      <c r="VAK48" s="47"/>
      <c r="VAM48" s="11"/>
      <c r="VDT48" s="47"/>
      <c r="VDY48" s="47"/>
      <c r="VEA48" s="11"/>
      <c r="VHH48" s="47"/>
      <c r="VHM48" s="47"/>
      <c r="VHO48" s="11"/>
      <c r="VKV48" s="47"/>
      <c r="VLA48" s="47"/>
      <c r="VLC48" s="11"/>
      <c r="VOJ48" s="47"/>
      <c r="VOO48" s="47"/>
      <c r="VOQ48" s="11"/>
      <c r="VRX48" s="47"/>
      <c r="VSC48" s="47"/>
      <c r="VSE48" s="11"/>
      <c r="VVL48" s="47"/>
      <c r="VVQ48" s="47"/>
      <c r="VVS48" s="11"/>
      <c r="VYZ48" s="47"/>
      <c r="VZE48" s="47"/>
      <c r="VZG48" s="11"/>
      <c r="WCN48" s="47"/>
      <c r="WCS48" s="47"/>
      <c r="WCU48" s="11"/>
      <c r="WGB48" s="47"/>
      <c r="WGG48" s="47"/>
      <c r="WGI48" s="11"/>
      <c r="WJP48" s="47"/>
      <c r="WJU48" s="47"/>
      <c r="WJW48" s="11"/>
      <c r="WND48" s="47"/>
      <c r="WNI48" s="47"/>
      <c r="WNK48" s="11"/>
      <c r="WQR48" s="47"/>
      <c r="WQW48" s="47"/>
      <c r="WQY48" s="11"/>
      <c r="WUF48" s="47"/>
      <c r="WUK48" s="47"/>
      <c r="WUM48" s="11"/>
      <c r="WXT48" s="47"/>
      <c r="WXY48" s="47"/>
      <c r="WYA48" s="11"/>
      <c r="XBH48" s="47"/>
      <c r="XBM48" s="47"/>
      <c r="XBO48" s="11"/>
      <c r="XEV48" s="47"/>
      <c r="XFA48" s="47"/>
      <c r="XFC48" s="11"/>
    </row>
    <row r="49" spans="3:1019 1104:2031 2116:3043 3128:4055 4140:5067 5152:6079 6164:7091 7176:8188 8193:9207 9292:10219 10304:11231 11316:12243 12328:13255 13340:14267 14352:15279 15364:16383" s="35" customFormat="1" ht="14.65" customHeight="1">
      <c r="C49" s="35" t="s">
        <v>1000</v>
      </c>
      <c r="E49" s="366"/>
      <c r="G49" s="162" t="str">
        <f>Monetary_Unit</f>
        <v>тыс. руб.</v>
      </c>
      <c r="I49" s="23">
        <f t="shared" ca="1" si="22"/>
        <v>4266432.2810886996</v>
      </c>
      <c r="L49" s="35">
        <f ca="1" xml:space="preserve"> L37 + L42 + L47</f>
        <v>0</v>
      </c>
      <c r="M49" s="35">
        <f t="shared" ref="M49:BX49" ca="1" si="25" xml:space="preserve"> M37 + M42 + M47</f>
        <v>0</v>
      </c>
      <c r="N49" s="35">
        <f t="shared" ca="1" si="25"/>
        <v>0</v>
      </c>
      <c r="O49" s="35">
        <f t="shared" ca="1" si="25"/>
        <v>0</v>
      </c>
      <c r="P49" s="35">
        <f t="shared" ca="1" si="25"/>
        <v>0</v>
      </c>
      <c r="Q49" s="35">
        <f t="shared" ca="1" si="25"/>
        <v>0</v>
      </c>
      <c r="R49" s="35">
        <f t="shared" ca="1" si="25"/>
        <v>0</v>
      </c>
      <c r="S49" s="35">
        <f t="shared" ca="1" si="25"/>
        <v>0</v>
      </c>
      <c r="T49" s="35">
        <f t="shared" ca="1" si="25"/>
        <v>0</v>
      </c>
      <c r="U49" s="35">
        <f t="shared" ca="1" si="25"/>
        <v>0</v>
      </c>
      <c r="V49" s="35">
        <f t="shared" ca="1" si="25"/>
        <v>0</v>
      </c>
      <c r="W49" s="35">
        <f t="shared" ca="1" si="25"/>
        <v>0</v>
      </c>
      <c r="X49" s="35">
        <f t="shared" ca="1" si="25"/>
        <v>0</v>
      </c>
      <c r="Y49" s="35">
        <f t="shared" ca="1" si="25"/>
        <v>0</v>
      </c>
      <c r="Z49" s="35">
        <f t="shared" ca="1" si="25"/>
        <v>0</v>
      </c>
      <c r="AA49" s="35">
        <f t="shared" ca="1" si="25"/>
        <v>0</v>
      </c>
      <c r="AB49" s="35">
        <f t="shared" ca="1" si="25"/>
        <v>0</v>
      </c>
      <c r="AC49" s="35">
        <f t="shared" ca="1" si="25"/>
        <v>-494593.04751241015</v>
      </c>
      <c r="AD49" s="35">
        <f t="shared" ca="1" si="25"/>
        <v>-85834.113847137211</v>
      </c>
      <c r="AE49" s="35">
        <f t="shared" ca="1" si="25"/>
        <v>-1854.8617293254392</v>
      </c>
      <c r="AF49" s="35">
        <f t="shared" ca="1" si="25"/>
        <v>-14428.0061102359</v>
      </c>
      <c r="AG49" s="35">
        <f t="shared" ca="1" si="25"/>
        <v>7918.1496284706773</v>
      </c>
      <c r="AH49" s="35">
        <f t="shared" ca="1" si="25"/>
        <v>21416.363010141591</v>
      </c>
      <c r="AI49" s="35">
        <f t="shared" ca="1" si="25"/>
        <v>-2027.52593769755</v>
      </c>
      <c r="AJ49" s="35">
        <f t="shared" ca="1" si="25"/>
        <v>-16676.27538251636</v>
      </c>
      <c r="AK49" s="35">
        <f t="shared" ca="1" si="25"/>
        <v>9281.2355953618753</v>
      </c>
      <c r="AL49" s="35">
        <f t="shared" ca="1" si="25"/>
        <v>24787.516388508029</v>
      </c>
      <c r="AM49" s="35">
        <f t="shared" ca="1" si="25"/>
        <v>-2196.4795515148126</v>
      </c>
      <c r="AN49" s="35">
        <f t="shared" ca="1" si="25"/>
        <v>-18888.465322713855</v>
      </c>
      <c r="AO49" s="35">
        <f t="shared" ca="1" si="25"/>
        <v>10756.820337876085</v>
      </c>
      <c r="AP49" s="35">
        <f t="shared" ca="1" si="25"/>
        <v>27476.576637591694</v>
      </c>
      <c r="AQ49" s="35">
        <f t="shared" ca="1" si="25"/>
        <v>-2843.0621649844561</v>
      </c>
      <c r="AR49" s="35">
        <f t="shared" ca="1" si="25"/>
        <v>-21112.761591106653</v>
      </c>
      <c r="AS49" s="35">
        <f t="shared" ca="1" si="25"/>
        <v>12382.62201595294</v>
      </c>
      <c r="AT49" s="35">
        <f t="shared" ca="1" si="25"/>
        <v>32233.350839331346</v>
      </c>
      <c r="AU49" s="35">
        <f t="shared" ca="1" si="25"/>
        <v>2209.6877214656233</v>
      </c>
      <c r="AV49" s="35">
        <f t="shared" ca="1" si="25"/>
        <v>-17710.552583067543</v>
      </c>
      <c r="AW49" s="35">
        <f t="shared" ca="1" si="25"/>
        <v>18740.68291066329</v>
      </c>
      <c r="AX49" s="35">
        <f t="shared" ca="1" si="25"/>
        <v>92848.15374538787</v>
      </c>
      <c r="AY49" s="35">
        <f t="shared" ca="1" si="25"/>
        <v>107209.56895323792</v>
      </c>
      <c r="AZ49" s="35">
        <f t="shared" ca="1" si="25"/>
        <v>48350.373294979887</v>
      </c>
      <c r="BA49" s="35">
        <f t="shared" ca="1" si="25"/>
        <v>58928.779322173978</v>
      </c>
      <c r="BB49" s="35">
        <f t="shared" ca="1" si="25"/>
        <v>107162.02747551042</v>
      </c>
      <c r="BC49" s="35">
        <f t="shared" ca="1" si="25"/>
        <v>111598.42962530424</v>
      </c>
      <c r="BD49" s="35">
        <f t="shared" ca="1" si="25"/>
        <v>50615.441943727987</v>
      </c>
      <c r="BE49" s="35">
        <f t="shared" ca="1" si="25"/>
        <v>62738.566357753189</v>
      </c>
      <c r="BF49" s="35">
        <f t="shared" ca="1" si="25"/>
        <v>112589.23400119164</v>
      </c>
      <c r="BG49" s="35">
        <f t="shared" ca="1" si="25"/>
        <v>117203.09616240198</v>
      </c>
      <c r="BH49" s="35">
        <f t="shared" ca="1" si="25"/>
        <v>53540.197497018766</v>
      </c>
      <c r="BI49" s="35">
        <f t="shared" ca="1" si="25"/>
        <v>64981.781016339854</v>
      </c>
      <c r="BJ49" s="35">
        <f t="shared" ca="1" si="25"/>
        <v>117151.00716069722</v>
      </c>
      <c r="BK49" s="35">
        <f t="shared" ca="1" si="25"/>
        <v>121949.41972591421</v>
      </c>
      <c r="BL49" s="35">
        <f t="shared" ca="1" si="25"/>
        <v>55740.38588251498</v>
      </c>
      <c r="BM49" s="35">
        <f t="shared" ca="1" si="25"/>
        <v>67639.875789122932</v>
      </c>
      <c r="BN49" s="35">
        <f t="shared" ca="1" si="25"/>
        <v>121895.94202911179</v>
      </c>
      <c r="BO49" s="35">
        <f t="shared" ca="1" si="25"/>
        <v>135930.57332752005</v>
      </c>
      <c r="BP49" s="35">
        <f t="shared" ca="1" si="25"/>
        <v>65632.423815050905</v>
      </c>
      <c r="BQ49" s="35">
        <f t="shared" ca="1" si="25"/>
        <v>85996.815752914365</v>
      </c>
      <c r="BR49" s="35">
        <f t="shared" ca="1" si="25"/>
        <v>167402.83291681824</v>
      </c>
      <c r="BS49" s="35">
        <f t="shared" ca="1" si="25"/>
        <v>149919.05332894973</v>
      </c>
      <c r="BT49" s="35">
        <f t="shared" ca="1" si="25"/>
        <v>76964.260144603104</v>
      </c>
      <c r="BU49" s="35">
        <f t="shared" ca="1" si="25"/>
        <v>98025.428922280582</v>
      </c>
      <c r="BV49" s="35">
        <f t="shared" ca="1" si="25"/>
        <v>173432.75874922407</v>
      </c>
      <c r="BW49" s="35">
        <f t="shared" ca="1" si="25"/>
        <v>155254.27649086079</v>
      </c>
      <c r="BX49" s="35">
        <f t="shared" ca="1" si="25"/>
        <v>78959.932111278773</v>
      </c>
      <c r="BY49" s="35">
        <f t="shared" ref="BY49:CM49" ca="1" si="26" xml:space="preserve"> BY37 + BY42 + BY47</f>
        <v>100964.3365766168</v>
      </c>
      <c r="BZ49" s="35">
        <f t="shared" ca="1" si="26"/>
        <v>179763.68303006009</v>
      </c>
      <c r="CA49" s="35">
        <f t="shared" ca="1" si="26"/>
        <v>160862.09336546232</v>
      </c>
      <c r="CB49" s="35">
        <f t="shared" ca="1" si="26"/>
        <v>81514.79430100348</v>
      </c>
      <c r="CC49" s="35">
        <f t="shared" ca="1" si="26"/>
        <v>104395.88327616923</v>
      </c>
      <c r="CD49" s="35">
        <f t="shared" ca="1" si="26"/>
        <v>186343.60519076724</v>
      </c>
      <c r="CE49" s="35">
        <f t="shared" ca="1" si="26"/>
        <v>166690.29818352705</v>
      </c>
      <c r="CF49" s="35">
        <f t="shared" ca="1" si="26"/>
        <v>84189.059231588923</v>
      </c>
      <c r="CG49" s="35">
        <f t="shared" ca="1" si="26"/>
        <v>107981.88785234217</v>
      </c>
      <c r="CH49" s="35">
        <f t="shared" ca="1" si="26"/>
        <v>193204.10921366885</v>
      </c>
      <c r="CI49" s="35">
        <f t="shared" ca="1" si="26"/>
        <v>172769.01617008066</v>
      </c>
      <c r="CJ49" s="35">
        <f t="shared" ca="1" si="26"/>
        <v>87482.606351389928</v>
      </c>
      <c r="CK49" s="35">
        <f t="shared" ca="1" si="26"/>
        <v>112139.40060889376</v>
      </c>
      <c r="CL49" s="35">
        <f t="shared" ca="1" si="26"/>
        <v>200340.43308929796</v>
      </c>
      <c r="CM49" s="35">
        <f t="shared" ca="1" si="26"/>
        <v>179092.58575328696</v>
      </c>
      <c r="CN49" s="35">
        <f ca="1" xml:space="preserve"> CN37 + CN42 + CN47</f>
        <v>89914.707450377435</v>
      </c>
      <c r="CO49" s="35">
        <f ca="1" xml:space="preserve"> CO37 + CO42 + CO47</f>
        <v>115642.23102741136</v>
      </c>
      <c r="CS49" s="366"/>
      <c r="CU49" s="162"/>
      <c r="GB49" s="366"/>
      <c r="GG49" s="366"/>
      <c r="GI49" s="162"/>
      <c r="JP49" s="366"/>
      <c r="JU49" s="366"/>
      <c r="JW49" s="162"/>
      <c r="ND49" s="366"/>
      <c r="NI49" s="366"/>
      <c r="NK49" s="162"/>
      <c r="QR49" s="366"/>
      <c r="QW49" s="366"/>
      <c r="QY49" s="162"/>
      <c r="UF49" s="366"/>
      <c r="UK49" s="366"/>
      <c r="UM49" s="162"/>
      <c r="XT49" s="366"/>
      <c r="XY49" s="366"/>
      <c r="YA49" s="162"/>
      <c r="ABH49" s="366"/>
      <c r="ABM49" s="366"/>
      <c r="ABO49" s="162"/>
      <c r="AEV49" s="366"/>
      <c r="AFA49" s="366"/>
      <c r="AFC49" s="162"/>
      <c r="AIJ49" s="366"/>
      <c r="AIO49" s="366"/>
      <c r="AIQ49" s="162"/>
      <c r="ALX49" s="366"/>
      <c r="AMC49" s="366"/>
      <c r="AME49" s="162"/>
      <c r="APL49" s="366"/>
      <c r="APQ49" s="366"/>
      <c r="APS49" s="162"/>
      <c r="ASZ49" s="366"/>
      <c r="ATE49" s="366"/>
      <c r="ATG49" s="162"/>
      <c r="AWN49" s="366"/>
      <c r="AWS49" s="366"/>
      <c r="AWU49" s="162"/>
      <c r="BAB49" s="366"/>
      <c r="BAG49" s="366"/>
      <c r="BAI49" s="162"/>
      <c r="BDP49" s="366"/>
      <c r="BDU49" s="366"/>
      <c r="BDW49" s="162"/>
      <c r="BHD49" s="366"/>
      <c r="BHI49" s="366"/>
      <c r="BHK49" s="162"/>
      <c r="BKR49" s="366"/>
      <c r="BKW49" s="366"/>
      <c r="BKY49" s="162"/>
      <c r="BOF49" s="366"/>
      <c r="BOK49" s="366"/>
      <c r="BOM49" s="162"/>
      <c r="BRT49" s="366"/>
      <c r="BRY49" s="366"/>
      <c r="BSA49" s="162"/>
      <c r="BVH49" s="366"/>
      <c r="BVM49" s="366"/>
      <c r="BVO49" s="162"/>
      <c r="BYV49" s="366"/>
      <c r="BZA49" s="366"/>
      <c r="BZC49" s="162"/>
      <c r="CCJ49" s="366"/>
      <c r="CCO49" s="366"/>
      <c r="CCQ49" s="162"/>
      <c r="CFX49" s="366"/>
      <c r="CGC49" s="366"/>
      <c r="CGE49" s="162"/>
      <c r="CJL49" s="366"/>
      <c r="CJQ49" s="366"/>
      <c r="CJS49" s="162"/>
      <c r="CMZ49" s="366"/>
      <c r="CNE49" s="366"/>
      <c r="CNG49" s="162"/>
      <c r="CQN49" s="366"/>
      <c r="CQS49" s="366"/>
      <c r="CQU49" s="162"/>
      <c r="CUB49" s="366"/>
      <c r="CUG49" s="366"/>
      <c r="CUI49" s="162"/>
      <c r="CXP49" s="366"/>
      <c r="CXU49" s="366"/>
      <c r="CXW49" s="162"/>
      <c r="DBD49" s="366"/>
      <c r="DBI49" s="366"/>
      <c r="DBK49" s="162"/>
      <c r="DER49" s="366"/>
      <c r="DEW49" s="366"/>
      <c r="DEY49" s="162"/>
      <c r="DIF49" s="366"/>
      <c r="DIK49" s="366"/>
      <c r="DIM49" s="162"/>
      <c r="DLT49" s="366"/>
      <c r="DLY49" s="366"/>
      <c r="DMA49" s="162"/>
      <c r="DPH49" s="366"/>
      <c r="DPM49" s="366"/>
      <c r="DPO49" s="162"/>
      <c r="DSV49" s="366"/>
      <c r="DTA49" s="366"/>
      <c r="DTC49" s="162"/>
      <c r="DWJ49" s="366"/>
      <c r="DWO49" s="366"/>
      <c r="DWQ49" s="162"/>
      <c r="DZX49" s="366"/>
      <c r="EAC49" s="366"/>
      <c r="EAE49" s="162"/>
      <c r="EDL49" s="366"/>
      <c r="EDQ49" s="366"/>
      <c r="EDS49" s="162"/>
      <c r="EGZ49" s="366"/>
      <c r="EHE49" s="366"/>
      <c r="EHG49" s="162"/>
      <c r="EKN49" s="366"/>
      <c r="EKS49" s="366"/>
      <c r="EKU49" s="162"/>
      <c r="EOB49" s="366"/>
      <c r="EOG49" s="366"/>
      <c r="EOI49" s="162"/>
      <c r="ERP49" s="366"/>
      <c r="ERU49" s="366"/>
      <c r="ERW49" s="162"/>
      <c r="EVD49" s="366"/>
      <c r="EVI49" s="366"/>
      <c r="EVK49" s="162"/>
      <c r="EYR49" s="366"/>
      <c r="EYW49" s="366"/>
      <c r="EYY49" s="162"/>
      <c r="FCF49" s="366"/>
      <c r="FCK49" s="366"/>
      <c r="FCM49" s="162"/>
      <c r="FFT49" s="366"/>
      <c r="FFY49" s="366"/>
      <c r="FGA49" s="162"/>
      <c r="FJH49" s="366"/>
      <c r="FJM49" s="366"/>
      <c r="FJO49" s="162"/>
      <c r="FMV49" s="366"/>
      <c r="FNA49" s="366"/>
      <c r="FNC49" s="162"/>
      <c r="FQJ49" s="366"/>
      <c r="FQO49" s="366"/>
      <c r="FQQ49" s="162"/>
      <c r="FTX49" s="366"/>
      <c r="FUC49" s="366"/>
      <c r="FUE49" s="162"/>
      <c r="FXL49" s="366"/>
      <c r="FXQ49" s="366"/>
      <c r="FXS49" s="162"/>
      <c r="GAZ49" s="366"/>
      <c r="GBE49" s="366"/>
      <c r="GBG49" s="162"/>
      <c r="GEN49" s="366"/>
      <c r="GES49" s="366"/>
      <c r="GEU49" s="162"/>
      <c r="GIB49" s="366"/>
      <c r="GIG49" s="366"/>
      <c r="GII49" s="162"/>
      <c r="GLP49" s="366"/>
      <c r="GLU49" s="366"/>
      <c r="GLW49" s="162"/>
      <c r="GPD49" s="366"/>
      <c r="GPI49" s="366"/>
      <c r="GPK49" s="162"/>
      <c r="GSR49" s="366"/>
      <c r="GSW49" s="366"/>
      <c r="GSY49" s="162"/>
      <c r="GWF49" s="366"/>
      <c r="GWK49" s="366"/>
      <c r="GWM49" s="162"/>
      <c r="GZT49" s="366"/>
      <c r="GZY49" s="366"/>
      <c r="HAA49" s="162"/>
      <c r="HDH49" s="366"/>
      <c r="HDM49" s="366"/>
      <c r="HDO49" s="162"/>
      <c r="HGV49" s="366"/>
      <c r="HHA49" s="366"/>
      <c r="HHC49" s="162"/>
      <c r="HKJ49" s="366"/>
      <c r="HKO49" s="366"/>
      <c r="HKQ49" s="162"/>
      <c r="HNX49" s="366"/>
      <c r="HOC49" s="366"/>
      <c r="HOE49" s="162"/>
      <c r="HRL49" s="366"/>
      <c r="HRQ49" s="366"/>
      <c r="HRS49" s="162"/>
      <c r="HUZ49" s="366"/>
      <c r="HVE49" s="366"/>
      <c r="HVG49" s="162"/>
      <c r="HYN49" s="366"/>
      <c r="HYS49" s="366"/>
      <c r="HYU49" s="162"/>
      <c r="ICB49" s="366"/>
      <c r="ICG49" s="366"/>
      <c r="ICI49" s="162"/>
      <c r="IFP49" s="366"/>
      <c r="IFU49" s="366"/>
      <c r="IFW49" s="162"/>
      <c r="IJD49" s="366"/>
      <c r="IJI49" s="366"/>
      <c r="IJK49" s="162"/>
      <c r="IMR49" s="366"/>
      <c r="IMW49" s="366"/>
      <c r="IMY49" s="162"/>
      <c r="IQF49" s="366"/>
      <c r="IQK49" s="366"/>
      <c r="IQM49" s="162"/>
      <c r="ITT49" s="366"/>
      <c r="ITY49" s="366"/>
      <c r="IUA49" s="162"/>
      <c r="IXH49" s="366"/>
      <c r="IXM49" s="366"/>
      <c r="IXO49" s="162"/>
      <c r="JAV49" s="366"/>
      <c r="JBA49" s="366"/>
      <c r="JBC49" s="162"/>
      <c r="JEJ49" s="366"/>
      <c r="JEO49" s="366"/>
      <c r="JEQ49" s="162"/>
      <c r="JHX49" s="366"/>
      <c r="JIC49" s="366"/>
      <c r="JIE49" s="162"/>
      <c r="JLL49" s="366"/>
      <c r="JLQ49" s="366"/>
      <c r="JLS49" s="162"/>
      <c r="JOZ49" s="366"/>
      <c r="JPE49" s="366"/>
      <c r="JPG49" s="162"/>
      <c r="JSN49" s="366"/>
      <c r="JSS49" s="366"/>
      <c r="JSU49" s="162"/>
      <c r="JWB49" s="366"/>
      <c r="JWG49" s="366"/>
      <c r="JWI49" s="162"/>
      <c r="JZP49" s="366"/>
      <c r="JZU49" s="366"/>
      <c r="JZW49" s="162"/>
      <c r="KDD49" s="366"/>
      <c r="KDI49" s="366"/>
      <c r="KDK49" s="162"/>
      <c r="KGR49" s="366"/>
      <c r="KGW49" s="366"/>
      <c r="KGY49" s="162"/>
      <c r="KKF49" s="366"/>
      <c r="KKK49" s="366"/>
      <c r="KKM49" s="162"/>
      <c r="KNT49" s="366"/>
      <c r="KNY49" s="366"/>
      <c r="KOA49" s="162"/>
      <c r="KRH49" s="366"/>
      <c r="KRM49" s="366"/>
      <c r="KRO49" s="162"/>
      <c r="KUV49" s="366"/>
      <c r="KVA49" s="366"/>
      <c r="KVC49" s="162"/>
      <c r="KYJ49" s="366"/>
      <c r="KYO49" s="366"/>
      <c r="KYQ49" s="162"/>
      <c r="LBX49" s="366"/>
      <c r="LCC49" s="366"/>
      <c r="LCE49" s="162"/>
      <c r="LFL49" s="366"/>
      <c r="LFQ49" s="366"/>
      <c r="LFS49" s="162"/>
      <c r="LIZ49" s="366"/>
      <c r="LJE49" s="366"/>
      <c r="LJG49" s="162"/>
      <c r="LMN49" s="366"/>
      <c r="LMS49" s="366"/>
      <c r="LMU49" s="162"/>
      <c r="LQB49" s="366"/>
      <c r="LQG49" s="366"/>
      <c r="LQI49" s="162"/>
      <c r="LTP49" s="366"/>
      <c r="LTU49" s="366"/>
      <c r="LTW49" s="162"/>
      <c r="LXD49" s="366"/>
      <c r="LXI49" s="366"/>
      <c r="LXK49" s="162"/>
      <c r="MAR49" s="366"/>
      <c r="MAW49" s="366"/>
      <c r="MAY49" s="162"/>
      <c r="MEF49" s="366"/>
      <c r="MEK49" s="366"/>
      <c r="MEM49" s="162"/>
      <c r="MHT49" s="366"/>
      <c r="MHY49" s="366"/>
      <c r="MIA49" s="162"/>
      <c r="MLH49" s="366"/>
      <c r="MLM49" s="366"/>
      <c r="MLO49" s="162"/>
      <c r="MOV49" s="366"/>
      <c r="MPA49" s="366"/>
      <c r="MPC49" s="162"/>
      <c r="MSJ49" s="366"/>
      <c r="MSO49" s="366"/>
      <c r="MSQ49" s="162"/>
      <c r="MVX49" s="366"/>
      <c r="MWC49" s="366"/>
      <c r="MWE49" s="162"/>
      <c r="MZL49" s="366"/>
      <c r="MZQ49" s="366"/>
      <c r="MZS49" s="162"/>
      <c r="NCZ49" s="366"/>
      <c r="NDE49" s="366"/>
      <c r="NDG49" s="162"/>
      <c r="NGN49" s="366"/>
      <c r="NGS49" s="366"/>
      <c r="NGU49" s="162"/>
      <c r="NKB49" s="366"/>
      <c r="NKG49" s="366"/>
      <c r="NKI49" s="162"/>
      <c r="NNP49" s="366"/>
      <c r="NNU49" s="366"/>
      <c r="NNW49" s="162"/>
      <c r="NRD49" s="366"/>
      <c r="NRI49" s="366"/>
      <c r="NRK49" s="162"/>
      <c r="NUR49" s="366"/>
      <c r="NUW49" s="366"/>
      <c r="NUY49" s="162"/>
      <c r="NYF49" s="366"/>
      <c r="NYK49" s="366"/>
      <c r="NYM49" s="162"/>
      <c r="OBT49" s="366"/>
      <c r="OBY49" s="366"/>
      <c r="OCA49" s="162"/>
      <c r="OFH49" s="366"/>
      <c r="OFM49" s="366"/>
      <c r="OFO49" s="162"/>
      <c r="OIV49" s="366"/>
      <c r="OJA49" s="366"/>
      <c r="OJC49" s="162"/>
      <c r="OMJ49" s="366"/>
      <c r="OMO49" s="366"/>
      <c r="OMQ49" s="162"/>
      <c r="OPX49" s="366"/>
      <c r="OQC49" s="366"/>
      <c r="OQE49" s="162"/>
      <c r="OTL49" s="366"/>
      <c r="OTQ49" s="366"/>
      <c r="OTS49" s="162"/>
      <c r="OWZ49" s="366"/>
      <c r="OXE49" s="366"/>
      <c r="OXG49" s="162"/>
      <c r="PAN49" s="366"/>
      <c r="PAS49" s="366"/>
      <c r="PAU49" s="162"/>
      <c r="PEB49" s="366"/>
      <c r="PEG49" s="366"/>
      <c r="PEI49" s="162"/>
      <c r="PHP49" s="366"/>
      <c r="PHU49" s="366"/>
      <c r="PHW49" s="162"/>
      <c r="PLD49" s="366"/>
      <c r="PLI49" s="366"/>
      <c r="PLK49" s="162"/>
      <c r="POR49" s="366"/>
      <c r="POW49" s="366"/>
      <c r="POY49" s="162"/>
      <c r="PSF49" s="366"/>
      <c r="PSK49" s="366"/>
      <c r="PSM49" s="162"/>
      <c r="PVT49" s="366"/>
      <c r="PVY49" s="366"/>
      <c r="PWA49" s="162"/>
      <c r="PZH49" s="366"/>
      <c r="PZM49" s="366"/>
      <c r="PZO49" s="162"/>
      <c r="QCV49" s="366"/>
      <c r="QDA49" s="366"/>
      <c r="QDC49" s="162"/>
      <c r="QGJ49" s="366"/>
      <c r="QGO49" s="366"/>
      <c r="QGQ49" s="162"/>
      <c r="QJX49" s="366"/>
      <c r="QKC49" s="366"/>
      <c r="QKE49" s="162"/>
      <c r="QNL49" s="366"/>
      <c r="QNQ49" s="366"/>
      <c r="QNS49" s="162"/>
      <c r="QQZ49" s="366"/>
      <c r="QRE49" s="366"/>
      <c r="QRG49" s="162"/>
      <c r="QUN49" s="366"/>
      <c r="QUS49" s="366"/>
      <c r="QUU49" s="162"/>
      <c r="QYB49" s="366"/>
      <c r="QYG49" s="366"/>
      <c r="QYI49" s="162"/>
      <c r="RBP49" s="366"/>
      <c r="RBU49" s="366"/>
      <c r="RBW49" s="162"/>
      <c r="RFD49" s="366"/>
      <c r="RFI49" s="366"/>
      <c r="RFK49" s="162"/>
      <c r="RIR49" s="366"/>
      <c r="RIW49" s="366"/>
      <c r="RIY49" s="162"/>
      <c r="RMF49" s="366"/>
      <c r="RMK49" s="366"/>
      <c r="RMM49" s="162"/>
      <c r="RPT49" s="366"/>
      <c r="RPY49" s="366"/>
      <c r="RQA49" s="162"/>
      <c r="RTH49" s="366"/>
      <c r="RTM49" s="366"/>
      <c r="RTO49" s="162"/>
      <c r="RWV49" s="366"/>
      <c r="RXA49" s="366"/>
      <c r="RXC49" s="162"/>
      <c r="SAJ49" s="366"/>
      <c r="SAO49" s="366"/>
      <c r="SAQ49" s="162"/>
      <c r="SDX49" s="366"/>
      <c r="SEC49" s="366"/>
      <c r="SEE49" s="162"/>
      <c r="SHL49" s="366"/>
      <c r="SHQ49" s="366"/>
      <c r="SHS49" s="162"/>
      <c r="SKZ49" s="366"/>
      <c r="SLE49" s="366"/>
      <c r="SLG49" s="162"/>
      <c r="SON49" s="366"/>
      <c r="SOS49" s="366"/>
      <c r="SOU49" s="162"/>
      <c r="SSB49" s="366"/>
      <c r="SSG49" s="366"/>
      <c r="SSI49" s="162"/>
      <c r="SVP49" s="366"/>
      <c r="SVU49" s="366"/>
      <c r="SVW49" s="162"/>
      <c r="SZD49" s="366"/>
      <c r="SZI49" s="366"/>
      <c r="SZK49" s="162"/>
      <c r="TCR49" s="366"/>
      <c r="TCW49" s="366"/>
      <c r="TCY49" s="162"/>
      <c r="TGF49" s="366"/>
      <c r="TGK49" s="366"/>
      <c r="TGM49" s="162"/>
      <c r="TJT49" s="366"/>
      <c r="TJY49" s="366"/>
      <c r="TKA49" s="162"/>
      <c r="TNH49" s="366"/>
      <c r="TNM49" s="366"/>
      <c r="TNO49" s="162"/>
      <c r="TQV49" s="366"/>
      <c r="TRA49" s="366"/>
      <c r="TRC49" s="162"/>
      <c r="TUJ49" s="366"/>
      <c r="TUO49" s="366"/>
      <c r="TUQ49" s="162"/>
      <c r="TXX49" s="366"/>
      <c r="TYC49" s="366"/>
      <c r="TYE49" s="162"/>
      <c r="UBL49" s="366"/>
      <c r="UBQ49" s="366"/>
      <c r="UBS49" s="162"/>
      <c r="UEZ49" s="366"/>
      <c r="UFE49" s="366"/>
      <c r="UFG49" s="162"/>
      <c r="UIN49" s="366"/>
      <c r="UIS49" s="366"/>
      <c r="UIU49" s="162"/>
      <c r="UMB49" s="366"/>
      <c r="UMG49" s="366"/>
      <c r="UMI49" s="162"/>
      <c r="UPP49" s="366"/>
      <c r="UPU49" s="366"/>
      <c r="UPW49" s="162"/>
      <c r="UTD49" s="366"/>
      <c r="UTI49" s="366"/>
      <c r="UTK49" s="162"/>
      <c r="UWR49" s="366"/>
      <c r="UWW49" s="366"/>
      <c r="UWY49" s="162"/>
      <c r="VAF49" s="366"/>
      <c r="VAK49" s="366"/>
      <c r="VAM49" s="162"/>
      <c r="VDT49" s="366"/>
      <c r="VDY49" s="366"/>
      <c r="VEA49" s="162"/>
      <c r="VHH49" s="366"/>
      <c r="VHM49" s="366"/>
      <c r="VHO49" s="162"/>
      <c r="VKV49" s="366"/>
      <c r="VLA49" s="366"/>
      <c r="VLC49" s="162"/>
      <c r="VOJ49" s="366"/>
      <c r="VOO49" s="366"/>
      <c r="VOQ49" s="162"/>
      <c r="VRX49" s="366"/>
      <c r="VSC49" s="366"/>
      <c r="VSE49" s="162"/>
      <c r="VVL49" s="366"/>
      <c r="VVQ49" s="366"/>
      <c r="VVS49" s="162"/>
      <c r="VYZ49" s="366"/>
      <c r="VZE49" s="366"/>
      <c r="VZG49" s="162"/>
      <c r="WCN49" s="366"/>
      <c r="WCS49" s="366"/>
      <c r="WCU49" s="162"/>
      <c r="WGB49" s="366"/>
      <c r="WGG49" s="366"/>
      <c r="WGI49" s="162"/>
      <c r="WJP49" s="366"/>
      <c r="WJU49" s="366"/>
      <c r="WJW49" s="162"/>
      <c r="WND49" s="366"/>
      <c r="WNI49" s="366"/>
      <c r="WNK49" s="162"/>
      <c r="WQR49" s="366"/>
      <c r="WQW49" s="366"/>
      <c r="WQY49" s="162"/>
      <c r="WUF49" s="366"/>
      <c r="WUK49" s="366"/>
      <c r="WUM49" s="162"/>
      <c r="WXT49" s="366"/>
      <c r="WXY49" s="366"/>
      <c r="WYA49" s="162"/>
      <c r="XBH49" s="366"/>
      <c r="XBM49" s="366"/>
      <c r="XBO49" s="162"/>
      <c r="XEV49" s="366"/>
      <c r="XFA49" s="366"/>
      <c r="XFC49" s="162"/>
    </row>
    <row r="50" spans="3:1019 1104:2031 2116:3043 3128:4055 4140:5067 5152:6079 6164:7091 7176:8188 8193:9207 9292:10219 10304:11231 11316:12243 12328:13255 13340:14267 14352:15279 15364:16383" s="10" customFormat="1" ht="14.65" customHeight="1">
      <c r="E50" s="47"/>
      <c r="G50" s="11"/>
      <c r="CS50" s="47"/>
      <c r="CU50" s="11"/>
      <c r="GB50" s="47"/>
      <c r="GG50" s="47"/>
      <c r="GI50" s="11"/>
      <c r="JP50" s="47"/>
      <c r="JU50" s="47"/>
      <c r="JW50" s="11"/>
      <c r="ND50" s="47"/>
      <c r="NI50" s="47"/>
      <c r="NK50" s="11"/>
      <c r="QR50" s="47"/>
      <c r="QW50" s="47"/>
      <c r="QY50" s="11"/>
      <c r="UF50" s="47"/>
      <c r="UK50" s="47"/>
      <c r="UM50" s="11"/>
      <c r="XT50" s="47"/>
      <c r="XY50" s="47"/>
      <c r="YA50" s="11"/>
      <c r="ABH50" s="47"/>
      <c r="ABM50" s="47"/>
      <c r="ABO50" s="11"/>
      <c r="AEV50" s="47"/>
      <c r="AFA50" s="47"/>
      <c r="AFC50" s="11"/>
      <c r="AIJ50" s="47"/>
      <c r="AIO50" s="47"/>
      <c r="AIQ50" s="11"/>
      <c r="ALX50" s="47"/>
      <c r="AMC50" s="47"/>
      <c r="AME50" s="11"/>
      <c r="APL50" s="47"/>
      <c r="APQ50" s="47"/>
      <c r="APS50" s="11"/>
      <c r="ASZ50" s="47"/>
      <c r="ATE50" s="47"/>
      <c r="ATG50" s="11"/>
      <c r="AWN50" s="47"/>
      <c r="AWS50" s="47"/>
      <c r="AWU50" s="11"/>
      <c r="BAB50" s="47"/>
      <c r="BAG50" s="47"/>
      <c r="BAI50" s="11"/>
      <c r="BDP50" s="47"/>
      <c r="BDU50" s="47"/>
      <c r="BDW50" s="11"/>
      <c r="BHD50" s="47"/>
      <c r="BHI50" s="47"/>
      <c r="BHK50" s="11"/>
      <c r="BKR50" s="47"/>
      <c r="BKW50" s="47"/>
      <c r="BKY50" s="11"/>
      <c r="BOF50" s="47"/>
      <c r="BOK50" s="47"/>
      <c r="BOM50" s="11"/>
      <c r="BRT50" s="47"/>
      <c r="BRY50" s="47"/>
      <c r="BSA50" s="11"/>
      <c r="BVH50" s="47"/>
      <c r="BVM50" s="47"/>
      <c r="BVO50" s="11"/>
      <c r="BYV50" s="47"/>
      <c r="BZA50" s="47"/>
      <c r="BZC50" s="11"/>
      <c r="CCJ50" s="47"/>
      <c r="CCO50" s="47"/>
      <c r="CCQ50" s="11"/>
      <c r="CFX50" s="47"/>
      <c r="CGC50" s="47"/>
      <c r="CGE50" s="11"/>
      <c r="CJL50" s="47"/>
      <c r="CJQ50" s="47"/>
      <c r="CJS50" s="11"/>
      <c r="CMZ50" s="47"/>
      <c r="CNE50" s="47"/>
      <c r="CNG50" s="11"/>
      <c r="CQN50" s="47"/>
      <c r="CQS50" s="47"/>
      <c r="CQU50" s="11"/>
      <c r="CUB50" s="47"/>
      <c r="CUG50" s="47"/>
      <c r="CUI50" s="11"/>
      <c r="CXP50" s="47"/>
      <c r="CXU50" s="47"/>
      <c r="CXW50" s="11"/>
      <c r="DBD50" s="47"/>
      <c r="DBI50" s="47"/>
      <c r="DBK50" s="11"/>
      <c r="DER50" s="47"/>
      <c r="DEW50" s="47"/>
      <c r="DEY50" s="11"/>
      <c r="DIF50" s="47"/>
      <c r="DIK50" s="47"/>
      <c r="DIM50" s="11"/>
      <c r="DLT50" s="47"/>
      <c r="DLY50" s="47"/>
      <c r="DMA50" s="11"/>
      <c r="DPH50" s="47"/>
      <c r="DPM50" s="47"/>
      <c r="DPO50" s="11"/>
      <c r="DSV50" s="47"/>
      <c r="DTA50" s="47"/>
      <c r="DTC50" s="11"/>
      <c r="DWJ50" s="47"/>
      <c r="DWO50" s="47"/>
      <c r="DWQ50" s="11"/>
      <c r="DZX50" s="47"/>
      <c r="EAC50" s="47"/>
      <c r="EAE50" s="11"/>
      <c r="EDL50" s="47"/>
      <c r="EDQ50" s="47"/>
      <c r="EDS50" s="11"/>
      <c r="EGZ50" s="47"/>
      <c r="EHE50" s="47"/>
      <c r="EHG50" s="11"/>
      <c r="EKN50" s="47"/>
      <c r="EKS50" s="47"/>
      <c r="EKU50" s="11"/>
      <c r="EOB50" s="47"/>
      <c r="EOG50" s="47"/>
      <c r="EOI50" s="11"/>
      <c r="ERP50" s="47"/>
      <c r="ERU50" s="47"/>
      <c r="ERW50" s="11"/>
      <c r="EVD50" s="47"/>
      <c r="EVI50" s="47"/>
      <c r="EVK50" s="11"/>
      <c r="EYR50" s="47"/>
      <c r="EYW50" s="47"/>
      <c r="EYY50" s="11"/>
      <c r="FCF50" s="47"/>
      <c r="FCK50" s="47"/>
      <c r="FCM50" s="11"/>
      <c r="FFT50" s="47"/>
      <c r="FFY50" s="47"/>
      <c r="FGA50" s="11"/>
      <c r="FJH50" s="47"/>
      <c r="FJM50" s="47"/>
      <c r="FJO50" s="11"/>
      <c r="FMV50" s="47"/>
      <c r="FNA50" s="47"/>
      <c r="FNC50" s="11"/>
      <c r="FQJ50" s="47"/>
      <c r="FQO50" s="47"/>
      <c r="FQQ50" s="11"/>
      <c r="FTX50" s="47"/>
      <c r="FUC50" s="47"/>
      <c r="FUE50" s="11"/>
      <c r="FXL50" s="47"/>
      <c r="FXQ50" s="47"/>
      <c r="FXS50" s="11"/>
      <c r="GAZ50" s="47"/>
      <c r="GBE50" s="47"/>
      <c r="GBG50" s="11"/>
      <c r="GEN50" s="47"/>
      <c r="GES50" s="47"/>
      <c r="GEU50" s="11"/>
      <c r="GIB50" s="47"/>
      <c r="GIG50" s="47"/>
      <c r="GII50" s="11"/>
      <c r="GLP50" s="47"/>
      <c r="GLU50" s="47"/>
      <c r="GLW50" s="11"/>
      <c r="GPD50" s="47"/>
      <c r="GPI50" s="47"/>
      <c r="GPK50" s="11"/>
      <c r="GSR50" s="47"/>
      <c r="GSW50" s="47"/>
      <c r="GSY50" s="11"/>
      <c r="GWF50" s="47"/>
      <c r="GWK50" s="47"/>
      <c r="GWM50" s="11"/>
      <c r="GZT50" s="47"/>
      <c r="GZY50" s="47"/>
      <c r="HAA50" s="11"/>
      <c r="HDH50" s="47"/>
      <c r="HDM50" s="47"/>
      <c r="HDO50" s="11"/>
      <c r="HGV50" s="47"/>
      <c r="HHA50" s="47"/>
      <c r="HHC50" s="11"/>
      <c r="HKJ50" s="47"/>
      <c r="HKO50" s="47"/>
      <c r="HKQ50" s="11"/>
      <c r="HNX50" s="47"/>
      <c r="HOC50" s="47"/>
      <c r="HOE50" s="11"/>
      <c r="HRL50" s="47"/>
      <c r="HRQ50" s="47"/>
      <c r="HRS50" s="11"/>
      <c r="HUZ50" s="47"/>
      <c r="HVE50" s="47"/>
      <c r="HVG50" s="11"/>
      <c r="HYN50" s="47"/>
      <c r="HYS50" s="47"/>
      <c r="HYU50" s="11"/>
      <c r="ICB50" s="47"/>
      <c r="ICG50" s="47"/>
      <c r="ICI50" s="11"/>
      <c r="IFP50" s="47"/>
      <c r="IFU50" s="47"/>
      <c r="IFW50" s="11"/>
      <c r="IJD50" s="47"/>
      <c r="IJI50" s="47"/>
      <c r="IJK50" s="11"/>
      <c r="IMR50" s="47"/>
      <c r="IMW50" s="47"/>
      <c r="IMY50" s="11"/>
      <c r="IQF50" s="47"/>
      <c r="IQK50" s="47"/>
      <c r="IQM50" s="11"/>
      <c r="ITT50" s="47"/>
      <c r="ITY50" s="47"/>
      <c r="IUA50" s="11"/>
      <c r="IXH50" s="47"/>
      <c r="IXM50" s="47"/>
      <c r="IXO50" s="11"/>
      <c r="JAV50" s="47"/>
      <c r="JBA50" s="47"/>
      <c r="JBC50" s="11"/>
      <c r="JEJ50" s="47"/>
      <c r="JEO50" s="47"/>
      <c r="JEQ50" s="11"/>
      <c r="JHX50" s="47"/>
      <c r="JIC50" s="47"/>
      <c r="JIE50" s="11"/>
      <c r="JLL50" s="47"/>
      <c r="JLQ50" s="47"/>
      <c r="JLS50" s="11"/>
      <c r="JOZ50" s="47"/>
      <c r="JPE50" s="47"/>
      <c r="JPG50" s="11"/>
      <c r="JSN50" s="47"/>
      <c r="JSS50" s="47"/>
      <c r="JSU50" s="11"/>
      <c r="JWB50" s="47"/>
      <c r="JWG50" s="47"/>
      <c r="JWI50" s="11"/>
      <c r="JZP50" s="47"/>
      <c r="JZU50" s="47"/>
      <c r="JZW50" s="11"/>
      <c r="KDD50" s="47"/>
      <c r="KDI50" s="47"/>
      <c r="KDK50" s="11"/>
      <c r="KGR50" s="47"/>
      <c r="KGW50" s="47"/>
      <c r="KGY50" s="11"/>
      <c r="KKF50" s="47"/>
      <c r="KKK50" s="47"/>
      <c r="KKM50" s="11"/>
      <c r="KNT50" s="47"/>
      <c r="KNY50" s="47"/>
      <c r="KOA50" s="11"/>
      <c r="KRH50" s="47"/>
      <c r="KRM50" s="47"/>
      <c r="KRO50" s="11"/>
      <c r="KUV50" s="47"/>
      <c r="KVA50" s="47"/>
      <c r="KVC50" s="11"/>
      <c r="KYJ50" s="47"/>
      <c r="KYO50" s="47"/>
      <c r="KYQ50" s="11"/>
      <c r="LBX50" s="47"/>
      <c r="LCC50" s="47"/>
      <c r="LCE50" s="11"/>
      <c r="LFL50" s="47"/>
      <c r="LFQ50" s="47"/>
      <c r="LFS50" s="11"/>
      <c r="LIZ50" s="47"/>
      <c r="LJE50" s="47"/>
      <c r="LJG50" s="11"/>
      <c r="LMN50" s="47"/>
      <c r="LMS50" s="47"/>
      <c r="LMU50" s="11"/>
      <c r="LQB50" s="47"/>
      <c r="LQG50" s="47"/>
      <c r="LQI50" s="11"/>
      <c r="LTP50" s="47"/>
      <c r="LTU50" s="47"/>
      <c r="LTW50" s="11"/>
      <c r="LXD50" s="47"/>
      <c r="LXI50" s="47"/>
      <c r="LXK50" s="11"/>
      <c r="MAR50" s="47"/>
      <c r="MAW50" s="47"/>
      <c r="MAY50" s="11"/>
      <c r="MEF50" s="47"/>
      <c r="MEK50" s="47"/>
      <c r="MEM50" s="11"/>
      <c r="MHT50" s="47"/>
      <c r="MHY50" s="47"/>
      <c r="MIA50" s="11"/>
      <c r="MLH50" s="47"/>
      <c r="MLM50" s="47"/>
      <c r="MLO50" s="11"/>
      <c r="MOV50" s="47"/>
      <c r="MPA50" s="47"/>
      <c r="MPC50" s="11"/>
      <c r="MSJ50" s="47"/>
      <c r="MSO50" s="47"/>
      <c r="MSQ50" s="11"/>
      <c r="MVX50" s="47"/>
      <c r="MWC50" s="47"/>
      <c r="MWE50" s="11"/>
      <c r="MZL50" s="47"/>
      <c r="MZQ50" s="47"/>
      <c r="MZS50" s="11"/>
      <c r="NCZ50" s="47"/>
      <c r="NDE50" s="47"/>
      <c r="NDG50" s="11"/>
      <c r="NGN50" s="47"/>
      <c r="NGS50" s="47"/>
      <c r="NGU50" s="11"/>
      <c r="NKB50" s="47"/>
      <c r="NKG50" s="47"/>
      <c r="NKI50" s="11"/>
      <c r="NNP50" s="47"/>
      <c r="NNU50" s="47"/>
      <c r="NNW50" s="11"/>
      <c r="NRD50" s="47"/>
      <c r="NRI50" s="47"/>
      <c r="NRK50" s="11"/>
      <c r="NUR50" s="47"/>
      <c r="NUW50" s="47"/>
      <c r="NUY50" s="11"/>
      <c r="NYF50" s="47"/>
      <c r="NYK50" s="47"/>
      <c r="NYM50" s="11"/>
      <c r="OBT50" s="47"/>
      <c r="OBY50" s="47"/>
      <c r="OCA50" s="11"/>
      <c r="OFH50" s="47"/>
      <c r="OFM50" s="47"/>
      <c r="OFO50" s="11"/>
      <c r="OIV50" s="47"/>
      <c r="OJA50" s="47"/>
      <c r="OJC50" s="11"/>
      <c r="OMJ50" s="47"/>
      <c r="OMO50" s="47"/>
      <c r="OMQ50" s="11"/>
      <c r="OPX50" s="47"/>
      <c r="OQC50" s="47"/>
      <c r="OQE50" s="11"/>
      <c r="OTL50" s="47"/>
      <c r="OTQ50" s="47"/>
      <c r="OTS50" s="11"/>
      <c r="OWZ50" s="47"/>
      <c r="OXE50" s="47"/>
      <c r="OXG50" s="11"/>
      <c r="PAN50" s="47"/>
      <c r="PAS50" s="47"/>
      <c r="PAU50" s="11"/>
      <c r="PEB50" s="47"/>
      <c r="PEG50" s="47"/>
      <c r="PEI50" s="11"/>
      <c r="PHP50" s="47"/>
      <c r="PHU50" s="47"/>
      <c r="PHW50" s="11"/>
      <c r="PLD50" s="47"/>
      <c r="PLI50" s="47"/>
      <c r="PLK50" s="11"/>
      <c r="POR50" s="47"/>
      <c r="POW50" s="47"/>
      <c r="POY50" s="11"/>
      <c r="PSF50" s="47"/>
      <c r="PSK50" s="47"/>
      <c r="PSM50" s="11"/>
      <c r="PVT50" s="47"/>
      <c r="PVY50" s="47"/>
      <c r="PWA50" s="11"/>
      <c r="PZH50" s="47"/>
      <c r="PZM50" s="47"/>
      <c r="PZO50" s="11"/>
      <c r="QCV50" s="47"/>
      <c r="QDA50" s="47"/>
      <c r="QDC50" s="11"/>
      <c r="QGJ50" s="47"/>
      <c r="QGO50" s="47"/>
      <c r="QGQ50" s="11"/>
      <c r="QJX50" s="47"/>
      <c r="QKC50" s="47"/>
      <c r="QKE50" s="11"/>
      <c r="QNL50" s="47"/>
      <c r="QNQ50" s="47"/>
      <c r="QNS50" s="11"/>
      <c r="QQZ50" s="47"/>
      <c r="QRE50" s="47"/>
      <c r="QRG50" s="11"/>
      <c r="QUN50" s="47"/>
      <c r="QUS50" s="47"/>
      <c r="QUU50" s="11"/>
      <c r="QYB50" s="47"/>
      <c r="QYG50" s="47"/>
      <c r="QYI50" s="11"/>
      <c r="RBP50" s="47"/>
      <c r="RBU50" s="47"/>
      <c r="RBW50" s="11"/>
      <c r="RFD50" s="47"/>
      <c r="RFI50" s="47"/>
      <c r="RFK50" s="11"/>
      <c r="RIR50" s="47"/>
      <c r="RIW50" s="47"/>
      <c r="RIY50" s="11"/>
      <c r="RMF50" s="47"/>
      <c r="RMK50" s="47"/>
      <c r="RMM50" s="11"/>
      <c r="RPT50" s="47"/>
      <c r="RPY50" s="47"/>
      <c r="RQA50" s="11"/>
      <c r="RTH50" s="47"/>
      <c r="RTM50" s="47"/>
      <c r="RTO50" s="11"/>
      <c r="RWV50" s="47"/>
      <c r="RXA50" s="47"/>
      <c r="RXC50" s="11"/>
      <c r="SAJ50" s="47"/>
      <c r="SAO50" s="47"/>
      <c r="SAQ50" s="11"/>
      <c r="SDX50" s="47"/>
      <c r="SEC50" s="47"/>
      <c r="SEE50" s="11"/>
      <c r="SHL50" s="47"/>
      <c r="SHQ50" s="47"/>
      <c r="SHS50" s="11"/>
      <c r="SKZ50" s="47"/>
      <c r="SLE50" s="47"/>
      <c r="SLG50" s="11"/>
      <c r="SON50" s="47"/>
      <c r="SOS50" s="47"/>
      <c r="SOU50" s="11"/>
      <c r="SSB50" s="47"/>
      <c r="SSG50" s="47"/>
      <c r="SSI50" s="11"/>
      <c r="SVP50" s="47"/>
      <c r="SVU50" s="47"/>
      <c r="SVW50" s="11"/>
      <c r="SZD50" s="47"/>
      <c r="SZI50" s="47"/>
      <c r="SZK50" s="11"/>
      <c r="TCR50" s="47"/>
      <c r="TCW50" s="47"/>
      <c r="TCY50" s="11"/>
      <c r="TGF50" s="47"/>
      <c r="TGK50" s="47"/>
      <c r="TGM50" s="11"/>
      <c r="TJT50" s="47"/>
      <c r="TJY50" s="47"/>
      <c r="TKA50" s="11"/>
      <c r="TNH50" s="47"/>
      <c r="TNM50" s="47"/>
      <c r="TNO50" s="11"/>
      <c r="TQV50" s="47"/>
      <c r="TRA50" s="47"/>
      <c r="TRC50" s="11"/>
      <c r="TUJ50" s="47"/>
      <c r="TUO50" s="47"/>
      <c r="TUQ50" s="11"/>
      <c r="TXX50" s="47"/>
      <c r="TYC50" s="47"/>
      <c r="TYE50" s="11"/>
      <c r="UBL50" s="47"/>
      <c r="UBQ50" s="47"/>
      <c r="UBS50" s="11"/>
      <c r="UEZ50" s="47"/>
      <c r="UFE50" s="47"/>
      <c r="UFG50" s="11"/>
      <c r="UIN50" s="47"/>
      <c r="UIS50" s="47"/>
      <c r="UIU50" s="11"/>
      <c r="UMB50" s="47"/>
      <c r="UMG50" s="47"/>
      <c r="UMI50" s="11"/>
      <c r="UPP50" s="47"/>
      <c r="UPU50" s="47"/>
      <c r="UPW50" s="11"/>
      <c r="UTD50" s="47"/>
      <c r="UTI50" s="47"/>
      <c r="UTK50" s="11"/>
      <c r="UWR50" s="47"/>
      <c r="UWW50" s="47"/>
      <c r="UWY50" s="11"/>
      <c r="VAF50" s="47"/>
      <c r="VAK50" s="47"/>
      <c r="VAM50" s="11"/>
      <c r="VDT50" s="47"/>
      <c r="VDY50" s="47"/>
      <c r="VEA50" s="11"/>
      <c r="VHH50" s="47"/>
      <c r="VHM50" s="47"/>
      <c r="VHO50" s="11"/>
      <c r="VKV50" s="47"/>
      <c r="VLA50" s="47"/>
      <c r="VLC50" s="11"/>
      <c r="VOJ50" s="47"/>
      <c r="VOO50" s="47"/>
      <c r="VOQ50" s="11"/>
      <c r="VRX50" s="47"/>
      <c r="VSC50" s="47"/>
      <c r="VSE50" s="11"/>
      <c r="VVL50" s="47"/>
      <c r="VVQ50" s="47"/>
      <c r="VVS50" s="11"/>
      <c r="VYZ50" s="47"/>
      <c r="VZE50" s="47"/>
      <c r="VZG50" s="11"/>
      <c r="WCN50" s="47"/>
      <c r="WCS50" s="47"/>
      <c r="WCU50" s="11"/>
      <c r="WGB50" s="47"/>
      <c r="WGG50" s="47"/>
      <c r="WGI50" s="11"/>
      <c r="WJP50" s="47"/>
      <c r="WJU50" s="47"/>
      <c r="WJW50" s="11"/>
      <c r="WND50" s="47"/>
      <c r="WNI50" s="47"/>
      <c r="WNK50" s="11"/>
      <c r="WQR50" s="47"/>
      <c r="WQW50" s="47"/>
      <c r="WQY50" s="11"/>
      <c r="WUF50" s="47"/>
      <c r="WUK50" s="47"/>
      <c r="WUM50" s="11"/>
      <c r="WXT50" s="47"/>
      <c r="WXY50" s="47"/>
      <c r="WYA50" s="11"/>
      <c r="XBH50" s="47"/>
      <c r="XBM50" s="47"/>
      <c r="XBO50" s="11"/>
      <c r="XEV50" s="47"/>
      <c r="XFA50" s="47"/>
      <c r="XFC50" s="11"/>
    </row>
    <row r="51" spans="3:1019 1104:2031 2116:3043 3128:4055 4140:5067 5152:6079 6164:7091 7176:8188 8193:9207 9292:10219 10304:11231 11316:12243 12328:13255 13340:14267 14352:15279 15364:16383" s="10" customFormat="1" ht="14.65" customHeight="1">
      <c r="C51" s="35" t="s">
        <v>978</v>
      </c>
      <c r="E51" s="47"/>
      <c r="G51" s="162" t="str">
        <f>Monetary_Unit</f>
        <v>тыс. руб.</v>
      </c>
      <c r="I51" s="23">
        <f ca="1">SUM(L51:CM51)</f>
        <v>-460714.06683307159</v>
      </c>
      <c r="L51" s="10">
        <f ca="1" xml:space="preserve"> L37 * L$30</f>
        <v>0</v>
      </c>
      <c r="M51" s="10">
        <f t="shared" ref="M51:BX51" ca="1" si="27" xml:space="preserve"> M37 * M$30</f>
        <v>0</v>
      </c>
      <c r="N51" s="10">
        <f t="shared" ca="1" si="27"/>
        <v>0</v>
      </c>
      <c r="O51" s="10">
        <f t="shared" ca="1" si="27"/>
        <v>0</v>
      </c>
      <c r="P51" s="10">
        <f t="shared" ca="1" si="27"/>
        <v>0</v>
      </c>
      <c r="Q51" s="10">
        <f t="shared" ca="1" si="27"/>
        <v>0</v>
      </c>
      <c r="R51" s="10">
        <f t="shared" ca="1" si="27"/>
        <v>0</v>
      </c>
      <c r="S51" s="10">
        <f t="shared" ca="1" si="27"/>
        <v>0</v>
      </c>
      <c r="T51" s="10">
        <f t="shared" ca="1" si="27"/>
        <v>0</v>
      </c>
      <c r="U51" s="10">
        <f t="shared" ca="1" si="27"/>
        <v>0</v>
      </c>
      <c r="V51" s="10">
        <f t="shared" ca="1" si="27"/>
        <v>0</v>
      </c>
      <c r="W51" s="10">
        <f t="shared" ca="1" si="27"/>
        <v>0</v>
      </c>
      <c r="X51" s="10">
        <f t="shared" ca="1" si="27"/>
        <v>0</v>
      </c>
      <c r="Y51" s="10">
        <f t="shared" ca="1" si="27"/>
        <v>0</v>
      </c>
      <c r="Z51" s="10">
        <f t="shared" ca="1" si="27"/>
        <v>0</v>
      </c>
      <c r="AA51" s="10">
        <f t="shared" ca="1" si="27"/>
        <v>0</v>
      </c>
      <c r="AB51" s="10">
        <f t="shared" ca="1" si="27"/>
        <v>0</v>
      </c>
      <c r="AC51" s="10">
        <f t="shared" ca="1" si="27"/>
        <v>-280291.2408993094</v>
      </c>
      <c r="AD51" s="10">
        <f t="shared" ca="1" si="27"/>
        <v>-58790.367476927073</v>
      </c>
      <c r="AE51" s="10">
        <f t="shared" ca="1" si="27"/>
        <v>-5906.7374591671187</v>
      </c>
      <c r="AF51" s="10">
        <f t="shared" ca="1" si="27"/>
        <v>-11646.926996574326</v>
      </c>
      <c r="AG51" s="10">
        <f t="shared" ca="1" si="27"/>
        <v>-3771.9655608692019</v>
      </c>
      <c r="AH51" s="10">
        <f t="shared" ca="1" si="27"/>
        <v>-3236.0359530507008</v>
      </c>
      <c r="AI51" s="10">
        <f t="shared" ca="1" si="27"/>
        <v>-6036.029208568898</v>
      </c>
      <c r="AJ51" s="10">
        <f t="shared" ca="1" si="27"/>
        <v>-11866.366948097786</v>
      </c>
      <c r="AK51" s="10">
        <f t="shared" ca="1" si="27"/>
        <v>-3829.8721946129376</v>
      </c>
      <c r="AL51" s="10">
        <f t="shared" ca="1" si="27"/>
        <v>-3276.1289103060012</v>
      </c>
      <c r="AM51" s="10">
        <f t="shared" ca="1" si="27"/>
        <v>-6096.1486989035393</v>
      </c>
      <c r="AN51" s="10">
        <f t="shared" ca="1" si="27"/>
        <v>-11955.697265024002</v>
      </c>
      <c r="AO51" s="10">
        <f t="shared" ca="1" si="27"/>
        <v>-3847.9716129161388</v>
      </c>
      <c r="AP51" s="10">
        <f t="shared" ca="1" si="27"/>
        <v>-3320.2051235059948</v>
      </c>
      <c r="AQ51" s="10">
        <f t="shared" ca="1" si="27"/>
        <v>-6098.2812188038279</v>
      </c>
      <c r="AR51" s="10">
        <f t="shared" ca="1" si="27"/>
        <v>-11676.475654502665</v>
      </c>
      <c r="AS51" s="10">
        <f t="shared" ca="1" si="27"/>
        <v>-3670.0594682914038</v>
      </c>
      <c r="AT51" s="10">
        <f t="shared" ca="1" si="27"/>
        <v>-3060.915185315328</v>
      </c>
      <c r="AU51" s="10">
        <f t="shared" ca="1" si="27"/>
        <v>-5558.5119266539177</v>
      </c>
      <c r="AV51" s="10">
        <f t="shared" ca="1" si="27"/>
        <v>-10642.93051484703</v>
      </c>
      <c r="AW51" s="10">
        <f t="shared" ca="1" si="27"/>
        <v>-3345.2320426016317</v>
      </c>
      <c r="AX51" s="10">
        <f t="shared" ca="1" si="27"/>
        <v>-2789.9665142225567</v>
      </c>
      <c r="AY51" s="10">
        <f t="shared" ca="1" si="27"/>
        <v>0</v>
      </c>
      <c r="AZ51" s="10">
        <f t="shared" ca="1" si="27"/>
        <v>0</v>
      </c>
      <c r="BA51" s="10">
        <f t="shared" ca="1" si="27"/>
        <v>0</v>
      </c>
      <c r="BB51" s="10">
        <f t="shared" ca="1" si="27"/>
        <v>0</v>
      </c>
      <c r="BC51" s="10">
        <f t="shared" ca="1" si="27"/>
        <v>0</v>
      </c>
      <c r="BD51" s="10">
        <f t="shared" ca="1" si="27"/>
        <v>0</v>
      </c>
      <c r="BE51" s="10">
        <f t="shared" ca="1" si="27"/>
        <v>0</v>
      </c>
      <c r="BF51" s="10">
        <f t="shared" ca="1" si="27"/>
        <v>0</v>
      </c>
      <c r="BG51" s="10">
        <f t="shared" ca="1" si="27"/>
        <v>0</v>
      </c>
      <c r="BH51" s="10">
        <f t="shared" ca="1" si="27"/>
        <v>0</v>
      </c>
      <c r="BI51" s="10">
        <f t="shared" ca="1" si="27"/>
        <v>0</v>
      </c>
      <c r="BJ51" s="10">
        <f t="shared" ca="1" si="27"/>
        <v>0</v>
      </c>
      <c r="BK51" s="10">
        <f t="shared" ca="1" si="27"/>
        <v>0</v>
      </c>
      <c r="BL51" s="10">
        <f t="shared" ca="1" si="27"/>
        <v>0</v>
      </c>
      <c r="BM51" s="10">
        <f t="shared" ca="1" si="27"/>
        <v>0</v>
      </c>
      <c r="BN51" s="10">
        <f t="shared" ca="1" si="27"/>
        <v>0</v>
      </c>
      <c r="BO51" s="10">
        <f t="shared" ca="1" si="27"/>
        <v>0</v>
      </c>
      <c r="BP51" s="10">
        <f t="shared" ca="1" si="27"/>
        <v>0</v>
      </c>
      <c r="BQ51" s="10">
        <f t="shared" ca="1" si="27"/>
        <v>0</v>
      </c>
      <c r="BR51" s="10">
        <f t="shared" ca="1" si="27"/>
        <v>0</v>
      </c>
      <c r="BS51" s="10">
        <f t="shared" ca="1" si="27"/>
        <v>0</v>
      </c>
      <c r="BT51" s="10">
        <f t="shared" ca="1" si="27"/>
        <v>0</v>
      </c>
      <c r="BU51" s="10">
        <f t="shared" ca="1" si="27"/>
        <v>0</v>
      </c>
      <c r="BV51" s="10">
        <f t="shared" ca="1" si="27"/>
        <v>0</v>
      </c>
      <c r="BW51" s="10">
        <f t="shared" ca="1" si="27"/>
        <v>0</v>
      </c>
      <c r="BX51" s="10">
        <f t="shared" ca="1" si="27"/>
        <v>0</v>
      </c>
      <c r="BY51" s="10">
        <f t="shared" ref="BY51:CM51" ca="1" si="28" xml:space="preserve"> BY37 * BY$30</f>
        <v>0</v>
      </c>
      <c r="BZ51" s="10">
        <f t="shared" ca="1" si="28"/>
        <v>0</v>
      </c>
      <c r="CA51" s="10">
        <f t="shared" ca="1" si="28"/>
        <v>0</v>
      </c>
      <c r="CB51" s="10">
        <f t="shared" ca="1" si="28"/>
        <v>0</v>
      </c>
      <c r="CC51" s="10">
        <f t="shared" ca="1" si="28"/>
        <v>0</v>
      </c>
      <c r="CD51" s="10">
        <f t="shared" ca="1" si="28"/>
        <v>0</v>
      </c>
      <c r="CE51" s="10">
        <f t="shared" ca="1" si="28"/>
        <v>0</v>
      </c>
      <c r="CF51" s="10">
        <f t="shared" ca="1" si="28"/>
        <v>0</v>
      </c>
      <c r="CG51" s="10">
        <f t="shared" ca="1" si="28"/>
        <v>0</v>
      </c>
      <c r="CH51" s="10">
        <f t="shared" ca="1" si="28"/>
        <v>0</v>
      </c>
      <c r="CI51" s="10">
        <f t="shared" ca="1" si="28"/>
        <v>0</v>
      </c>
      <c r="CJ51" s="10">
        <f t="shared" ca="1" si="28"/>
        <v>0</v>
      </c>
      <c r="CK51" s="10">
        <f t="shared" ca="1" si="28"/>
        <v>0</v>
      </c>
      <c r="CL51" s="10">
        <f t="shared" ca="1" si="28"/>
        <v>0</v>
      </c>
      <c r="CM51" s="10">
        <f t="shared" ca="1" si="28"/>
        <v>0</v>
      </c>
      <c r="CN51" s="10">
        <f ca="1" xml:space="preserve"> CN37 * CN$30</f>
        <v>0</v>
      </c>
      <c r="CO51" s="10">
        <f ca="1" xml:space="preserve"> CO37 * CO$30</f>
        <v>0</v>
      </c>
      <c r="CS51" s="47"/>
      <c r="CU51" s="11"/>
      <c r="GB51" s="47"/>
      <c r="GG51" s="47"/>
      <c r="GI51" s="11"/>
      <c r="JP51" s="47"/>
      <c r="JU51" s="47"/>
      <c r="JW51" s="11"/>
      <c r="ND51" s="47"/>
      <c r="NI51" s="47"/>
      <c r="NK51" s="11"/>
      <c r="QR51" s="47"/>
      <c r="QW51" s="47"/>
      <c r="QY51" s="11"/>
      <c r="UF51" s="47"/>
      <c r="UK51" s="47"/>
      <c r="UM51" s="11"/>
      <c r="XT51" s="47"/>
      <c r="XY51" s="47"/>
      <c r="YA51" s="11"/>
      <c r="ABH51" s="47"/>
      <c r="ABM51" s="47"/>
      <c r="ABO51" s="11"/>
      <c r="AEV51" s="47"/>
      <c r="AFA51" s="47"/>
      <c r="AFC51" s="11"/>
      <c r="AIJ51" s="47"/>
      <c r="AIO51" s="47"/>
      <c r="AIQ51" s="11"/>
      <c r="ALX51" s="47"/>
      <c r="AMC51" s="47"/>
      <c r="AME51" s="11"/>
      <c r="APL51" s="47"/>
      <c r="APQ51" s="47"/>
      <c r="APS51" s="11"/>
      <c r="ASZ51" s="47"/>
      <c r="ATE51" s="47"/>
      <c r="ATG51" s="11"/>
      <c r="AWN51" s="47"/>
      <c r="AWS51" s="47"/>
      <c r="AWU51" s="11"/>
      <c r="BAB51" s="47"/>
      <c r="BAG51" s="47"/>
      <c r="BAI51" s="11"/>
      <c r="BDP51" s="47"/>
      <c r="BDU51" s="47"/>
      <c r="BDW51" s="11"/>
      <c r="BHD51" s="47"/>
      <c r="BHI51" s="47"/>
      <c r="BHK51" s="11"/>
      <c r="BKR51" s="47"/>
      <c r="BKW51" s="47"/>
      <c r="BKY51" s="11"/>
      <c r="BOF51" s="47"/>
      <c r="BOK51" s="47"/>
      <c r="BOM51" s="11"/>
      <c r="BRT51" s="47"/>
      <c r="BRY51" s="47"/>
      <c r="BSA51" s="11"/>
      <c r="BVH51" s="47"/>
      <c r="BVM51" s="47"/>
      <c r="BVO51" s="11"/>
      <c r="BYV51" s="47"/>
      <c r="BZA51" s="47"/>
      <c r="BZC51" s="11"/>
      <c r="CCJ51" s="47"/>
      <c r="CCO51" s="47"/>
      <c r="CCQ51" s="11"/>
      <c r="CFX51" s="47"/>
      <c r="CGC51" s="47"/>
      <c r="CGE51" s="11"/>
      <c r="CJL51" s="47"/>
      <c r="CJQ51" s="47"/>
      <c r="CJS51" s="11"/>
      <c r="CMZ51" s="47"/>
      <c r="CNE51" s="47"/>
      <c r="CNG51" s="11"/>
      <c r="CQN51" s="47"/>
      <c r="CQS51" s="47"/>
      <c r="CQU51" s="11"/>
      <c r="CUB51" s="47"/>
      <c r="CUG51" s="47"/>
      <c r="CUI51" s="11"/>
      <c r="CXP51" s="47"/>
      <c r="CXU51" s="47"/>
      <c r="CXW51" s="11"/>
      <c r="DBD51" s="47"/>
      <c r="DBI51" s="47"/>
      <c r="DBK51" s="11"/>
      <c r="DER51" s="47"/>
      <c r="DEW51" s="47"/>
      <c r="DEY51" s="11"/>
      <c r="DIF51" s="47"/>
      <c r="DIK51" s="47"/>
      <c r="DIM51" s="11"/>
      <c r="DLT51" s="47"/>
      <c r="DLY51" s="47"/>
      <c r="DMA51" s="11"/>
      <c r="DPH51" s="47"/>
      <c r="DPM51" s="47"/>
      <c r="DPO51" s="11"/>
      <c r="DSV51" s="47"/>
      <c r="DTA51" s="47"/>
      <c r="DTC51" s="11"/>
      <c r="DWJ51" s="47"/>
      <c r="DWO51" s="47"/>
      <c r="DWQ51" s="11"/>
      <c r="DZX51" s="47"/>
      <c r="EAC51" s="47"/>
      <c r="EAE51" s="11"/>
      <c r="EDL51" s="47"/>
      <c r="EDQ51" s="47"/>
      <c r="EDS51" s="11"/>
      <c r="EGZ51" s="47"/>
      <c r="EHE51" s="47"/>
      <c r="EHG51" s="11"/>
      <c r="EKN51" s="47"/>
      <c r="EKS51" s="47"/>
      <c r="EKU51" s="11"/>
      <c r="EOB51" s="47"/>
      <c r="EOG51" s="47"/>
      <c r="EOI51" s="11"/>
      <c r="ERP51" s="47"/>
      <c r="ERU51" s="47"/>
      <c r="ERW51" s="11"/>
      <c r="EVD51" s="47"/>
      <c r="EVI51" s="47"/>
      <c r="EVK51" s="11"/>
      <c r="EYR51" s="47"/>
      <c r="EYW51" s="47"/>
      <c r="EYY51" s="11"/>
      <c r="FCF51" s="47"/>
      <c r="FCK51" s="47"/>
      <c r="FCM51" s="11"/>
      <c r="FFT51" s="47"/>
      <c r="FFY51" s="47"/>
      <c r="FGA51" s="11"/>
      <c r="FJH51" s="47"/>
      <c r="FJM51" s="47"/>
      <c r="FJO51" s="11"/>
      <c r="FMV51" s="47"/>
      <c r="FNA51" s="47"/>
      <c r="FNC51" s="11"/>
      <c r="FQJ51" s="47"/>
      <c r="FQO51" s="47"/>
      <c r="FQQ51" s="11"/>
      <c r="FTX51" s="47"/>
      <c r="FUC51" s="47"/>
      <c r="FUE51" s="11"/>
      <c r="FXL51" s="47"/>
      <c r="FXQ51" s="47"/>
      <c r="FXS51" s="11"/>
      <c r="GAZ51" s="47"/>
      <c r="GBE51" s="47"/>
      <c r="GBG51" s="11"/>
      <c r="GEN51" s="47"/>
      <c r="GES51" s="47"/>
      <c r="GEU51" s="11"/>
      <c r="GIB51" s="47"/>
      <c r="GIG51" s="47"/>
      <c r="GII51" s="11"/>
      <c r="GLP51" s="47"/>
      <c r="GLU51" s="47"/>
      <c r="GLW51" s="11"/>
      <c r="GPD51" s="47"/>
      <c r="GPI51" s="47"/>
      <c r="GPK51" s="11"/>
      <c r="GSR51" s="47"/>
      <c r="GSW51" s="47"/>
      <c r="GSY51" s="11"/>
      <c r="GWF51" s="47"/>
      <c r="GWK51" s="47"/>
      <c r="GWM51" s="11"/>
      <c r="GZT51" s="47"/>
      <c r="GZY51" s="47"/>
      <c r="HAA51" s="11"/>
      <c r="HDH51" s="47"/>
      <c r="HDM51" s="47"/>
      <c r="HDO51" s="11"/>
      <c r="HGV51" s="47"/>
      <c r="HHA51" s="47"/>
      <c r="HHC51" s="11"/>
      <c r="HKJ51" s="47"/>
      <c r="HKO51" s="47"/>
      <c r="HKQ51" s="11"/>
      <c r="HNX51" s="47"/>
      <c r="HOC51" s="47"/>
      <c r="HOE51" s="11"/>
      <c r="HRL51" s="47"/>
      <c r="HRQ51" s="47"/>
      <c r="HRS51" s="11"/>
      <c r="HUZ51" s="47"/>
      <c r="HVE51" s="47"/>
      <c r="HVG51" s="11"/>
      <c r="HYN51" s="47"/>
      <c r="HYS51" s="47"/>
      <c r="HYU51" s="11"/>
      <c r="ICB51" s="47"/>
      <c r="ICG51" s="47"/>
      <c r="ICI51" s="11"/>
      <c r="IFP51" s="47"/>
      <c r="IFU51" s="47"/>
      <c r="IFW51" s="11"/>
      <c r="IJD51" s="47"/>
      <c r="IJI51" s="47"/>
      <c r="IJK51" s="11"/>
      <c r="IMR51" s="47"/>
      <c r="IMW51" s="47"/>
      <c r="IMY51" s="11"/>
      <c r="IQF51" s="47"/>
      <c r="IQK51" s="47"/>
      <c r="IQM51" s="11"/>
      <c r="ITT51" s="47"/>
      <c r="ITY51" s="47"/>
      <c r="IUA51" s="11"/>
      <c r="IXH51" s="47"/>
      <c r="IXM51" s="47"/>
      <c r="IXO51" s="11"/>
      <c r="JAV51" s="47"/>
      <c r="JBA51" s="47"/>
      <c r="JBC51" s="11"/>
      <c r="JEJ51" s="47"/>
      <c r="JEO51" s="47"/>
      <c r="JEQ51" s="11"/>
      <c r="JHX51" s="47"/>
      <c r="JIC51" s="47"/>
      <c r="JIE51" s="11"/>
      <c r="JLL51" s="47"/>
      <c r="JLQ51" s="47"/>
      <c r="JLS51" s="11"/>
      <c r="JOZ51" s="47"/>
      <c r="JPE51" s="47"/>
      <c r="JPG51" s="11"/>
      <c r="JSN51" s="47"/>
      <c r="JSS51" s="47"/>
      <c r="JSU51" s="11"/>
      <c r="JWB51" s="47"/>
      <c r="JWG51" s="47"/>
      <c r="JWI51" s="11"/>
      <c r="JZP51" s="47"/>
      <c r="JZU51" s="47"/>
      <c r="JZW51" s="11"/>
      <c r="KDD51" s="47"/>
      <c r="KDI51" s="47"/>
      <c r="KDK51" s="11"/>
      <c r="KGR51" s="47"/>
      <c r="KGW51" s="47"/>
      <c r="KGY51" s="11"/>
      <c r="KKF51" s="47"/>
      <c r="KKK51" s="47"/>
      <c r="KKM51" s="11"/>
      <c r="KNT51" s="47"/>
      <c r="KNY51" s="47"/>
      <c r="KOA51" s="11"/>
      <c r="KRH51" s="47"/>
      <c r="KRM51" s="47"/>
      <c r="KRO51" s="11"/>
      <c r="KUV51" s="47"/>
      <c r="KVA51" s="47"/>
      <c r="KVC51" s="11"/>
      <c r="KYJ51" s="47"/>
      <c r="KYO51" s="47"/>
      <c r="KYQ51" s="11"/>
      <c r="LBX51" s="47"/>
      <c r="LCC51" s="47"/>
      <c r="LCE51" s="11"/>
      <c r="LFL51" s="47"/>
      <c r="LFQ51" s="47"/>
      <c r="LFS51" s="11"/>
      <c r="LIZ51" s="47"/>
      <c r="LJE51" s="47"/>
      <c r="LJG51" s="11"/>
      <c r="LMN51" s="47"/>
      <c r="LMS51" s="47"/>
      <c r="LMU51" s="11"/>
      <c r="LQB51" s="47"/>
      <c r="LQG51" s="47"/>
      <c r="LQI51" s="11"/>
      <c r="LTP51" s="47"/>
      <c r="LTU51" s="47"/>
      <c r="LTW51" s="11"/>
      <c r="LXD51" s="47"/>
      <c r="LXI51" s="47"/>
      <c r="LXK51" s="11"/>
      <c r="MAR51" s="47"/>
      <c r="MAW51" s="47"/>
      <c r="MAY51" s="11"/>
      <c r="MEF51" s="47"/>
      <c r="MEK51" s="47"/>
      <c r="MEM51" s="11"/>
      <c r="MHT51" s="47"/>
      <c r="MHY51" s="47"/>
      <c r="MIA51" s="11"/>
      <c r="MLH51" s="47"/>
      <c r="MLM51" s="47"/>
      <c r="MLO51" s="11"/>
      <c r="MOV51" s="47"/>
      <c r="MPA51" s="47"/>
      <c r="MPC51" s="11"/>
      <c r="MSJ51" s="47"/>
      <c r="MSO51" s="47"/>
      <c r="MSQ51" s="11"/>
      <c r="MVX51" s="47"/>
      <c r="MWC51" s="47"/>
      <c r="MWE51" s="11"/>
      <c r="MZL51" s="47"/>
      <c r="MZQ51" s="47"/>
      <c r="MZS51" s="11"/>
      <c r="NCZ51" s="47"/>
      <c r="NDE51" s="47"/>
      <c r="NDG51" s="11"/>
      <c r="NGN51" s="47"/>
      <c r="NGS51" s="47"/>
      <c r="NGU51" s="11"/>
      <c r="NKB51" s="47"/>
      <c r="NKG51" s="47"/>
      <c r="NKI51" s="11"/>
      <c r="NNP51" s="47"/>
      <c r="NNU51" s="47"/>
      <c r="NNW51" s="11"/>
      <c r="NRD51" s="47"/>
      <c r="NRI51" s="47"/>
      <c r="NRK51" s="11"/>
      <c r="NUR51" s="47"/>
      <c r="NUW51" s="47"/>
      <c r="NUY51" s="11"/>
      <c r="NYF51" s="47"/>
      <c r="NYK51" s="47"/>
      <c r="NYM51" s="11"/>
      <c r="OBT51" s="47"/>
      <c r="OBY51" s="47"/>
      <c r="OCA51" s="11"/>
      <c r="OFH51" s="47"/>
      <c r="OFM51" s="47"/>
      <c r="OFO51" s="11"/>
      <c r="OIV51" s="47"/>
      <c r="OJA51" s="47"/>
      <c r="OJC51" s="11"/>
      <c r="OMJ51" s="47"/>
      <c r="OMO51" s="47"/>
      <c r="OMQ51" s="11"/>
      <c r="OPX51" s="47"/>
      <c r="OQC51" s="47"/>
      <c r="OQE51" s="11"/>
      <c r="OTL51" s="47"/>
      <c r="OTQ51" s="47"/>
      <c r="OTS51" s="11"/>
      <c r="OWZ51" s="47"/>
      <c r="OXE51" s="47"/>
      <c r="OXG51" s="11"/>
      <c r="PAN51" s="47"/>
      <c r="PAS51" s="47"/>
      <c r="PAU51" s="11"/>
      <c r="PEB51" s="47"/>
      <c r="PEG51" s="47"/>
      <c r="PEI51" s="11"/>
      <c r="PHP51" s="47"/>
      <c r="PHU51" s="47"/>
      <c r="PHW51" s="11"/>
      <c r="PLD51" s="47"/>
      <c r="PLI51" s="47"/>
      <c r="PLK51" s="11"/>
      <c r="POR51" s="47"/>
      <c r="POW51" s="47"/>
      <c r="POY51" s="11"/>
      <c r="PSF51" s="47"/>
      <c r="PSK51" s="47"/>
      <c r="PSM51" s="11"/>
      <c r="PVT51" s="47"/>
      <c r="PVY51" s="47"/>
      <c r="PWA51" s="11"/>
      <c r="PZH51" s="47"/>
      <c r="PZM51" s="47"/>
      <c r="PZO51" s="11"/>
      <c r="QCV51" s="47"/>
      <c r="QDA51" s="47"/>
      <c r="QDC51" s="11"/>
      <c r="QGJ51" s="47"/>
      <c r="QGO51" s="47"/>
      <c r="QGQ51" s="11"/>
      <c r="QJX51" s="47"/>
      <c r="QKC51" s="47"/>
      <c r="QKE51" s="11"/>
      <c r="QNL51" s="47"/>
      <c r="QNQ51" s="47"/>
      <c r="QNS51" s="11"/>
      <c r="QQZ51" s="47"/>
      <c r="QRE51" s="47"/>
      <c r="QRG51" s="11"/>
      <c r="QUN51" s="47"/>
      <c r="QUS51" s="47"/>
      <c r="QUU51" s="11"/>
      <c r="QYB51" s="47"/>
      <c r="QYG51" s="47"/>
      <c r="QYI51" s="11"/>
      <c r="RBP51" s="47"/>
      <c r="RBU51" s="47"/>
      <c r="RBW51" s="11"/>
      <c r="RFD51" s="47"/>
      <c r="RFI51" s="47"/>
      <c r="RFK51" s="11"/>
      <c r="RIR51" s="47"/>
      <c r="RIW51" s="47"/>
      <c r="RIY51" s="11"/>
      <c r="RMF51" s="47"/>
      <c r="RMK51" s="47"/>
      <c r="RMM51" s="11"/>
      <c r="RPT51" s="47"/>
      <c r="RPY51" s="47"/>
      <c r="RQA51" s="11"/>
      <c r="RTH51" s="47"/>
      <c r="RTM51" s="47"/>
      <c r="RTO51" s="11"/>
      <c r="RWV51" s="47"/>
      <c r="RXA51" s="47"/>
      <c r="RXC51" s="11"/>
      <c r="SAJ51" s="47"/>
      <c r="SAO51" s="47"/>
      <c r="SAQ51" s="11"/>
      <c r="SDX51" s="47"/>
      <c r="SEC51" s="47"/>
      <c r="SEE51" s="11"/>
      <c r="SHL51" s="47"/>
      <c r="SHQ51" s="47"/>
      <c r="SHS51" s="11"/>
      <c r="SKZ51" s="47"/>
      <c r="SLE51" s="47"/>
      <c r="SLG51" s="11"/>
      <c r="SON51" s="47"/>
      <c r="SOS51" s="47"/>
      <c r="SOU51" s="11"/>
      <c r="SSB51" s="47"/>
      <c r="SSG51" s="47"/>
      <c r="SSI51" s="11"/>
      <c r="SVP51" s="47"/>
      <c r="SVU51" s="47"/>
      <c r="SVW51" s="11"/>
      <c r="SZD51" s="47"/>
      <c r="SZI51" s="47"/>
      <c r="SZK51" s="11"/>
      <c r="TCR51" s="47"/>
      <c r="TCW51" s="47"/>
      <c r="TCY51" s="11"/>
      <c r="TGF51" s="47"/>
      <c r="TGK51" s="47"/>
      <c r="TGM51" s="11"/>
      <c r="TJT51" s="47"/>
      <c r="TJY51" s="47"/>
      <c r="TKA51" s="11"/>
      <c r="TNH51" s="47"/>
      <c r="TNM51" s="47"/>
      <c r="TNO51" s="11"/>
      <c r="TQV51" s="47"/>
      <c r="TRA51" s="47"/>
      <c r="TRC51" s="11"/>
      <c r="TUJ51" s="47"/>
      <c r="TUO51" s="47"/>
      <c r="TUQ51" s="11"/>
      <c r="TXX51" s="47"/>
      <c r="TYC51" s="47"/>
      <c r="TYE51" s="11"/>
      <c r="UBL51" s="47"/>
      <c r="UBQ51" s="47"/>
      <c r="UBS51" s="11"/>
      <c r="UEZ51" s="47"/>
      <c r="UFE51" s="47"/>
      <c r="UFG51" s="11"/>
      <c r="UIN51" s="47"/>
      <c r="UIS51" s="47"/>
      <c r="UIU51" s="11"/>
      <c r="UMB51" s="47"/>
      <c r="UMG51" s="47"/>
      <c r="UMI51" s="11"/>
      <c r="UPP51" s="47"/>
      <c r="UPU51" s="47"/>
      <c r="UPW51" s="11"/>
      <c r="UTD51" s="47"/>
      <c r="UTI51" s="47"/>
      <c r="UTK51" s="11"/>
      <c r="UWR51" s="47"/>
      <c r="UWW51" s="47"/>
      <c r="UWY51" s="11"/>
      <c r="VAF51" s="47"/>
      <c r="VAK51" s="47"/>
      <c r="VAM51" s="11"/>
      <c r="VDT51" s="47"/>
      <c r="VDY51" s="47"/>
      <c r="VEA51" s="11"/>
      <c r="VHH51" s="47"/>
      <c r="VHM51" s="47"/>
      <c r="VHO51" s="11"/>
      <c r="VKV51" s="47"/>
      <c r="VLA51" s="47"/>
      <c r="VLC51" s="11"/>
      <c r="VOJ51" s="47"/>
      <c r="VOO51" s="47"/>
      <c r="VOQ51" s="11"/>
      <c r="VRX51" s="47"/>
      <c r="VSC51" s="47"/>
      <c r="VSE51" s="11"/>
      <c r="VVL51" s="47"/>
      <c r="VVQ51" s="47"/>
      <c r="VVS51" s="11"/>
      <c r="VYZ51" s="47"/>
      <c r="VZE51" s="47"/>
      <c r="VZG51" s="11"/>
      <c r="WCN51" s="47"/>
      <c r="WCS51" s="47"/>
      <c r="WCU51" s="11"/>
      <c r="WGB51" s="47"/>
      <c r="WGG51" s="47"/>
      <c r="WGI51" s="11"/>
      <c r="WJP51" s="47"/>
      <c r="WJU51" s="47"/>
      <c r="WJW51" s="11"/>
      <c r="WND51" s="47"/>
      <c r="WNI51" s="47"/>
      <c r="WNK51" s="11"/>
      <c r="WQR51" s="47"/>
      <c r="WQW51" s="47"/>
      <c r="WQY51" s="11"/>
      <c r="WUF51" s="47"/>
      <c r="WUK51" s="47"/>
      <c r="WUM51" s="11"/>
      <c r="WXT51" s="47"/>
      <c r="WXY51" s="47"/>
      <c r="WYA51" s="11"/>
      <c r="XBH51" s="47"/>
      <c r="XBM51" s="47"/>
      <c r="XBO51" s="11"/>
      <c r="XEV51" s="47"/>
      <c r="XFA51" s="47"/>
      <c r="XFC51" s="11"/>
    </row>
    <row r="52" spans="3:1019 1104:2031 2116:3043 3128:4055 4140:5067 5152:6079 6164:7091 7176:8188 8193:9207 9292:10219 10304:11231 11316:12243 12328:13255 13340:14267 14352:15279 15364:16383" s="10" customFormat="1" ht="14.65" customHeight="1">
      <c r="C52" s="35" t="s">
        <v>979</v>
      </c>
      <c r="E52" s="47"/>
      <c r="G52" s="162" t="str">
        <f>Monetary_Unit</f>
        <v>тыс. руб.</v>
      </c>
      <c r="I52" s="23">
        <f ca="1">SUM(L52:CM52)</f>
        <v>833154.87172577775</v>
      </c>
      <c r="L52" s="10">
        <f ca="1" xml:space="preserve"> L42 * L$30</f>
        <v>0</v>
      </c>
      <c r="M52" s="10">
        <f t="shared" ref="M52:BX52" ca="1" si="29" xml:space="preserve"> M42 * M$30</f>
        <v>0</v>
      </c>
      <c r="N52" s="10">
        <f t="shared" ca="1" si="29"/>
        <v>0</v>
      </c>
      <c r="O52" s="10">
        <f t="shared" ca="1" si="29"/>
        <v>0</v>
      </c>
      <c r="P52" s="10">
        <f t="shared" ca="1" si="29"/>
        <v>0</v>
      </c>
      <c r="Q52" s="10">
        <f t="shared" ca="1" si="29"/>
        <v>0</v>
      </c>
      <c r="R52" s="10">
        <f t="shared" ca="1" si="29"/>
        <v>0</v>
      </c>
      <c r="S52" s="10">
        <f t="shared" ca="1" si="29"/>
        <v>0</v>
      </c>
      <c r="T52" s="10">
        <f t="shared" ca="1" si="29"/>
        <v>0</v>
      </c>
      <c r="U52" s="10">
        <f ca="1" xml:space="preserve"> U42 * U$30</f>
        <v>0</v>
      </c>
      <c r="V52" s="10">
        <f t="shared" ca="1" si="29"/>
        <v>0</v>
      </c>
      <c r="W52" s="10">
        <f t="shared" ca="1" si="29"/>
        <v>0</v>
      </c>
      <c r="X52" s="10">
        <f t="shared" ca="1" si="29"/>
        <v>0</v>
      </c>
      <c r="Y52" s="10">
        <f t="shared" ca="1" si="29"/>
        <v>0</v>
      </c>
      <c r="Z52" s="10">
        <f t="shared" ca="1" si="29"/>
        <v>0</v>
      </c>
      <c r="AA52" s="10">
        <f t="shared" ca="1" si="29"/>
        <v>0</v>
      </c>
      <c r="AB52" s="10">
        <f t="shared" ca="1" si="29"/>
        <v>0</v>
      </c>
      <c r="AC52" s="10">
        <f t="shared" ca="1" si="29"/>
        <v>7102.6190206380888</v>
      </c>
      <c r="AD52" s="10">
        <f t="shared" ca="1" si="29"/>
        <v>12917.792745868093</v>
      </c>
      <c r="AE52" s="10">
        <f t="shared" ca="1" si="29"/>
        <v>4947.5945541325591</v>
      </c>
      <c r="AF52" s="10">
        <f t="shared" ca="1" si="29"/>
        <v>4428.2653773701322</v>
      </c>
      <c r="AG52" s="10">
        <f t="shared" ca="1" si="29"/>
        <v>7605.0877186974567</v>
      </c>
      <c r="AH52" s="10">
        <f t="shared" ca="1" si="29"/>
        <v>13267.244610361984</v>
      </c>
      <c r="AI52" s="10">
        <f t="shared" ca="1" si="29"/>
        <v>5117.1624252230195</v>
      </c>
      <c r="AJ52" s="10">
        <f t="shared" ca="1" si="29"/>
        <v>4553.902281808274</v>
      </c>
      <c r="AK52" s="10">
        <f t="shared" ca="1" si="29"/>
        <v>7767.6309721335756</v>
      </c>
      <c r="AL52" s="10">
        <f t="shared" ca="1" si="29"/>
        <v>13451.609133180958</v>
      </c>
      <c r="AM52" s="10">
        <f t="shared" ca="1" si="29"/>
        <v>5223.7245999961233</v>
      </c>
      <c r="AN52" s="10">
        <f t="shared" ca="1" si="29"/>
        <v>4696.7147360459076</v>
      </c>
      <c r="AO52" s="10">
        <f t="shared" ca="1" si="29"/>
        <v>7847.802059353352</v>
      </c>
      <c r="AP52" s="10">
        <f t="shared" ca="1" si="29"/>
        <v>13205.710528253116</v>
      </c>
      <c r="AQ52" s="10">
        <f t="shared" ca="1" si="29"/>
        <v>5108.5866191356845</v>
      </c>
      <c r="AR52" s="10">
        <f t="shared" ca="1" si="29"/>
        <v>4565.3479629865024</v>
      </c>
      <c r="AS52" s="10">
        <f t="shared" ca="1" si="29"/>
        <v>7705.4413391229355</v>
      </c>
      <c r="AT52" s="10">
        <f t="shared" ca="1" si="29"/>
        <v>13224.714155945361</v>
      </c>
      <c r="AU52" s="10">
        <f t="shared" ca="1" si="29"/>
        <v>6232.667458767618</v>
      </c>
      <c r="AV52" s="10">
        <f t="shared" ca="1" si="29"/>
        <v>5414.8784873054501</v>
      </c>
      <c r="AW52" s="10">
        <f t="shared" ca="1" si="29"/>
        <v>8697.9183269877831</v>
      </c>
      <c r="AX52" s="10">
        <f t="shared" ca="1" si="29"/>
        <v>28448.87863187027</v>
      </c>
      <c r="AY52" s="10">
        <f t="shared" ca="1" si="29"/>
        <v>28666.660672230351</v>
      </c>
      <c r="AZ52" s="10">
        <f t="shared" ca="1" si="29"/>
        <v>12508.982247235184</v>
      </c>
      <c r="BA52" s="10">
        <f t="shared" ca="1" si="29"/>
        <v>14751.228100420547</v>
      </c>
      <c r="BB52" s="10">
        <f t="shared" ca="1" si="29"/>
        <v>25954.952848540248</v>
      </c>
      <c r="BC52" s="10">
        <f t="shared" ca="1" si="29"/>
        <v>26152.66765049149</v>
      </c>
      <c r="BD52" s="10">
        <f t="shared" ca="1" si="29"/>
        <v>11476.76617448457</v>
      </c>
      <c r="BE52" s="10">
        <f t="shared" ca="1" si="29"/>
        <v>13764.158960211673</v>
      </c>
      <c r="BF52" s="10">
        <f t="shared" ca="1" si="29"/>
        <v>23899.595055683112</v>
      </c>
      <c r="BG52" s="10">
        <f t="shared" ca="1" si="29"/>
        <v>24071.954375777354</v>
      </c>
      <c r="BH52" s="10">
        <f t="shared" ca="1" si="29"/>
        <v>10639.735329756808</v>
      </c>
      <c r="BI52" s="10">
        <f t="shared" ca="1" si="29"/>
        <v>12494.562536017143</v>
      </c>
      <c r="BJ52" s="10">
        <f t="shared" ca="1" si="29"/>
        <v>21794.858827623637</v>
      </c>
      <c r="BK52" s="10">
        <f t="shared" ca="1" si="29"/>
        <v>21951.609112400907</v>
      </c>
      <c r="BL52" s="10">
        <f t="shared" ca="1" si="29"/>
        <v>9708.1210392009016</v>
      </c>
      <c r="BM52" s="10">
        <f t="shared" ca="1" si="29"/>
        <v>11398.471082056991</v>
      </c>
      <c r="BN52" s="10">
        <f t="shared" ca="1" si="29"/>
        <v>19875.205934900834</v>
      </c>
      <c r="BO52" s="10">
        <f t="shared" ca="1" si="29"/>
        <v>21444.608736643706</v>
      </c>
      <c r="BP52" s="10">
        <f t="shared" ca="1" si="29"/>
        <v>10018.391754936583</v>
      </c>
      <c r="BQ52" s="10">
        <f t="shared" ca="1" si="29"/>
        <v>12701.076347945054</v>
      </c>
      <c r="BR52" s="10">
        <f t="shared" ca="1" si="29"/>
        <v>23922.11357822609</v>
      </c>
      <c r="BS52" s="10">
        <f t="shared" ca="1" si="29"/>
        <v>20728.704712225797</v>
      </c>
      <c r="BT52" s="10">
        <f t="shared" ca="1" si="29"/>
        <v>10296.343469187754</v>
      </c>
      <c r="BU52" s="10">
        <f t="shared" ca="1" si="29"/>
        <v>12688.528596630767</v>
      </c>
      <c r="BV52" s="10">
        <f t="shared" ca="1" si="29"/>
        <v>21721.120893885582</v>
      </c>
      <c r="BW52" s="10">
        <f t="shared" ca="1" si="29"/>
        <v>18813.658691554199</v>
      </c>
      <c r="BX52" s="10">
        <f t="shared" ca="1" si="29"/>
        <v>9257.9545519464828</v>
      </c>
      <c r="BY52" s="10">
        <f t="shared" ref="BY52:CM52" ca="1" si="30" xml:space="preserve"> BY42 * BY$30</f>
        <v>11453.938925065893</v>
      </c>
      <c r="BZ52" s="10">
        <f t="shared" ca="1" si="30"/>
        <v>19731.832192937789</v>
      </c>
      <c r="CA52" s="10">
        <f t="shared" ca="1" si="30"/>
        <v>17084.322498381331</v>
      </c>
      <c r="CB52" s="10">
        <f t="shared" ca="1" si="30"/>
        <v>8376.4320677685901</v>
      </c>
      <c r="CC52" s="10">
        <f t="shared" ca="1" si="30"/>
        <v>10379.695084855794</v>
      </c>
      <c r="CD52" s="10">
        <f t="shared" ca="1" si="30"/>
        <v>17926.450453072204</v>
      </c>
      <c r="CE52" s="10">
        <f t="shared" ca="1" si="30"/>
        <v>15515.605330540062</v>
      </c>
      <c r="CF52" s="10">
        <f t="shared" ca="1" si="30"/>
        <v>7582.154782692448</v>
      </c>
      <c r="CG52" s="10">
        <f t="shared" ca="1" si="30"/>
        <v>9409.4988660387462</v>
      </c>
      <c r="CH52" s="10">
        <f t="shared" ca="1" si="30"/>
        <v>16289.603981251645</v>
      </c>
      <c r="CI52" s="10">
        <f t="shared" ca="1" si="30"/>
        <v>14094.141139404072</v>
      </c>
      <c r="CJ52" s="10">
        <f t="shared" ca="1" si="30"/>
        <v>6905.1490650067326</v>
      </c>
      <c r="CK52" s="10">
        <f t="shared" ca="1" si="30"/>
        <v>8564.2268870875123</v>
      </c>
      <c r="CL52" s="10">
        <f t="shared" ca="1" si="30"/>
        <v>14803.933686371656</v>
      </c>
      <c r="CM52" s="10">
        <f t="shared" ca="1" si="30"/>
        <v>12804.561739904877</v>
      </c>
      <c r="CN52" s="10">
        <f ca="1" xml:space="preserve"> CN42 * CN$30</f>
        <v>6220.0866695724962</v>
      </c>
      <c r="CO52" s="10">
        <f ca="1" xml:space="preserve"> CO42 * CO$30</f>
        <v>7740.3527135748</v>
      </c>
      <c r="CS52" s="47"/>
      <c r="CU52" s="11"/>
      <c r="GB52" s="47"/>
      <c r="GG52" s="47"/>
      <c r="GI52" s="11"/>
      <c r="JP52" s="47"/>
      <c r="JU52" s="47"/>
      <c r="JW52" s="11"/>
      <c r="ND52" s="47"/>
      <c r="NI52" s="47"/>
      <c r="NK52" s="11"/>
      <c r="QR52" s="47"/>
      <c r="QW52" s="47"/>
      <c r="QY52" s="11"/>
      <c r="UF52" s="47"/>
      <c r="UK52" s="47"/>
      <c r="UM52" s="11"/>
      <c r="XT52" s="47"/>
      <c r="XY52" s="47"/>
      <c r="YA52" s="11"/>
      <c r="ABH52" s="47"/>
      <c r="ABM52" s="47"/>
      <c r="ABO52" s="11"/>
      <c r="AEV52" s="47"/>
      <c r="AFA52" s="47"/>
      <c r="AFC52" s="11"/>
      <c r="AIJ52" s="47"/>
      <c r="AIO52" s="47"/>
      <c r="AIQ52" s="11"/>
      <c r="ALX52" s="47"/>
      <c r="AMC52" s="47"/>
      <c r="AME52" s="11"/>
      <c r="APL52" s="47"/>
      <c r="APQ52" s="47"/>
      <c r="APS52" s="11"/>
      <c r="ASZ52" s="47"/>
      <c r="ATE52" s="47"/>
      <c r="ATG52" s="11"/>
      <c r="AWN52" s="47"/>
      <c r="AWS52" s="47"/>
      <c r="AWU52" s="11"/>
      <c r="BAB52" s="47"/>
      <c r="BAG52" s="47"/>
      <c r="BAI52" s="11"/>
      <c r="BDP52" s="47"/>
      <c r="BDU52" s="47"/>
      <c r="BDW52" s="11"/>
      <c r="BHD52" s="47"/>
      <c r="BHI52" s="47"/>
      <c r="BHK52" s="11"/>
      <c r="BKR52" s="47"/>
      <c r="BKW52" s="47"/>
      <c r="BKY52" s="11"/>
      <c r="BOF52" s="47"/>
      <c r="BOK52" s="47"/>
      <c r="BOM52" s="11"/>
      <c r="BRT52" s="47"/>
      <c r="BRY52" s="47"/>
      <c r="BSA52" s="11"/>
      <c r="BVH52" s="47"/>
      <c r="BVM52" s="47"/>
      <c r="BVO52" s="11"/>
      <c r="BYV52" s="47"/>
      <c r="BZA52" s="47"/>
      <c r="BZC52" s="11"/>
      <c r="CCJ52" s="47"/>
      <c r="CCO52" s="47"/>
      <c r="CCQ52" s="11"/>
      <c r="CFX52" s="47"/>
      <c r="CGC52" s="47"/>
      <c r="CGE52" s="11"/>
      <c r="CJL52" s="47"/>
      <c r="CJQ52" s="47"/>
      <c r="CJS52" s="11"/>
      <c r="CMZ52" s="47"/>
      <c r="CNE52" s="47"/>
      <c r="CNG52" s="11"/>
      <c r="CQN52" s="47"/>
      <c r="CQS52" s="47"/>
      <c r="CQU52" s="11"/>
      <c r="CUB52" s="47"/>
      <c r="CUG52" s="47"/>
      <c r="CUI52" s="11"/>
      <c r="CXP52" s="47"/>
      <c r="CXU52" s="47"/>
      <c r="CXW52" s="11"/>
      <c r="DBD52" s="47"/>
      <c r="DBI52" s="47"/>
      <c r="DBK52" s="11"/>
      <c r="DER52" s="47"/>
      <c r="DEW52" s="47"/>
      <c r="DEY52" s="11"/>
      <c r="DIF52" s="47"/>
      <c r="DIK52" s="47"/>
      <c r="DIM52" s="11"/>
      <c r="DLT52" s="47"/>
      <c r="DLY52" s="47"/>
      <c r="DMA52" s="11"/>
      <c r="DPH52" s="47"/>
      <c r="DPM52" s="47"/>
      <c r="DPO52" s="11"/>
      <c r="DSV52" s="47"/>
      <c r="DTA52" s="47"/>
      <c r="DTC52" s="11"/>
      <c r="DWJ52" s="47"/>
      <c r="DWO52" s="47"/>
      <c r="DWQ52" s="11"/>
      <c r="DZX52" s="47"/>
      <c r="EAC52" s="47"/>
      <c r="EAE52" s="11"/>
      <c r="EDL52" s="47"/>
      <c r="EDQ52" s="47"/>
      <c r="EDS52" s="11"/>
      <c r="EGZ52" s="47"/>
      <c r="EHE52" s="47"/>
      <c r="EHG52" s="11"/>
      <c r="EKN52" s="47"/>
      <c r="EKS52" s="47"/>
      <c r="EKU52" s="11"/>
      <c r="EOB52" s="47"/>
      <c r="EOG52" s="47"/>
      <c r="EOI52" s="11"/>
      <c r="ERP52" s="47"/>
      <c r="ERU52" s="47"/>
      <c r="ERW52" s="11"/>
      <c r="EVD52" s="47"/>
      <c r="EVI52" s="47"/>
      <c r="EVK52" s="11"/>
      <c r="EYR52" s="47"/>
      <c r="EYW52" s="47"/>
      <c r="EYY52" s="11"/>
      <c r="FCF52" s="47"/>
      <c r="FCK52" s="47"/>
      <c r="FCM52" s="11"/>
      <c r="FFT52" s="47"/>
      <c r="FFY52" s="47"/>
      <c r="FGA52" s="11"/>
      <c r="FJH52" s="47"/>
      <c r="FJM52" s="47"/>
      <c r="FJO52" s="11"/>
      <c r="FMV52" s="47"/>
      <c r="FNA52" s="47"/>
      <c r="FNC52" s="11"/>
      <c r="FQJ52" s="47"/>
      <c r="FQO52" s="47"/>
      <c r="FQQ52" s="11"/>
      <c r="FTX52" s="47"/>
      <c r="FUC52" s="47"/>
      <c r="FUE52" s="11"/>
      <c r="FXL52" s="47"/>
      <c r="FXQ52" s="47"/>
      <c r="FXS52" s="11"/>
      <c r="GAZ52" s="47"/>
      <c r="GBE52" s="47"/>
      <c r="GBG52" s="11"/>
      <c r="GEN52" s="47"/>
      <c r="GES52" s="47"/>
      <c r="GEU52" s="11"/>
      <c r="GIB52" s="47"/>
      <c r="GIG52" s="47"/>
      <c r="GII52" s="11"/>
      <c r="GLP52" s="47"/>
      <c r="GLU52" s="47"/>
      <c r="GLW52" s="11"/>
      <c r="GPD52" s="47"/>
      <c r="GPI52" s="47"/>
      <c r="GPK52" s="11"/>
      <c r="GSR52" s="47"/>
      <c r="GSW52" s="47"/>
      <c r="GSY52" s="11"/>
      <c r="GWF52" s="47"/>
      <c r="GWK52" s="47"/>
      <c r="GWM52" s="11"/>
      <c r="GZT52" s="47"/>
      <c r="GZY52" s="47"/>
      <c r="HAA52" s="11"/>
      <c r="HDH52" s="47"/>
      <c r="HDM52" s="47"/>
      <c r="HDO52" s="11"/>
      <c r="HGV52" s="47"/>
      <c r="HHA52" s="47"/>
      <c r="HHC52" s="11"/>
      <c r="HKJ52" s="47"/>
      <c r="HKO52" s="47"/>
      <c r="HKQ52" s="11"/>
      <c r="HNX52" s="47"/>
      <c r="HOC52" s="47"/>
      <c r="HOE52" s="11"/>
      <c r="HRL52" s="47"/>
      <c r="HRQ52" s="47"/>
      <c r="HRS52" s="11"/>
      <c r="HUZ52" s="47"/>
      <c r="HVE52" s="47"/>
      <c r="HVG52" s="11"/>
      <c r="HYN52" s="47"/>
      <c r="HYS52" s="47"/>
      <c r="HYU52" s="11"/>
      <c r="ICB52" s="47"/>
      <c r="ICG52" s="47"/>
      <c r="ICI52" s="11"/>
      <c r="IFP52" s="47"/>
      <c r="IFU52" s="47"/>
      <c r="IFW52" s="11"/>
      <c r="IJD52" s="47"/>
      <c r="IJI52" s="47"/>
      <c r="IJK52" s="11"/>
      <c r="IMR52" s="47"/>
      <c r="IMW52" s="47"/>
      <c r="IMY52" s="11"/>
      <c r="IQF52" s="47"/>
      <c r="IQK52" s="47"/>
      <c r="IQM52" s="11"/>
      <c r="ITT52" s="47"/>
      <c r="ITY52" s="47"/>
      <c r="IUA52" s="11"/>
      <c r="IXH52" s="47"/>
      <c r="IXM52" s="47"/>
      <c r="IXO52" s="11"/>
      <c r="JAV52" s="47"/>
      <c r="JBA52" s="47"/>
      <c r="JBC52" s="11"/>
      <c r="JEJ52" s="47"/>
      <c r="JEO52" s="47"/>
      <c r="JEQ52" s="11"/>
      <c r="JHX52" s="47"/>
      <c r="JIC52" s="47"/>
      <c r="JIE52" s="11"/>
      <c r="JLL52" s="47"/>
      <c r="JLQ52" s="47"/>
      <c r="JLS52" s="11"/>
      <c r="JOZ52" s="47"/>
      <c r="JPE52" s="47"/>
      <c r="JPG52" s="11"/>
      <c r="JSN52" s="47"/>
      <c r="JSS52" s="47"/>
      <c r="JSU52" s="11"/>
      <c r="JWB52" s="47"/>
      <c r="JWG52" s="47"/>
      <c r="JWI52" s="11"/>
      <c r="JZP52" s="47"/>
      <c r="JZU52" s="47"/>
      <c r="JZW52" s="11"/>
      <c r="KDD52" s="47"/>
      <c r="KDI52" s="47"/>
      <c r="KDK52" s="11"/>
      <c r="KGR52" s="47"/>
      <c r="KGW52" s="47"/>
      <c r="KGY52" s="11"/>
      <c r="KKF52" s="47"/>
      <c r="KKK52" s="47"/>
      <c r="KKM52" s="11"/>
      <c r="KNT52" s="47"/>
      <c r="KNY52" s="47"/>
      <c r="KOA52" s="11"/>
      <c r="KRH52" s="47"/>
      <c r="KRM52" s="47"/>
      <c r="KRO52" s="11"/>
      <c r="KUV52" s="47"/>
      <c r="KVA52" s="47"/>
      <c r="KVC52" s="11"/>
      <c r="KYJ52" s="47"/>
      <c r="KYO52" s="47"/>
      <c r="KYQ52" s="11"/>
      <c r="LBX52" s="47"/>
      <c r="LCC52" s="47"/>
      <c r="LCE52" s="11"/>
      <c r="LFL52" s="47"/>
      <c r="LFQ52" s="47"/>
      <c r="LFS52" s="11"/>
      <c r="LIZ52" s="47"/>
      <c r="LJE52" s="47"/>
      <c r="LJG52" s="11"/>
      <c r="LMN52" s="47"/>
      <c r="LMS52" s="47"/>
      <c r="LMU52" s="11"/>
      <c r="LQB52" s="47"/>
      <c r="LQG52" s="47"/>
      <c r="LQI52" s="11"/>
      <c r="LTP52" s="47"/>
      <c r="LTU52" s="47"/>
      <c r="LTW52" s="11"/>
      <c r="LXD52" s="47"/>
      <c r="LXI52" s="47"/>
      <c r="LXK52" s="11"/>
      <c r="MAR52" s="47"/>
      <c r="MAW52" s="47"/>
      <c r="MAY52" s="11"/>
      <c r="MEF52" s="47"/>
      <c r="MEK52" s="47"/>
      <c r="MEM52" s="11"/>
      <c r="MHT52" s="47"/>
      <c r="MHY52" s="47"/>
      <c r="MIA52" s="11"/>
      <c r="MLH52" s="47"/>
      <c r="MLM52" s="47"/>
      <c r="MLO52" s="11"/>
      <c r="MOV52" s="47"/>
      <c r="MPA52" s="47"/>
      <c r="MPC52" s="11"/>
      <c r="MSJ52" s="47"/>
      <c r="MSO52" s="47"/>
      <c r="MSQ52" s="11"/>
      <c r="MVX52" s="47"/>
      <c r="MWC52" s="47"/>
      <c r="MWE52" s="11"/>
      <c r="MZL52" s="47"/>
      <c r="MZQ52" s="47"/>
      <c r="MZS52" s="11"/>
      <c r="NCZ52" s="47"/>
      <c r="NDE52" s="47"/>
      <c r="NDG52" s="11"/>
      <c r="NGN52" s="47"/>
      <c r="NGS52" s="47"/>
      <c r="NGU52" s="11"/>
      <c r="NKB52" s="47"/>
      <c r="NKG52" s="47"/>
      <c r="NKI52" s="11"/>
      <c r="NNP52" s="47"/>
      <c r="NNU52" s="47"/>
      <c r="NNW52" s="11"/>
      <c r="NRD52" s="47"/>
      <c r="NRI52" s="47"/>
      <c r="NRK52" s="11"/>
      <c r="NUR52" s="47"/>
      <c r="NUW52" s="47"/>
      <c r="NUY52" s="11"/>
      <c r="NYF52" s="47"/>
      <c r="NYK52" s="47"/>
      <c r="NYM52" s="11"/>
      <c r="OBT52" s="47"/>
      <c r="OBY52" s="47"/>
      <c r="OCA52" s="11"/>
      <c r="OFH52" s="47"/>
      <c r="OFM52" s="47"/>
      <c r="OFO52" s="11"/>
      <c r="OIV52" s="47"/>
      <c r="OJA52" s="47"/>
      <c r="OJC52" s="11"/>
      <c r="OMJ52" s="47"/>
      <c r="OMO52" s="47"/>
      <c r="OMQ52" s="11"/>
      <c r="OPX52" s="47"/>
      <c r="OQC52" s="47"/>
      <c r="OQE52" s="11"/>
      <c r="OTL52" s="47"/>
      <c r="OTQ52" s="47"/>
      <c r="OTS52" s="11"/>
      <c r="OWZ52" s="47"/>
      <c r="OXE52" s="47"/>
      <c r="OXG52" s="11"/>
      <c r="PAN52" s="47"/>
      <c r="PAS52" s="47"/>
      <c r="PAU52" s="11"/>
      <c r="PEB52" s="47"/>
      <c r="PEG52" s="47"/>
      <c r="PEI52" s="11"/>
      <c r="PHP52" s="47"/>
      <c r="PHU52" s="47"/>
      <c r="PHW52" s="11"/>
      <c r="PLD52" s="47"/>
      <c r="PLI52" s="47"/>
      <c r="PLK52" s="11"/>
      <c r="POR52" s="47"/>
      <c r="POW52" s="47"/>
      <c r="POY52" s="11"/>
      <c r="PSF52" s="47"/>
      <c r="PSK52" s="47"/>
      <c r="PSM52" s="11"/>
      <c r="PVT52" s="47"/>
      <c r="PVY52" s="47"/>
      <c r="PWA52" s="11"/>
      <c r="PZH52" s="47"/>
      <c r="PZM52" s="47"/>
      <c r="PZO52" s="11"/>
      <c r="QCV52" s="47"/>
      <c r="QDA52" s="47"/>
      <c r="QDC52" s="11"/>
      <c r="QGJ52" s="47"/>
      <c r="QGO52" s="47"/>
      <c r="QGQ52" s="11"/>
      <c r="QJX52" s="47"/>
      <c r="QKC52" s="47"/>
      <c r="QKE52" s="11"/>
      <c r="QNL52" s="47"/>
      <c r="QNQ52" s="47"/>
      <c r="QNS52" s="11"/>
      <c r="QQZ52" s="47"/>
      <c r="QRE52" s="47"/>
      <c r="QRG52" s="11"/>
      <c r="QUN52" s="47"/>
      <c r="QUS52" s="47"/>
      <c r="QUU52" s="11"/>
      <c r="QYB52" s="47"/>
      <c r="QYG52" s="47"/>
      <c r="QYI52" s="11"/>
      <c r="RBP52" s="47"/>
      <c r="RBU52" s="47"/>
      <c r="RBW52" s="11"/>
      <c r="RFD52" s="47"/>
      <c r="RFI52" s="47"/>
      <c r="RFK52" s="11"/>
      <c r="RIR52" s="47"/>
      <c r="RIW52" s="47"/>
      <c r="RIY52" s="11"/>
      <c r="RMF52" s="47"/>
      <c r="RMK52" s="47"/>
      <c r="RMM52" s="11"/>
      <c r="RPT52" s="47"/>
      <c r="RPY52" s="47"/>
      <c r="RQA52" s="11"/>
      <c r="RTH52" s="47"/>
      <c r="RTM52" s="47"/>
      <c r="RTO52" s="11"/>
      <c r="RWV52" s="47"/>
      <c r="RXA52" s="47"/>
      <c r="RXC52" s="11"/>
      <c r="SAJ52" s="47"/>
      <c r="SAO52" s="47"/>
      <c r="SAQ52" s="11"/>
      <c r="SDX52" s="47"/>
      <c r="SEC52" s="47"/>
      <c r="SEE52" s="11"/>
      <c r="SHL52" s="47"/>
      <c r="SHQ52" s="47"/>
      <c r="SHS52" s="11"/>
      <c r="SKZ52" s="47"/>
      <c r="SLE52" s="47"/>
      <c r="SLG52" s="11"/>
      <c r="SON52" s="47"/>
      <c r="SOS52" s="47"/>
      <c r="SOU52" s="11"/>
      <c r="SSB52" s="47"/>
      <c r="SSG52" s="47"/>
      <c r="SSI52" s="11"/>
      <c r="SVP52" s="47"/>
      <c r="SVU52" s="47"/>
      <c r="SVW52" s="11"/>
      <c r="SZD52" s="47"/>
      <c r="SZI52" s="47"/>
      <c r="SZK52" s="11"/>
      <c r="TCR52" s="47"/>
      <c r="TCW52" s="47"/>
      <c r="TCY52" s="11"/>
      <c r="TGF52" s="47"/>
      <c r="TGK52" s="47"/>
      <c r="TGM52" s="11"/>
      <c r="TJT52" s="47"/>
      <c r="TJY52" s="47"/>
      <c r="TKA52" s="11"/>
      <c r="TNH52" s="47"/>
      <c r="TNM52" s="47"/>
      <c r="TNO52" s="11"/>
      <c r="TQV52" s="47"/>
      <c r="TRA52" s="47"/>
      <c r="TRC52" s="11"/>
      <c r="TUJ52" s="47"/>
      <c r="TUO52" s="47"/>
      <c r="TUQ52" s="11"/>
      <c r="TXX52" s="47"/>
      <c r="TYC52" s="47"/>
      <c r="TYE52" s="11"/>
      <c r="UBL52" s="47"/>
      <c r="UBQ52" s="47"/>
      <c r="UBS52" s="11"/>
      <c r="UEZ52" s="47"/>
      <c r="UFE52" s="47"/>
      <c r="UFG52" s="11"/>
      <c r="UIN52" s="47"/>
      <c r="UIS52" s="47"/>
      <c r="UIU52" s="11"/>
      <c r="UMB52" s="47"/>
      <c r="UMG52" s="47"/>
      <c r="UMI52" s="11"/>
      <c r="UPP52" s="47"/>
      <c r="UPU52" s="47"/>
      <c r="UPW52" s="11"/>
      <c r="UTD52" s="47"/>
      <c r="UTI52" s="47"/>
      <c r="UTK52" s="11"/>
      <c r="UWR52" s="47"/>
      <c r="UWW52" s="47"/>
      <c r="UWY52" s="11"/>
      <c r="VAF52" s="47"/>
      <c r="VAK52" s="47"/>
      <c r="VAM52" s="11"/>
      <c r="VDT52" s="47"/>
      <c r="VDY52" s="47"/>
      <c r="VEA52" s="11"/>
      <c r="VHH52" s="47"/>
      <c r="VHM52" s="47"/>
      <c r="VHO52" s="11"/>
      <c r="VKV52" s="47"/>
      <c r="VLA52" s="47"/>
      <c r="VLC52" s="11"/>
      <c r="VOJ52" s="47"/>
      <c r="VOO52" s="47"/>
      <c r="VOQ52" s="11"/>
      <c r="VRX52" s="47"/>
      <c r="VSC52" s="47"/>
      <c r="VSE52" s="11"/>
      <c r="VVL52" s="47"/>
      <c r="VVQ52" s="47"/>
      <c r="VVS52" s="11"/>
      <c r="VYZ52" s="47"/>
      <c r="VZE52" s="47"/>
      <c r="VZG52" s="11"/>
      <c r="WCN52" s="47"/>
      <c r="WCS52" s="47"/>
      <c r="WCU52" s="11"/>
      <c r="WGB52" s="47"/>
      <c r="WGG52" s="47"/>
      <c r="WGI52" s="11"/>
      <c r="WJP52" s="47"/>
      <c r="WJU52" s="47"/>
      <c r="WJW52" s="11"/>
      <c r="WND52" s="47"/>
      <c r="WNI52" s="47"/>
      <c r="WNK52" s="11"/>
      <c r="WQR52" s="47"/>
      <c r="WQW52" s="47"/>
      <c r="WQY52" s="11"/>
      <c r="WUF52" s="47"/>
      <c r="WUK52" s="47"/>
      <c r="WUM52" s="11"/>
      <c r="WXT52" s="47"/>
      <c r="WXY52" s="47"/>
      <c r="WYA52" s="11"/>
      <c r="XBH52" s="47"/>
      <c r="XBM52" s="47"/>
      <c r="XBO52" s="11"/>
      <c r="XEV52" s="47"/>
      <c r="XFA52" s="47"/>
      <c r="XFC52" s="11"/>
    </row>
    <row r="53" spans="3:1019 1104:2031 2116:3043 3128:4055 4140:5067 5152:6079 6164:7091 7176:8188 8193:9207 9292:10219 10304:11231 11316:12243 12328:13255 13340:14267 14352:15279 15364:16383" s="10" customFormat="1" ht="14.65" customHeight="1">
      <c r="C53" s="35" t="s">
        <v>980</v>
      </c>
      <c r="E53" s="47"/>
      <c r="G53" s="162" t="str">
        <f>Monetary_Unit</f>
        <v>тыс. руб.</v>
      </c>
      <c r="I53" s="23">
        <f t="shared" si="22"/>
        <v>0</v>
      </c>
      <c r="L53" s="10">
        <f xml:space="preserve"> L47 * L$30</f>
        <v>0</v>
      </c>
      <c r="M53" s="10">
        <f t="shared" ref="M53:BX53" si="31" xml:space="preserve"> M47 * M$30</f>
        <v>0</v>
      </c>
      <c r="N53" s="10">
        <f t="shared" si="31"/>
        <v>0</v>
      </c>
      <c r="O53" s="10">
        <f t="shared" si="31"/>
        <v>0</v>
      </c>
      <c r="P53" s="10">
        <f t="shared" si="31"/>
        <v>0</v>
      </c>
      <c r="Q53" s="10">
        <f t="shared" si="31"/>
        <v>0</v>
      </c>
      <c r="R53" s="10">
        <f t="shared" si="31"/>
        <v>0</v>
      </c>
      <c r="S53" s="10">
        <f t="shared" si="31"/>
        <v>0</v>
      </c>
      <c r="T53" s="10">
        <f t="shared" si="31"/>
        <v>0</v>
      </c>
      <c r="U53" s="10">
        <f t="shared" si="31"/>
        <v>0</v>
      </c>
      <c r="V53" s="10">
        <f t="shared" si="31"/>
        <v>0</v>
      </c>
      <c r="W53" s="10">
        <f t="shared" si="31"/>
        <v>0</v>
      </c>
      <c r="X53" s="10">
        <f t="shared" si="31"/>
        <v>0</v>
      </c>
      <c r="Y53" s="10">
        <f t="shared" si="31"/>
        <v>0</v>
      </c>
      <c r="Z53" s="10">
        <f t="shared" si="31"/>
        <v>0</v>
      </c>
      <c r="AA53" s="10">
        <f t="shared" si="31"/>
        <v>0</v>
      </c>
      <c r="AB53" s="10">
        <f t="shared" si="31"/>
        <v>0</v>
      </c>
      <c r="AC53" s="10">
        <f t="shared" si="31"/>
        <v>0</v>
      </c>
      <c r="AD53" s="10">
        <f t="shared" si="31"/>
        <v>0</v>
      </c>
      <c r="AE53" s="10">
        <f t="shared" si="31"/>
        <v>0</v>
      </c>
      <c r="AF53" s="10">
        <f t="shared" si="31"/>
        <v>0</v>
      </c>
      <c r="AG53" s="10">
        <f t="shared" si="31"/>
        <v>0</v>
      </c>
      <c r="AH53" s="10">
        <f t="shared" si="31"/>
        <v>0</v>
      </c>
      <c r="AI53" s="10">
        <f t="shared" si="31"/>
        <v>0</v>
      </c>
      <c r="AJ53" s="10">
        <f t="shared" si="31"/>
        <v>0</v>
      </c>
      <c r="AK53" s="10">
        <f t="shared" si="31"/>
        <v>0</v>
      </c>
      <c r="AL53" s="10">
        <f t="shared" si="31"/>
        <v>0</v>
      </c>
      <c r="AM53" s="10">
        <f t="shared" si="31"/>
        <v>0</v>
      </c>
      <c r="AN53" s="10">
        <f t="shared" si="31"/>
        <v>0</v>
      </c>
      <c r="AO53" s="10">
        <f t="shared" si="31"/>
        <v>0</v>
      </c>
      <c r="AP53" s="10">
        <f t="shared" si="31"/>
        <v>0</v>
      </c>
      <c r="AQ53" s="10">
        <f t="shared" si="31"/>
        <v>0</v>
      </c>
      <c r="AR53" s="10">
        <f t="shared" si="31"/>
        <v>0</v>
      </c>
      <c r="AS53" s="10">
        <f t="shared" si="31"/>
        <v>0</v>
      </c>
      <c r="AT53" s="10">
        <f t="shared" si="31"/>
        <v>0</v>
      </c>
      <c r="AU53" s="10">
        <f t="shared" si="31"/>
        <v>0</v>
      </c>
      <c r="AV53" s="10">
        <f t="shared" si="31"/>
        <v>0</v>
      </c>
      <c r="AW53" s="10">
        <f t="shared" si="31"/>
        <v>0</v>
      </c>
      <c r="AX53" s="10">
        <f t="shared" si="31"/>
        <v>0</v>
      </c>
      <c r="AY53" s="10">
        <f t="shared" si="31"/>
        <v>0</v>
      </c>
      <c r="AZ53" s="10">
        <f t="shared" si="31"/>
        <v>0</v>
      </c>
      <c r="BA53" s="10">
        <f t="shared" si="31"/>
        <v>0</v>
      </c>
      <c r="BB53" s="10">
        <f t="shared" si="31"/>
        <v>0</v>
      </c>
      <c r="BC53" s="10">
        <f t="shared" si="31"/>
        <v>0</v>
      </c>
      <c r="BD53" s="10">
        <f t="shared" si="31"/>
        <v>0</v>
      </c>
      <c r="BE53" s="10">
        <f t="shared" si="31"/>
        <v>0</v>
      </c>
      <c r="BF53" s="10">
        <f t="shared" si="31"/>
        <v>0</v>
      </c>
      <c r="BG53" s="10">
        <f t="shared" si="31"/>
        <v>0</v>
      </c>
      <c r="BH53" s="10">
        <f t="shared" si="31"/>
        <v>0</v>
      </c>
      <c r="BI53" s="10">
        <f t="shared" si="31"/>
        <v>0</v>
      </c>
      <c r="BJ53" s="10">
        <f t="shared" si="31"/>
        <v>0</v>
      </c>
      <c r="BK53" s="10">
        <f t="shared" si="31"/>
        <v>0</v>
      </c>
      <c r="BL53" s="10">
        <f t="shared" si="31"/>
        <v>0</v>
      </c>
      <c r="BM53" s="10">
        <f t="shared" si="31"/>
        <v>0</v>
      </c>
      <c r="BN53" s="10">
        <f t="shared" si="31"/>
        <v>0</v>
      </c>
      <c r="BO53" s="10">
        <f t="shared" si="31"/>
        <v>0</v>
      </c>
      <c r="BP53" s="10">
        <f t="shared" si="31"/>
        <v>0</v>
      </c>
      <c r="BQ53" s="10">
        <f t="shared" si="31"/>
        <v>0</v>
      </c>
      <c r="BR53" s="10">
        <f t="shared" si="31"/>
        <v>0</v>
      </c>
      <c r="BS53" s="10">
        <f t="shared" si="31"/>
        <v>0</v>
      </c>
      <c r="BT53" s="10">
        <f t="shared" si="31"/>
        <v>0</v>
      </c>
      <c r="BU53" s="10">
        <f t="shared" si="31"/>
        <v>0</v>
      </c>
      <c r="BV53" s="10">
        <f t="shared" si="31"/>
        <v>0</v>
      </c>
      <c r="BW53" s="10">
        <f t="shared" si="31"/>
        <v>0</v>
      </c>
      <c r="BX53" s="10">
        <f t="shared" si="31"/>
        <v>0</v>
      </c>
      <c r="BY53" s="10">
        <f t="shared" ref="BY53:CM53" si="32" xml:space="preserve"> BY47 * BY$30</f>
        <v>0</v>
      </c>
      <c r="BZ53" s="10">
        <f t="shared" si="32"/>
        <v>0</v>
      </c>
      <c r="CA53" s="10">
        <f t="shared" si="32"/>
        <v>0</v>
      </c>
      <c r="CB53" s="10">
        <f t="shared" si="32"/>
        <v>0</v>
      </c>
      <c r="CC53" s="10">
        <f t="shared" si="32"/>
        <v>0</v>
      </c>
      <c r="CD53" s="10">
        <f t="shared" si="32"/>
        <v>0</v>
      </c>
      <c r="CE53" s="10">
        <f t="shared" si="32"/>
        <v>0</v>
      </c>
      <c r="CF53" s="10">
        <f t="shared" si="32"/>
        <v>0</v>
      </c>
      <c r="CG53" s="10">
        <f t="shared" si="32"/>
        <v>0</v>
      </c>
      <c r="CH53" s="10">
        <f t="shared" si="32"/>
        <v>0</v>
      </c>
      <c r="CI53" s="10">
        <f t="shared" si="32"/>
        <v>0</v>
      </c>
      <c r="CJ53" s="10">
        <f t="shared" si="32"/>
        <v>0</v>
      </c>
      <c r="CK53" s="10">
        <f t="shared" si="32"/>
        <v>0</v>
      </c>
      <c r="CL53" s="10">
        <f t="shared" si="32"/>
        <v>0</v>
      </c>
      <c r="CM53" s="10">
        <f t="shared" si="32"/>
        <v>0</v>
      </c>
      <c r="CN53" s="10">
        <f xml:space="preserve"> CN47 * CN$30</f>
        <v>0</v>
      </c>
      <c r="CO53" s="10">
        <f xml:space="preserve"> CO47 * CO$30</f>
        <v>0</v>
      </c>
      <c r="CS53" s="47"/>
      <c r="CU53" s="11"/>
      <c r="GB53" s="47"/>
      <c r="GG53" s="47"/>
      <c r="GI53" s="11"/>
      <c r="JP53" s="47"/>
      <c r="JU53" s="47"/>
      <c r="JW53" s="11"/>
      <c r="ND53" s="47"/>
      <c r="NI53" s="47"/>
      <c r="NK53" s="11"/>
      <c r="QR53" s="47"/>
      <c r="QW53" s="47"/>
      <c r="QY53" s="11"/>
      <c r="UF53" s="47"/>
      <c r="UK53" s="47"/>
      <c r="UM53" s="11"/>
      <c r="XT53" s="47"/>
      <c r="XY53" s="47"/>
      <c r="YA53" s="11"/>
      <c r="ABH53" s="47"/>
      <c r="ABM53" s="47"/>
      <c r="ABO53" s="11"/>
      <c r="AEV53" s="47"/>
      <c r="AFA53" s="47"/>
      <c r="AFC53" s="11"/>
      <c r="AIJ53" s="47"/>
      <c r="AIO53" s="47"/>
      <c r="AIQ53" s="11"/>
      <c r="ALX53" s="47"/>
      <c r="AMC53" s="47"/>
      <c r="AME53" s="11"/>
      <c r="APL53" s="47"/>
      <c r="APQ53" s="47"/>
      <c r="APS53" s="11"/>
      <c r="ASZ53" s="47"/>
      <c r="ATE53" s="47"/>
      <c r="ATG53" s="11"/>
      <c r="AWN53" s="47"/>
      <c r="AWS53" s="47"/>
      <c r="AWU53" s="11"/>
      <c r="BAB53" s="47"/>
      <c r="BAG53" s="47"/>
      <c r="BAI53" s="11"/>
      <c r="BDP53" s="47"/>
      <c r="BDU53" s="47"/>
      <c r="BDW53" s="11"/>
      <c r="BHD53" s="47"/>
      <c r="BHI53" s="47"/>
      <c r="BHK53" s="11"/>
      <c r="BKR53" s="47"/>
      <c r="BKW53" s="47"/>
      <c r="BKY53" s="11"/>
      <c r="BOF53" s="47"/>
      <c r="BOK53" s="47"/>
      <c r="BOM53" s="11"/>
      <c r="BRT53" s="47"/>
      <c r="BRY53" s="47"/>
      <c r="BSA53" s="11"/>
      <c r="BVH53" s="47"/>
      <c r="BVM53" s="47"/>
      <c r="BVO53" s="11"/>
      <c r="BYV53" s="47"/>
      <c r="BZA53" s="47"/>
      <c r="BZC53" s="11"/>
      <c r="CCJ53" s="47"/>
      <c r="CCO53" s="47"/>
      <c r="CCQ53" s="11"/>
      <c r="CFX53" s="47"/>
      <c r="CGC53" s="47"/>
      <c r="CGE53" s="11"/>
      <c r="CJL53" s="47"/>
      <c r="CJQ53" s="47"/>
      <c r="CJS53" s="11"/>
      <c r="CMZ53" s="47"/>
      <c r="CNE53" s="47"/>
      <c r="CNG53" s="11"/>
      <c r="CQN53" s="47"/>
      <c r="CQS53" s="47"/>
      <c r="CQU53" s="11"/>
      <c r="CUB53" s="47"/>
      <c r="CUG53" s="47"/>
      <c r="CUI53" s="11"/>
      <c r="CXP53" s="47"/>
      <c r="CXU53" s="47"/>
      <c r="CXW53" s="11"/>
      <c r="DBD53" s="47"/>
      <c r="DBI53" s="47"/>
      <c r="DBK53" s="11"/>
      <c r="DER53" s="47"/>
      <c r="DEW53" s="47"/>
      <c r="DEY53" s="11"/>
      <c r="DIF53" s="47"/>
      <c r="DIK53" s="47"/>
      <c r="DIM53" s="11"/>
      <c r="DLT53" s="47"/>
      <c r="DLY53" s="47"/>
      <c r="DMA53" s="11"/>
      <c r="DPH53" s="47"/>
      <c r="DPM53" s="47"/>
      <c r="DPO53" s="11"/>
      <c r="DSV53" s="47"/>
      <c r="DTA53" s="47"/>
      <c r="DTC53" s="11"/>
      <c r="DWJ53" s="47"/>
      <c r="DWO53" s="47"/>
      <c r="DWQ53" s="11"/>
      <c r="DZX53" s="47"/>
      <c r="EAC53" s="47"/>
      <c r="EAE53" s="11"/>
      <c r="EDL53" s="47"/>
      <c r="EDQ53" s="47"/>
      <c r="EDS53" s="11"/>
      <c r="EGZ53" s="47"/>
      <c r="EHE53" s="47"/>
      <c r="EHG53" s="11"/>
      <c r="EKN53" s="47"/>
      <c r="EKS53" s="47"/>
      <c r="EKU53" s="11"/>
      <c r="EOB53" s="47"/>
      <c r="EOG53" s="47"/>
      <c r="EOI53" s="11"/>
      <c r="ERP53" s="47"/>
      <c r="ERU53" s="47"/>
      <c r="ERW53" s="11"/>
      <c r="EVD53" s="47"/>
      <c r="EVI53" s="47"/>
      <c r="EVK53" s="11"/>
      <c r="EYR53" s="47"/>
      <c r="EYW53" s="47"/>
      <c r="EYY53" s="11"/>
      <c r="FCF53" s="47"/>
      <c r="FCK53" s="47"/>
      <c r="FCM53" s="11"/>
      <c r="FFT53" s="47"/>
      <c r="FFY53" s="47"/>
      <c r="FGA53" s="11"/>
      <c r="FJH53" s="47"/>
      <c r="FJM53" s="47"/>
      <c r="FJO53" s="11"/>
      <c r="FMV53" s="47"/>
      <c r="FNA53" s="47"/>
      <c r="FNC53" s="11"/>
      <c r="FQJ53" s="47"/>
      <c r="FQO53" s="47"/>
      <c r="FQQ53" s="11"/>
      <c r="FTX53" s="47"/>
      <c r="FUC53" s="47"/>
      <c r="FUE53" s="11"/>
      <c r="FXL53" s="47"/>
      <c r="FXQ53" s="47"/>
      <c r="FXS53" s="11"/>
      <c r="GAZ53" s="47"/>
      <c r="GBE53" s="47"/>
      <c r="GBG53" s="11"/>
      <c r="GEN53" s="47"/>
      <c r="GES53" s="47"/>
      <c r="GEU53" s="11"/>
      <c r="GIB53" s="47"/>
      <c r="GIG53" s="47"/>
      <c r="GII53" s="11"/>
      <c r="GLP53" s="47"/>
      <c r="GLU53" s="47"/>
      <c r="GLW53" s="11"/>
      <c r="GPD53" s="47"/>
      <c r="GPI53" s="47"/>
      <c r="GPK53" s="11"/>
      <c r="GSR53" s="47"/>
      <c r="GSW53" s="47"/>
      <c r="GSY53" s="11"/>
      <c r="GWF53" s="47"/>
      <c r="GWK53" s="47"/>
      <c r="GWM53" s="11"/>
      <c r="GZT53" s="47"/>
      <c r="GZY53" s="47"/>
      <c r="HAA53" s="11"/>
      <c r="HDH53" s="47"/>
      <c r="HDM53" s="47"/>
      <c r="HDO53" s="11"/>
      <c r="HGV53" s="47"/>
      <c r="HHA53" s="47"/>
      <c r="HHC53" s="11"/>
      <c r="HKJ53" s="47"/>
      <c r="HKO53" s="47"/>
      <c r="HKQ53" s="11"/>
      <c r="HNX53" s="47"/>
      <c r="HOC53" s="47"/>
      <c r="HOE53" s="11"/>
      <c r="HRL53" s="47"/>
      <c r="HRQ53" s="47"/>
      <c r="HRS53" s="11"/>
      <c r="HUZ53" s="47"/>
      <c r="HVE53" s="47"/>
      <c r="HVG53" s="11"/>
      <c r="HYN53" s="47"/>
      <c r="HYS53" s="47"/>
      <c r="HYU53" s="11"/>
      <c r="ICB53" s="47"/>
      <c r="ICG53" s="47"/>
      <c r="ICI53" s="11"/>
      <c r="IFP53" s="47"/>
      <c r="IFU53" s="47"/>
      <c r="IFW53" s="11"/>
      <c r="IJD53" s="47"/>
      <c r="IJI53" s="47"/>
      <c r="IJK53" s="11"/>
      <c r="IMR53" s="47"/>
      <c r="IMW53" s="47"/>
      <c r="IMY53" s="11"/>
      <c r="IQF53" s="47"/>
      <c r="IQK53" s="47"/>
      <c r="IQM53" s="11"/>
      <c r="ITT53" s="47"/>
      <c r="ITY53" s="47"/>
      <c r="IUA53" s="11"/>
      <c r="IXH53" s="47"/>
      <c r="IXM53" s="47"/>
      <c r="IXO53" s="11"/>
      <c r="JAV53" s="47"/>
      <c r="JBA53" s="47"/>
      <c r="JBC53" s="11"/>
      <c r="JEJ53" s="47"/>
      <c r="JEO53" s="47"/>
      <c r="JEQ53" s="11"/>
      <c r="JHX53" s="47"/>
      <c r="JIC53" s="47"/>
      <c r="JIE53" s="11"/>
      <c r="JLL53" s="47"/>
      <c r="JLQ53" s="47"/>
      <c r="JLS53" s="11"/>
      <c r="JOZ53" s="47"/>
      <c r="JPE53" s="47"/>
      <c r="JPG53" s="11"/>
      <c r="JSN53" s="47"/>
      <c r="JSS53" s="47"/>
      <c r="JSU53" s="11"/>
      <c r="JWB53" s="47"/>
      <c r="JWG53" s="47"/>
      <c r="JWI53" s="11"/>
      <c r="JZP53" s="47"/>
      <c r="JZU53" s="47"/>
      <c r="JZW53" s="11"/>
      <c r="KDD53" s="47"/>
      <c r="KDI53" s="47"/>
      <c r="KDK53" s="11"/>
      <c r="KGR53" s="47"/>
      <c r="KGW53" s="47"/>
      <c r="KGY53" s="11"/>
      <c r="KKF53" s="47"/>
      <c r="KKK53" s="47"/>
      <c r="KKM53" s="11"/>
      <c r="KNT53" s="47"/>
      <c r="KNY53" s="47"/>
      <c r="KOA53" s="11"/>
      <c r="KRH53" s="47"/>
      <c r="KRM53" s="47"/>
      <c r="KRO53" s="11"/>
      <c r="KUV53" s="47"/>
      <c r="KVA53" s="47"/>
      <c r="KVC53" s="11"/>
      <c r="KYJ53" s="47"/>
      <c r="KYO53" s="47"/>
      <c r="KYQ53" s="11"/>
      <c r="LBX53" s="47"/>
      <c r="LCC53" s="47"/>
      <c r="LCE53" s="11"/>
      <c r="LFL53" s="47"/>
      <c r="LFQ53" s="47"/>
      <c r="LFS53" s="11"/>
      <c r="LIZ53" s="47"/>
      <c r="LJE53" s="47"/>
      <c r="LJG53" s="11"/>
      <c r="LMN53" s="47"/>
      <c r="LMS53" s="47"/>
      <c r="LMU53" s="11"/>
      <c r="LQB53" s="47"/>
      <c r="LQG53" s="47"/>
      <c r="LQI53" s="11"/>
      <c r="LTP53" s="47"/>
      <c r="LTU53" s="47"/>
      <c r="LTW53" s="11"/>
      <c r="LXD53" s="47"/>
      <c r="LXI53" s="47"/>
      <c r="LXK53" s="11"/>
      <c r="MAR53" s="47"/>
      <c r="MAW53" s="47"/>
      <c r="MAY53" s="11"/>
      <c r="MEF53" s="47"/>
      <c r="MEK53" s="47"/>
      <c r="MEM53" s="11"/>
      <c r="MHT53" s="47"/>
      <c r="MHY53" s="47"/>
      <c r="MIA53" s="11"/>
      <c r="MLH53" s="47"/>
      <c r="MLM53" s="47"/>
      <c r="MLO53" s="11"/>
      <c r="MOV53" s="47"/>
      <c r="MPA53" s="47"/>
      <c r="MPC53" s="11"/>
      <c r="MSJ53" s="47"/>
      <c r="MSO53" s="47"/>
      <c r="MSQ53" s="11"/>
      <c r="MVX53" s="47"/>
      <c r="MWC53" s="47"/>
      <c r="MWE53" s="11"/>
      <c r="MZL53" s="47"/>
      <c r="MZQ53" s="47"/>
      <c r="MZS53" s="11"/>
      <c r="NCZ53" s="47"/>
      <c r="NDE53" s="47"/>
      <c r="NDG53" s="11"/>
      <c r="NGN53" s="47"/>
      <c r="NGS53" s="47"/>
      <c r="NGU53" s="11"/>
      <c r="NKB53" s="47"/>
      <c r="NKG53" s="47"/>
      <c r="NKI53" s="11"/>
      <c r="NNP53" s="47"/>
      <c r="NNU53" s="47"/>
      <c r="NNW53" s="11"/>
      <c r="NRD53" s="47"/>
      <c r="NRI53" s="47"/>
      <c r="NRK53" s="11"/>
      <c r="NUR53" s="47"/>
      <c r="NUW53" s="47"/>
      <c r="NUY53" s="11"/>
      <c r="NYF53" s="47"/>
      <c r="NYK53" s="47"/>
      <c r="NYM53" s="11"/>
      <c r="OBT53" s="47"/>
      <c r="OBY53" s="47"/>
      <c r="OCA53" s="11"/>
      <c r="OFH53" s="47"/>
      <c r="OFM53" s="47"/>
      <c r="OFO53" s="11"/>
      <c r="OIV53" s="47"/>
      <c r="OJA53" s="47"/>
      <c r="OJC53" s="11"/>
      <c r="OMJ53" s="47"/>
      <c r="OMO53" s="47"/>
      <c r="OMQ53" s="11"/>
      <c r="OPX53" s="47"/>
      <c r="OQC53" s="47"/>
      <c r="OQE53" s="11"/>
      <c r="OTL53" s="47"/>
      <c r="OTQ53" s="47"/>
      <c r="OTS53" s="11"/>
      <c r="OWZ53" s="47"/>
      <c r="OXE53" s="47"/>
      <c r="OXG53" s="11"/>
      <c r="PAN53" s="47"/>
      <c r="PAS53" s="47"/>
      <c r="PAU53" s="11"/>
      <c r="PEB53" s="47"/>
      <c r="PEG53" s="47"/>
      <c r="PEI53" s="11"/>
      <c r="PHP53" s="47"/>
      <c r="PHU53" s="47"/>
      <c r="PHW53" s="11"/>
      <c r="PLD53" s="47"/>
      <c r="PLI53" s="47"/>
      <c r="PLK53" s="11"/>
      <c r="POR53" s="47"/>
      <c r="POW53" s="47"/>
      <c r="POY53" s="11"/>
      <c r="PSF53" s="47"/>
      <c r="PSK53" s="47"/>
      <c r="PSM53" s="11"/>
      <c r="PVT53" s="47"/>
      <c r="PVY53" s="47"/>
      <c r="PWA53" s="11"/>
      <c r="PZH53" s="47"/>
      <c r="PZM53" s="47"/>
      <c r="PZO53" s="11"/>
      <c r="QCV53" s="47"/>
      <c r="QDA53" s="47"/>
      <c r="QDC53" s="11"/>
      <c r="QGJ53" s="47"/>
      <c r="QGO53" s="47"/>
      <c r="QGQ53" s="11"/>
      <c r="QJX53" s="47"/>
      <c r="QKC53" s="47"/>
      <c r="QKE53" s="11"/>
      <c r="QNL53" s="47"/>
      <c r="QNQ53" s="47"/>
      <c r="QNS53" s="11"/>
      <c r="QQZ53" s="47"/>
      <c r="QRE53" s="47"/>
      <c r="QRG53" s="11"/>
      <c r="QUN53" s="47"/>
      <c r="QUS53" s="47"/>
      <c r="QUU53" s="11"/>
      <c r="QYB53" s="47"/>
      <c r="QYG53" s="47"/>
      <c r="QYI53" s="11"/>
      <c r="RBP53" s="47"/>
      <c r="RBU53" s="47"/>
      <c r="RBW53" s="11"/>
      <c r="RFD53" s="47"/>
      <c r="RFI53" s="47"/>
      <c r="RFK53" s="11"/>
      <c r="RIR53" s="47"/>
      <c r="RIW53" s="47"/>
      <c r="RIY53" s="11"/>
      <c r="RMF53" s="47"/>
      <c r="RMK53" s="47"/>
      <c r="RMM53" s="11"/>
      <c r="RPT53" s="47"/>
      <c r="RPY53" s="47"/>
      <c r="RQA53" s="11"/>
      <c r="RTH53" s="47"/>
      <c r="RTM53" s="47"/>
      <c r="RTO53" s="11"/>
      <c r="RWV53" s="47"/>
      <c r="RXA53" s="47"/>
      <c r="RXC53" s="11"/>
      <c r="SAJ53" s="47"/>
      <c r="SAO53" s="47"/>
      <c r="SAQ53" s="11"/>
      <c r="SDX53" s="47"/>
      <c r="SEC53" s="47"/>
      <c r="SEE53" s="11"/>
      <c r="SHL53" s="47"/>
      <c r="SHQ53" s="47"/>
      <c r="SHS53" s="11"/>
      <c r="SKZ53" s="47"/>
      <c r="SLE53" s="47"/>
      <c r="SLG53" s="11"/>
      <c r="SON53" s="47"/>
      <c r="SOS53" s="47"/>
      <c r="SOU53" s="11"/>
      <c r="SSB53" s="47"/>
      <c r="SSG53" s="47"/>
      <c r="SSI53" s="11"/>
      <c r="SVP53" s="47"/>
      <c r="SVU53" s="47"/>
      <c r="SVW53" s="11"/>
      <c r="SZD53" s="47"/>
      <c r="SZI53" s="47"/>
      <c r="SZK53" s="11"/>
      <c r="TCR53" s="47"/>
      <c r="TCW53" s="47"/>
      <c r="TCY53" s="11"/>
      <c r="TGF53" s="47"/>
      <c r="TGK53" s="47"/>
      <c r="TGM53" s="11"/>
      <c r="TJT53" s="47"/>
      <c r="TJY53" s="47"/>
      <c r="TKA53" s="11"/>
      <c r="TNH53" s="47"/>
      <c r="TNM53" s="47"/>
      <c r="TNO53" s="11"/>
      <c r="TQV53" s="47"/>
      <c r="TRA53" s="47"/>
      <c r="TRC53" s="11"/>
      <c r="TUJ53" s="47"/>
      <c r="TUO53" s="47"/>
      <c r="TUQ53" s="11"/>
      <c r="TXX53" s="47"/>
      <c r="TYC53" s="47"/>
      <c r="TYE53" s="11"/>
      <c r="UBL53" s="47"/>
      <c r="UBQ53" s="47"/>
      <c r="UBS53" s="11"/>
      <c r="UEZ53" s="47"/>
      <c r="UFE53" s="47"/>
      <c r="UFG53" s="11"/>
      <c r="UIN53" s="47"/>
      <c r="UIS53" s="47"/>
      <c r="UIU53" s="11"/>
      <c r="UMB53" s="47"/>
      <c r="UMG53" s="47"/>
      <c r="UMI53" s="11"/>
      <c r="UPP53" s="47"/>
      <c r="UPU53" s="47"/>
      <c r="UPW53" s="11"/>
      <c r="UTD53" s="47"/>
      <c r="UTI53" s="47"/>
      <c r="UTK53" s="11"/>
      <c r="UWR53" s="47"/>
      <c r="UWW53" s="47"/>
      <c r="UWY53" s="11"/>
      <c r="VAF53" s="47"/>
      <c r="VAK53" s="47"/>
      <c r="VAM53" s="11"/>
      <c r="VDT53" s="47"/>
      <c r="VDY53" s="47"/>
      <c r="VEA53" s="11"/>
      <c r="VHH53" s="47"/>
      <c r="VHM53" s="47"/>
      <c r="VHO53" s="11"/>
      <c r="VKV53" s="47"/>
      <c r="VLA53" s="47"/>
      <c r="VLC53" s="11"/>
      <c r="VOJ53" s="47"/>
      <c r="VOO53" s="47"/>
      <c r="VOQ53" s="11"/>
      <c r="VRX53" s="47"/>
      <c r="VSC53" s="47"/>
      <c r="VSE53" s="11"/>
      <c r="VVL53" s="47"/>
      <c r="VVQ53" s="47"/>
      <c r="VVS53" s="11"/>
      <c r="VYZ53" s="47"/>
      <c r="VZE53" s="47"/>
      <c r="VZG53" s="11"/>
      <c r="WCN53" s="47"/>
      <c r="WCS53" s="47"/>
      <c r="WCU53" s="11"/>
      <c r="WGB53" s="47"/>
      <c r="WGG53" s="47"/>
      <c r="WGI53" s="11"/>
      <c r="WJP53" s="47"/>
      <c r="WJU53" s="47"/>
      <c r="WJW53" s="11"/>
      <c r="WND53" s="47"/>
      <c r="WNI53" s="47"/>
      <c r="WNK53" s="11"/>
      <c r="WQR53" s="47"/>
      <c r="WQW53" s="47"/>
      <c r="WQY53" s="11"/>
      <c r="WUF53" s="47"/>
      <c r="WUK53" s="47"/>
      <c r="WUM53" s="11"/>
      <c r="WXT53" s="47"/>
      <c r="WXY53" s="47"/>
      <c r="WYA53" s="11"/>
      <c r="XBH53" s="47"/>
      <c r="XBM53" s="47"/>
      <c r="XBO53" s="11"/>
      <c r="XEV53" s="47"/>
      <c r="XFA53" s="47"/>
      <c r="XFC53" s="11"/>
    </row>
    <row r="54" spans="3:1019 1104:2031 2116:3043 3128:4055 4140:5067 5152:6079 6164:7091 7176:8188 8193:9207 9292:10219 10304:11231 11316:12243 12328:13255 13340:14267 14352:15279 15364:16383" s="10" customFormat="1" ht="14.65" customHeight="1">
      <c r="C54" s="35"/>
      <c r="E54" s="47"/>
      <c r="G54" s="11"/>
      <c r="CS54" s="47"/>
      <c r="CU54" s="11"/>
      <c r="GB54" s="47"/>
      <c r="GG54" s="47"/>
      <c r="GI54" s="11"/>
      <c r="JP54" s="47"/>
      <c r="JU54" s="47"/>
      <c r="JW54" s="11"/>
      <c r="ND54" s="47"/>
      <c r="NI54" s="47"/>
      <c r="NK54" s="11"/>
      <c r="QR54" s="47"/>
      <c r="QW54" s="47"/>
      <c r="QY54" s="11"/>
      <c r="UF54" s="47"/>
      <c r="UK54" s="47"/>
      <c r="UM54" s="11"/>
      <c r="XT54" s="47"/>
      <c r="XY54" s="47"/>
      <c r="YA54" s="11"/>
      <c r="ABH54" s="47"/>
      <c r="ABM54" s="47"/>
      <c r="ABO54" s="11"/>
      <c r="AEV54" s="47"/>
      <c r="AFA54" s="47"/>
      <c r="AFC54" s="11"/>
      <c r="AIJ54" s="47"/>
      <c r="AIO54" s="47"/>
      <c r="AIQ54" s="11"/>
      <c r="ALX54" s="47"/>
      <c r="AMC54" s="47"/>
      <c r="AME54" s="11"/>
      <c r="APL54" s="47"/>
      <c r="APQ54" s="47"/>
      <c r="APS54" s="11"/>
      <c r="ASZ54" s="47"/>
      <c r="ATE54" s="47"/>
      <c r="ATG54" s="11"/>
      <c r="AWN54" s="47"/>
      <c r="AWS54" s="47"/>
      <c r="AWU54" s="11"/>
      <c r="BAB54" s="47"/>
      <c r="BAG54" s="47"/>
      <c r="BAI54" s="11"/>
      <c r="BDP54" s="47"/>
      <c r="BDU54" s="47"/>
      <c r="BDW54" s="11"/>
      <c r="BHD54" s="47"/>
      <c r="BHI54" s="47"/>
      <c r="BHK54" s="11"/>
      <c r="BKR54" s="47"/>
      <c r="BKW54" s="47"/>
      <c r="BKY54" s="11"/>
      <c r="BOF54" s="47"/>
      <c r="BOK54" s="47"/>
      <c r="BOM54" s="11"/>
      <c r="BRT54" s="47"/>
      <c r="BRY54" s="47"/>
      <c r="BSA54" s="11"/>
      <c r="BVH54" s="47"/>
      <c r="BVM54" s="47"/>
      <c r="BVO54" s="11"/>
      <c r="BYV54" s="47"/>
      <c r="BZA54" s="47"/>
      <c r="BZC54" s="11"/>
      <c r="CCJ54" s="47"/>
      <c r="CCO54" s="47"/>
      <c r="CCQ54" s="11"/>
      <c r="CFX54" s="47"/>
      <c r="CGC54" s="47"/>
      <c r="CGE54" s="11"/>
      <c r="CJL54" s="47"/>
      <c r="CJQ54" s="47"/>
      <c r="CJS54" s="11"/>
      <c r="CMZ54" s="47"/>
      <c r="CNE54" s="47"/>
      <c r="CNG54" s="11"/>
      <c r="CQN54" s="47"/>
      <c r="CQS54" s="47"/>
      <c r="CQU54" s="11"/>
      <c r="CUB54" s="47"/>
      <c r="CUG54" s="47"/>
      <c r="CUI54" s="11"/>
      <c r="CXP54" s="47"/>
      <c r="CXU54" s="47"/>
      <c r="CXW54" s="11"/>
      <c r="DBD54" s="47"/>
      <c r="DBI54" s="47"/>
      <c r="DBK54" s="11"/>
      <c r="DER54" s="47"/>
      <c r="DEW54" s="47"/>
      <c r="DEY54" s="11"/>
      <c r="DIF54" s="47"/>
      <c r="DIK54" s="47"/>
      <c r="DIM54" s="11"/>
      <c r="DLT54" s="47"/>
      <c r="DLY54" s="47"/>
      <c r="DMA54" s="11"/>
      <c r="DPH54" s="47"/>
      <c r="DPM54" s="47"/>
      <c r="DPO54" s="11"/>
      <c r="DSV54" s="47"/>
      <c r="DTA54" s="47"/>
      <c r="DTC54" s="11"/>
      <c r="DWJ54" s="47"/>
      <c r="DWO54" s="47"/>
      <c r="DWQ54" s="11"/>
      <c r="DZX54" s="47"/>
      <c r="EAC54" s="47"/>
      <c r="EAE54" s="11"/>
      <c r="EDL54" s="47"/>
      <c r="EDQ54" s="47"/>
      <c r="EDS54" s="11"/>
      <c r="EGZ54" s="47"/>
      <c r="EHE54" s="47"/>
      <c r="EHG54" s="11"/>
      <c r="EKN54" s="47"/>
      <c r="EKS54" s="47"/>
      <c r="EKU54" s="11"/>
      <c r="EOB54" s="47"/>
      <c r="EOG54" s="47"/>
      <c r="EOI54" s="11"/>
      <c r="ERP54" s="47"/>
      <c r="ERU54" s="47"/>
      <c r="ERW54" s="11"/>
      <c r="EVD54" s="47"/>
      <c r="EVI54" s="47"/>
      <c r="EVK54" s="11"/>
      <c r="EYR54" s="47"/>
      <c r="EYW54" s="47"/>
      <c r="EYY54" s="11"/>
      <c r="FCF54" s="47"/>
      <c r="FCK54" s="47"/>
      <c r="FCM54" s="11"/>
      <c r="FFT54" s="47"/>
      <c r="FFY54" s="47"/>
      <c r="FGA54" s="11"/>
      <c r="FJH54" s="47"/>
      <c r="FJM54" s="47"/>
      <c r="FJO54" s="11"/>
      <c r="FMV54" s="47"/>
      <c r="FNA54" s="47"/>
      <c r="FNC54" s="11"/>
      <c r="FQJ54" s="47"/>
      <c r="FQO54" s="47"/>
      <c r="FQQ54" s="11"/>
      <c r="FTX54" s="47"/>
      <c r="FUC54" s="47"/>
      <c r="FUE54" s="11"/>
      <c r="FXL54" s="47"/>
      <c r="FXQ54" s="47"/>
      <c r="FXS54" s="11"/>
      <c r="GAZ54" s="47"/>
      <c r="GBE54" s="47"/>
      <c r="GBG54" s="11"/>
      <c r="GEN54" s="47"/>
      <c r="GES54" s="47"/>
      <c r="GEU54" s="11"/>
      <c r="GIB54" s="47"/>
      <c r="GIG54" s="47"/>
      <c r="GII54" s="11"/>
      <c r="GLP54" s="47"/>
      <c r="GLU54" s="47"/>
      <c r="GLW54" s="11"/>
      <c r="GPD54" s="47"/>
      <c r="GPI54" s="47"/>
      <c r="GPK54" s="11"/>
      <c r="GSR54" s="47"/>
      <c r="GSW54" s="47"/>
      <c r="GSY54" s="11"/>
      <c r="GWF54" s="47"/>
      <c r="GWK54" s="47"/>
      <c r="GWM54" s="11"/>
      <c r="GZT54" s="47"/>
      <c r="GZY54" s="47"/>
      <c r="HAA54" s="11"/>
      <c r="HDH54" s="47"/>
      <c r="HDM54" s="47"/>
      <c r="HDO54" s="11"/>
      <c r="HGV54" s="47"/>
      <c r="HHA54" s="47"/>
      <c r="HHC54" s="11"/>
      <c r="HKJ54" s="47"/>
      <c r="HKO54" s="47"/>
      <c r="HKQ54" s="11"/>
      <c r="HNX54" s="47"/>
      <c r="HOC54" s="47"/>
      <c r="HOE54" s="11"/>
      <c r="HRL54" s="47"/>
      <c r="HRQ54" s="47"/>
      <c r="HRS54" s="11"/>
      <c r="HUZ54" s="47"/>
      <c r="HVE54" s="47"/>
      <c r="HVG54" s="11"/>
      <c r="HYN54" s="47"/>
      <c r="HYS54" s="47"/>
      <c r="HYU54" s="11"/>
      <c r="ICB54" s="47"/>
      <c r="ICG54" s="47"/>
      <c r="ICI54" s="11"/>
      <c r="IFP54" s="47"/>
      <c r="IFU54" s="47"/>
      <c r="IFW54" s="11"/>
      <c r="IJD54" s="47"/>
      <c r="IJI54" s="47"/>
      <c r="IJK54" s="11"/>
      <c r="IMR54" s="47"/>
      <c r="IMW54" s="47"/>
      <c r="IMY54" s="11"/>
      <c r="IQF54" s="47"/>
      <c r="IQK54" s="47"/>
      <c r="IQM54" s="11"/>
      <c r="ITT54" s="47"/>
      <c r="ITY54" s="47"/>
      <c r="IUA54" s="11"/>
      <c r="IXH54" s="47"/>
      <c r="IXM54" s="47"/>
      <c r="IXO54" s="11"/>
      <c r="JAV54" s="47"/>
      <c r="JBA54" s="47"/>
      <c r="JBC54" s="11"/>
      <c r="JEJ54" s="47"/>
      <c r="JEO54" s="47"/>
      <c r="JEQ54" s="11"/>
      <c r="JHX54" s="47"/>
      <c r="JIC54" s="47"/>
      <c r="JIE54" s="11"/>
      <c r="JLL54" s="47"/>
      <c r="JLQ54" s="47"/>
      <c r="JLS54" s="11"/>
      <c r="JOZ54" s="47"/>
      <c r="JPE54" s="47"/>
      <c r="JPG54" s="11"/>
      <c r="JSN54" s="47"/>
      <c r="JSS54" s="47"/>
      <c r="JSU54" s="11"/>
      <c r="JWB54" s="47"/>
      <c r="JWG54" s="47"/>
      <c r="JWI54" s="11"/>
      <c r="JZP54" s="47"/>
      <c r="JZU54" s="47"/>
      <c r="JZW54" s="11"/>
      <c r="KDD54" s="47"/>
      <c r="KDI54" s="47"/>
      <c r="KDK54" s="11"/>
      <c r="KGR54" s="47"/>
      <c r="KGW54" s="47"/>
      <c r="KGY54" s="11"/>
      <c r="KKF54" s="47"/>
      <c r="KKK54" s="47"/>
      <c r="KKM54" s="11"/>
      <c r="KNT54" s="47"/>
      <c r="KNY54" s="47"/>
      <c r="KOA54" s="11"/>
      <c r="KRH54" s="47"/>
      <c r="KRM54" s="47"/>
      <c r="KRO54" s="11"/>
      <c r="KUV54" s="47"/>
      <c r="KVA54" s="47"/>
      <c r="KVC54" s="11"/>
      <c r="KYJ54" s="47"/>
      <c r="KYO54" s="47"/>
      <c r="KYQ54" s="11"/>
      <c r="LBX54" s="47"/>
      <c r="LCC54" s="47"/>
      <c r="LCE54" s="11"/>
      <c r="LFL54" s="47"/>
      <c r="LFQ54" s="47"/>
      <c r="LFS54" s="11"/>
      <c r="LIZ54" s="47"/>
      <c r="LJE54" s="47"/>
      <c r="LJG54" s="11"/>
      <c r="LMN54" s="47"/>
      <c r="LMS54" s="47"/>
      <c r="LMU54" s="11"/>
      <c r="LQB54" s="47"/>
      <c r="LQG54" s="47"/>
      <c r="LQI54" s="11"/>
      <c r="LTP54" s="47"/>
      <c r="LTU54" s="47"/>
      <c r="LTW54" s="11"/>
      <c r="LXD54" s="47"/>
      <c r="LXI54" s="47"/>
      <c r="LXK54" s="11"/>
      <c r="MAR54" s="47"/>
      <c r="MAW54" s="47"/>
      <c r="MAY54" s="11"/>
      <c r="MEF54" s="47"/>
      <c r="MEK54" s="47"/>
      <c r="MEM54" s="11"/>
      <c r="MHT54" s="47"/>
      <c r="MHY54" s="47"/>
      <c r="MIA54" s="11"/>
      <c r="MLH54" s="47"/>
      <c r="MLM54" s="47"/>
      <c r="MLO54" s="11"/>
      <c r="MOV54" s="47"/>
      <c r="MPA54" s="47"/>
      <c r="MPC54" s="11"/>
      <c r="MSJ54" s="47"/>
      <c r="MSO54" s="47"/>
      <c r="MSQ54" s="11"/>
      <c r="MVX54" s="47"/>
      <c r="MWC54" s="47"/>
      <c r="MWE54" s="11"/>
      <c r="MZL54" s="47"/>
      <c r="MZQ54" s="47"/>
      <c r="MZS54" s="11"/>
      <c r="NCZ54" s="47"/>
      <c r="NDE54" s="47"/>
      <c r="NDG54" s="11"/>
      <c r="NGN54" s="47"/>
      <c r="NGS54" s="47"/>
      <c r="NGU54" s="11"/>
      <c r="NKB54" s="47"/>
      <c r="NKG54" s="47"/>
      <c r="NKI54" s="11"/>
      <c r="NNP54" s="47"/>
      <c r="NNU54" s="47"/>
      <c r="NNW54" s="11"/>
      <c r="NRD54" s="47"/>
      <c r="NRI54" s="47"/>
      <c r="NRK54" s="11"/>
      <c r="NUR54" s="47"/>
      <c r="NUW54" s="47"/>
      <c r="NUY54" s="11"/>
      <c r="NYF54" s="47"/>
      <c r="NYK54" s="47"/>
      <c r="NYM54" s="11"/>
      <c r="OBT54" s="47"/>
      <c r="OBY54" s="47"/>
      <c r="OCA54" s="11"/>
      <c r="OFH54" s="47"/>
      <c r="OFM54" s="47"/>
      <c r="OFO54" s="11"/>
      <c r="OIV54" s="47"/>
      <c r="OJA54" s="47"/>
      <c r="OJC54" s="11"/>
      <c r="OMJ54" s="47"/>
      <c r="OMO54" s="47"/>
      <c r="OMQ54" s="11"/>
      <c r="OPX54" s="47"/>
      <c r="OQC54" s="47"/>
      <c r="OQE54" s="11"/>
      <c r="OTL54" s="47"/>
      <c r="OTQ54" s="47"/>
      <c r="OTS54" s="11"/>
      <c r="OWZ54" s="47"/>
      <c r="OXE54" s="47"/>
      <c r="OXG54" s="11"/>
      <c r="PAN54" s="47"/>
      <c r="PAS54" s="47"/>
      <c r="PAU54" s="11"/>
      <c r="PEB54" s="47"/>
      <c r="PEG54" s="47"/>
      <c r="PEI54" s="11"/>
      <c r="PHP54" s="47"/>
      <c r="PHU54" s="47"/>
      <c r="PHW54" s="11"/>
      <c r="PLD54" s="47"/>
      <c r="PLI54" s="47"/>
      <c r="PLK54" s="11"/>
      <c r="POR54" s="47"/>
      <c r="POW54" s="47"/>
      <c r="POY54" s="11"/>
      <c r="PSF54" s="47"/>
      <c r="PSK54" s="47"/>
      <c r="PSM54" s="11"/>
      <c r="PVT54" s="47"/>
      <c r="PVY54" s="47"/>
      <c r="PWA54" s="11"/>
      <c r="PZH54" s="47"/>
      <c r="PZM54" s="47"/>
      <c r="PZO54" s="11"/>
      <c r="QCV54" s="47"/>
      <c r="QDA54" s="47"/>
      <c r="QDC54" s="11"/>
      <c r="QGJ54" s="47"/>
      <c r="QGO54" s="47"/>
      <c r="QGQ54" s="11"/>
      <c r="QJX54" s="47"/>
      <c r="QKC54" s="47"/>
      <c r="QKE54" s="11"/>
      <c r="QNL54" s="47"/>
      <c r="QNQ54" s="47"/>
      <c r="QNS54" s="11"/>
      <c r="QQZ54" s="47"/>
      <c r="QRE54" s="47"/>
      <c r="QRG54" s="11"/>
      <c r="QUN54" s="47"/>
      <c r="QUS54" s="47"/>
      <c r="QUU54" s="11"/>
      <c r="QYB54" s="47"/>
      <c r="QYG54" s="47"/>
      <c r="QYI54" s="11"/>
      <c r="RBP54" s="47"/>
      <c r="RBU54" s="47"/>
      <c r="RBW54" s="11"/>
      <c r="RFD54" s="47"/>
      <c r="RFI54" s="47"/>
      <c r="RFK54" s="11"/>
      <c r="RIR54" s="47"/>
      <c r="RIW54" s="47"/>
      <c r="RIY54" s="11"/>
      <c r="RMF54" s="47"/>
      <c r="RMK54" s="47"/>
      <c r="RMM54" s="11"/>
      <c r="RPT54" s="47"/>
      <c r="RPY54" s="47"/>
      <c r="RQA54" s="11"/>
      <c r="RTH54" s="47"/>
      <c r="RTM54" s="47"/>
      <c r="RTO54" s="11"/>
      <c r="RWV54" s="47"/>
      <c r="RXA54" s="47"/>
      <c r="RXC54" s="11"/>
      <c r="SAJ54" s="47"/>
      <c r="SAO54" s="47"/>
      <c r="SAQ54" s="11"/>
      <c r="SDX54" s="47"/>
      <c r="SEC54" s="47"/>
      <c r="SEE54" s="11"/>
      <c r="SHL54" s="47"/>
      <c r="SHQ54" s="47"/>
      <c r="SHS54" s="11"/>
      <c r="SKZ54" s="47"/>
      <c r="SLE54" s="47"/>
      <c r="SLG54" s="11"/>
      <c r="SON54" s="47"/>
      <c r="SOS54" s="47"/>
      <c r="SOU54" s="11"/>
      <c r="SSB54" s="47"/>
      <c r="SSG54" s="47"/>
      <c r="SSI54" s="11"/>
      <c r="SVP54" s="47"/>
      <c r="SVU54" s="47"/>
      <c r="SVW54" s="11"/>
      <c r="SZD54" s="47"/>
      <c r="SZI54" s="47"/>
      <c r="SZK54" s="11"/>
      <c r="TCR54" s="47"/>
      <c r="TCW54" s="47"/>
      <c r="TCY54" s="11"/>
      <c r="TGF54" s="47"/>
      <c r="TGK54" s="47"/>
      <c r="TGM54" s="11"/>
      <c r="TJT54" s="47"/>
      <c r="TJY54" s="47"/>
      <c r="TKA54" s="11"/>
      <c r="TNH54" s="47"/>
      <c r="TNM54" s="47"/>
      <c r="TNO54" s="11"/>
      <c r="TQV54" s="47"/>
      <c r="TRA54" s="47"/>
      <c r="TRC54" s="11"/>
      <c r="TUJ54" s="47"/>
      <c r="TUO54" s="47"/>
      <c r="TUQ54" s="11"/>
      <c r="TXX54" s="47"/>
      <c r="TYC54" s="47"/>
      <c r="TYE54" s="11"/>
      <c r="UBL54" s="47"/>
      <c r="UBQ54" s="47"/>
      <c r="UBS54" s="11"/>
      <c r="UEZ54" s="47"/>
      <c r="UFE54" s="47"/>
      <c r="UFG54" s="11"/>
      <c r="UIN54" s="47"/>
      <c r="UIS54" s="47"/>
      <c r="UIU54" s="11"/>
      <c r="UMB54" s="47"/>
      <c r="UMG54" s="47"/>
      <c r="UMI54" s="11"/>
      <c r="UPP54" s="47"/>
      <c r="UPU54" s="47"/>
      <c r="UPW54" s="11"/>
      <c r="UTD54" s="47"/>
      <c r="UTI54" s="47"/>
      <c r="UTK54" s="11"/>
      <c r="UWR54" s="47"/>
      <c r="UWW54" s="47"/>
      <c r="UWY54" s="11"/>
      <c r="VAF54" s="47"/>
      <c r="VAK54" s="47"/>
      <c r="VAM54" s="11"/>
      <c r="VDT54" s="47"/>
      <c r="VDY54" s="47"/>
      <c r="VEA54" s="11"/>
      <c r="VHH54" s="47"/>
      <c r="VHM54" s="47"/>
      <c r="VHO54" s="11"/>
      <c r="VKV54" s="47"/>
      <c r="VLA54" s="47"/>
      <c r="VLC54" s="11"/>
      <c r="VOJ54" s="47"/>
      <c r="VOO54" s="47"/>
      <c r="VOQ54" s="11"/>
      <c r="VRX54" s="47"/>
      <c r="VSC54" s="47"/>
      <c r="VSE54" s="11"/>
      <c r="VVL54" s="47"/>
      <c r="VVQ54" s="47"/>
      <c r="VVS54" s="11"/>
      <c r="VYZ54" s="47"/>
      <c r="VZE54" s="47"/>
      <c r="VZG54" s="11"/>
      <c r="WCN54" s="47"/>
      <c r="WCS54" s="47"/>
      <c r="WCU54" s="11"/>
      <c r="WGB54" s="47"/>
      <c r="WGG54" s="47"/>
      <c r="WGI54" s="11"/>
      <c r="WJP54" s="47"/>
      <c r="WJU54" s="47"/>
      <c r="WJW54" s="11"/>
      <c r="WND54" s="47"/>
      <c r="WNI54" s="47"/>
      <c r="WNK54" s="11"/>
      <c r="WQR54" s="47"/>
      <c r="WQW54" s="47"/>
      <c r="WQY54" s="11"/>
      <c r="WUF54" s="47"/>
      <c r="WUK54" s="47"/>
      <c r="WUM54" s="11"/>
      <c r="WXT54" s="47"/>
      <c r="WXY54" s="47"/>
      <c r="WYA54" s="11"/>
      <c r="XBH54" s="47"/>
      <c r="XBM54" s="47"/>
      <c r="XBO54" s="11"/>
      <c r="XEV54" s="47"/>
      <c r="XFA54" s="47"/>
      <c r="XFC54" s="11"/>
    </row>
    <row r="55" spans="3:1019 1104:2031 2116:3043 3128:4055 4140:5067 5152:6079 6164:7091 7176:8188 8193:9207 9292:10219 10304:11231 11316:12243 12328:13255 13340:14267 14352:15279 15364:16383" s="10" customFormat="1" ht="14.65" customHeight="1">
      <c r="C55" s="35" t="s">
        <v>981</v>
      </c>
      <c r="E55" s="47"/>
      <c r="G55" s="162" t="str">
        <f>Monetary_Unit</f>
        <v>тыс. руб.</v>
      </c>
      <c r="I55" s="361">
        <f ca="1">SUM(I51:I53)</f>
        <v>372440.80489270616</v>
      </c>
      <c r="CS55" s="47"/>
      <c r="CU55" s="11"/>
      <c r="GB55" s="47"/>
      <c r="GG55" s="47"/>
      <c r="GI55" s="11"/>
      <c r="JP55" s="47"/>
      <c r="JU55" s="47"/>
      <c r="JW55" s="11"/>
      <c r="ND55" s="47"/>
      <c r="NI55" s="47"/>
      <c r="NK55" s="11"/>
      <c r="QR55" s="47"/>
      <c r="QW55" s="47"/>
      <c r="QY55" s="11"/>
      <c r="UF55" s="47"/>
      <c r="UK55" s="47"/>
      <c r="UM55" s="11"/>
      <c r="XT55" s="47"/>
      <c r="XY55" s="47"/>
      <c r="YA55" s="11"/>
      <c r="ABH55" s="47"/>
      <c r="ABM55" s="47"/>
      <c r="ABO55" s="11"/>
      <c r="AEV55" s="47"/>
      <c r="AFA55" s="47"/>
      <c r="AFC55" s="11"/>
      <c r="AIJ55" s="47"/>
      <c r="AIO55" s="47"/>
      <c r="AIQ55" s="11"/>
      <c r="ALX55" s="47"/>
      <c r="AMC55" s="47"/>
      <c r="AME55" s="11"/>
      <c r="APL55" s="47"/>
      <c r="APQ55" s="47"/>
      <c r="APS55" s="11"/>
      <c r="ASZ55" s="47"/>
      <c r="ATE55" s="47"/>
      <c r="ATG55" s="11"/>
      <c r="AWN55" s="47"/>
      <c r="AWS55" s="47"/>
      <c r="AWU55" s="11"/>
      <c r="BAB55" s="47"/>
      <c r="BAG55" s="47"/>
      <c r="BAI55" s="11"/>
      <c r="BDP55" s="47"/>
      <c r="BDU55" s="47"/>
      <c r="BDW55" s="11"/>
      <c r="BHD55" s="47"/>
      <c r="BHI55" s="47"/>
      <c r="BHK55" s="11"/>
      <c r="BKR55" s="47"/>
      <c r="BKW55" s="47"/>
      <c r="BKY55" s="11"/>
      <c r="BOF55" s="47"/>
      <c r="BOK55" s="47"/>
      <c r="BOM55" s="11"/>
      <c r="BRT55" s="47"/>
      <c r="BRY55" s="47"/>
      <c r="BSA55" s="11"/>
      <c r="BVH55" s="47"/>
      <c r="BVM55" s="47"/>
      <c r="BVO55" s="11"/>
      <c r="BYV55" s="47"/>
      <c r="BZA55" s="47"/>
      <c r="BZC55" s="11"/>
      <c r="CCJ55" s="47"/>
      <c r="CCO55" s="47"/>
      <c r="CCQ55" s="11"/>
      <c r="CFX55" s="47"/>
      <c r="CGC55" s="47"/>
      <c r="CGE55" s="11"/>
      <c r="CJL55" s="47"/>
      <c r="CJQ55" s="47"/>
      <c r="CJS55" s="11"/>
      <c r="CMZ55" s="47"/>
      <c r="CNE55" s="47"/>
      <c r="CNG55" s="11"/>
      <c r="CQN55" s="47"/>
      <c r="CQS55" s="47"/>
      <c r="CQU55" s="11"/>
      <c r="CUB55" s="47"/>
      <c r="CUG55" s="47"/>
      <c r="CUI55" s="11"/>
      <c r="CXP55" s="47"/>
      <c r="CXU55" s="47"/>
      <c r="CXW55" s="11"/>
      <c r="DBD55" s="47"/>
      <c r="DBI55" s="47"/>
      <c r="DBK55" s="11"/>
      <c r="DER55" s="47"/>
      <c r="DEW55" s="47"/>
      <c r="DEY55" s="11"/>
      <c r="DIF55" s="47"/>
      <c r="DIK55" s="47"/>
      <c r="DIM55" s="11"/>
      <c r="DLT55" s="47"/>
      <c r="DLY55" s="47"/>
      <c r="DMA55" s="11"/>
      <c r="DPH55" s="47"/>
      <c r="DPM55" s="47"/>
      <c r="DPO55" s="11"/>
      <c r="DSV55" s="47"/>
      <c r="DTA55" s="47"/>
      <c r="DTC55" s="11"/>
      <c r="DWJ55" s="47"/>
      <c r="DWO55" s="47"/>
      <c r="DWQ55" s="11"/>
      <c r="DZX55" s="47"/>
      <c r="EAC55" s="47"/>
      <c r="EAE55" s="11"/>
      <c r="EDL55" s="47"/>
      <c r="EDQ55" s="47"/>
      <c r="EDS55" s="11"/>
      <c r="EGZ55" s="47"/>
      <c r="EHE55" s="47"/>
      <c r="EHG55" s="11"/>
      <c r="EKN55" s="47"/>
      <c r="EKS55" s="47"/>
      <c r="EKU55" s="11"/>
      <c r="EOB55" s="47"/>
      <c r="EOG55" s="47"/>
      <c r="EOI55" s="11"/>
      <c r="ERP55" s="47"/>
      <c r="ERU55" s="47"/>
      <c r="ERW55" s="11"/>
      <c r="EVD55" s="47"/>
      <c r="EVI55" s="47"/>
      <c r="EVK55" s="11"/>
      <c r="EYR55" s="47"/>
      <c r="EYW55" s="47"/>
      <c r="EYY55" s="11"/>
      <c r="FCF55" s="47"/>
      <c r="FCK55" s="47"/>
      <c r="FCM55" s="11"/>
      <c r="FFT55" s="47"/>
      <c r="FFY55" s="47"/>
      <c r="FGA55" s="11"/>
      <c r="FJH55" s="47"/>
      <c r="FJM55" s="47"/>
      <c r="FJO55" s="11"/>
      <c r="FMV55" s="47"/>
      <c r="FNA55" s="47"/>
      <c r="FNC55" s="11"/>
      <c r="FQJ55" s="47"/>
      <c r="FQO55" s="47"/>
      <c r="FQQ55" s="11"/>
      <c r="FTX55" s="47"/>
      <c r="FUC55" s="47"/>
      <c r="FUE55" s="11"/>
      <c r="FXL55" s="47"/>
      <c r="FXQ55" s="47"/>
      <c r="FXS55" s="11"/>
      <c r="GAZ55" s="47"/>
      <c r="GBE55" s="47"/>
      <c r="GBG55" s="11"/>
      <c r="GEN55" s="47"/>
      <c r="GES55" s="47"/>
      <c r="GEU55" s="11"/>
      <c r="GIB55" s="47"/>
      <c r="GIG55" s="47"/>
      <c r="GII55" s="11"/>
      <c r="GLP55" s="47"/>
      <c r="GLU55" s="47"/>
      <c r="GLW55" s="11"/>
      <c r="GPD55" s="47"/>
      <c r="GPI55" s="47"/>
      <c r="GPK55" s="11"/>
      <c r="GSR55" s="47"/>
      <c r="GSW55" s="47"/>
      <c r="GSY55" s="11"/>
      <c r="GWF55" s="47"/>
      <c r="GWK55" s="47"/>
      <c r="GWM55" s="11"/>
      <c r="GZT55" s="47"/>
      <c r="GZY55" s="47"/>
      <c r="HAA55" s="11"/>
      <c r="HDH55" s="47"/>
      <c r="HDM55" s="47"/>
      <c r="HDO55" s="11"/>
      <c r="HGV55" s="47"/>
      <c r="HHA55" s="47"/>
      <c r="HHC55" s="11"/>
      <c r="HKJ55" s="47"/>
      <c r="HKO55" s="47"/>
      <c r="HKQ55" s="11"/>
      <c r="HNX55" s="47"/>
      <c r="HOC55" s="47"/>
      <c r="HOE55" s="11"/>
      <c r="HRL55" s="47"/>
      <c r="HRQ55" s="47"/>
      <c r="HRS55" s="11"/>
      <c r="HUZ55" s="47"/>
      <c r="HVE55" s="47"/>
      <c r="HVG55" s="11"/>
      <c r="HYN55" s="47"/>
      <c r="HYS55" s="47"/>
      <c r="HYU55" s="11"/>
      <c r="ICB55" s="47"/>
      <c r="ICG55" s="47"/>
      <c r="ICI55" s="11"/>
      <c r="IFP55" s="47"/>
      <c r="IFU55" s="47"/>
      <c r="IFW55" s="11"/>
      <c r="IJD55" s="47"/>
      <c r="IJI55" s="47"/>
      <c r="IJK55" s="11"/>
      <c r="IMR55" s="47"/>
      <c r="IMW55" s="47"/>
      <c r="IMY55" s="11"/>
      <c r="IQF55" s="47"/>
      <c r="IQK55" s="47"/>
      <c r="IQM55" s="11"/>
      <c r="ITT55" s="47"/>
      <c r="ITY55" s="47"/>
      <c r="IUA55" s="11"/>
      <c r="IXH55" s="47"/>
      <c r="IXM55" s="47"/>
      <c r="IXO55" s="11"/>
      <c r="JAV55" s="47"/>
      <c r="JBA55" s="47"/>
      <c r="JBC55" s="11"/>
      <c r="JEJ55" s="47"/>
      <c r="JEO55" s="47"/>
      <c r="JEQ55" s="11"/>
      <c r="JHX55" s="47"/>
      <c r="JIC55" s="47"/>
      <c r="JIE55" s="11"/>
      <c r="JLL55" s="47"/>
      <c r="JLQ55" s="47"/>
      <c r="JLS55" s="11"/>
      <c r="JOZ55" s="47"/>
      <c r="JPE55" s="47"/>
      <c r="JPG55" s="11"/>
      <c r="JSN55" s="47"/>
      <c r="JSS55" s="47"/>
      <c r="JSU55" s="11"/>
      <c r="JWB55" s="47"/>
      <c r="JWG55" s="47"/>
      <c r="JWI55" s="11"/>
      <c r="JZP55" s="47"/>
      <c r="JZU55" s="47"/>
      <c r="JZW55" s="11"/>
      <c r="KDD55" s="47"/>
      <c r="KDI55" s="47"/>
      <c r="KDK55" s="11"/>
      <c r="KGR55" s="47"/>
      <c r="KGW55" s="47"/>
      <c r="KGY55" s="11"/>
      <c r="KKF55" s="47"/>
      <c r="KKK55" s="47"/>
      <c r="KKM55" s="11"/>
      <c r="KNT55" s="47"/>
      <c r="KNY55" s="47"/>
      <c r="KOA55" s="11"/>
      <c r="KRH55" s="47"/>
      <c r="KRM55" s="47"/>
      <c r="KRO55" s="11"/>
      <c r="KUV55" s="47"/>
      <c r="KVA55" s="47"/>
      <c r="KVC55" s="11"/>
      <c r="KYJ55" s="47"/>
      <c r="KYO55" s="47"/>
      <c r="KYQ55" s="11"/>
      <c r="LBX55" s="47"/>
      <c r="LCC55" s="47"/>
      <c r="LCE55" s="11"/>
      <c r="LFL55" s="47"/>
      <c r="LFQ55" s="47"/>
      <c r="LFS55" s="11"/>
      <c r="LIZ55" s="47"/>
      <c r="LJE55" s="47"/>
      <c r="LJG55" s="11"/>
      <c r="LMN55" s="47"/>
      <c r="LMS55" s="47"/>
      <c r="LMU55" s="11"/>
      <c r="LQB55" s="47"/>
      <c r="LQG55" s="47"/>
      <c r="LQI55" s="11"/>
      <c r="LTP55" s="47"/>
      <c r="LTU55" s="47"/>
      <c r="LTW55" s="11"/>
      <c r="LXD55" s="47"/>
      <c r="LXI55" s="47"/>
      <c r="LXK55" s="11"/>
      <c r="MAR55" s="47"/>
      <c r="MAW55" s="47"/>
      <c r="MAY55" s="11"/>
      <c r="MEF55" s="47"/>
      <c r="MEK55" s="47"/>
      <c r="MEM55" s="11"/>
      <c r="MHT55" s="47"/>
      <c r="MHY55" s="47"/>
      <c r="MIA55" s="11"/>
      <c r="MLH55" s="47"/>
      <c r="MLM55" s="47"/>
      <c r="MLO55" s="11"/>
      <c r="MOV55" s="47"/>
      <c r="MPA55" s="47"/>
      <c r="MPC55" s="11"/>
      <c r="MSJ55" s="47"/>
      <c r="MSO55" s="47"/>
      <c r="MSQ55" s="11"/>
      <c r="MVX55" s="47"/>
      <c r="MWC55" s="47"/>
      <c r="MWE55" s="11"/>
      <c r="MZL55" s="47"/>
      <c r="MZQ55" s="47"/>
      <c r="MZS55" s="11"/>
      <c r="NCZ55" s="47"/>
      <c r="NDE55" s="47"/>
      <c r="NDG55" s="11"/>
      <c r="NGN55" s="47"/>
      <c r="NGS55" s="47"/>
      <c r="NGU55" s="11"/>
      <c r="NKB55" s="47"/>
      <c r="NKG55" s="47"/>
      <c r="NKI55" s="11"/>
      <c r="NNP55" s="47"/>
      <c r="NNU55" s="47"/>
      <c r="NNW55" s="11"/>
      <c r="NRD55" s="47"/>
      <c r="NRI55" s="47"/>
      <c r="NRK55" s="11"/>
      <c r="NUR55" s="47"/>
      <c r="NUW55" s="47"/>
      <c r="NUY55" s="11"/>
      <c r="NYF55" s="47"/>
      <c r="NYK55" s="47"/>
      <c r="NYM55" s="11"/>
      <c r="OBT55" s="47"/>
      <c r="OBY55" s="47"/>
      <c r="OCA55" s="11"/>
      <c r="OFH55" s="47"/>
      <c r="OFM55" s="47"/>
      <c r="OFO55" s="11"/>
      <c r="OIV55" s="47"/>
      <c r="OJA55" s="47"/>
      <c r="OJC55" s="11"/>
      <c r="OMJ55" s="47"/>
      <c r="OMO55" s="47"/>
      <c r="OMQ55" s="11"/>
      <c r="OPX55" s="47"/>
      <c r="OQC55" s="47"/>
      <c r="OQE55" s="11"/>
      <c r="OTL55" s="47"/>
      <c r="OTQ55" s="47"/>
      <c r="OTS55" s="11"/>
      <c r="OWZ55" s="47"/>
      <c r="OXE55" s="47"/>
      <c r="OXG55" s="11"/>
      <c r="PAN55" s="47"/>
      <c r="PAS55" s="47"/>
      <c r="PAU55" s="11"/>
      <c r="PEB55" s="47"/>
      <c r="PEG55" s="47"/>
      <c r="PEI55" s="11"/>
      <c r="PHP55" s="47"/>
      <c r="PHU55" s="47"/>
      <c r="PHW55" s="11"/>
      <c r="PLD55" s="47"/>
      <c r="PLI55" s="47"/>
      <c r="PLK55" s="11"/>
      <c r="POR55" s="47"/>
      <c r="POW55" s="47"/>
      <c r="POY55" s="11"/>
      <c r="PSF55" s="47"/>
      <c r="PSK55" s="47"/>
      <c r="PSM55" s="11"/>
      <c r="PVT55" s="47"/>
      <c r="PVY55" s="47"/>
      <c r="PWA55" s="11"/>
      <c r="PZH55" s="47"/>
      <c r="PZM55" s="47"/>
      <c r="PZO55" s="11"/>
      <c r="QCV55" s="47"/>
      <c r="QDA55" s="47"/>
      <c r="QDC55" s="11"/>
      <c r="QGJ55" s="47"/>
      <c r="QGO55" s="47"/>
      <c r="QGQ55" s="11"/>
      <c r="QJX55" s="47"/>
      <c r="QKC55" s="47"/>
      <c r="QKE55" s="11"/>
      <c r="QNL55" s="47"/>
      <c r="QNQ55" s="47"/>
      <c r="QNS55" s="11"/>
      <c r="QQZ55" s="47"/>
      <c r="QRE55" s="47"/>
      <c r="QRG55" s="11"/>
      <c r="QUN55" s="47"/>
      <c r="QUS55" s="47"/>
      <c r="QUU55" s="11"/>
      <c r="QYB55" s="47"/>
      <c r="QYG55" s="47"/>
      <c r="QYI55" s="11"/>
      <c r="RBP55" s="47"/>
      <c r="RBU55" s="47"/>
      <c r="RBW55" s="11"/>
      <c r="RFD55" s="47"/>
      <c r="RFI55" s="47"/>
      <c r="RFK55" s="11"/>
      <c r="RIR55" s="47"/>
      <c r="RIW55" s="47"/>
      <c r="RIY55" s="11"/>
      <c r="RMF55" s="47"/>
      <c r="RMK55" s="47"/>
      <c r="RMM55" s="11"/>
      <c r="RPT55" s="47"/>
      <c r="RPY55" s="47"/>
      <c r="RQA55" s="11"/>
      <c r="RTH55" s="47"/>
      <c r="RTM55" s="47"/>
      <c r="RTO55" s="11"/>
      <c r="RWV55" s="47"/>
      <c r="RXA55" s="47"/>
      <c r="RXC55" s="11"/>
      <c r="SAJ55" s="47"/>
      <c r="SAO55" s="47"/>
      <c r="SAQ55" s="11"/>
      <c r="SDX55" s="47"/>
      <c r="SEC55" s="47"/>
      <c r="SEE55" s="11"/>
      <c r="SHL55" s="47"/>
      <c r="SHQ55" s="47"/>
      <c r="SHS55" s="11"/>
      <c r="SKZ55" s="47"/>
      <c r="SLE55" s="47"/>
      <c r="SLG55" s="11"/>
      <c r="SON55" s="47"/>
      <c r="SOS55" s="47"/>
      <c r="SOU55" s="11"/>
      <c r="SSB55" s="47"/>
      <c r="SSG55" s="47"/>
      <c r="SSI55" s="11"/>
      <c r="SVP55" s="47"/>
      <c r="SVU55" s="47"/>
      <c r="SVW55" s="11"/>
      <c r="SZD55" s="47"/>
      <c r="SZI55" s="47"/>
      <c r="SZK55" s="11"/>
      <c r="TCR55" s="47"/>
      <c r="TCW55" s="47"/>
      <c r="TCY55" s="11"/>
      <c r="TGF55" s="47"/>
      <c r="TGK55" s="47"/>
      <c r="TGM55" s="11"/>
      <c r="TJT55" s="47"/>
      <c r="TJY55" s="47"/>
      <c r="TKA55" s="11"/>
      <c r="TNH55" s="47"/>
      <c r="TNM55" s="47"/>
      <c r="TNO55" s="11"/>
      <c r="TQV55" s="47"/>
      <c r="TRA55" s="47"/>
      <c r="TRC55" s="11"/>
      <c r="TUJ55" s="47"/>
      <c r="TUO55" s="47"/>
      <c r="TUQ55" s="11"/>
      <c r="TXX55" s="47"/>
      <c r="TYC55" s="47"/>
      <c r="TYE55" s="11"/>
      <c r="UBL55" s="47"/>
      <c r="UBQ55" s="47"/>
      <c r="UBS55" s="11"/>
      <c r="UEZ55" s="47"/>
      <c r="UFE55" s="47"/>
      <c r="UFG55" s="11"/>
      <c r="UIN55" s="47"/>
      <c r="UIS55" s="47"/>
      <c r="UIU55" s="11"/>
      <c r="UMB55" s="47"/>
      <c r="UMG55" s="47"/>
      <c r="UMI55" s="11"/>
      <c r="UPP55" s="47"/>
      <c r="UPU55" s="47"/>
      <c r="UPW55" s="11"/>
      <c r="UTD55" s="47"/>
      <c r="UTI55" s="47"/>
      <c r="UTK55" s="11"/>
      <c r="UWR55" s="47"/>
      <c r="UWW55" s="47"/>
      <c r="UWY55" s="11"/>
      <c r="VAF55" s="47"/>
      <c r="VAK55" s="47"/>
      <c r="VAM55" s="11"/>
      <c r="VDT55" s="47"/>
      <c r="VDY55" s="47"/>
      <c r="VEA55" s="11"/>
      <c r="VHH55" s="47"/>
      <c r="VHM55" s="47"/>
      <c r="VHO55" s="11"/>
      <c r="VKV55" s="47"/>
      <c r="VLA55" s="47"/>
      <c r="VLC55" s="11"/>
      <c r="VOJ55" s="47"/>
      <c r="VOO55" s="47"/>
      <c r="VOQ55" s="11"/>
      <c r="VRX55" s="47"/>
      <c r="VSC55" s="47"/>
      <c r="VSE55" s="11"/>
      <c r="VVL55" s="47"/>
      <c r="VVQ55" s="47"/>
      <c r="VVS55" s="11"/>
      <c r="VYZ55" s="47"/>
      <c r="VZE55" s="47"/>
      <c r="VZG55" s="11"/>
      <c r="WCN55" s="47"/>
      <c r="WCS55" s="47"/>
      <c r="WCU55" s="11"/>
      <c r="WGB55" s="47"/>
      <c r="WGG55" s="47"/>
      <c r="WGI55" s="11"/>
      <c r="WJP55" s="47"/>
      <c r="WJU55" s="47"/>
      <c r="WJW55" s="11"/>
      <c r="WND55" s="47"/>
      <c r="WNI55" s="47"/>
      <c r="WNK55" s="11"/>
      <c r="WQR55" s="47"/>
      <c r="WQW55" s="47"/>
      <c r="WQY55" s="11"/>
      <c r="WUF55" s="47"/>
      <c r="WUK55" s="47"/>
      <c r="WUM55" s="11"/>
      <c r="WXT55" s="47"/>
      <c r="WXY55" s="47"/>
      <c r="WYA55" s="11"/>
      <c r="XBH55" s="47"/>
      <c r="XBM55" s="47"/>
      <c r="XBO55" s="11"/>
      <c r="XEV55" s="47"/>
      <c r="XFA55" s="47"/>
      <c r="XFC55" s="11"/>
    </row>
    <row r="56" spans="3:1019 1104:2031 2116:3043 3128:4055 4140:5067 5152:6079 6164:7091 7176:8188 8193:9207 9292:10219 10304:11231 11316:12243 12328:13255 13340:14267 14352:15279 15364:16383" s="10" customFormat="1" ht="14.65" customHeight="1">
      <c r="C56" s="35" t="s">
        <v>982</v>
      </c>
      <c r="E56" s="47"/>
      <c r="G56" s="162" t="s">
        <v>927</v>
      </c>
      <c r="I56" s="362">
        <f ca="1" xml:space="preserve"> (I52 + I53) / - I51</f>
        <v>1.8083990303418518</v>
      </c>
      <c r="CS56" s="47"/>
      <c r="CU56" s="11"/>
      <c r="GB56" s="47"/>
      <c r="GG56" s="47"/>
      <c r="GI56" s="11"/>
      <c r="JP56" s="47"/>
      <c r="JU56" s="47"/>
      <c r="JW56" s="11"/>
      <c r="ND56" s="47"/>
      <c r="NI56" s="47"/>
      <c r="NK56" s="11"/>
      <c r="QR56" s="47"/>
      <c r="QW56" s="47"/>
      <c r="QY56" s="11"/>
      <c r="UF56" s="47"/>
      <c r="UK56" s="47"/>
      <c r="UM56" s="11"/>
      <c r="XT56" s="47"/>
      <c r="XY56" s="47"/>
      <c r="YA56" s="11"/>
      <c r="ABH56" s="47"/>
      <c r="ABM56" s="47"/>
      <c r="ABO56" s="11"/>
      <c r="AEV56" s="47"/>
      <c r="AFA56" s="47"/>
      <c r="AFC56" s="11"/>
      <c r="AIJ56" s="47"/>
      <c r="AIO56" s="47"/>
      <c r="AIQ56" s="11"/>
      <c r="ALX56" s="47"/>
      <c r="AMC56" s="47"/>
      <c r="AME56" s="11"/>
      <c r="APL56" s="47"/>
      <c r="APQ56" s="47"/>
      <c r="APS56" s="11"/>
      <c r="ASZ56" s="47"/>
      <c r="ATE56" s="47"/>
      <c r="ATG56" s="11"/>
      <c r="AWN56" s="47"/>
      <c r="AWS56" s="47"/>
      <c r="AWU56" s="11"/>
      <c r="BAB56" s="47"/>
      <c r="BAG56" s="47"/>
      <c r="BAI56" s="11"/>
      <c r="BDP56" s="47"/>
      <c r="BDU56" s="47"/>
      <c r="BDW56" s="11"/>
      <c r="BHD56" s="47"/>
      <c r="BHI56" s="47"/>
      <c r="BHK56" s="11"/>
      <c r="BKR56" s="47"/>
      <c r="BKW56" s="47"/>
      <c r="BKY56" s="11"/>
      <c r="BOF56" s="47"/>
      <c r="BOK56" s="47"/>
      <c r="BOM56" s="11"/>
      <c r="BRT56" s="47"/>
      <c r="BRY56" s="47"/>
      <c r="BSA56" s="11"/>
      <c r="BVH56" s="47"/>
      <c r="BVM56" s="47"/>
      <c r="BVO56" s="11"/>
      <c r="BYV56" s="47"/>
      <c r="BZA56" s="47"/>
      <c r="BZC56" s="11"/>
      <c r="CCJ56" s="47"/>
      <c r="CCO56" s="47"/>
      <c r="CCQ56" s="11"/>
      <c r="CFX56" s="47"/>
      <c r="CGC56" s="47"/>
      <c r="CGE56" s="11"/>
      <c r="CJL56" s="47"/>
      <c r="CJQ56" s="47"/>
      <c r="CJS56" s="11"/>
      <c r="CMZ56" s="47"/>
      <c r="CNE56" s="47"/>
      <c r="CNG56" s="11"/>
      <c r="CQN56" s="47"/>
      <c r="CQS56" s="47"/>
      <c r="CQU56" s="11"/>
      <c r="CUB56" s="47"/>
      <c r="CUG56" s="47"/>
      <c r="CUI56" s="11"/>
      <c r="CXP56" s="47"/>
      <c r="CXU56" s="47"/>
      <c r="CXW56" s="11"/>
      <c r="DBD56" s="47"/>
      <c r="DBI56" s="47"/>
      <c r="DBK56" s="11"/>
      <c r="DER56" s="47"/>
      <c r="DEW56" s="47"/>
      <c r="DEY56" s="11"/>
      <c r="DIF56" s="47"/>
      <c r="DIK56" s="47"/>
      <c r="DIM56" s="11"/>
      <c r="DLT56" s="47"/>
      <c r="DLY56" s="47"/>
      <c r="DMA56" s="11"/>
      <c r="DPH56" s="47"/>
      <c r="DPM56" s="47"/>
      <c r="DPO56" s="11"/>
      <c r="DSV56" s="47"/>
      <c r="DTA56" s="47"/>
      <c r="DTC56" s="11"/>
      <c r="DWJ56" s="47"/>
      <c r="DWO56" s="47"/>
      <c r="DWQ56" s="11"/>
      <c r="DZX56" s="47"/>
      <c r="EAC56" s="47"/>
      <c r="EAE56" s="11"/>
      <c r="EDL56" s="47"/>
      <c r="EDQ56" s="47"/>
      <c r="EDS56" s="11"/>
      <c r="EGZ56" s="47"/>
      <c r="EHE56" s="47"/>
      <c r="EHG56" s="11"/>
      <c r="EKN56" s="47"/>
      <c r="EKS56" s="47"/>
      <c r="EKU56" s="11"/>
      <c r="EOB56" s="47"/>
      <c r="EOG56" s="47"/>
      <c r="EOI56" s="11"/>
      <c r="ERP56" s="47"/>
      <c r="ERU56" s="47"/>
      <c r="ERW56" s="11"/>
      <c r="EVD56" s="47"/>
      <c r="EVI56" s="47"/>
      <c r="EVK56" s="11"/>
      <c r="EYR56" s="47"/>
      <c r="EYW56" s="47"/>
      <c r="EYY56" s="11"/>
      <c r="FCF56" s="47"/>
      <c r="FCK56" s="47"/>
      <c r="FCM56" s="11"/>
      <c r="FFT56" s="47"/>
      <c r="FFY56" s="47"/>
      <c r="FGA56" s="11"/>
      <c r="FJH56" s="47"/>
      <c r="FJM56" s="47"/>
      <c r="FJO56" s="11"/>
      <c r="FMV56" s="47"/>
      <c r="FNA56" s="47"/>
      <c r="FNC56" s="11"/>
      <c r="FQJ56" s="47"/>
      <c r="FQO56" s="47"/>
      <c r="FQQ56" s="11"/>
      <c r="FTX56" s="47"/>
      <c r="FUC56" s="47"/>
      <c r="FUE56" s="11"/>
      <c r="FXL56" s="47"/>
      <c r="FXQ56" s="47"/>
      <c r="FXS56" s="11"/>
      <c r="GAZ56" s="47"/>
      <c r="GBE56" s="47"/>
      <c r="GBG56" s="11"/>
      <c r="GEN56" s="47"/>
      <c r="GES56" s="47"/>
      <c r="GEU56" s="11"/>
      <c r="GIB56" s="47"/>
      <c r="GIG56" s="47"/>
      <c r="GII56" s="11"/>
      <c r="GLP56" s="47"/>
      <c r="GLU56" s="47"/>
      <c r="GLW56" s="11"/>
      <c r="GPD56" s="47"/>
      <c r="GPI56" s="47"/>
      <c r="GPK56" s="11"/>
      <c r="GSR56" s="47"/>
      <c r="GSW56" s="47"/>
      <c r="GSY56" s="11"/>
      <c r="GWF56" s="47"/>
      <c r="GWK56" s="47"/>
      <c r="GWM56" s="11"/>
      <c r="GZT56" s="47"/>
      <c r="GZY56" s="47"/>
      <c r="HAA56" s="11"/>
      <c r="HDH56" s="47"/>
      <c r="HDM56" s="47"/>
      <c r="HDO56" s="11"/>
      <c r="HGV56" s="47"/>
      <c r="HHA56" s="47"/>
      <c r="HHC56" s="11"/>
      <c r="HKJ56" s="47"/>
      <c r="HKO56" s="47"/>
      <c r="HKQ56" s="11"/>
      <c r="HNX56" s="47"/>
      <c r="HOC56" s="47"/>
      <c r="HOE56" s="11"/>
      <c r="HRL56" s="47"/>
      <c r="HRQ56" s="47"/>
      <c r="HRS56" s="11"/>
      <c r="HUZ56" s="47"/>
      <c r="HVE56" s="47"/>
      <c r="HVG56" s="11"/>
      <c r="HYN56" s="47"/>
      <c r="HYS56" s="47"/>
      <c r="HYU56" s="11"/>
      <c r="ICB56" s="47"/>
      <c r="ICG56" s="47"/>
      <c r="ICI56" s="11"/>
      <c r="IFP56" s="47"/>
      <c r="IFU56" s="47"/>
      <c r="IFW56" s="11"/>
      <c r="IJD56" s="47"/>
      <c r="IJI56" s="47"/>
      <c r="IJK56" s="11"/>
      <c r="IMR56" s="47"/>
      <c r="IMW56" s="47"/>
      <c r="IMY56" s="11"/>
      <c r="IQF56" s="47"/>
      <c r="IQK56" s="47"/>
      <c r="IQM56" s="11"/>
      <c r="ITT56" s="47"/>
      <c r="ITY56" s="47"/>
      <c r="IUA56" s="11"/>
      <c r="IXH56" s="47"/>
      <c r="IXM56" s="47"/>
      <c r="IXO56" s="11"/>
      <c r="JAV56" s="47"/>
      <c r="JBA56" s="47"/>
      <c r="JBC56" s="11"/>
      <c r="JEJ56" s="47"/>
      <c r="JEO56" s="47"/>
      <c r="JEQ56" s="11"/>
      <c r="JHX56" s="47"/>
      <c r="JIC56" s="47"/>
      <c r="JIE56" s="11"/>
      <c r="JLL56" s="47"/>
      <c r="JLQ56" s="47"/>
      <c r="JLS56" s="11"/>
      <c r="JOZ56" s="47"/>
      <c r="JPE56" s="47"/>
      <c r="JPG56" s="11"/>
      <c r="JSN56" s="47"/>
      <c r="JSS56" s="47"/>
      <c r="JSU56" s="11"/>
      <c r="JWB56" s="47"/>
      <c r="JWG56" s="47"/>
      <c r="JWI56" s="11"/>
      <c r="JZP56" s="47"/>
      <c r="JZU56" s="47"/>
      <c r="JZW56" s="11"/>
      <c r="KDD56" s="47"/>
      <c r="KDI56" s="47"/>
      <c r="KDK56" s="11"/>
      <c r="KGR56" s="47"/>
      <c r="KGW56" s="47"/>
      <c r="KGY56" s="11"/>
      <c r="KKF56" s="47"/>
      <c r="KKK56" s="47"/>
      <c r="KKM56" s="11"/>
      <c r="KNT56" s="47"/>
      <c r="KNY56" s="47"/>
      <c r="KOA56" s="11"/>
      <c r="KRH56" s="47"/>
      <c r="KRM56" s="47"/>
      <c r="KRO56" s="11"/>
      <c r="KUV56" s="47"/>
      <c r="KVA56" s="47"/>
      <c r="KVC56" s="11"/>
      <c r="KYJ56" s="47"/>
      <c r="KYO56" s="47"/>
      <c r="KYQ56" s="11"/>
      <c r="LBX56" s="47"/>
      <c r="LCC56" s="47"/>
      <c r="LCE56" s="11"/>
      <c r="LFL56" s="47"/>
      <c r="LFQ56" s="47"/>
      <c r="LFS56" s="11"/>
      <c r="LIZ56" s="47"/>
      <c r="LJE56" s="47"/>
      <c r="LJG56" s="11"/>
      <c r="LMN56" s="47"/>
      <c r="LMS56" s="47"/>
      <c r="LMU56" s="11"/>
      <c r="LQB56" s="47"/>
      <c r="LQG56" s="47"/>
      <c r="LQI56" s="11"/>
      <c r="LTP56" s="47"/>
      <c r="LTU56" s="47"/>
      <c r="LTW56" s="11"/>
      <c r="LXD56" s="47"/>
      <c r="LXI56" s="47"/>
      <c r="LXK56" s="11"/>
      <c r="MAR56" s="47"/>
      <c r="MAW56" s="47"/>
      <c r="MAY56" s="11"/>
      <c r="MEF56" s="47"/>
      <c r="MEK56" s="47"/>
      <c r="MEM56" s="11"/>
      <c r="MHT56" s="47"/>
      <c r="MHY56" s="47"/>
      <c r="MIA56" s="11"/>
      <c r="MLH56" s="47"/>
      <c r="MLM56" s="47"/>
      <c r="MLO56" s="11"/>
      <c r="MOV56" s="47"/>
      <c r="MPA56" s="47"/>
      <c r="MPC56" s="11"/>
      <c r="MSJ56" s="47"/>
      <c r="MSO56" s="47"/>
      <c r="MSQ56" s="11"/>
      <c r="MVX56" s="47"/>
      <c r="MWC56" s="47"/>
      <c r="MWE56" s="11"/>
      <c r="MZL56" s="47"/>
      <c r="MZQ56" s="47"/>
      <c r="MZS56" s="11"/>
      <c r="NCZ56" s="47"/>
      <c r="NDE56" s="47"/>
      <c r="NDG56" s="11"/>
      <c r="NGN56" s="47"/>
      <c r="NGS56" s="47"/>
      <c r="NGU56" s="11"/>
      <c r="NKB56" s="47"/>
      <c r="NKG56" s="47"/>
      <c r="NKI56" s="11"/>
      <c r="NNP56" s="47"/>
      <c r="NNU56" s="47"/>
      <c r="NNW56" s="11"/>
      <c r="NRD56" s="47"/>
      <c r="NRI56" s="47"/>
      <c r="NRK56" s="11"/>
      <c r="NUR56" s="47"/>
      <c r="NUW56" s="47"/>
      <c r="NUY56" s="11"/>
      <c r="NYF56" s="47"/>
      <c r="NYK56" s="47"/>
      <c r="NYM56" s="11"/>
      <c r="OBT56" s="47"/>
      <c r="OBY56" s="47"/>
      <c r="OCA56" s="11"/>
      <c r="OFH56" s="47"/>
      <c r="OFM56" s="47"/>
      <c r="OFO56" s="11"/>
      <c r="OIV56" s="47"/>
      <c r="OJA56" s="47"/>
      <c r="OJC56" s="11"/>
      <c r="OMJ56" s="47"/>
      <c r="OMO56" s="47"/>
      <c r="OMQ56" s="11"/>
      <c r="OPX56" s="47"/>
      <c r="OQC56" s="47"/>
      <c r="OQE56" s="11"/>
      <c r="OTL56" s="47"/>
      <c r="OTQ56" s="47"/>
      <c r="OTS56" s="11"/>
      <c r="OWZ56" s="47"/>
      <c r="OXE56" s="47"/>
      <c r="OXG56" s="11"/>
      <c r="PAN56" s="47"/>
      <c r="PAS56" s="47"/>
      <c r="PAU56" s="11"/>
      <c r="PEB56" s="47"/>
      <c r="PEG56" s="47"/>
      <c r="PEI56" s="11"/>
      <c r="PHP56" s="47"/>
      <c r="PHU56" s="47"/>
      <c r="PHW56" s="11"/>
      <c r="PLD56" s="47"/>
      <c r="PLI56" s="47"/>
      <c r="PLK56" s="11"/>
      <c r="POR56" s="47"/>
      <c r="POW56" s="47"/>
      <c r="POY56" s="11"/>
      <c r="PSF56" s="47"/>
      <c r="PSK56" s="47"/>
      <c r="PSM56" s="11"/>
      <c r="PVT56" s="47"/>
      <c r="PVY56" s="47"/>
      <c r="PWA56" s="11"/>
      <c r="PZH56" s="47"/>
      <c r="PZM56" s="47"/>
      <c r="PZO56" s="11"/>
      <c r="QCV56" s="47"/>
      <c r="QDA56" s="47"/>
      <c r="QDC56" s="11"/>
      <c r="QGJ56" s="47"/>
      <c r="QGO56" s="47"/>
      <c r="QGQ56" s="11"/>
      <c r="QJX56" s="47"/>
      <c r="QKC56" s="47"/>
      <c r="QKE56" s="11"/>
      <c r="QNL56" s="47"/>
      <c r="QNQ56" s="47"/>
      <c r="QNS56" s="11"/>
      <c r="QQZ56" s="47"/>
      <c r="QRE56" s="47"/>
      <c r="QRG56" s="11"/>
      <c r="QUN56" s="47"/>
      <c r="QUS56" s="47"/>
      <c r="QUU56" s="11"/>
      <c r="QYB56" s="47"/>
      <c r="QYG56" s="47"/>
      <c r="QYI56" s="11"/>
      <c r="RBP56" s="47"/>
      <c r="RBU56" s="47"/>
      <c r="RBW56" s="11"/>
      <c r="RFD56" s="47"/>
      <c r="RFI56" s="47"/>
      <c r="RFK56" s="11"/>
      <c r="RIR56" s="47"/>
      <c r="RIW56" s="47"/>
      <c r="RIY56" s="11"/>
      <c r="RMF56" s="47"/>
      <c r="RMK56" s="47"/>
      <c r="RMM56" s="11"/>
      <c r="RPT56" s="47"/>
      <c r="RPY56" s="47"/>
      <c r="RQA56" s="11"/>
      <c r="RTH56" s="47"/>
      <c r="RTM56" s="47"/>
      <c r="RTO56" s="11"/>
      <c r="RWV56" s="47"/>
      <c r="RXA56" s="47"/>
      <c r="RXC56" s="11"/>
      <c r="SAJ56" s="47"/>
      <c r="SAO56" s="47"/>
      <c r="SAQ56" s="11"/>
      <c r="SDX56" s="47"/>
      <c r="SEC56" s="47"/>
      <c r="SEE56" s="11"/>
      <c r="SHL56" s="47"/>
      <c r="SHQ56" s="47"/>
      <c r="SHS56" s="11"/>
      <c r="SKZ56" s="47"/>
      <c r="SLE56" s="47"/>
      <c r="SLG56" s="11"/>
      <c r="SON56" s="47"/>
      <c r="SOS56" s="47"/>
      <c r="SOU56" s="11"/>
      <c r="SSB56" s="47"/>
      <c r="SSG56" s="47"/>
      <c r="SSI56" s="11"/>
      <c r="SVP56" s="47"/>
      <c r="SVU56" s="47"/>
      <c r="SVW56" s="11"/>
      <c r="SZD56" s="47"/>
      <c r="SZI56" s="47"/>
      <c r="SZK56" s="11"/>
      <c r="TCR56" s="47"/>
      <c r="TCW56" s="47"/>
      <c r="TCY56" s="11"/>
      <c r="TGF56" s="47"/>
      <c r="TGK56" s="47"/>
      <c r="TGM56" s="11"/>
      <c r="TJT56" s="47"/>
      <c r="TJY56" s="47"/>
      <c r="TKA56" s="11"/>
      <c r="TNH56" s="47"/>
      <c r="TNM56" s="47"/>
      <c r="TNO56" s="11"/>
      <c r="TQV56" s="47"/>
      <c r="TRA56" s="47"/>
      <c r="TRC56" s="11"/>
      <c r="TUJ56" s="47"/>
      <c r="TUO56" s="47"/>
      <c r="TUQ56" s="11"/>
      <c r="TXX56" s="47"/>
      <c r="TYC56" s="47"/>
      <c r="TYE56" s="11"/>
      <c r="UBL56" s="47"/>
      <c r="UBQ56" s="47"/>
      <c r="UBS56" s="11"/>
      <c r="UEZ56" s="47"/>
      <c r="UFE56" s="47"/>
      <c r="UFG56" s="11"/>
      <c r="UIN56" s="47"/>
      <c r="UIS56" s="47"/>
      <c r="UIU56" s="11"/>
      <c r="UMB56" s="47"/>
      <c r="UMG56" s="47"/>
      <c r="UMI56" s="11"/>
      <c r="UPP56" s="47"/>
      <c r="UPU56" s="47"/>
      <c r="UPW56" s="11"/>
      <c r="UTD56" s="47"/>
      <c r="UTI56" s="47"/>
      <c r="UTK56" s="11"/>
      <c r="UWR56" s="47"/>
      <c r="UWW56" s="47"/>
      <c r="UWY56" s="11"/>
      <c r="VAF56" s="47"/>
      <c r="VAK56" s="47"/>
      <c r="VAM56" s="11"/>
      <c r="VDT56" s="47"/>
      <c r="VDY56" s="47"/>
      <c r="VEA56" s="11"/>
      <c r="VHH56" s="47"/>
      <c r="VHM56" s="47"/>
      <c r="VHO56" s="11"/>
      <c r="VKV56" s="47"/>
      <c r="VLA56" s="47"/>
      <c r="VLC56" s="11"/>
      <c r="VOJ56" s="47"/>
      <c r="VOO56" s="47"/>
      <c r="VOQ56" s="11"/>
      <c r="VRX56" s="47"/>
      <c r="VSC56" s="47"/>
      <c r="VSE56" s="11"/>
      <c r="VVL56" s="47"/>
      <c r="VVQ56" s="47"/>
      <c r="VVS56" s="11"/>
      <c r="VYZ56" s="47"/>
      <c r="VZE56" s="47"/>
      <c r="VZG56" s="11"/>
      <c r="WCN56" s="47"/>
      <c r="WCS56" s="47"/>
      <c r="WCU56" s="11"/>
      <c r="WGB56" s="47"/>
      <c r="WGG56" s="47"/>
      <c r="WGI56" s="11"/>
      <c r="WJP56" s="47"/>
      <c r="WJU56" s="47"/>
      <c r="WJW56" s="11"/>
      <c r="WND56" s="47"/>
      <c r="WNI56" s="47"/>
      <c r="WNK56" s="11"/>
      <c r="WQR56" s="47"/>
      <c r="WQW56" s="47"/>
      <c r="WQY56" s="11"/>
      <c r="WUF56" s="47"/>
      <c r="WUK56" s="47"/>
      <c r="WUM56" s="11"/>
      <c r="WXT56" s="47"/>
      <c r="WXY56" s="47"/>
      <c r="WYA56" s="11"/>
      <c r="XBH56" s="47"/>
      <c r="XBM56" s="47"/>
      <c r="XBO56" s="11"/>
      <c r="XEV56" s="47"/>
      <c r="XFA56" s="47"/>
      <c r="XFC56" s="11"/>
    </row>
    <row r="57" spans="3:1019 1104:2031 2116:3043 3128:4055 4140:5067 5152:6079 6164:7091 7176:8188 8193:9207 9292:10219 10304:11231 11316:12243 12328:13255 13340:14267 14352:15279 15364:16383" s="10" customFormat="1" ht="14.65" customHeight="1">
      <c r="E57" s="47"/>
      <c r="G57" s="11"/>
      <c r="CS57" s="47"/>
      <c r="CU57" s="11"/>
      <c r="GB57" s="47"/>
      <c r="GG57" s="47"/>
      <c r="GI57" s="11"/>
      <c r="JP57" s="47"/>
      <c r="JU57" s="47"/>
      <c r="JW57" s="11"/>
      <c r="ND57" s="47"/>
      <c r="NI57" s="47"/>
      <c r="NK57" s="11"/>
      <c r="QR57" s="47"/>
      <c r="QW57" s="47"/>
      <c r="QY57" s="11"/>
      <c r="UF57" s="47"/>
      <c r="UK57" s="47"/>
      <c r="UM57" s="11"/>
      <c r="XT57" s="47"/>
      <c r="XY57" s="47"/>
      <c r="YA57" s="11"/>
      <c r="ABH57" s="47"/>
      <c r="ABM57" s="47"/>
      <c r="ABO57" s="11"/>
      <c r="AEV57" s="47"/>
      <c r="AFA57" s="47"/>
      <c r="AFC57" s="11"/>
      <c r="AIJ57" s="47"/>
      <c r="AIO57" s="47"/>
      <c r="AIQ57" s="11"/>
      <c r="ALX57" s="47"/>
      <c r="AMC57" s="47"/>
      <c r="AME57" s="11"/>
      <c r="APL57" s="47"/>
      <c r="APQ57" s="47"/>
      <c r="APS57" s="11"/>
      <c r="ASZ57" s="47"/>
      <c r="ATE57" s="47"/>
      <c r="ATG57" s="11"/>
      <c r="AWN57" s="47"/>
      <c r="AWS57" s="47"/>
      <c r="AWU57" s="11"/>
      <c r="BAB57" s="47"/>
      <c r="BAG57" s="47"/>
      <c r="BAI57" s="11"/>
      <c r="BDP57" s="47"/>
      <c r="BDU57" s="47"/>
      <c r="BDW57" s="11"/>
      <c r="BHD57" s="47"/>
      <c r="BHI57" s="47"/>
      <c r="BHK57" s="11"/>
      <c r="BKR57" s="47"/>
      <c r="BKW57" s="47"/>
      <c r="BKY57" s="11"/>
      <c r="BOF57" s="47"/>
      <c r="BOK57" s="47"/>
      <c r="BOM57" s="11"/>
      <c r="BRT57" s="47"/>
      <c r="BRY57" s="47"/>
      <c r="BSA57" s="11"/>
      <c r="BVH57" s="47"/>
      <c r="BVM57" s="47"/>
      <c r="BVO57" s="11"/>
      <c r="BYV57" s="47"/>
      <c r="BZA57" s="47"/>
      <c r="BZC57" s="11"/>
      <c r="CCJ57" s="47"/>
      <c r="CCO57" s="47"/>
      <c r="CCQ57" s="11"/>
      <c r="CFX57" s="47"/>
      <c r="CGC57" s="47"/>
      <c r="CGE57" s="11"/>
      <c r="CJL57" s="47"/>
      <c r="CJQ57" s="47"/>
      <c r="CJS57" s="11"/>
      <c r="CMZ57" s="47"/>
      <c r="CNE57" s="47"/>
      <c r="CNG57" s="11"/>
      <c r="CQN57" s="47"/>
      <c r="CQS57" s="47"/>
      <c r="CQU57" s="11"/>
      <c r="CUB57" s="47"/>
      <c r="CUG57" s="47"/>
      <c r="CUI57" s="11"/>
      <c r="CXP57" s="47"/>
      <c r="CXU57" s="47"/>
      <c r="CXW57" s="11"/>
      <c r="DBD57" s="47"/>
      <c r="DBI57" s="47"/>
      <c r="DBK57" s="11"/>
      <c r="DER57" s="47"/>
      <c r="DEW57" s="47"/>
      <c r="DEY57" s="11"/>
      <c r="DIF57" s="47"/>
      <c r="DIK57" s="47"/>
      <c r="DIM57" s="11"/>
      <c r="DLT57" s="47"/>
      <c r="DLY57" s="47"/>
      <c r="DMA57" s="11"/>
      <c r="DPH57" s="47"/>
      <c r="DPM57" s="47"/>
      <c r="DPO57" s="11"/>
      <c r="DSV57" s="47"/>
      <c r="DTA57" s="47"/>
      <c r="DTC57" s="11"/>
      <c r="DWJ57" s="47"/>
      <c r="DWO57" s="47"/>
      <c r="DWQ57" s="11"/>
      <c r="DZX57" s="47"/>
      <c r="EAC57" s="47"/>
      <c r="EAE57" s="11"/>
      <c r="EDL57" s="47"/>
      <c r="EDQ57" s="47"/>
      <c r="EDS57" s="11"/>
      <c r="EGZ57" s="47"/>
      <c r="EHE57" s="47"/>
      <c r="EHG57" s="11"/>
      <c r="EKN57" s="47"/>
      <c r="EKS57" s="47"/>
      <c r="EKU57" s="11"/>
      <c r="EOB57" s="47"/>
      <c r="EOG57" s="47"/>
      <c r="EOI57" s="11"/>
      <c r="ERP57" s="47"/>
      <c r="ERU57" s="47"/>
      <c r="ERW57" s="11"/>
      <c r="EVD57" s="47"/>
      <c r="EVI57" s="47"/>
      <c r="EVK57" s="11"/>
      <c r="EYR57" s="47"/>
      <c r="EYW57" s="47"/>
      <c r="EYY57" s="11"/>
      <c r="FCF57" s="47"/>
      <c r="FCK57" s="47"/>
      <c r="FCM57" s="11"/>
      <c r="FFT57" s="47"/>
      <c r="FFY57" s="47"/>
      <c r="FGA57" s="11"/>
      <c r="FJH57" s="47"/>
      <c r="FJM57" s="47"/>
      <c r="FJO57" s="11"/>
      <c r="FMV57" s="47"/>
      <c r="FNA57" s="47"/>
      <c r="FNC57" s="11"/>
      <c r="FQJ57" s="47"/>
      <c r="FQO57" s="47"/>
      <c r="FQQ57" s="11"/>
      <c r="FTX57" s="47"/>
      <c r="FUC57" s="47"/>
      <c r="FUE57" s="11"/>
      <c r="FXL57" s="47"/>
      <c r="FXQ57" s="47"/>
      <c r="FXS57" s="11"/>
      <c r="GAZ57" s="47"/>
      <c r="GBE57" s="47"/>
      <c r="GBG57" s="11"/>
      <c r="GEN57" s="47"/>
      <c r="GES57" s="47"/>
      <c r="GEU57" s="11"/>
      <c r="GIB57" s="47"/>
      <c r="GIG57" s="47"/>
      <c r="GII57" s="11"/>
      <c r="GLP57" s="47"/>
      <c r="GLU57" s="47"/>
      <c r="GLW57" s="11"/>
      <c r="GPD57" s="47"/>
      <c r="GPI57" s="47"/>
      <c r="GPK57" s="11"/>
      <c r="GSR57" s="47"/>
      <c r="GSW57" s="47"/>
      <c r="GSY57" s="11"/>
      <c r="GWF57" s="47"/>
      <c r="GWK57" s="47"/>
      <c r="GWM57" s="11"/>
      <c r="GZT57" s="47"/>
      <c r="GZY57" s="47"/>
      <c r="HAA57" s="11"/>
      <c r="HDH57" s="47"/>
      <c r="HDM57" s="47"/>
      <c r="HDO57" s="11"/>
      <c r="HGV57" s="47"/>
      <c r="HHA57" s="47"/>
      <c r="HHC57" s="11"/>
      <c r="HKJ57" s="47"/>
      <c r="HKO57" s="47"/>
      <c r="HKQ57" s="11"/>
      <c r="HNX57" s="47"/>
      <c r="HOC57" s="47"/>
      <c r="HOE57" s="11"/>
      <c r="HRL57" s="47"/>
      <c r="HRQ57" s="47"/>
      <c r="HRS57" s="11"/>
      <c r="HUZ57" s="47"/>
      <c r="HVE57" s="47"/>
      <c r="HVG57" s="11"/>
      <c r="HYN57" s="47"/>
      <c r="HYS57" s="47"/>
      <c r="HYU57" s="11"/>
      <c r="ICB57" s="47"/>
      <c r="ICG57" s="47"/>
      <c r="ICI57" s="11"/>
      <c r="IFP57" s="47"/>
      <c r="IFU57" s="47"/>
      <c r="IFW57" s="11"/>
      <c r="IJD57" s="47"/>
      <c r="IJI57" s="47"/>
      <c r="IJK57" s="11"/>
      <c r="IMR57" s="47"/>
      <c r="IMW57" s="47"/>
      <c r="IMY57" s="11"/>
      <c r="IQF57" s="47"/>
      <c r="IQK57" s="47"/>
      <c r="IQM57" s="11"/>
      <c r="ITT57" s="47"/>
      <c r="ITY57" s="47"/>
      <c r="IUA57" s="11"/>
      <c r="IXH57" s="47"/>
      <c r="IXM57" s="47"/>
      <c r="IXO57" s="11"/>
      <c r="JAV57" s="47"/>
      <c r="JBA57" s="47"/>
      <c r="JBC57" s="11"/>
      <c r="JEJ57" s="47"/>
      <c r="JEO57" s="47"/>
      <c r="JEQ57" s="11"/>
      <c r="JHX57" s="47"/>
      <c r="JIC57" s="47"/>
      <c r="JIE57" s="11"/>
      <c r="JLL57" s="47"/>
      <c r="JLQ57" s="47"/>
      <c r="JLS57" s="11"/>
      <c r="JOZ57" s="47"/>
      <c r="JPE57" s="47"/>
      <c r="JPG57" s="11"/>
      <c r="JSN57" s="47"/>
      <c r="JSS57" s="47"/>
      <c r="JSU57" s="11"/>
      <c r="JWB57" s="47"/>
      <c r="JWG57" s="47"/>
      <c r="JWI57" s="11"/>
      <c r="JZP57" s="47"/>
      <c r="JZU57" s="47"/>
      <c r="JZW57" s="11"/>
      <c r="KDD57" s="47"/>
      <c r="KDI57" s="47"/>
      <c r="KDK57" s="11"/>
      <c r="KGR57" s="47"/>
      <c r="KGW57" s="47"/>
      <c r="KGY57" s="11"/>
      <c r="KKF57" s="47"/>
      <c r="KKK57" s="47"/>
      <c r="KKM57" s="11"/>
      <c r="KNT57" s="47"/>
      <c r="KNY57" s="47"/>
      <c r="KOA57" s="11"/>
      <c r="KRH57" s="47"/>
      <c r="KRM57" s="47"/>
      <c r="KRO57" s="11"/>
      <c r="KUV57" s="47"/>
      <c r="KVA57" s="47"/>
      <c r="KVC57" s="11"/>
      <c r="KYJ57" s="47"/>
      <c r="KYO57" s="47"/>
      <c r="KYQ57" s="11"/>
      <c r="LBX57" s="47"/>
      <c r="LCC57" s="47"/>
      <c r="LCE57" s="11"/>
      <c r="LFL57" s="47"/>
      <c r="LFQ57" s="47"/>
      <c r="LFS57" s="11"/>
      <c r="LIZ57" s="47"/>
      <c r="LJE57" s="47"/>
      <c r="LJG57" s="11"/>
      <c r="LMN57" s="47"/>
      <c r="LMS57" s="47"/>
      <c r="LMU57" s="11"/>
      <c r="LQB57" s="47"/>
      <c r="LQG57" s="47"/>
      <c r="LQI57" s="11"/>
      <c r="LTP57" s="47"/>
      <c r="LTU57" s="47"/>
      <c r="LTW57" s="11"/>
      <c r="LXD57" s="47"/>
      <c r="LXI57" s="47"/>
      <c r="LXK57" s="11"/>
      <c r="MAR57" s="47"/>
      <c r="MAW57" s="47"/>
      <c r="MAY57" s="11"/>
      <c r="MEF57" s="47"/>
      <c r="MEK57" s="47"/>
      <c r="MEM57" s="11"/>
      <c r="MHT57" s="47"/>
      <c r="MHY57" s="47"/>
      <c r="MIA57" s="11"/>
      <c r="MLH57" s="47"/>
      <c r="MLM57" s="47"/>
      <c r="MLO57" s="11"/>
      <c r="MOV57" s="47"/>
      <c r="MPA57" s="47"/>
      <c r="MPC57" s="11"/>
      <c r="MSJ57" s="47"/>
      <c r="MSO57" s="47"/>
      <c r="MSQ57" s="11"/>
      <c r="MVX57" s="47"/>
      <c r="MWC57" s="47"/>
      <c r="MWE57" s="11"/>
      <c r="MZL57" s="47"/>
      <c r="MZQ57" s="47"/>
      <c r="MZS57" s="11"/>
      <c r="NCZ57" s="47"/>
      <c r="NDE57" s="47"/>
      <c r="NDG57" s="11"/>
      <c r="NGN57" s="47"/>
      <c r="NGS57" s="47"/>
      <c r="NGU57" s="11"/>
      <c r="NKB57" s="47"/>
      <c r="NKG57" s="47"/>
      <c r="NKI57" s="11"/>
      <c r="NNP57" s="47"/>
      <c r="NNU57" s="47"/>
      <c r="NNW57" s="11"/>
      <c r="NRD57" s="47"/>
      <c r="NRI57" s="47"/>
      <c r="NRK57" s="11"/>
      <c r="NUR57" s="47"/>
      <c r="NUW57" s="47"/>
      <c r="NUY57" s="11"/>
      <c r="NYF57" s="47"/>
      <c r="NYK57" s="47"/>
      <c r="NYM57" s="11"/>
      <c r="OBT57" s="47"/>
      <c r="OBY57" s="47"/>
      <c r="OCA57" s="11"/>
      <c r="OFH57" s="47"/>
      <c r="OFM57" s="47"/>
      <c r="OFO57" s="11"/>
      <c r="OIV57" s="47"/>
      <c r="OJA57" s="47"/>
      <c r="OJC57" s="11"/>
      <c r="OMJ57" s="47"/>
      <c r="OMO57" s="47"/>
      <c r="OMQ57" s="11"/>
      <c r="OPX57" s="47"/>
      <c r="OQC57" s="47"/>
      <c r="OQE57" s="11"/>
      <c r="OTL57" s="47"/>
      <c r="OTQ57" s="47"/>
      <c r="OTS57" s="11"/>
      <c r="OWZ57" s="47"/>
      <c r="OXE57" s="47"/>
      <c r="OXG57" s="11"/>
      <c r="PAN57" s="47"/>
      <c r="PAS57" s="47"/>
      <c r="PAU57" s="11"/>
      <c r="PEB57" s="47"/>
      <c r="PEG57" s="47"/>
      <c r="PEI57" s="11"/>
      <c r="PHP57" s="47"/>
      <c r="PHU57" s="47"/>
      <c r="PHW57" s="11"/>
      <c r="PLD57" s="47"/>
      <c r="PLI57" s="47"/>
      <c r="PLK57" s="11"/>
      <c r="POR57" s="47"/>
      <c r="POW57" s="47"/>
      <c r="POY57" s="11"/>
      <c r="PSF57" s="47"/>
      <c r="PSK57" s="47"/>
      <c r="PSM57" s="11"/>
      <c r="PVT57" s="47"/>
      <c r="PVY57" s="47"/>
      <c r="PWA57" s="11"/>
      <c r="PZH57" s="47"/>
      <c r="PZM57" s="47"/>
      <c r="PZO57" s="11"/>
      <c r="QCV57" s="47"/>
      <c r="QDA57" s="47"/>
      <c r="QDC57" s="11"/>
      <c r="QGJ57" s="47"/>
      <c r="QGO57" s="47"/>
      <c r="QGQ57" s="11"/>
      <c r="QJX57" s="47"/>
      <c r="QKC57" s="47"/>
      <c r="QKE57" s="11"/>
      <c r="QNL57" s="47"/>
      <c r="QNQ57" s="47"/>
      <c r="QNS57" s="11"/>
      <c r="QQZ57" s="47"/>
      <c r="QRE57" s="47"/>
      <c r="QRG57" s="11"/>
      <c r="QUN57" s="47"/>
      <c r="QUS57" s="47"/>
      <c r="QUU57" s="11"/>
      <c r="QYB57" s="47"/>
      <c r="QYG57" s="47"/>
      <c r="QYI57" s="11"/>
      <c r="RBP57" s="47"/>
      <c r="RBU57" s="47"/>
      <c r="RBW57" s="11"/>
      <c r="RFD57" s="47"/>
      <c r="RFI57" s="47"/>
      <c r="RFK57" s="11"/>
      <c r="RIR57" s="47"/>
      <c r="RIW57" s="47"/>
      <c r="RIY57" s="11"/>
      <c r="RMF57" s="47"/>
      <c r="RMK57" s="47"/>
      <c r="RMM57" s="11"/>
      <c r="RPT57" s="47"/>
      <c r="RPY57" s="47"/>
      <c r="RQA57" s="11"/>
      <c r="RTH57" s="47"/>
      <c r="RTM57" s="47"/>
      <c r="RTO57" s="11"/>
      <c r="RWV57" s="47"/>
      <c r="RXA57" s="47"/>
      <c r="RXC57" s="11"/>
      <c r="SAJ57" s="47"/>
      <c r="SAO57" s="47"/>
      <c r="SAQ57" s="11"/>
      <c r="SDX57" s="47"/>
      <c r="SEC57" s="47"/>
      <c r="SEE57" s="11"/>
      <c r="SHL57" s="47"/>
      <c r="SHQ57" s="47"/>
      <c r="SHS57" s="11"/>
      <c r="SKZ57" s="47"/>
      <c r="SLE57" s="47"/>
      <c r="SLG57" s="11"/>
      <c r="SON57" s="47"/>
      <c r="SOS57" s="47"/>
      <c r="SOU57" s="11"/>
      <c r="SSB57" s="47"/>
      <c r="SSG57" s="47"/>
      <c r="SSI57" s="11"/>
      <c r="SVP57" s="47"/>
      <c r="SVU57" s="47"/>
      <c r="SVW57" s="11"/>
      <c r="SZD57" s="47"/>
      <c r="SZI57" s="47"/>
      <c r="SZK57" s="11"/>
      <c r="TCR57" s="47"/>
      <c r="TCW57" s="47"/>
      <c r="TCY57" s="11"/>
      <c r="TGF57" s="47"/>
      <c r="TGK57" s="47"/>
      <c r="TGM57" s="11"/>
      <c r="TJT57" s="47"/>
      <c r="TJY57" s="47"/>
      <c r="TKA57" s="11"/>
      <c r="TNH57" s="47"/>
      <c r="TNM57" s="47"/>
      <c r="TNO57" s="11"/>
      <c r="TQV57" s="47"/>
      <c r="TRA57" s="47"/>
      <c r="TRC57" s="11"/>
      <c r="TUJ57" s="47"/>
      <c r="TUO57" s="47"/>
      <c r="TUQ57" s="11"/>
      <c r="TXX57" s="47"/>
      <c r="TYC57" s="47"/>
      <c r="TYE57" s="11"/>
      <c r="UBL57" s="47"/>
      <c r="UBQ57" s="47"/>
      <c r="UBS57" s="11"/>
      <c r="UEZ57" s="47"/>
      <c r="UFE57" s="47"/>
      <c r="UFG57" s="11"/>
      <c r="UIN57" s="47"/>
      <c r="UIS57" s="47"/>
      <c r="UIU57" s="11"/>
      <c r="UMB57" s="47"/>
      <c r="UMG57" s="47"/>
      <c r="UMI57" s="11"/>
      <c r="UPP57" s="47"/>
      <c r="UPU57" s="47"/>
      <c r="UPW57" s="11"/>
      <c r="UTD57" s="47"/>
      <c r="UTI57" s="47"/>
      <c r="UTK57" s="11"/>
      <c r="UWR57" s="47"/>
      <c r="UWW57" s="47"/>
      <c r="UWY57" s="11"/>
      <c r="VAF57" s="47"/>
      <c r="VAK57" s="47"/>
      <c r="VAM57" s="11"/>
      <c r="VDT57" s="47"/>
      <c r="VDY57" s="47"/>
      <c r="VEA57" s="11"/>
      <c r="VHH57" s="47"/>
      <c r="VHM57" s="47"/>
      <c r="VHO57" s="11"/>
      <c r="VKV57" s="47"/>
      <c r="VLA57" s="47"/>
      <c r="VLC57" s="11"/>
      <c r="VOJ57" s="47"/>
      <c r="VOO57" s="47"/>
      <c r="VOQ57" s="11"/>
      <c r="VRX57" s="47"/>
      <c r="VSC57" s="47"/>
      <c r="VSE57" s="11"/>
      <c r="VVL57" s="47"/>
      <c r="VVQ57" s="47"/>
      <c r="VVS57" s="11"/>
      <c r="VYZ57" s="47"/>
      <c r="VZE57" s="47"/>
      <c r="VZG57" s="11"/>
      <c r="WCN57" s="47"/>
      <c r="WCS57" s="47"/>
      <c r="WCU57" s="11"/>
      <c r="WGB57" s="47"/>
      <c r="WGG57" s="47"/>
      <c r="WGI57" s="11"/>
      <c r="WJP57" s="47"/>
      <c r="WJU57" s="47"/>
      <c r="WJW57" s="11"/>
      <c r="WND57" s="47"/>
      <c r="WNI57" s="47"/>
      <c r="WNK57" s="11"/>
      <c r="WQR57" s="47"/>
      <c r="WQW57" s="47"/>
      <c r="WQY57" s="11"/>
      <c r="WUF57" s="47"/>
      <c r="WUK57" s="47"/>
      <c r="WUM57" s="11"/>
      <c r="WXT57" s="47"/>
      <c r="WXY57" s="47"/>
      <c r="WYA57" s="11"/>
      <c r="XBH57" s="47"/>
      <c r="XBM57" s="47"/>
      <c r="XBO57" s="11"/>
      <c r="XEV57" s="47"/>
      <c r="XFA57" s="47"/>
      <c r="XFC57" s="11"/>
    </row>
    <row r="58" spans="3:1019 1104:2031 2116:3043 3128:4055 4140:5067 5152:6079 6164:7091 7176:8188 8193:9207 9292:10219 10304:11231 11316:12243 12328:13255 13340:14267 14352:15279 15364:16383" s="10" customFormat="1" ht="14.65" customHeight="1" thickBot="1">
      <c r="C58" s="12" t="s">
        <v>1001</v>
      </c>
      <c r="D58" s="12"/>
      <c r="E58" s="12"/>
      <c r="F58" s="12"/>
      <c r="G58" s="360"/>
      <c r="H58" s="12"/>
      <c r="I58" s="12"/>
      <c r="CS58" s="47"/>
      <c r="CU58" s="11"/>
      <c r="GB58" s="47"/>
      <c r="GG58" s="47"/>
      <c r="GI58" s="11"/>
      <c r="JP58" s="47"/>
      <c r="JU58" s="47"/>
      <c r="JW58" s="11"/>
      <c r="ND58" s="47"/>
      <c r="NI58" s="47"/>
      <c r="NK58" s="11"/>
      <c r="QR58" s="47"/>
      <c r="QW58" s="47"/>
      <c r="QY58" s="11"/>
      <c r="UF58" s="47"/>
      <c r="UK58" s="47"/>
      <c r="UM58" s="11"/>
      <c r="XT58" s="47"/>
      <c r="XY58" s="47"/>
      <c r="YA58" s="11"/>
      <c r="ABH58" s="47"/>
      <c r="ABM58" s="47"/>
      <c r="ABO58" s="11"/>
      <c r="AEV58" s="47"/>
      <c r="AFA58" s="47"/>
      <c r="AFC58" s="11"/>
      <c r="AIJ58" s="47"/>
      <c r="AIO58" s="47"/>
      <c r="AIQ58" s="11"/>
      <c r="ALX58" s="47"/>
      <c r="AMC58" s="47"/>
      <c r="AME58" s="11"/>
      <c r="APL58" s="47"/>
      <c r="APQ58" s="47"/>
      <c r="APS58" s="11"/>
      <c r="ASZ58" s="47"/>
      <c r="ATE58" s="47"/>
      <c r="ATG58" s="11"/>
      <c r="AWN58" s="47"/>
      <c r="AWS58" s="47"/>
      <c r="AWU58" s="11"/>
      <c r="BAB58" s="47"/>
      <c r="BAG58" s="47"/>
      <c r="BAI58" s="11"/>
      <c r="BDP58" s="47"/>
      <c r="BDU58" s="47"/>
      <c r="BDW58" s="11"/>
      <c r="BHD58" s="47"/>
      <c r="BHI58" s="47"/>
      <c r="BHK58" s="11"/>
      <c r="BKR58" s="47"/>
      <c r="BKW58" s="47"/>
      <c r="BKY58" s="11"/>
      <c r="BOF58" s="47"/>
      <c r="BOK58" s="47"/>
      <c r="BOM58" s="11"/>
      <c r="BRT58" s="47"/>
      <c r="BRY58" s="47"/>
      <c r="BSA58" s="11"/>
      <c r="BVH58" s="47"/>
      <c r="BVM58" s="47"/>
      <c r="BVO58" s="11"/>
      <c r="BYV58" s="47"/>
      <c r="BZA58" s="47"/>
      <c r="BZC58" s="11"/>
      <c r="CCJ58" s="47"/>
      <c r="CCO58" s="47"/>
      <c r="CCQ58" s="11"/>
      <c r="CFX58" s="47"/>
      <c r="CGC58" s="47"/>
      <c r="CGE58" s="11"/>
      <c r="CJL58" s="47"/>
      <c r="CJQ58" s="47"/>
      <c r="CJS58" s="11"/>
      <c r="CMZ58" s="47"/>
      <c r="CNE58" s="47"/>
      <c r="CNG58" s="11"/>
      <c r="CQN58" s="47"/>
      <c r="CQS58" s="47"/>
      <c r="CQU58" s="11"/>
      <c r="CUB58" s="47"/>
      <c r="CUG58" s="47"/>
      <c r="CUI58" s="11"/>
      <c r="CXP58" s="47"/>
      <c r="CXU58" s="47"/>
      <c r="CXW58" s="11"/>
      <c r="DBD58" s="47"/>
      <c r="DBI58" s="47"/>
      <c r="DBK58" s="11"/>
      <c r="DER58" s="47"/>
      <c r="DEW58" s="47"/>
      <c r="DEY58" s="11"/>
      <c r="DIF58" s="47"/>
      <c r="DIK58" s="47"/>
      <c r="DIM58" s="11"/>
      <c r="DLT58" s="47"/>
      <c r="DLY58" s="47"/>
      <c r="DMA58" s="11"/>
      <c r="DPH58" s="47"/>
      <c r="DPM58" s="47"/>
      <c r="DPO58" s="11"/>
      <c r="DSV58" s="47"/>
      <c r="DTA58" s="47"/>
      <c r="DTC58" s="11"/>
      <c r="DWJ58" s="47"/>
      <c r="DWO58" s="47"/>
      <c r="DWQ58" s="11"/>
      <c r="DZX58" s="47"/>
      <c r="EAC58" s="47"/>
      <c r="EAE58" s="11"/>
      <c r="EDL58" s="47"/>
      <c r="EDQ58" s="47"/>
      <c r="EDS58" s="11"/>
      <c r="EGZ58" s="47"/>
      <c r="EHE58" s="47"/>
      <c r="EHG58" s="11"/>
      <c r="EKN58" s="47"/>
      <c r="EKS58" s="47"/>
      <c r="EKU58" s="11"/>
      <c r="EOB58" s="47"/>
      <c r="EOG58" s="47"/>
      <c r="EOI58" s="11"/>
      <c r="ERP58" s="47"/>
      <c r="ERU58" s="47"/>
      <c r="ERW58" s="11"/>
      <c r="EVD58" s="47"/>
      <c r="EVI58" s="47"/>
      <c r="EVK58" s="11"/>
      <c r="EYR58" s="47"/>
      <c r="EYW58" s="47"/>
      <c r="EYY58" s="11"/>
      <c r="FCF58" s="47"/>
      <c r="FCK58" s="47"/>
      <c r="FCM58" s="11"/>
      <c r="FFT58" s="47"/>
      <c r="FFY58" s="47"/>
      <c r="FGA58" s="11"/>
      <c r="FJH58" s="47"/>
      <c r="FJM58" s="47"/>
      <c r="FJO58" s="11"/>
      <c r="FMV58" s="47"/>
      <c r="FNA58" s="47"/>
      <c r="FNC58" s="11"/>
      <c r="FQJ58" s="47"/>
      <c r="FQO58" s="47"/>
      <c r="FQQ58" s="11"/>
      <c r="FTX58" s="47"/>
      <c r="FUC58" s="47"/>
      <c r="FUE58" s="11"/>
      <c r="FXL58" s="47"/>
      <c r="FXQ58" s="47"/>
      <c r="FXS58" s="11"/>
      <c r="GAZ58" s="47"/>
      <c r="GBE58" s="47"/>
      <c r="GBG58" s="11"/>
      <c r="GEN58" s="47"/>
      <c r="GES58" s="47"/>
      <c r="GEU58" s="11"/>
      <c r="GIB58" s="47"/>
      <c r="GIG58" s="47"/>
      <c r="GII58" s="11"/>
      <c r="GLP58" s="47"/>
      <c r="GLU58" s="47"/>
      <c r="GLW58" s="11"/>
      <c r="GPD58" s="47"/>
      <c r="GPI58" s="47"/>
      <c r="GPK58" s="11"/>
      <c r="GSR58" s="47"/>
      <c r="GSW58" s="47"/>
      <c r="GSY58" s="11"/>
      <c r="GWF58" s="47"/>
      <c r="GWK58" s="47"/>
      <c r="GWM58" s="11"/>
      <c r="GZT58" s="47"/>
      <c r="GZY58" s="47"/>
      <c r="HAA58" s="11"/>
      <c r="HDH58" s="47"/>
      <c r="HDM58" s="47"/>
      <c r="HDO58" s="11"/>
      <c r="HGV58" s="47"/>
      <c r="HHA58" s="47"/>
      <c r="HHC58" s="11"/>
      <c r="HKJ58" s="47"/>
      <c r="HKO58" s="47"/>
      <c r="HKQ58" s="11"/>
      <c r="HNX58" s="47"/>
      <c r="HOC58" s="47"/>
      <c r="HOE58" s="11"/>
      <c r="HRL58" s="47"/>
      <c r="HRQ58" s="47"/>
      <c r="HRS58" s="11"/>
      <c r="HUZ58" s="47"/>
      <c r="HVE58" s="47"/>
      <c r="HVG58" s="11"/>
      <c r="HYN58" s="47"/>
      <c r="HYS58" s="47"/>
      <c r="HYU58" s="11"/>
      <c r="ICB58" s="47"/>
      <c r="ICG58" s="47"/>
      <c r="ICI58" s="11"/>
      <c r="IFP58" s="47"/>
      <c r="IFU58" s="47"/>
      <c r="IFW58" s="11"/>
      <c r="IJD58" s="47"/>
      <c r="IJI58" s="47"/>
      <c r="IJK58" s="11"/>
      <c r="IMR58" s="47"/>
      <c r="IMW58" s="47"/>
      <c r="IMY58" s="11"/>
      <c r="IQF58" s="47"/>
      <c r="IQK58" s="47"/>
      <c r="IQM58" s="11"/>
      <c r="ITT58" s="47"/>
      <c r="ITY58" s="47"/>
      <c r="IUA58" s="11"/>
      <c r="IXH58" s="47"/>
      <c r="IXM58" s="47"/>
      <c r="IXO58" s="11"/>
      <c r="JAV58" s="47"/>
      <c r="JBA58" s="47"/>
      <c r="JBC58" s="11"/>
      <c r="JEJ58" s="47"/>
      <c r="JEO58" s="47"/>
      <c r="JEQ58" s="11"/>
      <c r="JHX58" s="47"/>
      <c r="JIC58" s="47"/>
      <c r="JIE58" s="11"/>
      <c r="JLL58" s="47"/>
      <c r="JLQ58" s="47"/>
      <c r="JLS58" s="11"/>
      <c r="JOZ58" s="47"/>
      <c r="JPE58" s="47"/>
      <c r="JPG58" s="11"/>
      <c r="JSN58" s="47"/>
      <c r="JSS58" s="47"/>
      <c r="JSU58" s="11"/>
      <c r="JWB58" s="47"/>
      <c r="JWG58" s="47"/>
      <c r="JWI58" s="11"/>
      <c r="JZP58" s="47"/>
      <c r="JZU58" s="47"/>
      <c r="JZW58" s="11"/>
      <c r="KDD58" s="47"/>
      <c r="KDI58" s="47"/>
      <c r="KDK58" s="11"/>
      <c r="KGR58" s="47"/>
      <c r="KGW58" s="47"/>
      <c r="KGY58" s="11"/>
      <c r="KKF58" s="47"/>
      <c r="KKK58" s="47"/>
      <c r="KKM58" s="11"/>
      <c r="KNT58" s="47"/>
      <c r="KNY58" s="47"/>
      <c r="KOA58" s="11"/>
      <c r="KRH58" s="47"/>
      <c r="KRM58" s="47"/>
      <c r="KRO58" s="11"/>
      <c r="KUV58" s="47"/>
      <c r="KVA58" s="47"/>
      <c r="KVC58" s="11"/>
      <c r="KYJ58" s="47"/>
      <c r="KYO58" s="47"/>
      <c r="KYQ58" s="11"/>
      <c r="LBX58" s="47"/>
      <c r="LCC58" s="47"/>
      <c r="LCE58" s="11"/>
      <c r="LFL58" s="47"/>
      <c r="LFQ58" s="47"/>
      <c r="LFS58" s="11"/>
      <c r="LIZ58" s="47"/>
      <c r="LJE58" s="47"/>
      <c r="LJG58" s="11"/>
      <c r="LMN58" s="47"/>
      <c r="LMS58" s="47"/>
      <c r="LMU58" s="11"/>
      <c r="LQB58" s="47"/>
      <c r="LQG58" s="47"/>
      <c r="LQI58" s="11"/>
      <c r="LTP58" s="47"/>
      <c r="LTU58" s="47"/>
      <c r="LTW58" s="11"/>
      <c r="LXD58" s="47"/>
      <c r="LXI58" s="47"/>
      <c r="LXK58" s="11"/>
      <c r="MAR58" s="47"/>
      <c r="MAW58" s="47"/>
      <c r="MAY58" s="11"/>
      <c r="MEF58" s="47"/>
      <c r="MEK58" s="47"/>
      <c r="MEM58" s="11"/>
      <c r="MHT58" s="47"/>
      <c r="MHY58" s="47"/>
      <c r="MIA58" s="11"/>
      <c r="MLH58" s="47"/>
      <c r="MLM58" s="47"/>
      <c r="MLO58" s="11"/>
      <c r="MOV58" s="47"/>
      <c r="MPA58" s="47"/>
      <c r="MPC58" s="11"/>
      <c r="MSJ58" s="47"/>
      <c r="MSO58" s="47"/>
      <c r="MSQ58" s="11"/>
      <c r="MVX58" s="47"/>
      <c r="MWC58" s="47"/>
      <c r="MWE58" s="11"/>
      <c r="MZL58" s="47"/>
      <c r="MZQ58" s="47"/>
      <c r="MZS58" s="11"/>
      <c r="NCZ58" s="47"/>
      <c r="NDE58" s="47"/>
      <c r="NDG58" s="11"/>
      <c r="NGN58" s="47"/>
      <c r="NGS58" s="47"/>
      <c r="NGU58" s="11"/>
      <c r="NKB58" s="47"/>
      <c r="NKG58" s="47"/>
      <c r="NKI58" s="11"/>
      <c r="NNP58" s="47"/>
      <c r="NNU58" s="47"/>
      <c r="NNW58" s="11"/>
      <c r="NRD58" s="47"/>
      <c r="NRI58" s="47"/>
      <c r="NRK58" s="11"/>
      <c r="NUR58" s="47"/>
      <c r="NUW58" s="47"/>
      <c r="NUY58" s="11"/>
      <c r="NYF58" s="47"/>
      <c r="NYK58" s="47"/>
      <c r="NYM58" s="11"/>
      <c r="OBT58" s="47"/>
      <c r="OBY58" s="47"/>
      <c r="OCA58" s="11"/>
      <c r="OFH58" s="47"/>
      <c r="OFM58" s="47"/>
      <c r="OFO58" s="11"/>
      <c r="OIV58" s="47"/>
      <c r="OJA58" s="47"/>
      <c r="OJC58" s="11"/>
      <c r="OMJ58" s="47"/>
      <c r="OMO58" s="47"/>
      <c r="OMQ58" s="11"/>
      <c r="OPX58" s="47"/>
      <c r="OQC58" s="47"/>
      <c r="OQE58" s="11"/>
      <c r="OTL58" s="47"/>
      <c r="OTQ58" s="47"/>
      <c r="OTS58" s="11"/>
      <c r="OWZ58" s="47"/>
      <c r="OXE58" s="47"/>
      <c r="OXG58" s="11"/>
      <c r="PAN58" s="47"/>
      <c r="PAS58" s="47"/>
      <c r="PAU58" s="11"/>
      <c r="PEB58" s="47"/>
      <c r="PEG58" s="47"/>
      <c r="PEI58" s="11"/>
      <c r="PHP58" s="47"/>
      <c r="PHU58" s="47"/>
      <c r="PHW58" s="11"/>
      <c r="PLD58" s="47"/>
      <c r="PLI58" s="47"/>
      <c r="PLK58" s="11"/>
      <c r="POR58" s="47"/>
      <c r="POW58" s="47"/>
      <c r="POY58" s="11"/>
      <c r="PSF58" s="47"/>
      <c r="PSK58" s="47"/>
      <c r="PSM58" s="11"/>
      <c r="PVT58" s="47"/>
      <c r="PVY58" s="47"/>
      <c r="PWA58" s="11"/>
      <c r="PZH58" s="47"/>
      <c r="PZM58" s="47"/>
      <c r="PZO58" s="11"/>
      <c r="QCV58" s="47"/>
      <c r="QDA58" s="47"/>
      <c r="QDC58" s="11"/>
      <c r="QGJ58" s="47"/>
      <c r="QGO58" s="47"/>
      <c r="QGQ58" s="11"/>
      <c r="QJX58" s="47"/>
      <c r="QKC58" s="47"/>
      <c r="QKE58" s="11"/>
      <c r="QNL58" s="47"/>
      <c r="QNQ58" s="47"/>
      <c r="QNS58" s="11"/>
      <c r="QQZ58" s="47"/>
      <c r="QRE58" s="47"/>
      <c r="QRG58" s="11"/>
      <c r="QUN58" s="47"/>
      <c r="QUS58" s="47"/>
      <c r="QUU58" s="11"/>
      <c r="QYB58" s="47"/>
      <c r="QYG58" s="47"/>
      <c r="QYI58" s="11"/>
      <c r="RBP58" s="47"/>
      <c r="RBU58" s="47"/>
      <c r="RBW58" s="11"/>
      <c r="RFD58" s="47"/>
      <c r="RFI58" s="47"/>
      <c r="RFK58" s="11"/>
      <c r="RIR58" s="47"/>
      <c r="RIW58" s="47"/>
      <c r="RIY58" s="11"/>
      <c r="RMF58" s="47"/>
      <c r="RMK58" s="47"/>
      <c r="RMM58" s="11"/>
      <c r="RPT58" s="47"/>
      <c r="RPY58" s="47"/>
      <c r="RQA58" s="11"/>
      <c r="RTH58" s="47"/>
      <c r="RTM58" s="47"/>
      <c r="RTO58" s="11"/>
      <c r="RWV58" s="47"/>
      <c r="RXA58" s="47"/>
      <c r="RXC58" s="11"/>
      <c r="SAJ58" s="47"/>
      <c r="SAO58" s="47"/>
      <c r="SAQ58" s="11"/>
      <c r="SDX58" s="47"/>
      <c r="SEC58" s="47"/>
      <c r="SEE58" s="11"/>
      <c r="SHL58" s="47"/>
      <c r="SHQ58" s="47"/>
      <c r="SHS58" s="11"/>
      <c r="SKZ58" s="47"/>
      <c r="SLE58" s="47"/>
      <c r="SLG58" s="11"/>
      <c r="SON58" s="47"/>
      <c r="SOS58" s="47"/>
      <c r="SOU58" s="11"/>
      <c r="SSB58" s="47"/>
      <c r="SSG58" s="47"/>
      <c r="SSI58" s="11"/>
      <c r="SVP58" s="47"/>
      <c r="SVU58" s="47"/>
      <c r="SVW58" s="11"/>
      <c r="SZD58" s="47"/>
      <c r="SZI58" s="47"/>
      <c r="SZK58" s="11"/>
      <c r="TCR58" s="47"/>
      <c r="TCW58" s="47"/>
      <c r="TCY58" s="11"/>
      <c r="TGF58" s="47"/>
      <c r="TGK58" s="47"/>
      <c r="TGM58" s="11"/>
      <c r="TJT58" s="47"/>
      <c r="TJY58" s="47"/>
      <c r="TKA58" s="11"/>
      <c r="TNH58" s="47"/>
      <c r="TNM58" s="47"/>
      <c r="TNO58" s="11"/>
      <c r="TQV58" s="47"/>
      <c r="TRA58" s="47"/>
      <c r="TRC58" s="11"/>
      <c r="TUJ58" s="47"/>
      <c r="TUO58" s="47"/>
      <c r="TUQ58" s="11"/>
      <c r="TXX58" s="47"/>
      <c r="TYC58" s="47"/>
      <c r="TYE58" s="11"/>
      <c r="UBL58" s="47"/>
      <c r="UBQ58" s="47"/>
      <c r="UBS58" s="11"/>
      <c r="UEZ58" s="47"/>
      <c r="UFE58" s="47"/>
      <c r="UFG58" s="11"/>
      <c r="UIN58" s="47"/>
      <c r="UIS58" s="47"/>
      <c r="UIU58" s="11"/>
      <c r="UMB58" s="47"/>
      <c r="UMG58" s="47"/>
      <c r="UMI58" s="11"/>
      <c r="UPP58" s="47"/>
      <c r="UPU58" s="47"/>
      <c r="UPW58" s="11"/>
      <c r="UTD58" s="47"/>
      <c r="UTI58" s="47"/>
      <c r="UTK58" s="11"/>
      <c r="UWR58" s="47"/>
      <c r="UWW58" s="47"/>
      <c r="UWY58" s="11"/>
      <c r="VAF58" s="47"/>
      <c r="VAK58" s="47"/>
      <c r="VAM58" s="11"/>
      <c r="VDT58" s="47"/>
      <c r="VDY58" s="47"/>
      <c r="VEA58" s="11"/>
      <c r="VHH58" s="47"/>
      <c r="VHM58" s="47"/>
      <c r="VHO58" s="11"/>
      <c r="VKV58" s="47"/>
      <c r="VLA58" s="47"/>
      <c r="VLC58" s="11"/>
      <c r="VOJ58" s="47"/>
      <c r="VOO58" s="47"/>
      <c r="VOQ58" s="11"/>
      <c r="VRX58" s="47"/>
      <c r="VSC58" s="47"/>
      <c r="VSE58" s="11"/>
      <c r="VVL58" s="47"/>
      <c r="VVQ58" s="47"/>
      <c r="VVS58" s="11"/>
      <c r="VYZ58" s="47"/>
      <c r="VZE58" s="47"/>
      <c r="VZG58" s="11"/>
      <c r="WCN58" s="47"/>
      <c r="WCS58" s="47"/>
      <c r="WCU58" s="11"/>
      <c r="WGB58" s="47"/>
      <c r="WGG58" s="47"/>
      <c r="WGI58" s="11"/>
      <c r="WJP58" s="47"/>
      <c r="WJU58" s="47"/>
      <c r="WJW58" s="11"/>
      <c r="WND58" s="47"/>
      <c r="WNI58" s="47"/>
      <c r="WNK58" s="11"/>
      <c r="WQR58" s="47"/>
      <c r="WQW58" s="47"/>
      <c r="WQY58" s="11"/>
      <c r="WUF58" s="47"/>
      <c r="WUK58" s="47"/>
      <c r="WUM58" s="11"/>
      <c r="WXT58" s="47"/>
      <c r="WXY58" s="47"/>
      <c r="WYA58" s="11"/>
      <c r="XBH58" s="47"/>
      <c r="XBM58" s="47"/>
      <c r="XBO58" s="11"/>
      <c r="XEV58" s="47"/>
      <c r="XFA58" s="47"/>
      <c r="XFC58" s="11"/>
    </row>
    <row r="59" spans="3:1019 1104:2031 2116:3043 3128:4055 4140:5067 5152:6079 6164:7091 7176:8188 8193:9207 9292:10219 10304:11231 11316:12243 12328:13255 13340:14267 14352:15279 15364:16383" s="10" customFormat="1" ht="14.65" customHeight="1">
      <c r="E59" s="47"/>
      <c r="G59" s="11"/>
      <c r="CS59" s="47"/>
      <c r="CU59" s="11"/>
      <c r="GB59" s="47"/>
      <c r="GG59" s="47"/>
      <c r="GI59" s="11"/>
      <c r="JP59" s="47"/>
      <c r="JU59" s="47"/>
      <c r="JW59" s="11"/>
      <c r="ND59" s="47"/>
      <c r="NI59" s="47"/>
      <c r="NK59" s="11"/>
      <c r="QR59" s="47"/>
      <c r="QW59" s="47"/>
      <c r="QY59" s="11"/>
      <c r="UF59" s="47"/>
      <c r="UK59" s="47"/>
      <c r="UM59" s="11"/>
      <c r="XT59" s="47"/>
      <c r="XY59" s="47"/>
      <c r="YA59" s="11"/>
      <c r="ABH59" s="47"/>
      <c r="ABM59" s="47"/>
      <c r="ABO59" s="11"/>
      <c r="AEV59" s="47"/>
      <c r="AFA59" s="47"/>
      <c r="AFC59" s="11"/>
      <c r="AIJ59" s="47"/>
      <c r="AIO59" s="47"/>
      <c r="AIQ59" s="11"/>
      <c r="ALX59" s="47"/>
      <c r="AMC59" s="47"/>
      <c r="AME59" s="11"/>
      <c r="APL59" s="47"/>
      <c r="APQ59" s="47"/>
      <c r="APS59" s="11"/>
      <c r="ASZ59" s="47"/>
      <c r="ATE59" s="47"/>
      <c r="ATG59" s="11"/>
      <c r="AWN59" s="47"/>
      <c r="AWS59" s="47"/>
      <c r="AWU59" s="11"/>
      <c r="BAB59" s="47"/>
      <c r="BAG59" s="47"/>
      <c r="BAI59" s="11"/>
      <c r="BDP59" s="47"/>
      <c r="BDU59" s="47"/>
      <c r="BDW59" s="11"/>
      <c r="BHD59" s="47"/>
      <c r="BHI59" s="47"/>
      <c r="BHK59" s="11"/>
      <c r="BKR59" s="47"/>
      <c r="BKW59" s="47"/>
      <c r="BKY59" s="11"/>
      <c r="BOF59" s="47"/>
      <c r="BOK59" s="47"/>
      <c r="BOM59" s="11"/>
      <c r="BRT59" s="47"/>
      <c r="BRY59" s="47"/>
      <c r="BSA59" s="11"/>
      <c r="BVH59" s="47"/>
      <c r="BVM59" s="47"/>
      <c r="BVO59" s="11"/>
      <c r="BYV59" s="47"/>
      <c r="BZA59" s="47"/>
      <c r="BZC59" s="11"/>
      <c r="CCJ59" s="47"/>
      <c r="CCO59" s="47"/>
      <c r="CCQ59" s="11"/>
      <c r="CFX59" s="47"/>
      <c r="CGC59" s="47"/>
      <c r="CGE59" s="11"/>
      <c r="CJL59" s="47"/>
      <c r="CJQ59" s="47"/>
      <c r="CJS59" s="11"/>
      <c r="CMZ59" s="47"/>
      <c r="CNE59" s="47"/>
      <c r="CNG59" s="11"/>
      <c r="CQN59" s="47"/>
      <c r="CQS59" s="47"/>
      <c r="CQU59" s="11"/>
      <c r="CUB59" s="47"/>
      <c r="CUG59" s="47"/>
      <c r="CUI59" s="11"/>
      <c r="CXP59" s="47"/>
      <c r="CXU59" s="47"/>
      <c r="CXW59" s="11"/>
      <c r="DBD59" s="47"/>
      <c r="DBI59" s="47"/>
      <c r="DBK59" s="11"/>
      <c r="DER59" s="47"/>
      <c r="DEW59" s="47"/>
      <c r="DEY59" s="11"/>
      <c r="DIF59" s="47"/>
      <c r="DIK59" s="47"/>
      <c r="DIM59" s="11"/>
      <c r="DLT59" s="47"/>
      <c r="DLY59" s="47"/>
      <c r="DMA59" s="11"/>
      <c r="DPH59" s="47"/>
      <c r="DPM59" s="47"/>
      <c r="DPO59" s="11"/>
      <c r="DSV59" s="47"/>
      <c r="DTA59" s="47"/>
      <c r="DTC59" s="11"/>
      <c r="DWJ59" s="47"/>
      <c r="DWO59" s="47"/>
      <c r="DWQ59" s="11"/>
      <c r="DZX59" s="47"/>
      <c r="EAC59" s="47"/>
      <c r="EAE59" s="11"/>
      <c r="EDL59" s="47"/>
      <c r="EDQ59" s="47"/>
      <c r="EDS59" s="11"/>
      <c r="EGZ59" s="47"/>
      <c r="EHE59" s="47"/>
      <c r="EHG59" s="11"/>
      <c r="EKN59" s="47"/>
      <c r="EKS59" s="47"/>
      <c r="EKU59" s="11"/>
      <c r="EOB59" s="47"/>
      <c r="EOG59" s="47"/>
      <c r="EOI59" s="11"/>
      <c r="ERP59" s="47"/>
      <c r="ERU59" s="47"/>
      <c r="ERW59" s="11"/>
      <c r="EVD59" s="47"/>
      <c r="EVI59" s="47"/>
      <c r="EVK59" s="11"/>
      <c r="EYR59" s="47"/>
      <c r="EYW59" s="47"/>
      <c r="EYY59" s="11"/>
      <c r="FCF59" s="47"/>
      <c r="FCK59" s="47"/>
      <c r="FCM59" s="11"/>
      <c r="FFT59" s="47"/>
      <c r="FFY59" s="47"/>
      <c r="FGA59" s="11"/>
      <c r="FJH59" s="47"/>
      <c r="FJM59" s="47"/>
      <c r="FJO59" s="11"/>
      <c r="FMV59" s="47"/>
      <c r="FNA59" s="47"/>
      <c r="FNC59" s="11"/>
      <c r="FQJ59" s="47"/>
      <c r="FQO59" s="47"/>
      <c r="FQQ59" s="11"/>
      <c r="FTX59" s="47"/>
      <c r="FUC59" s="47"/>
      <c r="FUE59" s="11"/>
      <c r="FXL59" s="47"/>
      <c r="FXQ59" s="47"/>
      <c r="FXS59" s="11"/>
      <c r="GAZ59" s="47"/>
      <c r="GBE59" s="47"/>
      <c r="GBG59" s="11"/>
      <c r="GEN59" s="47"/>
      <c r="GES59" s="47"/>
      <c r="GEU59" s="11"/>
      <c r="GIB59" s="47"/>
      <c r="GIG59" s="47"/>
      <c r="GII59" s="11"/>
      <c r="GLP59" s="47"/>
      <c r="GLU59" s="47"/>
      <c r="GLW59" s="11"/>
      <c r="GPD59" s="47"/>
      <c r="GPI59" s="47"/>
      <c r="GPK59" s="11"/>
      <c r="GSR59" s="47"/>
      <c r="GSW59" s="47"/>
      <c r="GSY59" s="11"/>
      <c r="GWF59" s="47"/>
      <c r="GWK59" s="47"/>
      <c r="GWM59" s="11"/>
      <c r="GZT59" s="47"/>
      <c r="GZY59" s="47"/>
      <c r="HAA59" s="11"/>
      <c r="HDH59" s="47"/>
      <c r="HDM59" s="47"/>
      <c r="HDO59" s="11"/>
      <c r="HGV59" s="47"/>
      <c r="HHA59" s="47"/>
      <c r="HHC59" s="11"/>
      <c r="HKJ59" s="47"/>
      <c r="HKO59" s="47"/>
      <c r="HKQ59" s="11"/>
      <c r="HNX59" s="47"/>
      <c r="HOC59" s="47"/>
      <c r="HOE59" s="11"/>
      <c r="HRL59" s="47"/>
      <c r="HRQ59" s="47"/>
      <c r="HRS59" s="11"/>
      <c r="HUZ59" s="47"/>
      <c r="HVE59" s="47"/>
      <c r="HVG59" s="11"/>
      <c r="HYN59" s="47"/>
      <c r="HYS59" s="47"/>
      <c r="HYU59" s="11"/>
      <c r="ICB59" s="47"/>
      <c r="ICG59" s="47"/>
      <c r="ICI59" s="11"/>
      <c r="IFP59" s="47"/>
      <c r="IFU59" s="47"/>
      <c r="IFW59" s="11"/>
      <c r="IJD59" s="47"/>
      <c r="IJI59" s="47"/>
      <c r="IJK59" s="11"/>
      <c r="IMR59" s="47"/>
      <c r="IMW59" s="47"/>
      <c r="IMY59" s="11"/>
      <c r="IQF59" s="47"/>
      <c r="IQK59" s="47"/>
      <c r="IQM59" s="11"/>
      <c r="ITT59" s="47"/>
      <c r="ITY59" s="47"/>
      <c r="IUA59" s="11"/>
      <c r="IXH59" s="47"/>
      <c r="IXM59" s="47"/>
      <c r="IXO59" s="11"/>
      <c r="JAV59" s="47"/>
      <c r="JBA59" s="47"/>
      <c r="JBC59" s="11"/>
      <c r="JEJ59" s="47"/>
      <c r="JEO59" s="47"/>
      <c r="JEQ59" s="11"/>
      <c r="JHX59" s="47"/>
      <c r="JIC59" s="47"/>
      <c r="JIE59" s="11"/>
      <c r="JLL59" s="47"/>
      <c r="JLQ59" s="47"/>
      <c r="JLS59" s="11"/>
      <c r="JOZ59" s="47"/>
      <c r="JPE59" s="47"/>
      <c r="JPG59" s="11"/>
      <c r="JSN59" s="47"/>
      <c r="JSS59" s="47"/>
      <c r="JSU59" s="11"/>
      <c r="JWB59" s="47"/>
      <c r="JWG59" s="47"/>
      <c r="JWI59" s="11"/>
      <c r="JZP59" s="47"/>
      <c r="JZU59" s="47"/>
      <c r="JZW59" s="11"/>
      <c r="KDD59" s="47"/>
      <c r="KDI59" s="47"/>
      <c r="KDK59" s="11"/>
      <c r="KGR59" s="47"/>
      <c r="KGW59" s="47"/>
      <c r="KGY59" s="11"/>
      <c r="KKF59" s="47"/>
      <c r="KKK59" s="47"/>
      <c r="KKM59" s="11"/>
      <c r="KNT59" s="47"/>
      <c r="KNY59" s="47"/>
      <c r="KOA59" s="11"/>
      <c r="KRH59" s="47"/>
      <c r="KRM59" s="47"/>
      <c r="KRO59" s="11"/>
      <c r="KUV59" s="47"/>
      <c r="KVA59" s="47"/>
      <c r="KVC59" s="11"/>
      <c r="KYJ59" s="47"/>
      <c r="KYO59" s="47"/>
      <c r="KYQ59" s="11"/>
      <c r="LBX59" s="47"/>
      <c r="LCC59" s="47"/>
      <c r="LCE59" s="11"/>
      <c r="LFL59" s="47"/>
      <c r="LFQ59" s="47"/>
      <c r="LFS59" s="11"/>
      <c r="LIZ59" s="47"/>
      <c r="LJE59" s="47"/>
      <c r="LJG59" s="11"/>
      <c r="LMN59" s="47"/>
      <c r="LMS59" s="47"/>
      <c r="LMU59" s="11"/>
      <c r="LQB59" s="47"/>
      <c r="LQG59" s="47"/>
      <c r="LQI59" s="11"/>
      <c r="LTP59" s="47"/>
      <c r="LTU59" s="47"/>
      <c r="LTW59" s="11"/>
      <c r="LXD59" s="47"/>
      <c r="LXI59" s="47"/>
      <c r="LXK59" s="11"/>
      <c r="MAR59" s="47"/>
      <c r="MAW59" s="47"/>
      <c r="MAY59" s="11"/>
      <c r="MEF59" s="47"/>
      <c r="MEK59" s="47"/>
      <c r="MEM59" s="11"/>
      <c r="MHT59" s="47"/>
      <c r="MHY59" s="47"/>
      <c r="MIA59" s="11"/>
      <c r="MLH59" s="47"/>
      <c r="MLM59" s="47"/>
      <c r="MLO59" s="11"/>
      <c r="MOV59" s="47"/>
      <c r="MPA59" s="47"/>
      <c r="MPC59" s="11"/>
      <c r="MSJ59" s="47"/>
      <c r="MSO59" s="47"/>
      <c r="MSQ59" s="11"/>
      <c r="MVX59" s="47"/>
      <c r="MWC59" s="47"/>
      <c r="MWE59" s="11"/>
      <c r="MZL59" s="47"/>
      <c r="MZQ59" s="47"/>
      <c r="MZS59" s="11"/>
      <c r="NCZ59" s="47"/>
      <c r="NDE59" s="47"/>
      <c r="NDG59" s="11"/>
      <c r="NGN59" s="47"/>
      <c r="NGS59" s="47"/>
      <c r="NGU59" s="11"/>
      <c r="NKB59" s="47"/>
      <c r="NKG59" s="47"/>
      <c r="NKI59" s="11"/>
      <c r="NNP59" s="47"/>
      <c r="NNU59" s="47"/>
      <c r="NNW59" s="11"/>
      <c r="NRD59" s="47"/>
      <c r="NRI59" s="47"/>
      <c r="NRK59" s="11"/>
      <c r="NUR59" s="47"/>
      <c r="NUW59" s="47"/>
      <c r="NUY59" s="11"/>
      <c r="NYF59" s="47"/>
      <c r="NYK59" s="47"/>
      <c r="NYM59" s="11"/>
      <c r="OBT59" s="47"/>
      <c r="OBY59" s="47"/>
      <c r="OCA59" s="11"/>
      <c r="OFH59" s="47"/>
      <c r="OFM59" s="47"/>
      <c r="OFO59" s="11"/>
      <c r="OIV59" s="47"/>
      <c r="OJA59" s="47"/>
      <c r="OJC59" s="11"/>
      <c r="OMJ59" s="47"/>
      <c r="OMO59" s="47"/>
      <c r="OMQ59" s="11"/>
      <c r="OPX59" s="47"/>
      <c r="OQC59" s="47"/>
      <c r="OQE59" s="11"/>
      <c r="OTL59" s="47"/>
      <c r="OTQ59" s="47"/>
      <c r="OTS59" s="11"/>
      <c r="OWZ59" s="47"/>
      <c r="OXE59" s="47"/>
      <c r="OXG59" s="11"/>
      <c r="PAN59" s="47"/>
      <c r="PAS59" s="47"/>
      <c r="PAU59" s="11"/>
      <c r="PEB59" s="47"/>
      <c r="PEG59" s="47"/>
      <c r="PEI59" s="11"/>
      <c r="PHP59" s="47"/>
      <c r="PHU59" s="47"/>
      <c r="PHW59" s="11"/>
      <c r="PLD59" s="47"/>
      <c r="PLI59" s="47"/>
      <c r="PLK59" s="11"/>
      <c r="POR59" s="47"/>
      <c r="POW59" s="47"/>
      <c r="POY59" s="11"/>
      <c r="PSF59" s="47"/>
      <c r="PSK59" s="47"/>
      <c r="PSM59" s="11"/>
      <c r="PVT59" s="47"/>
      <c r="PVY59" s="47"/>
      <c r="PWA59" s="11"/>
      <c r="PZH59" s="47"/>
      <c r="PZM59" s="47"/>
      <c r="PZO59" s="11"/>
      <c r="QCV59" s="47"/>
      <c r="QDA59" s="47"/>
      <c r="QDC59" s="11"/>
      <c r="QGJ59" s="47"/>
      <c r="QGO59" s="47"/>
      <c r="QGQ59" s="11"/>
      <c r="QJX59" s="47"/>
      <c r="QKC59" s="47"/>
      <c r="QKE59" s="11"/>
      <c r="QNL59" s="47"/>
      <c r="QNQ59" s="47"/>
      <c r="QNS59" s="11"/>
      <c r="QQZ59" s="47"/>
      <c r="QRE59" s="47"/>
      <c r="QRG59" s="11"/>
      <c r="QUN59" s="47"/>
      <c r="QUS59" s="47"/>
      <c r="QUU59" s="11"/>
      <c r="QYB59" s="47"/>
      <c r="QYG59" s="47"/>
      <c r="QYI59" s="11"/>
      <c r="RBP59" s="47"/>
      <c r="RBU59" s="47"/>
      <c r="RBW59" s="11"/>
      <c r="RFD59" s="47"/>
      <c r="RFI59" s="47"/>
      <c r="RFK59" s="11"/>
      <c r="RIR59" s="47"/>
      <c r="RIW59" s="47"/>
      <c r="RIY59" s="11"/>
      <c r="RMF59" s="47"/>
      <c r="RMK59" s="47"/>
      <c r="RMM59" s="11"/>
      <c r="RPT59" s="47"/>
      <c r="RPY59" s="47"/>
      <c r="RQA59" s="11"/>
      <c r="RTH59" s="47"/>
      <c r="RTM59" s="47"/>
      <c r="RTO59" s="11"/>
      <c r="RWV59" s="47"/>
      <c r="RXA59" s="47"/>
      <c r="RXC59" s="11"/>
      <c r="SAJ59" s="47"/>
      <c r="SAO59" s="47"/>
      <c r="SAQ59" s="11"/>
      <c r="SDX59" s="47"/>
      <c r="SEC59" s="47"/>
      <c r="SEE59" s="11"/>
      <c r="SHL59" s="47"/>
      <c r="SHQ59" s="47"/>
      <c r="SHS59" s="11"/>
      <c r="SKZ59" s="47"/>
      <c r="SLE59" s="47"/>
      <c r="SLG59" s="11"/>
      <c r="SON59" s="47"/>
      <c r="SOS59" s="47"/>
      <c r="SOU59" s="11"/>
      <c r="SSB59" s="47"/>
      <c r="SSG59" s="47"/>
      <c r="SSI59" s="11"/>
      <c r="SVP59" s="47"/>
      <c r="SVU59" s="47"/>
      <c r="SVW59" s="11"/>
      <c r="SZD59" s="47"/>
      <c r="SZI59" s="47"/>
      <c r="SZK59" s="11"/>
      <c r="TCR59" s="47"/>
      <c r="TCW59" s="47"/>
      <c r="TCY59" s="11"/>
      <c r="TGF59" s="47"/>
      <c r="TGK59" s="47"/>
      <c r="TGM59" s="11"/>
      <c r="TJT59" s="47"/>
      <c r="TJY59" s="47"/>
      <c r="TKA59" s="11"/>
      <c r="TNH59" s="47"/>
      <c r="TNM59" s="47"/>
      <c r="TNO59" s="11"/>
      <c r="TQV59" s="47"/>
      <c r="TRA59" s="47"/>
      <c r="TRC59" s="11"/>
      <c r="TUJ59" s="47"/>
      <c r="TUO59" s="47"/>
      <c r="TUQ59" s="11"/>
      <c r="TXX59" s="47"/>
      <c r="TYC59" s="47"/>
      <c r="TYE59" s="11"/>
      <c r="UBL59" s="47"/>
      <c r="UBQ59" s="47"/>
      <c r="UBS59" s="11"/>
      <c r="UEZ59" s="47"/>
      <c r="UFE59" s="47"/>
      <c r="UFG59" s="11"/>
      <c r="UIN59" s="47"/>
      <c r="UIS59" s="47"/>
      <c r="UIU59" s="11"/>
      <c r="UMB59" s="47"/>
      <c r="UMG59" s="47"/>
      <c r="UMI59" s="11"/>
      <c r="UPP59" s="47"/>
      <c r="UPU59" s="47"/>
      <c r="UPW59" s="11"/>
      <c r="UTD59" s="47"/>
      <c r="UTI59" s="47"/>
      <c r="UTK59" s="11"/>
      <c r="UWR59" s="47"/>
      <c r="UWW59" s="47"/>
      <c r="UWY59" s="11"/>
      <c r="VAF59" s="47"/>
      <c r="VAK59" s="47"/>
      <c r="VAM59" s="11"/>
      <c r="VDT59" s="47"/>
      <c r="VDY59" s="47"/>
      <c r="VEA59" s="11"/>
      <c r="VHH59" s="47"/>
      <c r="VHM59" s="47"/>
      <c r="VHO59" s="11"/>
      <c r="VKV59" s="47"/>
      <c r="VLA59" s="47"/>
      <c r="VLC59" s="11"/>
      <c r="VOJ59" s="47"/>
      <c r="VOO59" s="47"/>
      <c r="VOQ59" s="11"/>
      <c r="VRX59" s="47"/>
      <c r="VSC59" s="47"/>
      <c r="VSE59" s="11"/>
      <c r="VVL59" s="47"/>
      <c r="VVQ59" s="47"/>
      <c r="VVS59" s="11"/>
      <c r="VYZ59" s="47"/>
      <c r="VZE59" s="47"/>
      <c r="VZG59" s="11"/>
      <c r="WCN59" s="47"/>
      <c r="WCS59" s="47"/>
      <c r="WCU59" s="11"/>
      <c r="WGB59" s="47"/>
      <c r="WGG59" s="47"/>
      <c r="WGI59" s="11"/>
      <c r="WJP59" s="47"/>
      <c r="WJU59" s="47"/>
      <c r="WJW59" s="11"/>
      <c r="WND59" s="47"/>
      <c r="WNI59" s="47"/>
      <c r="WNK59" s="11"/>
      <c r="WQR59" s="47"/>
      <c r="WQW59" s="47"/>
      <c r="WQY59" s="11"/>
      <c r="WUF59" s="47"/>
      <c r="WUK59" s="47"/>
      <c r="WUM59" s="11"/>
      <c r="WXT59" s="47"/>
      <c r="WXY59" s="47"/>
      <c r="WYA59" s="11"/>
      <c r="XBH59" s="47"/>
      <c r="XBM59" s="47"/>
      <c r="XBO59" s="11"/>
      <c r="XEV59" s="47"/>
      <c r="XFA59" s="47"/>
      <c r="XFC59" s="11"/>
    </row>
    <row r="60" spans="3:1019 1104:2031 2116:3043 3128:4055 4140:5067 5152:6079 6164:7091 7176:8188 8193:9207 9292:10219 10304:11231 11316:12243 12328:13255 13340:14267 14352:15279 15364:16383" s="10" customFormat="1" ht="14.65" customHeight="1">
      <c r="C60" s="365" t="s">
        <v>1002</v>
      </c>
      <c r="E60" s="47"/>
      <c r="G60" s="11"/>
      <c r="CS60" s="47"/>
      <c r="CU60" s="11"/>
      <c r="GB60" s="47"/>
      <c r="GG60" s="47"/>
      <c r="GI60" s="11"/>
      <c r="JP60" s="47"/>
      <c r="JU60" s="47"/>
      <c r="JW60" s="11"/>
      <c r="ND60" s="47"/>
      <c r="NI60" s="47"/>
      <c r="NK60" s="11"/>
      <c r="QR60" s="47"/>
      <c r="QW60" s="47"/>
      <c r="QY60" s="11"/>
      <c r="UF60" s="47"/>
      <c r="UK60" s="47"/>
      <c r="UM60" s="11"/>
      <c r="XT60" s="47"/>
      <c r="XY60" s="47"/>
      <c r="YA60" s="11"/>
      <c r="ABH60" s="47"/>
      <c r="ABM60" s="47"/>
      <c r="ABO60" s="11"/>
      <c r="AEV60" s="47"/>
      <c r="AFA60" s="47"/>
      <c r="AFC60" s="11"/>
      <c r="AIJ60" s="47"/>
      <c r="AIO60" s="47"/>
      <c r="AIQ60" s="11"/>
      <c r="ALX60" s="47"/>
      <c r="AMC60" s="47"/>
      <c r="AME60" s="11"/>
      <c r="APL60" s="47"/>
      <c r="APQ60" s="47"/>
      <c r="APS60" s="11"/>
      <c r="ASZ60" s="47"/>
      <c r="ATE60" s="47"/>
      <c r="ATG60" s="11"/>
      <c r="AWN60" s="47"/>
      <c r="AWS60" s="47"/>
      <c r="AWU60" s="11"/>
      <c r="BAB60" s="47"/>
      <c r="BAG60" s="47"/>
      <c r="BAI60" s="11"/>
      <c r="BDP60" s="47"/>
      <c r="BDU60" s="47"/>
      <c r="BDW60" s="11"/>
      <c r="BHD60" s="47"/>
      <c r="BHI60" s="47"/>
      <c r="BHK60" s="11"/>
      <c r="BKR60" s="47"/>
      <c r="BKW60" s="47"/>
      <c r="BKY60" s="11"/>
      <c r="BOF60" s="47"/>
      <c r="BOK60" s="47"/>
      <c r="BOM60" s="11"/>
      <c r="BRT60" s="47"/>
      <c r="BRY60" s="47"/>
      <c r="BSA60" s="11"/>
      <c r="BVH60" s="47"/>
      <c r="BVM60" s="47"/>
      <c r="BVO60" s="11"/>
      <c r="BYV60" s="47"/>
      <c r="BZA60" s="47"/>
      <c r="BZC60" s="11"/>
      <c r="CCJ60" s="47"/>
      <c r="CCO60" s="47"/>
      <c r="CCQ60" s="11"/>
      <c r="CFX60" s="47"/>
      <c r="CGC60" s="47"/>
      <c r="CGE60" s="11"/>
      <c r="CJL60" s="47"/>
      <c r="CJQ60" s="47"/>
      <c r="CJS60" s="11"/>
      <c r="CMZ60" s="47"/>
      <c r="CNE60" s="47"/>
      <c r="CNG60" s="11"/>
      <c r="CQN60" s="47"/>
      <c r="CQS60" s="47"/>
      <c r="CQU60" s="11"/>
      <c r="CUB60" s="47"/>
      <c r="CUG60" s="47"/>
      <c r="CUI60" s="11"/>
      <c r="CXP60" s="47"/>
      <c r="CXU60" s="47"/>
      <c r="CXW60" s="11"/>
      <c r="DBD60" s="47"/>
      <c r="DBI60" s="47"/>
      <c r="DBK60" s="11"/>
      <c r="DER60" s="47"/>
      <c r="DEW60" s="47"/>
      <c r="DEY60" s="11"/>
      <c r="DIF60" s="47"/>
      <c r="DIK60" s="47"/>
      <c r="DIM60" s="11"/>
      <c r="DLT60" s="47"/>
      <c r="DLY60" s="47"/>
      <c r="DMA60" s="11"/>
      <c r="DPH60" s="47"/>
      <c r="DPM60" s="47"/>
      <c r="DPO60" s="11"/>
      <c r="DSV60" s="47"/>
      <c r="DTA60" s="47"/>
      <c r="DTC60" s="11"/>
      <c r="DWJ60" s="47"/>
      <c r="DWO60" s="47"/>
      <c r="DWQ60" s="11"/>
      <c r="DZX60" s="47"/>
      <c r="EAC60" s="47"/>
      <c r="EAE60" s="11"/>
      <c r="EDL60" s="47"/>
      <c r="EDQ60" s="47"/>
      <c r="EDS60" s="11"/>
      <c r="EGZ60" s="47"/>
      <c r="EHE60" s="47"/>
      <c r="EHG60" s="11"/>
      <c r="EKN60" s="47"/>
      <c r="EKS60" s="47"/>
      <c r="EKU60" s="11"/>
      <c r="EOB60" s="47"/>
      <c r="EOG60" s="47"/>
      <c r="EOI60" s="11"/>
      <c r="ERP60" s="47"/>
      <c r="ERU60" s="47"/>
      <c r="ERW60" s="11"/>
      <c r="EVD60" s="47"/>
      <c r="EVI60" s="47"/>
      <c r="EVK60" s="11"/>
      <c r="EYR60" s="47"/>
      <c r="EYW60" s="47"/>
      <c r="EYY60" s="11"/>
      <c r="FCF60" s="47"/>
      <c r="FCK60" s="47"/>
      <c r="FCM60" s="11"/>
      <c r="FFT60" s="47"/>
      <c r="FFY60" s="47"/>
      <c r="FGA60" s="11"/>
      <c r="FJH60" s="47"/>
      <c r="FJM60" s="47"/>
      <c r="FJO60" s="11"/>
      <c r="FMV60" s="47"/>
      <c r="FNA60" s="47"/>
      <c r="FNC60" s="11"/>
      <c r="FQJ60" s="47"/>
      <c r="FQO60" s="47"/>
      <c r="FQQ60" s="11"/>
      <c r="FTX60" s="47"/>
      <c r="FUC60" s="47"/>
      <c r="FUE60" s="11"/>
      <c r="FXL60" s="47"/>
      <c r="FXQ60" s="47"/>
      <c r="FXS60" s="11"/>
      <c r="GAZ60" s="47"/>
      <c r="GBE60" s="47"/>
      <c r="GBG60" s="11"/>
      <c r="GEN60" s="47"/>
      <c r="GES60" s="47"/>
      <c r="GEU60" s="11"/>
      <c r="GIB60" s="47"/>
      <c r="GIG60" s="47"/>
      <c r="GII60" s="11"/>
      <c r="GLP60" s="47"/>
      <c r="GLU60" s="47"/>
      <c r="GLW60" s="11"/>
      <c r="GPD60" s="47"/>
      <c r="GPI60" s="47"/>
      <c r="GPK60" s="11"/>
      <c r="GSR60" s="47"/>
      <c r="GSW60" s="47"/>
      <c r="GSY60" s="11"/>
      <c r="GWF60" s="47"/>
      <c r="GWK60" s="47"/>
      <c r="GWM60" s="11"/>
      <c r="GZT60" s="47"/>
      <c r="GZY60" s="47"/>
      <c r="HAA60" s="11"/>
      <c r="HDH60" s="47"/>
      <c r="HDM60" s="47"/>
      <c r="HDO60" s="11"/>
      <c r="HGV60" s="47"/>
      <c r="HHA60" s="47"/>
      <c r="HHC60" s="11"/>
      <c r="HKJ60" s="47"/>
      <c r="HKO60" s="47"/>
      <c r="HKQ60" s="11"/>
      <c r="HNX60" s="47"/>
      <c r="HOC60" s="47"/>
      <c r="HOE60" s="11"/>
      <c r="HRL60" s="47"/>
      <c r="HRQ60" s="47"/>
      <c r="HRS60" s="11"/>
      <c r="HUZ60" s="47"/>
      <c r="HVE60" s="47"/>
      <c r="HVG60" s="11"/>
      <c r="HYN60" s="47"/>
      <c r="HYS60" s="47"/>
      <c r="HYU60" s="11"/>
      <c r="ICB60" s="47"/>
      <c r="ICG60" s="47"/>
      <c r="ICI60" s="11"/>
      <c r="IFP60" s="47"/>
      <c r="IFU60" s="47"/>
      <c r="IFW60" s="11"/>
      <c r="IJD60" s="47"/>
      <c r="IJI60" s="47"/>
      <c r="IJK60" s="11"/>
      <c r="IMR60" s="47"/>
      <c r="IMW60" s="47"/>
      <c r="IMY60" s="11"/>
      <c r="IQF60" s="47"/>
      <c r="IQK60" s="47"/>
      <c r="IQM60" s="11"/>
      <c r="ITT60" s="47"/>
      <c r="ITY60" s="47"/>
      <c r="IUA60" s="11"/>
      <c r="IXH60" s="47"/>
      <c r="IXM60" s="47"/>
      <c r="IXO60" s="11"/>
      <c r="JAV60" s="47"/>
      <c r="JBA60" s="47"/>
      <c r="JBC60" s="11"/>
      <c r="JEJ60" s="47"/>
      <c r="JEO60" s="47"/>
      <c r="JEQ60" s="11"/>
      <c r="JHX60" s="47"/>
      <c r="JIC60" s="47"/>
      <c r="JIE60" s="11"/>
      <c r="JLL60" s="47"/>
      <c r="JLQ60" s="47"/>
      <c r="JLS60" s="11"/>
      <c r="JOZ60" s="47"/>
      <c r="JPE60" s="47"/>
      <c r="JPG60" s="11"/>
      <c r="JSN60" s="47"/>
      <c r="JSS60" s="47"/>
      <c r="JSU60" s="11"/>
      <c r="JWB60" s="47"/>
      <c r="JWG60" s="47"/>
      <c r="JWI60" s="11"/>
      <c r="JZP60" s="47"/>
      <c r="JZU60" s="47"/>
      <c r="JZW60" s="11"/>
      <c r="KDD60" s="47"/>
      <c r="KDI60" s="47"/>
      <c r="KDK60" s="11"/>
      <c r="KGR60" s="47"/>
      <c r="KGW60" s="47"/>
      <c r="KGY60" s="11"/>
      <c r="KKF60" s="47"/>
      <c r="KKK60" s="47"/>
      <c r="KKM60" s="11"/>
      <c r="KNT60" s="47"/>
      <c r="KNY60" s="47"/>
      <c r="KOA60" s="11"/>
      <c r="KRH60" s="47"/>
      <c r="KRM60" s="47"/>
      <c r="KRO60" s="11"/>
      <c r="KUV60" s="47"/>
      <c r="KVA60" s="47"/>
      <c r="KVC60" s="11"/>
      <c r="KYJ60" s="47"/>
      <c r="KYO60" s="47"/>
      <c r="KYQ60" s="11"/>
      <c r="LBX60" s="47"/>
      <c r="LCC60" s="47"/>
      <c r="LCE60" s="11"/>
      <c r="LFL60" s="47"/>
      <c r="LFQ60" s="47"/>
      <c r="LFS60" s="11"/>
      <c r="LIZ60" s="47"/>
      <c r="LJE60" s="47"/>
      <c r="LJG60" s="11"/>
      <c r="LMN60" s="47"/>
      <c r="LMS60" s="47"/>
      <c r="LMU60" s="11"/>
      <c r="LQB60" s="47"/>
      <c r="LQG60" s="47"/>
      <c r="LQI60" s="11"/>
      <c r="LTP60" s="47"/>
      <c r="LTU60" s="47"/>
      <c r="LTW60" s="11"/>
      <c r="LXD60" s="47"/>
      <c r="LXI60" s="47"/>
      <c r="LXK60" s="11"/>
      <c r="MAR60" s="47"/>
      <c r="MAW60" s="47"/>
      <c r="MAY60" s="11"/>
      <c r="MEF60" s="47"/>
      <c r="MEK60" s="47"/>
      <c r="MEM60" s="11"/>
      <c r="MHT60" s="47"/>
      <c r="MHY60" s="47"/>
      <c r="MIA60" s="11"/>
      <c r="MLH60" s="47"/>
      <c r="MLM60" s="47"/>
      <c r="MLO60" s="11"/>
      <c r="MOV60" s="47"/>
      <c r="MPA60" s="47"/>
      <c r="MPC60" s="11"/>
      <c r="MSJ60" s="47"/>
      <c r="MSO60" s="47"/>
      <c r="MSQ60" s="11"/>
      <c r="MVX60" s="47"/>
      <c r="MWC60" s="47"/>
      <c r="MWE60" s="11"/>
      <c r="MZL60" s="47"/>
      <c r="MZQ60" s="47"/>
      <c r="MZS60" s="11"/>
      <c r="NCZ60" s="47"/>
      <c r="NDE60" s="47"/>
      <c r="NDG60" s="11"/>
      <c r="NGN60" s="47"/>
      <c r="NGS60" s="47"/>
      <c r="NGU60" s="11"/>
      <c r="NKB60" s="47"/>
      <c r="NKG60" s="47"/>
      <c r="NKI60" s="11"/>
      <c r="NNP60" s="47"/>
      <c r="NNU60" s="47"/>
      <c r="NNW60" s="11"/>
      <c r="NRD60" s="47"/>
      <c r="NRI60" s="47"/>
      <c r="NRK60" s="11"/>
      <c r="NUR60" s="47"/>
      <c r="NUW60" s="47"/>
      <c r="NUY60" s="11"/>
      <c r="NYF60" s="47"/>
      <c r="NYK60" s="47"/>
      <c r="NYM60" s="11"/>
      <c r="OBT60" s="47"/>
      <c r="OBY60" s="47"/>
      <c r="OCA60" s="11"/>
      <c r="OFH60" s="47"/>
      <c r="OFM60" s="47"/>
      <c r="OFO60" s="11"/>
      <c r="OIV60" s="47"/>
      <c r="OJA60" s="47"/>
      <c r="OJC60" s="11"/>
      <c r="OMJ60" s="47"/>
      <c r="OMO60" s="47"/>
      <c r="OMQ60" s="11"/>
      <c r="OPX60" s="47"/>
      <c r="OQC60" s="47"/>
      <c r="OQE60" s="11"/>
      <c r="OTL60" s="47"/>
      <c r="OTQ60" s="47"/>
      <c r="OTS60" s="11"/>
      <c r="OWZ60" s="47"/>
      <c r="OXE60" s="47"/>
      <c r="OXG60" s="11"/>
      <c r="PAN60" s="47"/>
      <c r="PAS60" s="47"/>
      <c r="PAU60" s="11"/>
      <c r="PEB60" s="47"/>
      <c r="PEG60" s="47"/>
      <c r="PEI60" s="11"/>
      <c r="PHP60" s="47"/>
      <c r="PHU60" s="47"/>
      <c r="PHW60" s="11"/>
      <c r="PLD60" s="47"/>
      <c r="PLI60" s="47"/>
      <c r="PLK60" s="11"/>
      <c r="POR60" s="47"/>
      <c r="POW60" s="47"/>
      <c r="POY60" s="11"/>
      <c r="PSF60" s="47"/>
      <c r="PSK60" s="47"/>
      <c r="PSM60" s="11"/>
      <c r="PVT60" s="47"/>
      <c r="PVY60" s="47"/>
      <c r="PWA60" s="11"/>
      <c r="PZH60" s="47"/>
      <c r="PZM60" s="47"/>
      <c r="PZO60" s="11"/>
      <c r="QCV60" s="47"/>
      <c r="QDA60" s="47"/>
      <c r="QDC60" s="11"/>
      <c r="QGJ60" s="47"/>
      <c r="QGO60" s="47"/>
      <c r="QGQ60" s="11"/>
      <c r="QJX60" s="47"/>
      <c r="QKC60" s="47"/>
      <c r="QKE60" s="11"/>
      <c r="QNL60" s="47"/>
      <c r="QNQ60" s="47"/>
      <c r="QNS60" s="11"/>
      <c r="QQZ60" s="47"/>
      <c r="QRE60" s="47"/>
      <c r="QRG60" s="11"/>
      <c r="QUN60" s="47"/>
      <c r="QUS60" s="47"/>
      <c r="QUU60" s="11"/>
      <c r="QYB60" s="47"/>
      <c r="QYG60" s="47"/>
      <c r="QYI60" s="11"/>
      <c r="RBP60" s="47"/>
      <c r="RBU60" s="47"/>
      <c r="RBW60" s="11"/>
      <c r="RFD60" s="47"/>
      <c r="RFI60" s="47"/>
      <c r="RFK60" s="11"/>
      <c r="RIR60" s="47"/>
      <c r="RIW60" s="47"/>
      <c r="RIY60" s="11"/>
      <c r="RMF60" s="47"/>
      <c r="RMK60" s="47"/>
      <c r="RMM60" s="11"/>
      <c r="RPT60" s="47"/>
      <c r="RPY60" s="47"/>
      <c r="RQA60" s="11"/>
      <c r="RTH60" s="47"/>
      <c r="RTM60" s="47"/>
      <c r="RTO60" s="11"/>
      <c r="RWV60" s="47"/>
      <c r="RXA60" s="47"/>
      <c r="RXC60" s="11"/>
      <c r="SAJ60" s="47"/>
      <c r="SAO60" s="47"/>
      <c r="SAQ60" s="11"/>
      <c r="SDX60" s="47"/>
      <c r="SEC60" s="47"/>
      <c r="SEE60" s="11"/>
      <c r="SHL60" s="47"/>
      <c r="SHQ60" s="47"/>
      <c r="SHS60" s="11"/>
      <c r="SKZ60" s="47"/>
      <c r="SLE60" s="47"/>
      <c r="SLG60" s="11"/>
      <c r="SON60" s="47"/>
      <c r="SOS60" s="47"/>
      <c r="SOU60" s="11"/>
      <c r="SSB60" s="47"/>
      <c r="SSG60" s="47"/>
      <c r="SSI60" s="11"/>
      <c r="SVP60" s="47"/>
      <c r="SVU60" s="47"/>
      <c r="SVW60" s="11"/>
      <c r="SZD60" s="47"/>
      <c r="SZI60" s="47"/>
      <c r="SZK60" s="11"/>
      <c r="TCR60" s="47"/>
      <c r="TCW60" s="47"/>
      <c r="TCY60" s="11"/>
      <c r="TGF60" s="47"/>
      <c r="TGK60" s="47"/>
      <c r="TGM60" s="11"/>
      <c r="TJT60" s="47"/>
      <c r="TJY60" s="47"/>
      <c r="TKA60" s="11"/>
      <c r="TNH60" s="47"/>
      <c r="TNM60" s="47"/>
      <c r="TNO60" s="11"/>
      <c r="TQV60" s="47"/>
      <c r="TRA60" s="47"/>
      <c r="TRC60" s="11"/>
      <c r="TUJ60" s="47"/>
      <c r="TUO60" s="47"/>
      <c r="TUQ60" s="11"/>
      <c r="TXX60" s="47"/>
      <c r="TYC60" s="47"/>
      <c r="TYE60" s="11"/>
      <c r="UBL60" s="47"/>
      <c r="UBQ60" s="47"/>
      <c r="UBS60" s="11"/>
      <c r="UEZ60" s="47"/>
      <c r="UFE60" s="47"/>
      <c r="UFG60" s="11"/>
      <c r="UIN60" s="47"/>
      <c r="UIS60" s="47"/>
      <c r="UIU60" s="11"/>
      <c r="UMB60" s="47"/>
      <c r="UMG60" s="47"/>
      <c r="UMI60" s="11"/>
      <c r="UPP60" s="47"/>
      <c r="UPU60" s="47"/>
      <c r="UPW60" s="11"/>
      <c r="UTD60" s="47"/>
      <c r="UTI60" s="47"/>
      <c r="UTK60" s="11"/>
      <c r="UWR60" s="47"/>
      <c r="UWW60" s="47"/>
      <c r="UWY60" s="11"/>
      <c r="VAF60" s="47"/>
      <c r="VAK60" s="47"/>
      <c r="VAM60" s="11"/>
      <c r="VDT60" s="47"/>
      <c r="VDY60" s="47"/>
      <c r="VEA60" s="11"/>
      <c r="VHH60" s="47"/>
      <c r="VHM60" s="47"/>
      <c r="VHO60" s="11"/>
      <c r="VKV60" s="47"/>
      <c r="VLA60" s="47"/>
      <c r="VLC60" s="11"/>
      <c r="VOJ60" s="47"/>
      <c r="VOO60" s="47"/>
      <c r="VOQ60" s="11"/>
      <c r="VRX60" s="47"/>
      <c r="VSC60" s="47"/>
      <c r="VSE60" s="11"/>
      <c r="VVL60" s="47"/>
      <c r="VVQ60" s="47"/>
      <c r="VVS60" s="11"/>
      <c r="VYZ60" s="47"/>
      <c r="VZE60" s="47"/>
      <c r="VZG60" s="11"/>
      <c r="WCN60" s="47"/>
      <c r="WCS60" s="47"/>
      <c r="WCU60" s="11"/>
      <c r="WGB60" s="47"/>
      <c r="WGG60" s="47"/>
      <c r="WGI60" s="11"/>
      <c r="WJP60" s="47"/>
      <c r="WJU60" s="47"/>
      <c r="WJW60" s="11"/>
      <c r="WND60" s="47"/>
      <c r="WNI60" s="47"/>
      <c r="WNK60" s="11"/>
      <c r="WQR60" s="47"/>
      <c r="WQW60" s="47"/>
      <c r="WQY60" s="11"/>
      <c r="WUF60" s="47"/>
      <c r="WUK60" s="47"/>
      <c r="WUM60" s="11"/>
      <c r="WXT60" s="47"/>
      <c r="WXY60" s="47"/>
      <c r="WYA60" s="11"/>
      <c r="XBH60" s="47"/>
      <c r="XBM60" s="47"/>
      <c r="XBO60" s="11"/>
      <c r="XEV60" s="47"/>
      <c r="XFA60" s="47"/>
      <c r="XFC60" s="11"/>
    </row>
    <row r="61" spans="3:1019 1104:2031 2116:3043 3128:4055 4140:5067 5152:6079 6164:7091 7176:8188 8193:9207 9292:10219 10304:11231 11316:12243 12328:13255 13340:14267 14352:15279 15364:16383" s="10" customFormat="1" ht="14.65" customHeight="1">
      <c r="C61" s="17" t="s">
        <v>1003</v>
      </c>
      <c r="E61" s="47"/>
      <c r="G61" s="11" t="str">
        <f t="shared" ref="G61:G66" si="33">Monetary_Unit</f>
        <v>тыс. руб.</v>
      </c>
      <c r="I61" s="23">
        <f t="shared" ref="I61:I66" ca="1" si="34">SUM(L61:CM61)</f>
        <v>1030124.4035664798</v>
      </c>
      <c r="L61" s="10">
        <f t="shared" ref="L61:AQ61" ca="1" si="35" xml:space="preserve"> - (Profits_Tax)</f>
        <v>0</v>
      </c>
      <c r="M61" s="10">
        <f t="shared" ca="1" si="35"/>
        <v>0</v>
      </c>
      <c r="N61" s="10">
        <f t="shared" ca="1" si="35"/>
        <v>0</v>
      </c>
      <c r="O61" s="10">
        <f t="shared" ca="1" si="35"/>
        <v>0</v>
      </c>
      <c r="P61" s="10">
        <f t="shared" ca="1" si="35"/>
        <v>0</v>
      </c>
      <c r="Q61" s="10">
        <f t="shared" ca="1" si="35"/>
        <v>0</v>
      </c>
      <c r="R61" s="10">
        <f t="shared" ca="1" si="35"/>
        <v>0</v>
      </c>
      <c r="S61" s="10">
        <f t="shared" ca="1" si="35"/>
        <v>0</v>
      </c>
      <c r="T61" s="10">
        <f t="shared" ca="1" si="35"/>
        <v>0</v>
      </c>
      <c r="U61" s="10">
        <f t="shared" ca="1" si="35"/>
        <v>0</v>
      </c>
      <c r="V61" s="10">
        <f t="shared" ca="1" si="35"/>
        <v>0</v>
      </c>
      <c r="W61" s="10">
        <f t="shared" ca="1" si="35"/>
        <v>0</v>
      </c>
      <c r="X61" s="10">
        <f t="shared" ca="1" si="35"/>
        <v>0</v>
      </c>
      <c r="Y61" s="10">
        <f t="shared" ca="1" si="35"/>
        <v>0</v>
      </c>
      <c r="Z61" s="10">
        <f t="shared" ca="1" si="35"/>
        <v>0</v>
      </c>
      <c r="AA61" s="10">
        <f t="shared" ca="1" si="35"/>
        <v>0</v>
      </c>
      <c r="AB61" s="10">
        <f t="shared" ca="1" si="35"/>
        <v>0</v>
      </c>
      <c r="AC61" s="10">
        <f t="shared" ca="1" si="35"/>
        <v>0</v>
      </c>
      <c r="AD61" s="10">
        <f t="shared" ca="1" si="35"/>
        <v>1783.8517168128092</v>
      </c>
      <c r="AE61" s="10">
        <f t="shared" ca="1" si="35"/>
        <v>34.460020830635514</v>
      </c>
      <c r="AF61" s="10">
        <f t="shared" ca="1" si="35"/>
        <v>0</v>
      </c>
      <c r="AG61" s="10">
        <f t="shared" ca="1" si="35"/>
        <v>710.4535125094086</v>
      </c>
      <c r="AH61" s="10">
        <f t="shared" ca="1" si="35"/>
        <v>2294.7982331503858</v>
      </c>
      <c r="AI61" s="10">
        <f t="shared" ca="1" si="35"/>
        <v>239.77500152082479</v>
      </c>
      <c r="AJ61" s="10">
        <f t="shared" ca="1" si="35"/>
        <v>154.6523856769943</v>
      </c>
      <c r="AK61" s="10">
        <f t="shared" ca="1" si="35"/>
        <v>1017.3856901637367</v>
      </c>
      <c r="AL61" s="10">
        <f t="shared" ca="1" si="35"/>
        <v>2838.8876693744746</v>
      </c>
      <c r="AM61" s="10">
        <f t="shared" ca="1" si="35"/>
        <v>476.01599709059332</v>
      </c>
      <c r="AN61" s="10">
        <f t="shared" ca="1" si="35"/>
        <v>384.45855674662567</v>
      </c>
      <c r="AO61" s="10">
        <f t="shared" ca="1" si="35"/>
        <v>1363.8566540876977</v>
      </c>
      <c r="AP61" s="10">
        <f t="shared" ca="1" si="35"/>
        <v>3349.5826799216848</v>
      </c>
      <c r="AQ61" s="10">
        <f t="shared" ca="1" si="35"/>
        <v>877.94883343143158</v>
      </c>
      <c r="AR61" s="10">
        <f t="shared" ref="AR61:BW61" ca="1" si="36" xml:space="preserve"> - (Profits_Tax)</f>
        <v>1102.0585517472766</v>
      </c>
      <c r="AS61" s="10">
        <f t="shared" ca="1" si="36"/>
        <v>3113.2048150097348</v>
      </c>
      <c r="AT61" s="10">
        <f t="shared" ca="1" si="36"/>
        <v>7251.0413327619317</v>
      </c>
      <c r="AU61" s="10">
        <f t="shared" ca="1" si="36"/>
        <v>6079.681761137449</v>
      </c>
      <c r="AV61" s="10">
        <f t="shared" ca="1" si="36"/>
        <v>5393.0059544168471</v>
      </c>
      <c r="AW61" s="10">
        <f t="shared" ca="1" si="36"/>
        <v>9100.6360451454311</v>
      </c>
      <c r="AX61" s="10">
        <f t="shared" ca="1" si="36"/>
        <v>20387.297472093291</v>
      </c>
      <c r="AY61" s="10">
        <f t="shared" ca="1" si="36"/>
        <v>5113.4158321700788</v>
      </c>
      <c r="AZ61" s="10">
        <f t="shared" ca="1" si="36"/>
        <v>4099.8034607835061</v>
      </c>
      <c r="BA61" s="10">
        <f t="shared" ca="1" si="36"/>
        <v>9723.348559444139</v>
      </c>
      <c r="BB61" s="10">
        <f t="shared" ca="1" si="36"/>
        <v>21303.267284913883</v>
      </c>
      <c r="BC61" s="10">
        <f t="shared" ca="1" si="36"/>
        <v>5418.430379393737</v>
      </c>
      <c r="BD61" s="10">
        <f t="shared" ca="1" si="36"/>
        <v>4439.213805277408</v>
      </c>
      <c r="BE61" s="10">
        <f t="shared" ca="1" si="36"/>
        <v>11252.770442178638</v>
      </c>
      <c r="BF61" s="10">
        <f t="shared" ca="1" si="36"/>
        <v>23295.962995880793</v>
      </c>
      <c r="BG61" s="10">
        <f t="shared" ca="1" si="36"/>
        <v>6775.7331789243817</v>
      </c>
      <c r="BH61" s="10">
        <f t="shared" ca="1" si="36"/>
        <v>5678.6157829512076</v>
      </c>
      <c r="BI61" s="10">
        <f t="shared" ca="1" si="36"/>
        <v>11761.187103371267</v>
      </c>
      <c r="BJ61" s="10">
        <f t="shared" ca="1" si="36"/>
        <v>24286.172138548041</v>
      </c>
      <c r="BK61" s="10">
        <f t="shared" ca="1" si="36"/>
        <v>7105.132541537474</v>
      </c>
      <c r="BL61" s="10">
        <f t="shared" ca="1" si="36"/>
        <v>5964.5128965415306</v>
      </c>
      <c r="BM61" s="10">
        <f t="shared" ca="1" si="36"/>
        <v>12290.458119635599</v>
      </c>
      <c r="BN61" s="10">
        <f t="shared" ca="1" si="36"/>
        <v>25316.513606076656</v>
      </c>
      <c r="BO61" s="10">
        <f t="shared" ca="1" si="36"/>
        <v>16492.514655768286</v>
      </c>
      <c r="BP61" s="10">
        <f t="shared" ca="1" si="36"/>
        <v>13865.515909638518</v>
      </c>
      <c r="BQ61" s="10">
        <f t="shared" ca="1" si="36"/>
        <v>28433.421376647551</v>
      </c>
      <c r="BR61" s="10">
        <f t="shared" ca="1" si="36"/>
        <v>56866.140096120798</v>
      </c>
      <c r="BS61" s="10">
        <f t="shared" ca="1" si="36"/>
        <v>15737.972148449895</v>
      </c>
      <c r="BT61" s="10">
        <f t="shared" ca="1" si="36"/>
        <v>13241.198965775646</v>
      </c>
      <c r="BU61" s="10">
        <f t="shared" ca="1" si="36"/>
        <v>28217.766330432834</v>
      </c>
      <c r="BV61" s="10">
        <f t="shared" ca="1" si="36"/>
        <v>59418.696597877533</v>
      </c>
      <c r="BW61" s="10">
        <f t="shared" ca="1" si="36"/>
        <v>16644.551699020234</v>
      </c>
      <c r="BX61" s="10">
        <f t="shared" ref="BX61:CO61" ca="1" si="37" xml:space="preserve"> - (Profits_Tax)</f>
        <v>13848.750829669019</v>
      </c>
      <c r="BY61" s="10">
        <f t="shared" ca="1" si="37"/>
        <v>29609.72618933655</v>
      </c>
      <c r="BZ61" s="10">
        <f t="shared" ca="1" si="37"/>
        <v>62059.570386573781</v>
      </c>
      <c r="CA61" s="10">
        <f t="shared" ca="1" si="37"/>
        <v>17573.717564746523</v>
      </c>
      <c r="CB61" s="10">
        <f t="shared" ca="1" si="37"/>
        <v>14667.329897215441</v>
      </c>
      <c r="CC61" s="10">
        <f t="shared" ca="1" si="37"/>
        <v>31059.607846617138</v>
      </c>
      <c r="CD61" s="10">
        <f t="shared" ca="1" si="37"/>
        <v>64808.292055786733</v>
      </c>
      <c r="CE61" s="10">
        <f t="shared" ca="1" si="37"/>
        <v>18542.207881073417</v>
      </c>
      <c r="CF61" s="10">
        <f t="shared" ca="1" si="37"/>
        <v>15515.532492630453</v>
      </c>
      <c r="CG61" s="10">
        <f t="shared" ca="1" si="37"/>
        <v>32564.330472746424</v>
      </c>
      <c r="CH61" s="10">
        <f t="shared" ca="1" si="37"/>
        <v>67663.773631716351</v>
      </c>
      <c r="CI61" s="10">
        <f t="shared" ca="1" si="37"/>
        <v>19546.248850001593</v>
      </c>
      <c r="CJ61" s="10">
        <f t="shared" ca="1" si="37"/>
        <v>16613.31464927864</v>
      </c>
      <c r="CK61" s="10">
        <f t="shared" ca="1" si="37"/>
        <v>34130.440676929851</v>
      </c>
      <c r="CL61" s="10">
        <f t="shared" ca="1" si="37"/>
        <v>70634.633554462838</v>
      </c>
      <c r="CM61" s="10">
        <f t="shared" ca="1" si="37"/>
        <v>20591.557796706118</v>
      </c>
      <c r="CN61" s="10">
        <f t="shared" ca="1" si="37"/>
        <v>17305.595429169738</v>
      </c>
      <c r="CO61" s="10">
        <f t="shared" ca="1" si="37"/>
        <v>35747.160932116996</v>
      </c>
      <c r="CS61" s="47"/>
      <c r="CU61" s="11"/>
      <c r="GB61" s="47"/>
      <c r="GG61" s="47"/>
      <c r="GI61" s="11"/>
      <c r="JP61" s="47"/>
      <c r="JU61" s="47"/>
      <c r="JW61" s="11"/>
      <c r="ND61" s="47"/>
      <c r="NI61" s="47"/>
      <c r="NK61" s="11"/>
      <c r="QR61" s="47"/>
      <c r="QW61" s="47"/>
      <c r="QY61" s="11"/>
      <c r="UF61" s="47"/>
      <c r="UK61" s="47"/>
      <c r="UM61" s="11"/>
      <c r="XT61" s="47"/>
      <c r="XY61" s="47"/>
      <c r="YA61" s="11"/>
      <c r="ABH61" s="47"/>
      <c r="ABM61" s="47"/>
      <c r="ABO61" s="11"/>
      <c r="AEV61" s="47"/>
      <c r="AFA61" s="47"/>
      <c r="AFC61" s="11"/>
      <c r="AIJ61" s="47"/>
      <c r="AIO61" s="47"/>
      <c r="AIQ61" s="11"/>
      <c r="ALX61" s="47"/>
      <c r="AMC61" s="47"/>
      <c r="AME61" s="11"/>
      <c r="APL61" s="47"/>
      <c r="APQ61" s="47"/>
      <c r="APS61" s="11"/>
      <c r="ASZ61" s="47"/>
      <c r="ATE61" s="47"/>
      <c r="ATG61" s="11"/>
      <c r="AWN61" s="47"/>
      <c r="AWS61" s="47"/>
      <c r="AWU61" s="11"/>
      <c r="BAB61" s="47"/>
      <c r="BAG61" s="47"/>
      <c r="BAI61" s="11"/>
      <c r="BDP61" s="47"/>
      <c r="BDU61" s="47"/>
      <c r="BDW61" s="11"/>
      <c r="BHD61" s="47"/>
      <c r="BHI61" s="47"/>
      <c r="BHK61" s="11"/>
      <c r="BKR61" s="47"/>
      <c r="BKW61" s="47"/>
      <c r="BKY61" s="11"/>
      <c r="BOF61" s="47"/>
      <c r="BOK61" s="47"/>
      <c r="BOM61" s="11"/>
      <c r="BRT61" s="47"/>
      <c r="BRY61" s="47"/>
      <c r="BSA61" s="11"/>
      <c r="BVH61" s="47"/>
      <c r="BVM61" s="47"/>
      <c r="BVO61" s="11"/>
      <c r="BYV61" s="47"/>
      <c r="BZA61" s="47"/>
      <c r="BZC61" s="11"/>
      <c r="CCJ61" s="47"/>
      <c r="CCO61" s="47"/>
      <c r="CCQ61" s="11"/>
      <c r="CFX61" s="47"/>
      <c r="CGC61" s="47"/>
      <c r="CGE61" s="11"/>
      <c r="CJL61" s="47"/>
      <c r="CJQ61" s="47"/>
      <c r="CJS61" s="11"/>
      <c r="CMZ61" s="47"/>
      <c r="CNE61" s="47"/>
      <c r="CNG61" s="11"/>
      <c r="CQN61" s="47"/>
      <c r="CQS61" s="47"/>
      <c r="CQU61" s="11"/>
      <c r="CUB61" s="47"/>
      <c r="CUG61" s="47"/>
      <c r="CUI61" s="11"/>
      <c r="CXP61" s="47"/>
      <c r="CXU61" s="47"/>
      <c r="CXW61" s="11"/>
      <c r="DBD61" s="47"/>
      <c r="DBI61" s="47"/>
      <c r="DBK61" s="11"/>
      <c r="DER61" s="47"/>
      <c r="DEW61" s="47"/>
      <c r="DEY61" s="11"/>
      <c r="DIF61" s="47"/>
      <c r="DIK61" s="47"/>
      <c r="DIM61" s="11"/>
      <c r="DLT61" s="47"/>
      <c r="DLY61" s="47"/>
      <c r="DMA61" s="11"/>
      <c r="DPH61" s="47"/>
      <c r="DPM61" s="47"/>
      <c r="DPO61" s="11"/>
      <c r="DSV61" s="47"/>
      <c r="DTA61" s="47"/>
      <c r="DTC61" s="11"/>
      <c r="DWJ61" s="47"/>
      <c r="DWO61" s="47"/>
      <c r="DWQ61" s="11"/>
      <c r="DZX61" s="47"/>
      <c r="EAC61" s="47"/>
      <c r="EAE61" s="11"/>
      <c r="EDL61" s="47"/>
      <c r="EDQ61" s="47"/>
      <c r="EDS61" s="11"/>
      <c r="EGZ61" s="47"/>
      <c r="EHE61" s="47"/>
      <c r="EHG61" s="11"/>
      <c r="EKN61" s="47"/>
      <c r="EKS61" s="47"/>
      <c r="EKU61" s="11"/>
      <c r="EOB61" s="47"/>
      <c r="EOG61" s="47"/>
      <c r="EOI61" s="11"/>
      <c r="ERP61" s="47"/>
      <c r="ERU61" s="47"/>
      <c r="ERW61" s="11"/>
      <c r="EVD61" s="47"/>
      <c r="EVI61" s="47"/>
      <c r="EVK61" s="11"/>
      <c r="EYR61" s="47"/>
      <c r="EYW61" s="47"/>
      <c r="EYY61" s="11"/>
      <c r="FCF61" s="47"/>
      <c r="FCK61" s="47"/>
      <c r="FCM61" s="11"/>
      <c r="FFT61" s="47"/>
      <c r="FFY61" s="47"/>
      <c r="FGA61" s="11"/>
      <c r="FJH61" s="47"/>
      <c r="FJM61" s="47"/>
      <c r="FJO61" s="11"/>
      <c r="FMV61" s="47"/>
      <c r="FNA61" s="47"/>
      <c r="FNC61" s="11"/>
      <c r="FQJ61" s="47"/>
      <c r="FQO61" s="47"/>
      <c r="FQQ61" s="11"/>
      <c r="FTX61" s="47"/>
      <c r="FUC61" s="47"/>
      <c r="FUE61" s="11"/>
      <c r="FXL61" s="47"/>
      <c r="FXQ61" s="47"/>
      <c r="FXS61" s="11"/>
      <c r="GAZ61" s="47"/>
      <c r="GBE61" s="47"/>
      <c r="GBG61" s="11"/>
      <c r="GEN61" s="47"/>
      <c r="GES61" s="47"/>
      <c r="GEU61" s="11"/>
      <c r="GIB61" s="47"/>
      <c r="GIG61" s="47"/>
      <c r="GII61" s="11"/>
      <c r="GLP61" s="47"/>
      <c r="GLU61" s="47"/>
      <c r="GLW61" s="11"/>
      <c r="GPD61" s="47"/>
      <c r="GPI61" s="47"/>
      <c r="GPK61" s="11"/>
      <c r="GSR61" s="47"/>
      <c r="GSW61" s="47"/>
      <c r="GSY61" s="11"/>
      <c r="GWF61" s="47"/>
      <c r="GWK61" s="47"/>
      <c r="GWM61" s="11"/>
      <c r="GZT61" s="47"/>
      <c r="GZY61" s="47"/>
      <c r="HAA61" s="11"/>
      <c r="HDH61" s="47"/>
      <c r="HDM61" s="47"/>
      <c r="HDO61" s="11"/>
      <c r="HGV61" s="47"/>
      <c r="HHA61" s="47"/>
      <c r="HHC61" s="11"/>
      <c r="HKJ61" s="47"/>
      <c r="HKO61" s="47"/>
      <c r="HKQ61" s="11"/>
      <c r="HNX61" s="47"/>
      <c r="HOC61" s="47"/>
      <c r="HOE61" s="11"/>
      <c r="HRL61" s="47"/>
      <c r="HRQ61" s="47"/>
      <c r="HRS61" s="11"/>
      <c r="HUZ61" s="47"/>
      <c r="HVE61" s="47"/>
      <c r="HVG61" s="11"/>
      <c r="HYN61" s="47"/>
      <c r="HYS61" s="47"/>
      <c r="HYU61" s="11"/>
      <c r="ICB61" s="47"/>
      <c r="ICG61" s="47"/>
      <c r="ICI61" s="11"/>
      <c r="IFP61" s="47"/>
      <c r="IFU61" s="47"/>
      <c r="IFW61" s="11"/>
      <c r="IJD61" s="47"/>
      <c r="IJI61" s="47"/>
      <c r="IJK61" s="11"/>
      <c r="IMR61" s="47"/>
      <c r="IMW61" s="47"/>
      <c r="IMY61" s="11"/>
      <c r="IQF61" s="47"/>
      <c r="IQK61" s="47"/>
      <c r="IQM61" s="11"/>
      <c r="ITT61" s="47"/>
      <c r="ITY61" s="47"/>
      <c r="IUA61" s="11"/>
      <c r="IXH61" s="47"/>
      <c r="IXM61" s="47"/>
      <c r="IXO61" s="11"/>
      <c r="JAV61" s="47"/>
      <c r="JBA61" s="47"/>
      <c r="JBC61" s="11"/>
      <c r="JEJ61" s="47"/>
      <c r="JEO61" s="47"/>
      <c r="JEQ61" s="11"/>
      <c r="JHX61" s="47"/>
      <c r="JIC61" s="47"/>
      <c r="JIE61" s="11"/>
      <c r="JLL61" s="47"/>
      <c r="JLQ61" s="47"/>
      <c r="JLS61" s="11"/>
      <c r="JOZ61" s="47"/>
      <c r="JPE61" s="47"/>
      <c r="JPG61" s="11"/>
      <c r="JSN61" s="47"/>
      <c r="JSS61" s="47"/>
      <c r="JSU61" s="11"/>
      <c r="JWB61" s="47"/>
      <c r="JWG61" s="47"/>
      <c r="JWI61" s="11"/>
      <c r="JZP61" s="47"/>
      <c r="JZU61" s="47"/>
      <c r="JZW61" s="11"/>
      <c r="KDD61" s="47"/>
      <c r="KDI61" s="47"/>
      <c r="KDK61" s="11"/>
      <c r="KGR61" s="47"/>
      <c r="KGW61" s="47"/>
      <c r="KGY61" s="11"/>
      <c r="KKF61" s="47"/>
      <c r="KKK61" s="47"/>
      <c r="KKM61" s="11"/>
      <c r="KNT61" s="47"/>
      <c r="KNY61" s="47"/>
      <c r="KOA61" s="11"/>
      <c r="KRH61" s="47"/>
      <c r="KRM61" s="47"/>
      <c r="KRO61" s="11"/>
      <c r="KUV61" s="47"/>
      <c r="KVA61" s="47"/>
      <c r="KVC61" s="11"/>
      <c r="KYJ61" s="47"/>
      <c r="KYO61" s="47"/>
      <c r="KYQ61" s="11"/>
      <c r="LBX61" s="47"/>
      <c r="LCC61" s="47"/>
      <c r="LCE61" s="11"/>
      <c r="LFL61" s="47"/>
      <c r="LFQ61" s="47"/>
      <c r="LFS61" s="11"/>
      <c r="LIZ61" s="47"/>
      <c r="LJE61" s="47"/>
      <c r="LJG61" s="11"/>
      <c r="LMN61" s="47"/>
      <c r="LMS61" s="47"/>
      <c r="LMU61" s="11"/>
      <c r="LQB61" s="47"/>
      <c r="LQG61" s="47"/>
      <c r="LQI61" s="11"/>
      <c r="LTP61" s="47"/>
      <c r="LTU61" s="47"/>
      <c r="LTW61" s="11"/>
      <c r="LXD61" s="47"/>
      <c r="LXI61" s="47"/>
      <c r="LXK61" s="11"/>
      <c r="MAR61" s="47"/>
      <c r="MAW61" s="47"/>
      <c r="MAY61" s="11"/>
      <c r="MEF61" s="47"/>
      <c r="MEK61" s="47"/>
      <c r="MEM61" s="11"/>
      <c r="MHT61" s="47"/>
      <c r="MHY61" s="47"/>
      <c r="MIA61" s="11"/>
      <c r="MLH61" s="47"/>
      <c r="MLM61" s="47"/>
      <c r="MLO61" s="11"/>
      <c r="MOV61" s="47"/>
      <c r="MPA61" s="47"/>
      <c r="MPC61" s="11"/>
      <c r="MSJ61" s="47"/>
      <c r="MSO61" s="47"/>
      <c r="MSQ61" s="11"/>
      <c r="MVX61" s="47"/>
      <c r="MWC61" s="47"/>
      <c r="MWE61" s="11"/>
      <c r="MZL61" s="47"/>
      <c r="MZQ61" s="47"/>
      <c r="MZS61" s="11"/>
      <c r="NCZ61" s="47"/>
      <c r="NDE61" s="47"/>
      <c r="NDG61" s="11"/>
      <c r="NGN61" s="47"/>
      <c r="NGS61" s="47"/>
      <c r="NGU61" s="11"/>
      <c r="NKB61" s="47"/>
      <c r="NKG61" s="47"/>
      <c r="NKI61" s="11"/>
      <c r="NNP61" s="47"/>
      <c r="NNU61" s="47"/>
      <c r="NNW61" s="11"/>
      <c r="NRD61" s="47"/>
      <c r="NRI61" s="47"/>
      <c r="NRK61" s="11"/>
      <c r="NUR61" s="47"/>
      <c r="NUW61" s="47"/>
      <c r="NUY61" s="11"/>
      <c r="NYF61" s="47"/>
      <c r="NYK61" s="47"/>
      <c r="NYM61" s="11"/>
      <c r="OBT61" s="47"/>
      <c r="OBY61" s="47"/>
      <c r="OCA61" s="11"/>
      <c r="OFH61" s="47"/>
      <c r="OFM61" s="47"/>
      <c r="OFO61" s="11"/>
      <c r="OIV61" s="47"/>
      <c r="OJA61" s="47"/>
      <c r="OJC61" s="11"/>
      <c r="OMJ61" s="47"/>
      <c r="OMO61" s="47"/>
      <c r="OMQ61" s="11"/>
      <c r="OPX61" s="47"/>
      <c r="OQC61" s="47"/>
      <c r="OQE61" s="11"/>
      <c r="OTL61" s="47"/>
      <c r="OTQ61" s="47"/>
      <c r="OTS61" s="11"/>
      <c r="OWZ61" s="47"/>
      <c r="OXE61" s="47"/>
      <c r="OXG61" s="11"/>
      <c r="PAN61" s="47"/>
      <c r="PAS61" s="47"/>
      <c r="PAU61" s="11"/>
      <c r="PEB61" s="47"/>
      <c r="PEG61" s="47"/>
      <c r="PEI61" s="11"/>
      <c r="PHP61" s="47"/>
      <c r="PHU61" s="47"/>
      <c r="PHW61" s="11"/>
      <c r="PLD61" s="47"/>
      <c r="PLI61" s="47"/>
      <c r="PLK61" s="11"/>
      <c r="POR61" s="47"/>
      <c r="POW61" s="47"/>
      <c r="POY61" s="11"/>
      <c r="PSF61" s="47"/>
      <c r="PSK61" s="47"/>
      <c r="PSM61" s="11"/>
      <c r="PVT61" s="47"/>
      <c r="PVY61" s="47"/>
      <c r="PWA61" s="11"/>
      <c r="PZH61" s="47"/>
      <c r="PZM61" s="47"/>
      <c r="PZO61" s="11"/>
      <c r="QCV61" s="47"/>
      <c r="QDA61" s="47"/>
      <c r="QDC61" s="11"/>
      <c r="QGJ61" s="47"/>
      <c r="QGO61" s="47"/>
      <c r="QGQ61" s="11"/>
      <c r="QJX61" s="47"/>
      <c r="QKC61" s="47"/>
      <c r="QKE61" s="11"/>
      <c r="QNL61" s="47"/>
      <c r="QNQ61" s="47"/>
      <c r="QNS61" s="11"/>
      <c r="QQZ61" s="47"/>
      <c r="QRE61" s="47"/>
      <c r="QRG61" s="11"/>
      <c r="QUN61" s="47"/>
      <c r="QUS61" s="47"/>
      <c r="QUU61" s="11"/>
      <c r="QYB61" s="47"/>
      <c r="QYG61" s="47"/>
      <c r="QYI61" s="11"/>
      <c r="RBP61" s="47"/>
      <c r="RBU61" s="47"/>
      <c r="RBW61" s="11"/>
      <c r="RFD61" s="47"/>
      <c r="RFI61" s="47"/>
      <c r="RFK61" s="11"/>
      <c r="RIR61" s="47"/>
      <c r="RIW61" s="47"/>
      <c r="RIY61" s="11"/>
      <c r="RMF61" s="47"/>
      <c r="RMK61" s="47"/>
      <c r="RMM61" s="11"/>
      <c r="RPT61" s="47"/>
      <c r="RPY61" s="47"/>
      <c r="RQA61" s="11"/>
      <c r="RTH61" s="47"/>
      <c r="RTM61" s="47"/>
      <c r="RTO61" s="11"/>
      <c r="RWV61" s="47"/>
      <c r="RXA61" s="47"/>
      <c r="RXC61" s="11"/>
      <c r="SAJ61" s="47"/>
      <c r="SAO61" s="47"/>
      <c r="SAQ61" s="11"/>
      <c r="SDX61" s="47"/>
      <c r="SEC61" s="47"/>
      <c r="SEE61" s="11"/>
      <c r="SHL61" s="47"/>
      <c r="SHQ61" s="47"/>
      <c r="SHS61" s="11"/>
      <c r="SKZ61" s="47"/>
      <c r="SLE61" s="47"/>
      <c r="SLG61" s="11"/>
      <c r="SON61" s="47"/>
      <c r="SOS61" s="47"/>
      <c r="SOU61" s="11"/>
      <c r="SSB61" s="47"/>
      <c r="SSG61" s="47"/>
      <c r="SSI61" s="11"/>
      <c r="SVP61" s="47"/>
      <c r="SVU61" s="47"/>
      <c r="SVW61" s="11"/>
      <c r="SZD61" s="47"/>
      <c r="SZI61" s="47"/>
      <c r="SZK61" s="11"/>
      <c r="TCR61" s="47"/>
      <c r="TCW61" s="47"/>
      <c r="TCY61" s="11"/>
      <c r="TGF61" s="47"/>
      <c r="TGK61" s="47"/>
      <c r="TGM61" s="11"/>
      <c r="TJT61" s="47"/>
      <c r="TJY61" s="47"/>
      <c r="TKA61" s="11"/>
      <c r="TNH61" s="47"/>
      <c r="TNM61" s="47"/>
      <c r="TNO61" s="11"/>
      <c r="TQV61" s="47"/>
      <c r="TRA61" s="47"/>
      <c r="TRC61" s="11"/>
      <c r="TUJ61" s="47"/>
      <c r="TUO61" s="47"/>
      <c r="TUQ61" s="11"/>
      <c r="TXX61" s="47"/>
      <c r="TYC61" s="47"/>
      <c r="TYE61" s="11"/>
      <c r="UBL61" s="47"/>
      <c r="UBQ61" s="47"/>
      <c r="UBS61" s="11"/>
      <c r="UEZ61" s="47"/>
      <c r="UFE61" s="47"/>
      <c r="UFG61" s="11"/>
      <c r="UIN61" s="47"/>
      <c r="UIS61" s="47"/>
      <c r="UIU61" s="11"/>
      <c r="UMB61" s="47"/>
      <c r="UMG61" s="47"/>
      <c r="UMI61" s="11"/>
      <c r="UPP61" s="47"/>
      <c r="UPU61" s="47"/>
      <c r="UPW61" s="11"/>
      <c r="UTD61" s="47"/>
      <c r="UTI61" s="47"/>
      <c r="UTK61" s="11"/>
      <c r="UWR61" s="47"/>
      <c r="UWW61" s="47"/>
      <c r="UWY61" s="11"/>
      <c r="VAF61" s="47"/>
      <c r="VAK61" s="47"/>
      <c r="VAM61" s="11"/>
      <c r="VDT61" s="47"/>
      <c r="VDY61" s="47"/>
      <c r="VEA61" s="11"/>
      <c r="VHH61" s="47"/>
      <c r="VHM61" s="47"/>
      <c r="VHO61" s="11"/>
      <c r="VKV61" s="47"/>
      <c r="VLA61" s="47"/>
      <c r="VLC61" s="11"/>
      <c r="VOJ61" s="47"/>
      <c r="VOO61" s="47"/>
      <c r="VOQ61" s="11"/>
      <c r="VRX61" s="47"/>
      <c r="VSC61" s="47"/>
      <c r="VSE61" s="11"/>
      <c r="VVL61" s="47"/>
      <c r="VVQ61" s="47"/>
      <c r="VVS61" s="11"/>
      <c r="VYZ61" s="47"/>
      <c r="VZE61" s="47"/>
      <c r="VZG61" s="11"/>
      <c r="WCN61" s="47"/>
      <c r="WCS61" s="47"/>
      <c r="WCU61" s="11"/>
      <c r="WGB61" s="47"/>
      <c r="WGG61" s="47"/>
      <c r="WGI61" s="11"/>
      <c r="WJP61" s="47"/>
      <c r="WJU61" s="47"/>
      <c r="WJW61" s="11"/>
      <c r="WND61" s="47"/>
      <c r="WNI61" s="47"/>
      <c r="WNK61" s="11"/>
      <c r="WQR61" s="47"/>
      <c r="WQW61" s="47"/>
      <c r="WQY61" s="11"/>
      <c r="WUF61" s="47"/>
      <c r="WUK61" s="47"/>
      <c r="WUM61" s="11"/>
      <c r="WXT61" s="47"/>
      <c r="WXY61" s="47"/>
      <c r="WYA61" s="11"/>
      <c r="XBH61" s="47"/>
      <c r="XBM61" s="47"/>
      <c r="XBO61" s="11"/>
      <c r="XEV61" s="47"/>
      <c r="XFA61" s="47"/>
      <c r="XFC61" s="11"/>
    </row>
    <row r="62" spans="3:1019 1104:2031 2116:3043 3128:4055 4140:5067 5152:6079 6164:7091 7176:8188 8193:9207 9292:10219 10304:11231 11316:12243 12328:13255 13340:14267 14352:15279 15364:16383" s="10" customFormat="1" ht="14.65" customHeight="1">
      <c r="C62" s="17" t="s">
        <v>1004</v>
      </c>
      <c r="E62" s="47"/>
      <c r="G62" s="11" t="str">
        <f t="shared" si="33"/>
        <v>тыс. руб.</v>
      </c>
      <c r="I62" s="23">
        <f t="shared" ca="1" si="34"/>
        <v>190941.3744427941</v>
      </c>
      <c r="L62" s="10">
        <f t="shared" ref="L62:AQ62" ca="1" si="38" xml:space="preserve"> (Property_Tax)</f>
        <v>0</v>
      </c>
      <c r="M62" s="10">
        <f t="shared" ca="1" si="38"/>
        <v>0</v>
      </c>
      <c r="N62" s="10">
        <f t="shared" ca="1" si="38"/>
        <v>0</v>
      </c>
      <c r="O62" s="10">
        <f t="shared" ca="1" si="38"/>
        <v>0</v>
      </c>
      <c r="P62" s="10">
        <f t="shared" ca="1" si="38"/>
        <v>0</v>
      </c>
      <c r="Q62" s="10">
        <f t="shared" ca="1" si="38"/>
        <v>0</v>
      </c>
      <c r="R62" s="10">
        <f t="shared" ca="1" si="38"/>
        <v>0</v>
      </c>
      <c r="S62" s="10">
        <f t="shared" ca="1" si="38"/>
        <v>0</v>
      </c>
      <c r="T62" s="10">
        <f t="shared" ca="1" si="38"/>
        <v>0</v>
      </c>
      <c r="U62" s="10">
        <f t="shared" ca="1" si="38"/>
        <v>0</v>
      </c>
      <c r="V62" s="10">
        <f t="shared" ca="1" si="38"/>
        <v>0</v>
      </c>
      <c r="W62" s="10">
        <f t="shared" ca="1" si="38"/>
        <v>0</v>
      </c>
      <c r="X62" s="10">
        <f t="shared" ca="1" si="38"/>
        <v>0</v>
      </c>
      <c r="Y62" s="10">
        <f t="shared" ca="1" si="38"/>
        <v>0</v>
      </c>
      <c r="Z62" s="10">
        <f t="shared" ca="1" si="38"/>
        <v>0</v>
      </c>
      <c r="AA62" s="10">
        <f t="shared" ca="1" si="38"/>
        <v>0</v>
      </c>
      <c r="AB62" s="10">
        <f t="shared" ca="1" si="38"/>
        <v>0</v>
      </c>
      <c r="AC62" s="10">
        <f t="shared" ca="1" si="38"/>
        <v>0</v>
      </c>
      <c r="AD62" s="10">
        <f t="shared" ca="1" si="38"/>
        <v>0</v>
      </c>
      <c r="AE62" s="10">
        <f t="shared" ca="1" si="38"/>
        <v>0</v>
      </c>
      <c r="AF62" s="10">
        <f t="shared" ca="1" si="38"/>
        <v>0</v>
      </c>
      <c r="AG62" s="10">
        <f t="shared" ca="1" si="38"/>
        <v>0</v>
      </c>
      <c r="AH62" s="10">
        <f t="shared" ca="1" si="38"/>
        <v>0</v>
      </c>
      <c r="AI62" s="10">
        <f t="shared" ca="1" si="38"/>
        <v>0</v>
      </c>
      <c r="AJ62" s="10">
        <f t="shared" ca="1" si="38"/>
        <v>0</v>
      </c>
      <c r="AK62" s="10">
        <f t="shared" ca="1" si="38"/>
        <v>0</v>
      </c>
      <c r="AL62" s="10">
        <f t="shared" ca="1" si="38"/>
        <v>0</v>
      </c>
      <c r="AM62" s="10">
        <f t="shared" ca="1" si="38"/>
        <v>0</v>
      </c>
      <c r="AN62" s="10">
        <f t="shared" ca="1" si="38"/>
        <v>0</v>
      </c>
      <c r="AO62" s="10">
        <f t="shared" ca="1" si="38"/>
        <v>0</v>
      </c>
      <c r="AP62" s="10">
        <f t="shared" ca="1" si="38"/>
        <v>0</v>
      </c>
      <c r="AQ62" s="10">
        <f t="shared" ca="1" si="38"/>
        <v>0</v>
      </c>
      <c r="AR62" s="10">
        <f t="shared" ref="AR62:BW62" ca="1" si="39" xml:space="preserve"> (Property_Tax)</f>
        <v>0</v>
      </c>
      <c r="AS62" s="10">
        <f t="shared" ca="1" si="39"/>
        <v>0</v>
      </c>
      <c r="AT62" s="10">
        <f t="shared" ca="1" si="39"/>
        <v>0</v>
      </c>
      <c r="AU62" s="10">
        <f t="shared" ca="1" si="39"/>
        <v>0</v>
      </c>
      <c r="AV62" s="10">
        <f t="shared" ca="1" si="39"/>
        <v>0</v>
      </c>
      <c r="AW62" s="10">
        <f t="shared" ca="1" si="39"/>
        <v>0</v>
      </c>
      <c r="AX62" s="10">
        <f t="shared" ca="1" si="39"/>
        <v>0</v>
      </c>
      <c r="AY62" s="10">
        <f t="shared" ca="1" si="39"/>
        <v>0</v>
      </c>
      <c r="AZ62" s="10">
        <f t="shared" ca="1" si="39"/>
        <v>0</v>
      </c>
      <c r="BA62" s="10">
        <f t="shared" ca="1" si="39"/>
        <v>0</v>
      </c>
      <c r="BB62" s="10">
        <f t="shared" ca="1" si="39"/>
        <v>0</v>
      </c>
      <c r="BC62" s="10">
        <f t="shared" ca="1" si="39"/>
        <v>0</v>
      </c>
      <c r="BD62" s="10">
        <f t="shared" ca="1" si="39"/>
        <v>0</v>
      </c>
      <c r="BE62" s="10">
        <f t="shared" ca="1" si="39"/>
        <v>0</v>
      </c>
      <c r="BF62" s="10">
        <f t="shared" ca="1" si="39"/>
        <v>0</v>
      </c>
      <c r="BG62" s="10">
        <f t="shared" ca="1" si="39"/>
        <v>0</v>
      </c>
      <c r="BH62" s="10">
        <f t="shared" ca="1" si="39"/>
        <v>0</v>
      </c>
      <c r="BI62" s="10">
        <f t="shared" ca="1" si="39"/>
        <v>0</v>
      </c>
      <c r="BJ62" s="10">
        <f t="shared" ca="1" si="39"/>
        <v>0</v>
      </c>
      <c r="BK62" s="10">
        <f t="shared" ca="1" si="39"/>
        <v>0</v>
      </c>
      <c r="BL62" s="10">
        <f t="shared" ca="1" si="39"/>
        <v>0</v>
      </c>
      <c r="BM62" s="10">
        <f t="shared" ca="1" si="39"/>
        <v>0</v>
      </c>
      <c r="BN62" s="10">
        <f t="shared" ca="1" si="39"/>
        <v>0</v>
      </c>
      <c r="BO62" s="10">
        <f t="shared" ca="1" si="39"/>
        <v>0</v>
      </c>
      <c r="BP62" s="10">
        <f t="shared" ca="1" si="39"/>
        <v>0</v>
      </c>
      <c r="BQ62" s="10">
        <f t="shared" ca="1" si="39"/>
        <v>0</v>
      </c>
      <c r="BR62" s="10">
        <f t="shared" ca="1" si="39"/>
        <v>10094.087260740896</v>
      </c>
      <c r="BS62" s="10">
        <f t="shared" ca="1" si="39"/>
        <v>9965.5001618779552</v>
      </c>
      <c r="BT62" s="10">
        <f t="shared" ca="1" si="39"/>
        <v>9703.4054225482178</v>
      </c>
      <c r="BU62" s="10">
        <f t="shared" ca="1" si="39"/>
        <v>9576.5635215998773</v>
      </c>
      <c r="BV62" s="10">
        <f t="shared" ca="1" si="39"/>
        <v>9553.5647153839673</v>
      </c>
      <c r="BW62" s="10">
        <f t="shared" ca="1" si="39"/>
        <v>9425.3289473922378</v>
      </c>
      <c r="BX62" s="10">
        <f t="shared" ref="BX62:CO62" ca="1" si="40" xml:space="preserve"> (Property_Tax)</f>
        <v>9119.9002182683926</v>
      </c>
      <c r="BY62" s="10">
        <f t="shared" ca="1" si="40"/>
        <v>9094.0430299100863</v>
      </c>
      <c r="BZ62" s="10">
        <f t="shared" ca="1" si="40"/>
        <v>9065.3904698373644</v>
      </c>
      <c r="CA62" s="10">
        <f t="shared" ca="1" si="40"/>
        <v>8936.8033709744232</v>
      </c>
      <c r="CB62" s="10">
        <f t="shared" ca="1" si="40"/>
        <v>8616.733309674275</v>
      </c>
      <c r="CC62" s="10">
        <f t="shared" ca="1" si="40"/>
        <v>8585.2853778871431</v>
      </c>
      <c r="CD62" s="10">
        <f t="shared" ca="1" si="40"/>
        <v>8551.0420743855975</v>
      </c>
      <c r="CE62" s="10">
        <f t="shared" ca="1" si="40"/>
        <v>8422.4549755226581</v>
      </c>
      <c r="CF62" s="10">
        <f t="shared" ca="1" si="40"/>
        <v>8113.5664010801556</v>
      </c>
      <c r="CG62" s="10">
        <f t="shared" ca="1" si="40"/>
        <v>8076.5277258642009</v>
      </c>
      <c r="CH62" s="10">
        <f t="shared" ca="1" si="40"/>
        <v>8036.6936789338333</v>
      </c>
      <c r="CI62" s="10">
        <f t="shared" ca="1" si="40"/>
        <v>7908.106580070893</v>
      </c>
      <c r="CJ62" s="10">
        <f t="shared" ca="1" si="40"/>
        <v>7673.9350073747337</v>
      </c>
      <c r="CK62" s="10">
        <f t="shared" ca="1" si="40"/>
        <v>7547.0931064263923</v>
      </c>
      <c r="CL62" s="10">
        <f t="shared" ca="1" si="40"/>
        <v>7501.7924275162686</v>
      </c>
      <c r="CM62" s="10">
        <f t="shared" ca="1" si="40"/>
        <v>7373.5566595245382</v>
      </c>
      <c r="CN62" s="10">
        <f t="shared" ca="1" si="40"/>
        <v>7107.2325838919178</v>
      </c>
      <c r="CO62" s="10">
        <f t="shared" ca="1" si="40"/>
        <v>7059.0124218183173</v>
      </c>
      <c r="CS62" s="47"/>
      <c r="CU62" s="11"/>
      <c r="GB62" s="47"/>
      <c r="GG62" s="47"/>
      <c r="GI62" s="11"/>
      <c r="JP62" s="47"/>
      <c r="JU62" s="47"/>
      <c r="JW62" s="11"/>
      <c r="ND62" s="47"/>
      <c r="NI62" s="47"/>
      <c r="NK62" s="11"/>
      <c r="QR62" s="47"/>
      <c r="QW62" s="47"/>
      <c r="QY62" s="11"/>
      <c r="UF62" s="47"/>
      <c r="UK62" s="47"/>
      <c r="UM62" s="11"/>
      <c r="XT62" s="47"/>
      <c r="XY62" s="47"/>
      <c r="YA62" s="11"/>
      <c r="ABH62" s="47"/>
      <c r="ABM62" s="47"/>
      <c r="ABO62" s="11"/>
      <c r="AEV62" s="47"/>
      <c r="AFA62" s="47"/>
      <c r="AFC62" s="11"/>
      <c r="AIJ62" s="47"/>
      <c r="AIO62" s="47"/>
      <c r="AIQ62" s="11"/>
      <c r="ALX62" s="47"/>
      <c r="AMC62" s="47"/>
      <c r="AME62" s="11"/>
      <c r="APL62" s="47"/>
      <c r="APQ62" s="47"/>
      <c r="APS62" s="11"/>
      <c r="ASZ62" s="47"/>
      <c r="ATE62" s="47"/>
      <c r="ATG62" s="11"/>
      <c r="AWN62" s="47"/>
      <c r="AWS62" s="47"/>
      <c r="AWU62" s="11"/>
      <c r="BAB62" s="47"/>
      <c r="BAG62" s="47"/>
      <c r="BAI62" s="11"/>
      <c r="BDP62" s="47"/>
      <c r="BDU62" s="47"/>
      <c r="BDW62" s="11"/>
      <c r="BHD62" s="47"/>
      <c r="BHI62" s="47"/>
      <c r="BHK62" s="11"/>
      <c r="BKR62" s="47"/>
      <c r="BKW62" s="47"/>
      <c r="BKY62" s="11"/>
      <c r="BOF62" s="47"/>
      <c r="BOK62" s="47"/>
      <c r="BOM62" s="11"/>
      <c r="BRT62" s="47"/>
      <c r="BRY62" s="47"/>
      <c r="BSA62" s="11"/>
      <c r="BVH62" s="47"/>
      <c r="BVM62" s="47"/>
      <c r="BVO62" s="11"/>
      <c r="BYV62" s="47"/>
      <c r="BZA62" s="47"/>
      <c r="BZC62" s="11"/>
      <c r="CCJ62" s="47"/>
      <c r="CCO62" s="47"/>
      <c r="CCQ62" s="11"/>
      <c r="CFX62" s="47"/>
      <c r="CGC62" s="47"/>
      <c r="CGE62" s="11"/>
      <c r="CJL62" s="47"/>
      <c r="CJQ62" s="47"/>
      <c r="CJS62" s="11"/>
      <c r="CMZ62" s="47"/>
      <c r="CNE62" s="47"/>
      <c r="CNG62" s="11"/>
      <c r="CQN62" s="47"/>
      <c r="CQS62" s="47"/>
      <c r="CQU62" s="11"/>
      <c r="CUB62" s="47"/>
      <c r="CUG62" s="47"/>
      <c r="CUI62" s="11"/>
      <c r="CXP62" s="47"/>
      <c r="CXU62" s="47"/>
      <c r="CXW62" s="11"/>
      <c r="DBD62" s="47"/>
      <c r="DBI62" s="47"/>
      <c r="DBK62" s="11"/>
      <c r="DER62" s="47"/>
      <c r="DEW62" s="47"/>
      <c r="DEY62" s="11"/>
      <c r="DIF62" s="47"/>
      <c r="DIK62" s="47"/>
      <c r="DIM62" s="11"/>
      <c r="DLT62" s="47"/>
      <c r="DLY62" s="47"/>
      <c r="DMA62" s="11"/>
      <c r="DPH62" s="47"/>
      <c r="DPM62" s="47"/>
      <c r="DPO62" s="11"/>
      <c r="DSV62" s="47"/>
      <c r="DTA62" s="47"/>
      <c r="DTC62" s="11"/>
      <c r="DWJ62" s="47"/>
      <c r="DWO62" s="47"/>
      <c r="DWQ62" s="11"/>
      <c r="DZX62" s="47"/>
      <c r="EAC62" s="47"/>
      <c r="EAE62" s="11"/>
      <c r="EDL62" s="47"/>
      <c r="EDQ62" s="47"/>
      <c r="EDS62" s="11"/>
      <c r="EGZ62" s="47"/>
      <c r="EHE62" s="47"/>
      <c r="EHG62" s="11"/>
      <c r="EKN62" s="47"/>
      <c r="EKS62" s="47"/>
      <c r="EKU62" s="11"/>
      <c r="EOB62" s="47"/>
      <c r="EOG62" s="47"/>
      <c r="EOI62" s="11"/>
      <c r="ERP62" s="47"/>
      <c r="ERU62" s="47"/>
      <c r="ERW62" s="11"/>
      <c r="EVD62" s="47"/>
      <c r="EVI62" s="47"/>
      <c r="EVK62" s="11"/>
      <c r="EYR62" s="47"/>
      <c r="EYW62" s="47"/>
      <c r="EYY62" s="11"/>
      <c r="FCF62" s="47"/>
      <c r="FCK62" s="47"/>
      <c r="FCM62" s="11"/>
      <c r="FFT62" s="47"/>
      <c r="FFY62" s="47"/>
      <c r="FGA62" s="11"/>
      <c r="FJH62" s="47"/>
      <c r="FJM62" s="47"/>
      <c r="FJO62" s="11"/>
      <c r="FMV62" s="47"/>
      <c r="FNA62" s="47"/>
      <c r="FNC62" s="11"/>
      <c r="FQJ62" s="47"/>
      <c r="FQO62" s="47"/>
      <c r="FQQ62" s="11"/>
      <c r="FTX62" s="47"/>
      <c r="FUC62" s="47"/>
      <c r="FUE62" s="11"/>
      <c r="FXL62" s="47"/>
      <c r="FXQ62" s="47"/>
      <c r="FXS62" s="11"/>
      <c r="GAZ62" s="47"/>
      <c r="GBE62" s="47"/>
      <c r="GBG62" s="11"/>
      <c r="GEN62" s="47"/>
      <c r="GES62" s="47"/>
      <c r="GEU62" s="11"/>
      <c r="GIB62" s="47"/>
      <c r="GIG62" s="47"/>
      <c r="GII62" s="11"/>
      <c r="GLP62" s="47"/>
      <c r="GLU62" s="47"/>
      <c r="GLW62" s="11"/>
      <c r="GPD62" s="47"/>
      <c r="GPI62" s="47"/>
      <c r="GPK62" s="11"/>
      <c r="GSR62" s="47"/>
      <c r="GSW62" s="47"/>
      <c r="GSY62" s="11"/>
      <c r="GWF62" s="47"/>
      <c r="GWK62" s="47"/>
      <c r="GWM62" s="11"/>
      <c r="GZT62" s="47"/>
      <c r="GZY62" s="47"/>
      <c r="HAA62" s="11"/>
      <c r="HDH62" s="47"/>
      <c r="HDM62" s="47"/>
      <c r="HDO62" s="11"/>
      <c r="HGV62" s="47"/>
      <c r="HHA62" s="47"/>
      <c r="HHC62" s="11"/>
      <c r="HKJ62" s="47"/>
      <c r="HKO62" s="47"/>
      <c r="HKQ62" s="11"/>
      <c r="HNX62" s="47"/>
      <c r="HOC62" s="47"/>
      <c r="HOE62" s="11"/>
      <c r="HRL62" s="47"/>
      <c r="HRQ62" s="47"/>
      <c r="HRS62" s="11"/>
      <c r="HUZ62" s="47"/>
      <c r="HVE62" s="47"/>
      <c r="HVG62" s="11"/>
      <c r="HYN62" s="47"/>
      <c r="HYS62" s="47"/>
      <c r="HYU62" s="11"/>
      <c r="ICB62" s="47"/>
      <c r="ICG62" s="47"/>
      <c r="ICI62" s="11"/>
      <c r="IFP62" s="47"/>
      <c r="IFU62" s="47"/>
      <c r="IFW62" s="11"/>
      <c r="IJD62" s="47"/>
      <c r="IJI62" s="47"/>
      <c r="IJK62" s="11"/>
      <c r="IMR62" s="47"/>
      <c r="IMW62" s="47"/>
      <c r="IMY62" s="11"/>
      <c r="IQF62" s="47"/>
      <c r="IQK62" s="47"/>
      <c r="IQM62" s="11"/>
      <c r="ITT62" s="47"/>
      <c r="ITY62" s="47"/>
      <c r="IUA62" s="11"/>
      <c r="IXH62" s="47"/>
      <c r="IXM62" s="47"/>
      <c r="IXO62" s="11"/>
      <c r="JAV62" s="47"/>
      <c r="JBA62" s="47"/>
      <c r="JBC62" s="11"/>
      <c r="JEJ62" s="47"/>
      <c r="JEO62" s="47"/>
      <c r="JEQ62" s="11"/>
      <c r="JHX62" s="47"/>
      <c r="JIC62" s="47"/>
      <c r="JIE62" s="11"/>
      <c r="JLL62" s="47"/>
      <c r="JLQ62" s="47"/>
      <c r="JLS62" s="11"/>
      <c r="JOZ62" s="47"/>
      <c r="JPE62" s="47"/>
      <c r="JPG62" s="11"/>
      <c r="JSN62" s="47"/>
      <c r="JSS62" s="47"/>
      <c r="JSU62" s="11"/>
      <c r="JWB62" s="47"/>
      <c r="JWG62" s="47"/>
      <c r="JWI62" s="11"/>
      <c r="JZP62" s="47"/>
      <c r="JZU62" s="47"/>
      <c r="JZW62" s="11"/>
      <c r="KDD62" s="47"/>
      <c r="KDI62" s="47"/>
      <c r="KDK62" s="11"/>
      <c r="KGR62" s="47"/>
      <c r="KGW62" s="47"/>
      <c r="KGY62" s="11"/>
      <c r="KKF62" s="47"/>
      <c r="KKK62" s="47"/>
      <c r="KKM62" s="11"/>
      <c r="KNT62" s="47"/>
      <c r="KNY62" s="47"/>
      <c r="KOA62" s="11"/>
      <c r="KRH62" s="47"/>
      <c r="KRM62" s="47"/>
      <c r="KRO62" s="11"/>
      <c r="KUV62" s="47"/>
      <c r="KVA62" s="47"/>
      <c r="KVC62" s="11"/>
      <c r="KYJ62" s="47"/>
      <c r="KYO62" s="47"/>
      <c r="KYQ62" s="11"/>
      <c r="LBX62" s="47"/>
      <c r="LCC62" s="47"/>
      <c r="LCE62" s="11"/>
      <c r="LFL62" s="47"/>
      <c r="LFQ62" s="47"/>
      <c r="LFS62" s="11"/>
      <c r="LIZ62" s="47"/>
      <c r="LJE62" s="47"/>
      <c r="LJG62" s="11"/>
      <c r="LMN62" s="47"/>
      <c r="LMS62" s="47"/>
      <c r="LMU62" s="11"/>
      <c r="LQB62" s="47"/>
      <c r="LQG62" s="47"/>
      <c r="LQI62" s="11"/>
      <c r="LTP62" s="47"/>
      <c r="LTU62" s="47"/>
      <c r="LTW62" s="11"/>
      <c r="LXD62" s="47"/>
      <c r="LXI62" s="47"/>
      <c r="LXK62" s="11"/>
      <c r="MAR62" s="47"/>
      <c r="MAW62" s="47"/>
      <c r="MAY62" s="11"/>
      <c r="MEF62" s="47"/>
      <c r="MEK62" s="47"/>
      <c r="MEM62" s="11"/>
      <c r="MHT62" s="47"/>
      <c r="MHY62" s="47"/>
      <c r="MIA62" s="11"/>
      <c r="MLH62" s="47"/>
      <c r="MLM62" s="47"/>
      <c r="MLO62" s="11"/>
      <c r="MOV62" s="47"/>
      <c r="MPA62" s="47"/>
      <c r="MPC62" s="11"/>
      <c r="MSJ62" s="47"/>
      <c r="MSO62" s="47"/>
      <c r="MSQ62" s="11"/>
      <c r="MVX62" s="47"/>
      <c r="MWC62" s="47"/>
      <c r="MWE62" s="11"/>
      <c r="MZL62" s="47"/>
      <c r="MZQ62" s="47"/>
      <c r="MZS62" s="11"/>
      <c r="NCZ62" s="47"/>
      <c r="NDE62" s="47"/>
      <c r="NDG62" s="11"/>
      <c r="NGN62" s="47"/>
      <c r="NGS62" s="47"/>
      <c r="NGU62" s="11"/>
      <c r="NKB62" s="47"/>
      <c r="NKG62" s="47"/>
      <c r="NKI62" s="11"/>
      <c r="NNP62" s="47"/>
      <c r="NNU62" s="47"/>
      <c r="NNW62" s="11"/>
      <c r="NRD62" s="47"/>
      <c r="NRI62" s="47"/>
      <c r="NRK62" s="11"/>
      <c r="NUR62" s="47"/>
      <c r="NUW62" s="47"/>
      <c r="NUY62" s="11"/>
      <c r="NYF62" s="47"/>
      <c r="NYK62" s="47"/>
      <c r="NYM62" s="11"/>
      <c r="OBT62" s="47"/>
      <c r="OBY62" s="47"/>
      <c r="OCA62" s="11"/>
      <c r="OFH62" s="47"/>
      <c r="OFM62" s="47"/>
      <c r="OFO62" s="11"/>
      <c r="OIV62" s="47"/>
      <c r="OJA62" s="47"/>
      <c r="OJC62" s="11"/>
      <c r="OMJ62" s="47"/>
      <c r="OMO62" s="47"/>
      <c r="OMQ62" s="11"/>
      <c r="OPX62" s="47"/>
      <c r="OQC62" s="47"/>
      <c r="OQE62" s="11"/>
      <c r="OTL62" s="47"/>
      <c r="OTQ62" s="47"/>
      <c r="OTS62" s="11"/>
      <c r="OWZ62" s="47"/>
      <c r="OXE62" s="47"/>
      <c r="OXG62" s="11"/>
      <c r="PAN62" s="47"/>
      <c r="PAS62" s="47"/>
      <c r="PAU62" s="11"/>
      <c r="PEB62" s="47"/>
      <c r="PEG62" s="47"/>
      <c r="PEI62" s="11"/>
      <c r="PHP62" s="47"/>
      <c r="PHU62" s="47"/>
      <c r="PHW62" s="11"/>
      <c r="PLD62" s="47"/>
      <c r="PLI62" s="47"/>
      <c r="PLK62" s="11"/>
      <c r="POR62" s="47"/>
      <c r="POW62" s="47"/>
      <c r="POY62" s="11"/>
      <c r="PSF62" s="47"/>
      <c r="PSK62" s="47"/>
      <c r="PSM62" s="11"/>
      <c r="PVT62" s="47"/>
      <c r="PVY62" s="47"/>
      <c r="PWA62" s="11"/>
      <c r="PZH62" s="47"/>
      <c r="PZM62" s="47"/>
      <c r="PZO62" s="11"/>
      <c r="QCV62" s="47"/>
      <c r="QDA62" s="47"/>
      <c r="QDC62" s="11"/>
      <c r="QGJ62" s="47"/>
      <c r="QGO62" s="47"/>
      <c r="QGQ62" s="11"/>
      <c r="QJX62" s="47"/>
      <c r="QKC62" s="47"/>
      <c r="QKE62" s="11"/>
      <c r="QNL62" s="47"/>
      <c r="QNQ62" s="47"/>
      <c r="QNS62" s="11"/>
      <c r="QQZ62" s="47"/>
      <c r="QRE62" s="47"/>
      <c r="QRG62" s="11"/>
      <c r="QUN62" s="47"/>
      <c r="QUS62" s="47"/>
      <c r="QUU62" s="11"/>
      <c r="QYB62" s="47"/>
      <c r="QYG62" s="47"/>
      <c r="QYI62" s="11"/>
      <c r="RBP62" s="47"/>
      <c r="RBU62" s="47"/>
      <c r="RBW62" s="11"/>
      <c r="RFD62" s="47"/>
      <c r="RFI62" s="47"/>
      <c r="RFK62" s="11"/>
      <c r="RIR62" s="47"/>
      <c r="RIW62" s="47"/>
      <c r="RIY62" s="11"/>
      <c r="RMF62" s="47"/>
      <c r="RMK62" s="47"/>
      <c r="RMM62" s="11"/>
      <c r="RPT62" s="47"/>
      <c r="RPY62" s="47"/>
      <c r="RQA62" s="11"/>
      <c r="RTH62" s="47"/>
      <c r="RTM62" s="47"/>
      <c r="RTO62" s="11"/>
      <c r="RWV62" s="47"/>
      <c r="RXA62" s="47"/>
      <c r="RXC62" s="11"/>
      <c r="SAJ62" s="47"/>
      <c r="SAO62" s="47"/>
      <c r="SAQ62" s="11"/>
      <c r="SDX62" s="47"/>
      <c r="SEC62" s="47"/>
      <c r="SEE62" s="11"/>
      <c r="SHL62" s="47"/>
      <c r="SHQ62" s="47"/>
      <c r="SHS62" s="11"/>
      <c r="SKZ62" s="47"/>
      <c r="SLE62" s="47"/>
      <c r="SLG62" s="11"/>
      <c r="SON62" s="47"/>
      <c r="SOS62" s="47"/>
      <c r="SOU62" s="11"/>
      <c r="SSB62" s="47"/>
      <c r="SSG62" s="47"/>
      <c r="SSI62" s="11"/>
      <c r="SVP62" s="47"/>
      <c r="SVU62" s="47"/>
      <c r="SVW62" s="11"/>
      <c r="SZD62" s="47"/>
      <c r="SZI62" s="47"/>
      <c r="SZK62" s="11"/>
      <c r="TCR62" s="47"/>
      <c r="TCW62" s="47"/>
      <c r="TCY62" s="11"/>
      <c r="TGF62" s="47"/>
      <c r="TGK62" s="47"/>
      <c r="TGM62" s="11"/>
      <c r="TJT62" s="47"/>
      <c r="TJY62" s="47"/>
      <c r="TKA62" s="11"/>
      <c r="TNH62" s="47"/>
      <c r="TNM62" s="47"/>
      <c r="TNO62" s="11"/>
      <c r="TQV62" s="47"/>
      <c r="TRA62" s="47"/>
      <c r="TRC62" s="11"/>
      <c r="TUJ62" s="47"/>
      <c r="TUO62" s="47"/>
      <c r="TUQ62" s="11"/>
      <c r="TXX62" s="47"/>
      <c r="TYC62" s="47"/>
      <c r="TYE62" s="11"/>
      <c r="UBL62" s="47"/>
      <c r="UBQ62" s="47"/>
      <c r="UBS62" s="11"/>
      <c r="UEZ62" s="47"/>
      <c r="UFE62" s="47"/>
      <c r="UFG62" s="11"/>
      <c r="UIN62" s="47"/>
      <c r="UIS62" s="47"/>
      <c r="UIU62" s="11"/>
      <c r="UMB62" s="47"/>
      <c r="UMG62" s="47"/>
      <c r="UMI62" s="11"/>
      <c r="UPP62" s="47"/>
      <c r="UPU62" s="47"/>
      <c r="UPW62" s="11"/>
      <c r="UTD62" s="47"/>
      <c r="UTI62" s="47"/>
      <c r="UTK62" s="11"/>
      <c r="UWR62" s="47"/>
      <c r="UWW62" s="47"/>
      <c r="UWY62" s="11"/>
      <c r="VAF62" s="47"/>
      <c r="VAK62" s="47"/>
      <c r="VAM62" s="11"/>
      <c r="VDT62" s="47"/>
      <c r="VDY62" s="47"/>
      <c r="VEA62" s="11"/>
      <c r="VHH62" s="47"/>
      <c r="VHM62" s="47"/>
      <c r="VHO62" s="11"/>
      <c r="VKV62" s="47"/>
      <c r="VLA62" s="47"/>
      <c r="VLC62" s="11"/>
      <c r="VOJ62" s="47"/>
      <c r="VOO62" s="47"/>
      <c r="VOQ62" s="11"/>
      <c r="VRX62" s="47"/>
      <c r="VSC62" s="47"/>
      <c r="VSE62" s="11"/>
      <c r="VVL62" s="47"/>
      <c r="VVQ62" s="47"/>
      <c r="VVS62" s="11"/>
      <c r="VYZ62" s="47"/>
      <c r="VZE62" s="47"/>
      <c r="VZG62" s="11"/>
      <c r="WCN62" s="47"/>
      <c r="WCS62" s="47"/>
      <c r="WCU62" s="11"/>
      <c r="WGB62" s="47"/>
      <c r="WGG62" s="47"/>
      <c r="WGI62" s="11"/>
      <c r="WJP62" s="47"/>
      <c r="WJU62" s="47"/>
      <c r="WJW62" s="11"/>
      <c r="WND62" s="47"/>
      <c r="WNI62" s="47"/>
      <c r="WNK62" s="11"/>
      <c r="WQR62" s="47"/>
      <c r="WQW62" s="47"/>
      <c r="WQY62" s="11"/>
      <c r="WUF62" s="47"/>
      <c r="WUK62" s="47"/>
      <c r="WUM62" s="11"/>
      <c r="WXT62" s="47"/>
      <c r="WXY62" s="47"/>
      <c r="WYA62" s="11"/>
      <c r="XBH62" s="47"/>
      <c r="XBM62" s="47"/>
      <c r="XBO62" s="11"/>
      <c r="XEV62" s="47"/>
      <c r="XFA62" s="47"/>
      <c r="XFC62" s="11"/>
    </row>
    <row r="63" spans="3:1019 1104:2031 2116:3043 3128:4055 4140:5067 5152:6079 6164:7091 7176:8188 8193:9207 9292:10219 10304:11231 11316:12243 12328:13255 13340:14267 14352:15279 15364:16383" s="10" customFormat="1" ht="14.65" customHeight="1">
      <c r="C63" s="17" t="s">
        <v>1005</v>
      </c>
      <c r="E63" s="47"/>
      <c r="G63" s="11" t="str">
        <f t="shared" si="33"/>
        <v>тыс. руб.</v>
      </c>
      <c r="I63" s="23">
        <f t="shared" ca="1" si="34"/>
        <v>2497313.8640857893</v>
      </c>
      <c r="L63" s="10">
        <f ca="1" xml:space="preserve"> SUM(L105)</f>
        <v>0</v>
      </c>
      <c r="M63" s="10">
        <f t="shared" ref="M63:BX63" ca="1" si="41" xml:space="preserve"> SUM(M105)</f>
        <v>0</v>
      </c>
      <c r="N63" s="10">
        <f t="shared" ca="1" si="41"/>
        <v>0</v>
      </c>
      <c r="O63" s="10">
        <f t="shared" ca="1" si="41"/>
        <v>0</v>
      </c>
      <c r="P63" s="10">
        <f t="shared" ca="1" si="41"/>
        <v>0</v>
      </c>
      <c r="Q63" s="10">
        <f t="shared" ca="1" si="41"/>
        <v>0</v>
      </c>
      <c r="R63" s="10">
        <f t="shared" ca="1" si="41"/>
        <v>0</v>
      </c>
      <c r="S63" s="10">
        <f t="shared" ca="1" si="41"/>
        <v>0</v>
      </c>
      <c r="T63" s="10">
        <f t="shared" ca="1" si="41"/>
        <v>0</v>
      </c>
      <c r="U63" s="10">
        <f t="shared" ca="1" si="41"/>
        <v>0</v>
      </c>
      <c r="V63" s="10">
        <f t="shared" ca="1" si="41"/>
        <v>0</v>
      </c>
      <c r="W63" s="10">
        <f t="shared" ca="1" si="41"/>
        <v>0</v>
      </c>
      <c r="X63" s="10">
        <f t="shared" ca="1" si="41"/>
        <v>0</v>
      </c>
      <c r="Y63" s="10">
        <f t="shared" ca="1" si="41"/>
        <v>0</v>
      </c>
      <c r="Z63" s="10">
        <f t="shared" ca="1" si="41"/>
        <v>0</v>
      </c>
      <c r="AA63" s="10">
        <f t="shared" ca="1" si="41"/>
        <v>0</v>
      </c>
      <c r="AB63" s="10">
        <f t="shared" ca="1" si="41"/>
        <v>0</v>
      </c>
      <c r="AC63" s="10">
        <f t="shared" ca="1" si="41"/>
        <v>0</v>
      </c>
      <c r="AD63" s="10">
        <f t="shared" ca="1" si="41"/>
        <v>0</v>
      </c>
      <c r="AE63" s="10">
        <f t="shared" ca="1" si="41"/>
        <v>0</v>
      </c>
      <c r="AF63" s="10">
        <f t="shared" ca="1" si="41"/>
        <v>0</v>
      </c>
      <c r="AG63" s="10">
        <f t="shared" ca="1" si="41"/>
        <v>0</v>
      </c>
      <c r="AH63" s="10">
        <f t="shared" ca="1" si="41"/>
        <v>0</v>
      </c>
      <c r="AI63" s="10">
        <f t="shared" ca="1" si="41"/>
        <v>0</v>
      </c>
      <c r="AJ63" s="10">
        <f t="shared" ca="1" si="41"/>
        <v>0</v>
      </c>
      <c r="AK63" s="10">
        <f t="shared" ca="1" si="41"/>
        <v>0</v>
      </c>
      <c r="AL63" s="10">
        <f t="shared" ca="1" si="41"/>
        <v>0</v>
      </c>
      <c r="AM63" s="10">
        <f t="shared" ca="1" si="41"/>
        <v>0</v>
      </c>
      <c r="AN63" s="10">
        <f t="shared" ca="1" si="41"/>
        <v>0</v>
      </c>
      <c r="AO63" s="10">
        <f t="shared" ca="1" si="41"/>
        <v>0</v>
      </c>
      <c r="AP63" s="10">
        <f t="shared" ca="1" si="41"/>
        <v>0</v>
      </c>
      <c r="AQ63" s="10">
        <f t="shared" ca="1" si="41"/>
        <v>0</v>
      </c>
      <c r="AR63" s="10">
        <f t="shared" ca="1" si="41"/>
        <v>0</v>
      </c>
      <c r="AS63" s="10">
        <f t="shared" ca="1" si="41"/>
        <v>0</v>
      </c>
      <c r="AT63" s="10">
        <f t="shared" ca="1" si="41"/>
        <v>0</v>
      </c>
      <c r="AU63" s="10">
        <f t="shared" ca="1" si="41"/>
        <v>0</v>
      </c>
      <c r="AV63" s="10">
        <f t="shared" ca="1" si="41"/>
        <v>0</v>
      </c>
      <c r="AW63" s="10">
        <f t="shared" ca="1" si="41"/>
        <v>0</v>
      </c>
      <c r="AX63" s="10">
        <f t="shared" ca="1" si="41"/>
        <v>46479.25438646238</v>
      </c>
      <c r="AY63" s="10">
        <f t="shared" ca="1" si="41"/>
        <v>87172.977251210803</v>
      </c>
      <c r="AZ63" s="10">
        <f t="shared" ca="1" si="41"/>
        <v>30782.112161338224</v>
      </c>
      <c r="BA63" s="10">
        <f t="shared" ca="1" si="41"/>
        <v>26999.055032837514</v>
      </c>
      <c r="BB63" s="10">
        <f t="shared" ca="1" si="41"/>
        <v>48338.424561920867</v>
      </c>
      <c r="BC63" s="10">
        <f t="shared" ca="1" si="41"/>
        <v>90659.896341259198</v>
      </c>
      <c r="BD63" s="10">
        <f t="shared" ca="1" si="41"/>
        <v>32013.396647791735</v>
      </c>
      <c r="BE63" s="10">
        <f t="shared" ca="1" si="41"/>
        <v>28391.165156486535</v>
      </c>
      <c r="BF63" s="10">
        <f t="shared" ca="1" si="41"/>
        <v>50272.121951488145</v>
      </c>
      <c r="BG63" s="10">
        <f t="shared" ca="1" si="41"/>
        <v>94286.455962640262</v>
      </c>
      <c r="BH63" s="10">
        <f t="shared" ca="1" si="41"/>
        <v>33294.097895104176</v>
      </c>
      <c r="BI63" s="10">
        <f t="shared" ca="1" si="41"/>
        <v>29202.177923517062</v>
      </c>
      <c r="BJ63" s="10">
        <f t="shared" ca="1" si="41"/>
        <v>52282.840006173588</v>
      </c>
      <c r="BK63" s="10">
        <f t="shared" ca="1" si="41"/>
        <v>98057.74388270588</v>
      </c>
      <c r="BL63" s="10">
        <f t="shared" ca="1" si="41"/>
        <v>34625.689814251542</v>
      </c>
      <c r="BM63" s="10">
        <f t="shared" ca="1" si="41"/>
        <v>30370.265040457743</v>
      </c>
      <c r="BN63" s="10">
        <f t="shared" ca="1" si="41"/>
        <v>54374.153606420543</v>
      </c>
      <c r="BO63" s="10">
        <f t="shared" ca="1" si="41"/>
        <v>101980.05363801408</v>
      </c>
      <c r="BP63" s="10">
        <f t="shared" ca="1" si="41"/>
        <v>36010.717406821597</v>
      </c>
      <c r="BQ63" s="10">
        <f t="shared" ca="1" si="41"/>
        <v>31585.075642076044</v>
      </c>
      <c r="BR63" s="10">
        <f t="shared" ca="1" si="41"/>
        <v>56549.119750677346</v>
      </c>
      <c r="BS63" s="10">
        <f t="shared" ca="1" si="41"/>
        <v>106059.25578353468</v>
      </c>
      <c r="BT63" s="10">
        <f t="shared" ca="1" si="41"/>
        <v>37451.146103094448</v>
      </c>
      <c r="BU63" s="10">
        <f t="shared" ca="1" si="41"/>
        <v>33213.647586689483</v>
      </c>
      <c r="BV63" s="10">
        <f t="shared" ca="1" si="41"/>
        <v>58811.272194312245</v>
      </c>
      <c r="BW63" s="10">
        <f t="shared" ca="1" si="41"/>
        <v>110301.81759995766</v>
      </c>
      <c r="BX63" s="10">
        <f t="shared" ca="1" si="41"/>
        <v>38949.385420065577</v>
      </c>
      <c r="BY63" s="10">
        <f t="shared" ref="BY63:CM63" ca="1" si="42" xml:space="preserve"> SUM(BY105)</f>
        <v>34162.417814469431</v>
      </c>
      <c r="BZ63" s="10">
        <f t="shared" ca="1" si="42"/>
        <v>61163.527922332607</v>
      </c>
      <c r="CA63" s="10">
        <f t="shared" ca="1" si="42"/>
        <v>114713.69105547106</v>
      </c>
      <c r="CB63" s="10">
        <f t="shared" ca="1" si="42"/>
        <v>40507.15962510695</v>
      </c>
      <c r="CC63" s="10">
        <f t="shared" ca="1" si="42"/>
        <v>35528.914527048204</v>
      </c>
      <c r="CD63" s="10">
        <f t="shared" ca="1" si="42"/>
        <v>63610.069039225898</v>
      </c>
      <c r="CE63" s="10">
        <f t="shared" ca="1" si="42"/>
        <v>119302.23869768989</v>
      </c>
      <c r="CF63" s="10">
        <f t="shared" ca="1" si="42"/>
        <v>42127.44601011122</v>
      </c>
      <c r="CG63" s="10">
        <f t="shared" ca="1" si="42"/>
        <v>36950.071108130127</v>
      </c>
      <c r="CH63" s="10">
        <f t="shared" ca="1" si="42"/>
        <v>66154.471800794912</v>
      </c>
      <c r="CI63" s="10">
        <f t="shared" ca="1" si="42"/>
        <v>124074.32824559747</v>
      </c>
      <c r="CJ63" s="10">
        <f t="shared" ca="1" si="42"/>
        <v>43812.543850515678</v>
      </c>
      <c r="CK63" s="10">
        <f t="shared" ca="1" si="42"/>
        <v>38855.269938112033</v>
      </c>
      <c r="CL63" s="10">
        <f t="shared" ca="1" si="42"/>
        <v>68800.870201006124</v>
      </c>
      <c r="CM63" s="10">
        <f t="shared" ca="1" si="42"/>
        <v>129037.52550286913</v>
      </c>
      <c r="CN63" s="10">
        <f ca="1" xml:space="preserve"> SUM(CN105)</f>
        <v>45565.27194040289</v>
      </c>
      <c r="CO63" s="10">
        <f ca="1" xml:space="preserve"> SUM(CO105)</f>
        <v>39965.196910553546</v>
      </c>
      <c r="CS63" s="47"/>
      <c r="CU63" s="11"/>
      <c r="GB63" s="47"/>
      <c r="GG63" s="47"/>
      <c r="GI63" s="11"/>
      <c r="JP63" s="47"/>
      <c r="JU63" s="47"/>
      <c r="JW63" s="11"/>
      <c r="ND63" s="47"/>
      <c r="NI63" s="47"/>
      <c r="NK63" s="11"/>
      <c r="QR63" s="47"/>
      <c r="QW63" s="47"/>
      <c r="QY63" s="11"/>
      <c r="UF63" s="47"/>
      <c r="UK63" s="47"/>
      <c r="UM63" s="11"/>
      <c r="XT63" s="47"/>
      <c r="XY63" s="47"/>
      <c r="YA63" s="11"/>
      <c r="ABH63" s="47"/>
      <c r="ABM63" s="47"/>
      <c r="ABO63" s="11"/>
      <c r="AEV63" s="47"/>
      <c r="AFA63" s="47"/>
      <c r="AFC63" s="11"/>
      <c r="AIJ63" s="47"/>
      <c r="AIO63" s="47"/>
      <c r="AIQ63" s="11"/>
      <c r="ALX63" s="47"/>
      <c r="AMC63" s="47"/>
      <c r="AME63" s="11"/>
      <c r="APL63" s="47"/>
      <c r="APQ63" s="47"/>
      <c r="APS63" s="11"/>
      <c r="ASZ63" s="47"/>
      <c r="ATE63" s="47"/>
      <c r="ATG63" s="11"/>
      <c r="AWN63" s="47"/>
      <c r="AWS63" s="47"/>
      <c r="AWU63" s="11"/>
      <c r="BAB63" s="47"/>
      <c r="BAG63" s="47"/>
      <c r="BAI63" s="11"/>
      <c r="BDP63" s="47"/>
      <c r="BDU63" s="47"/>
      <c r="BDW63" s="11"/>
      <c r="BHD63" s="47"/>
      <c r="BHI63" s="47"/>
      <c r="BHK63" s="11"/>
      <c r="BKR63" s="47"/>
      <c r="BKW63" s="47"/>
      <c r="BKY63" s="11"/>
      <c r="BOF63" s="47"/>
      <c r="BOK63" s="47"/>
      <c r="BOM63" s="11"/>
      <c r="BRT63" s="47"/>
      <c r="BRY63" s="47"/>
      <c r="BSA63" s="11"/>
      <c r="BVH63" s="47"/>
      <c r="BVM63" s="47"/>
      <c r="BVO63" s="11"/>
      <c r="BYV63" s="47"/>
      <c r="BZA63" s="47"/>
      <c r="BZC63" s="11"/>
      <c r="CCJ63" s="47"/>
      <c r="CCO63" s="47"/>
      <c r="CCQ63" s="11"/>
      <c r="CFX63" s="47"/>
      <c r="CGC63" s="47"/>
      <c r="CGE63" s="11"/>
      <c r="CJL63" s="47"/>
      <c r="CJQ63" s="47"/>
      <c r="CJS63" s="11"/>
      <c r="CMZ63" s="47"/>
      <c r="CNE63" s="47"/>
      <c r="CNG63" s="11"/>
      <c r="CQN63" s="47"/>
      <c r="CQS63" s="47"/>
      <c r="CQU63" s="11"/>
      <c r="CUB63" s="47"/>
      <c r="CUG63" s="47"/>
      <c r="CUI63" s="11"/>
      <c r="CXP63" s="47"/>
      <c r="CXU63" s="47"/>
      <c r="CXW63" s="11"/>
      <c r="DBD63" s="47"/>
      <c r="DBI63" s="47"/>
      <c r="DBK63" s="11"/>
      <c r="DER63" s="47"/>
      <c r="DEW63" s="47"/>
      <c r="DEY63" s="11"/>
      <c r="DIF63" s="47"/>
      <c r="DIK63" s="47"/>
      <c r="DIM63" s="11"/>
      <c r="DLT63" s="47"/>
      <c r="DLY63" s="47"/>
      <c r="DMA63" s="11"/>
      <c r="DPH63" s="47"/>
      <c r="DPM63" s="47"/>
      <c r="DPO63" s="11"/>
      <c r="DSV63" s="47"/>
      <c r="DTA63" s="47"/>
      <c r="DTC63" s="11"/>
      <c r="DWJ63" s="47"/>
      <c r="DWO63" s="47"/>
      <c r="DWQ63" s="11"/>
      <c r="DZX63" s="47"/>
      <c r="EAC63" s="47"/>
      <c r="EAE63" s="11"/>
      <c r="EDL63" s="47"/>
      <c r="EDQ63" s="47"/>
      <c r="EDS63" s="11"/>
      <c r="EGZ63" s="47"/>
      <c r="EHE63" s="47"/>
      <c r="EHG63" s="11"/>
      <c r="EKN63" s="47"/>
      <c r="EKS63" s="47"/>
      <c r="EKU63" s="11"/>
      <c r="EOB63" s="47"/>
      <c r="EOG63" s="47"/>
      <c r="EOI63" s="11"/>
      <c r="ERP63" s="47"/>
      <c r="ERU63" s="47"/>
      <c r="ERW63" s="11"/>
      <c r="EVD63" s="47"/>
      <c r="EVI63" s="47"/>
      <c r="EVK63" s="11"/>
      <c r="EYR63" s="47"/>
      <c r="EYW63" s="47"/>
      <c r="EYY63" s="11"/>
      <c r="FCF63" s="47"/>
      <c r="FCK63" s="47"/>
      <c r="FCM63" s="11"/>
      <c r="FFT63" s="47"/>
      <c r="FFY63" s="47"/>
      <c r="FGA63" s="11"/>
      <c r="FJH63" s="47"/>
      <c r="FJM63" s="47"/>
      <c r="FJO63" s="11"/>
      <c r="FMV63" s="47"/>
      <c r="FNA63" s="47"/>
      <c r="FNC63" s="11"/>
      <c r="FQJ63" s="47"/>
      <c r="FQO63" s="47"/>
      <c r="FQQ63" s="11"/>
      <c r="FTX63" s="47"/>
      <c r="FUC63" s="47"/>
      <c r="FUE63" s="11"/>
      <c r="FXL63" s="47"/>
      <c r="FXQ63" s="47"/>
      <c r="FXS63" s="11"/>
      <c r="GAZ63" s="47"/>
      <c r="GBE63" s="47"/>
      <c r="GBG63" s="11"/>
      <c r="GEN63" s="47"/>
      <c r="GES63" s="47"/>
      <c r="GEU63" s="11"/>
      <c r="GIB63" s="47"/>
      <c r="GIG63" s="47"/>
      <c r="GII63" s="11"/>
      <c r="GLP63" s="47"/>
      <c r="GLU63" s="47"/>
      <c r="GLW63" s="11"/>
      <c r="GPD63" s="47"/>
      <c r="GPI63" s="47"/>
      <c r="GPK63" s="11"/>
      <c r="GSR63" s="47"/>
      <c r="GSW63" s="47"/>
      <c r="GSY63" s="11"/>
      <c r="GWF63" s="47"/>
      <c r="GWK63" s="47"/>
      <c r="GWM63" s="11"/>
      <c r="GZT63" s="47"/>
      <c r="GZY63" s="47"/>
      <c r="HAA63" s="11"/>
      <c r="HDH63" s="47"/>
      <c r="HDM63" s="47"/>
      <c r="HDO63" s="11"/>
      <c r="HGV63" s="47"/>
      <c r="HHA63" s="47"/>
      <c r="HHC63" s="11"/>
      <c r="HKJ63" s="47"/>
      <c r="HKO63" s="47"/>
      <c r="HKQ63" s="11"/>
      <c r="HNX63" s="47"/>
      <c r="HOC63" s="47"/>
      <c r="HOE63" s="11"/>
      <c r="HRL63" s="47"/>
      <c r="HRQ63" s="47"/>
      <c r="HRS63" s="11"/>
      <c r="HUZ63" s="47"/>
      <c r="HVE63" s="47"/>
      <c r="HVG63" s="11"/>
      <c r="HYN63" s="47"/>
      <c r="HYS63" s="47"/>
      <c r="HYU63" s="11"/>
      <c r="ICB63" s="47"/>
      <c r="ICG63" s="47"/>
      <c r="ICI63" s="11"/>
      <c r="IFP63" s="47"/>
      <c r="IFU63" s="47"/>
      <c r="IFW63" s="11"/>
      <c r="IJD63" s="47"/>
      <c r="IJI63" s="47"/>
      <c r="IJK63" s="11"/>
      <c r="IMR63" s="47"/>
      <c r="IMW63" s="47"/>
      <c r="IMY63" s="11"/>
      <c r="IQF63" s="47"/>
      <c r="IQK63" s="47"/>
      <c r="IQM63" s="11"/>
      <c r="ITT63" s="47"/>
      <c r="ITY63" s="47"/>
      <c r="IUA63" s="11"/>
      <c r="IXH63" s="47"/>
      <c r="IXM63" s="47"/>
      <c r="IXO63" s="11"/>
      <c r="JAV63" s="47"/>
      <c r="JBA63" s="47"/>
      <c r="JBC63" s="11"/>
      <c r="JEJ63" s="47"/>
      <c r="JEO63" s="47"/>
      <c r="JEQ63" s="11"/>
      <c r="JHX63" s="47"/>
      <c r="JIC63" s="47"/>
      <c r="JIE63" s="11"/>
      <c r="JLL63" s="47"/>
      <c r="JLQ63" s="47"/>
      <c r="JLS63" s="11"/>
      <c r="JOZ63" s="47"/>
      <c r="JPE63" s="47"/>
      <c r="JPG63" s="11"/>
      <c r="JSN63" s="47"/>
      <c r="JSS63" s="47"/>
      <c r="JSU63" s="11"/>
      <c r="JWB63" s="47"/>
      <c r="JWG63" s="47"/>
      <c r="JWI63" s="11"/>
      <c r="JZP63" s="47"/>
      <c r="JZU63" s="47"/>
      <c r="JZW63" s="11"/>
      <c r="KDD63" s="47"/>
      <c r="KDI63" s="47"/>
      <c r="KDK63" s="11"/>
      <c r="KGR63" s="47"/>
      <c r="KGW63" s="47"/>
      <c r="KGY63" s="11"/>
      <c r="KKF63" s="47"/>
      <c r="KKK63" s="47"/>
      <c r="KKM63" s="11"/>
      <c r="KNT63" s="47"/>
      <c r="KNY63" s="47"/>
      <c r="KOA63" s="11"/>
      <c r="KRH63" s="47"/>
      <c r="KRM63" s="47"/>
      <c r="KRO63" s="11"/>
      <c r="KUV63" s="47"/>
      <c r="KVA63" s="47"/>
      <c r="KVC63" s="11"/>
      <c r="KYJ63" s="47"/>
      <c r="KYO63" s="47"/>
      <c r="KYQ63" s="11"/>
      <c r="LBX63" s="47"/>
      <c r="LCC63" s="47"/>
      <c r="LCE63" s="11"/>
      <c r="LFL63" s="47"/>
      <c r="LFQ63" s="47"/>
      <c r="LFS63" s="11"/>
      <c r="LIZ63" s="47"/>
      <c r="LJE63" s="47"/>
      <c r="LJG63" s="11"/>
      <c r="LMN63" s="47"/>
      <c r="LMS63" s="47"/>
      <c r="LMU63" s="11"/>
      <c r="LQB63" s="47"/>
      <c r="LQG63" s="47"/>
      <c r="LQI63" s="11"/>
      <c r="LTP63" s="47"/>
      <c r="LTU63" s="47"/>
      <c r="LTW63" s="11"/>
      <c r="LXD63" s="47"/>
      <c r="LXI63" s="47"/>
      <c r="LXK63" s="11"/>
      <c r="MAR63" s="47"/>
      <c r="MAW63" s="47"/>
      <c r="MAY63" s="11"/>
      <c r="MEF63" s="47"/>
      <c r="MEK63" s="47"/>
      <c r="MEM63" s="11"/>
      <c r="MHT63" s="47"/>
      <c r="MHY63" s="47"/>
      <c r="MIA63" s="11"/>
      <c r="MLH63" s="47"/>
      <c r="MLM63" s="47"/>
      <c r="MLO63" s="11"/>
      <c r="MOV63" s="47"/>
      <c r="MPA63" s="47"/>
      <c r="MPC63" s="11"/>
      <c r="MSJ63" s="47"/>
      <c r="MSO63" s="47"/>
      <c r="MSQ63" s="11"/>
      <c r="MVX63" s="47"/>
      <c r="MWC63" s="47"/>
      <c r="MWE63" s="11"/>
      <c r="MZL63" s="47"/>
      <c r="MZQ63" s="47"/>
      <c r="MZS63" s="11"/>
      <c r="NCZ63" s="47"/>
      <c r="NDE63" s="47"/>
      <c r="NDG63" s="11"/>
      <c r="NGN63" s="47"/>
      <c r="NGS63" s="47"/>
      <c r="NGU63" s="11"/>
      <c r="NKB63" s="47"/>
      <c r="NKG63" s="47"/>
      <c r="NKI63" s="11"/>
      <c r="NNP63" s="47"/>
      <c r="NNU63" s="47"/>
      <c r="NNW63" s="11"/>
      <c r="NRD63" s="47"/>
      <c r="NRI63" s="47"/>
      <c r="NRK63" s="11"/>
      <c r="NUR63" s="47"/>
      <c r="NUW63" s="47"/>
      <c r="NUY63" s="11"/>
      <c r="NYF63" s="47"/>
      <c r="NYK63" s="47"/>
      <c r="NYM63" s="11"/>
      <c r="OBT63" s="47"/>
      <c r="OBY63" s="47"/>
      <c r="OCA63" s="11"/>
      <c r="OFH63" s="47"/>
      <c r="OFM63" s="47"/>
      <c r="OFO63" s="11"/>
      <c r="OIV63" s="47"/>
      <c r="OJA63" s="47"/>
      <c r="OJC63" s="11"/>
      <c r="OMJ63" s="47"/>
      <c r="OMO63" s="47"/>
      <c r="OMQ63" s="11"/>
      <c r="OPX63" s="47"/>
      <c r="OQC63" s="47"/>
      <c r="OQE63" s="11"/>
      <c r="OTL63" s="47"/>
      <c r="OTQ63" s="47"/>
      <c r="OTS63" s="11"/>
      <c r="OWZ63" s="47"/>
      <c r="OXE63" s="47"/>
      <c r="OXG63" s="11"/>
      <c r="PAN63" s="47"/>
      <c r="PAS63" s="47"/>
      <c r="PAU63" s="11"/>
      <c r="PEB63" s="47"/>
      <c r="PEG63" s="47"/>
      <c r="PEI63" s="11"/>
      <c r="PHP63" s="47"/>
      <c r="PHU63" s="47"/>
      <c r="PHW63" s="11"/>
      <c r="PLD63" s="47"/>
      <c r="PLI63" s="47"/>
      <c r="PLK63" s="11"/>
      <c r="POR63" s="47"/>
      <c r="POW63" s="47"/>
      <c r="POY63" s="11"/>
      <c r="PSF63" s="47"/>
      <c r="PSK63" s="47"/>
      <c r="PSM63" s="11"/>
      <c r="PVT63" s="47"/>
      <c r="PVY63" s="47"/>
      <c r="PWA63" s="11"/>
      <c r="PZH63" s="47"/>
      <c r="PZM63" s="47"/>
      <c r="PZO63" s="11"/>
      <c r="QCV63" s="47"/>
      <c r="QDA63" s="47"/>
      <c r="QDC63" s="11"/>
      <c r="QGJ63" s="47"/>
      <c r="QGO63" s="47"/>
      <c r="QGQ63" s="11"/>
      <c r="QJX63" s="47"/>
      <c r="QKC63" s="47"/>
      <c r="QKE63" s="11"/>
      <c r="QNL63" s="47"/>
      <c r="QNQ63" s="47"/>
      <c r="QNS63" s="11"/>
      <c r="QQZ63" s="47"/>
      <c r="QRE63" s="47"/>
      <c r="QRG63" s="11"/>
      <c r="QUN63" s="47"/>
      <c r="QUS63" s="47"/>
      <c r="QUU63" s="11"/>
      <c r="QYB63" s="47"/>
      <c r="QYG63" s="47"/>
      <c r="QYI63" s="11"/>
      <c r="RBP63" s="47"/>
      <c r="RBU63" s="47"/>
      <c r="RBW63" s="11"/>
      <c r="RFD63" s="47"/>
      <c r="RFI63" s="47"/>
      <c r="RFK63" s="11"/>
      <c r="RIR63" s="47"/>
      <c r="RIW63" s="47"/>
      <c r="RIY63" s="11"/>
      <c r="RMF63" s="47"/>
      <c r="RMK63" s="47"/>
      <c r="RMM63" s="11"/>
      <c r="RPT63" s="47"/>
      <c r="RPY63" s="47"/>
      <c r="RQA63" s="11"/>
      <c r="RTH63" s="47"/>
      <c r="RTM63" s="47"/>
      <c r="RTO63" s="11"/>
      <c r="RWV63" s="47"/>
      <c r="RXA63" s="47"/>
      <c r="RXC63" s="11"/>
      <c r="SAJ63" s="47"/>
      <c r="SAO63" s="47"/>
      <c r="SAQ63" s="11"/>
      <c r="SDX63" s="47"/>
      <c r="SEC63" s="47"/>
      <c r="SEE63" s="11"/>
      <c r="SHL63" s="47"/>
      <c r="SHQ63" s="47"/>
      <c r="SHS63" s="11"/>
      <c r="SKZ63" s="47"/>
      <c r="SLE63" s="47"/>
      <c r="SLG63" s="11"/>
      <c r="SON63" s="47"/>
      <c r="SOS63" s="47"/>
      <c r="SOU63" s="11"/>
      <c r="SSB63" s="47"/>
      <c r="SSG63" s="47"/>
      <c r="SSI63" s="11"/>
      <c r="SVP63" s="47"/>
      <c r="SVU63" s="47"/>
      <c r="SVW63" s="11"/>
      <c r="SZD63" s="47"/>
      <c r="SZI63" s="47"/>
      <c r="SZK63" s="11"/>
      <c r="TCR63" s="47"/>
      <c r="TCW63" s="47"/>
      <c r="TCY63" s="11"/>
      <c r="TGF63" s="47"/>
      <c r="TGK63" s="47"/>
      <c r="TGM63" s="11"/>
      <c r="TJT63" s="47"/>
      <c r="TJY63" s="47"/>
      <c r="TKA63" s="11"/>
      <c r="TNH63" s="47"/>
      <c r="TNM63" s="47"/>
      <c r="TNO63" s="11"/>
      <c r="TQV63" s="47"/>
      <c r="TRA63" s="47"/>
      <c r="TRC63" s="11"/>
      <c r="TUJ63" s="47"/>
      <c r="TUO63" s="47"/>
      <c r="TUQ63" s="11"/>
      <c r="TXX63" s="47"/>
      <c r="TYC63" s="47"/>
      <c r="TYE63" s="11"/>
      <c r="UBL63" s="47"/>
      <c r="UBQ63" s="47"/>
      <c r="UBS63" s="11"/>
      <c r="UEZ63" s="47"/>
      <c r="UFE63" s="47"/>
      <c r="UFG63" s="11"/>
      <c r="UIN63" s="47"/>
      <c r="UIS63" s="47"/>
      <c r="UIU63" s="11"/>
      <c r="UMB63" s="47"/>
      <c r="UMG63" s="47"/>
      <c r="UMI63" s="11"/>
      <c r="UPP63" s="47"/>
      <c r="UPU63" s="47"/>
      <c r="UPW63" s="11"/>
      <c r="UTD63" s="47"/>
      <c r="UTI63" s="47"/>
      <c r="UTK63" s="11"/>
      <c r="UWR63" s="47"/>
      <c r="UWW63" s="47"/>
      <c r="UWY63" s="11"/>
      <c r="VAF63" s="47"/>
      <c r="VAK63" s="47"/>
      <c r="VAM63" s="11"/>
      <c r="VDT63" s="47"/>
      <c r="VDY63" s="47"/>
      <c r="VEA63" s="11"/>
      <c r="VHH63" s="47"/>
      <c r="VHM63" s="47"/>
      <c r="VHO63" s="11"/>
      <c r="VKV63" s="47"/>
      <c r="VLA63" s="47"/>
      <c r="VLC63" s="11"/>
      <c r="VOJ63" s="47"/>
      <c r="VOO63" s="47"/>
      <c r="VOQ63" s="11"/>
      <c r="VRX63" s="47"/>
      <c r="VSC63" s="47"/>
      <c r="VSE63" s="11"/>
      <c r="VVL63" s="47"/>
      <c r="VVQ63" s="47"/>
      <c r="VVS63" s="11"/>
      <c r="VYZ63" s="47"/>
      <c r="VZE63" s="47"/>
      <c r="VZG63" s="11"/>
      <c r="WCN63" s="47"/>
      <c r="WCS63" s="47"/>
      <c r="WCU63" s="11"/>
      <c r="WGB63" s="47"/>
      <c r="WGG63" s="47"/>
      <c r="WGI63" s="11"/>
      <c r="WJP63" s="47"/>
      <c r="WJU63" s="47"/>
      <c r="WJW63" s="11"/>
      <c r="WND63" s="47"/>
      <c r="WNI63" s="47"/>
      <c r="WNK63" s="11"/>
      <c r="WQR63" s="47"/>
      <c r="WQW63" s="47"/>
      <c r="WQY63" s="11"/>
      <c r="WUF63" s="47"/>
      <c r="WUK63" s="47"/>
      <c r="WUM63" s="11"/>
      <c r="WXT63" s="47"/>
      <c r="WXY63" s="47"/>
      <c r="WYA63" s="11"/>
      <c r="XBH63" s="47"/>
      <c r="XBM63" s="47"/>
      <c r="XBO63" s="11"/>
      <c r="XEV63" s="47"/>
      <c r="XFA63" s="47"/>
      <c r="XFC63" s="11"/>
    </row>
    <row r="64" spans="3:1019 1104:2031 2116:3043 3128:4055 4140:5067 5152:6079 6164:7091 7176:8188 8193:9207 9292:10219 10304:11231 11316:12243 12328:13255 13340:14267 14352:15279 15364:16383" s="10" customFormat="1" ht="14.65" customHeight="1">
      <c r="C64" s="17" t="s">
        <v>1006</v>
      </c>
      <c r="E64" s="47"/>
      <c r="G64" s="11" t="str">
        <f t="shared" si="33"/>
        <v>тыс. руб.</v>
      </c>
      <c r="I64" s="23">
        <f t="shared" ca="1" si="34"/>
        <v>1039921.8547750793</v>
      </c>
      <c r="L64" s="10">
        <f ca="1" xml:space="preserve"> L120</f>
        <v>0</v>
      </c>
      <c r="M64" s="10">
        <f t="shared" ref="M64:BX64" ca="1" si="43" xml:space="preserve"> M120</f>
        <v>0</v>
      </c>
      <c r="N64" s="10">
        <f t="shared" ca="1" si="43"/>
        <v>0</v>
      </c>
      <c r="O64" s="10">
        <f t="shared" ca="1" si="43"/>
        <v>0</v>
      </c>
      <c r="P64" s="10">
        <f t="shared" ca="1" si="43"/>
        <v>0</v>
      </c>
      <c r="Q64" s="10">
        <f t="shared" ca="1" si="43"/>
        <v>0</v>
      </c>
      <c r="R64" s="10">
        <f t="shared" ca="1" si="43"/>
        <v>0</v>
      </c>
      <c r="S64" s="10">
        <f t="shared" ca="1" si="43"/>
        <v>0</v>
      </c>
      <c r="T64" s="10">
        <f t="shared" ca="1" si="43"/>
        <v>0</v>
      </c>
      <c r="U64" s="10">
        <f t="shared" ca="1" si="43"/>
        <v>0</v>
      </c>
      <c r="V64" s="10">
        <f t="shared" ca="1" si="43"/>
        <v>0</v>
      </c>
      <c r="W64" s="10">
        <f t="shared" ca="1" si="43"/>
        <v>0</v>
      </c>
      <c r="X64" s="10">
        <f t="shared" ca="1" si="43"/>
        <v>0</v>
      </c>
      <c r="Y64" s="10">
        <f t="shared" ca="1" si="43"/>
        <v>0</v>
      </c>
      <c r="Z64" s="10">
        <f t="shared" ca="1" si="43"/>
        <v>0</v>
      </c>
      <c r="AA64" s="10">
        <f t="shared" ca="1" si="43"/>
        <v>0</v>
      </c>
      <c r="AB64" s="10">
        <f t="shared" ca="1" si="43"/>
        <v>0</v>
      </c>
      <c r="AC64" s="10">
        <f t="shared" ca="1" si="43"/>
        <v>8989.3257014126466</v>
      </c>
      <c r="AD64" s="10">
        <f t="shared" ca="1" si="43"/>
        <v>15650.294606677315</v>
      </c>
      <c r="AE64" s="10">
        <f t="shared" ca="1" si="43"/>
        <v>6664.6684724854231</v>
      </c>
      <c r="AF64" s="10">
        <f t="shared" ca="1" si="43"/>
        <v>6187.3754348849825</v>
      </c>
      <c r="AG64" s="10">
        <f t="shared" ca="1" si="43"/>
        <v>10485.770982373735</v>
      </c>
      <c r="AH64" s="10">
        <f t="shared" ca="1" si="43"/>
        <v>18197.18843917927</v>
      </c>
      <c r="AI64" s="10">
        <f t="shared" ca="1" si="43"/>
        <v>7725.818654295992</v>
      </c>
      <c r="AJ64" s="10">
        <f t="shared" ca="1" si="43"/>
        <v>7151.9794773683407</v>
      </c>
      <c r="AK64" s="10">
        <f t="shared" ca="1" si="43"/>
        <v>12087.548964689453</v>
      </c>
      <c r="AL64" s="10">
        <f t="shared" ca="1" si="43"/>
        <v>20922.793306910706</v>
      </c>
      <c r="AM64" s="10">
        <f t="shared" ca="1" si="43"/>
        <v>8861.1973810954296</v>
      </c>
      <c r="AN64" s="10">
        <f t="shared" ca="1" si="43"/>
        <v>8274.7837319162663</v>
      </c>
      <c r="AO64" s="10">
        <f t="shared" ca="1" si="43"/>
        <v>13800.691952018622</v>
      </c>
      <c r="AP64" s="10">
        <f t="shared" ca="1" si="43"/>
        <v>23317.924556715247</v>
      </c>
      <c r="AQ64" s="10">
        <f t="shared" ca="1" si="43"/>
        <v>9645.3451862655947</v>
      </c>
      <c r="AR64" s="10">
        <f t="shared" ca="1" si="43"/>
        <v>8705.112404640513</v>
      </c>
      <c r="AS64" s="10">
        <f t="shared" ca="1" si="43"/>
        <v>14352.719630099366</v>
      </c>
      <c r="AT64" s="10">
        <f t="shared" ca="1" si="43"/>
        <v>24250.641538983858</v>
      </c>
      <c r="AU64" s="10">
        <f t="shared" ca="1" si="43"/>
        <v>10031.158993716217</v>
      </c>
      <c r="AV64" s="10">
        <f t="shared" ca="1" si="43"/>
        <v>9053.316900826132</v>
      </c>
      <c r="AW64" s="10">
        <f t="shared" ca="1" si="43"/>
        <v>14926.828415303338</v>
      </c>
      <c r="AX64" s="10">
        <f t="shared" ca="1" si="43"/>
        <v>25220.667200543205</v>
      </c>
      <c r="AY64" s="10">
        <f t="shared" ca="1" si="43"/>
        <v>10432.405353464865</v>
      </c>
      <c r="AZ64" s="10">
        <f t="shared" ca="1" si="43"/>
        <v>9415.4495768591751</v>
      </c>
      <c r="BA64" s="10">
        <f t="shared" ca="1" si="43"/>
        <v>15523.901551915467</v>
      </c>
      <c r="BB64" s="10">
        <f t="shared" ca="1" si="43"/>
        <v>26229.493888564928</v>
      </c>
      <c r="BC64" s="10">
        <f t="shared" ca="1" si="43"/>
        <v>10849.701567603455</v>
      </c>
      <c r="BD64" s="10">
        <f t="shared" ca="1" si="43"/>
        <v>9900.8683105994714</v>
      </c>
      <c r="BE64" s="10">
        <f t="shared" ca="1" si="43"/>
        <v>16144.857613992084</v>
      </c>
      <c r="BF64" s="10">
        <f t="shared" ca="1" si="43"/>
        <v>27278.673644107526</v>
      </c>
      <c r="BG64" s="10">
        <f t="shared" ca="1" si="43"/>
        <v>11283.689630307592</v>
      </c>
      <c r="BH64" s="10">
        <f t="shared" ca="1" si="43"/>
        <v>10183.750262330879</v>
      </c>
      <c r="BI64" s="10">
        <f t="shared" ca="1" si="43"/>
        <v>16790.651918551761</v>
      </c>
      <c r="BJ64" s="10">
        <f t="shared" ca="1" si="43"/>
        <v>28369.820589871819</v>
      </c>
      <c r="BK64" s="10">
        <f t="shared" ca="1" si="43"/>
        <v>11735.037215519897</v>
      </c>
      <c r="BL64" s="10">
        <f t="shared" ca="1" si="43"/>
        <v>10591.100272824115</v>
      </c>
      <c r="BM64" s="10">
        <f t="shared" ca="1" si="43"/>
        <v>17462.277995293836</v>
      </c>
      <c r="BN64" s="10">
        <f t="shared" ca="1" si="43"/>
        <v>29504.613413466686</v>
      </c>
      <c r="BO64" s="10">
        <f t="shared" ca="1" si="43"/>
        <v>12204.438704140692</v>
      </c>
      <c r="BP64" s="10">
        <f t="shared" ca="1" si="43"/>
        <v>11014.74428373708</v>
      </c>
      <c r="BQ64" s="10">
        <f t="shared" ca="1" si="43"/>
        <v>18160.769115105584</v>
      </c>
      <c r="BR64" s="10">
        <f t="shared" ca="1" si="43"/>
        <v>30684.797950005352</v>
      </c>
      <c r="BS64" s="10">
        <f t="shared" ca="1" si="43"/>
        <v>12692.616252306316</v>
      </c>
      <c r="BT64" s="10">
        <f t="shared" ca="1" si="43"/>
        <v>11582.615544587521</v>
      </c>
      <c r="BU64" s="10">
        <f t="shared" ca="1" si="43"/>
        <v>18887.199879709802</v>
      </c>
      <c r="BV64" s="10">
        <f t="shared" ca="1" si="43"/>
        <v>31912.189868005556</v>
      </c>
      <c r="BW64" s="10">
        <f t="shared" ca="1" si="43"/>
        <v>13200.320902398564</v>
      </c>
      <c r="BX64" s="10">
        <f t="shared" ca="1" si="43"/>
        <v>11913.547417290019</v>
      </c>
      <c r="BY64" s="10">
        <f t="shared" ref="BY64:CM64" ca="1" si="44" xml:space="preserve"> BY120</f>
        <v>19642.687874898194</v>
      </c>
      <c r="BZ64" s="10">
        <f t="shared" ca="1" si="44"/>
        <v>33188.677462725776</v>
      </c>
      <c r="CA64" s="10">
        <f t="shared" ca="1" si="44"/>
        <v>13728.333738494506</v>
      </c>
      <c r="CB64" s="10">
        <f t="shared" ca="1" si="44"/>
        <v>12390.08931398162</v>
      </c>
      <c r="CC64" s="10">
        <f t="shared" ca="1" si="44"/>
        <v>20428.395389894118</v>
      </c>
      <c r="CD64" s="10">
        <f t="shared" ca="1" si="44"/>
        <v>34516.224561234812</v>
      </c>
      <c r="CE64" s="10">
        <f t="shared" ca="1" si="44"/>
        <v>14277.467088034286</v>
      </c>
      <c r="CF64" s="10">
        <f t="shared" ca="1" si="44"/>
        <v>12885.692886540881</v>
      </c>
      <c r="CG64" s="10">
        <f t="shared" ca="1" si="44"/>
        <v>21245.531205489882</v>
      </c>
      <c r="CH64" s="10">
        <f t="shared" ca="1" si="44"/>
        <v>35896.873543684196</v>
      </c>
      <c r="CI64" s="10">
        <f t="shared" ca="1" si="44"/>
        <v>14848.565771555655</v>
      </c>
      <c r="CJ64" s="10">
        <f t="shared" ca="1" si="44"/>
        <v>13550.021942024769</v>
      </c>
      <c r="CK64" s="10">
        <f t="shared" ca="1" si="44"/>
        <v>22095.352453709482</v>
      </c>
      <c r="CL64" s="10">
        <f t="shared" ca="1" si="44"/>
        <v>37332.748485431563</v>
      </c>
      <c r="CM64" s="10">
        <f t="shared" ca="1" si="44"/>
        <v>15442.508402417881</v>
      </c>
      <c r="CN64" s="10">
        <f ca="1" xml:space="preserve"> CN120</f>
        <v>13937.165426082618</v>
      </c>
      <c r="CO64" s="10">
        <f ca="1" xml:space="preserve"> CO120</f>
        <v>22979.166551857859</v>
      </c>
      <c r="CS64" s="47"/>
      <c r="CU64" s="11"/>
      <c r="GB64" s="47"/>
      <c r="GG64" s="47"/>
      <c r="GI64" s="11"/>
      <c r="JP64" s="47"/>
      <c r="JU64" s="47"/>
      <c r="JW64" s="11"/>
      <c r="ND64" s="47"/>
      <c r="NI64" s="47"/>
      <c r="NK64" s="11"/>
      <c r="QR64" s="47"/>
      <c r="QW64" s="47"/>
      <c r="QY64" s="11"/>
      <c r="UF64" s="47"/>
      <c r="UK64" s="47"/>
      <c r="UM64" s="11"/>
      <c r="XT64" s="47"/>
      <c r="XY64" s="47"/>
      <c r="YA64" s="11"/>
      <c r="ABH64" s="47"/>
      <c r="ABM64" s="47"/>
      <c r="ABO64" s="11"/>
      <c r="AEV64" s="47"/>
      <c r="AFA64" s="47"/>
      <c r="AFC64" s="11"/>
      <c r="AIJ64" s="47"/>
      <c r="AIO64" s="47"/>
      <c r="AIQ64" s="11"/>
      <c r="ALX64" s="47"/>
      <c r="AMC64" s="47"/>
      <c r="AME64" s="11"/>
      <c r="APL64" s="47"/>
      <c r="APQ64" s="47"/>
      <c r="APS64" s="11"/>
      <c r="ASZ64" s="47"/>
      <c r="ATE64" s="47"/>
      <c r="ATG64" s="11"/>
      <c r="AWN64" s="47"/>
      <c r="AWS64" s="47"/>
      <c r="AWU64" s="11"/>
      <c r="BAB64" s="47"/>
      <c r="BAG64" s="47"/>
      <c r="BAI64" s="11"/>
      <c r="BDP64" s="47"/>
      <c r="BDU64" s="47"/>
      <c r="BDW64" s="11"/>
      <c r="BHD64" s="47"/>
      <c r="BHI64" s="47"/>
      <c r="BHK64" s="11"/>
      <c r="BKR64" s="47"/>
      <c r="BKW64" s="47"/>
      <c r="BKY64" s="11"/>
      <c r="BOF64" s="47"/>
      <c r="BOK64" s="47"/>
      <c r="BOM64" s="11"/>
      <c r="BRT64" s="47"/>
      <c r="BRY64" s="47"/>
      <c r="BSA64" s="11"/>
      <c r="BVH64" s="47"/>
      <c r="BVM64" s="47"/>
      <c r="BVO64" s="11"/>
      <c r="BYV64" s="47"/>
      <c r="BZA64" s="47"/>
      <c r="BZC64" s="11"/>
      <c r="CCJ64" s="47"/>
      <c r="CCO64" s="47"/>
      <c r="CCQ64" s="11"/>
      <c r="CFX64" s="47"/>
      <c r="CGC64" s="47"/>
      <c r="CGE64" s="11"/>
      <c r="CJL64" s="47"/>
      <c r="CJQ64" s="47"/>
      <c r="CJS64" s="11"/>
      <c r="CMZ64" s="47"/>
      <c r="CNE64" s="47"/>
      <c r="CNG64" s="11"/>
      <c r="CQN64" s="47"/>
      <c r="CQS64" s="47"/>
      <c r="CQU64" s="11"/>
      <c r="CUB64" s="47"/>
      <c r="CUG64" s="47"/>
      <c r="CUI64" s="11"/>
      <c r="CXP64" s="47"/>
      <c r="CXU64" s="47"/>
      <c r="CXW64" s="11"/>
      <c r="DBD64" s="47"/>
      <c r="DBI64" s="47"/>
      <c r="DBK64" s="11"/>
      <c r="DER64" s="47"/>
      <c r="DEW64" s="47"/>
      <c r="DEY64" s="11"/>
      <c r="DIF64" s="47"/>
      <c r="DIK64" s="47"/>
      <c r="DIM64" s="11"/>
      <c r="DLT64" s="47"/>
      <c r="DLY64" s="47"/>
      <c r="DMA64" s="11"/>
      <c r="DPH64" s="47"/>
      <c r="DPM64" s="47"/>
      <c r="DPO64" s="11"/>
      <c r="DSV64" s="47"/>
      <c r="DTA64" s="47"/>
      <c r="DTC64" s="11"/>
      <c r="DWJ64" s="47"/>
      <c r="DWO64" s="47"/>
      <c r="DWQ64" s="11"/>
      <c r="DZX64" s="47"/>
      <c r="EAC64" s="47"/>
      <c r="EAE64" s="11"/>
      <c r="EDL64" s="47"/>
      <c r="EDQ64" s="47"/>
      <c r="EDS64" s="11"/>
      <c r="EGZ64" s="47"/>
      <c r="EHE64" s="47"/>
      <c r="EHG64" s="11"/>
      <c r="EKN64" s="47"/>
      <c r="EKS64" s="47"/>
      <c r="EKU64" s="11"/>
      <c r="EOB64" s="47"/>
      <c r="EOG64" s="47"/>
      <c r="EOI64" s="11"/>
      <c r="ERP64" s="47"/>
      <c r="ERU64" s="47"/>
      <c r="ERW64" s="11"/>
      <c r="EVD64" s="47"/>
      <c r="EVI64" s="47"/>
      <c r="EVK64" s="11"/>
      <c r="EYR64" s="47"/>
      <c r="EYW64" s="47"/>
      <c r="EYY64" s="11"/>
      <c r="FCF64" s="47"/>
      <c r="FCK64" s="47"/>
      <c r="FCM64" s="11"/>
      <c r="FFT64" s="47"/>
      <c r="FFY64" s="47"/>
      <c r="FGA64" s="11"/>
      <c r="FJH64" s="47"/>
      <c r="FJM64" s="47"/>
      <c r="FJO64" s="11"/>
      <c r="FMV64" s="47"/>
      <c r="FNA64" s="47"/>
      <c r="FNC64" s="11"/>
      <c r="FQJ64" s="47"/>
      <c r="FQO64" s="47"/>
      <c r="FQQ64" s="11"/>
      <c r="FTX64" s="47"/>
      <c r="FUC64" s="47"/>
      <c r="FUE64" s="11"/>
      <c r="FXL64" s="47"/>
      <c r="FXQ64" s="47"/>
      <c r="FXS64" s="11"/>
      <c r="GAZ64" s="47"/>
      <c r="GBE64" s="47"/>
      <c r="GBG64" s="11"/>
      <c r="GEN64" s="47"/>
      <c r="GES64" s="47"/>
      <c r="GEU64" s="11"/>
      <c r="GIB64" s="47"/>
      <c r="GIG64" s="47"/>
      <c r="GII64" s="11"/>
      <c r="GLP64" s="47"/>
      <c r="GLU64" s="47"/>
      <c r="GLW64" s="11"/>
      <c r="GPD64" s="47"/>
      <c r="GPI64" s="47"/>
      <c r="GPK64" s="11"/>
      <c r="GSR64" s="47"/>
      <c r="GSW64" s="47"/>
      <c r="GSY64" s="11"/>
      <c r="GWF64" s="47"/>
      <c r="GWK64" s="47"/>
      <c r="GWM64" s="11"/>
      <c r="GZT64" s="47"/>
      <c r="GZY64" s="47"/>
      <c r="HAA64" s="11"/>
      <c r="HDH64" s="47"/>
      <c r="HDM64" s="47"/>
      <c r="HDO64" s="11"/>
      <c r="HGV64" s="47"/>
      <c r="HHA64" s="47"/>
      <c r="HHC64" s="11"/>
      <c r="HKJ64" s="47"/>
      <c r="HKO64" s="47"/>
      <c r="HKQ64" s="11"/>
      <c r="HNX64" s="47"/>
      <c r="HOC64" s="47"/>
      <c r="HOE64" s="11"/>
      <c r="HRL64" s="47"/>
      <c r="HRQ64" s="47"/>
      <c r="HRS64" s="11"/>
      <c r="HUZ64" s="47"/>
      <c r="HVE64" s="47"/>
      <c r="HVG64" s="11"/>
      <c r="HYN64" s="47"/>
      <c r="HYS64" s="47"/>
      <c r="HYU64" s="11"/>
      <c r="ICB64" s="47"/>
      <c r="ICG64" s="47"/>
      <c r="ICI64" s="11"/>
      <c r="IFP64" s="47"/>
      <c r="IFU64" s="47"/>
      <c r="IFW64" s="11"/>
      <c r="IJD64" s="47"/>
      <c r="IJI64" s="47"/>
      <c r="IJK64" s="11"/>
      <c r="IMR64" s="47"/>
      <c r="IMW64" s="47"/>
      <c r="IMY64" s="11"/>
      <c r="IQF64" s="47"/>
      <c r="IQK64" s="47"/>
      <c r="IQM64" s="11"/>
      <c r="ITT64" s="47"/>
      <c r="ITY64" s="47"/>
      <c r="IUA64" s="11"/>
      <c r="IXH64" s="47"/>
      <c r="IXM64" s="47"/>
      <c r="IXO64" s="11"/>
      <c r="JAV64" s="47"/>
      <c r="JBA64" s="47"/>
      <c r="JBC64" s="11"/>
      <c r="JEJ64" s="47"/>
      <c r="JEO64" s="47"/>
      <c r="JEQ64" s="11"/>
      <c r="JHX64" s="47"/>
      <c r="JIC64" s="47"/>
      <c r="JIE64" s="11"/>
      <c r="JLL64" s="47"/>
      <c r="JLQ64" s="47"/>
      <c r="JLS64" s="11"/>
      <c r="JOZ64" s="47"/>
      <c r="JPE64" s="47"/>
      <c r="JPG64" s="11"/>
      <c r="JSN64" s="47"/>
      <c r="JSS64" s="47"/>
      <c r="JSU64" s="11"/>
      <c r="JWB64" s="47"/>
      <c r="JWG64" s="47"/>
      <c r="JWI64" s="11"/>
      <c r="JZP64" s="47"/>
      <c r="JZU64" s="47"/>
      <c r="JZW64" s="11"/>
      <c r="KDD64" s="47"/>
      <c r="KDI64" s="47"/>
      <c r="KDK64" s="11"/>
      <c r="KGR64" s="47"/>
      <c r="KGW64" s="47"/>
      <c r="KGY64" s="11"/>
      <c r="KKF64" s="47"/>
      <c r="KKK64" s="47"/>
      <c r="KKM64" s="11"/>
      <c r="KNT64" s="47"/>
      <c r="KNY64" s="47"/>
      <c r="KOA64" s="11"/>
      <c r="KRH64" s="47"/>
      <c r="KRM64" s="47"/>
      <c r="KRO64" s="11"/>
      <c r="KUV64" s="47"/>
      <c r="KVA64" s="47"/>
      <c r="KVC64" s="11"/>
      <c r="KYJ64" s="47"/>
      <c r="KYO64" s="47"/>
      <c r="KYQ64" s="11"/>
      <c r="LBX64" s="47"/>
      <c r="LCC64" s="47"/>
      <c r="LCE64" s="11"/>
      <c r="LFL64" s="47"/>
      <c r="LFQ64" s="47"/>
      <c r="LFS64" s="11"/>
      <c r="LIZ64" s="47"/>
      <c r="LJE64" s="47"/>
      <c r="LJG64" s="11"/>
      <c r="LMN64" s="47"/>
      <c r="LMS64" s="47"/>
      <c r="LMU64" s="11"/>
      <c r="LQB64" s="47"/>
      <c r="LQG64" s="47"/>
      <c r="LQI64" s="11"/>
      <c r="LTP64" s="47"/>
      <c r="LTU64" s="47"/>
      <c r="LTW64" s="11"/>
      <c r="LXD64" s="47"/>
      <c r="LXI64" s="47"/>
      <c r="LXK64" s="11"/>
      <c r="MAR64" s="47"/>
      <c r="MAW64" s="47"/>
      <c r="MAY64" s="11"/>
      <c r="MEF64" s="47"/>
      <c r="MEK64" s="47"/>
      <c r="MEM64" s="11"/>
      <c r="MHT64" s="47"/>
      <c r="MHY64" s="47"/>
      <c r="MIA64" s="11"/>
      <c r="MLH64" s="47"/>
      <c r="MLM64" s="47"/>
      <c r="MLO64" s="11"/>
      <c r="MOV64" s="47"/>
      <c r="MPA64" s="47"/>
      <c r="MPC64" s="11"/>
      <c r="MSJ64" s="47"/>
      <c r="MSO64" s="47"/>
      <c r="MSQ64" s="11"/>
      <c r="MVX64" s="47"/>
      <c r="MWC64" s="47"/>
      <c r="MWE64" s="11"/>
      <c r="MZL64" s="47"/>
      <c r="MZQ64" s="47"/>
      <c r="MZS64" s="11"/>
      <c r="NCZ64" s="47"/>
      <c r="NDE64" s="47"/>
      <c r="NDG64" s="11"/>
      <c r="NGN64" s="47"/>
      <c r="NGS64" s="47"/>
      <c r="NGU64" s="11"/>
      <c r="NKB64" s="47"/>
      <c r="NKG64" s="47"/>
      <c r="NKI64" s="11"/>
      <c r="NNP64" s="47"/>
      <c r="NNU64" s="47"/>
      <c r="NNW64" s="11"/>
      <c r="NRD64" s="47"/>
      <c r="NRI64" s="47"/>
      <c r="NRK64" s="11"/>
      <c r="NUR64" s="47"/>
      <c r="NUW64" s="47"/>
      <c r="NUY64" s="11"/>
      <c r="NYF64" s="47"/>
      <c r="NYK64" s="47"/>
      <c r="NYM64" s="11"/>
      <c r="OBT64" s="47"/>
      <c r="OBY64" s="47"/>
      <c r="OCA64" s="11"/>
      <c r="OFH64" s="47"/>
      <c r="OFM64" s="47"/>
      <c r="OFO64" s="11"/>
      <c r="OIV64" s="47"/>
      <c r="OJA64" s="47"/>
      <c r="OJC64" s="11"/>
      <c r="OMJ64" s="47"/>
      <c r="OMO64" s="47"/>
      <c r="OMQ64" s="11"/>
      <c r="OPX64" s="47"/>
      <c r="OQC64" s="47"/>
      <c r="OQE64" s="11"/>
      <c r="OTL64" s="47"/>
      <c r="OTQ64" s="47"/>
      <c r="OTS64" s="11"/>
      <c r="OWZ64" s="47"/>
      <c r="OXE64" s="47"/>
      <c r="OXG64" s="11"/>
      <c r="PAN64" s="47"/>
      <c r="PAS64" s="47"/>
      <c r="PAU64" s="11"/>
      <c r="PEB64" s="47"/>
      <c r="PEG64" s="47"/>
      <c r="PEI64" s="11"/>
      <c r="PHP64" s="47"/>
      <c r="PHU64" s="47"/>
      <c r="PHW64" s="11"/>
      <c r="PLD64" s="47"/>
      <c r="PLI64" s="47"/>
      <c r="PLK64" s="11"/>
      <c r="POR64" s="47"/>
      <c r="POW64" s="47"/>
      <c r="POY64" s="11"/>
      <c r="PSF64" s="47"/>
      <c r="PSK64" s="47"/>
      <c r="PSM64" s="11"/>
      <c r="PVT64" s="47"/>
      <c r="PVY64" s="47"/>
      <c r="PWA64" s="11"/>
      <c r="PZH64" s="47"/>
      <c r="PZM64" s="47"/>
      <c r="PZO64" s="11"/>
      <c r="QCV64" s="47"/>
      <c r="QDA64" s="47"/>
      <c r="QDC64" s="11"/>
      <c r="QGJ64" s="47"/>
      <c r="QGO64" s="47"/>
      <c r="QGQ64" s="11"/>
      <c r="QJX64" s="47"/>
      <c r="QKC64" s="47"/>
      <c r="QKE64" s="11"/>
      <c r="QNL64" s="47"/>
      <c r="QNQ64" s="47"/>
      <c r="QNS64" s="11"/>
      <c r="QQZ64" s="47"/>
      <c r="QRE64" s="47"/>
      <c r="QRG64" s="11"/>
      <c r="QUN64" s="47"/>
      <c r="QUS64" s="47"/>
      <c r="QUU64" s="11"/>
      <c r="QYB64" s="47"/>
      <c r="QYG64" s="47"/>
      <c r="QYI64" s="11"/>
      <c r="RBP64" s="47"/>
      <c r="RBU64" s="47"/>
      <c r="RBW64" s="11"/>
      <c r="RFD64" s="47"/>
      <c r="RFI64" s="47"/>
      <c r="RFK64" s="11"/>
      <c r="RIR64" s="47"/>
      <c r="RIW64" s="47"/>
      <c r="RIY64" s="11"/>
      <c r="RMF64" s="47"/>
      <c r="RMK64" s="47"/>
      <c r="RMM64" s="11"/>
      <c r="RPT64" s="47"/>
      <c r="RPY64" s="47"/>
      <c r="RQA64" s="11"/>
      <c r="RTH64" s="47"/>
      <c r="RTM64" s="47"/>
      <c r="RTO64" s="11"/>
      <c r="RWV64" s="47"/>
      <c r="RXA64" s="47"/>
      <c r="RXC64" s="11"/>
      <c r="SAJ64" s="47"/>
      <c r="SAO64" s="47"/>
      <c r="SAQ64" s="11"/>
      <c r="SDX64" s="47"/>
      <c r="SEC64" s="47"/>
      <c r="SEE64" s="11"/>
      <c r="SHL64" s="47"/>
      <c r="SHQ64" s="47"/>
      <c r="SHS64" s="11"/>
      <c r="SKZ64" s="47"/>
      <c r="SLE64" s="47"/>
      <c r="SLG64" s="11"/>
      <c r="SON64" s="47"/>
      <c r="SOS64" s="47"/>
      <c r="SOU64" s="11"/>
      <c r="SSB64" s="47"/>
      <c r="SSG64" s="47"/>
      <c r="SSI64" s="11"/>
      <c r="SVP64" s="47"/>
      <c r="SVU64" s="47"/>
      <c r="SVW64" s="11"/>
      <c r="SZD64" s="47"/>
      <c r="SZI64" s="47"/>
      <c r="SZK64" s="11"/>
      <c r="TCR64" s="47"/>
      <c r="TCW64" s="47"/>
      <c r="TCY64" s="11"/>
      <c r="TGF64" s="47"/>
      <c r="TGK64" s="47"/>
      <c r="TGM64" s="11"/>
      <c r="TJT64" s="47"/>
      <c r="TJY64" s="47"/>
      <c r="TKA64" s="11"/>
      <c r="TNH64" s="47"/>
      <c r="TNM64" s="47"/>
      <c r="TNO64" s="11"/>
      <c r="TQV64" s="47"/>
      <c r="TRA64" s="47"/>
      <c r="TRC64" s="11"/>
      <c r="TUJ64" s="47"/>
      <c r="TUO64" s="47"/>
      <c r="TUQ64" s="11"/>
      <c r="TXX64" s="47"/>
      <c r="TYC64" s="47"/>
      <c r="TYE64" s="11"/>
      <c r="UBL64" s="47"/>
      <c r="UBQ64" s="47"/>
      <c r="UBS64" s="11"/>
      <c r="UEZ64" s="47"/>
      <c r="UFE64" s="47"/>
      <c r="UFG64" s="11"/>
      <c r="UIN64" s="47"/>
      <c r="UIS64" s="47"/>
      <c r="UIU64" s="11"/>
      <c r="UMB64" s="47"/>
      <c r="UMG64" s="47"/>
      <c r="UMI64" s="11"/>
      <c r="UPP64" s="47"/>
      <c r="UPU64" s="47"/>
      <c r="UPW64" s="11"/>
      <c r="UTD64" s="47"/>
      <c r="UTI64" s="47"/>
      <c r="UTK64" s="11"/>
      <c r="UWR64" s="47"/>
      <c r="UWW64" s="47"/>
      <c r="UWY64" s="11"/>
      <c r="VAF64" s="47"/>
      <c r="VAK64" s="47"/>
      <c r="VAM64" s="11"/>
      <c r="VDT64" s="47"/>
      <c r="VDY64" s="47"/>
      <c r="VEA64" s="11"/>
      <c r="VHH64" s="47"/>
      <c r="VHM64" s="47"/>
      <c r="VHO64" s="11"/>
      <c r="VKV64" s="47"/>
      <c r="VLA64" s="47"/>
      <c r="VLC64" s="11"/>
      <c r="VOJ64" s="47"/>
      <c r="VOO64" s="47"/>
      <c r="VOQ64" s="11"/>
      <c r="VRX64" s="47"/>
      <c r="VSC64" s="47"/>
      <c r="VSE64" s="11"/>
      <c r="VVL64" s="47"/>
      <c r="VVQ64" s="47"/>
      <c r="VVS64" s="11"/>
      <c r="VYZ64" s="47"/>
      <c r="VZE64" s="47"/>
      <c r="VZG64" s="11"/>
      <c r="WCN64" s="47"/>
      <c r="WCS64" s="47"/>
      <c r="WCU64" s="11"/>
      <c r="WGB64" s="47"/>
      <c r="WGG64" s="47"/>
      <c r="WGI64" s="11"/>
      <c r="WJP64" s="47"/>
      <c r="WJU64" s="47"/>
      <c r="WJW64" s="11"/>
      <c r="WND64" s="47"/>
      <c r="WNI64" s="47"/>
      <c r="WNK64" s="11"/>
      <c r="WQR64" s="47"/>
      <c r="WQW64" s="47"/>
      <c r="WQY64" s="11"/>
      <c r="WUF64" s="47"/>
      <c r="WUK64" s="47"/>
      <c r="WUM64" s="11"/>
      <c r="WXT64" s="47"/>
      <c r="WXY64" s="47"/>
      <c r="WYA64" s="11"/>
      <c r="XBH64" s="47"/>
      <c r="XBM64" s="47"/>
      <c r="XBO64" s="11"/>
      <c r="XEV64" s="47"/>
      <c r="XFA64" s="47"/>
      <c r="XFC64" s="11"/>
    </row>
    <row r="65" spans="1:1019 1104:2031 2116:3043 3128:4055 4140:5067 5152:6079 6164:7091 7176:8188 8193:9207 9292:10219 10304:11231 11316:12243 12328:13255 13340:14267 14352:15279 15364:16383" s="10" customFormat="1" ht="14.65" customHeight="1" thickBot="1">
      <c r="C65" s="17" t="s">
        <v>1007</v>
      </c>
      <c r="E65" s="47"/>
      <c r="G65" s="11" t="str">
        <f t="shared" si="33"/>
        <v>тыс. руб.</v>
      </c>
      <c r="I65" s="23">
        <f t="shared" ca="1" si="34"/>
        <v>447648.48053231894</v>
      </c>
      <c r="L65" s="10">
        <f ca="1" xml:space="preserve"> L119</f>
        <v>0</v>
      </c>
      <c r="M65" s="10">
        <f t="shared" ref="M65:BX65" ca="1" si="45" xml:space="preserve"> M119</f>
        <v>0</v>
      </c>
      <c r="N65" s="10">
        <f t="shared" ca="1" si="45"/>
        <v>0</v>
      </c>
      <c r="O65" s="10">
        <f t="shared" ca="1" si="45"/>
        <v>0</v>
      </c>
      <c r="P65" s="10">
        <f t="shared" ca="1" si="45"/>
        <v>0</v>
      </c>
      <c r="Q65" s="10">
        <f t="shared" ca="1" si="45"/>
        <v>0</v>
      </c>
      <c r="R65" s="10">
        <f t="shared" ca="1" si="45"/>
        <v>0</v>
      </c>
      <c r="S65" s="10">
        <f t="shared" ca="1" si="45"/>
        <v>0</v>
      </c>
      <c r="T65" s="10">
        <f t="shared" ca="1" si="45"/>
        <v>0</v>
      </c>
      <c r="U65" s="10">
        <f t="shared" ca="1" si="45"/>
        <v>0</v>
      </c>
      <c r="V65" s="10">
        <f t="shared" ca="1" si="45"/>
        <v>0</v>
      </c>
      <c r="W65" s="10">
        <f t="shared" ca="1" si="45"/>
        <v>0</v>
      </c>
      <c r="X65" s="10">
        <f t="shared" ca="1" si="45"/>
        <v>0</v>
      </c>
      <c r="Y65" s="10">
        <f t="shared" ca="1" si="45"/>
        <v>0</v>
      </c>
      <c r="Z65" s="10">
        <f t="shared" ca="1" si="45"/>
        <v>0</v>
      </c>
      <c r="AA65" s="10">
        <f t="shared" ca="1" si="45"/>
        <v>0</v>
      </c>
      <c r="AB65" s="10">
        <f t="shared" ca="1" si="45"/>
        <v>0</v>
      </c>
      <c r="AC65" s="10">
        <f t="shared" ca="1" si="45"/>
        <v>3869.5772886875634</v>
      </c>
      <c r="AD65" s="10">
        <f t="shared" ca="1" si="45"/>
        <v>6736.8817843312945</v>
      </c>
      <c r="AE65" s="10">
        <f t="shared" ca="1" si="45"/>
        <v>2868.8970245798178</v>
      </c>
      <c r="AF65" s="10">
        <f t="shared" ca="1" si="45"/>
        <v>2663.439756738569</v>
      </c>
      <c r="AG65" s="10">
        <f t="shared" ca="1" si="45"/>
        <v>4513.7424758562438</v>
      </c>
      <c r="AH65" s="10">
        <f t="shared" ca="1" si="45"/>
        <v>7833.2268115672368</v>
      </c>
      <c r="AI65" s="10">
        <f t="shared" ca="1" si="45"/>
        <v>3325.6835266837047</v>
      </c>
      <c r="AJ65" s="10">
        <f t="shared" ca="1" si="45"/>
        <v>3078.6666624433251</v>
      </c>
      <c r="AK65" s="10">
        <f t="shared" ca="1" si="45"/>
        <v>5203.2495543365194</v>
      </c>
      <c r="AL65" s="10">
        <f t="shared" ca="1" si="45"/>
        <v>9006.5004301271256</v>
      </c>
      <c r="AM65" s="10">
        <f t="shared" ca="1" si="45"/>
        <v>3814.4227137165758</v>
      </c>
      <c r="AN65" s="10">
        <f t="shared" ca="1" si="45"/>
        <v>3561.992997182499</v>
      </c>
      <c r="AO65" s="10">
        <f t="shared" ca="1" si="45"/>
        <v>5940.6952111338442</v>
      </c>
      <c r="AP65" s="10">
        <f t="shared" ca="1" si="45"/>
        <v>10037.51719328802</v>
      </c>
      <c r="AQ65" s="10">
        <f t="shared" ca="1" si="45"/>
        <v>4151.9697821673089</v>
      </c>
      <c r="AR65" s="10">
        <f t="shared" ca="1" si="45"/>
        <v>3747.2338165671081</v>
      </c>
      <c r="AS65" s="10">
        <f t="shared" ca="1" si="45"/>
        <v>6178.3230195791975</v>
      </c>
      <c r="AT65" s="10">
        <f t="shared" ca="1" si="45"/>
        <v>10439.017881019541</v>
      </c>
      <c r="AU65" s="10">
        <f t="shared" ca="1" si="45"/>
        <v>4318.0485734540007</v>
      </c>
      <c r="AV65" s="10">
        <f t="shared" ca="1" si="45"/>
        <v>3897.1231692297915</v>
      </c>
      <c r="AW65" s="10">
        <f t="shared" ca="1" si="45"/>
        <v>6425.4559403623643</v>
      </c>
      <c r="AX65" s="10">
        <f t="shared" ca="1" si="45"/>
        <v>10856.578596260324</v>
      </c>
      <c r="AY65" s="10">
        <f t="shared" ca="1" si="45"/>
        <v>4490.7705163921601</v>
      </c>
      <c r="AZ65" s="10">
        <f t="shared" ca="1" si="45"/>
        <v>4053.0080959989828</v>
      </c>
      <c r="BA65" s="10">
        <f t="shared" ca="1" si="45"/>
        <v>6682.4741779768574</v>
      </c>
      <c r="BB65" s="10">
        <f t="shared" ca="1" si="45"/>
        <v>11290.841740110731</v>
      </c>
      <c r="BC65" s="10">
        <f t="shared" ca="1" si="45"/>
        <v>4670.4013370478451</v>
      </c>
      <c r="BD65" s="10">
        <f t="shared" ca="1" si="45"/>
        <v>4261.9631800593743</v>
      </c>
      <c r="BE65" s="10">
        <f t="shared" ca="1" si="45"/>
        <v>6949.77314509593</v>
      </c>
      <c r="BF65" s="10">
        <f t="shared" ca="1" si="45"/>
        <v>11742.47540971516</v>
      </c>
      <c r="BG65" s="10">
        <f t="shared" ca="1" si="45"/>
        <v>4857.2173905297577</v>
      </c>
      <c r="BH65" s="10">
        <f t="shared" ca="1" si="45"/>
        <v>4383.7335566324982</v>
      </c>
      <c r="BI65" s="10">
        <f t="shared" ca="1" si="45"/>
        <v>7227.7640708997669</v>
      </c>
      <c r="BJ65" s="10">
        <f t="shared" ca="1" si="45"/>
        <v>12212.174426103764</v>
      </c>
      <c r="BK65" s="10">
        <f t="shared" ca="1" si="45"/>
        <v>5051.5060861509501</v>
      </c>
      <c r="BL65" s="10">
        <f t="shared" ca="1" si="45"/>
        <v>4559.0828988977983</v>
      </c>
      <c r="BM65" s="10">
        <f t="shared" ca="1" si="45"/>
        <v>7516.874633735757</v>
      </c>
      <c r="BN65" s="10">
        <f t="shared" ca="1" si="45"/>
        <v>12700.661403147911</v>
      </c>
      <c r="BO65" s="10">
        <f t="shared" ca="1" si="45"/>
        <v>5253.5663295969853</v>
      </c>
      <c r="BP65" s="10">
        <f t="shared" ca="1" si="45"/>
        <v>4741.4462148537095</v>
      </c>
      <c r="BQ65" s="10">
        <f t="shared" ca="1" si="45"/>
        <v>7817.5496190851845</v>
      </c>
      <c r="BR65" s="10">
        <f t="shared" ca="1" si="45"/>
        <v>13208.687859273827</v>
      </c>
      <c r="BS65" s="10">
        <f t="shared" ca="1" si="45"/>
        <v>5463.7089827808641</v>
      </c>
      <c r="BT65" s="10">
        <f t="shared" ca="1" si="45"/>
        <v>4985.8941085972765</v>
      </c>
      <c r="BU65" s="10">
        <f t="shared" ca="1" si="45"/>
        <v>8130.251603848591</v>
      </c>
      <c r="BV65" s="10">
        <f t="shared" ca="1" si="45"/>
        <v>13737.035373644776</v>
      </c>
      <c r="BW65" s="10">
        <f t="shared" ca="1" si="45"/>
        <v>5682.2573420920971</v>
      </c>
      <c r="BX65" s="10">
        <f t="shared" ca="1" si="45"/>
        <v>5128.3482259857701</v>
      </c>
      <c r="BY65" s="10">
        <f t="shared" ref="BY65:CM65" ca="1" si="46" xml:space="preserve"> BY119</f>
        <v>8455.4616680025338</v>
      </c>
      <c r="BZ65" s="10">
        <f t="shared" ca="1" si="46"/>
        <v>14286.516788590565</v>
      </c>
      <c r="CA65" s="10">
        <f t="shared" ca="1" si="46"/>
        <v>5909.5476357757807</v>
      </c>
      <c r="CB65" s="10">
        <f t="shared" ca="1" si="46"/>
        <v>5333.4821550252009</v>
      </c>
      <c r="CC65" s="10">
        <f t="shared" ca="1" si="46"/>
        <v>8793.6801347226337</v>
      </c>
      <c r="CD65" s="10">
        <f t="shared" ca="1" si="46"/>
        <v>14857.977460134191</v>
      </c>
      <c r="CE65" s="10">
        <f t="shared" ca="1" si="46"/>
        <v>6145.9295412068122</v>
      </c>
      <c r="CF65" s="10">
        <f t="shared" ca="1" si="46"/>
        <v>5546.8214412262068</v>
      </c>
      <c r="CG65" s="10">
        <f t="shared" ca="1" si="46"/>
        <v>9145.4273401115388</v>
      </c>
      <c r="CH65" s="10">
        <f t="shared" ca="1" si="46"/>
        <v>15452.296558539554</v>
      </c>
      <c r="CI65" s="10">
        <f t="shared" ca="1" si="46"/>
        <v>6391.7667228550836</v>
      </c>
      <c r="CJ65" s="10">
        <f t="shared" ca="1" si="46"/>
        <v>5832.7909021960922</v>
      </c>
      <c r="CK65" s="10">
        <f t="shared" ca="1" si="46"/>
        <v>9511.2444337160014</v>
      </c>
      <c r="CL65" s="10">
        <f t="shared" ca="1" si="46"/>
        <v>16070.388420881136</v>
      </c>
      <c r="CM65" s="10">
        <f t="shared" ca="1" si="46"/>
        <v>6647.4373917692865</v>
      </c>
      <c r="CN65" s="10">
        <f ca="1" xml:space="preserve"> CN119</f>
        <v>5999.4420708302659</v>
      </c>
      <c r="CO65" s="10">
        <f ca="1" xml:space="preserve"> CO119</f>
        <v>9891.6942110646378</v>
      </c>
      <c r="CS65" s="47"/>
      <c r="CU65" s="11"/>
      <c r="GB65" s="47"/>
      <c r="GG65" s="47"/>
      <c r="GI65" s="11"/>
      <c r="JP65" s="47"/>
      <c r="JU65" s="47"/>
      <c r="JW65" s="11"/>
      <c r="ND65" s="47"/>
      <c r="NI65" s="47"/>
      <c r="NK65" s="11"/>
      <c r="QR65" s="47"/>
      <c r="QW65" s="47"/>
      <c r="QY65" s="11"/>
      <c r="UF65" s="47"/>
      <c r="UK65" s="47"/>
      <c r="UM65" s="11"/>
      <c r="XT65" s="47"/>
      <c r="XY65" s="47"/>
      <c r="YA65" s="11"/>
      <c r="ABH65" s="47"/>
      <c r="ABM65" s="47"/>
      <c r="ABO65" s="11"/>
      <c r="AEV65" s="47"/>
      <c r="AFA65" s="47"/>
      <c r="AFC65" s="11"/>
      <c r="AIJ65" s="47"/>
      <c r="AIO65" s="47"/>
      <c r="AIQ65" s="11"/>
      <c r="ALX65" s="47"/>
      <c r="AMC65" s="47"/>
      <c r="AME65" s="11"/>
      <c r="APL65" s="47"/>
      <c r="APQ65" s="47"/>
      <c r="APS65" s="11"/>
      <c r="ASZ65" s="47"/>
      <c r="ATE65" s="47"/>
      <c r="ATG65" s="11"/>
      <c r="AWN65" s="47"/>
      <c r="AWS65" s="47"/>
      <c r="AWU65" s="11"/>
      <c r="BAB65" s="47"/>
      <c r="BAG65" s="47"/>
      <c r="BAI65" s="11"/>
      <c r="BDP65" s="47"/>
      <c r="BDU65" s="47"/>
      <c r="BDW65" s="11"/>
      <c r="BHD65" s="47"/>
      <c r="BHI65" s="47"/>
      <c r="BHK65" s="11"/>
      <c r="BKR65" s="47"/>
      <c r="BKW65" s="47"/>
      <c r="BKY65" s="11"/>
      <c r="BOF65" s="47"/>
      <c r="BOK65" s="47"/>
      <c r="BOM65" s="11"/>
      <c r="BRT65" s="47"/>
      <c r="BRY65" s="47"/>
      <c r="BSA65" s="11"/>
      <c r="BVH65" s="47"/>
      <c r="BVM65" s="47"/>
      <c r="BVO65" s="11"/>
      <c r="BYV65" s="47"/>
      <c r="BZA65" s="47"/>
      <c r="BZC65" s="11"/>
      <c r="CCJ65" s="47"/>
      <c r="CCO65" s="47"/>
      <c r="CCQ65" s="11"/>
      <c r="CFX65" s="47"/>
      <c r="CGC65" s="47"/>
      <c r="CGE65" s="11"/>
      <c r="CJL65" s="47"/>
      <c r="CJQ65" s="47"/>
      <c r="CJS65" s="11"/>
      <c r="CMZ65" s="47"/>
      <c r="CNE65" s="47"/>
      <c r="CNG65" s="11"/>
      <c r="CQN65" s="47"/>
      <c r="CQS65" s="47"/>
      <c r="CQU65" s="11"/>
      <c r="CUB65" s="47"/>
      <c r="CUG65" s="47"/>
      <c r="CUI65" s="11"/>
      <c r="CXP65" s="47"/>
      <c r="CXU65" s="47"/>
      <c r="CXW65" s="11"/>
      <c r="DBD65" s="47"/>
      <c r="DBI65" s="47"/>
      <c r="DBK65" s="11"/>
      <c r="DER65" s="47"/>
      <c r="DEW65" s="47"/>
      <c r="DEY65" s="11"/>
      <c r="DIF65" s="47"/>
      <c r="DIK65" s="47"/>
      <c r="DIM65" s="11"/>
      <c r="DLT65" s="47"/>
      <c r="DLY65" s="47"/>
      <c r="DMA65" s="11"/>
      <c r="DPH65" s="47"/>
      <c r="DPM65" s="47"/>
      <c r="DPO65" s="11"/>
      <c r="DSV65" s="47"/>
      <c r="DTA65" s="47"/>
      <c r="DTC65" s="11"/>
      <c r="DWJ65" s="47"/>
      <c r="DWO65" s="47"/>
      <c r="DWQ65" s="11"/>
      <c r="DZX65" s="47"/>
      <c r="EAC65" s="47"/>
      <c r="EAE65" s="11"/>
      <c r="EDL65" s="47"/>
      <c r="EDQ65" s="47"/>
      <c r="EDS65" s="11"/>
      <c r="EGZ65" s="47"/>
      <c r="EHE65" s="47"/>
      <c r="EHG65" s="11"/>
      <c r="EKN65" s="47"/>
      <c r="EKS65" s="47"/>
      <c r="EKU65" s="11"/>
      <c r="EOB65" s="47"/>
      <c r="EOG65" s="47"/>
      <c r="EOI65" s="11"/>
      <c r="ERP65" s="47"/>
      <c r="ERU65" s="47"/>
      <c r="ERW65" s="11"/>
      <c r="EVD65" s="47"/>
      <c r="EVI65" s="47"/>
      <c r="EVK65" s="11"/>
      <c r="EYR65" s="47"/>
      <c r="EYW65" s="47"/>
      <c r="EYY65" s="11"/>
      <c r="FCF65" s="47"/>
      <c r="FCK65" s="47"/>
      <c r="FCM65" s="11"/>
      <c r="FFT65" s="47"/>
      <c r="FFY65" s="47"/>
      <c r="FGA65" s="11"/>
      <c r="FJH65" s="47"/>
      <c r="FJM65" s="47"/>
      <c r="FJO65" s="11"/>
      <c r="FMV65" s="47"/>
      <c r="FNA65" s="47"/>
      <c r="FNC65" s="11"/>
      <c r="FQJ65" s="47"/>
      <c r="FQO65" s="47"/>
      <c r="FQQ65" s="11"/>
      <c r="FTX65" s="47"/>
      <c r="FUC65" s="47"/>
      <c r="FUE65" s="11"/>
      <c r="FXL65" s="47"/>
      <c r="FXQ65" s="47"/>
      <c r="FXS65" s="11"/>
      <c r="GAZ65" s="47"/>
      <c r="GBE65" s="47"/>
      <c r="GBG65" s="11"/>
      <c r="GEN65" s="47"/>
      <c r="GES65" s="47"/>
      <c r="GEU65" s="11"/>
      <c r="GIB65" s="47"/>
      <c r="GIG65" s="47"/>
      <c r="GII65" s="11"/>
      <c r="GLP65" s="47"/>
      <c r="GLU65" s="47"/>
      <c r="GLW65" s="11"/>
      <c r="GPD65" s="47"/>
      <c r="GPI65" s="47"/>
      <c r="GPK65" s="11"/>
      <c r="GSR65" s="47"/>
      <c r="GSW65" s="47"/>
      <c r="GSY65" s="11"/>
      <c r="GWF65" s="47"/>
      <c r="GWK65" s="47"/>
      <c r="GWM65" s="11"/>
      <c r="GZT65" s="47"/>
      <c r="GZY65" s="47"/>
      <c r="HAA65" s="11"/>
      <c r="HDH65" s="47"/>
      <c r="HDM65" s="47"/>
      <c r="HDO65" s="11"/>
      <c r="HGV65" s="47"/>
      <c r="HHA65" s="47"/>
      <c r="HHC65" s="11"/>
      <c r="HKJ65" s="47"/>
      <c r="HKO65" s="47"/>
      <c r="HKQ65" s="11"/>
      <c r="HNX65" s="47"/>
      <c r="HOC65" s="47"/>
      <c r="HOE65" s="11"/>
      <c r="HRL65" s="47"/>
      <c r="HRQ65" s="47"/>
      <c r="HRS65" s="11"/>
      <c r="HUZ65" s="47"/>
      <c r="HVE65" s="47"/>
      <c r="HVG65" s="11"/>
      <c r="HYN65" s="47"/>
      <c r="HYS65" s="47"/>
      <c r="HYU65" s="11"/>
      <c r="ICB65" s="47"/>
      <c r="ICG65" s="47"/>
      <c r="ICI65" s="11"/>
      <c r="IFP65" s="47"/>
      <c r="IFU65" s="47"/>
      <c r="IFW65" s="11"/>
      <c r="IJD65" s="47"/>
      <c r="IJI65" s="47"/>
      <c r="IJK65" s="11"/>
      <c r="IMR65" s="47"/>
      <c r="IMW65" s="47"/>
      <c r="IMY65" s="11"/>
      <c r="IQF65" s="47"/>
      <c r="IQK65" s="47"/>
      <c r="IQM65" s="11"/>
      <c r="ITT65" s="47"/>
      <c r="ITY65" s="47"/>
      <c r="IUA65" s="11"/>
      <c r="IXH65" s="47"/>
      <c r="IXM65" s="47"/>
      <c r="IXO65" s="11"/>
      <c r="JAV65" s="47"/>
      <c r="JBA65" s="47"/>
      <c r="JBC65" s="11"/>
      <c r="JEJ65" s="47"/>
      <c r="JEO65" s="47"/>
      <c r="JEQ65" s="11"/>
      <c r="JHX65" s="47"/>
      <c r="JIC65" s="47"/>
      <c r="JIE65" s="11"/>
      <c r="JLL65" s="47"/>
      <c r="JLQ65" s="47"/>
      <c r="JLS65" s="11"/>
      <c r="JOZ65" s="47"/>
      <c r="JPE65" s="47"/>
      <c r="JPG65" s="11"/>
      <c r="JSN65" s="47"/>
      <c r="JSS65" s="47"/>
      <c r="JSU65" s="11"/>
      <c r="JWB65" s="47"/>
      <c r="JWG65" s="47"/>
      <c r="JWI65" s="11"/>
      <c r="JZP65" s="47"/>
      <c r="JZU65" s="47"/>
      <c r="JZW65" s="11"/>
      <c r="KDD65" s="47"/>
      <c r="KDI65" s="47"/>
      <c r="KDK65" s="11"/>
      <c r="KGR65" s="47"/>
      <c r="KGW65" s="47"/>
      <c r="KGY65" s="11"/>
      <c r="KKF65" s="47"/>
      <c r="KKK65" s="47"/>
      <c r="KKM65" s="11"/>
      <c r="KNT65" s="47"/>
      <c r="KNY65" s="47"/>
      <c r="KOA65" s="11"/>
      <c r="KRH65" s="47"/>
      <c r="KRM65" s="47"/>
      <c r="KRO65" s="11"/>
      <c r="KUV65" s="47"/>
      <c r="KVA65" s="47"/>
      <c r="KVC65" s="11"/>
      <c r="KYJ65" s="47"/>
      <c r="KYO65" s="47"/>
      <c r="KYQ65" s="11"/>
      <c r="LBX65" s="47"/>
      <c r="LCC65" s="47"/>
      <c r="LCE65" s="11"/>
      <c r="LFL65" s="47"/>
      <c r="LFQ65" s="47"/>
      <c r="LFS65" s="11"/>
      <c r="LIZ65" s="47"/>
      <c r="LJE65" s="47"/>
      <c r="LJG65" s="11"/>
      <c r="LMN65" s="47"/>
      <c r="LMS65" s="47"/>
      <c r="LMU65" s="11"/>
      <c r="LQB65" s="47"/>
      <c r="LQG65" s="47"/>
      <c r="LQI65" s="11"/>
      <c r="LTP65" s="47"/>
      <c r="LTU65" s="47"/>
      <c r="LTW65" s="11"/>
      <c r="LXD65" s="47"/>
      <c r="LXI65" s="47"/>
      <c r="LXK65" s="11"/>
      <c r="MAR65" s="47"/>
      <c r="MAW65" s="47"/>
      <c r="MAY65" s="11"/>
      <c r="MEF65" s="47"/>
      <c r="MEK65" s="47"/>
      <c r="MEM65" s="11"/>
      <c r="MHT65" s="47"/>
      <c r="MHY65" s="47"/>
      <c r="MIA65" s="11"/>
      <c r="MLH65" s="47"/>
      <c r="MLM65" s="47"/>
      <c r="MLO65" s="11"/>
      <c r="MOV65" s="47"/>
      <c r="MPA65" s="47"/>
      <c r="MPC65" s="11"/>
      <c r="MSJ65" s="47"/>
      <c r="MSO65" s="47"/>
      <c r="MSQ65" s="11"/>
      <c r="MVX65" s="47"/>
      <c r="MWC65" s="47"/>
      <c r="MWE65" s="11"/>
      <c r="MZL65" s="47"/>
      <c r="MZQ65" s="47"/>
      <c r="MZS65" s="11"/>
      <c r="NCZ65" s="47"/>
      <c r="NDE65" s="47"/>
      <c r="NDG65" s="11"/>
      <c r="NGN65" s="47"/>
      <c r="NGS65" s="47"/>
      <c r="NGU65" s="11"/>
      <c r="NKB65" s="47"/>
      <c r="NKG65" s="47"/>
      <c r="NKI65" s="11"/>
      <c r="NNP65" s="47"/>
      <c r="NNU65" s="47"/>
      <c r="NNW65" s="11"/>
      <c r="NRD65" s="47"/>
      <c r="NRI65" s="47"/>
      <c r="NRK65" s="11"/>
      <c r="NUR65" s="47"/>
      <c r="NUW65" s="47"/>
      <c r="NUY65" s="11"/>
      <c r="NYF65" s="47"/>
      <c r="NYK65" s="47"/>
      <c r="NYM65" s="11"/>
      <c r="OBT65" s="47"/>
      <c r="OBY65" s="47"/>
      <c r="OCA65" s="11"/>
      <c r="OFH65" s="47"/>
      <c r="OFM65" s="47"/>
      <c r="OFO65" s="11"/>
      <c r="OIV65" s="47"/>
      <c r="OJA65" s="47"/>
      <c r="OJC65" s="11"/>
      <c r="OMJ65" s="47"/>
      <c r="OMO65" s="47"/>
      <c r="OMQ65" s="11"/>
      <c r="OPX65" s="47"/>
      <c r="OQC65" s="47"/>
      <c r="OQE65" s="11"/>
      <c r="OTL65" s="47"/>
      <c r="OTQ65" s="47"/>
      <c r="OTS65" s="11"/>
      <c r="OWZ65" s="47"/>
      <c r="OXE65" s="47"/>
      <c r="OXG65" s="11"/>
      <c r="PAN65" s="47"/>
      <c r="PAS65" s="47"/>
      <c r="PAU65" s="11"/>
      <c r="PEB65" s="47"/>
      <c r="PEG65" s="47"/>
      <c r="PEI65" s="11"/>
      <c r="PHP65" s="47"/>
      <c r="PHU65" s="47"/>
      <c r="PHW65" s="11"/>
      <c r="PLD65" s="47"/>
      <c r="PLI65" s="47"/>
      <c r="PLK65" s="11"/>
      <c r="POR65" s="47"/>
      <c r="POW65" s="47"/>
      <c r="POY65" s="11"/>
      <c r="PSF65" s="47"/>
      <c r="PSK65" s="47"/>
      <c r="PSM65" s="11"/>
      <c r="PVT65" s="47"/>
      <c r="PVY65" s="47"/>
      <c r="PWA65" s="11"/>
      <c r="PZH65" s="47"/>
      <c r="PZM65" s="47"/>
      <c r="PZO65" s="11"/>
      <c r="QCV65" s="47"/>
      <c r="QDA65" s="47"/>
      <c r="QDC65" s="11"/>
      <c r="QGJ65" s="47"/>
      <c r="QGO65" s="47"/>
      <c r="QGQ65" s="11"/>
      <c r="QJX65" s="47"/>
      <c r="QKC65" s="47"/>
      <c r="QKE65" s="11"/>
      <c r="QNL65" s="47"/>
      <c r="QNQ65" s="47"/>
      <c r="QNS65" s="11"/>
      <c r="QQZ65" s="47"/>
      <c r="QRE65" s="47"/>
      <c r="QRG65" s="11"/>
      <c r="QUN65" s="47"/>
      <c r="QUS65" s="47"/>
      <c r="QUU65" s="11"/>
      <c r="QYB65" s="47"/>
      <c r="QYG65" s="47"/>
      <c r="QYI65" s="11"/>
      <c r="RBP65" s="47"/>
      <c r="RBU65" s="47"/>
      <c r="RBW65" s="11"/>
      <c r="RFD65" s="47"/>
      <c r="RFI65" s="47"/>
      <c r="RFK65" s="11"/>
      <c r="RIR65" s="47"/>
      <c r="RIW65" s="47"/>
      <c r="RIY65" s="11"/>
      <c r="RMF65" s="47"/>
      <c r="RMK65" s="47"/>
      <c r="RMM65" s="11"/>
      <c r="RPT65" s="47"/>
      <c r="RPY65" s="47"/>
      <c r="RQA65" s="11"/>
      <c r="RTH65" s="47"/>
      <c r="RTM65" s="47"/>
      <c r="RTO65" s="11"/>
      <c r="RWV65" s="47"/>
      <c r="RXA65" s="47"/>
      <c r="RXC65" s="11"/>
      <c r="SAJ65" s="47"/>
      <c r="SAO65" s="47"/>
      <c r="SAQ65" s="11"/>
      <c r="SDX65" s="47"/>
      <c r="SEC65" s="47"/>
      <c r="SEE65" s="11"/>
      <c r="SHL65" s="47"/>
      <c r="SHQ65" s="47"/>
      <c r="SHS65" s="11"/>
      <c r="SKZ65" s="47"/>
      <c r="SLE65" s="47"/>
      <c r="SLG65" s="11"/>
      <c r="SON65" s="47"/>
      <c r="SOS65" s="47"/>
      <c r="SOU65" s="11"/>
      <c r="SSB65" s="47"/>
      <c r="SSG65" s="47"/>
      <c r="SSI65" s="11"/>
      <c r="SVP65" s="47"/>
      <c r="SVU65" s="47"/>
      <c r="SVW65" s="11"/>
      <c r="SZD65" s="47"/>
      <c r="SZI65" s="47"/>
      <c r="SZK65" s="11"/>
      <c r="TCR65" s="47"/>
      <c r="TCW65" s="47"/>
      <c r="TCY65" s="11"/>
      <c r="TGF65" s="47"/>
      <c r="TGK65" s="47"/>
      <c r="TGM65" s="11"/>
      <c r="TJT65" s="47"/>
      <c r="TJY65" s="47"/>
      <c r="TKA65" s="11"/>
      <c r="TNH65" s="47"/>
      <c r="TNM65" s="47"/>
      <c r="TNO65" s="11"/>
      <c r="TQV65" s="47"/>
      <c r="TRA65" s="47"/>
      <c r="TRC65" s="11"/>
      <c r="TUJ65" s="47"/>
      <c r="TUO65" s="47"/>
      <c r="TUQ65" s="11"/>
      <c r="TXX65" s="47"/>
      <c r="TYC65" s="47"/>
      <c r="TYE65" s="11"/>
      <c r="UBL65" s="47"/>
      <c r="UBQ65" s="47"/>
      <c r="UBS65" s="11"/>
      <c r="UEZ65" s="47"/>
      <c r="UFE65" s="47"/>
      <c r="UFG65" s="11"/>
      <c r="UIN65" s="47"/>
      <c r="UIS65" s="47"/>
      <c r="UIU65" s="11"/>
      <c r="UMB65" s="47"/>
      <c r="UMG65" s="47"/>
      <c r="UMI65" s="11"/>
      <c r="UPP65" s="47"/>
      <c r="UPU65" s="47"/>
      <c r="UPW65" s="11"/>
      <c r="UTD65" s="47"/>
      <c r="UTI65" s="47"/>
      <c r="UTK65" s="11"/>
      <c r="UWR65" s="47"/>
      <c r="UWW65" s="47"/>
      <c r="UWY65" s="11"/>
      <c r="VAF65" s="47"/>
      <c r="VAK65" s="47"/>
      <c r="VAM65" s="11"/>
      <c r="VDT65" s="47"/>
      <c r="VDY65" s="47"/>
      <c r="VEA65" s="11"/>
      <c r="VHH65" s="47"/>
      <c r="VHM65" s="47"/>
      <c r="VHO65" s="11"/>
      <c r="VKV65" s="47"/>
      <c r="VLA65" s="47"/>
      <c r="VLC65" s="11"/>
      <c r="VOJ65" s="47"/>
      <c r="VOO65" s="47"/>
      <c r="VOQ65" s="11"/>
      <c r="VRX65" s="47"/>
      <c r="VSC65" s="47"/>
      <c r="VSE65" s="11"/>
      <c r="VVL65" s="47"/>
      <c r="VVQ65" s="47"/>
      <c r="VVS65" s="11"/>
      <c r="VYZ65" s="47"/>
      <c r="VZE65" s="47"/>
      <c r="VZG65" s="11"/>
      <c r="WCN65" s="47"/>
      <c r="WCS65" s="47"/>
      <c r="WCU65" s="11"/>
      <c r="WGB65" s="47"/>
      <c r="WGG65" s="47"/>
      <c r="WGI65" s="11"/>
      <c r="WJP65" s="47"/>
      <c r="WJU65" s="47"/>
      <c r="WJW65" s="11"/>
      <c r="WND65" s="47"/>
      <c r="WNI65" s="47"/>
      <c r="WNK65" s="11"/>
      <c r="WQR65" s="47"/>
      <c r="WQW65" s="47"/>
      <c r="WQY65" s="11"/>
      <c r="WUF65" s="47"/>
      <c r="WUK65" s="47"/>
      <c r="WUM65" s="11"/>
      <c r="WXT65" s="47"/>
      <c r="WXY65" s="47"/>
      <c r="WYA65" s="11"/>
      <c r="XBH65" s="47"/>
      <c r="XBM65" s="47"/>
      <c r="XBO65" s="11"/>
      <c r="XEV65" s="47"/>
      <c r="XFA65" s="47"/>
      <c r="XFC65" s="11"/>
    </row>
    <row r="66" spans="1:1019 1104:2031 2116:3043 3128:4055 4140:5067 5152:6079 6164:7091 7176:8188 8193:9207 9292:10219 10304:11231 11316:12243 12328:13255 13340:14267 14352:15279 15364:16383" s="141" customFormat="1" ht="15" customHeight="1" thickTop="1">
      <c r="A66" s="153"/>
      <c r="B66" s="153"/>
      <c r="C66" s="49" t="s">
        <v>1008</v>
      </c>
      <c r="D66" s="49"/>
      <c r="E66" s="49"/>
      <c r="F66" s="49"/>
      <c r="G66" s="159" t="str">
        <f t="shared" si="33"/>
        <v>тыс. руб.</v>
      </c>
      <c r="H66" s="49"/>
      <c r="I66" s="176">
        <f t="shared" ca="1" si="34"/>
        <v>5205949.9774024626</v>
      </c>
      <c r="J66" s="49"/>
      <c r="K66" s="49"/>
      <c r="L66" s="49">
        <f ca="1">SUM(L61:L65)</f>
        <v>0</v>
      </c>
      <c r="M66" s="49">
        <f t="shared" ref="M66:BX66" ca="1" si="47">SUM(M61:M65)</f>
        <v>0</v>
      </c>
      <c r="N66" s="49">
        <f t="shared" ca="1" si="47"/>
        <v>0</v>
      </c>
      <c r="O66" s="49">
        <f t="shared" ca="1" si="47"/>
        <v>0</v>
      </c>
      <c r="P66" s="49">
        <f t="shared" ca="1" si="47"/>
        <v>0</v>
      </c>
      <c r="Q66" s="49">
        <f t="shared" ca="1" si="47"/>
        <v>0</v>
      </c>
      <c r="R66" s="49">
        <f t="shared" ca="1" si="47"/>
        <v>0</v>
      </c>
      <c r="S66" s="49">
        <f t="shared" ca="1" si="47"/>
        <v>0</v>
      </c>
      <c r="T66" s="49">
        <f t="shared" ca="1" si="47"/>
        <v>0</v>
      </c>
      <c r="U66" s="49">
        <f t="shared" ca="1" si="47"/>
        <v>0</v>
      </c>
      <c r="V66" s="49">
        <f t="shared" ca="1" si="47"/>
        <v>0</v>
      </c>
      <c r="W66" s="49">
        <f t="shared" ca="1" si="47"/>
        <v>0</v>
      </c>
      <c r="X66" s="49">
        <f t="shared" ca="1" si="47"/>
        <v>0</v>
      </c>
      <c r="Y66" s="49">
        <f t="shared" ca="1" si="47"/>
        <v>0</v>
      </c>
      <c r="Z66" s="49">
        <f t="shared" ca="1" si="47"/>
        <v>0</v>
      </c>
      <c r="AA66" s="49">
        <f t="shared" ca="1" si="47"/>
        <v>0</v>
      </c>
      <c r="AB66" s="49">
        <f t="shared" ca="1" si="47"/>
        <v>0</v>
      </c>
      <c r="AC66" s="49">
        <f t="shared" ca="1" si="47"/>
        <v>12858.90299010021</v>
      </c>
      <c r="AD66" s="49">
        <f t="shared" ca="1" si="47"/>
        <v>24171.028107821418</v>
      </c>
      <c r="AE66" s="49">
        <f t="shared" ca="1" si="47"/>
        <v>9568.025517895876</v>
      </c>
      <c r="AF66" s="49">
        <f t="shared" ca="1" si="47"/>
        <v>8850.8151916235511</v>
      </c>
      <c r="AG66" s="49">
        <f t="shared" ca="1" si="47"/>
        <v>15709.966970739388</v>
      </c>
      <c r="AH66" s="49">
        <f t="shared" ca="1" si="47"/>
        <v>28325.213483896892</v>
      </c>
      <c r="AI66" s="49">
        <f t="shared" ca="1" si="47"/>
        <v>11291.277182500522</v>
      </c>
      <c r="AJ66" s="49">
        <f t="shared" ca="1" si="47"/>
        <v>10385.298525488661</v>
      </c>
      <c r="AK66" s="49">
        <f t="shared" ca="1" si="47"/>
        <v>18308.184209189709</v>
      </c>
      <c r="AL66" s="49">
        <f t="shared" ca="1" si="47"/>
        <v>32768.181406412303</v>
      </c>
      <c r="AM66" s="49">
        <f t="shared" ca="1" si="47"/>
        <v>13151.636091902599</v>
      </c>
      <c r="AN66" s="49">
        <f t="shared" ca="1" si="47"/>
        <v>12221.235285845391</v>
      </c>
      <c r="AO66" s="49">
        <f t="shared" ca="1" si="47"/>
        <v>21105.243817240163</v>
      </c>
      <c r="AP66" s="49">
        <f t="shared" ca="1" si="47"/>
        <v>36705.024429924953</v>
      </c>
      <c r="AQ66" s="49">
        <f t="shared" ca="1" si="47"/>
        <v>14675.263801864336</v>
      </c>
      <c r="AR66" s="49">
        <f t="shared" ca="1" si="47"/>
        <v>13554.404772954898</v>
      </c>
      <c r="AS66" s="49">
        <f t="shared" ca="1" si="47"/>
        <v>23644.247464688298</v>
      </c>
      <c r="AT66" s="49">
        <f t="shared" ca="1" si="47"/>
        <v>41940.700752765333</v>
      </c>
      <c r="AU66" s="49">
        <f t="shared" ca="1" si="47"/>
        <v>20428.889328307669</v>
      </c>
      <c r="AV66" s="49">
        <f t="shared" ca="1" si="47"/>
        <v>18343.446024472771</v>
      </c>
      <c r="AW66" s="49">
        <f t="shared" ca="1" si="47"/>
        <v>30452.920400811134</v>
      </c>
      <c r="AX66" s="49">
        <f t="shared" ca="1" si="47"/>
        <v>102943.7976553592</v>
      </c>
      <c r="AY66" s="49">
        <f t="shared" ca="1" si="47"/>
        <v>107209.56895323792</v>
      </c>
      <c r="AZ66" s="49">
        <f ca="1">SUM(AZ61:AZ65)</f>
        <v>48350.373294979887</v>
      </c>
      <c r="BA66" s="49">
        <f t="shared" ca="1" si="47"/>
        <v>58928.779322173978</v>
      </c>
      <c r="BB66" s="49">
        <f t="shared" ca="1" si="47"/>
        <v>107162.02747551042</v>
      </c>
      <c r="BC66" s="49">
        <f t="shared" ca="1" si="47"/>
        <v>111598.42962530424</v>
      </c>
      <c r="BD66" s="49">
        <f t="shared" ca="1" si="47"/>
        <v>50615.441943727987</v>
      </c>
      <c r="BE66" s="49">
        <f t="shared" ca="1" si="47"/>
        <v>62738.566357753189</v>
      </c>
      <c r="BF66" s="49">
        <f t="shared" ca="1" si="47"/>
        <v>112589.23400119164</v>
      </c>
      <c r="BG66" s="49">
        <f t="shared" ca="1" si="47"/>
        <v>117203.09616240198</v>
      </c>
      <c r="BH66" s="49">
        <f t="shared" ca="1" si="47"/>
        <v>53540.197497018766</v>
      </c>
      <c r="BI66" s="49">
        <f t="shared" ca="1" si="47"/>
        <v>64981.781016339854</v>
      </c>
      <c r="BJ66" s="49">
        <f t="shared" ca="1" si="47"/>
        <v>117151.00716069722</v>
      </c>
      <c r="BK66" s="49">
        <f t="shared" ca="1" si="47"/>
        <v>121949.41972591421</v>
      </c>
      <c r="BL66" s="49">
        <f t="shared" ca="1" si="47"/>
        <v>55740.38588251498</v>
      </c>
      <c r="BM66" s="49">
        <f t="shared" ca="1" si="47"/>
        <v>67639.875789122932</v>
      </c>
      <c r="BN66" s="49">
        <f t="shared" ca="1" si="47"/>
        <v>121895.94202911179</v>
      </c>
      <c r="BO66" s="49">
        <f t="shared" ca="1" si="47"/>
        <v>135930.57332752005</v>
      </c>
      <c r="BP66" s="49">
        <f t="shared" ca="1" si="47"/>
        <v>65632.423815050905</v>
      </c>
      <c r="BQ66" s="49">
        <f t="shared" ca="1" si="47"/>
        <v>85996.815752914365</v>
      </c>
      <c r="BR66" s="49">
        <f t="shared" ca="1" si="47"/>
        <v>167402.83291681824</v>
      </c>
      <c r="BS66" s="49">
        <f t="shared" ca="1" si="47"/>
        <v>149919.05332894973</v>
      </c>
      <c r="BT66" s="49">
        <f t="shared" ca="1" si="47"/>
        <v>76964.260144603104</v>
      </c>
      <c r="BU66" s="49">
        <f t="shared" ca="1" si="47"/>
        <v>98025.428922280582</v>
      </c>
      <c r="BV66" s="49">
        <f t="shared" ca="1" si="47"/>
        <v>173432.75874922407</v>
      </c>
      <c r="BW66" s="49">
        <f t="shared" ca="1" si="47"/>
        <v>155254.27649086079</v>
      </c>
      <c r="BX66" s="49">
        <f t="shared" ca="1" si="47"/>
        <v>78959.932111278773</v>
      </c>
      <c r="BY66" s="49">
        <f t="shared" ref="BY66:CM66" ca="1" si="48">SUM(BY61:BY65)</f>
        <v>100964.3365766168</v>
      </c>
      <c r="BZ66" s="49">
        <f t="shared" ca="1" si="48"/>
        <v>179763.68303006009</v>
      </c>
      <c r="CA66" s="49">
        <f t="shared" ca="1" si="48"/>
        <v>160862.09336546232</v>
      </c>
      <c r="CB66" s="49">
        <f t="shared" ca="1" si="48"/>
        <v>81514.79430100348</v>
      </c>
      <c r="CC66" s="49">
        <f t="shared" ca="1" si="48"/>
        <v>104395.88327616923</v>
      </c>
      <c r="CD66" s="49">
        <f t="shared" ca="1" si="48"/>
        <v>186343.60519076724</v>
      </c>
      <c r="CE66" s="49">
        <f t="shared" ca="1" si="48"/>
        <v>166690.29818352705</v>
      </c>
      <c r="CF66" s="49">
        <f t="shared" ca="1" si="48"/>
        <v>84189.059231588923</v>
      </c>
      <c r="CG66" s="49">
        <f t="shared" ca="1" si="48"/>
        <v>107981.88785234217</v>
      </c>
      <c r="CH66" s="49">
        <f t="shared" ca="1" si="48"/>
        <v>193204.10921366885</v>
      </c>
      <c r="CI66" s="49">
        <f t="shared" ca="1" si="48"/>
        <v>172769.01617008066</v>
      </c>
      <c r="CJ66" s="49">
        <f t="shared" ca="1" si="48"/>
        <v>87482.606351389928</v>
      </c>
      <c r="CK66" s="49">
        <f t="shared" ca="1" si="48"/>
        <v>112139.40060889376</v>
      </c>
      <c r="CL66" s="49">
        <f t="shared" ca="1" si="48"/>
        <v>200340.43308929796</v>
      </c>
      <c r="CM66" s="49">
        <f t="shared" ca="1" si="48"/>
        <v>179092.58575328696</v>
      </c>
      <c r="CN66" s="49">
        <f ca="1">SUM(CN61:CN65)</f>
        <v>89914.707450377435</v>
      </c>
      <c r="CO66" s="49">
        <f ca="1">SUM(CO61:CO65)</f>
        <v>115642.23102741136</v>
      </c>
    </row>
    <row r="67" spans="1:1019 1104:2031 2116:3043 3128:4055 4140:5067 5152:6079 6164:7091 7176:8188 8193:9207 9292:10219 10304:11231 11316:12243 12328:13255 13340:14267 14352:15279 15364:16383" s="10" customFormat="1" ht="14.65" customHeight="1">
      <c r="E67" s="47"/>
      <c r="G67" s="11"/>
      <c r="CS67" s="47"/>
      <c r="CU67" s="11"/>
      <c r="GB67" s="47"/>
      <c r="GG67" s="47"/>
      <c r="GI67" s="11"/>
      <c r="JP67" s="47"/>
      <c r="JU67" s="47"/>
      <c r="JW67" s="11"/>
      <c r="ND67" s="47"/>
      <c r="NI67" s="47"/>
      <c r="NK67" s="11"/>
      <c r="QR67" s="47"/>
      <c r="QW67" s="47"/>
      <c r="QY67" s="11"/>
      <c r="UF67" s="47"/>
      <c r="UK67" s="47"/>
      <c r="UM67" s="11"/>
      <c r="XT67" s="47"/>
      <c r="XY67" s="47"/>
      <c r="YA67" s="11"/>
      <c r="ABH67" s="47"/>
      <c r="ABM67" s="47"/>
      <c r="ABO67" s="11"/>
      <c r="AEV67" s="47"/>
      <c r="AFA67" s="47"/>
      <c r="AFC67" s="11"/>
      <c r="AIJ67" s="47"/>
      <c r="AIO67" s="47"/>
      <c r="AIQ67" s="11"/>
      <c r="ALX67" s="47"/>
      <c r="AMC67" s="47"/>
      <c r="AME67" s="11"/>
      <c r="APL67" s="47"/>
      <c r="APQ67" s="47"/>
      <c r="APS67" s="11"/>
      <c r="ASZ67" s="47"/>
      <c r="ATE67" s="47"/>
      <c r="ATG67" s="11"/>
      <c r="AWN67" s="47"/>
      <c r="AWS67" s="47"/>
      <c r="AWU67" s="11"/>
      <c r="BAB67" s="47"/>
      <c r="BAG67" s="47"/>
      <c r="BAI67" s="11"/>
      <c r="BDP67" s="47"/>
      <c r="BDU67" s="47"/>
      <c r="BDW67" s="11"/>
      <c r="BHD67" s="47"/>
      <c r="BHI67" s="47"/>
      <c r="BHK67" s="11"/>
      <c r="BKR67" s="47"/>
      <c r="BKW67" s="47"/>
      <c r="BKY67" s="11"/>
      <c r="BOF67" s="47"/>
      <c r="BOK67" s="47"/>
      <c r="BOM67" s="11"/>
      <c r="BRT67" s="47"/>
      <c r="BRY67" s="47"/>
      <c r="BSA67" s="11"/>
      <c r="BVH67" s="47"/>
      <c r="BVM67" s="47"/>
      <c r="BVO67" s="11"/>
      <c r="BYV67" s="47"/>
      <c r="BZA67" s="47"/>
      <c r="BZC67" s="11"/>
      <c r="CCJ67" s="47"/>
      <c r="CCO67" s="47"/>
      <c r="CCQ67" s="11"/>
      <c r="CFX67" s="47"/>
      <c r="CGC67" s="47"/>
      <c r="CGE67" s="11"/>
      <c r="CJL67" s="47"/>
      <c r="CJQ67" s="47"/>
      <c r="CJS67" s="11"/>
      <c r="CMZ67" s="47"/>
      <c r="CNE67" s="47"/>
      <c r="CNG67" s="11"/>
      <c r="CQN67" s="47"/>
      <c r="CQS67" s="47"/>
      <c r="CQU67" s="11"/>
      <c r="CUB67" s="47"/>
      <c r="CUG67" s="47"/>
      <c r="CUI67" s="11"/>
      <c r="CXP67" s="47"/>
      <c r="CXU67" s="47"/>
      <c r="CXW67" s="11"/>
      <c r="DBD67" s="47"/>
      <c r="DBI67" s="47"/>
      <c r="DBK67" s="11"/>
      <c r="DER67" s="47"/>
      <c r="DEW67" s="47"/>
      <c r="DEY67" s="11"/>
      <c r="DIF67" s="47"/>
      <c r="DIK67" s="47"/>
      <c r="DIM67" s="11"/>
      <c r="DLT67" s="47"/>
      <c r="DLY67" s="47"/>
      <c r="DMA67" s="11"/>
      <c r="DPH67" s="47"/>
      <c r="DPM67" s="47"/>
      <c r="DPO67" s="11"/>
      <c r="DSV67" s="47"/>
      <c r="DTA67" s="47"/>
      <c r="DTC67" s="11"/>
      <c r="DWJ67" s="47"/>
      <c r="DWO67" s="47"/>
      <c r="DWQ67" s="11"/>
      <c r="DZX67" s="47"/>
      <c r="EAC67" s="47"/>
      <c r="EAE67" s="11"/>
      <c r="EDL67" s="47"/>
      <c r="EDQ67" s="47"/>
      <c r="EDS67" s="11"/>
      <c r="EGZ67" s="47"/>
      <c r="EHE67" s="47"/>
      <c r="EHG67" s="11"/>
      <c r="EKN67" s="47"/>
      <c r="EKS67" s="47"/>
      <c r="EKU67" s="11"/>
      <c r="EOB67" s="47"/>
      <c r="EOG67" s="47"/>
      <c r="EOI67" s="11"/>
      <c r="ERP67" s="47"/>
      <c r="ERU67" s="47"/>
      <c r="ERW67" s="11"/>
      <c r="EVD67" s="47"/>
      <c r="EVI67" s="47"/>
      <c r="EVK67" s="11"/>
      <c r="EYR67" s="47"/>
      <c r="EYW67" s="47"/>
      <c r="EYY67" s="11"/>
      <c r="FCF67" s="47"/>
      <c r="FCK67" s="47"/>
      <c r="FCM67" s="11"/>
      <c r="FFT67" s="47"/>
      <c r="FFY67" s="47"/>
      <c r="FGA67" s="11"/>
      <c r="FJH67" s="47"/>
      <c r="FJM67" s="47"/>
      <c r="FJO67" s="11"/>
      <c r="FMV67" s="47"/>
      <c r="FNA67" s="47"/>
      <c r="FNC67" s="11"/>
      <c r="FQJ67" s="47"/>
      <c r="FQO67" s="47"/>
      <c r="FQQ67" s="11"/>
      <c r="FTX67" s="47"/>
      <c r="FUC67" s="47"/>
      <c r="FUE67" s="11"/>
      <c r="FXL67" s="47"/>
      <c r="FXQ67" s="47"/>
      <c r="FXS67" s="11"/>
      <c r="GAZ67" s="47"/>
      <c r="GBE67" s="47"/>
      <c r="GBG67" s="11"/>
      <c r="GEN67" s="47"/>
      <c r="GES67" s="47"/>
      <c r="GEU67" s="11"/>
      <c r="GIB67" s="47"/>
      <c r="GIG67" s="47"/>
      <c r="GII67" s="11"/>
      <c r="GLP67" s="47"/>
      <c r="GLU67" s="47"/>
      <c r="GLW67" s="11"/>
      <c r="GPD67" s="47"/>
      <c r="GPI67" s="47"/>
      <c r="GPK67" s="11"/>
      <c r="GSR67" s="47"/>
      <c r="GSW67" s="47"/>
      <c r="GSY67" s="11"/>
      <c r="GWF67" s="47"/>
      <c r="GWK67" s="47"/>
      <c r="GWM67" s="11"/>
      <c r="GZT67" s="47"/>
      <c r="GZY67" s="47"/>
      <c r="HAA67" s="11"/>
      <c r="HDH67" s="47"/>
      <c r="HDM67" s="47"/>
      <c r="HDO67" s="11"/>
      <c r="HGV67" s="47"/>
      <c r="HHA67" s="47"/>
      <c r="HHC67" s="11"/>
      <c r="HKJ67" s="47"/>
      <c r="HKO67" s="47"/>
      <c r="HKQ67" s="11"/>
      <c r="HNX67" s="47"/>
      <c r="HOC67" s="47"/>
      <c r="HOE67" s="11"/>
      <c r="HRL67" s="47"/>
      <c r="HRQ67" s="47"/>
      <c r="HRS67" s="11"/>
      <c r="HUZ67" s="47"/>
      <c r="HVE67" s="47"/>
      <c r="HVG67" s="11"/>
      <c r="HYN67" s="47"/>
      <c r="HYS67" s="47"/>
      <c r="HYU67" s="11"/>
      <c r="ICB67" s="47"/>
      <c r="ICG67" s="47"/>
      <c r="ICI67" s="11"/>
      <c r="IFP67" s="47"/>
      <c r="IFU67" s="47"/>
      <c r="IFW67" s="11"/>
      <c r="IJD67" s="47"/>
      <c r="IJI67" s="47"/>
      <c r="IJK67" s="11"/>
      <c r="IMR67" s="47"/>
      <c r="IMW67" s="47"/>
      <c r="IMY67" s="11"/>
      <c r="IQF67" s="47"/>
      <c r="IQK67" s="47"/>
      <c r="IQM67" s="11"/>
      <c r="ITT67" s="47"/>
      <c r="ITY67" s="47"/>
      <c r="IUA67" s="11"/>
      <c r="IXH67" s="47"/>
      <c r="IXM67" s="47"/>
      <c r="IXO67" s="11"/>
      <c r="JAV67" s="47"/>
      <c r="JBA67" s="47"/>
      <c r="JBC67" s="11"/>
      <c r="JEJ67" s="47"/>
      <c r="JEO67" s="47"/>
      <c r="JEQ67" s="11"/>
      <c r="JHX67" s="47"/>
      <c r="JIC67" s="47"/>
      <c r="JIE67" s="11"/>
      <c r="JLL67" s="47"/>
      <c r="JLQ67" s="47"/>
      <c r="JLS67" s="11"/>
      <c r="JOZ67" s="47"/>
      <c r="JPE67" s="47"/>
      <c r="JPG67" s="11"/>
      <c r="JSN67" s="47"/>
      <c r="JSS67" s="47"/>
      <c r="JSU67" s="11"/>
      <c r="JWB67" s="47"/>
      <c r="JWG67" s="47"/>
      <c r="JWI67" s="11"/>
      <c r="JZP67" s="47"/>
      <c r="JZU67" s="47"/>
      <c r="JZW67" s="11"/>
      <c r="KDD67" s="47"/>
      <c r="KDI67" s="47"/>
      <c r="KDK67" s="11"/>
      <c r="KGR67" s="47"/>
      <c r="KGW67" s="47"/>
      <c r="KGY67" s="11"/>
      <c r="KKF67" s="47"/>
      <c r="KKK67" s="47"/>
      <c r="KKM67" s="11"/>
      <c r="KNT67" s="47"/>
      <c r="KNY67" s="47"/>
      <c r="KOA67" s="11"/>
      <c r="KRH67" s="47"/>
      <c r="KRM67" s="47"/>
      <c r="KRO67" s="11"/>
      <c r="KUV67" s="47"/>
      <c r="KVA67" s="47"/>
      <c r="KVC67" s="11"/>
      <c r="KYJ67" s="47"/>
      <c r="KYO67" s="47"/>
      <c r="KYQ67" s="11"/>
      <c r="LBX67" s="47"/>
      <c r="LCC67" s="47"/>
      <c r="LCE67" s="11"/>
      <c r="LFL67" s="47"/>
      <c r="LFQ67" s="47"/>
      <c r="LFS67" s="11"/>
      <c r="LIZ67" s="47"/>
      <c r="LJE67" s="47"/>
      <c r="LJG67" s="11"/>
      <c r="LMN67" s="47"/>
      <c r="LMS67" s="47"/>
      <c r="LMU67" s="11"/>
      <c r="LQB67" s="47"/>
      <c r="LQG67" s="47"/>
      <c r="LQI67" s="11"/>
      <c r="LTP67" s="47"/>
      <c r="LTU67" s="47"/>
      <c r="LTW67" s="11"/>
      <c r="LXD67" s="47"/>
      <c r="LXI67" s="47"/>
      <c r="LXK67" s="11"/>
      <c r="MAR67" s="47"/>
      <c r="MAW67" s="47"/>
      <c r="MAY67" s="11"/>
      <c r="MEF67" s="47"/>
      <c r="MEK67" s="47"/>
      <c r="MEM67" s="11"/>
      <c r="MHT67" s="47"/>
      <c r="MHY67" s="47"/>
      <c r="MIA67" s="11"/>
      <c r="MLH67" s="47"/>
      <c r="MLM67" s="47"/>
      <c r="MLO67" s="11"/>
      <c r="MOV67" s="47"/>
      <c r="MPA67" s="47"/>
      <c r="MPC67" s="11"/>
      <c r="MSJ67" s="47"/>
      <c r="MSO67" s="47"/>
      <c r="MSQ67" s="11"/>
      <c r="MVX67" s="47"/>
      <c r="MWC67" s="47"/>
      <c r="MWE67" s="11"/>
      <c r="MZL67" s="47"/>
      <c r="MZQ67" s="47"/>
      <c r="MZS67" s="11"/>
      <c r="NCZ67" s="47"/>
      <c r="NDE67" s="47"/>
      <c r="NDG67" s="11"/>
      <c r="NGN67" s="47"/>
      <c r="NGS67" s="47"/>
      <c r="NGU67" s="11"/>
      <c r="NKB67" s="47"/>
      <c r="NKG67" s="47"/>
      <c r="NKI67" s="11"/>
      <c r="NNP67" s="47"/>
      <c r="NNU67" s="47"/>
      <c r="NNW67" s="11"/>
      <c r="NRD67" s="47"/>
      <c r="NRI67" s="47"/>
      <c r="NRK67" s="11"/>
      <c r="NUR67" s="47"/>
      <c r="NUW67" s="47"/>
      <c r="NUY67" s="11"/>
      <c r="NYF67" s="47"/>
      <c r="NYK67" s="47"/>
      <c r="NYM67" s="11"/>
      <c r="OBT67" s="47"/>
      <c r="OBY67" s="47"/>
      <c r="OCA67" s="11"/>
      <c r="OFH67" s="47"/>
      <c r="OFM67" s="47"/>
      <c r="OFO67" s="11"/>
      <c r="OIV67" s="47"/>
      <c r="OJA67" s="47"/>
      <c r="OJC67" s="11"/>
      <c r="OMJ67" s="47"/>
      <c r="OMO67" s="47"/>
      <c r="OMQ67" s="11"/>
      <c r="OPX67" s="47"/>
      <c r="OQC67" s="47"/>
      <c r="OQE67" s="11"/>
      <c r="OTL67" s="47"/>
      <c r="OTQ67" s="47"/>
      <c r="OTS67" s="11"/>
      <c r="OWZ67" s="47"/>
      <c r="OXE67" s="47"/>
      <c r="OXG67" s="11"/>
      <c r="PAN67" s="47"/>
      <c r="PAS67" s="47"/>
      <c r="PAU67" s="11"/>
      <c r="PEB67" s="47"/>
      <c r="PEG67" s="47"/>
      <c r="PEI67" s="11"/>
      <c r="PHP67" s="47"/>
      <c r="PHU67" s="47"/>
      <c r="PHW67" s="11"/>
      <c r="PLD67" s="47"/>
      <c r="PLI67" s="47"/>
      <c r="PLK67" s="11"/>
      <c r="POR67" s="47"/>
      <c r="POW67" s="47"/>
      <c r="POY67" s="11"/>
      <c r="PSF67" s="47"/>
      <c r="PSK67" s="47"/>
      <c r="PSM67" s="11"/>
      <c r="PVT67" s="47"/>
      <c r="PVY67" s="47"/>
      <c r="PWA67" s="11"/>
      <c r="PZH67" s="47"/>
      <c r="PZM67" s="47"/>
      <c r="PZO67" s="11"/>
      <c r="QCV67" s="47"/>
      <c r="QDA67" s="47"/>
      <c r="QDC67" s="11"/>
      <c r="QGJ67" s="47"/>
      <c r="QGO67" s="47"/>
      <c r="QGQ67" s="11"/>
      <c r="QJX67" s="47"/>
      <c r="QKC67" s="47"/>
      <c r="QKE67" s="11"/>
      <c r="QNL67" s="47"/>
      <c r="QNQ67" s="47"/>
      <c r="QNS67" s="11"/>
      <c r="QQZ67" s="47"/>
      <c r="QRE67" s="47"/>
      <c r="QRG67" s="11"/>
      <c r="QUN67" s="47"/>
      <c r="QUS67" s="47"/>
      <c r="QUU67" s="11"/>
      <c r="QYB67" s="47"/>
      <c r="QYG67" s="47"/>
      <c r="QYI67" s="11"/>
      <c r="RBP67" s="47"/>
      <c r="RBU67" s="47"/>
      <c r="RBW67" s="11"/>
      <c r="RFD67" s="47"/>
      <c r="RFI67" s="47"/>
      <c r="RFK67" s="11"/>
      <c r="RIR67" s="47"/>
      <c r="RIW67" s="47"/>
      <c r="RIY67" s="11"/>
      <c r="RMF67" s="47"/>
      <c r="RMK67" s="47"/>
      <c r="RMM67" s="11"/>
      <c r="RPT67" s="47"/>
      <c r="RPY67" s="47"/>
      <c r="RQA67" s="11"/>
      <c r="RTH67" s="47"/>
      <c r="RTM67" s="47"/>
      <c r="RTO67" s="11"/>
      <c r="RWV67" s="47"/>
      <c r="RXA67" s="47"/>
      <c r="RXC67" s="11"/>
      <c r="SAJ67" s="47"/>
      <c r="SAO67" s="47"/>
      <c r="SAQ67" s="11"/>
      <c r="SDX67" s="47"/>
      <c r="SEC67" s="47"/>
      <c r="SEE67" s="11"/>
      <c r="SHL67" s="47"/>
      <c r="SHQ67" s="47"/>
      <c r="SHS67" s="11"/>
      <c r="SKZ67" s="47"/>
      <c r="SLE67" s="47"/>
      <c r="SLG67" s="11"/>
      <c r="SON67" s="47"/>
      <c r="SOS67" s="47"/>
      <c r="SOU67" s="11"/>
      <c r="SSB67" s="47"/>
      <c r="SSG67" s="47"/>
      <c r="SSI67" s="11"/>
      <c r="SVP67" s="47"/>
      <c r="SVU67" s="47"/>
      <c r="SVW67" s="11"/>
      <c r="SZD67" s="47"/>
      <c r="SZI67" s="47"/>
      <c r="SZK67" s="11"/>
      <c r="TCR67" s="47"/>
      <c r="TCW67" s="47"/>
      <c r="TCY67" s="11"/>
      <c r="TGF67" s="47"/>
      <c r="TGK67" s="47"/>
      <c r="TGM67" s="11"/>
      <c r="TJT67" s="47"/>
      <c r="TJY67" s="47"/>
      <c r="TKA67" s="11"/>
      <c r="TNH67" s="47"/>
      <c r="TNM67" s="47"/>
      <c r="TNO67" s="11"/>
      <c r="TQV67" s="47"/>
      <c r="TRA67" s="47"/>
      <c r="TRC67" s="11"/>
      <c r="TUJ67" s="47"/>
      <c r="TUO67" s="47"/>
      <c r="TUQ67" s="11"/>
      <c r="TXX67" s="47"/>
      <c r="TYC67" s="47"/>
      <c r="TYE67" s="11"/>
      <c r="UBL67" s="47"/>
      <c r="UBQ67" s="47"/>
      <c r="UBS67" s="11"/>
      <c r="UEZ67" s="47"/>
      <c r="UFE67" s="47"/>
      <c r="UFG67" s="11"/>
      <c r="UIN67" s="47"/>
      <c r="UIS67" s="47"/>
      <c r="UIU67" s="11"/>
      <c r="UMB67" s="47"/>
      <c r="UMG67" s="47"/>
      <c r="UMI67" s="11"/>
      <c r="UPP67" s="47"/>
      <c r="UPU67" s="47"/>
      <c r="UPW67" s="11"/>
      <c r="UTD67" s="47"/>
      <c r="UTI67" s="47"/>
      <c r="UTK67" s="11"/>
      <c r="UWR67" s="47"/>
      <c r="UWW67" s="47"/>
      <c r="UWY67" s="11"/>
      <c r="VAF67" s="47"/>
      <c r="VAK67" s="47"/>
      <c r="VAM67" s="11"/>
      <c r="VDT67" s="47"/>
      <c r="VDY67" s="47"/>
      <c r="VEA67" s="11"/>
      <c r="VHH67" s="47"/>
      <c r="VHM67" s="47"/>
      <c r="VHO67" s="11"/>
      <c r="VKV67" s="47"/>
      <c r="VLA67" s="47"/>
      <c r="VLC67" s="11"/>
      <c r="VOJ67" s="47"/>
      <c r="VOO67" s="47"/>
      <c r="VOQ67" s="11"/>
      <c r="VRX67" s="47"/>
      <c r="VSC67" s="47"/>
      <c r="VSE67" s="11"/>
      <c r="VVL67" s="47"/>
      <c r="VVQ67" s="47"/>
      <c r="VVS67" s="11"/>
      <c r="VYZ67" s="47"/>
      <c r="VZE67" s="47"/>
      <c r="VZG67" s="11"/>
      <c r="WCN67" s="47"/>
      <c r="WCS67" s="47"/>
      <c r="WCU67" s="11"/>
      <c r="WGB67" s="47"/>
      <c r="WGG67" s="47"/>
      <c r="WGI67" s="11"/>
      <c r="WJP67" s="47"/>
      <c r="WJU67" s="47"/>
      <c r="WJW67" s="11"/>
      <c r="WND67" s="47"/>
      <c r="WNI67" s="47"/>
      <c r="WNK67" s="11"/>
      <c r="WQR67" s="47"/>
      <c r="WQW67" s="47"/>
      <c r="WQY67" s="11"/>
      <c r="WUF67" s="47"/>
      <c r="WUK67" s="47"/>
      <c r="WUM67" s="11"/>
      <c r="WXT67" s="47"/>
      <c r="WXY67" s="47"/>
      <c r="WYA67" s="11"/>
      <c r="XBH67" s="47"/>
      <c r="XBM67" s="47"/>
      <c r="XBO67" s="11"/>
      <c r="XEV67" s="47"/>
      <c r="XFA67" s="47"/>
      <c r="XFC67" s="11"/>
    </row>
    <row r="68" spans="1:1019 1104:2031 2116:3043 3128:4055 4140:5067 5152:6079 6164:7091 7176:8188 8193:9207 9292:10219 10304:11231 11316:12243 12328:13255 13340:14267 14352:15279 15364:16383" s="10" customFormat="1" ht="14.65" customHeight="1">
      <c r="C68" s="365" t="s">
        <v>1009</v>
      </c>
      <c r="E68" s="47"/>
      <c r="G68" s="11"/>
      <c r="CS68" s="47"/>
      <c r="CU68" s="11"/>
      <c r="GB68" s="47"/>
      <c r="GG68" s="47"/>
      <c r="GI68" s="11"/>
      <c r="JP68" s="47"/>
      <c r="JU68" s="47"/>
      <c r="JW68" s="11"/>
      <c r="ND68" s="47"/>
      <c r="NI68" s="47"/>
      <c r="NK68" s="11"/>
      <c r="QR68" s="47"/>
      <c r="QW68" s="47"/>
      <c r="QY68" s="11"/>
      <c r="UF68" s="47"/>
      <c r="UK68" s="47"/>
      <c r="UM68" s="11"/>
      <c r="XT68" s="47"/>
      <c r="XY68" s="47"/>
      <c r="YA68" s="11"/>
      <c r="ABH68" s="47"/>
      <c r="ABM68" s="47"/>
      <c r="ABO68" s="11"/>
      <c r="AEV68" s="47"/>
      <c r="AFA68" s="47"/>
      <c r="AFC68" s="11"/>
      <c r="AIJ68" s="47"/>
      <c r="AIO68" s="47"/>
      <c r="AIQ68" s="11"/>
      <c r="ALX68" s="47"/>
      <c r="AMC68" s="47"/>
      <c r="AME68" s="11"/>
      <c r="APL68" s="47"/>
      <c r="APQ68" s="47"/>
      <c r="APS68" s="11"/>
      <c r="ASZ68" s="47"/>
      <c r="ATE68" s="47"/>
      <c r="ATG68" s="11"/>
      <c r="AWN68" s="47"/>
      <c r="AWS68" s="47"/>
      <c r="AWU68" s="11"/>
      <c r="BAB68" s="47"/>
      <c r="BAG68" s="47"/>
      <c r="BAI68" s="11"/>
      <c r="BDP68" s="47"/>
      <c r="BDU68" s="47"/>
      <c r="BDW68" s="11"/>
      <c r="BHD68" s="47"/>
      <c r="BHI68" s="47"/>
      <c r="BHK68" s="11"/>
      <c r="BKR68" s="47"/>
      <c r="BKW68" s="47"/>
      <c r="BKY68" s="11"/>
      <c r="BOF68" s="47"/>
      <c r="BOK68" s="47"/>
      <c r="BOM68" s="11"/>
      <c r="BRT68" s="47"/>
      <c r="BRY68" s="47"/>
      <c r="BSA68" s="11"/>
      <c r="BVH68" s="47"/>
      <c r="BVM68" s="47"/>
      <c r="BVO68" s="11"/>
      <c r="BYV68" s="47"/>
      <c r="BZA68" s="47"/>
      <c r="BZC68" s="11"/>
      <c r="CCJ68" s="47"/>
      <c r="CCO68" s="47"/>
      <c r="CCQ68" s="11"/>
      <c r="CFX68" s="47"/>
      <c r="CGC68" s="47"/>
      <c r="CGE68" s="11"/>
      <c r="CJL68" s="47"/>
      <c r="CJQ68" s="47"/>
      <c r="CJS68" s="11"/>
      <c r="CMZ68" s="47"/>
      <c r="CNE68" s="47"/>
      <c r="CNG68" s="11"/>
      <c r="CQN68" s="47"/>
      <c r="CQS68" s="47"/>
      <c r="CQU68" s="11"/>
      <c r="CUB68" s="47"/>
      <c r="CUG68" s="47"/>
      <c r="CUI68" s="11"/>
      <c r="CXP68" s="47"/>
      <c r="CXU68" s="47"/>
      <c r="CXW68" s="11"/>
      <c r="DBD68" s="47"/>
      <c r="DBI68" s="47"/>
      <c r="DBK68" s="11"/>
      <c r="DER68" s="47"/>
      <c r="DEW68" s="47"/>
      <c r="DEY68" s="11"/>
      <c r="DIF68" s="47"/>
      <c r="DIK68" s="47"/>
      <c r="DIM68" s="11"/>
      <c r="DLT68" s="47"/>
      <c r="DLY68" s="47"/>
      <c r="DMA68" s="11"/>
      <c r="DPH68" s="47"/>
      <c r="DPM68" s="47"/>
      <c r="DPO68" s="11"/>
      <c r="DSV68" s="47"/>
      <c r="DTA68" s="47"/>
      <c r="DTC68" s="11"/>
      <c r="DWJ68" s="47"/>
      <c r="DWO68" s="47"/>
      <c r="DWQ68" s="11"/>
      <c r="DZX68" s="47"/>
      <c r="EAC68" s="47"/>
      <c r="EAE68" s="11"/>
      <c r="EDL68" s="47"/>
      <c r="EDQ68" s="47"/>
      <c r="EDS68" s="11"/>
      <c r="EGZ68" s="47"/>
      <c r="EHE68" s="47"/>
      <c r="EHG68" s="11"/>
      <c r="EKN68" s="47"/>
      <c r="EKS68" s="47"/>
      <c r="EKU68" s="11"/>
      <c r="EOB68" s="47"/>
      <c r="EOG68" s="47"/>
      <c r="EOI68" s="11"/>
      <c r="ERP68" s="47"/>
      <c r="ERU68" s="47"/>
      <c r="ERW68" s="11"/>
      <c r="EVD68" s="47"/>
      <c r="EVI68" s="47"/>
      <c r="EVK68" s="11"/>
      <c r="EYR68" s="47"/>
      <c r="EYW68" s="47"/>
      <c r="EYY68" s="11"/>
      <c r="FCF68" s="47"/>
      <c r="FCK68" s="47"/>
      <c r="FCM68" s="11"/>
      <c r="FFT68" s="47"/>
      <c r="FFY68" s="47"/>
      <c r="FGA68" s="11"/>
      <c r="FJH68" s="47"/>
      <c r="FJM68" s="47"/>
      <c r="FJO68" s="11"/>
      <c r="FMV68" s="47"/>
      <c r="FNA68" s="47"/>
      <c r="FNC68" s="11"/>
      <c r="FQJ68" s="47"/>
      <c r="FQO68" s="47"/>
      <c r="FQQ68" s="11"/>
      <c r="FTX68" s="47"/>
      <c r="FUC68" s="47"/>
      <c r="FUE68" s="11"/>
      <c r="FXL68" s="47"/>
      <c r="FXQ68" s="47"/>
      <c r="FXS68" s="11"/>
      <c r="GAZ68" s="47"/>
      <c r="GBE68" s="47"/>
      <c r="GBG68" s="11"/>
      <c r="GEN68" s="47"/>
      <c r="GES68" s="47"/>
      <c r="GEU68" s="11"/>
      <c r="GIB68" s="47"/>
      <c r="GIG68" s="47"/>
      <c r="GII68" s="11"/>
      <c r="GLP68" s="47"/>
      <c r="GLU68" s="47"/>
      <c r="GLW68" s="11"/>
      <c r="GPD68" s="47"/>
      <c r="GPI68" s="47"/>
      <c r="GPK68" s="11"/>
      <c r="GSR68" s="47"/>
      <c r="GSW68" s="47"/>
      <c r="GSY68" s="11"/>
      <c r="GWF68" s="47"/>
      <c r="GWK68" s="47"/>
      <c r="GWM68" s="11"/>
      <c r="GZT68" s="47"/>
      <c r="GZY68" s="47"/>
      <c r="HAA68" s="11"/>
      <c r="HDH68" s="47"/>
      <c r="HDM68" s="47"/>
      <c r="HDO68" s="11"/>
      <c r="HGV68" s="47"/>
      <c r="HHA68" s="47"/>
      <c r="HHC68" s="11"/>
      <c r="HKJ68" s="47"/>
      <c r="HKO68" s="47"/>
      <c r="HKQ68" s="11"/>
      <c r="HNX68" s="47"/>
      <c r="HOC68" s="47"/>
      <c r="HOE68" s="11"/>
      <c r="HRL68" s="47"/>
      <c r="HRQ68" s="47"/>
      <c r="HRS68" s="11"/>
      <c r="HUZ68" s="47"/>
      <c r="HVE68" s="47"/>
      <c r="HVG68" s="11"/>
      <c r="HYN68" s="47"/>
      <c r="HYS68" s="47"/>
      <c r="HYU68" s="11"/>
      <c r="ICB68" s="47"/>
      <c r="ICG68" s="47"/>
      <c r="ICI68" s="11"/>
      <c r="IFP68" s="47"/>
      <c r="IFU68" s="47"/>
      <c r="IFW68" s="11"/>
      <c r="IJD68" s="47"/>
      <c r="IJI68" s="47"/>
      <c r="IJK68" s="11"/>
      <c r="IMR68" s="47"/>
      <c r="IMW68" s="47"/>
      <c r="IMY68" s="11"/>
      <c r="IQF68" s="47"/>
      <c r="IQK68" s="47"/>
      <c r="IQM68" s="11"/>
      <c r="ITT68" s="47"/>
      <c r="ITY68" s="47"/>
      <c r="IUA68" s="11"/>
      <c r="IXH68" s="47"/>
      <c r="IXM68" s="47"/>
      <c r="IXO68" s="11"/>
      <c r="JAV68" s="47"/>
      <c r="JBA68" s="47"/>
      <c r="JBC68" s="11"/>
      <c r="JEJ68" s="47"/>
      <c r="JEO68" s="47"/>
      <c r="JEQ68" s="11"/>
      <c r="JHX68" s="47"/>
      <c r="JIC68" s="47"/>
      <c r="JIE68" s="11"/>
      <c r="JLL68" s="47"/>
      <c r="JLQ68" s="47"/>
      <c r="JLS68" s="11"/>
      <c r="JOZ68" s="47"/>
      <c r="JPE68" s="47"/>
      <c r="JPG68" s="11"/>
      <c r="JSN68" s="47"/>
      <c r="JSS68" s="47"/>
      <c r="JSU68" s="11"/>
      <c r="JWB68" s="47"/>
      <c r="JWG68" s="47"/>
      <c r="JWI68" s="11"/>
      <c r="JZP68" s="47"/>
      <c r="JZU68" s="47"/>
      <c r="JZW68" s="11"/>
      <c r="KDD68" s="47"/>
      <c r="KDI68" s="47"/>
      <c r="KDK68" s="11"/>
      <c r="KGR68" s="47"/>
      <c r="KGW68" s="47"/>
      <c r="KGY68" s="11"/>
      <c r="KKF68" s="47"/>
      <c r="KKK68" s="47"/>
      <c r="KKM68" s="11"/>
      <c r="KNT68" s="47"/>
      <c r="KNY68" s="47"/>
      <c r="KOA68" s="11"/>
      <c r="KRH68" s="47"/>
      <c r="KRM68" s="47"/>
      <c r="KRO68" s="11"/>
      <c r="KUV68" s="47"/>
      <c r="KVA68" s="47"/>
      <c r="KVC68" s="11"/>
      <c r="KYJ68" s="47"/>
      <c r="KYO68" s="47"/>
      <c r="KYQ68" s="11"/>
      <c r="LBX68" s="47"/>
      <c r="LCC68" s="47"/>
      <c r="LCE68" s="11"/>
      <c r="LFL68" s="47"/>
      <c r="LFQ68" s="47"/>
      <c r="LFS68" s="11"/>
      <c r="LIZ68" s="47"/>
      <c r="LJE68" s="47"/>
      <c r="LJG68" s="11"/>
      <c r="LMN68" s="47"/>
      <c r="LMS68" s="47"/>
      <c r="LMU68" s="11"/>
      <c r="LQB68" s="47"/>
      <c r="LQG68" s="47"/>
      <c r="LQI68" s="11"/>
      <c r="LTP68" s="47"/>
      <c r="LTU68" s="47"/>
      <c r="LTW68" s="11"/>
      <c r="LXD68" s="47"/>
      <c r="LXI68" s="47"/>
      <c r="LXK68" s="11"/>
      <c r="MAR68" s="47"/>
      <c r="MAW68" s="47"/>
      <c r="MAY68" s="11"/>
      <c r="MEF68" s="47"/>
      <c r="MEK68" s="47"/>
      <c r="MEM68" s="11"/>
      <c r="MHT68" s="47"/>
      <c r="MHY68" s="47"/>
      <c r="MIA68" s="11"/>
      <c r="MLH68" s="47"/>
      <c r="MLM68" s="47"/>
      <c r="MLO68" s="11"/>
      <c r="MOV68" s="47"/>
      <c r="MPA68" s="47"/>
      <c r="MPC68" s="11"/>
      <c r="MSJ68" s="47"/>
      <c r="MSO68" s="47"/>
      <c r="MSQ68" s="11"/>
      <c r="MVX68" s="47"/>
      <c r="MWC68" s="47"/>
      <c r="MWE68" s="11"/>
      <c r="MZL68" s="47"/>
      <c r="MZQ68" s="47"/>
      <c r="MZS68" s="11"/>
      <c r="NCZ68" s="47"/>
      <c r="NDE68" s="47"/>
      <c r="NDG68" s="11"/>
      <c r="NGN68" s="47"/>
      <c r="NGS68" s="47"/>
      <c r="NGU68" s="11"/>
      <c r="NKB68" s="47"/>
      <c r="NKG68" s="47"/>
      <c r="NKI68" s="11"/>
      <c r="NNP68" s="47"/>
      <c r="NNU68" s="47"/>
      <c r="NNW68" s="11"/>
      <c r="NRD68" s="47"/>
      <c r="NRI68" s="47"/>
      <c r="NRK68" s="11"/>
      <c r="NUR68" s="47"/>
      <c r="NUW68" s="47"/>
      <c r="NUY68" s="11"/>
      <c r="NYF68" s="47"/>
      <c r="NYK68" s="47"/>
      <c r="NYM68" s="11"/>
      <c r="OBT68" s="47"/>
      <c r="OBY68" s="47"/>
      <c r="OCA68" s="11"/>
      <c r="OFH68" s="47"/>
      <c r="OFM68" s="47"/>
      <c r="OFO68" s="11"/>
      <c r="OIV68" s="47"/>
      <c r="OJA68" s="47"/>
      <c r="OJC68" s="11"/>
      <c r="OMJ68" s="47"/>
      <c r="OMO68" s="47"/>
      <c r="OMQ68" s="11"/>
      <c r="OPX68" s="47"/>
      <c r="OQC68" s="47"/>
      <c r="OQE68" s="11"/>
      <c r="OTL68" s="47"/>
      <c r="OTQ68" s="47"/>
      <c r="OTS68" s="11"/>
      <c r="OWZ68" s="47"/>
      <c r="OXE68" s="47"/>
      <c r="OXG68" s="11"/>
      <c r="PAN68" s="47"/>
      <c r="PAS68" s="47"/>
      <c r="PAU68" s="11"/>
      <c r="PEB68" s="47"/>
      <c r="PEG68" s="47"/>
      <c r="PEI68" s="11"/>
      <c r="PHP68" s="47"/>
      <c r="PHU68" s="47"/>
      <c r="PHW68" s="11"/>
      <c r="PLD68" s="47"/>
      <c r="PLI68" s="47"/>
      <c r="PLK68" s="11"/>
      <c r="POR68" s="47"/>
      <c r="POW68" s="47"/>
      <c r="POY68" s="11"/>
      <c r="PSF68" s="47"/>
      <c r="PSK68" s="47"/>
      <c r="PSM68" s="11"/>
      <c r="PVT68" s="47"/>
      <c r="PVY68" s="47"/>
      <c r="PWA68" s="11"/>
      <c r="PZH68" s="47"/>
      <c r="PZM68" s="47"/>
      <c r="PZO68" s="11"/>
      <c r="QCV68" s="47"/>
      <c r="QDA68" s="47"/>
      <c r="QDC68" s="11"/>
      <c r="QGJ68" s="47"/>
      <c r="QGO68" s="47"/>
      <c r="QGQ68" s="11"/>
      <c r="QJX68" s="47"/>
      <c r="QKC68" s="47"/>
      <c r="QKE68" s="11"/>
      <c r="QNL68" s="47"/>
      <c r="QNQ68" s="47"/>
      <c r="QNS68" s="11"/>
      <c r="QQZ68" s="47"/>
      <c r="QRE68" s="47"/>
      <c r="QRG68" s="11"/>
      <c r="QUN68" s="47"/>
      <c r="QUS68" s="47"/>
      <c r="QUU68" s="11"/>
      <c r="QYB68" s="47"/>
      <c r="QYG68" s="47"/>
      <c r="QYI68" s="11"/>
      <c r="RBP68" s="47"/>
      <c r="RBU68" s="47"/>
      <c r="RBW68" s="11"/>
      <c r="RFD68" s="47"/>
      <c r="RFI68" s="47"/>
      <c r="RFK68" s="11"/>
      <c r="RIR68" s="47"/>
      <c r="RIW68" s="47"/>
      <c r="RIY68" s="11"/>
      <c r="RMF68" s="47"/>
      <c r="RMK68" s="47"/>
      <c r="RMM68" s="11"/>
      <c r="RPT68" s="47"/>
      <c r="RPY68" s="47"/>
      <c r="RQA68" s="11"/>
      <c r="RTH68" s="47"/>
      <c r="RTM68" s="47"/>
      <c r="RTO68" s="11"/>
      <c r="RWV68" s="47"/>
      <c r="RXA68" s="47"/>
      <c r="RXC68" s="11"/>
      <c r="SAJ68" s="47"/>
      <c r="SAO68" s="47"/>
      <c r="SAQ68" s="11"/>
      <c r="SDX68" s="47"/>
      <c r="SEC68" s="47"/>
      <c r="SEE68" s="11"/>
      <c r="SHL68" s="47"/>
      <c r="SHQ68" s="47"/>
      <c r="SHS68" s="11"/>
      <c r="SKZ68" s="47"/>
      <c r="SLE68" s="47"/>
      <c r="SLG68" s="11"/>
      <c r="SON68" s="47"/>
      <c r="SOS68" s="47"/>
      <c r="SOU68" s="11"/>
      <c r="SSB68" s="47"/>
      <c r="SSG68" s="47"/>
      <c r="SSI68" s="11"/>
      <c r="SVP68" s="47"/>
      <c r="SVU68" s="47"/>
      <c r="SVW68" s="11"/>
      <c r="SZD68" s="47"/>
      <c r="SZI68" s="47"/>
      <c r="SZK68" s="11"/>
      <c r="TCR68" s="47"/>
      <c r="TCW68" s="47"/>
      <c r="TCY68" s="11"/>
      <c r="TGF68" s="47"/>
      <c r="TGK68" s="47"/>
      <c r="TGM68" s="11"/>
      <c r="TJT68" s="47"/>
      <c r="TJY68" s="47"/>
      <c r="TKA68" s="11"/>
      <c r="TNH68" s="47"/>
      <c r="TNM68" s="47"/>
      <c r="TNO68" s="11"/>
      <c r="TQV68" s="47"/>
      <c r="TRA68" s="47"/>
      <c r="TRC68" s="11"/>
      <c r="TUJ68" s="47"/>
      <c r="TUO68" s="47"/>
      <c r="TUQ68" s="11"/>
      <c r="TXX68" s="47"/>
      <c r="TYC68" s="47"/>
      <c r="TYE68" s="11"/>
      <c r="UBL68" s="47"/>
      <c r="UBQ68" s="47"/>
      <c r="UBS68" s="11"/>
      <c r="UEZ68" s="47"/>
      <c r="UFE68" s="47"/>
      <c r="UFG68" s="11"/>
      <c r="UIN68" s="47"/>
      <c r="UIS68" s="47"/>
      <c r="UIU68" s="11"/>
      <c r="UMB68" s="47"/>
      <c r="UMG68" s="47"/>
      <c r="UMI68" s="11"/>
      <c r="UPP68" s="47"/>
      <c r="UPU68" s="47"/>
      <c r="UPW68" s="11"/>
      <c r="UTD68" s="47"/>
      <c r="UTI68" s="47"/>
      <c r="UTK68" s="11"/>
      <c r="UWR68" s="47"/>
      <c r="UWW68" s="47"/>
      <c r="UWY68" s="11"/>
      <c r="VAF68" s="47"/>
      <c r="VAK68" s="47"/>
      <c r="VAM68" s="11"/>
      <c r="VDT68" s="47"/>
      <c r="VDY68" s="47"/>
      <c r="VEA68" s="11"/>
      <c r="VHH68" s="47"/>
      <c r="VHM68" s="47"/>
      <c r="VHO68" s="11"/>
      <c r="VKV68" s="47"/>
      <c r="VLA68" s="47"/>
      <c r="VLC68" s="11"/>
      <c r="VOJ68" s="47"/>
      <c r="VOO68" s="47"/>
      <c r="VOQ68" s="11"/>
      <c r="VRX68" s="47"/>
      <c r="VSC68" s="47"/>
      <c r="VSE68" s="11"/>
      <c r="VVL68" s="47"/>
      <c r="VVQ68" s="47"/>
      <c r="VVS68" s="11"/>
      <c r="VYZ68" s="47"/>
      <c r="VZE68" s="47"/>
      <c r="VZG68" s="11"/>
      <c r="WCN68" s="47"/>
      <c r="WCS68" s="47"/>
      <c r="WCU68" s="11"/>
      <c r="WGB68" s="47"/>
      <c r="WGG68" s="47"/>
      <c r="WGI68" s="11"/>
      <c r="WJP68" s="47"/>
      <c r="WJU68" s="47"/>
      <c r="WJW68" s="11"/>
      <c r="WND68" s="47"/>
      <c r="WNI68" s="47"/>
      <c r="WNK68" s="11"/>
      <c r="WQR68" s="47"/>
      <c r="WQW68" s="47"/>
      <c r="WQY68" s="11"/>
      <c r="WUF68" s="47"/>
      <c r="WUK68" s="47"/>
      <c r="WUM68" s="11"/>
      <c r="WXT68" s="47"/>
      <c r="WXY68" s="47"/>
      <c r="WYA68" s="11"/>
      <c r="XBH68" s="47"/>
      <c r="XBM68" s="47"/>
      <c r="XBO68" s="11"/>
      <c r="XEV68" s="47"/>
      <c r="XFA68" s="47"/>
      <c r="XFC68" s="11"/>
    </row>
    <row r="69" spans="1:1019 1104:2031 2116:3043 3128:4055 4140:5067 5152:6079 6164:7091 7176:8188 8193:9207 9292:10219 10304:11231 11316:12243 12328:13255 13340:14267 14352:15279 15364:16383" s="10" customFormat="1" ht="14.65" customHeight="1">
      <c r="C69" s="17" t="s">
        <v>1003</v>
      </c>
      <c r="E69" s="47"/>
      <c r="G69" s="11" t="str">
        <f t="shared" ref="G69:G74" si="49">Monetary_Unit</f>
        <v>тыс. руб.</v>
      </c>
      <c r="I69" s="23">
        <f t="shared" ref="I69:I74" ca="1" si="50">SUM(L69:CM69)</f>
        <v>133245.94487856672</v>
      </c>
      <c r="L69" s="10">
        <f ca="1" xml:space="preserve"> L61 * L86 / (L86+L87)</f>
        <v>0</v>
      </c>
      <c r="M69" s="10">
        <f t="shared" ref="M69:BX69" ca="1" si="51" xml:space="preserve"> M61 * M86 / (M86+M87)</f>
        <v>0</v>
      </c>
      <c r="N69" s="10">
        <f t="shared" ca="1" si="51"/>
        <v>0</v>
      </c>
      <c r="O69" s="10">
        <f t="shared" ca="1" si="51"/>
        <v>0</v>
      </c>
      <c r="P69" s="10">
        <f t="shared" ca="1" si="51"/>
        <v>0</v>
      </c>
      <c r="Q69" s="10">
        <f t="shared" ca="1" si="51"/>
        <v>0</v>
      </c>
      <c r="R69" s="10">
        <f t="shared" ca="1" si="51"/>
        <v>0</v>
      </c>
      <c r="S69" s="10">
        <f t="shared" ca="1" si="51"/>
        <v>0</v>
      </c>
      <c r="T69" s="10">
        <f t="shared" ca="1" si="51"/>
        <v>0</v>
      </c>
      <c r="U69" s="10">
        <f t="shared" ca="1" si="51"/>
        <v>0</v>
      </c>
      <c r="V69" s="10">
        <f t="shared" ca="1" si="51"/>
        <v>0</v>
      </c>
      <c r="W69" s="10">
        <f t="shared" ca="1" si="51"/>
        <v>0</v>
      </c>
      <c r="X69" s="10">
        <f t="shared" ca="1" si="51"/>
        <v>0</v>
      </c>
      <c r="Y69" s="10">
        <f t="shared" ca="1" si="51"/>
        <v>0</v>
      </c>
      <c r="Z69" s="10">
        <f t="shared" ca="1" si="51"/>
        <v>0</v>
      </c>
      <c r="AA69" s="10">
        <f t="shared" ca="1" si="51"/>
        <v>0</v>
      </c>
      <c r="AB69" s="10">
        <f t="shared" ca="1" si="51"/>
        <v>0</v>
      </c>
      <c r="AC69" s="10">
        <f t="shared" ca="1" si="51"/>
        <v>0</v>
      </c>
      <c r="AD69" s="10">
        <f t="shared" ca="1" si="51"/>
        <v>345.26162260893079</v>
      </c>
      <c r="AE69" s="10">
        <f t="shared" ca="1" si="51"/>
        <v>6.669681451090745</v>
      </c>
      <c r="AF69" s="10">
        <f t="shared" ca="1" si="51"/>
        <v>0</v>
      </c>
      <c r="AG69" s="10">
        <f t="shared" ca="1" si="51"/>
        <v>137.50713145343391</v>
      </c>
      <c r="AH69" s="10">
        <f t="shared" ca="1" si="51"/>
        <v>444.1544967387843</v>
      </c>
      <c r="AI69" s="10">
        <f t="shared" ca="1" si="51"/>
        <v>46.408064810482216</v>
      </c>
      <c r="AJ69" s="10">
        <f t="shared" ca="1" si="51"/>
        <v>19.955146538967007</v>
      </c>
      <c r="AK69" s="10">
        <f t="shared" ca="1" si="51"/>
        <v>131.27557292435313</v>
      </c>
      <c r="AL69" s="10">
        <f t="shared" ca="1" si="51"/>
        <v>366.30808637089996</v>
      </c>
      <c r="AM69" s="10">
        <f t="shared" ca="1" si="51"/>
        <v>61.421418979431394</v>
      </c>
      <c r="AN69" s="10">
        <f t="shared" ca="1" si="51"/>
        <v>49.607555709242028</v>
      </c>
      <c r="AO69" s="10">
        <f t="shared" ca="1" si="51"/>
        <v>175.98150375325133</v>
      </c>
      <c r="AP69" s="10">
        <f t="shared" ca="1" si="51"/>
        <v>432.20421676408841</v>
      </c>
      <c r="AQ69" s="10">
        <f t="shared" ca="1" si="51"/>
        <v>113.28372044276536</v>
      </c>
      <c r="AR69" s="10">
        <f t="shared" ca="1" si="51"/>
        <v>142.2011034512615</v>
      </c>
      <c r="AS69" s="10">
        <f t="shared" ca="1" si="51"/>
        <v>401.70384709803034</v>
      </c>
      <c r="AT69" s="10">
        <f t="shared" ca="1" si="51"/>
        <v>935.61823648541053</v>
      </c>
      <c r="AU69" s="10">
        <f t="shared" ca="1" si="51"/>
        <v>784.47506595321931</v>
      </c>
      <c r="AV69" s="10">
        <f t="shared" ca="1" si="51"/>
        <v>695.87173605378678</v>
      </c>
      <c r="AW69" s="10">
        <f t="shared" ca="1" si="51"/>
        <v>1174.2756187284429</v>
      </c>
      <c r="AX69" s="10">
        <f t="shared" ca="1" si="51"/>
        <v>2630.6190286571991</v>
      </c>
      <c r="AY69" s="10">
        <f t="shared" ca="1" si="51"/>
        <v>659.7955912477521</v>
      </c>
      <c r="AZ69" s="10">
        <f t="shared" ca="1" si="51"/>
        <v>529.00689816561362</v>
      </c>
      <c r="BA69" s="10">
        <f t="shared" ca="1" si="51"/>
        <v>1254.6256205734373</v>
      </c>
      <c r="BB69" s="10">
        <f t="shared" ca="1" si="51"/>
        <v>2748.8086819243722</v>
      </c>
      <c r="BC69" s="10">
        <f t="shared" ca="1" si="51"/>
        <v>699.15230701854682</v>
      </c>
      <c r="BD69" s="10">
        <f t="shared" ca="1" si="51"/>
        <v>572.80178132611718</v>
      </c>
      <c r="BE69" s="10">
        <f t="shared" ca="1" si="51"/>
        <v>1451.9703796359533</v>
      </c>
      <c r="BF69" s="10">
        <f t="shared" ca="1" si="51"/>
        <v>3005.9307091459091</v>
      </c>
      <c r="BG69" s="10">
        <f t="shared" ca="1" si="51"/>
        <v>874.28815211927508</v>
      </c>
      <c r="BH69" s="10">
        <f t="shared" ca="1" si="51"/>
        <v>732.72461715499458</v>
      </c>
      <c r="BI69" s="10">
        <f t="shared" ca="1" si="51"/>
        <v>1517.5725294672602</v>
      </c>
      <c r="BJ69" s="10">
        <f t="shared" ca="1" si="51"/>
        <v>3133.6996307803925</v>
      </c>
      <c r="BK69" s="10">
        <f t="shared" ca="1" si="51"/>
        <v>916.79129568225483</v>
      </c>
      <c r="BL69" s="10">
        <f t="shared" ca="1" si="51"/>
        <v>769.61456729568147</v>
      </c>
      <c r="BM69" s="10">
        <f t="shared" ca="1" si="51"/>
        <v>1585.8655638239484</v>
      </c>
      <c r="BN69" s="10">
        <f t="shared" ca="1" si="51"/>
        <v>3266.6469169131169</v>
      </c>
      <c r="BO69" s="10">
        <f t="shared" ca="1" si="51"/>
        <v>2128.0664071959081</v>
      </c>
      <c r="BP69" s="10">
        <f t="shared" ca="1" si="51"/>
        <v>1789.0988270501314</v>
      </c>
      <c r="BQ69" s="10">
        <f t="shared" ca="1" si="51"/>
        <v>3668.8285647287162</v>
      </c>
      <c r="BR69" s="10">
        <f t="shared" ca="1" si="51"/>
        <v>7337.5664640155865</v>
      </c>
      <c r="BS69" s="10">
        <f t="shared" ca="1" si="51"/>
        <v>2030.7060836709543</v>
      </c>
      <c r="BT69" s="10">
        <f t="shared" ca="1" si="51"/>
        <v>1708.5418020355673</v>
      </c>
      <c r="BU69" s="10">
        <f t="shared" ca="1" si="51"/>
        <v>3641.0021071526239</v>
      </c>
      <c r="BV69" s="10">
        <f t="shared" ca="1" si="51"/>
        <v>7666.9285932745206</v>
      </c>
      <c r="BW69" s="10">
        <f t="shared" ca="1" si="51"/>
        <v>2147.6840901961596</v>
      </c>
      <c r="BX69" s="10">
        <f t="shared" ca="1" si="51"/>
        <v>1786.9355909250351</v>
      </c>
      <c r="BY69" s="10">
        <f t="shared" ref="BY69:CO69" ca="1" si="52" xml:space="preserve"> BY61 * BY86 / (BY86+BY87)</f>
        <v>3820.6098308821356</v>
      </c>
      <c r="BZ69" s="10">
        <f t="shared" ca="1" si="52"/>
        <v>8007.6865014933919</v>
      </c>
      <c r="CA69" s="10">
        <f t="shared" ca="1" si="52"/>
        <v>2267.576459967293</v>
      </c>
      <c r="CB69" s="10">
        <f t="shared" ca="1" si="52"/>
        <v>1892.5586964148956</v>
      </c>
      <c r="CC69" s="10">
        <f t="shared" ca="1" si="52"/>
        <v>4007.6913350473728</v>
      </c>
      <c r="CD69" s="10">
        <f t="shared" ca="1" si="52"/>
        <v>8362.3602652628051</v>
      </c>
      <c r="CE69" s="10">
        <f t="shared" ca="1" si="52"/>
        <v>2392.5429523965699</v>
      </c>
      <c r="CF69" s="10">
        <f t="shared" ca="1" si="52"/>
        <v>2002.0041925974779</v>
      </c>
      <c r="CG69" s="10">
        <f t="shared" ca="1" si="52"/>
        <v>4201.8490932576033</v>
      </c>
      <c r="CH69" s="10">
        <f t="shared" ca="1" si="52"/>
        <v>8730.809500866626</v>
      </c>
      <c r="CI69" s="10">
        <f t="shared" ca="1" si="52"/>
        <v>2522.0966258066574</v>
      </c>
      <c r="CJ69" s="10">
        <f t="shared" ca="1" si="52"/>
        <v>2143.653503132728</v>
      </c>
      <c r="CK69" s="10">
        <f t="shared" ca="1" si="52"/>
        <v>4403.9278292812714</v>
      </c>
      <c r="CL69" s="10">
        <f t="shared" ca="1" si="52"/>
        <v>9114.1462650919784</v>
      </c>
      <c r="CM69" s="10">
        <f t="shared" ca="1" si="52"/>
        <v>2656.975199574983</v>
      </c>
      <c r="CN69" s="10">
        <f t="shared" ca="1" si="52"/>
        <v>2232.9800553767404</v>
      </c>
      <c r="CO69" s="10">
        <f t="shared" ca="1" si="52"/>
        <v>4612.5368944667098</v>
      </c>
      <c r="CS69" s="47"/>
      <c r="CU69" s="11"/>
      <c r="GB69" s="47"/>
      <c r="GG69" s="47"/>
      <c r="GI69" s="11"/>
      <c r="JP69" s="47"/>
      <c r="JU69" s="47"/>
      <c r="JW69" s="11"/>
      <c r="ND69" s="47"/>
      <c r="NI69" s="47"/>
      <c r="NK69" s="11"/>
      <c r="QR69" s="47"/>
      <c r="QW69" s="47"/>
      <c r="QY69" s="11"/>
      <c r="UF69" s="47"/>
      <c r="UK69" s="47"/>
      <c r="UM69" s="11"/>
      <c r="XT69" s="47"/>
      <c r="XY69" s="47"/>
      <c r="YA69" s="11"/>
      <c r="ABH69" s="47"/>
      <c r="ABM69" s="47"/>
      <c r="ABO69" s="11"/>
      <c r="AEV69" s="47"/>
      <c r="AFA69" s="47"/>
      <c r="AFC69" s="11"/>
      <c r="AIJ69" s="47"/>
      <c r="AIO69" s="47"/>
      <c r="AIQ69" s="11"/>
      <c r="ALX69" s="47"/>
      <c r="AMC69" s="47"/>
      <c r="AME69" s="11"/>
      <c r="APL69" s="47"/>
      <c r="APQ69" s="47"/>
      <c r="APS69" s="11"/>
      <c r="ASZ69" s="47"/>
      <c r="ATE69" s="47"/>
      <c r="ATG69" s="11"/>
      <c r="AWN69" s="47"/>
      <c r="AWS69" s="47"/>
      <c r="AWU69" s="11"/>
      <c r="BAB69" s="47"/>
      <c r="BAG69" s="47"/>
      <c r="BAI69" s="11"/>
      <c r="BDP69" s="47"/>
      <c r="BDU69" s="47"/>
      <c r="BDW69" s="11"/>
      <c r="BHD69" s="47"/>
      <c r="BHI69" s="47"/>
      <c r="BHK69" s="11"/>
      <c r="BKR69" s="47"/>
      <c r="BKW69" s="47"/>
      <c r="BKY69" s="11"/>
      <c r="BOF69" s="47"/>
      <c r="BOK69" s="47"/>
      <c r="BOM69" s="11"/>
      <c r="BRT69" s="47"/>
      <c r="BRY69" s="47"/>
      <c r="BSA69" s="11"/>
      <c r="BVH69" s="47"/>
      <c r="BVM69" s="47"/>
      <c r="BVO69" s="11"/>
      <c r="BYV69" s="47"/>
      <c r="BZA69" s="47"/>
      <c r="BZC69" s="11"/>
      <c r="CCJ69" s="47"/>
      <c r="CCO69" s="47"/>
      <c r="CCQ69" s="11"/>
      <c r="CFX69" s="47"/>
      <c r="CGC69" s="47"/>
      <c r="CGE69" s="11"/>
      <c r="CJL69" s="47"/>
      <c r="CJQ69" s="47"/>
      <c r="CJS69" s="11"/>
      <c r="CMZ69" s="47"/>
      <c r="CNE69" s="47"/>
      <c r="CNG69" s="11"/>
      <c r="CQN69" s="47"/>
      <c r="CQS69" s="47"/>
      <c r="CQU69" s="11"/>
      <c r="CUB69" s="47"/>
      <c r="CUG69" s="47"/>
      <c r="CUI69" s="11"/>
      <c r="CXP69" s="47"/>
      <c r="CXU69" s="47"/>
      <c r="CXW69" s="11"/>
      <c r="DBD69" s="47"/>
      <c r="DBI69" s="47"/>
      <c r="DBK69" s="11"/>
      <c r="DER69" s="47"/>
      <c r="DEW69" s="47"/>
      <c r="DEY69" s="11"/>
      <c r="DIF69" s="47"/>
      <c r="DIK69" s="47"/>
      <c r="DIM69" s="11"/>
      <c r="DLT69" s="47"/>
      <c r="DLY69" s="47"/>
      <c r="DMA69" s="11"/>
      <c r="DPH69" s="47"/>
      <c r="DPM69" s="47"/>
      <c r="DPO69" s="11"/>
      <c r="DSV69" s="47"/>
      <c r="DTA69" s="47"/>
      <c r="DTC69" s="11"/>
      <c r="DWJ69" s="47"/>
      <c r="DWO69" s="47"/>
      <c r="DWQ69" s="11"/>
      <c r="DZX69" s="47"/>
      <c r="EAC69" s="47"/>
      <c r="EAE69" s="11"/>
      <c r="EDL69" s="47"/>
      <c r="EDQ69" s="47"/>
      <c r="EDS69" s="11"/>
      <c r="EGZ69" s="47"/>
      <c r="EHE69" s="47"/>
      <c r="EHG69" s="11"/>
      <c r="EKN69" s="47"/>
      <c r="EKS69" s="47"/>
      <c r="EKU69" s="11"/>
      <c r="EOB69" s="47"/>
      <c r="EOG69" s="47"/>
      <c r="EOI69" s="11"/>
      <c r="ERP69" s="47"/>
      <c r="ERU69" s="47"/>
      <c r="ERW69" s="11"/>
      <c r="EVD69" s="47"/>
      <c r="EVI69" s="47"/>
      <c r="EVK69" s="11"/>
      <c r="EYR69" s="47"/>
      <c r="EYW69" s="47"/>
      <c r="EYY69" s="11"/>
      <c r="FCF69" s="47"/>
      <c r="FCK69" s="47"/>
      <c r="FCM69" s="11"/>
      <c r="FFT69" s="47"/>
      <c r="FFY69" s="47"/>
      <c r="FGA69" s="11"/>
      <c r="FJH69" s="47"/>
      <c r="FJM69" s="47"/>
      <c r="FJO69" s="11"/>
      <c r="FMV69" s="47"/>
      <c r="FNA69" s="47"/>
      <c r="FNC69" s="11"/>
      <c r="FQJ69" s="47"/>
      <c r="FQO69" s="47"/>
      <c r="FQQ69" s="11"/>
      <c r="FTX69" s="47"/>
      <c r="FUC69" s="47"/>
      <c r="FUE69" s="11"/>
      <c r="FXL69" s="47"/>
      <c r="FXQ69" s="47"/>
      <c r="FXS69" s="11"/>
      <c r="GAZ69" s="47"/>
      <c r="GBE69" s="47"/>
      <c r="GBG69" s="11"/>
      <c r="GEN69" s="47"/>
      <c r="GES69" s="47"/>
      <c r="GEU69" s="11"/>
      <c r="GIB69" s="47"/>
      <c r="GIG69" s="47"/>
      <c r="GII69" s="11"/>
      <c r="GLP69" s="47"/>
      <c r="GLU69" s="47"/>
      <c r="GLW69" s="11"/>
      <c r="GPD69" s="47"/>
      <c r="GPI69" s="47"/>
      <c r="GPK69" s="11"/>
      <c r="GSR69" s="47"/>
      <c r="GSW69" s="47"/>
      <c r="GSY69" s="11"/>
      <c r="GWF69" s="47"/>
      <c r="GWK69" s="47"/>
      <c r="GWM69" s="11"/>
      <c r="GZT69" s="47"/>
      <c r="GZY69" s="47"/>
      <c r="HAA69" s="11"/>
      <c r="HDH69" s="47"/>
      <c r="HDM69" s="47"/>
      <c r="HDO69" s="11"/>
      <c r="HGV69" s="47"/>
      <c r="HHA69" s="47"/>
      <c r="HHC69" s="11"/>
      <c r="HKJ69" s="47"/>
      <c r="HKO69" s="47"/>
      <c r="HKQ69" s="11"/>
      <c r="HNX69" s="47"/>
      <c r="HOC69" s="47"/>
      <c r="HOE69" s="11"/>
      <c r="HRL69" s="47"/>
      <c r="HRQ69" s="47"/>
      <c r="HRS69" s="11"/>
      <c r="HUZ69" s="47"/>
      <c r="HVE69" s="47"/>
      <c r="HVG69" s="11"/>
      <c r="HYN69" s="47"/>
      <c r="HYS69" s="47"/>
      <c r="HYU69" s="11"/>
      <c r="ICB69" s="47"/>
      <c r="ICG69" s="47"/>
      <c r="ICI69" s="11"/>
      <c r="IFP69" s="47"/>
      <c r="IFU69" s="47"/>
      <c r="IFW69" s="11"/>
      <c r="IJD69" s="47"/>
      <c r="IJI69" s="47"/>
      <c r="IJK69" s="11"/>
      <c r="IMR69" s="47"/>
      <c r="IMW69" s="47"/>
      <c r="IMY69" s="11"/>
      <c r="IQF69" s="47"/>
      <c r="IQK69" s="47"/>
      <c r="IQM69" s="11"/>
      <c r="ITT69" s="47"/>
      <c r="ITY69" s="47"/>
      <c r="IUA69" s="11"/>
      <c r="IXH69" s="47"/>
      <c r="IXM69" s="47"/>
      <c r="IXO69" s="11"/>
      <c r="JAV69" s="47"/>
      <c r="JBA69" s="47"/>
      <c r="JBC69" s="11"/>
      <c r="JEJ69" s="47"/>
      <c r="JEO69" s="47"/>
      <c r="JEQ69" s="11"/>
      <c r="JHX69" s="47"/>
      <c r="JIC69" s="47"/>
      <c r="JIE69" s="11"/>
      <c r="JLL69" s="47"/>
      <c r="JLQ69" s="47"/>
      <c r="JLS69" s="11"/>
      <c r="JOZ69" s="47"/>
      <c r="JPE69" s="47"/>
      <c r="JPG69" s="11"/>
      <c r="JSN69" s="47"/>
      <c r="JSS69" s="47"/>
      <c r="JSU69" s="11"/>
      <c r="JWB69" s="47"/>
      <c r="JWG69" s="47"/>
      <c r="JWI69" s="11"/>
      <c r="JZP69" s="47"/>
      <c r="JZU69" s="47"/>
      <c r="JZW69" s="11"/>
      <c r="KDD69" s="47"/>
      <c r="KDI69" s="47"/>
      <c r="KDK69" s="11"/>
      <c r="KGR69" s="47"/>
      <c r="KGW69" s="47"/>
      <c r="KGY69" s="11"/>
      <c r="KKF69" s="47"/>
      <c r="KKK69" s="47"/>
      <c r="KKM69" s="11"/>
      <c r="KNT69" s="47"/>
      <c r="KNY69" s="47"/>
      <c r="KOA69" s="11"/>
      <c r="KRH69" s="47"/>
      <c r="KRM69" s="47"/>
      <c r="KRO69" s="11"/>
      <c r="KUV69" s="47"/>
      <c r="KVA69" s="47"/>
      <c r="KVC69" s="11"/>
      <c r="KYJ69" s="47"/>
      <c r="KYO69" s="47"/>
      <c r="KYQ69" s="11"/>
      <c r="LBX69" s="47"/>
      <c r="LCC69" s="47"/>
      <c r="LCE69" s="11"/>
      <c r="LFL69" s="47"/>
      <c r="LFQ69" s="47"/>
      <c r="LFS69" s="11"/>
      <c r="LIZ69" s="47"/>
      <c r="LJE69" s="47"/>
      <c r="LJG69" s="11"/>
      <c r="LMN69" s="47"/>
      <c r="LMS69" s="47"/>
      <c r="LMU69" s="11"/>
      <c r="LQB69" s="47"/>
      <c r="LQG69" s="47"/>
      <c r="LQI69" s="11"/>
      <c r="LTP69" s="47"/>
      <c r="LTU69" s="47"/>
      <c r="LTW69" s="11"/>
      <c r="LXD69" s="47"/>
      <c r="LXI69" s="47"/>
      <c r="LXK69" s="11"/>
      <c r="MAR69" s="47"/>
      <c r="MAW69" s="47"/>
      <c r="MAY69" s="11"/>
      <c r="MEF69" s="47"/>
      <c r="MEK69" s="47"/>
      <c r="MEM69" s="11"/>
      <c r="MHT69" s="47"/>
      <c r="MHY69" s="47"/>
      <c r="MIA69" s="11"/>
      <c r="MLH69" s="47"/>
      <c r="MLM69" s="47"/>
      <c r="MLO69" s="11"/>
      <c r="MOV69" s="47"/>
      <c r="MPA69" s="47"/>
      <c r="MPC69" s="11"/>
      <c r="MSJ69" s="47"/>
      <c r="MSO69" s="47"/>
      <c r="MSQ69" s="11"/>
      <c r="MVX69" s="47"/>
      <c r="MWC69" s="47"/>
      <c r="MWE69" s="11"/>
      <c r="MZL69" s="47"/>
      <c r="MZQ69" s="47"/>
      <c r="MZS69" s="11"/>
      <c r="NCZ69" s="47"/>
      <c r="NDE69" s="47"/>
      <c r="NDG69" s="11"/>
      <c r="NGN69" s="47"/>
      <c r="NGS69" s="47"/>
      <c r="NGU69" s="11"/>
      <c r="NKB69" s="47"/>
      <c r="NKG69" s="47"/>
      <c r="NKI69" s="11"/>
      <c r="NNP69" s="47"/>
      <c r="NNU69" s="47"/>
      <c r="NNW69" s="11"/>
      <c r="NRD69" s="47"/>
      <c r="NRI69" s="47"/>
      <c r="NRK69" s="11"/>
      <c r="NUR69" s="47"/>
      <c r="NUW69" s="47"/>
      <c r="NUY69" s="11"/>
      <c r="NYF69" s="47"/>
      <c r="NYK69" s="47"/>
      <c r="NYM69" s="11"/>
      <c r="OBT69" s="47"/>
      <c r="OBY69" s="47"/>
      <c r="OCA69" s="11"/>
      <c r="OFH69" s="47"/>
      <c r="OFM69" s="47"/>
      <c r="OFO69" s="11"/>
      <c r="OIV69" s="47"/>
      <c r="OJA69" s="47"/>
      <c r="OJC69" s="11"/>
      <c r="OMJ69" s="47"/>
      <c r="OMO69" s="47"/>
      <c r="OMQ69" s="11"/>
      <c r="OPX69" s="47"/>
      <c r="OQC69" s="47"/>
      <c r="OQE69" s="11"/>
      <c r="OTL69" s="47"/>
      <c r="OTQ69" s="47"/>
      <c r="OTS69" s="11"/>
      <c r="OWZ69" s="47"/>
      <c r="OXE69" s="47"/>
      <c r="OXG69" s="11"/>
      <c r="PAN69" s="47"/>
      <c r="PAS69" s="47"/>
      <c r="PAU69" s="11"/>
      <c r="PEB69" s="47"/>
      <c r="PEG69" s="47"/>
      <c r="PEI69" s="11"/>
      <c r="PHP69" s="47"/>
      <c r="PHU69" s="47"/>
      <c r="PHW69" s="11"/>
      <c r="PLD69" s="47"/>
      <c r="PLI69" s="47"/>
      <c r="PLK69" s="11"/>
      <c r="POR69" s="47"/>
      <c r="POW69" s="47"/>
      <c r="POY69" s="11"/>
      <c r="PSF69" s="47"/>
      <c r="PSK69" s="47"/>
      <c r="PSM69" s="11"/>
      <c r="PVT69" s="47"/>
      <c r="PVY69" s="47"/>
      <c r="PWA69" s="11"/>
      <c r="PZH69" s="47"/>
      <c r="PZM69" s="47"/>
      <c r="PZO69" s="11"/>
      <c r="QCV69" s="47"/>
      <c r="QDA69" s="47"/>
      <c r="QDC69" s="11"/>
      <c r="QGJ69" s="47"/>
      <c r="QGO69" s="47"/>
      <c r="QGQ69" s="11"/>
      <c r="QJX69" s="47"/>
      <c r="QKC69" s="47"/>
      <c r="QKE69" s="11"/>
      <c r="QNL69" s="47"/>
      <c r="QNQ69" s="47"/>
      <c r="QNS69" s="11"/>
      <c r="QQZ69" s="47"/>
      <c r="QRE69" s="47"/>
      <c r="QRG69" s="11"/>
      <c r="QUN69" s="47"/>
      <c r="QUS69" s="47"/>
      <c r="QUU69" s="11"/>
      <c r="QYB69" s="47"/>
      <c r="QYG69" s="47"/>
      <c r="QYI69" s="11"/>
      <c r="RBP69" s="47"/>
      <c r="RBU69" s="47"/>
      <c r="RBW69" s="11"/>
      <c r="RFD69" s="47"/>
      <c r="RFI69" s="47"/>
      <c r="RFK69" s="11"/>
      <c r="RIR69" s="47"/>
      <c r="RIW69" s="47"/>
      <c r="RIY69" s="11"/>
      <c r="RMF69" s="47"/>
      <c r="RMK69" s="47"/>
      <c r="RMM69" s="11"/>
      <c r="RPT69" s="47"/>
      <c r="RPY69" s="47"/>
      <c r="RQA69" s="11"/>
      <c r="RTH69" s="47"/>
      <c r="RTM69" s="47"/>
      <c r="RTO69" s="11"/>
      <c r="RWV69" s="47"/>
      <c r="RXA69" s="47"/>
      <c r="RXC69" s="11"/>
      <c r="SAJ69" s="47"/>
      <c r="SAO69" s="47"/>
      <c r="SAQ69" s="11"/>
      <c r="SDX69" s="47"/>
      <c r="SEC69" s="47"/>
      <c r="SEE69" s="11"/>
      <c r="SHL69" s="47"/>
      <c r="SHQ69" s="47"/>
      <c r="SHS69" s="11"/>
      <c r="SKZ69" s="47"/>
      <c r="SLE69" s="47"/>
      <c r="SLG69" s="11"/>
      <c r="SON69" s="47"/>
      <c r="SOS69" s="47"/>
      <c r="SOU69" s="11"/>
      <c r="SSB69" s="47"/>
      <c r="SSG69" s="47"/>
      <c r="SSI69" s="11"/>
      <c r="SVP69" s="47"/>
      <c r="SVU69" s="47"/>
      <c r="SVW69" s="11"/>
      <c r="SZD69" s="47"/>
      <c r="SZI69" s="47"/>
      <c r="SZK69" s="11"/>
      <c r="TCR69" s="47"/>
      <c r="TCW69" s="47"/>
      <c r="TCY69" s="11"/>
      <c r="TGF69" s="47"/>
      <c r="TGK69" s="47"/>
      <c r="TGM69" s="11"/>
      <c r="TJT69" s="47"/>
      <c r="TJY69" s="47"/>
      <c r="TKA69" s="11"/>
      <c r="TNH69" s="47"/>
      <c r="TNM69" s="47"/>
      <c r="TNO69" s="11"/>
      <c r="TQV69" s="47"/>
      <c r="TRA69" s="47"/>
      <c r="TRC69" s="11"/>
      <c r="TUJ69" s="47"/>
      <c r="TUO69" s="47"/>
      <c r="TUQ69" s="11"/>
      <c r="TXX69" s="47"/>
      <c r="TYC69" s="47"/>
      <c r="TYE69" s="11"/>
      <c r="UBL69" s="47"/>
      <c r="UBQ69" s="47"/>
      <c r="UBS69" s="11"/>
      <c r="UEZ69" s="47"/>
      <c r="UFE69" s="47"/>
      <c r="UFG69" s="11"/>
      <c r="UIN69" s="47"/>
      <c r="UIS69" s="47"/>
      <c r="UIU69" s="11"/>
      <c r="UMB69" s="47"/>
      <c r="UMG69" s="47"/>
      <c r="UMI69" s="11"/>
      <c r="UPP69" s="47"/>
      <c r="UPU69" s="47"/>
      <c r="UPW69" s="11"/>
      <c r="UTD69" s="47"/>
      <c r="UTI69" s="47"/>
      <c r="UTK69" s="11"/>
      <c r="UWR69" s="47"/>
      <c r="UWW69" s="47"/>
      <c r="UWY69" s="11"/>
      <c r="VAF69" s="47"/>
      <c r="VAK69" s="47"/>
      <c r="VAM69" s="11"/>
      <c r="VDT69" s="47"/>
      <c r="VDY69" s="47"/>
      <c r="VEA69" s="11"/>
      <c r="VHH69" s="47"/>
      <c r="VHM69" s="47"/>
      <c r="VHO69" s="11"/>
      <c r="VKV69" s="47"/>
      <c r="VLA69" s="47"/>
      <c r="VLC69" s="11"/>
      <c r="VOJ69" s="47"/>
      <c r="VOO69" s="47"/>
      <c r="VOQ69" s="11"/>
      <c r="VRX69" s="47"/>
      <c r="VSC69" s="47"/>
      <c r="VSE69" s="11"/>
      <c r="VVL69" s="47"/>
      <c r="VVQ69" s="47"/>
      <c r="VVS69" s="11"/>
      <c r="VYZ69" s="47"/>
      <c r="VZE69" s="47"/>
      <c r="VZG69" s="11"/>
      <c r="WCN69" s="47"/>
      <c r="WCS69" s="47"/>
      <c r="WCU69" s="11"/>
      <c r="WGB69" s="47"/>
      <c r="WGG69" s="47"/>
      <c r="WGI69" s="11"/>
      <c r="WJP69" s="47"/>
      <c r="WJU69" s="47"/>
      <c r="WJW69" s="11"/>
      <c r="WND69" s="47"/>
      <c r="WNI69" s="47"/>
      <c r="WNK69" s="11"/>
      <c r="WQR69" s="47"/>
      <c r="WQW69" s="47"/>
      <c r="WQY69" s="11"/>
      <c r="WUF69" s="47"/>
      <c r="WUK69" s="47"/>
      <c r="WUM69" s="11"/>
      <c r="WXT69" s="47"/>
      <c r="WXY69" s="47"/>
      <c r="WYA69" s="11"/>
      <c r="XBH69" s="47"/>
      <c r="XBM69" s="47"/>
      <c r="XBO69" s="11"/>
      <c r="XEV69" s="47"/>
      <c r="XFA69" s="47"/>
      <c r="XFC69" s="11"/>
    </row>
    <row r="70" spans="1:1019 1104:2031 2116:3043 3128:4055 4140:5067 5152:6079 6164:7091 7176:8188 8193:9207 9292:10219 10304:11231 11316:12243 12328:13255 13340:14267 14352:15279 15364:16383" s="10" customFormat="1" ht="14.65" customHeight="1">
      <c r="C70" s="17" t="s">
        <v>1004</v>
      </c>
      <c r="E70" s="47"/>
      <c r="G70" s="11" t="str">
        <f t="shared" si="49"/>
        <v>тыс. руб.</v>
      </c>
      <c r="I70" s="23">
        <f t="shared" ca="1" si="50"/>
        <v>0</v>
      </c>
      <c r="L70" s="10">
        <f ca="1" xml:space="preserve"> L62 * $E$91</f>
        <v>0</v>
      </c>
      <c r="M70" s="10">
        <f t="shared" ref="M70:BX70" ca="1" si="53" xml:space="preserve"> M62 * $E$91</f>
        <v>0</v>
      </c>
      <c r="N70" s="10">
        <f t="shared" ca="1" si="53"/>
        <v>0</v>
      </c>
      <c r="O70" s="10">
        <f t="shared" ca="1" si="53"/>
        <v>0</v>
      </c>
      <c r="P70" s="10">
        <f t="shared" ca="1" si="53"/>
        <v>0</v>
      </c>
      <c r="Q70" s="10">
        <f t="shared" ca="1" si="53"/>
        <v>0</v>
      </c>
      <c r="R70" s="10">
        <f t="shared" ca="1" si="53"/>
        <v>0</v>
      </c>
      <c r="S70" s="10">
        <f t="shared" ca="1" si="53"/>
        <v>0</v>
      </c>
      <c r="T70" s="10">
        <f t="shared" ca="1" si="53"/>
        <v>0</v>
      </c>
      <c r="U70" s="10">
        <f t="shared" ca="1" si="53"/>
        <v>0</v>
      </c>
      <c r="V70" s="10">
        <f t="shared" ca="1" si="53"/>
        <v>0</v>
      </c>
      <c r="W70" s="10">
        <f t="shared" ca="1" si="53"/>
        <v>0</v>
      </c>
      <c r="X70" s="10">
        <f t="shared" ca="1" si="53"/>
        <v>0</v>
      </c>
      <c r="Y70" s="10">
        <f t="shared" ca="1" si="53"/>
        <v>0</v>
      </c>
      <c r="Z70" s="10">
        <f t="shared" ca="1" si="53"/>
        <v>0</v>
      </c>
      <c r="AA70" s="10">
        <f t="shared" ca="1" si="53"/>
        <v>0</v>
      </c>
      <c r="AB70" s="10">
        <f t="shared" ca="1" si="53"/>
        <v>0</v>
      </c>
      <c r="AC70" s="10">
        <f t="shared" ca="1" si="53"/>
        <v>0</v>
      </c>
      <c r="AD70" s="10">
        <f t="shared" ca="1" si="53"/>
        <v>0</v>
      </c>
      <c r="AE70" s="10">
        <f t="shared" ca="1" si="53"/>
        <v>0</v>
      </c>
      <c r="AF70" s="10">
        <f t="shared" ca="1" si="53"/>
        <v>0</v>
      </c>
      <c r="AG70" s="10">
        <f t="shared" ca="1" si="53"/>
        <v>0</v>
      </c>
      <c r="AH70" s="10">
        <f t="shared" ca="1" si="53"/>
        <v>0</v>
      </c>
      <c r="AI70" s="10">
        <f t="shared" ca="1" si="53"/>
        <v>0</v>
      </c>
      <c r="AJ70" s="10">
        <f t="shared" ca="1" si="53"/>
        <v>0</v>
      </c>
      <c r="AK70" s="10">
        <f t="shared" ca="1" si="53"/>
        <v>0</v>
      </c>
      <c r="AL70" s="10">
        <f t="shared" ca="1" si="53"/>
        <v>0</v>
      </c>
      <c r="AM70" s="10">
        <f t="shared" ca="1" si="53"/>
        <v>0</v>
      </c>
      <c r="AN70" s="10">
        <f t="shared" ca="1" si="53"/>
        <v>0</v>
      </c>
      <c r="AO70" s="10">
        <f t="shared" ca="1" si="53"/>
        <v>0</v>
      </c>
      <c r="AP70" s="10">
        <f t="shared" ca="1" si="53"/>
        <v>0</v>
      </c>
      <c r="AQ70" s="10">
        <f t="shared" ca="1" si="53"/>
        <v>0</v>
      </c>
      <c r="AR70" s="10">
        <f t="shared" ca="1" si="53"/>
        <v>0</v>
      </c>
      <c r="AS70" s="10">
        <f t="shared" ca="1" si="53"/>
        <v>0</v>
      </c>
      <c r="AT70" s="10">
        <f t="shared" ca="1" si="53"/>
        <v>0</v>
      </c>
      <c r="AU70" s="10">
        <f t="shared" ca="1" si="53"/>
        <v>0</v>
      </c>
      <c r="AV70" s="10">
        <f t="shared" ca="1" si="53"/>
        <v>0</v>
      </c>
      <c r="AW70" s="10">
        <f t="shared" ca="1" si="53"/>
        <v>0</v>
      </c>
      <c r="AX70" s="10">
        <f t="shared" ca="1" si="53"/>
        <v>0</v>
      </c>
      <c r="AY70" s="10">
        <f t="shared" ca="1" si="53"/>
        <v>0</v>
      </c>
      <c r="AZ70" s="10">
        <f t="shared" ca="1" si="53"/>
        <v>0</v>
      </c>
      <c r="BA70" s="10">
        <f t="shared" ca="1" si="53"/>
        <v>0</v>
      </c>
      <c r="BB70" s="10">
        <f t="shared" ca="1" si="53"/>
        <v>0</v>
      </c>
      <c r="BC70" s="10">
        <f t="shared" ca="1" si="53"/>
        <v>0</v>
      </c>
      <c r="BD70" s="10">
        <f t="shared" ca="1" si="53"/>
        <v>0</v>
      </c>
      <c r="BE70" s="10">
        <f t="shared" ca="1" si="53"/>
        <v>0</v>
      </c>
      <c r="BF70" s="10">
        <f t="shared" ca="1" si="53"/>
        <v>0</v>
      </c>
      <c r="BG70" s="10">
        <f t="shared" ca="1" si="53"/>
        <v>0</v>
      </c>
      <c r="BH70" s="10">
        <f t="shared" ca="1" si="53"/>
        <v>0</v>
      </c>
      <c r="BI70" s="10">
        <f t="shared" ca="1" si="53"/>
        <v>0</v>
      </c>
      <c r="BJ70" s="10">
        <f t="shared" ca="1" si="53"/>
        <v>0</v>
      </c>
      <c r="BK70" s="10">
        <f t="shared" ca="1" si="53"/>
        <v>0</v>
      </c>
      <c r="BL70" s="10">
        <f t="shared" ca="1" si="53"/>
        <v>0</v>
      </c>
      <c r="BM70" s="10">
        <f t="shared" ca="1" si="53"/>
        <v>0</v>
      </c>
      <c r="BN70" s="10">
        <f t="shared" ca="1" si="53"/>
        <v>0</v>
      </c>
      <c r="BO70" s="10">
        <f t="shared" ca="1" si="53"/>
        <v>0</v>
      </c>
      <c r="BP70" s="10">
        <f t="shared" ca="1" si="53"/>
        <v>0</v>
      </c>
      <c r="BQ70" s="10">
        <f t="shared" ca="1" si="53"/>
        <v>0</v>
      </c>
      <c r="BR70" s="10">
        <f t="shared" ca="1" si="53"/>
        <v>0</v>
      </c>
      <c r="BS70" s="10">
        <f t="shared" ca="1" si="53"/>
        <v>0</v>
      </c>
      <c r="BT70" s="10">
        <f t="shared" ca="1" si="53"/>
        <v>0</v>
      </c>
      <c r="BU70" s="10">
        <f t="shared" ca="1" si="53"/>
        <v>0</v>
      </c>
      <c r="BV70" s="10">
        <f t="shared" ca="1" si="53"/>
        <v>0</v>
      </c>
      <c r="BW70" s="10">
        <f t="shared" ca="1" si="53"/>
        <v>0</v>
      </c>
      <c r="BX70" s="10">
        <f t="shared" ca="1" si="53"/>
        <v>0</v>
      </c>
      <c r="BY70" s="10">
        <f t="shared" ref="BY70:CM70" ca="1" si="54" xml:space="preserve"> BY62 * $E$91</f>
        <v>0</v>
      </c>
      <c r="BZ70" s="10">
        <f t="shared" ca="1" si="54"/>
        <v>0</v>
      </c>
      <c r="CA70" s="10">
        <f t="shared" ca="1" si="54"/>
        <v>0</v>
      </c>
      <c r="CB70" s="10">
        <f t="shared" ca="1" si="54"/>
        <v>0</v>
      </c>
      <c r="CC70" s="10">
        <f t="shared" ca="1" si="54"/>
        <v>0</v>
      </c>
      <c r="CD70" s="10">
        <f t="shared" ca="1" si="54"/>
        <v>0</v>
      </c>
      <c r="CE70" s="10">
        <f t="shared" ca="1" si="54"/>
        <v>0</v>
      </c>
      <c r="CF70" s="10">
        <f t="shared" ca="1" si="54"/>
        <v>0</v>
      </c>
      <c r="CG70" s="10">
        <f t="shared" ca="1" si="54"/>
        <v>0</v>
      </c>
      <c r="CH70" s="10">
        <f t="shared" ca="1" si="54"/>
        <v>0</v>
      </c>
      <c r="CI70" s="10">
        <f t="shared" ca="1" si="54"/>
        <v>0</v>
      </c>
      <c r="CJ70" s="10">
        <f t="shared" ca="1" si="54"/>
        <v>0</v>
      </c>
      <c r="CK70" s="10">
        <f t="shared" ca="1" si="54"/>
        <v>0</v>
      </c>
      <c r="CL70" s="10">
        <f t="shared" ca="1" si="54"/>
        <v>0</v>
      </c>
      <c r="CM70" s="10">
        <f t="shared" ca="1" si="54"/>
        <v>0</v>
      </c>
      <c r="CN70" s="10">
        <f ca="1" xml:space="preserve"> CN62 * $E$91</f>
        <v>0</v>
      </c>
      <c r="CO70" s="10">
        <f ca="1" xml:space="preserve"> CO62 * $E$91</f>
        <v>0</v>
      </c>
      <c r="CS70" s="47"/>
      <c r="CU70" s="11"/>
      <c r="GB70" s="47"/>
      <c r="GG70" s="47"/>
      <c r="GI70" s="11"/>
      <c r="JP70" s="47"/>
      <c r="JU70" s="47"/>
      <c r="JW70" s="11"/>
      <c r="ND70" s="47"/>
      <c r="NI70" s="47"/>
      <c r="NK70" s="11"/>
      <c r="QR70" s="47"/>
      <c r="QW70" s="47"/>
      <c r="QY70" s="11"/>
      <c r="UF70" s="47"/>
      <c r="UK70" s="47"/>
      <c r="UM70" s="11"/>
      <c r="XT70" s="47"/>
      <c r="XY70" s="47"/>
      <c r="YA70" s="11"/>
      <c r="ABH70" s="47"/>
      <c r="ABM70" s="47"/>
      <c r="ABO70" s="11"/>
      <c r="AEV70" s="47"/>
      <c r="AFA70" s="47"/>
      <c r="AFC70" s="11"/>
      <c r="AIJ70" s="47"/>
      <c r="AIO70" s="47"/>
      <c r="AIQ70" s="11"/>
      <c r="ALX70" s="47"/>
      <c r="AMC70" s="47"/>
      <c r="AME70" s="11"/>
      <c r="APL70" s="47"/>
      <c r="APQ70" s="47"/>
      <c r="APS70" s="11"/>
      <c r="ASZ70" s="47"/>
      <c r="ATE70" s="47"/>
      <c r="ATG70" s="11"/>
      <c r="AWN70" s="47"/>
      <c r="AWS70" s="47"/>
      <c r="AWU70" s="11"/>
      <c r="BAB70" s="47"/>
      <c r="BAG70" s="47"/>
      <c r="BAI70" s="11"/>
      <c r="BDP70" s="47"/>
      <c r="BDU70" s="47"/>
      <c r="BDW70" s="11"/>
      <c r="BHD70" s="47"/>
      <c r="BHI70" s="47"/>
      <c r="BHK70" s="11"/>
      <c r="BKR70" s="47"/>
      <c r="BKW70" s="47"/>
      <c r="BKY70" s="11"/>
      <c r="BOF70" s="47"/>
      <c r="BOK70" s="47"/>
      <c r="BOM70" s="11"/>
      <c r="BRT70" s="47"/>
      <c r="BRY70" s="47"/>
      <c r="BSA70" s="11"/>
      <c r="BVH70" s="47"/>
      <c r="BVM70" s="47"/>
      <c r="BVO70" s="11"/>
      <c r="BYV70" s="47"/>
      <c r="BZA70" s="47"/>
      <c r="BZC70" s="11"/>
      <c r="CCJ70" s="47"/>
      <c r="CCO70" s="47"/>
      <c r="CCQ70" s="11"/>
      <c r="CFX70" s="47"/>
      <c r="CGC70" s="47"/>
      <c r="CGE70" s="11"/>
      <c r="CJL70" s="47"/>
      <c r="CJQ70" s="47"/>
      <c r="CJS70" s="11"/>
      <c r="CMZ70" s="47"/>
      <c r="CNE70" s="47"/>
      <c r="CNG70" s="11"/>
      <c r="CQN70" s="47"/>
      <c r="CQS70" s="47"/>
      <c r="CQU70" s="11"/>
      <c r="CUB70" s="47"/>
      <c r="CUG70" s="47"/>
      <c r="CUI70" s="11"/>
      <c r="CXP70" s="47"/>
      <c r="CXU70" s="47"/>
      <c r="CXW70" s="11"/>
      <c r="DBD70" s="47"/>
      <c r="DBI70" s="47"/>
      <c r="DBK70" s="11"/>
      <c r="DER70" s="47"/>
      <c r="DEW70" s="47"/>
      <c r="DEY70" s="11"/>
      <c r="DIF70" s="47"/>
      <c r="DIK70" s="47"/>
      <c r="DIM70" s="11"/>
      <c r="DLT70" s="47"/>
      <c r="DLY70" s="47"/>
      <c r="DMA70" s="11"/>
      <c r="DPH70" s="47"/>
      <c r="DPM70" s="47"/>
      <c r="DPO70" s="11"/>
      <c r="DSV70" s="47"/>
      <c r="DTA70" s="47"/>
      <c r="DTC70" s="11"/>
      <c r="DWJ70" s="47"/>
      <c r="DWO70" s="47"/>
      <c r="DWQ70" s="11"/>
      <c r="DZX70" s="47"/>
      <c r="EAC70" s="47"/>
      <c r="EAE70" s="11"/>
      <c r="EDL70" s="47"/>
      <c r="EDQ70" s="47"/>
      <c r="EDS70" s="11"/>
      <c r="EGZ70" s="47"/>
      <c r="EHE70" s="47"/>
      <c r="EHG70" s="11"/>
      <c r="EKN70" s="47"/>
      <c r="EKS70" s="47"/>
      <c r="EKU70" s="11"/>
      <c r="EOB70" s="47"/>
      <c r="EOG70" s="47"/>
      <c r="EOI70" s="11"/>
      <c r="ERP70" s="47"/>
      <c r="ERU70" s="47"/>
      <c r="ERW70" s="11"/>
      <c r="EVD70" s="47"/>
      <c r="EVI70" s="47"/>
      <c r="EVK70" s="11"/>
      <c r="EYR70" s="47"/>
      <c r="EYW70" s="47"/>
      <c r="EYY70" s="11"/>
      <c r="FCF70" s="47"/>
      <c r="FCK70" s="47"/>
      <c r="FCM70" s="11"/>
      <c r="FFT70" s="47"/>
      <c r="FFY70" s="47"/>
      <c r="FGA70" s="11"/>
      <c r="FJH70" s="47"/>
      <c r="FJM70" s="47"/>
      <c r="FJO70" s="11"/>
      <c r="FMV70" s="47"/>
      <c r="FNA70" s="47"/>
      <c r="FNC70" s="11"/>
      <c r="FQJ70" s="47"/>
      <c r="FQO70" s="47"/>
      <c r="FQQ70" s="11"/>
      <c r="FTX70" s="47"/>
      <c r="FUC70" s="47"/>
      <c r="FUE70" s="11"/>
      <c r="FXL70" s="47"/>
      <c r="FXQ70" s="47"/>
      <c r="FXS70" s="11"/>
      <c r="GAZ70" s="47"/>
      <c r="GBE70" s="47"/>
      <c r="GBG70" s="11"/>
      <c r="GEN70" s="47"/>
      <c r="GES70" s="47"/>
      <c r="GEU70" s="11"/>
      <c r="GIB70" s="47"/>
      <c r="GIG70" s="47"/>
      <c r="GII70" s="11"/>
      <c r="GLP70" s="47"/>
      <c r="GLU70" s="47"/>
      <c r="GLW70" s="11"/>
      <c r="GPD70" s="47"/>
      <c r="GPI70" s="47"/>
      <c r="GPK70" s="11"/>
      <c r="GSR70" s="47"/>
      <c r="GSW70" s="47"/>
      <c r="GSY70" s="11"/>
      <c r="GWF70" s="47"/>
      <c r="GWK70" s="47"/>
      <c r="GWM70" s="11"/>
      <c r="GZT70" s="47"/>
      <c r="GZY70" s="47"/>
      <c r="HAA70" s="11"/>
      <c r="HDH70" s="47"/>
      <c r="HDM70" s="47"/>
      <c r="HDO70" s="11"/>
      <c r="HGV70" s="47"/>
      <c r="HHA70" s="47"/>
      <c r="HHC70" s="11"/>
      <c r="HKJ70" s="47"/>
      <c r="HKO70" s="47"/>
      <c r="HKQ70" s="11"/>
      <c r="HNX70" s="47"/>
      <c r="HOC70" s="47"/>
      <c r="HOE70" s="11"/>
      <c r="HRL70" s="47"/>
      <c r="HRQ70" s="47"/>
      <c r="HRS70" s="11"/>
      <c r="HUZ70" s="47"/>
      <c r="HVE70" s="47"/>
      <c r="HVG70" s="11"/>
      <c r="HYN70" s="47"/>
      <c r="HYS70" s="47"/>
      <c r="HYU70" s="11"/>
      <c r="ICB70" s="47"/>
      <c r="ICG70" s="47"/>
      <c r="ICI70" s="11"/>
      <c r="IFP70" s="47"/>
      <c r="IFU70" s="47"/>
      <c r="IFW70" s="11"/>
      <c r="IJD70" s="47"/>
      <c r="IJI70" s="47"/>
      <c r="IJK70" s="11"/>
      <c r="IMR70" s="47"/>
      <c r="IMW70" s="47"/>
      <c r="IMY70" s="11"/>
      <c r="IQF70" s="47"/>
      <c r="IQK70" s="47"/>
      <c r="IQM70" s="11"/>
      <c r="ITT70" s="47"/>
      <c r="ITY70" s="47"/>
      <c r="IUA70" s="11"/>
      <c r="IXH70" s="47"/>
      <c r="IXM70" s="47"/>
      <c r="IXO70" s="11"/>
      <c r="JAV70" s="47"/>
      <c r="JBA70" s="47"/>
      <c r="JBC70" s="11"/>
      <c r="JEJ70" s="47"/>
      <c r="JEO70" s="47"/>
      <c r="JEQ70" s="11"/>
      <c r="JHX70" s="47"/>
      <c r="JIC70" s="47"/>
      <c r="JIE70" s="11"/>
      <c r="JLL70" s="47"/>
      <c r="JLQ70" s="47"/>
      <c r="JLS70" s="11"/>
      <c r="JOZ70" s="47"/>
      <c r="JPE70" s="47"/>
      <c r="JPG70" s="11"/>
      <c r="JSN70" s="47"/>
      <c r="JSS70" s="47"/>
      <c r="JSU70" s="11"/>
      <c r="JWB70" s="47"/>
      <c r="JWG70" s="47"/>
      <c r="JWI70" s="11"/>
      <c r="JZP70" s="47"/>
      <c r="JZU70" s="47"/>
      <c r="JZW70" s="11"/>
      <c r="KDD70" s="47"/>
      <c r="KDI70" s="47"/>
      <c r="KDK70" s="11"/>
      <c r="KGR70" s="47"/>
      <c r="KGW70" s="47"/>
      <c r="KGY70" s="11"/>
      <c r="KKF70" s="47"/>
      <c r="KKK70" s="47"/>
      <c r="KKM70" s="11"/>
      <c r="KNT70" s="47"/>
      <c r="KNY70" s="47"/>
      <c r="KOA70" s="11"/>
      <c r="KRH70" s="47"/>
      <c r="KRM70" s="47"/>
      <c r="KRO70" s="11"/>
      <c r="KUV70" s="47"/>
      <c r="KVA70" s="47"/>
      <c r="KVC70" s="11"/>
      <c r="KYJ70" s="47"/>
      <c r="KYO70" s="47"/>
      <c r="KYQ70" s="11"/>
      <c r="LBX70" s="47"/>
      <c r="LCC70" s="47"/>
      <c r="LCE70" s="11"/>
      <c r="LFL70" s="47"/>
      <c r="LFQ70" s="47"/>
      <c r="LFS70" s="11"/>
      <c r="LIZ70" s="47"/>
      <c r="LJE70" s="47"/>
      <c r="LJG70" s="11"/>
      <c r="LMN70" s="47"/>
      <c r="LMS70" s="47"/>
      <c r="LMU70" s="11"/>
      <c r="LQB70" s="47"/>
      <c r="LQG70" s="47"/>
      <c r="LQI70" s="11"/>
      <c r="LTP70" s="47"/>
      <c r="LTU70" s="47"/>
      <c r="LTW70" s="11"/>
      <c r="LXD70" s="47"/>
      <c r="LXI70" s="47"/>
      <c r="LXK70" s="11"/>
      <c r="MAR70" s="47"/>
      <c r="MAW70" s="47"/>
      <c r="MAY70" s="11"/>
      <c r="MEF70" s="47"/>
      <c r="MEK70" s="47"/>
      <c r="MEM70" s="11"/>
      <c r="MHT70" s="47"/>
      <c r="MHY70" s="47"/>
      <c r="MIA70" s="11"/>
      <c r="MLH70" s="47"/>
      <c r="MLM70" s="47"/>
      <c r="MLO70" s="11"/>
      <c r="MOV70" s="47"/>
      <c r="MPA70" s="47"/>
      <c r="MPC70" s="11"/>
      <c r="MSJ70" s="47"/>
      <c r="MSO70" s="47"/>
      <c r="MSQ70" s="11"/>
      <c r="MVX70" s="47"/>
      <c r="MWC70" s="47"/>
      <c r="MWE70" s="11"/>
      <c r="MZL70" s="47"/>
      <c r="MZQ70" s="47"/>
      <c r="MZS70" s="11"/>
      <c r="NCZ70" s="47"/>
      <c r="NDE70" s="47"/>
      <c r="NDG70" s="11"/>
      <c r="NGN70" s="47"/>
      <c r="NGS70" s="47"/>
      <c r="NGU70" s="11"/>
      <c r="NKB70" s="47"/>
      <c r="NKG70" s="47"/>
      <c r="NKI70" s="11"/>
      <c r="NNP70" s="47"/>
      <c r="NNU70" s="47"/>
      <c r="NNW70" s="11"/>
      <c r="NRD70" s="47"/>
      <c r="NRI70" s="47"/>
      <c r="NRK70" s="11"/>
      <c r="NUR70" s="47"/>
      <c r="NUW70" s="47"/>
      <c r="NUY70" s="11"/>
      <c r="NYF70" s="47"/>
      <c r="NYK70" s="47"/>
      <c r="NYM70" s="11"/>
      <c r="OBT70" s="47"/>
      <c r="OBY70" s="47"/>
      <c r="OCA70" s="11"/>
      <c r="OFH70" s="47"/>
      <c r="OFM70" s="47"/>
      <c r="OFO70" s="11"/>
      <c r="OIV70" s="47"/>
      <c r="OJA70" s="47"/>
      <c r="OJC70" s="11"/>
      <c r="OMJ70" s="47"/>
      <c r="OMO70" s="47"/>
      <c r="OMQ70" s="11"/>
      <c r="OPX70" s="47"/>
      <c r="OQC70" s="47"/>
      <c r="OQE70" s="11"/>
      <c r="OTL70" s="47"/>
      <c r="OTQ70" s="47"/>
      <c r="OTS70" s="11"/>
      <c r="OWZ70" s="47"/>
      <c r="OXE70" s="47"/>
      <c r="OXG70" s="11"/>
      <c r="PAN70" s="47"/>
      <c r="PAS70" s="47"/>
      <c r="PAU70" s="11"/>
      <c r="PEB70" s="47"/>
      <c r="PEG70" s="47"/>
      <c r="PEI70" s="11"/>
      <c r="PHP70" s="47"/>
      <c r="PHU70" s="47"/>
      <c r="PHW70" s="11"/>
      <c r="PLD70" s="47"/>
      <c r="PLI70" s="47"/>
      <c r="PLK70" s="11"/>
      <c r="POR70" s="47"/>
      <c r="POW70" s="47"/>
      <c r="POY70" s="11"/>
      <c r="PSF70" s="47"/>
      <c r="PSK70" s="47"/>
      <c r="PSM70" s="11"/>
      <c r="PVT70" s="47"/>
      <c r="PVY70" s="47"/>
      <c r="PWA70" s="11"/>
      <c r="PZH70" s="47"/>
      <c r="PZM70" s="47"/>
      <c r="PZO70" s="11"/>
      <c r="QCV70" s="47"/>
      <c r="QDA70" s="47"/>
      <c r="QDC70" s="11"/>
      <c r="QGJ70" s="47"/>
      <c r="QGO70" s="47"/>
      <c r="QGQ70" s="11"/>
      <c r="QJX70" s="47"/>
      <c r="QKC70" s="47"/>
      <c r="QKE70" s="11"/>
      <c r="QNL70" s="47"/>
      <c r="QNQ70" s="47"/>
      <c r="QNS70" s="11"/>
      <c r="QQZ70" s="47"/>
      <c r="QRE70" s="47"/>
      <c r="QRG70" s="11"/>
      <c r="QUN70" s="47"/>
      <c r="QUS70" s="47"/>
      <c r="QUU70" s="11"/>
      <c r="QYB70" s="47"/>
      <c r="QYG70" s="47"/>
      <c r="QYI70" s="11"/>
      <c r="RBP70" s="47"/>
      <c r="RBU70" s="47"/>
      <c r="RBW70" s="11"/>
      <c r="RFD70" s="47"/>
      <c r="RFI70" s="47"/>
      <c r="RFK70" s="11"/>
      <c r="RIR70" s="47"/>
      <c r="RIW70" s="47"/>
      <c r="RIY70" s="11"/>
      <c r="RMF70" s="47"/>
      <c r="RMK70" s="47"/>
      <c r="RMM70" s="11"/>
      <c r="RPT70" s="47"/>
      <c r="RPY70" s="47"/>
      <c r="RQA70" s="11"/>
      <c r="RTH70" s="47"/>
      <c r="RTM70" s="47"/>
      <c r="RTO70" s="11"/>
      <c r="RWV70" s="47"/>
      <c r="RXA70" s="47"/>
      <c r="RXC70" s="11"/>
      <c r="SAJ70" s="47"/>
      <c r="SAO70" s="47"/>
      <c r="SAQ70" s="11"/>
      <c r="SDX70" s="47"/>
      <c r="SEC70" s="47"/>
      <c r="SEE70" s="11"/>
      <c r="SHL70" s="47"/>
      <c r="SHQ70" s="47"/>
      <c r="SHS70" s="11"/>
      <c r="SKZ70" s="47"/>
      <c r="SLE70" s="47"/>
      <c r="SLG70" s="11"/>
      <c r="SON70" s="47"/>
      <c r="SOS70" s="47"/>
      <c r="SOU70" s="11"/>
      <c r="SSB70" s="47"/>
      <c r="SSG70" s="47"/>
      <c r="SSI70" s="11"/>
      <c r="SVP70" s="47"/>
      <c r="SVU70" s="47"/>
      <c r="SVW70" s="11"/>
      <c r="SZD70" s="47"/>
      <c r="SZI70" s="47"/>
      <c r="SZK70" s="11"/>
      <c r="TCR70" s="47"/>
      <c r="TCW70" s="47"/>
      <c r="TCY70" s="11"/>
      <c r="TGF70" s="47"/>
      <c r="TGK70" s="47"/>
      <c r="TGM70" s="11"/>
      <c r="TJT70" s="47"/>
      <c r="TJY70" s="47"/>
      <c r="TKA70" s="11"/>
      <c r="TNH70" s="47"/>
      <c r="TNM70" s="47"/>
      <c r="TNO70" s="11"/>
      <c r="TQV70" s="47"/>
      <c r="TRA70" s="47"/>
      <c r="TRC70" s="11"/>
      <c r="TUJ70" s="47"/>
      <c r="TUO70" s="47"/>
      <c r="TUQ70" s="11"/>
      <c r="TXX70" s="47"/>
      <c r="TYC70" s="47"/>
      <c r="TYE70" s="11"/>
      <c r="UBL70" s="47"/>
      <c r="UBQ70" s="47"/>
      <c r="UBS70" s="11"/>
      <c r="UEZ70" s="47"/>
      <c r="UFE70" s="47"/>
      <c r="UFG70" s="11"/>
      <c r="UIN70" s="47"/>
      <c r="UIS70" s="47"/>
      <c r="UIU70" s="11"/>
      <c r="UMB70" s="47"/>
      <c r="UMG70" s="47"/>
      <c r="UMI70" s="11"/>
      <c r="UPP70" s="47"/>
      <c r="UPU70" s="47"/>
      <c r="UPW70" s="11"/>
      <c r="UTD70" s="47"/>
      <c r="UTI70" s="47"/>
      <c r="UTK70" s="11"/>
      <c r="UWR70" s="47"/>
      <c r="UWW70" s="47"/>
      <c r="UWY70" s="11"/>
      <c r="VAF70" s="47"/>
      <c r="VAK70" s="47"/>
      <c r="VAM70" s="11"/>
      <c r="VDT70" s="47"/>
      <c r="VDY70" s="47"/>
      <c r="VEA70" s="11"/>
      <c r="VHH70" s="47"/>
      <c r="VHM70" s="47"/>
      <c r="VHO70" s="11"/>
      <c r="VKV70" s="47"/>
      <c r="VLA70" s="47"/>
      <c r="VLC70" s="11"/>
      <c r="VOJ70" s="47"/>
      <c r="VOO70" s="47"/>
      <c r="VOQ70" s="11"/>
      <c r="VRX70" s="47"/>
      <c r="VSC70" s="47"/>
      <c r="VSE70" s="11"/>
      <c r="VVL70" s="47"/>
      <c r="VVQ70" s="47"/>
      <c r="VVS70" s="11"/>
      <c r="VYZ70" s="47"/>
      <c r="VZE70" s="47"/>
      <c r="VZG70" s="11"/>
      <c r="WCN70" s="47"/>
      <c r="WCS70" s="47"/>
      <c r="WCU70" s="11"/>
      <c r="WGB70" s="47"/>
      <c r="WGG70" s="47"/>
      <c r="WGI70" s="11"/>
      <c r="WJP70" s="47"/>
      <c r="WJU70" s="47"/>
      <c r="WJW70" s="11"/>
      <c r="WND70" s="47"/>
      <c r="WNI70" s="47"/>
      <c r="WNK70" s="11"/>
      <c r="WQR70" s="47"/>
      <c r="WQW70" s="47"/>
      <c r="WQY70" s="11"/>
      <c r="WUF70" s="47"/>
      <c r="WUK70" s="47"/>
      <c r="WUM70" s="11"/>
      <c r="WXT70" s="47"/>
      <c r="WXY70" s="47"/>
      <c r="WYA70" s="11"/>
      <c r="XBH70" s="47"/>
      <c r="XBM70" s="47"/>
      <c r="XBO70" s="11"/>
      <c r="XEV70" s="47"/>
      <c r="XFA70" s="47"/>
      <c r="XFC70" s="11"/>
    </row>
    <row r="71" spans="1:1019 1104:2031 2116:3043 3128:4055 4140:5067 5152:6079 6164:7091 7176:8188 8193:9207 9292:10219 10304:11231 11316:12243 12328:13255 13340:14267 14352:15279 15364:16383" s="10" customFormat="1" ht="14.65" customHeight="1">
      <c r="C71" s="17" t="s">
        <v>1005</v>
      </c>
      <c r="E71" s="47"/>
      <c r="G71" s="11" t="str">
        <f t="shared" si="49"/>
        <v>тыс. руб.</v>
      </c>
      <c r="I71" s="23">
        <f t="shared" ca="1" si="50"/>
        <v>2497313.8640857893</v>
      </c>
      <c r="L71" s="10">
        <f ca="1" xml:space="preserve"> L63 * $E$94</f>
        <v>0</v>
      </c>
      <c r="M71" s="10">
        <f t="shared" ref="M71:BX71" ca="1" si="55" xml:space="preserve"> M63 * $E$94</f>
        <v>0</v>
      </c>
      <c r="N71" s="10">
        <f t="shared" ca="1" si="55"/>
        <v>0</v>
      </c>
      <c r="O71" s="10">
        <f t="shared" ca="1" si="55"/>
        <v>0</v>
      </c>
      <c r="P71" s="10">
        <f t="shared" ca="1" si="55"/>
        <v>0</v>
      </c>
      <c r="Q71" s="10">
        <f t="shared" ca="1" si="55"/>
        <v>0</v>
      </c>
      <c r="R71" s="10">
        <f t="shared" ca="1" si="55"/>
        <v>0</v>
      </c>
      <c r="S71" s="10">
        <f t="shared" ca="1" si="55"/>
        <v>0</v>
      </c>
      <c r="T71" s="10">
        <f t="shared" ca="1" si="55"/>
        <v>0</v>
      </c>
      <c r="U71" s="10">
        <f t="shared" ca="1" si="55"/>
        <v>0</v>
      </c>
      <c r="V71" s="10">
        <f t="shared" ca="1" si="55"/>
        <v>0</v>
      </c>
      <c r="W71" s="10">
        <f t="shared" ca="1" si="55"/>
        <v>0</v>
      </c>
      <c r="X71" s="10">
        <f t="shared" ca="1" si="55"/>
        <v>0</v>
      </c>
      <c r="Y71" s="10">
        <f t="shared" ca="1" si="55"/>
        <v>0</v>
      </c>
      <c r="Z71" s="10">
        <f t="shared" ca="1" si="55"/>
        <v>0</v>
      </c>
      <c r="AA71" s="10">
        <f t="shared" ca="1" si="55"/>
        <v>0</v>
      </c>
      <c r="AB71" s="10">
        <f t="shared" ca="1" si="55"/>
        <v>0</v>
      </c>
      <c r="AC71" s="10">
        <f t="shared" ca="1" si="55"/>
        <v>0</v>
      </c>
      <c r="AD71" s="10">
        <f t="shared" ca="1" si="55"/>
        <v>0</v>
      </c>
      <c r="AE71" s="10">
        <f t="shared" ca="1" si="55"/>
        <v>0</v>
      </c>
      <c r="AF71" s="10">
        <f t="shared" ca="1" si="55"/>
        <v>0</v>
      </c>
      <c r="AG71" s="10">
        <f t="shared" ca="1" si="55"/>
        <v>0</v>
      </c>
      <c r="AH71" s="10">
        <f t="shared" ca="1" si="55"/>
        <v>0</v>
      </c>
      <c r="AI71" s="10">
        <f t="shared" ca="1" si="55"/>
        <v>0</v>
      </c>
      <c r="AJ71" s="10">
        <f t="shared" ca="1" si="55"/>
        <v>0</v>
      </c>
      <c r="AK71" s="10">
        <f t="shared" ca="1" si="55"/>
        <v>0</v>
      </c>
      <c r="AL71" s="10">
        <f t="shared" ca="1" si="55"/>
        <v>0</v>
      </c>
      <c r="AM71" s="10">
        <f t="shared" ca="1" si="55"/>
        <v>0</v>
      </c>
      <c r="AN71" s="10">
        <f t="shared" ca="1" si="55"/>
        <v>0</v>
      </c>
      <c r="AO71" s="10">
        <f t="shared" ca="1" si="55"/>
        <v>0</v>
      </c>
      <c r="AP71" s="10">
        <f t="shared" ca="1" si="55"/>
        <v>0</v>
      </c>
      <c r="AQ71" s="10">
        <f t="shared" ca="1" si="55"/>
        <v>0</v>
      </c>
      <c r="AR71" s="10">
        <f t="shared" ca="1" si="55"/>
        <v>0</v>
      </c>
      <c r="AS71" s="10">
        <f t="shared" ca="1" si="55"/>
        <v>0</v>
      </c>
      <c r="AT71" s="10">
        <f t="shared" ca="1" si="55"/>
        <v>0</v>
      </c>
      <c r="AU71" s="10">
        <f t="shared" ca="1" si="55"/>
        <v>0</v>
      </c>
      <c r="AV71" s="10">
        <f t="shared" ca="1" si="55"/>
        <v>0</v>
      </c>
      <c r="AW71" s="10">
        <f t="shared" ca="1" si="55"/>
        <v>0</v>
      </c>
      <c r="AX71" s="10">
        <f t="shared" ca="1" si="55"/>
        <v>46479.25438646238</v>
      </c>
      <c r="AY71" s="10">
        <f t="shared" ca="1" si="55"/>
        <v>87172.977251210803</v>
      </c>
      <c r="AZ71" s="10">
        <f t="shared" ca="1" si="55"/>
        <v>30782.112161338224</v>
      </c>
      <c r="BA71" s="10">
        <f t="shared" ca="1" si="55"/>
        <v>26999.055032837514</v>
      </c>
      <c r="BB71" s="10">
        <f t="shared" ca="1" si="55"/>
        <v>48338.424561920867</v>
      </c>
      <c r="BC71" s="10">
        <f t="shared" ca="1" si="55"/>
        <v>90659.896341259198</v>
      </c>
      <c r="BD71" s="10">
        <f t="shared" ca="1" si="55"/>
        <v>32013.396647791735</v>
      </c>
      <c r="BE71" s="10">
        <f t="shared" ca="1" si="55"/>
        <v>28391.165156486535</v>
      </c>
      <c r="BF71" s="10">
        <f t="shared" ca="1" si="55"/>
        <v>50272.121951488145</v>
      </c>
      <c r="BG71" s="10">
        <f t="shared" ca="1" si="55"/>
        <v>94286.455962640262</v>
      </c>
      <c r="BH71" s="10">
        <f t="shared" ca="1" si="55"/>
        <v>33294.097895104176</v>
      </c>
      <c r="BI71" s="10">
        <f t="shared" ca="1" si="55"/>
        <v>29202.177923517062</v>
      </c>
      <c r="BJ71" s="10">
        <f t="shared" ca="1" si="55"/>
        <v>52282.840006173588</v>
      </c>
      <c r="BK71" s="10">
        <f t="shared" ca="1" si="55"/>
        <v>98057.74388270588</v>
      </c>
      <c r="BL71" s="10">
        <f t="shared" ca="1" si="55"/>
        <v>34625.689814251542</v>
      </c>
      <c r="BM71" s="10">
        <f t="shared" ca="1" si="55"/>
        <v>30370.265040457743</v>
      </c>
      <c r="BN71" s="10">
        <f t="shared" ca="1" si="55"/>
        <v>54374.153606420543</v>
      </c>
      <c r="BO71" s="10">
        <f t="shared" ca="1" si="55"/>
        <v>101980.05363801408</v>
      </c>
      <c r="BP71" s="10">
        <f t="shared" ca="1" si="55"/>
        <v>36010.717406821597</v>
      </c>
      <c r="BQ71" s="10">
        <f t="shared" ca="1" si="55"/>
        <v>31585.075642076044</v>
      </c>
      <c r="BR71" s="10">
        <f t="shared" ca="1" si="55"/>
        <v>56549.119750677346</v>
      </c>
      <c r="BS71" s="10">
        <f t="shared" ca="1" si="55"/>
        <v>106059.25578353468</v>
      </c>
      <c r="BT71" s="10">
        <f t="shared" ca="1" si="55"/>
        <v>37451.146103094448</v>
      </c>
      <c r="BU71" s="10">
        <f t="shared" ca="1" si="55"/>
        <v>33213.647586689483</v>
      </c>
      <c r="BV71" s="10">
        <f t="shared" ca="1" si="55"/>
        <v>58811.272194312245</v>
      </c>
      <c r="BW71" s="10">
        <f t="shared" ca="1" si="55"/>
        <v>110301.81759995766</v>
      </c>
      <c r="BX71" s="10">
        <f t="shared" ca="1" si="55"/>
        <v>38949.385420065577</v>
      </c>
      <c r="BY71" s="10">
        <f t="shared" ref="BY71:CM71" ca="1" si="56" xml:space="preserve"> BY63 * $E$94</f>
        <v>34162.417814469431</v>
      </c>
      <c r="BZ71" s="10">
        <f t="shared" ca="1" si="56"/>
        <v>61163.527922332607</v>
      </c>
      <c r="CA71" s="10">
        <f t="shared" ca="1" si="56"/>
        <v>114713.69105547106</v>
      </c>
      <c r="CB71" s="10">
        <f t="shared" ca="1" si="56"/>
        <v>40507.15962510695</v>
      </c>
      <c r="CC71" s="10">
        <f t="shared" ca="1" si="56"/>
        <v>35528.914527048204</v>
      </c>
      <c r="CD71" s="10">
        <f t="shared" ca="1" si="56"/>
        <v>63610.069039225898</v>
      </c>
      <c r="CE71" s="10">
        <f t="shared" ca="1" si="56"/>
        <v>119302.23869768989</v>
      </c>
      <c r="CF71" s="10">
        <f t="shared" ca="1" si="56"/>
        <v>42127.44601011122</v>
      </c>
      <c r="CG71" s="10">
        <f t="shared" ca="1" si="56"/>
        <v>36950.071108130127</v>
      </c>
      <c r="CH71" s="10">
        <f t="shared" ca="1" si="56"/>
        <v>66154.471800794912</v>
      </c>
      <c r="CI71" s="10">
        <f t="shared" ca="1" si="56"/>
        <v>124074.32824559747</v>
      </c>
      <c r="CJ71" s="10">
        <f t="shared" ca="1" si="56"/>
        <v>43812.543850515678</v>
      </c>
      <c r="CK71" s="10">
        <f t="shared" ca="1" si="56"/>
        <v>38855.269938112033</v>
      </c>
      <c r="CL71" s="10">
        <f t="shared" ca="1" si="56"/>
        <v>68800.870201006124</v>
      </c>
      <c r="CM71" s="10">
        <f t="shared" ca="1" si="56"/>
        <v>129037.52550286913</v>
      </c>
      <c r="CN71" s="10">
        <f ca="1" xml:space="preserve"> CN63 * $E$94</f>
        <v>45565.27194040289</v>
      </c>
      <c r="CO71" s="10">
        <f ca="1" xml:space="preserve"> CO63 * $E$94</f>
        <v>39965.196910553546</v>
      </c>
      <c r="CS71" s="47"/>
      <c r="CU71" s="11"/>
      <c r="GB71" s="47"/>
      <c r="GG71" s="47"/>
      <c r="GI71" s="11"/>
      <c r="JP71" s="47"/>
      <c r="JU71" s="47"/>
      <c r="JW71" s="11"/>
      <c r="ND71" s="47"/>
      <c r="NI71" s="47"/>
      <c r="NK71" s="11"/>
      <c r="QR71" s="47"/>
      <c r="QW71" s="47"/>
      <c r="QY71" s="11"/>
      <c r="UF71" s="47"/>
      <c r="UK71" s="47"/>
      <c r="UM71" s="11"/>
      <c r="XT71" s="47"/>
      <c r="XY71" s="47"/>
      <c r="YA71" s="11"/>
      <c r="ABH71" s="47"/>
      <c r="ABM71" s="47"/>
      <c r="ABO71" s="11"/>
      <c r="AEV71" s="47"/>
      <c r="AFA71" s="47"/>
      <c r="AFC71" s="11"/>
      <c r="AIJ71" s="47"/>
      <c r="AIO71" s="47"/>
      <c r="AIQ71" s="11"/>
      <c r="ALX71" s="47"/>
      <c r="AMC71" s="47"/>
      <c r="AME71" s="11"/>
      <c r="APL71" s="47"/>
      <c r="APQ71" s="47"/>
      <c r="APS71" s="11"/>
      <c r="ASZ71" s="47"/>
      <c r="ATE71" s="47"/>
      <c r="ATG71" s="11"/>
      <c r="AWN71" s="47"/>
      <c r="AWS71" s="47"/>
      <c r="AWU71" s="11"/>
      <c r="BAB71" s="47"/>
      <c r="BAG71" s="47"/>
      <c r="BAI71" s="11"/>
      <c r="BDP71" s="47"/>
      <c r="BDU71" s="47"/>
      <c r="BDW71" s="11"/>
      <c r="BHD71" s="47"/>
      <c r="BHI71" s="47"/>
      <c r="BHK71" s="11"/>
      <c r="BKR71" s="47"/>
      <c r="BKW71" s="47"/>
      <c r="BKY71" s="11"/>
      <c r="BOF71" s="47"/>
      <c r="BOK71" s="47"/>
      <c r="BOM71" s="11"/>
      <c r="BRT71" s="47"/>
      <c r="BRY71" s="47"/>
      <c r="BSA71" s="11"/>
      <c r="BVH71" s="47"/>
      <c r="BVM71" s="47"/>
      <c r="BVO71" s="11"/>
      <c r="BYV71" s="47"/>
      <c r="BZA71" s="47"/>
      <c r="BZC71" s="11"/>
      <c r="CCJ71" s="47"/>
      <c r="CCO71" s="47"/>
      <c r="CCQ71" s="11"/>
      <c r="CFX71" s="47"/>
      <c r="CGC71" s="47"/>
      <c r="CGE71" s="11"/>
      <c r="CJL71" s="47"/>
      <c r="CJQ71" s="47"/>
      <c r="CJS71" s="11"/>
      <c r="CMZ71" s="47"/>
      <c r="CNE71" s="47"/>
      <c r="CNG71" s="11"/>
      <c r="CQN71" s="47"/>
      <c r="CQS71" s="47"/>
      <c r="CQU71" s="11"/>
      <c r="CUB71" s="47"/>
      <c r="CUG71" s="47"/>
      <c r="CUI71" s="11"/>
      <c r="CXP71" s="47"/>
      <c r="CXU71" s="47"/>
      <c r="CXW71" s="11"/>
      <c r="DBD71" s="47"/>
      <c r="DBI71" s="47"/>
      <c r="DBK71" s="11"/>
      <c r="DER71" s="47"/>
      <c r="DEW71" s="47"/>
      <c r="DEY71" s="11"/>
      <c r="DIF71" s="47"/>
      <c r="DIK71" s="47"/>
      <c r="DIM71" s="11"/>
      <c r="DLT71" s="47"/>
      <c r="DLY71" s="47"/>
      <c r="DMA71" s="11"/>
      <c r="DPH71" s="47"/>
      <c r="DPM71" s="47"/>
      <c r="DPO71" s="11"/>
      <c r="DSV71" s="47"/>
      <c r="DTA71" s="47"/>
      <c r="DTC71" s="11"/>
      <c r="DWJ71" s="47"/>
      <c r="DWO71" s="47"/>
      <c r="DWQ71" s="11"/>
      <c r="DZX71" s="47"/>
      <c r="EAC71" s="47"/>
      <c r="EAE71" s="11"/>
      <c r="EDL71" s="47"/>
      <c r="EDQ71" s="47"/>
      <c r="EDS71" s="11"/>
      <c r="EGZ71" s="47"/>
      <c r="EHE71" s="47"/>
      <c r="EHG71" s="11"/>
      <c r="EKN71" s="47"/>
      <c r="EKS71" s="47"/>
      <c r="EKU71" s="11"/>
      <c r="EOB71" s="47"/>
      <c r="EOG71" s="47"/>
      <c r="EOI71" s="11"/>
      <c r="ERP71" s="47"/>
      <c r="ERU71" s="47"/>
      <c r="ERW71" s="11"/>
      <c r="EVD71" s="47"/>
      <c r="EVI71" s="47"/>
      <c r="EVK71" s="11"/>
      <c r="EYR71" s="47"/>
      <c r="EYW71" s="47"/>
      <c r="EYY71" s="11"/>
      <c r="FCF71" s="47"/>
      <c r="FCK71" s="47"/>
      <c r="FCM71" s="11"/>
      <c r="FFT71" s="47"/>
      <c r="FFY71" s="47"/>
      <c r="FGA71" s="11"/>
      <c r="FJH71" s="47"/>
      <c r="FJM71" s="47"/>
      <c r="FJO71" s="11"/>
      <c r="FMV71" s="47"/>
      <c r="FNA71" s="47"/>
      <c r="FNC71" s="11"/>
      <c r="FQJ71" s="47"/>
      <c r="FQO71" s="47"/>
      <c r="FQQ71" s="11"/>
      <c r="FTX71" s="47"/>
      <c r="FUC71" s="47"/>
      <c r="FUE71" s="11"/>
      <c r="FXL71" s="47"/>
      <c r="FXQ71" s="47"/>
      <c r="FXS71" s="11"/>
      <c r="GAZ71" s="47"/>
      <c r="GBE71" s="47"/>
      <c r="GBG71" s="11"/>
      <c r="GEN71" s="47"/>
      <c r="GES71" s="47"/>
      <c r="GEU71" s="11"/>
      <c r="GIB71" s="47"/>
      <c r="GIG71" s="47"/>
      <c r="GII71" s="11"/>
      <c r="GLP71" s="47"/>
      <c r="GLU71" s="47"/>
      <c r="GLW71" s="11"/>
      <c r="GPD71" s="47"/>
      <c r="GPI71" s="47"/>
      <c r="GPK71" s="11"/>
      <c r="GSR71" s="47"/>
      <c r="GSW71" s="47"/>
      <c r="GSY71" s="11"/>
      <c r="GWF71" s="47"/>
      <c r="GWK71" s="47"/>
      <c r="GWM71" s="11"/>
      <c r="GZT71" s="47"/>
      <c r="GZY71" s="47"/>
      <c r="HAA71" s="11"/>
      <c r="HDH71" s="47"/>
      <c r="HDM71" s="47"/>
      <c r="HDO71" s="11"/>
      <c r="HGV71" s="47"/>
      <c r="HHA71" s="47"/>
      <c r="HHC71" s="11"/>
      <c r="HKJ71" s="47"/>
      <c r="HKO71" s="47"/>
      <c r="HKQ71" s="11"/>
      <c r="HNX71" s="47"/>
      <c r="HOC71" s="47"/>
      <c r="HOE71" s="11"/>
      <c r="HRL71" s="47"/>
      <c r="HRQ71" s="47"/>
      <c r="HRS71" s="11"/>
      <c r="HUZ71" s="47"/>
      <c r="HVE71" s="47"/>
      <c r="HVG71" s="11"/>
      <c r="HYN71" s="47"/>
      <c r="HYS71" s="47"/>
      <c r="HYU71" s="11"/>
      <c r="ICB71" s="47"/>
      <c r="ICG71" s="47"/>
      <c r="ICI71" s="11"/>
      <c r="IFP71" s="47"/>
      <c r="IFU71" s="47"/>
      <c r="IFW71" s="11"/>
      <c r="IJD71" s="47"/>
      <c r="IJI71" s="47"/>
      <c r="IJK71" s="11"/>
      <c r="IMR71" s="47"/>
      <c r="IMW71" s="47"/>
      <c r="IMY71" s="11"/>
      <c r="IQF71" s="47"/>
      <c r="IQK71" s="47"/>
      <c r="IQM71" s="11"/>
      <c r="ITT71" s="47"/>
      <c r="ITY71" s="47"/>
      <c r="IUA71" s="11"/>
      <c r="IXH71" s="47"/>
      <c r="IXM71" s="47"/>
      <c r="IXO71" s="11"/>
      <c r="JAV71" s="47"/>
      <c r="JBA71" s="47"/>
      <c r="JBC71" s="11"/>
      <c r="JEJ71" s="47"/>
      <c r="JEO71" s="47"/>
      <c r="JEQ71" s="11"/>
      <c r="JHX71" s="47"/>
      <c r="JIC71" s="47"/>
      <c r="JIE71" s="11"/>
      <c r="JLL71" s="47"/>
      <c r="JLQ71" s="47"/>
      <c r="JLS71" s="11"/>
      <c r="JOZ71" s="47"/>
      <c r="JPE71" s="47"/>
      <c r="JPG71" s="11"/>
      <c r="JSN71" s="47"/>
      <c r="JSS71" s="47"/>
      <c r="JSU71" s="11"/>
      <c r="JWB71" s="47"/>
      <c r="JWG71" s="47"/>
      <c r="JWI71" s="11"/>
      <c r="JZP71" s="47"/>
      <c r="JZU71" s="47"/>
      <c r="JZW71" s="11"/>
      <c r="KDD71" s="47"/>
      <c r="KDI71" s="47"/>
      <c r="KDK71" s="11"/>
      <c r="KGR71" s="47"/>
      <c r="KGW71" s="47"/>
      <c r="KGY71" s="11"/>
      <c r="KKF71" s="47"/>
      <c r="KKK71" s="47"/>
      <c r="KKM71" s="11"/>
      <c r="KNT71" s="47"/>
      <c r="KNY71" s="47"/>
      <c r="KOA71" s="11"/>
      <c r="KRH71" s="47"/>
      <c r="KRM71" s="47"/>
      <c r="KRO71" s="11"/>
      <c r="KUV71" s="47"/>
      <c r="KVA71" s="47"/>
      <c r="KVC71" s="11"/>
      <c r="KYJ71" s="47"/>
      <c r="KYO71" s="47"/>
      <c r="KYQ71" s="11"/>
      <c r="LBX71" s="47"/>
      <c r="LCC71" s="47"/>
      <c r="LCE71" s="11"/>
      <c r="LFL71" s="47"/>
      <c r="LFQ71" s="47"/>
      <c r="LFS71" s="11"/>
      <c r="LIZ71" s="47"/>
      <c r="LJE71" s="47"/>
      <c r="LJG71" s="11"/>
      <c r="LMN71" s="47"/>
      <c r="LMS71" s="47"/>
      <c r="LMU71" s="11"/>
      <c r="LQB71" s="47"/>
      <c r="LQG71" s="47"/>
      <c r="LQI71" s="11"/>
      <c r="LTP71" s="47"/>
      <c r="LTU71" s="47"/>
      <c r="LTW71" s="11"/>
      <c r="LXD71" s="47"/>
      <c r="LXI71" s="47"/>
      <c r="LXK71" s="11"/>
      <c r="MAR71" s="47"/>
      <c r="MAW71" s="47"/>
      <c r="MAY71" s="11"/>
      <c r="MEF71" s="47"/>
      <c r="MEK71" s="47"/>
      <c r="MEM71" s="11"/>
      <c r="MHT71" s="47"/>
      <c r="MHY71" s="47"/>
      <c r="MIA71" s="11"/>
      <c r="MLH71" s="47"/>
      <c r="MLM71" s="47"/>
      <c r="MLO71" s="11"/>
      <c r="MOV71" s="47"/>
      <c r="MPA71" s="47"/>
      <c r="MPC71" s="11"/>
      <c r="MSJ71" s="47"/>
      <c r="MSO71" s="47"/>
      <c r="MSQ71" s="11"/>
      <c r="MVX71" s="47"/>
      <c r="MWC71" s="47"/>
      <c r="MWE71" s="11"/>
      <c r="MZL71" s="47"/>
      <c r="MZQ71" s="47"/>
      <c r="MZS71" s="11"/>
      <c r="NCZ71" s="47"/>
      <c r="NDE71" s="47"/>
      <c r="NDG71" s="11"/>
      <c r="NGN71" s="47"/>
      <c r="NGS71" s="47"/>
      <c r="NGU71" s="11"/>
      <c r="NKB71" s="47"/>
      <c r="NKG71" s="47"/>
      <c r="NKI71" s="11"/>
      <c r="NNP71" s="47"/>
      <c r="NNU71" s="47"/>
      <c r="NNW71" s="11"/>
      <c r="NRD71" s="47"/>
      <c r="NRI71" s="47"/>
      <c r="NRK71" s="11"/>
      <c r="NUR71" s="47"/>
      <c r="NUW71" s="47"/>
      <c r="NUY71" s="11"/>
      <c r="NYF71" s="47"/>
      <c r="NYK71" s="47"/>
      <c r="NYM71" s="11"/>
      <c r="OBT71" s="47"/>
      <c r="OBY71" s="47"/>
      <c r="OCA71" s="11"/>
      <c r="OFH71" s="47"/>
      <c r="OFM71" s="47"/>
      <c r="OFO71" s="11"/>
      <c r="OIV71" s="47"/>
      <c r="OJA71" s="47"/>
      <c r="OJC71" s="11"/>
      <c r="OMJ71" s="47"/>
      <c r="OMO71" s="47"/>
      <c r="OMQ71" s="11"/>
      <c r="OPX71" s="47"/>
      <c r="OQC71" s="47"/>
      <c r="OQE71" s="11"/>
      <c r="OTL71" s="47"/>
      <c r="OTQ71" s="47"/>
      <c r="OTS71" s="11"/>
      <c r="OWZ71" s="47"/>
      <c r="OXE71" s="47"/>
      <c r="OXG71" s="11"/>
      <c r="PAN71" s="47"/>
      <c r="PAS71" s="47"/>
      <c r="PAU71" s="11"/>
      <c r="PEB71" s="47"/>
      <c r="PEG71" s="47"/>
      <c r="PEI71" s="11"/>
      <c r="PHP71" s="47"/>
      <c r="PHU71" s="47"/>
      <c r="PHW71" s="11"/>
      <c r="PLD71" s="47"/>
      <c r="PLI71" s="47"/>
      <c r="PLK71" s="11"/>
      <c r="POR71" s="47"/>
      <c r="POW71" s="47"/>
      <c r="POY71" s="11"/>
      <c r="PSF71" s="47"/>
      <c r="PSK71" s="47"/>
      <c r="PSM71" s="11"/>
      <c r="PVT71" s="47"/>
      <c r="PVY71" s="47"/>
      <c r="PWA71" s="11"/>
      <c r="PZH71" s="47"/>
      <c r="PZM71" s="47"/>
      <c r="PZO71" s="11"/>
      <c r="QCV71" s="47"/>
      <c r="QDA71" s="47"/>
      <c r="QDC71" s="11"/>
      <c r="QGJ71" s="47"/>
      <c r="QGO71" s="47"/>
      <c r="QGQ71" s="11"/>
      <c r="QJX71" s="47"/>
      <c r="QKC71" s="47"/>
      <c r="QKE71" s="11"/>
      <c r="QNL71" s="47"/>
      <c r="QNQ71" s="47"/>
      <c r="QNS71" s="11"/>
      <c r="QQZ71" s="47"/>
      <c r="QRE71" s="47"/>
      <c r="QRG71" s="11"/>
      <c r="QUN71" s="47"/>
      <c r="QUS71" s="47"/>
      <c r="QUU71" s="11"/>
      <c r="QYB71" s="47"/>
      <c r="QYG71" s="47"/>
      <c r="QYI71" s="11"/>
      <c r="RBP71" s="47"/>
      <c r="RBU71" s="47"/>
      <c r="RBW71" s="11"/>
      <c r="RFD71" s="47"/>
      <c r="RFI71" s="47"/>
      <c r="RFK71" s="11"/>
      <c r="RIR71" s="47"/>
      <c r="RIW71" s="47"/>
      <c r="RIY71" s="11"/>
      <c r="RMF71" s="47"/>
      <c r="RMK71" s="47"/>
      <c r="RMM71" s="11"/>
      <c r="RPT71" s="47"/>
      <c r="RPY71" s="47"/>
      <c r="RQA71" s="11"/>
      <c r="RTH71" s="47"/>
      <c r="RTM71" s="47"/>
      <c r="RTO71" s="11"/>
      <c r="RWV71" s="47"/>
      <c r="RXA71" s="47"/>
      <c r="RXC71" s="11"/>
      <c r="SAJ71" s="47"/>
      <c r="SAO71" s="47"/>
      <c r="SAQ71" s="11"/>
      <c r="SDX71" s="47"/>
      <c r="SEC71" s="47"/>
      <c r="SEE71" s="11"/>
      <c r="SHL71" s="47"/>
      <c r="SHQ71" s="47"/>
      <c r="SHS71" s="11"/>
      <c r="SKZ71" s="47"/>
      <c r="SLE71" s="47"/>
      <c r="SLG71" s="11"/>
      <c r="SON71" s="47"/>
      <c r="SOS71" s="47"/>
      <c r="SOU71" s="11"/>
      <c r="SSB71" s="47"/>
      <c r="SSG71" s="47"/>
      <c r="SSI71" s="11"/>
      <c r="SVP71" s="47"/>
      <c r="SVU71" s="47"/>
      <c r="SVW71" s="11"/>
      <c r="SZD71" s="47"/>
      <c r="SZI71" s="47"/>
      <c r="SZK71" s="11"/>
      <c r="TCR71" s="47"/>
      <c r="TCW71" s="47"/>
      <c r="TCY71" s="11"/>
      <c r="TGF71" s="47"/>
      <c r="TGK71" s="47"/>
      <c r="TGM71" s="11"/>
      <c r="TJT71" s="47"/>
      <c r="TJY71" s="47"/>
      <c r="TKA71" s="11"/>
      <c r="TNH71" s="47"/>
      <c r="TNM71" s="47"/>
      <c r="TNO71" s="11"/>
      <c r="TQV71" s="47"/>
      <c r="TRA71" s="47"/>
      <c r="TRC71" s="11"/>
      <c r="TUJ71" s="47"/>
      <c r="TUO71" s="47"/>
      <c r="TUQ71" s="11"/>
      <c r="TXX71" s="47"/>
      <c r="TYC71" s="47"/>
      <c r="TYE71" s="11"/>
      <c r="UBL71" s="47"/>
      <c r="UBQ71" s="47"/>
      <c r="UBS71" s="11"/>
      <c r="UEZ71" s="47"/>
      <c r="UFE71" s="47"/>
      <c r="UFG71" s="11"/>
      <c r="UIN71" s="47"/>
      <c r="UIS71" s="47"/>
      <c r="UIU71" s="11"/>
      <c r="UMB71" s="47"/>
      <c r="UMG71" s="47"/>
      <c r="UMI71" s="11"/>
      <c r="UPP71" s="47"/>
      <c r="UPU71" s="47"/>
      <c r="UPW71" s="11"/>
      <c r="UTD71" s="47"/>
      <c r="UTI71" s="47"/>
      <c r="UTK71" s="11"/>
      <c r="UWR71" s="47"/>
      <c r="UWW71" s="47"/>
      <c r="UWY71" s="11"/>
      <c r="VAF71" s="47"/>
      <c r="VAK71" s="47"/>
      <c r="VAM71" s="11"/>
      <c r="VDT71" s="47"/>
      <c r="VDY71" s="47"/>
      <c r="VEA71" s="11"/>
      <c r="VHH71" s="47"/>
      <c r="VHM71" s="47"/>
      <c r="VHO71" s="11"/>
      <c r="VKV71" s="47"/>
      <c r="VLA71" s="47"/>
      <c r="VLC71" s="11"/>
      <c r="VOJ71" s="47"/>
      <c r="VOO71" s="47"/>
      <c r="VOQ71" s="11"/>
      <c r="VRX71" s="47"/>
      <c r="VSC71" s="47"/>
      <c r="VSE71" s="11"/>
      <c r="VVL71" s="47"/>
      <c r="VVQ71" s="47"/>
      <c r="VVS71" s="11"/>
      <c r="VYZ71" s="47"/>
      <c r="VZE71" s="47"/>
      <c r="VZG71" s="11"/>
      <c r="WCN71" s="47"/>
      <c r="WCS71" s="47"/>
      <c r="WCU71" s="11"/>
      <c r="WGB71" s="47"/>
      <c r="WGG71" s="47"/>
      <c r="WGI71" s="11"/>
      <c r="WJP71" s="47"/>
      <c r="WJU71" s="47"/>
      <c r="WJW71" s="11"/>
      <c r="WND71" s="47"/>
      <c r="WNI71" s="47"/>
      <c r="WNK71" s="11"/>
      <c r="WQR71" s="47"/>
      <c r="WQW71" s="47"/>
      <c r="WQY71" s="11"/>
      <c r="WUF71" s="47"/>
      <c r="WUK71" s="47"/>
      <c r="WUM71" s="11"/>
      <c r="WXT71" s="47"/>
      <c r="WXY71" s="47"/>
      <c r="WYA71" s="11"/>
      <c r="XBH71" s="47"/>
      <c r="XBM71" s="47"/>
      <c r="XBO71" s="11"/>
      <c r="XEV71" s="47"/>
      <c r="XFA71" s="47"/>
      <c r="XFC71" s="11"/>
    </row>
    <row r="72" spans="1:1019 1104:2031 2116:3043 3128:4055 4140:5067 5152:6079 6164:7091 7176:8188 8193:9207 9292:10219 10304:11231 11316:12243 12328:13255 13340:14267 14352:15279 15364:16383" s="10" customFormat="1" ht="14.65" customHeight="1">
      <c r="C72" s="17" t="s">
        <v>1006</v>
      </c>
      <c r="E72" s="47"/>
      <c r="G72" s="11" t="str">
        <f t="shared" si="49"/>
        <v>тыс. руб.</v>
      </c>
      <c r="I72" s="23">
        <f t="shared" ca="1" si="50"/>
        <v>1039921.8547750793</v>
      </c>
      <c r="L72" s="10">
        <f ca="1" xml:space="preserve"> L64 * $E$97</f>
        <v>0</v>
      </c>
      <c r="M72" s="10">
        <f t="shared" ref="M72:BX72" ca="1" si="57" xml:space="preserve"> M64 * $E$97</f>
        <v>0</v>
      </c>
      <c r="N72" s="10">
        <f t="shared" ca="1" si="57"/>
        <v>0</v>
      </c>
      <c r="O72" s="10">
        <f t="shared" ca="1" si="57"/>
        <v>0</v>
      </c>
      <c r="P72" s="10">
        <f t="shared" ca="1" si="57"/>
        <v>0</v>
      </c>
      <c r="Q72" s="10">
        <f t="shared" ca="1" si="57"/>
        <v>0</v>
      </c>
      <c r="R72" s="10">
        <f t="shared" ca="1" si="57"/>
        <v>0</v>
      </c>
      <c r="S72" s="10">
        <f t="shared" ca="1" si="57"/>
        <v>0</v>
      </c>
      <c r="T72" s="10">
        <f t="shared" ca="1" si="57"/>
        <v>0</v>
      </c>
      <c r="U72" s="10">
        <f t="shared" ca="1" si="57"/>
        <v>0</v>
      </c>
      <c r="V72" s="10">
        <f t="shared" ca="1" si="57"/>
        <v>0</v>
      </c>
      <c r="W72" s="10">
        <f t="shared" ca="1" si="57"/>
        <v>0</v>
      </c>
      <c r="X72" s="10">
        <f t="shared" ca="1" si="57"/>
        <v>0</v>
      </c>
      <c r="Y72" s="10">
        <f t="shared" ca="1" si="57"/>
        <v>0</v>
      </c>
      <c r="Z72" s="10">
        <f t="shared" ca="1" si="57"/>
        <v>0</v>
      </c>
      <c r="AA72" s="10">
        <f t="shared" ca="1" si="57"/>
        <v>0</v>
      </c>
      <c r="AB72" s="10">
        <f t="shared" ca="1" si="57"/>
        <v>0</v>
      </c>
      <c r="AC72" s="10">
        <f t="shared" ca="1" si="57"/>
        <v>8989.3257014126466</v>
      </c>
      <c r="AD72" s="10">
        <f t="shared" ca="1" si="57"/>
        <v>15650.294606677315</v>
      </c>
      <c r="AE72" s="10">
        <f t="shared" ca="1" si="57"/>
        <v>6664.6684724854231</v>
      </c>
      <c r="AF72" s="10">
        <f t="shared" ca="1" si="57"/>
        <v>6187.3754348849825</v>
      </c>
      <c r="AG72" s="10">
        <f t="shared" ca="1" si="57"/>
        <v>10485.770982373735</v>
      </c>
      <c r="AH72" s="10">
        <f t="shared" ca="1" si="57"/>
        <v>18197.18843917927</v>
      </c>
      <c r="AI72" s="10">
        <f t="shared" ca="1" si="57"/>
        <v>7725.818654295992</v>
      </c>
      <c r="AJ72" s="10">
        <f t="shared" ca="1" si="57"/>
        <v>7151.9794773683407</v>
      </c>
      <c r="AK72" s="10">
        <f t="shared" ca="1" si="57"/>
        <v>12087.548964689453</v>
      </c>
      <c r="AL72" s="10">
        <f t="shared" ca="1" si="57"/>
        <v>20922.793306910706</v>
      </c>
      <c r="AM72" s="10">
        <f t="shared" ca="1" si="57"/>
        <v>8861.1973810954296</v>
      </c>
      <c r="AN72" s="10">
        <f t="shared" ca="1" si="57"/>
        <v>8274.7837319162663</v>
      </c>
      <c r="AO72" s="10">
        <f t="shared" ca="1" si="57"/>
        <v>13800.691952018622</v>
      </c>
      <c r="AP72" s="10">
        <f t="shared" ca="1" si="57"/>
        <v>23317.924556715247</v>
      </c>
      <c r="AQ72" s="10">
        <f t="shared" ca="1" si="57"/>
        <v>9645.3451862655947</v>
      </c>
      <c r="AR72" s="10">
        <f t="shared" ca="1" si="57"/>
        <v>8705.112404640513</v>
      </c>
      <c r="AS72" s="10">
        <f t="shared" ca="1" si="57"/>
        <v>14352.719630099366</v>
      </c>
      <c r="AT72" s="10">
        <f t="shared" ca="1" si="57"/>
        <v>24250.641538983858</v>
      </c>
      <c r="AU72" s="10">
        <f t="shared" ca="1" si="57"/>
        <v>10031.158993716217</v>
      </c>
      <c r="AV72" s="10">
        <f t="shared" ca="1" si="57"/>
        <v>9053.316900826132</v>
      </c>
      <c r="AW72" s="10">
        <f t="shared" ca="1" si="57"/>
        <v>14926.828415303338</v>
      </c>
      <c r="AX72" s="10">
        <f t="shared" ca="1" si="57"/>
        <v>25220.667200543205</v>
      </c>
      <c r="AY72" s="10">
        <f t="shared" ca="1" si="57"/>
        <v>10432.405353464865</v>
      </c>
      <c r="AZ72" s="10">
        <f t="shared" ca="1" si="57"/>
        <v>9415.4495768591751</v>
      </c>
      <c r="BA72" s="10">
        <f t="shared" ca="1" si="57"/>
        <v>15523.901551915467</v>
      </c>
      <c r="BB72" s="10">
        <f t="shared" ca="1" si="57"/>
        <v>26229.493888564928</v>
      </c>
      <c r="BC72" s="10">
        <f t="shared" ca="1" si="57"/>
        <v>10849.701567603455</v>
      </c>
      <c r="BD72" s="10">
        <f t="shared" ca="1" si="57"/>
        <v>9900.8683105994714</v>
      </c>
      <c r="BE72" s="10">
        <f t="shared" ca="1" si="57"/>
        <v>16144.857613992084</v>
      </c>
      <c r="BF72" s="10">
        <f t="shared" ca="1" si="57"/>
        <v>27278.673644107526</v>
      </c>
      <c r="BG72" s="10">
        <f t="shared" ca="1" si="57"/>
        <v>11283.689630307592</v>
      </c>
      <c r="BH72" s="10">
        <f t="shared" ca="1" si="57"/>
        <v>10183.750262330879</v>
      </c>
      <c r="BI72" s="10">
        <f t="shared" ca="1" si="57"/>
        <v>16790.651918551761</v>
      </c>
      <c r="BJ72" s="10">
        <f t="shared" ca="1" si="57"/>
        <v>28369.820589871819</v>
      </c>
      <c r="BK72" s="10">
        <f t="shared" ca="1" si="57"/>
        <v>11735.037215519897</v>
      </c>
      <c r="BL72" s="10">
        <f t="shared" ca="1" si="57"/>
        <v>10591.100272824115</v>
      </c>
      <c r="BM72" s="10">
        <f t="shared" ca="1" si="57"/>
        <v>17462.277995293836</v>
      </c>
      <c r="BN72" s="10">
        <f t="shared" ca="1" si="57"/>
        <v>29504.613413466686</v>
      </c>
      <c r="BO72" s="10">
        <f t="shared" ca="1" si="57"/>
        <v>12204.438704140692</v>
      </c>
      <c r="BP72" s="10">
        <f t="shared" ca="1" si="57"/>
        <v>11014.74428373708</v>
      </c>
      <c r="BQ72" s="10">
        <f t="shared" ca="1" si="57"/>
        <v>18160.769115105584</v>
      </c>
      <c r="BR72" s="10">
        <f t="shared" ca="1" si="57"/>
        <v>30684.797950005352</v>
      </c>
      <c r="BS72" s="10">
        <f t="shared" ca="1" si="57"/>
        <v>12692.616252306316</v>
      </c>
      <c r="BT72" s="10">
        <f t="shared" ca="1" si="57"/>
        <v>11582.615544587521</v>
      </c>
      <c r="BU72" s="10">
        <f t="shared" ca="1" si="57"/>
        <v>18887.199879709802</v>
      </c>
      <c r="BV72" s="10">
        <f t="shared" ca="1" si="57"/>
        <v>31912.189868005556</v>
      </c>
      <c r="BW72" s="10">
        <f t="shared" ca="1" si="57"/>
        <v>13200.320902398564</v>
      </c>
      <c r="BX72" s="10">
        <f t="shared" ca="1" si="57"/>
        <v>11913.547417290019</v>
      </c>
      <c r="BY72" s="10">
        <f t="shared" ref="BY72:CM72" ca="1" si="58" xml:space="preserve"> BY64 * $E$97</f>
        <v>19642.687874898194</v>
      </c>
      <c r="BZ72" s="10">
        <f t="shared" ca="1" si="58"/>
        <v>33188.677462725776</v>
      </c>
      <c r="CA72" s="10">
        <f t="shared" ca="1" si="58"/>
        <v>13728.333738494506</v>
      </c>
      <c r="CB72" s="10">
        <f t="shared" ca="1" si="58"/>
        <v>12390.08931398162</v>
      </c>
      <c r="CC72" s="10">
        <f t="shared" ca="1" si="58"/>
        <v>20428.395389894118</v>
      </c>
      <c r="CD72" s="10">
        <f t="shared" ca="1" si="58"/>
        <v>34516.224561234812</v>
      </c>
      <c r="CE72" s="10">
        <f t="shared" ca="1" si="58"/>
        <v>14277.467088034286</v>
      </c>
      <c r="CF72" s="10">
        <f t="shared" ca="1" si="58"/>
        <v>12885.692886540881</v>
      </c>
      <c r="CG72" s="10">
        <f t="shared" ca="1" si="58"/>
        <v>21245.531205489882</v>
      </c>
      <c r="CH72" s="10">
        <f t="shared" ca="1" si="58"/>
        <v>35896.873543684196</v>
      </c>
      <c r="CI72" s="10">
        <f t="shared" ca="1" si="58"/>
        <v>14848.565771555655</v>
      </c>
      <c r="CJ72" s="10">
        <f t="shared" ca="1" si="58"/>
        <v>13550.021942024769</v>
      </c>
      <c r="CK72" s="10">
        <f t="shared" ca="1" si="58"/>
        <v>22095.352453709482</v>
      </c>
      <c r="CL72" s="10">
        <f t="shared" ca="1" si="58"/>
        <v>37332.748485431563</v>
      </c>
      <c r="CM72" s="10">
        <f t="shared" ca="1" si="58"/>
        <v>15442.508402417881</v>
      </c>
      <c r="CN72" s="10">
        <f ca="1" xml:space="preserve"> CN64 * $E$97</f>
        <v>13937.165426082618</v>
      </c>
      <c r="CO72" s="10">
        <f ca="1" xml:space="preserve"> CO64 * $E$97</f>
        <v>22979.166551857859</v>
      </c>
      <c r="CS72" s="47"/>
      <c r="CU72" s="11"/>
      <c r="GB72" s="47"/>
      <c r="GG72" s="47"/>
      <c r="GI72" s="11"/>
      <c r="JP72" s="47"/>
      <c r="JU72" s="47"/>
      <c r="JW72" s="11"/>
      <c r="ND72" s="47"/>
      <c r="NI72" s="47"/>
      <c r="NK72" s="11"/>
      <c r="QR72" s="47"/>
      <c r="QW72" s="47"/>
      <c r="QY72" s="11"/>
      <c r="UF72" s="47"/>
      <c r="UK72" s="47"/>
      <c r="UM72" s="11"/>
      <c r="XT72" s="47"/>
      <c r="XY72" s="47"/>
      <c r="YA72" s="11"/>
      <c r="ABH72" s="47"/>
      <c r="ABM72" s="47"/>
      <c r="ABO72" s="11"/>
      <c r="AEV72" s="47"/>
      <c r="AFA72" s="47"/>
      <c r="AFC72" s="11"/>
      <c r="AIJ72" s="47"/>
      <c r="AIO72" s="47"/>
      <c r="AIQ72" s="11"/>
      <c r="ALX72" s="47"/>
      <c r="AMC72" s="47"/>
      <c r="AME72" s="11"/>
      <c r="APL72" s="47"/>
      <c r="APQ72" s="47"/>
      <c r="APS72" s="11"/>
      <c r="ASZ72" s="47"/>
      <c r="ATE72" s="47"/>
      <c r="ATG72" s="11"/>
      <c r="AWN72" s="47"/>
      <c r="AWS72" s="47"/>
      <c r="AWU72" s="11"/>
      <c r="BAB72" s="47"/>
      <c r="BAG72" s="47"/>
      <c r="BAI72" s="11"/>
      <c r="BDP72" s="47"/>
      <c r="BDU72" s="47"/>
      <c r="BDW72" s="11"/>
      <c r="BHD72" s="47"/>
      <c r="BHI72" s="47"/>
      <c r="BHK72" s="11"/>
      <c r="BKR72" s="47"/>
      <c r="BKW72" s="47"/>
      <c r="BKY72" s="11"/>
      <c r="BOF72" s="47"/>
      <c r="BOK72" s="47"/>
      <c r="BOM72" s="11"/>
      <c r="BRT72" s="47"/>
      <c r="BRY72" s="47"/>
      <c r="BSA72" s="11"/>
      <c r="BVH72" s="47"/>
      <c r="BVM72" s="47"/>
      <c r="BVO72" s="11"/>
      <c r="BYV72" s="47"/>
      <c r="BZA72" s="47"/>
      <c r="BZC72" s="11"/>
      <c r="CCJ72" s="47"/>
      <c r="CCO72" s="47"/>
      <c r="CCQ72" s="11"/>
      <c r="CFX72" s="47"/>
      <c r="CGC72" s="47"/>
      <c r="CGE72" s="11"/>
      <c r="CJL72" s="47"/>
      <c r="CJQ72" s="47"/>
      <c r="CJS72" s="11"/>
      <c r="CMZ72" s="47"/>
      <c r="CNE72" s="47"/>
      <c r="CNG72" s="11"/>
      <c r="CQN72" s="47"/>
      <c r="CQS72" s="47"/>
      <c r="CQU72" s="11"/>
      <c r="CUB72" s="47"/>
      <c r="CUG72" s="47"/>
      <c r="CUI72" s="11"/>
      <c r="CXP72" s="47"/>
      <c r="CXU72" s="47"/>
      <c r="CXW72" s="11"/>
      <c r="DBD72" s="47"/>
      <c r="DBI72" s="47"/>
      <c r="DBK72" s="11"/>
      <c r="DER72" s="47"/>
      <c r="DEW72" s="47"/>
      <c r="DEY72" s="11"/>
      <c r="DIF72" s="47"/>
      <c r="DIK72" s="47"/>
      <c r="DIM72" s="11"/>
      <c r="DLT72" s="47"/>
      <c r="DLY72" s="47"/>
      <c r="DMA72" s="11"/>
      <c r="DPH72" s="47"/>
      <c r="DPM72" s="47"/>
      <c r="DPO72" s="11"/>
      <c r="DSV72" s="47"/>
      <c r="DTA72" s="47"/>
      <c r="DTC72" s="11"/>
      <c r="DWJ72" s="47"/>
      <c r="DWO72" s="47"/>
      <c r="DWQ72" s="11"/>
      <c r="DZX72" s="47"/>
      <c r="EAC72" s="47"/>
      <c r="EAE72" s="11"/>
      <c r="EDL72" s="47"/>
      <c r="EDQ72" s="47"/>
      <c r="EDS72" s="11"/>
      <c r="EGZ72" s="47"/>
      <c r="EHE72" s="47"/>
      <c r="EHG72" s="11"/>
      <c r="EKN72" s="47"/>
      <c r="EKS72" s="47"/>
      <c r="EKU72" s="11"/>
      <c r="EOB72" s="47"/>
      <c r="EOG72" s="47"/>
      <c r="EOI72" s="11"/>
      <c r="ERP72" s="47"/>
      <c r="ERU72" s="47"/>
      <c r="ERW72" s="11"/>
      <c r="EVD72" s="47"/>
      <c r="EVI72" s="47"/>
      <c r="EVK72" s="11"/>
      <c r="EYR72" s="47"/>
      <c r="EYW72" s="47"/>
      <c r="EYY72" s="11"/>
      <c r="FCF72" s="47"/>
      <c r="FCK72" s="47"/>
      <c r="FCM72" s="11"/>
      <c r="FFT72" s="47"/>
      <c r="FFY72" s="47"/>
      <c r="FGA72" s="11"/>
      <c r="FJH72" s="47"/>
      <c r="FJM72" s="47"/>
      <c r="FJO72" s="11"/>
      <c r="FMV72" s="47"/>
      <c r="FNA72" s="47"/>
      <c r="FNC72" s="11"/>
      <c r="FQJ72" s="47"/>
      <c r="FQO72" s="47"/>
      <c r="FQQ72" s="11"/>
      <c r="FTX72" s="47"/>
      <c r="FUC72" s="47"/>
      <c r="FUE72" s="11"/>
      <c r="FXL72" s="47"/>
      <c r="FXQ72" s="47"/>
      <c r="FXS72" s="11"/>
      <c r="GAZ72" s="47"/>
      <c r="GBE72" s="47"/>
      <c r="GBG72" s="11"/>
      <c r="GEN72" s="47"/>
      <c r="GES72" s="47"/>
      <c r="GEU72" s="11"/>
      <c r="GIB72" s="47"/>
      <c r="GIG72" s="47"/>
      <c r="GII72" s="11"/>
      <c r="GLP72" s="47"/>
      <c r="GLU72" s="47"/>
      <c r="GLW72" s="11"/>
      <c r="GPD72" s="47"/>
      <c r="GPI72" s="47"/>
      <c r="GPK72" s="11"/>
      <c r="GSR72" s="47"/>
      <c r="GSW72" s="47"/>
      <c r="GSY72" s="11"/>
      <c r="GWF72" s="47"/>
      <c r="GWK72" s="47"/>
      <c r="GWM72" s="11"/>
      <c r="GZT72" s="47"/>
      <c r="GZY72" s="47"/>
      <c r="HAA72" s="11"/>
      <c r="HDH72" s="47"/>
      <c r="HDM72" s="47"/>
      <c r="HDO72" s="11"/>
      <c r="HGV72" s="47"/>
      <c r="HHA72" s="47"/>
      <c r="HHC72" s="11"/>
      <c r="HKJ72" s="47"/>
      <c r="HKO72" s="47"/>
      <c r="HKQ72" s="11"/>
      <c r="HNX72" s="47"/>
      <c r="HOC72" s="47"/>
      <c r="HOE72" s="11"/>
      <c r="HRL72" s="47"/>
      <c r="HRQ72" s="47"/>
      <c r="HRS72" s="11"/>
      <c r="HUZ72" s="47"/>
      <c r="HVE72" s="47"/>
      <c r="HVG72" s="11"/>
      <c r="HYN72" s="47"/>
      <c r="HYS72" s="47"/>
      <c r="HYU72" s="11"/>
      <c r="ICB72" s="47"/>
      <c r="ICG72" s="47"/>
      <c r="ICI72" s="11"/>
      <c r="IFP72" s="47"/>
      <c r="IFU72" s="47"/>
      <c r="IFW72" s="11"/>
      <c r="IJD72" s="47"/>
      <c r="IJI72" s="47"/>
      <c r="IJK72" s="11"/>
      <c r="IMR72" s="47"/>
      <c r="IMW72" s="47"/>
      <c r="IMY72" s="11"/>
      <c r="IQF72" s="47"/>
      <c r="IQK72" s="47"/>
      <c r="IQM72" s="11"/>
      <c r="ITT72" s="47"/>
      <c r="ITY72" s="47"/>
      <c r="IUA72" s="11"/>
      <c r="IXH72" s="47"/>
      <c r="IXM72" s="47"/>
      <c r="IXO72" s="11"/>
      <c r="JAV72" s="47"/>
      <c r="JBA72" s="47"/>
      <c r="JBC72" s="11"/>
      <c r="JEJ72" s="47"/>
      <c r="JEO72" s="47"/>
      <c r="JEQ72" s="11"/>
      <c r="JHX72" s="47"/>
      <c r="JIC72" s="47"/>
      <c r="JIE72" s="11"/>
      <c r="JLL72" s="47"/>
      <c r="JLQ72" s="47"/>
      <c r="JLS72" s="11"/>
      <c r="JOZ72" s="47"/>
      <c r="JPE72" s="47"/>
      <c r="JPG72" s="11"/>
      <c r="JSN72" s="47"/>
      <c r="JSS72" s="47"/>
      <c r="JSU72" s="11"/>
      <c r="JWB72" s="47"/>
      <c r="JWG72" s="47"/>
      <c r="JWI72" s="11"/>
      <c r="JZP72" s="47"/>
      <c r="JZU72" s="47"/>
      <c r="JZW72" s="11"/>
      <c r="KDD72" s="47"/>
      <c r="KDI72" s="47"/>
      <c r="KDK72" s="11"/>
      <c r="KGR72" s="47"/>
      <c r="KGW72" s="47"/>
      <c r="KGY72" s="11"/>
      <c r="KKF72" s="47"/>
      <c r="KKK72" s="47"/>
      <c r="KKM72" s="11"/>
      <c r="KNT72" s="47"/>
      <c r="KNY72" s="47"/>
      <c r="KOA72" s="11"/>
      <c r="KRH72" s="47"/>
      <c r="KRM72" s="47"/>
      <c r="KRO72" s="11"/>
      <c r="KUV72" s="47"/>
      <c r="KVA72" s="47"/>
      <c r="KVC72" s="11"/>
      <c r="KYJ72" s="47"/>
      <c r="KYO72" s="47"/>
      <c r="KYQ72" s="11"/>
      <c r="LBX72" s="47"/>
      <c r="LCC72" s="47"/>
      <c r="LCE72" s="11"/>
      <c r="LFL72" s="47"/>
      <c r="LFQ72" s="47"/>
      <c r="LFS72" s="11"/>
      <c r="LIZ72" s="47"/>
      <c r="LJE72" s="47"/>
      <c r="LJG72" s="11"/>
      <c r="LMN72" s="47"/>
      <c r="LMS72" s="47"/>
      <c r="LMU72" s="11"/>
      <c r="LQB72" s="47"/>
      <c r="LQG72" s="47"/>
      <c r="LQI72" s="11"/>
      <c r="LTP72" s="47"/>
      <c r="LTU72" s="47"/>
      <c r="LTW72" s="11"/>
      <c r="LXD72" s="47"/>
      <c r="LXI72" s="47"/>
      <c r="LXK72" s="11"/>
      <c r="MAR72" s="47"/>
      <c r="MAW72" s="47"/>
      <c r="MAY72" s="11"/>
      <c r="MEF72" s="47"/>
      <c r="MEK72" s="47"/>
      <c r="MEM72" s="11"/>
      <c r="MHT72" s="47"/>
      <c r="MHY72" s="47"/>
      <c r="MIA72" s="11"/>
      <c r="MLH72" s="47"/>
      <c r="MLM72" s="47"/>
      <c r="MLO72" s="11"/>
      <c r="MOV72" s="47"/>
      <c r="MPA72" s="47"/>
      <c r="MPC72" s="11"/>
      <c r="MSJ72" s="47"/>
      <c r="MSO72" s="47"/>
      <c r="MSQ72" s="11"/>
      <c r="MVX72" s="47"/>
      <c r="MWC72" s="47"/>
      <c r="MWE72" s="11"/>
      <c r="MZL72" s="47"/>
      <c r="MZQ72" s="47"/>
      <c r="MZS72" s="11"/>
      <c r="NCZ72" s="47"/>
      <c r="NDE72" s="47"/>
      <c r="NDG72" s="11"/>
      <c r="NGN72" s="47"/>
      <c r="NGS72" s="47"/>
      <c r="NGU72" s="11"/>
      <c r="NKB72" s="47"/>
      <c r="NKG72" s="47"/>
      <c r="NKI72" s="11"/>
      <c r="NNP72" s="47"/>
      <c r="NNU72" s="47"/>
      <c r="NNW72" s="11"/>
      <c r="NRD72" s="47"/>
      <c r="NRI72" s="47"/>
      <c r="NRK72" s="11"/>
      <c r="NUR72" s="47"/>
      <c r="NUW72" s="47"/>
      <c r="NUY72" s="11"/>
      <c r="NYF72" s="47"/>
      <c r="NYK72" s="47"/>
      <c r="NYM72" s="11"/>
      <c r="OBT72" s="47"/>
      <c r="OBY72" s="47"/>
      <c r="OCA72" s="11"/>
      <c r="OFH72" s="47"/>
      <c r="OFM72" s="47"/>
      <c r="OFO72" s="11"/>
      <c r="OIV72" s="47"/>
      <c r="OJA72" s="47"/>
      <c r="OJC72" s="11"/>
      <c r="OMJ72" s="47"/>
      <c r="OMO72" s="47"/>
      <c r="OMQ72" s="11"/>
      <c r="OPX72" s="47"/>
      <c r="OQC72" s="47"/>
      <c r="OQE72" s="11"/>
      <c r="OTL72" s="47"/>
      <c r="OTQ72" s="47"/>
      <c r="OTS72" s="11"/>
      <c r="OWZ72" s="47"/>
      <c r="OXE72" s="47"/>
      <c r="OXG72" s="11"/>
      <c r="PAN72" s="47"/>
      <c r="PAS72" s="47"/>
      <c r="PAU72" s="11"/>
      <c r="PEB72" s="47"/>
      <c r="PEG72" s="47"/>
      <c r="PEI72" s="11"/>
      <c r="PHP72" s="47"/>
      <c r="PHU72" s="47"/>
      <c r="PHW72" s="11"/>
      <c r="PLD72" s="47"/>
      <c r="PLI72" s="47"/>
      <c r="PLK72" s="11"/>
      <c r="POR72" s="47"/>
      <c r="POW72" s="47"/>
      <c r="POY72" s="11"/>
      <c r="PSF72" s="47"/>
      <c r="PSK72" s="47"/>
      <c r="PSM72" s="11"/>
      <c r="PVT72" s="47"/>
      <c r="PVY72" s="47"/>
      <c r="PWA72" s="11"/>
      <c r="PZH72" s="47"/>
      <c r="PZM72" s="47"/>
      <c r="PZO72" s="11"/>
      <c r="QCV72" s="47"/>
      <c r="QDA72" s="47"/>
      <c r="QDC72" s="11"/>
      <c r="QGJ72" s="47"/>
      <c r="QGO72" s="47"/>
      <c r="QGQ72" s="11"/>
      <c r="QJX72" s="47"/>
      <c r="QKC72" s="47"/>
      <c r="QKE72" s="11"/>
      <c r="QNL72" s="47"/>
      <c r="QNQ72" s="47"/>
      <c r="QNS72" s="11"/>
      <c r="QQZ72" s="47"/>
      <c r="QRE72" s="47"/>
      <c r="QRG72" s="11"/>
      <c r="QUN72" s="47"/>
      <c r="QUS72" s="47"/>
      <c r="QUU72" s="11"/>
      <c r="QYB72" s="47"/>
      <c r="QYG72" s="47"/>
      <c r="QYI72" s="11"/>
      <c r="RBP72" s="47"/>
      <c r="RBU72" s="47"/>
      <c r="RBW72" s="11"/>
      <c r="RFD72" s="47"/>
      <c r="RFI72" s="47"/>
      <c r="RFK72" s="11"/>
      <c r="RIR72" s="47"/>
      <c r="RIW72" s="47"/>
      <c r="RIY72" s="11"/>
      <c r="RMF72" s="47"/>
      <c r="RMK72" s="47"/>
      <c r="RMM72" s="11"/>
      <c r="RPT72" s="47"/>
      <c r="RPY72" s="47"/>
      <c r="RQA72" s="11"/>
      <c r="RTH72" s="47"/>
      <c r="RTM72" s="47"/>
      <c r="RTO72" s="11"/>
      <c r="RWV72" s="47"/>
      <c r="RXA72" s="47"/>
      <c r="RXC72" s="11"/>
      <c r="SAJ72" s="47"/>
      <c r="SAO72" s="47"/>
      <c r="SAQ72" s="11"/>
      <c r="SDX72" s="47"/>
      <c r="SEC72" s="47"/>
      <c r="SEE72" s="11"/>
      <c r="SHL72" s="47"/>
      <c r="SHQ72" s="47"/>
      <c r="SHS72" s="11"/>
      <c r="SKZ72" s="47"/>
      <c r="SLE72" s="47"/>
      <c r="SLG72" s="11"/>
      <c r="SON72" s="47"/>
      <c r="SOS72" s="47"/>
      <c r="SOU72" s="11"/>
      <c r="SSB72" s="47"/>
      <c r="SSG72" s="47"/>
      <c r="SSI72" s="11"/>
      <c r="SVP72" s="47"/>
      <c r="SVU72" s="47"/>
      <c r="SVW72" s="11"/>
      <c r="SZD72" s="47"/>
      <c r="SZI72" s="47"/>
      <c r="SZK72" s="11"/>
      <c r="TCR72" s="47"/>
      <c r="TCW72" s="47"/>
      <c r="TCY72" s="11"/>
      <c r="TGF72" s="47"/>
      <c r="TGK72" s="47"/>
      <c r="TGM72" s="11"/>
      <c r="TJT72" s="47"/>
      <c r="TJY72" s="47"/>
      <c r="TKA72" s="11"/>
      <c r="TNH72" s="47"/>
      <c r="TNM72" s="47"/>
      <c r="TNO72" s="11"/>
      <c r="TQV72" s="47"/>
      <c r="TRA72" s="47"/>
      <c r="TRC72" s="11"/>
      <c r="TUJ72" s="47"/>
      <c r="TUO72" s="47"/>
      <c r="TUQ72" s="11"/>
      <c r="TXX72" s="47"/>
      <c r="TYC72" s="47"/>
      <c r="TYE72" s="11"/>
      <c r="UBL72" s="47"/>
      <c r="UBQ72" s="47"/>
      <c r="UBS72" s="11"/>
      <c r="UEZ72" s="47"/>
      <c r="UFE72" s="47"/>
      <c r="UFG72" s="11"/>
      <c r="UIN72" s="47"/>
      <c r="UIS72" s="47"/>
      <c r="UIU72" s="11"/>
      <c r="UMB72" s="47"/>
      <c r="UMG72" s="47"/>
      <c r="UMI72" s="11"/>
      <c r="UPP72" s="47"/>
      <c r="UPU72" s="47"/>
      <c r="UPW72" s="11"/>
      <c r="UTD72" s="47"/>
      <c r="UTI72" s="47"/>
      <c r="UTK72" s="11"/>
      <c r="UWR72" s="47"/>
      <c r="UWW72" s="47"/>
      <c r="UWY72" s="11"/>
      <c r="VAF72" s="47"/>
      <c r="VAK72" s="47"/>
      <c r="VAM72" s="11"/>
      <c r="VDT72" s="47"/>
      <c r="VDY72" s="47"/>
      <c r="VEA72" s="11"/>
      <c r="VHH72" s="47"/>
      <c r="VHM72" s="47"/>
      <c r="VHO72" s="11"/>
      <c r="VKV72" s="47"/>
      <c r="VLA72" s="47"/>
      <c r="VLC72" s="11"/>
      <c r="VOJ72" s="47"/>
      <c r="VOO72" s="47"/>
      <c r="VOQ72" s="11"/>
      <c r="VRX72" s="47"/>
      <c r="VSC72" s="47"/>
      <c r="VSE72" s="11"/>
      <c r="VVL72" s="47"/>
      <c r="VVQ72" s="47"/>
      <c r="VVS72" s="11"/>
      <c r="VYZ72" s="47"/>
      <c r="VZE72" s="47"/>
      <c r="VZG72" s="11"/>
      <c r="WCN72" s="47"/>
      <c r="WCS72" s="47"/>
      <c r="WCU72" s="11"/>
      <c r="WGB72" s="47"/>
      <c r="WGG72" s="47"/>
      <c r="WGI72" s="11"/>
      <c r="WJP72" s="47"/>
      <c r="WJU72" s="47"/>
      <c r="WJW72" s="11"/>
      <c r="WND72" s="47"/>
      <c r="WNI72" s="47"/>
      <c r="WNK72" s="11"/>
      <c r="WQR72" s="47"/>
      <c r="WQW72" s="47"/>
      <c r="WQY72" s="11"/>
      <c r="WUF72" s="47"/>
      <c r="WUK72" s="47"/>
      <c r="WUM72" s="11"/>
      <c r="WXT72" s="47"/>
      <c r="WXY72" s="47"/>
      <c r="WYA72" s="11"/>
      <c r="XBH72" s="47"/>
      <c r="XBM72" s="47"/>
      <c r="XBO72" s="11"/>
      <c r="XEV72" s="47"/>
      <c r="XFA72" s="47"/>
      <c r="XFC72" s="11"/>
    </row>
    <row r="73" spans="1:1019 1104:2031 2116:3043 3128:4055 4140:5067 5152:6079 6164:7091 7176:8188 8193:9207 9292:10219 10304:11231 11316:12243 12328:13255 13340:14267 14352:15279 15364:16383" ht="14.65" customHeight="1" thickBot="1">
      <c r="A73" s="47"/>
      <c r="B73" s="47"/>
      <c r="C73" s="17" t="s">
        <v>1007</v>
      </c>
      <c r="D73" s="47"/>
      <c r="E73" s="47"/>
      <c r="F73" s="47"/>
      <c r="G73" s="11" t="str">
        <f t="shared" si="49"/>
        <v>тыс. руб.</v>
      </c>
      <c r="H73" s="47"/>
      <c r="I73" s="23">
        <f t="shared" ca="1" si="50"/>
        <v>0</v>
      </c>
      <c r="J73" s="47"/>
      <c r="K73" s="47"/>
      <c r="L73" s="10">
        <f ca="1" xml:space="preserve"> L65 * $E$100</f>
        <v>0</v>
      </c>
      <c r="M73" s="10">
        <f t="shared" ref="M73:BX73" ca="1" si="59" xml:space="preserve"> M65 * $E$100</f>
        <v>0</v>
      </c>
      <c r="N73" s="10">
        <f t="shared" ca="1" si="59"/>
        <v>0</v>
      </c>
      <c r="O73" s="10">
        <f t="shared" ca="1" si="59"/>
        <v>0</v>
      </c>
      <c r="P73" s="10">
        <f t="shared" ca="1" si="59"/>
        <v>0</v>
      </c>
      <c r="Q73" s="10">
        <f t="shared" ca="1" si="59"/>
        <v>0</v>
      </c>
      <c r="R73" s="10">
        <f t="shared" ca="1" si="59"/>
        <v>0</v>
      </c>
      <c r="S73" s="10">
        <f t="shared" ca="1" si="59"/>
        <v>0</v>
      </c>
      <c r="T73" s="10">
        <f t="shared" ca="1" si="59"/>
        <v>0</v>
      </c>
      <c r="U73" s="10">
        <f t="shared" ca="1" si="59"/>
        <v>0</v>
      </c>
      <c r="V73" s="10">
        <f t="shared" ca="1" si="59"/>
        <v>0</v>
      </c>
      <c r="W73" s="10">
        <f t="shared" ca="1" si="59"/>
        <v>0</v>
      </c>
      <c r="X73" s="10">
        <f t="shared" ca="1" si="59"/>
        <v>0</v>
      </c>
      <c r="Y73" s="10">
        <f t="shared" ca="1" si="59"/>
        <v>0</v>
      </c>
      <c r="Z73" s="10">
        <f t="shared" ca="1" si="59"/>
        <v>0</v>
      </c>
      <c r="AA73" s="10">
        <f t="shared" ca="1" si="59"/>
        <v>0</v>
      </c>
      <c r="AB73" s="10">
        <f t="shared" ca="1" si="59"/>
        <v>0</v>
      </c>
      <c r="AC73" s="10">
        <f t="shared" ca="1" si="59"/>
        <v>0</v>
      </c>
      <c r="AD73" s="10">
        <f t="shared" ca="1" si="59"/>
        <v>0</v>
      </c>
      <c r="AE73" s="10">
        <f t="shared" ca="1" si="59"/>
        <v>0</v>
      </c>
      <c r="AF73" s="10">
        <f t="shared" ca="1" si="59"/>
        <v>0</v>
      </c>
      <c r="AG73" s="10">
        <f t="shared" ca="1" si="59"/>
        <v>0</v>
      </c>
      <c r="AH73" s="10">
        <f t="shared" ca="1" si="59"/>
        <v>0</v>
      </c>
      <c r="AI73" s="10">
        <f t="shared" ca="1" si="59"/>
        <v>0</v>
      </c>
      <c r="AJ73" s="10">
        <f t="shared" ca="1" si="59"/>
        <v>0</v>
      </c>
      <c r="AK73" s="10">
        <f t="shared" ca="1" si="59"/>
        <v>0</v>
      </c>
      <c r="AL73" s="10">
        <f t="shared" ca="1" si="59"/>
        <v>0</v>
      </c>
      <c r="AM73" s="10">
        <f t="shared" ca="1" si="59"/>
        <v>0</v>
      </c>
      <c r="AN73" s="10">
        <f t="shared" ca="1" si="59"/>
        <v>0</v>
      </c>
      <c r="AO73" s="10">
        <f t="shared" ca="1" si="59"/>
        <v>0</v>
      </c>
      <c r="AP73" s="10">
        <f t="shared" ca="1" si="59"/>
        <v>0</v>
      </c>
      <c r="AQ73" s="10">
        <f t="shared" ca="1" si="59"/>
        <v>0</v>
      </c>
      <c r="AR73" s="10">
        <f t="shared" ca="1" si="59"/>
        <v>0</v>
      </c>
      <c r="AS73" s="10">
        <f t="shared" ca="1" si="59"/>
        <v>0</v>
      </c>
      <c r="AT73" s="10">
        <f t="shared" ca="1" si="59"/>
        <v>0</v>
      </c>
      <c r="AU73" s="10">
        <f t="shared" ca="1" si="59"/>
        <v>0</v>
      </c>
      <c r="AV73" s="10">
        <f t="shared" ca="1" si="59"/>
        <v>0</v>
      </c>
      <c r="AW73" s="10">
        <f t="shared" ca="1" si="59"/>
        <v>0</v>
      </c>
      <c r="AX73" s="10">
        <f t="shared" ca="1" si="59"/>
        <v>0</v>
      </c>
      <c r="AY73" s="10">
        <f t="shared" ca="1" si="59"/>
        <v>0</v>
      </c>
      <c r="AZ73" s="10">
        <f t="shared" ca="1" si="59"/>
        <v>0</v>
      </c>
      <c r="BA73" s="10">
        <f t="shared" ca="1" si="59"/>
        <v>0</v>
      </c>
      <c r="BB73" s="10">
        <f t="shared" ca="1" si="59"/>
        <v>0</v>
      </c>
      <c r="BC73" s="10">
        <f t="shared" ca="1" si="59"/>
        <v>0</v>
      </c>
      <c r="BD73" s="10">
        <f t="shared" ca="1" si="59"/>
        <v>0</v>
      </c>
      <c r="BE73" s="10">
        <f t="shared" ca="1" si="59"/>
        <v>0</v>
      </c>
      <c r="BF73" s="10">
        <f t="shared" ca="1" si="59"/>
        <v>0</v>
      </c>
      <c r="BG73" s="10">
        <f t="shared" ca="1" si="59"/>
        <v>0</v>
      </c>
      <c r="BH73" s="10">
        <f t="shared" ca="1" si="59"/>
        <v>0</v>
      </c>
      <c r="BI73" s="10">
        <f t="shared" ca="1" si="59"/>
        <v>0</v>
      </c>
      <c r="BJ73" s="10">
        <f t="shared" ca="1" si="59"/>
        <v>0</v>
      </c>
      <c r="BK73" s="10">
        <f t="shared" ca="1" si="59"/>
        <v>0</v>
      </c>
      <c r="BL73" s="10">
        <f t="shared" ca="1" si="59"/>
        <v>0</v>
      </c>
      <c r="BM73" s="10">
        <f t="shared" ca="1" si="59"/>
        <v>0</v>
      </c>
      <c r="BN73" s="10">
        <f t="shared" ca="1" si="59"/>
        <v>0</v>
      </c>
      <c r="BO73" s="10">
        <f t="shared" ca="1" si="59"/>
        <v>0</v>
      </c>
      <c r="BP73" s="10">
        <f t="shared" ca="1" si="59"/>
        <v>0</v>
      </c>
      <c r="BQ73" s="10">
        <f t="shared" ca="1" si="59"/>
        <v>0</v>
      </c>
      <c r="BR73" s="10">
        <f t="shared" ca="1" si="59"/>
        <v>0</v>
      </c>
      <c r="BS73" s="10">
        <f t="shared" ca="1" si="59"/>
        <v>0</v>
      </c>
      <c r="BT73" s="10">
        <f t="shared" ca="1" si="59"/>
        <v>0</v>
      </c>
      <c r="BU73" s="10">
        <f t="shared" ca="1" si="59"/>
        <v>0</v>
      </c>
      <c r="BV73" s="10">
        <f t="shared" ca="1" si="59"/>
        <v>0</v>
      </c>
      <c r="BW73" s="10">
        <f t="shared" ca="1" si="59"/>
        <v>0</v>
      </c>
      <c r="BX73" s="10">
        <f t="shared" ca="1" si="59"/>
        <v>0</v>
      </c>
      <c r="BY73" s="10">
        <f t="shared" ref="BY73:CM73" ca="1" si="60" xml:space="preserve"> BY65 * $E$100</f>
        <v>0</v>
      </c>
      <c r="BZ73" s="10">
        <f t="shared" ca="1" si="60"/>
        <v>0</v>
      </c>
      <c r="CA73" s="10">
        <f t="shared" ca="1" si="60"/>
        <v>0</v>
      </c>
      <c r="CB73" s="10">
        <f t="shared" ca="1" si="60"/>
        <v>0</v>
      </c>
      <c r="CC73" s="10">
        <f t="shared" ca="1" si="60"/>
        <v>0</v>
      </c>
      <c r="CD73" s="10">
        <f t="shared" ca="1" si="60"/>
        <v>0</v>
      </c>
      <c r="CE73" s="10">
        <f t="shared" ca="1" si="60"/>
        <v>0</v>
      </c>
      <c r="CF73" s="10">
        <f t="shared" ca="1" si="60"/>
        <v>0</v>
      </c>
      <c r="CG73" s="10">
        <f t="shared" ca="1" si="60"/>
        <v>0</v>
      </c>
      <c r="CH73" s="10">
        <f t="shared" ca="1" si="60"/>
        <v>0</v>
      </c>
      <c r="CI73" s="10">
        <f t="shared" ca="1" si="60"/>
        <v>0</v>
      </c>
      <c r="CJ73" s="10">
        <f t="shared" ca="1" si="60"/>
        <v>0</v>
      </c>
      <c r="CK73" s="10">
        <f t="shared" ca="1" si="60"/>
        <v>0</v>
      </c>
      <c r="CL73" s="10">
        <f t="shared" ca="1" si="60"/>
        <v>0</v>
      </c>
      <c r="CM73" s="10">
        <f t="shared" ca="1" si="60"/>
        <v>0</v>
      </c>
      <c r="CN73" s="10">
        <f ca="1" xml:space="preserve"> CN65 * $E$100</f>
        <v>0</v>
      </c>
      <c r="CO73" s="10">
        <f ca="1" xml:space="preserve"> CO65 * $E$100</f>
        <v>0</v>
      </c>
    </row>
    <row r="74" spans="1:1019 1104:2031 2116:3043 3128:4055 4140:5067 5152:6079 6164:7091 7176:8188 8193:9207 9292:10219 10304:11231 11316:12243 12328:13255 13340:14267 14352:15279 15364:16383" s="141" customFormat="1" ht="15" customHeight="1" thickTop="1">
      <c r="A74" s="153"/>
      <c r="B74" s="153"/>
      <c r="C74" s="49" t="s">
        <v>1010</v>
      </c>
      <c r="D74" s="49"/>
      <c r="E74" s="49"/>
      <c r="F74" s="49"/>
      <c r="G74" s="159" t="str">
        <f t="shared" si="49"/>
        <v>тыс. руб.</v>
      </c>
      <c r="H74" s="49"/>
      <c r="I74" s="176">
        <f t="shared" ca="1" si="50"/>
        <v>3670481.6637394354</v>
      </c>
      <c r="J74" s="49"/>
      <c r="K74" s="49"/>
      <c r="L74" s="49">
        <f ca="1">SUM(L69:L73)</f>
        <v>0</v>
      </c>
      <c r="M74" s="49">
        <f t="shared" ref="M74:BX74" ca="1" si="61">SUM(M69:M73)</f>
        <v>0</v>
      </c>
      <c r="N74" s="49">
        <f t="shared" ca="1" si="61"/>
        <v>0</v>
      </c>
      <c r="O74" s="49">
        <f t="shared" ca="1" si="61"/>
        <v>0</v>
      </c>
      <c r="P74" s="49">
        <f t="shared" ca="1" si="61"/>
        <v>0</v>
      </c>
      <c r="Q74" s="49">
        <f t="shared" ca="1" si="61"/>
        <v>0</v>
      </c>
      <c r="R74" s="49">
        <f t="shared" ca="1" si="61"/>
        <v>0</v>
      </c>
      <c r="S74" s="49">
        <f t="shared" ca="1" si="61"/>
        <v>0</v>
      </c>
      <c r="T74" s="49">
        <f t="shared" ca="1" si="61"/>
        <v>0</v>
      </c>
      <c r="U74" s="49">
        <f t="shared" ca="1" si="61"/>
        <v>0</v>
      </c>
      <c r="V74" s="49">
        <f t="shared" ca="1" si="61"/>
        <v>0</v>
      </c>
      <c r="W74" s="49">
        <f t="shared" ca="1" si="61"/>
        <v>0</v>
      </c>
      <c r="X74" s="49">
        <f t="shared" ca="1" si="61"/>
        <v>0</v>
      </c>
      <c r="Y74" s="49">
        <f t="shared" ca="1" si="61"/>
        <v>0</v>
      </c>
      <c r="Z74" s="49">
        <f t="shared" ca="1" si="61"/>
        <v>0</v>
      </c>
      <c r="AA74" s="49">
        <f t="shared" ca="1" si="61"/>
        <v>0</v>
      </c>
      <c r="AB74" s="49">
        <f t="shared" ca="1" si="61"/>
        <v>0</v>
      </c>
      <c r="AC74" s="49">
        <f t="shared" ca="1" si="61"/>
        <v>8989.3257014126466</v>
      </c>
      <c r="AD74" s="49">
        <f t="shared" ca="1" si="61"/>
        <v>15995.556229286245</v>
      </c>
      <c r="AE74" s="49">
        <f t="shared" ca="1" si="61"/>
        <v>6671.3381539365137</v>
      </c>
      <c r="AF74" s="49">
        <f t="shared" ca="1" si="61"/>
        <v>6187.3754348849825</v>
      </c>
      <c r="AG74" s="49">
        <f t="shared" ca="1" si="61"/>
        <v>10623.278113827169</v>
      </c>
      <c r="AH74" s="49">
        <f t="shared" ca="1" si="61"/>
        <v>18641.342935918055</v>
      </c>
      <c r="AI74" s="49">
        <f t="shared" ca="1" si="61"/>
        <v>7772.2267191064739</v>
      </c>
      <c r="AJ74" s="49">
        <f t="shared" ca="1" si="61"/>
        <v>7171.9346239073075</v>
      </c>
      <c r="AK74" s="49">
        <f t="shared" ca="1" si="61"/>
        <v>12218.824537613806</v>
      </c>
      <c r="AL74" s="49">
        <f t="shared" ca="1" si="61"/>
        <v>21289.101393281606</v>
      </c>
      <c r="AM74" s="49">
        <f t="shared" ca="1" si="61"/>
        <v>8922.6188000748607</v>
      </c>
      <c r="AN74" s="49">
        <f t="shared" ca="1" si="61"/>
        <v>8324.391287625509</v>
      </c>
      <c r="AO74" s="49">
        <f t="shared" ca="1" si="61"/>
        <v>13976.673455771874</v>
      </c>
      <c r="AP74" s="49">
        <f t="shared" ca="1" si="61"/>
        <v>23750.128773479337</v>
      </c>
      <c r="AQ74" s="49">
        <f t="shared" ca="1" si="61"/>
        <v>9758.6289067083599</v>
      </c>
      <c r="AR74" s="49">
        <f t="shared" ca="1" si="61"/>
        <v>8847.3135080917746</v>
      </c>
      <c r="AS74" s="49">
        <f t="shared" ca="1" si="61"/>
        <v>14754.423477197395</v>
      </c>
      <c r="AT74" s="49">
        <f t="shared" ca="1" si="61"/>
        <v>25186.259775469269</v>
      </c>
      <c r="AU74" s="49">
        <f t="shared" ca="1" si="61"/>
        <v>10815.634059669437</v>
      </c>
      <c r="AV74" s="49">
        <f t="shared" ca="1" si="61"/>
        <v>9749.1886368799187</v>
      </c>
      <c r="AW74" s="49">
        <f t="shared" ca="1" si="61"/>
        <v>16101.104034031781</v>
      </c>
      <c r="AX74" s="49">
        <f t="shared" ca="1" si="61"/>
        <v>74330.540615662787</v>
      </c>
      <c r="AY74" s="49">
        <f t="shared" ca="1" si="61"/>
        <v>98265.178195923421</v>
      </c>
      <c r="AZ74" s="49">
        <f t="shared" ca="1" si="61"/>
        <v>40726.568636363016</v>
      </c>
      <c r="BA74" s="49">
        <f t="shared" ca="1" si="61"/>
        <v>43777.58220532642</v>
      </c>
      <c r="BB74" s="49">
        <f t="shared" ca="1" si="61"/>
        <v>77316.72713241016</v>
      </c>
      <c r="BC74" s="49">
        <f t="shared" ca="1" si="61"/>
        <v>102208.7502158812</v>
      </c>
      <c r="BD74" s="49">
        <f t="shared" ca="1" si="61"/>
        <v>42487.066739717324</v>
      </c>
      <c r="BE74" s="49">
        <f t="shared" ca="1" si="61"/>
        <v>45987.993150114577</v>
      </c>
      <c r="BF74" s="49">
        <f t="shared" ca="1" si="61"/>
        <v>80556.726304741576</v>
      </c>
      <c r="BG74" s="49">
        <f t="shared" ca="1" si="61"/>
        <v>106444.43374506713</v>
      </c>
      <c r="BH74" s="49">
        <f t="shared" ca="1" si="61"/>
        <v>44210.572774590051</v>
      </c>
      <c r="BI74" s="49">
        <f t="shared" ca="1" si="61"/>
        <v>47510.402371536082</v>
      </c>
      <c r="BJ74" s="49">
        <f t="shared" ca="1" si="61"/>
        <v>83786.360226825796</v>
      </c>
      <c r="BK74" s="49">
        <f t="shared" ca="1" si="61"/>
        <v>110709.57239390803</v>
      </c>
      <c r="BL74" s="49">
        <f t="shared" ca="1" si="61"/>
        <v>45986.404654371341</v>
      </c>
      <c r="BM74" s="49">
        <f t="shared" ca="1" si="61"/>
        <v>49418.40859957553</v>
      </c>
      <c r="BN74" s="49">
        <f t="shared" ca="1" si="61"/>
        <v>87145.413936800353</v>
      </c>
      <c r="BO74" s="49">
        <f t="shared" ca="1" si="61"/>
        <v>116312.55874935068</v>
      </c>
      <c r="BP74" s="49">
        <f t="shared" ca="1" si="61"/>
        <v>48814.560517608814</v>
      </c>
      <c r="BQ74" s="49">
        <f t="shared" ca="1" si="61"/>
        <v>53414.673321910348</v>
      </c>
      <c r="BR74" s="49">
        <f t="shared" ca="1" si="61"/>
        <v>94571.484164698282</v>
      </c>
      <c r="BS74" s="49">
        <f t="shared" ca="1" si="61"/>
        <v>120782.57811951195</v>
      </c>
      <c r="BT74" s="49">
        <f t="shared" ca="1" si="61"/>
        <v>50742.303449717532</v>
      </c>
      <c r="BU74" s="49">
        <f t="shared" ca="1" si="61"/>
        <v>55741.84957355191</v>
      </c>
      <c r="BV74" s="49">
        <f t="shared" ca="1" si="61"/>
        <v>98390.390655592331</v>
      </c>
      <c r="BW74" s="49">
        <f t="shared" ca="1" si="61"/>
        <v>125649.82259255239</v>
      </c>
      <c r="BX74" s="49">
        <f t="shared" ca="1" si="61"/>
        <v>52649.868428280635</v>
      </c>
      <c r="BY74" s="49">
        <f t="shared" ref="BY74:CM74" ca="1" si="62">SUM(BY69:BY73)</f>
        <v>57625.715520249767</v>
      </c>
      <c r="BZ74" s="49">
        <f t="shared" ca="1" si="62"/>
        <v>102359.89188655178</v>
      </c>
      <c r="CA74" s="49">
        <f t="shared" ca="1" si="62"/>
        <v>130709.60125393287</v>
      </c>
      <c r="CB74" s="49">
        <f t="shared" ca="1" si="62"/>
        <v>54789.807635503465</v>
      </c>
      <c r="CC74" s="49">
        <f t="shared" ca="1" si="62"/>
        <v>59965.001251989692</v>
      </c>
      <c r="CD74" s="49">
        <f t="shared" ca="1" si="62"/>
        <v>106488.65386572352</v>
      </c>
      <c r="CE74" s="49">
        <f t="shared" ca="1" si="62"/>
        <v>135972.24873812075</v>
      </c>
      <c r="CF74" s="49">
        <f t="shared" ca="1" si="62"/>
        <v>57015.143089249585</v>
      </c>
      <c r="CG74" s="49">
        <f t="shared" ca="1" si="62"/>
        <v>62397.451406877612</v>
      </c>
      <c r="CH74" s="49">
        <f t="shared" ca="1" si="62"/>
        <v>110782.15484534574</v>
      </c>
      <c r="CI74" s="49">
        <f t="shared" ca="1" si="62"/>
        <v>141444.99064295978</v>
      </c>
      <c r="CJ74" s="49">
        <f t="shared" ca="1" si="62"/>
        <v>59506.219295673174</v>
      </c>
      <c r="CK74" s="49">
        <f t="shared" ca="1" si="62"/>
        <v>65354.550221102792</v>
      </c>
      <c r="CL74" s="49">
        <f t="shared" ca="1" si="62"/>
        <v>115247.76495152968</v>
      </c>
      <c r="CM74" s="49">
        <f t="shared" ca="1" si="62"/>
        <v>147137.00910486199</v>
      </c>
      <c r="CN74" s="49">
        <f ca="1">SUM(CN69:CN73)</f>
        <v>61735.41742186225</v>
      </c>
      <c r="CO74" s="49">
        <f ca="1">SUM(CO69:CO73)</f>
        <v>67556.900356878119</v>
      </c>
    </row>
    <row r="75" spans="1:1019 1104:2031 2116:3043 3128:4055 4140:5067 5152:6079 6164:7091 7176:8188 8193:9207 9292:10219 10304:11231 11316:12243 12328:13255 13340:14267 14352:15279 15364:16383" ht="14.65" customHeight="1">
      <c r="A75" s="47"/>
      <c r="B75" s="47"/>
      <c r="C75" s="47"/>
      <c r="D75" s="47"/>
      <c r="E75" s="47"/>
      <c r="F75" s="47"/>
      <c r="G75" s="319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</row>
    <row r="76" spans="1:1019 1104:2031 2116:3043 3128:4055 4140:5067 5152:6079 6164:7091 7176:8188 8193:9207 9292:10219 10304:11231 11316:12243 12328:13255 13340:14267 14352:15279 15364:16383" ht="14.65" customHeight="1">
      <c r="A76" s="47"/>
      <c r="B76" s="47"/>
      <c r="C76" s="365" t="s">
        <v>1011</v>
      </c>
      <c r="D76" s="47"/>
      <c r="E76" s="47"/>
      <c r="F76" s="47"/>
      <c r="G76" s="319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</row>
    <row r="77" spans="1:1019 1104:2031 2116:3043 3128:4055 4140:5067 5152:6079 6164:7091 7176:8188 8193:9207 9292:10219 10304:11231 11316:12243 12328:13255 13340:14267 14352:15279 15364:16383" ht="14.65" customHeight="1">
      <c r="A77" s="47"/>
      <c r="B77" s="47"/>
      <c r="C77" s="17" t="s">
        <v>1003</v>
      </c>
      <c r="D77" s="47"/>
      <c r="E77" s="47"/>
      <c r="F77" s="47"/>
      <c r="G77" s="11" t="str">
        <f t="shared" ref="G77:G82" si="63">Monetary_Unit</f>
        <v>тыс. руб.</v>
      </c>
      <c r="H77" s="47"/>
      <c r="I77" s="23">
        <f t="shared" ref="I77:I82" ca="1" si="64">SUM(L77:CM77)</f>
        <v>896878.45868791302</v>
      </c>
      <c r="J77" s="47"/>
      <c r="K77" s="47"/>
      <c r="L77" s="10">
        <f ca="1" xml:space="preserve"> L61 * L87 / (L86+L87)</f>
        <v>0</v>
      </c>
      <c r="M77" s="10">
        <f t="shared" ref="M77:BX77" ca="1" si="65" xml:space="preserve"> M61 * M87 / (M86+M87)</f>
        <v>0</v>
      </c>
      <c r="N77" s="10">
        <f t="shared" ca="1" si="65"/>
        <v>0</v>
      </c>
      <c r="O77" s="10">
        <f t="shared" ca="1" si="65"/>
        <v>0</v>
      </c>
      <c r="P77" s="10">
        <f t="shared" ca="1" si="65"/>
        <v>0</v>
      </c>
      <c r="Q77" s="10">
        <f t="shared" ca="1" si="65"/>
        <v>0</v>
      </c>
      <c r="R77" s="10">
        <f t="shared" ca="1" si="65"/>
        <v>0</v>
      </c>
      <c r="S77" s="10">
        <f t="shared" ca="1" si="65"/>
        <v>0</v>
      </c>
      <c r="T77" s="10">
        <f t="shared" ca="1" si="65"/>
        <v>0</v>
      </c>
      <c r="U77" s="10">
        <f t="shared" ca="1" si="65"/>
        <v>0</v>
      </c>
      <c r="V77" s="10">
        <f t="shared" ca="1" si="65"/>
        <v>0</v>
      </c>
      <c r="W77" s="10">
        <f t="shared" ca="1" si="65"/>
        <v>0</v>
      </c>
      <c r="X77" s="10">
        <f t="shared" ca="1" si="65"/>
        <v>0</v>
      </c>
      <c r="Y77" s="10">
        <f t="shared" ca="1" si="65"/>
        <v>0</v>
      </c>
      <c r="Z77" s="10">
        <f t="shared" ca="1" si="65"/>
        <v>0</v>
      </c>
      <c r="AA77" s="10">
        <f t="shared" ca="1" si="65"/>
        <v>0</v>
      </c>
      <c r="AB77" s="10">
        <f t="shared" ca="1" si="65"/>
        <v>0</v>
      </c>
      <c r="AC77" s="10">
        <f t="shared" ca="1" si="65"/>
        <v>0</v>
      </c>
      <c r="AD77" s="10">
        <f t="shared" ca="1" si="65"/>
        <v>1438.5900942038784</v>
      </c>
      <c r="AE77" s="10">
        <f t="shared" ca="1" si="65"/>
        <v>27.790339379544768</v>
      </c>
      <c r="AF77" s="10">
        <f t="shared" ca="1" si="65"/>
        <v>0</v>
      </c>
      <c r="AG77" s="10">
        <f t="shared" ca="1" si="65"/>
        <v>572.94638105597471</v>
      </c>
      <c r="AH77" s="10">
        <f t="shared" ca="1" si="65"/>
        <v>1850.6437364116016</v>
      </c>
      <c r="AI77" s="10">
        <f t="shared" ca="1" si="65"/>
        <v>193.36693671034257</v>
      </c>
      <c r="AJ77" s="10">
        <f t="shared" ca="1" si="65"/>
        <v>134.6972391380273</v>
      </c>
      <c r="AK77" s="10">
        <f t="shared" ca="1" si="65"/>
        <v>886.11011723938361</v>
      </c>
      <c r="AL77" s="10">
        <f t="shared" ca="1" si="65"/>
        <v>2472.5795830035745</v>
      </c>
      <c r="AM77" s="10">
        <f t="shared" ca="1" si="65"/>
        <v>414.59457811116198</v>
      </c>
      <c r="AN77" s="10">
        <f t="shared" ca="1" si="65"/>
        <v>334.8510010373837</v>
      </c>
      <c r="AO77" s="10">
        <f t="shared" ca="1" si="65"/>
        <v>1187.8751503344465</v>
      </c>
      <c r="AP77" s="10">
        <f t="shared" ca="1" si="65"/>
        <v>2917.3784631575968</v>
      </c>
      <c r="AQ77" s="10">
        <f t="shared" ca="1" si="65"/>
        <v>764.66511298866624</v>
      </c>
      <c r="AR77" s="10">
        <f t="shared" ca="1" si="65"/>
        <v>959.85744829601515</v>
      </c>
      <c r="AS77" s="10">
        <f t="shared" ca="1" si="65"/>
        <v>2711.5009679117047</v>
      </c>
      <c r="AT77" s="10">
        <f t="shared" ca="1" si="65"/>
        <v>6315.4230962765214</v>
      </c>
      <c r="AU77" s="10">
        <f t="shared" ca="1" si="65"/>
        <v>5295.2066951842298</v>
      </c>
      <c r="AV77" s="10">
        <f t="shared" ca="1" si="65"/>
        <v>4697.1342183630613</v>
      </c>
      <c r="AW77" s="10">
        <f t="shared" ca="1" si="65"/>
        <v>7926.360426416989</v>
      </c>
      <c r="AX77" s="10">
        <f t="shared" ca="1" si="65"/>
        <v>17756.678443436092</v>
      </c>
      <c r="AY77" s="10">
        <f t="shared" ca="1" si="65"/>
        <v>4453.620240922327</v>
      </c>
      <c r="AZ77" s="10">
        <f t="shared" ca="1" si="65"/>
        <v>3570.7965626178925</v>
      </c>
      <c r="BA77" s="10">
        <f t="shared" ca="1" si="65"/>
        <v>8468.7229388707019</v>
      </c>
      <c r="BB77" s="10">
        <f t="shared" ca="1" si="65"/>
        <v>18554.458602989514</v>
      </c>
      <c r="BC77" s="10">
        <f t="shared" ca="1" si="65"/>
        <v>4719.2780723751903</v>
      </c>
      <c r="BD77" s="10">
        <f t="shared" ca="1" si="65"/>
        <v>3866.4120239512913</v>
      </c>
      <c r="BE77" s="10">
        <f t="shared" ca="1" si="65"/>
        <v>9800.8000625426848</v>
      </c>
      <c r="BF77" s="10">
        <f t="shared" ca="1" si="65"/>
        <v>20290.032286734884</v>
      </c>
      <c r="BG77" s="10">
        <f t="shared" ca="1" si="65"/>
        <v>5901.4450268051069</v>
      </c>
      <c r="BH77" s="10">
        <f t="shared" ca="1" si="65"/>
        <v>4945.8911657962135</v>
      </c>
      <c r="BI77" s="10">
        <f t="shared" ca="1" si="65"/>
        <v>10243.614573904008</v>
      </c>
      <c r="BJ77" s="10">
        <f t="shared" ca="1" si="65"/>
        <v>21152.472507767648</v>
      </c>
      <c r="BK77" s="10">
        <f t="shared" ca="1" si="65"/>
        <v>6188.3412458552193</v>
      </c>
      <c r="BL77" s="10">
        <f t="shared" ca="1" si="65"/>
        <v>5194.8983292458497</v>
      </c>
      <c r="BM77" s="10">
        <f t="shared" ca="1" si="65"/>
        <v>10704.592555811652</v>
      </c>
      <c r="BN77" s="10">
        <f t="shared" ca="1" si="65"/>
        <v>22049.86668916354</v>
      </c>
      <c r="BO77" s="10">
        <f t="shared" ca="1" si="65"/>
        <v>14364.44824857238</v>
      </c>
      <c r="BP77" s="10">
        <f t="shared" ca="1" si="65"/>
        <v>12076.417082588387</v>
      </c>
      <c r="BQ77" s="10">
        <f t="shared" ca="1" si="65"/>
        <v>24764.592811918836</v>
      </c>
      <c r="BR77" s="10">
        <f t="shared" ca="1" si="65"/>
        <v>49528.573632105217</v>
      </c>
      <c r="BS77" s="10">
        <f t="shared" ca="1" si="65"/>
        <v>13707.266064778942</v>
      </c>
      <c r="BT77" s="10">
        <f t="shared" ca="1" si="65"/>
        <v>11532.657163740079</v>
      </c>
      <c r="BU77" s="10">
        <f t="shared" ca="1" si="65"/>
        <v>24576.764223280214</v>
      </c>
      <c r="BV77" s="10">
        <f t="shared" ca="1" si="65"/>
        <v>51751.768004603022</v>
      </c>
      <c r="BW77" s="10">
        <f t="shared" ca="1" si="65"/>
        <v>14496.867608824077</v>
      </c>
      <c r="BX77" s="10">
        <f t="shared" ca="1" si="65"/>
        <v>12061.815238743986</v>
      </c>
      <c r="BY77" s="10">
        <f t="shared" ref="BY77:CO77" ca="1" si="66" xml:space="preserve"> BY61 * BY87 / (BY86+BY87)</f>
        <v>25789.116358454416</v>
      </c>
      <c r="BZ77" s="10">
        <f t="shared" ca="1" si="66"/>
        <v>54051.883885080395</v>
      </c>
      <c r="CA77" s="10">
        <f t="shared" ca="1" si="66"/>
        <v>15306.14110477923</v>
      </c>
      <c r="CB77" s="10">
        <f t="shared" ca="1" si="66"/>
        <v>12774.771200800546</v>
      </c>
      <c r="CC77" s="10">
        <f t="shared" ca="1" si="66"/>
        <v>27051.916511569769</v>
      </c>
      <c r="CD77" s="10">
        <f t="shared" ca="1" si="66"/>
        <v>56445.931790523937</v>
      </c>
      <c r="CE77" s="10">
        <f t="shared" ca="1" si="66"/>
        <v>16149.66492867685</v>
      </c>
      <c r="CF77" s="10">
        <f t="shared" ca="1" si="66"/>
        <v>13513.528300032976</v>
      </c>
      <c r="CG77" s="10">
        <f t="shared" ca="1" si="66"/>
        <v>28362.481379488821</v>
      </c>
      <c r="CH77" s="10">
        <f t="shared" ca="1" si="66"/>
        <v>58932.964130849723</v>
      </c>
      <c r="CI77" s="10">
        <f t="shared" ca="1" si="66"/>
        <v>17024.152224194939</v>
      </c>
      <c r="CJ77" s="10">
        <f t="shared" ca="1" si="66"/>
        <v>14469.661146145914</v>
      </c>
      <c r="CK77" s="10">
        <f t="shared" ca="1" si="66"/>
        <v>29726.512847648584</v>
      </c>
      <c r="CL77" s="10">
        <f t="shared" ca="1" si="66"/>
        <v>61520.487289370867</v>
      </c>
      <c r="CM77" s="10">
        <f t="shared" ca="1" si="66"/>
        <v>17934.582597131135</v>
      </c>
      <c r="CN77" s="10">
        <f t="shared" ca="1" si="66"/>
        <v>15072.615373793</v>
      </c>
      <c r="CO77" s="10">
        <f t="shared" ca="1" si="66"/>
        <v>31134.624037650286</v>
      </c>
    </row>
    <row r="78" spans="1:1019 1104:2031 2116:3043 3128:4055 4140:5067 5152:6079 6164:7091 7176:8188 8193:9207 9292:10219 10304:11231 11316:12243 12328:13255 13340:14267 14352:15279 15364:16383" ht="14.65" customHeight="1">
      <c r="A78" s="47"/>
      <c r="B78" s="47"/>
      <c r="C78" s="17" t="s">
        <v>1004</v>
      </c>
      <c r="D78" s="47"/>
      <c r="E78" s="47"/>
      <c r="F78" s="47"/>
      <c r="G78" s="11" t="str">
        <f t="shared" si="63"/>
        <v>тыс. руб.</v>
      </c>
      <c r="H78" s="47"/>
      <c r="I78" s="23">
        <f t="shared" ca="1" si="64"/>
        <v>190941.3744427941</v>
      </c>
      <c r="J78" s="47"/>
      <c r="K78" s="47"/>
      <c r="L78" s="10">
        <f ca="1" xml:space="preserve"> L62 * $E$92</f>
        <v>0</v>
      </c>
      <c r="M78" s="10">
        <f t="shared" ref="M78:BX78" ca="1" si="67" xml:space="preserve"> M62 * $E$92</f>
        <v>0</v>
      </c>
      <c r="N78" s="10">
        <f t="shared" ca="1" si="67"/>
        <v>0</v>
      </c>
      <c r="O78" s="10">
        <f t="shared" ca="1" si="67"/>
        <v>0</v>
      </c>
      <c r="P78" s="10">
        <f t="shared" ca="1" si="67"/>
        <v>0</v>
      </c>
      <c r="Q78" s="10">
        <f t="shared" ca="1" si="67"/>
        <v>0</v>
      </c>
      <c r="R78" s="10">
        <f t="shared" ca="1" si="67"/>
        <v>0</v>
      </c>
      <c r="S78" s="10">
        <f t="shared" ca="1" si="67"/>
        <v>0</v>
      </c>
      <c r="T78" s="10">
        <f t="shared" ca="1" si="67"/>
        <v>0</v>
      </c>
      <c r="U78" s="10">
        <f t="shared" ca="1" si="67"/>
        <v>0</v>
      </c>
      <c r="V78" s="10">
        <f t="shared" ca="1" si="67"/>
        <v>0</v>
      </c>
      <c r="W78" s="10">
        <f t="shared" ca="1" si="67"/>
        <v>0</v>
      </c>
      <c r="X78" s="10">
        <f t="shared" ca="1" si="67"/>
        <v>0</v>
      </c>
      <c r="Y78" s="10">
        <f t="shared" ca="1" si="67"/>
        <v>0</v>
      </c>
      <c r="Z78" s="10">
        <f t="shared" ca="1" si="67"/>
        <v>0</v>
      </c>
      <c r="AA78" s="10">
        <f t="shared" ca="1" si="67"/>
        <v>0</v>
      </c>
      <c r="AB78" s="10">
        <f t="shared" ca="1" si="67"/>
        <v>0</v>
      </c>
      <c r="AC78" s="10">
        <f t="shared" ca="1" si="67"/>
        <v>0</v>
      </c>
      <c r="AD78" s="10">
        <f t="shared" ca="1" si="67"/>
        <v>0</v>
      </c>
      <c r="AE78" s="10">
        <f t="shared" ca="1" si="67"/>
        <v>0</v>
      </c>
      <c r="AF78" s="10">
        <f t="shared" ca="1" si="67"/>
        <v>0</v>
      </c>
      <c r="AG78" s="10">
        <f t="shared" ca="1" si="67"/>
        <v>0</v>
      </c>
      <c r="AH78" s="10">
        <f t="shared" ca="1" si="67"/>
        <v>0</v>
      </c>
      <c r="AI78" s="10">
        <f t="shared" ca="1" si="67"/>
        <v>0</v>
      </c>
      <c r="AJ78" s="10">
        <f t="shared" ca="1" si="67"/>
        <v>0</v>
      </c>
      <c r="AK78" s="10">
        <f t="shared" ca="1" si="67"/>
        <v>0</v>
      </c>
      <c r="AL78" s="10">
        <f t="shared" ca="1" si="67"/>
        <v>0</v>
      </c>
      <c r="AM78" s="10">
        <f t="shared" ca="1" si="67"/>
        <v>0</v>
      </c>
      <c r="AN78" s="10">
        <f t="shared" ca="1" si="67"/>
        <v>0</v>
      </c>
      <c r="AO78" s="10">
        <f t="shared" ca="1" si="67"/>
        <v>0</v>
      </c>
      <c r="AP78" s="10">
        <f t="shared" ca="1" si="67"/>
        <v>0</v>
      </c>
      <c r="AQ78" s="10">
        <f t="shared" ca="1" si="67"/>
        <v>0</v>
      </c>
      <c r="AR78" s="10">
        <f t="shared" ca="1" si="67"/>
        <v>0</v>
      </c>
      <c r="AS78" s="10">
        <f t="shared" ca="1" si="67"/>
        <v>0</v>
      </c>
      <c r="AT78" s="10">
        <f t="shared" ca="1" si="67"/>
        <v>0</v>
      </c>
      <c r="AU78" s="10">
        <f t="shared" ca="1" si="67"/>
        <v>0</v>
      </c>
      <c r="AV78" s="10">
        <f t="shared" ca="1" si="67"/>
        <v>0</v>
      </c>
      <c r="AW78" s="10">
        <f t="shared" ca="1" si="67"/>
        <v>0</v>
      </c>
      <c r="AX78" s="10">
        <f t="shared" ca="1" si="67"/>
        <v>0</v>
      </c>
      <c r="AY78" s="10">
        <f t="shared" ca="1" si="67"/>
        <v>0</v>
      </c>
      <c r="AZ78" s="10">
        <f t="shared" ca="1" si="67"/>
        <v>0</v>
      </c>
      <c r="BA78" s="10">
        <f t="shared" ca="1" si="67"/>
        <v>0</v>
      </c>
      <c r="BB78" s="10">
        <f t="shared" ca="1" si="67"/>
        <v>0</v>
      </c>
      <c r="BC78" s="10">
        <f t="shared" ca="1" si="67"/>
        <v>0</v>
      </c>
      <c r="BD78" s="10">
        <f t="shared" ca="1" si="67"/>
        <v>0</v>
      </c>
      <c r="BE78" s="10">
        <f t="shared" ca="1" si="67"/>
        <v>0</v>
      </c>
      <c r="BF78" s="10">
        <f t="shared" ca="1" si="67"/>
        <v>0</v>
      </c>
      <c r="BG78" s="10">
        <f t="shared" ca="1" si="67"/>
        <v>0</v>
      </c>
      <c r="BH78" s="10">
        <f t="shared" ca="1" si="67"/>
        <v>0</v>
      </c>
      <c r="BI78" s="10">
        <f t="shared" ca="1" si="67"/>
        <v>0</v>
      </c>
      <c r="BJ78" s="10">
        <f t="shared" ca="1" si="67"/>
        <v>0</v>
      </c>
      <c r="BK78" s="10">
        <f t="shared" ca="1" si="67"/>
        <v>0</v>
      </c>
      <c r="BL78" s="10">
        <f t="shared" ca="1" si="67"/>
        <v>0</v>
      </c>
      <c r="BM78" s="10">
        <f t="shared" ca="1" si="67"/>
        <v>0</v>
      </c>
      <c r="BN78" s="10">
        <f t="shared" ca="1" si="67"/>
        <v>0</v>
      </c>
      <c r="BO78" s="10">
        <f t="shared" ca="1" si="67"/>
        <v>0</v>
      </c>
      <c r="BP78" s="10">
        <f t="shared" ca="1" si="67"/>
        <v>0</v>
      </c>
      <c r="BQ78" s="10">
        <f t="shared" ca="1" si="67"/>
        <v>0</v>
      </c>
      <c r="BR78" s="10">
        <f t="shared" ca="1" si="67"/>
        <v>10094.087260740896</v>
      </c>
      <c r="BS78" s="10">
        <f t="shared" ca="1" si="67"/>
        <v>9965.5001618779552</v>
      </c>
      <c r="BT78" s="10">
        <f t="shared" ca="1" si="67"/>
        <v>9703.4054225482178</v>
      </c>
      <c r="BU78" s="10">
        <f t="shared" ca="1" si="67"/>
        <v>9576.5635215998773</v>
      </c>
      <c r="BV78" s="10">
        <f t="shared" ca="1" si="67"/>
        <v>9553.5647153839673</v>
      </c>
      <c r="BW78" s="10">
        <f t="shared" ca="1" si="67"/>
        <v>9425.3289473922378</v>
      </c>
      <c r="BX78" s="10">
        <f t="shared" ca="1" si="67"/>
        <v>9119.9002182683926</v>
      </c>
      <c r="BY78" s="10">
        <f t="shared" ref="BY78:CM78" ca="1" si="68" xml:space="preserve"> BY62 * $E$92</f>
        <v>9094.0430299100863</v>
      </c>
      <c r="BZ78" s="10">
        <f t="shared" ca="1" si="68"/>
        <v>9065.3904698373644</v>
      </c>
      <c r="CA78" s="10">
        <f t="shared" ca="1" si="68"/>
        <v>8936.8033709744232</v>
      </c>
      <c r="CB78" s="10">
        <f t="shared" ca="1" si="68"/>
        <v>8616.733309674275</v>
      </c>
      <c r="CC78" s="10">
        <f t="shared" ca="1" si="68"/>
        <v>8585.2853778871431</v>
      </c>
      <c r="CD78" s="10">
        <f t="shared" ca="1" si="68"/>
        <v>8551.0420743855975</v>
      </c>
      <c r="CE78" s="10">
        <f t="shared" ca="1" si="68"/>
        <v>8422.4549755226581</v>
      </c>
      <c r="CF78" s="10">
        <f t="shared" ca="1" si="68"/>
        <v>8113.5664010801556</v>
      </c>
      <c r="CG78" s="10">
        <f t="shared" ca="1" si="68"/>
        <v>8076.5277258642009</v>
      </c>
      <c r="CH78" s="10">
        <f t="shared" ca="1" si="68"/>
        <v>8036.6936789338333</v>
      </c>
      <c r="CI78" s="10">
        <f t="shared" ca="1" si="68"/>
        <v>7908.106580070893</v>
      </c>
      <c r="CJ78" s="10">
        <f t="shared" ca="1" si="68"/>
        <v>7673.9350073747337</v>
      </c>
      <c r="CK78" s="10">
        <f t="shared" ca="1" si="68"/>
        <v>7547.0931064263923</v>
      </c>
      <c r="CL78" s="10">
        <f t="shared" ca="1" si="68"/>
        <v>7501.7924275162686</v>
      </c>
      <c r="CM78" s="10">
        <f t="shared" ca="1" si="68"/>
        <v>7373.5566595245382</v>
      </c>
      <c r="CN78" s="10">
        <f ca="1" xml:space="preserve"> CN62 * $E$92</f>
        <v>7107.2325838919178</v>
      </c>
      <c r="CO78" s="10">
        <f ca="1" xml:space="preserve"> CO62 * $E$92</f>
        <v>7059.0124218183173</v>
      </c>
    </row>
    <row r="79" spans="1:1019 1104:2031 2116:3043 3128:4055 4140:5067 5152:6079 6164:7091 7176:8188 8193:9207 9292:10219 10304:11231 11316:12243 12328:13255 13340:14267 14352:15279 15364:16383" ht="14.65" customHeight="1">
      <c r="A79" s="47"/>
      <c r="B79" s="47"/>
      <c r="C79" s="17" t="s">
        <v>1005</v>
      </c>
      <c r="D79" s="47"/>
      <c r="E79" s="47"/>
      <c r="F79" s="47"/>
      <c r="G79" s="11" t="str">
        <f t="shared" si="63"/>
        <v>тыс. руб.</v>
      </c>
      <c r="H79" s="47"/>
      <c r="I79" s="23">
        <f t="shared" ca="1" si="64"/>
        <v>0</v>
      </c>
      <c r="J79" s="47"/>
      <c r="K79" s="47"/>
      <c r="L79" s="10">
        <f ca="1" xml:space="preserve"> L63 * $E$95</f>
        <v>0</v>
      </c>
      <c r="M79" s="10">
        <f t="shared" ref="M79:BX79" ca="1" si="69" xml:space="preserve"> M63 * $E$95</f>
        <v>0</v>
      </c>
      <c r="N79" s="10">
        <f t="shared" ca="1" si="69"/>
        <v>0</v>
      </c>
      <c r="O79" s="10">
        <f t="shared" ca="1" si="69"/>
        <v>0</v>
      </c>
      <c r="P79" s="10">
        <f t="shared" ca="1" si="69"/>
        <v>0</v>
      </c>
      <c r="Q79" s="10">
        <f t="shared" ca="1" si="69"/>
        <v>0</v>
      </c>
      <c r="R79" s="10">
        <f t="shared" ca="1" si="69"/>
        <v>0</v>
      </c>
      <c r="S79" s="10">
        <f t="shared" ca="1" si="69"/>
        <v>0</v>
      </c>
      <c r="T79" s="10">
        <f t="shared" ca="1" si="69"/>
        <v>0</v>
      </c>
      <c r="U79" s="10">
        <f t="shared" ca="1" si="69"/>
        <v>0</v>
      </c>
      <c r="V79" s="10">
        <f t="shared" ca="1" si="69"/>
        <v>0</v>
      </c>
      <c r="W79" s="10">
        <f t="shared" ca="1" si="69"/>
        <v>0</v>
      </c>
      <c r="X79" s="10">
        <f t="shared" ca="1" si="69"/>
        <v>0</v>
      </c>
      <c r="Y79" s="10">
        <f t="shared" ca="1" si="69"/>
        <v>0</v>
      </c>
      <c r="Z79" s="10">
        <f t="shared" ca="1" si="69"/>
        <v>0</v>
      </c>
      <c r="AA79" s="10">
        <f t="shared" ca="1" si="69"/>
        <v>0</v>
      </c>
      <c r="AB79" s="10">
        <f t="shared" ca="1" si="69"/>
        <v>0</v>
      </c>
      <c r="AC79" s="10">
        <f t="shared" ca="1" si="69"/>
        <v>0</v>
      </c>
      <c r="AD79" s="10">
        <f t="shared" ca="1" si="69"/>
        <v>0</v>
      </c>
      <c r="AE79" s="10">
        <f t="shared" ca="1" si="69"/>
        <v>0</v>
      </c>
      <c r="AF79" s="10">
        <f t="shared" ca="1" si="69"/>
        <v>0</v>
      </c>
      <c r="AG79" s="10">
        <f t="shared" ca="1" si="69"/>
        <v>0</v>
      </c>
      <c r="AH79" s="10">
        <f t="shared" ca="1" si="69"/>
        <v>0</v>
      </c>
      <c r="AI79" s="10">
        <f t="shared" ca="1" si="69"/>
        <v>0</v>
      </c>
      <c r="AJ79" s="10">
        <f t="shared" ca="1" si="69"/>
        <v>0</v>
      </c>
      <c r="AK79" s="10">
        <f t="shared" ca="1" si="69"/>
        <v>0</v>
      </c>
      <c r="AL79" s="10">
        <f t="shared" ca="1" si="69"/>
        <v>0</v>
      </c>
      <c r="AM79" s="10">
        <f t="shared" ca="1" si="69"/>
        <v>0</v>
      </c>
      <c r="AN79" s="10">
        <f t="shared" ca="1" si="69"/>
        <v>0</v>
      </c>
      <c r="AO79" s="10">
        <f t="shared" ca="1" si="69"/>
        <v>0</v>
      </c>
      <c r="AP79" s="10">
        <f t="shared" ca="1" si="69"/>
        <v>0</v>
      </c>
      <c r="AQ79" s="10">
        <f t="shared" ca="1" si="69"/>
        <v>0</v>
      </c>
      <c r="AR79" s="10">
        <f t="shared" ca="1" si="69"/>
        <v>0</v>
      </c>
      <c r="AS79" s="10">
        <f t="shared" ca="1" si="69"/>
        <v>0</v>
      </c>
      <c r="AT79" s="10">
        <f t="shared" ca="1" si="69"/>
        <v>0</v>
      </c>
      <c r="AU79" s="10">
        <f t="shared" ca="1" si="69"/>
        <v>0</v>
      </c>
      <c r="AV79" s="10">
        <f t="shared" ca="1" si="69"/>
        <v>0</v>
      </c>
      <c r="AW79" s="10">
        <f t="shared" ca="1" si="69"/>
        <v>0</v>
      </c>
      <c r="AX79" s="10">
        <f t="shared" ca="1" si="69"/>
        <v>0</v>
      </c>
      <c r="AY79" s="10">
        <f t="shared" ca="1" si="69"/>
        <v>0</v>
      </c>
      <c r="AZ79" s="10">
        <f t="shared" ca="1" si="69"/>
        <v>0</v>
      </c>
      <c r="BA79" s="10">
        <f t="shared" ca="1" si="69"/>
        <v>0</v>
      </c>
      <c r="BB79" s="10">
        <f t="shared" ca="1" si="69"/>
        <v>0</v>
      </c>
      <c r="BC79" s="10">
        <f t="shared" ca="1" si="69"/>
        <v>0</v>
      </c>
      <c r="BD79" s="10">
        <f t="shared" ca="1" si="69"/>
        <v>0</v>
      </c>
      <c r="BE79" s="10">
        <f t="shared" ca="1" si="69"/>
        <v>0</v>
      </c>
      <c r="BF79" s="10">
        <f t="shared" ca="1" si="69"/>
        <v>0</v>
      </c>
      <c r="BG79" s="10">
        <f t="shared" ca="1" si="69"/>
        <v>0</v>
      </c>
      <c r="BH79" s="10">
        <f t="shared" ca="1" si="69"/>
        <v>0</v>
      </c>
      <c r="BI79" s="10">
        <f t="shared" ca="1" si="69"/>
        <v>0</v>
      </c>
      <c r="BJ79" s="10">
        <f t="shared" ca="1" si="69"/>
        <v>0</v>
      </c>
      <c r="BK79" s="10">
        <f t="shared" ca="1" si="69"/>
        <v>0</v>
      </c>
      <c r="BL79" s="10">
        <f t="shared" ca="1" si="69"/>
        <v>0</v>
      </c>
      <c r="BM79" s="10">
        <f t="shared" ca="1" si="69"/>
        <v>0</v>
      </c>
      <c r="BN79" s="10">
        <f t="shared" ca="1" si="69"/>
        <v>0</v>
      </c>
      <c r="BO79" s="10">
        <f t="shared" ca="1" si="69"/>
        <v>0</v>
      </c>
      <c r="BP79" s="10">
        <f t="shared" ca="1" si="69"/>
        <v>0</v>
      </c>
      <c r="BQ79" s="10">
        <f t="shared" ca="1" si="69"/>
        <v>0</v>
      </c>
      <c r="BR79" s="10">
        <f t="shared" ca="1" si="69"/>
        <v>0</v>
      </c>
      <c r="BS79" s="10">
        <f t="shared" ca="1" si="69"/>
        <v>0</v>
      </c>
      <c r="BT79" s="10">
        <f t="shared" ca="1" si="69"/>
        <v>0</v>
      </c>
      <c r="BU79" s="10">
        <f t="shared" ca="1" si="69"/>
        <v>0</v>
      </c>
      <c r="BV79" s="10">
        <f t="shared" ca="1" si="69"/>
        <v>0</v>
      </c>
      <c r="BW79" s="10">
        <f t="shared" ca="1" si="69"/>
        <v>0</v>
      </c>
      <c r="BX79" s="10">
        <f t="shared" ca="1" si="69"/>
        <v>0</v>
      </c>
      <c r="BY79" s="10">
        <f t="shared" ref="BY79:CM79" ca="1" si="70" xml:space="preserve"> BY63 * $E$95</f>
        <v>0</v>
      </c>
      <c r="BZ79" s="10">
        <f t="shared" ca="1" si="70"/>
        <v>0</v>
      </c>
      <c r="CA79" s="10">
        <f t="shared" ca="1" si="70"/>
        <v>0</v>
      </c>
      <c r="CB79" s="10">
        <f t="shared" ca="1" si="70"/>
        <v>0</v>
      </c>
      <c r="CC79" s="10">
        <f t="shared" ca="1" si="70"/>
        <v>0</v>
      </c>
      <c r="CD79" s="10">
        <f t="shared" ca="1" si="70"/>
        <v>0</v>
      </c>
      <c r="CE79" s="10">
        <f t="shared" ca="1" si="70"/>
        <v>0</v>
      </c>
      <c r="CF79" s="10">
        <f t="shared" ca="1" si="70"/>
        <v>0</v>
      </c>
      <c r="CG79" s="10">
        <f t="shared" ca="1" si="70"/>
        <v>0</v>
      </c>
      <c r="CH79" s="10">
        <f t="shared" ca="1" si="70"/>
        <v>0</v>
      </c>
      <c r="CI79" s="10">
        <f t="shared" ca="1" si="70"/>
        <v>0</v>
      </c>
      <c r="CJ79" s="10">
        <f t="shared" ca="1" si="70"/>
        <v>0</v>
      </c>
      <c r="CK79" s="10">
        <f t="shared" ca="1" si="70"/>
        <v>0</v>
      </c>
      <c r="CL79" s="10">
        <f t="shared" ca="1" si="70"/>
        <v>0</v>
      </c>
      <c r="CM79" s="10">
        <f t="shared" ca="1" si="70"/>
        <v>0</v>
      </c>
      <c r="CN79" s="10">
        <f ca="1" xml:space="preserve"> CN63 * $E$95</f>
        <v>0</v>
      </c>
      <c r="CO79" s="10">
        <f ca="1" xml:space="preserve"> CO63 * $E$95</f>
        <v>0</v>
      </c>
    </row>
    <row r="80" spans="1:1019 1104:2031 2116:3043 3128:4055 4140:5067 5152:6079 6164:7091 7176:8188 8193:9207 9292:10219 10304:11231 11316:12243 12328:13255 13340:14267 14352:15279 15364:16383" ht="14.65" customHeight="1">
      <c r="A80" s="47"/>
      <c r="B80" s="47"/>
      <c r="C80" s="17" t="s">
        <v>1006</v>
      </c>
      <c r="D80" s="47"/>
      <c r="E80" s="47"/>
      <c r="F80" s="47"/>
      <c r="G80" s="11" t="str">
        <f t="shared" si="63"/>
        <v>тыс. руб.</v>
      </c>
      <c r="H80" s="47"/>
      <c r="I80" s="23">
        <f t="shared" ca="1" si="64"/>
        <v>0</v>
      </c>
      <c r="J80" s="47"/>
      <c r="K80" s="47"/>
      <c r="L80" s="10">
        <f ca="1" xml:space="preserve"> L64 * $E$98</f>
        <v>0</v>
      </c>
      <c r="M80" s="10">
        <f t="shared" ref="M80:BX80" ca="1" si="71" xml:space="preserve"> M64 * $E$98</f>
        <v>0</v>
      </c>
      <c r="N80" s="10">
        <f t="shared" ca="1" si="71"/>
        <v>0</v>
      </c>
      <c r="O80" s="10">
        <f t="shared" ca="1" si="71"/>
        <v>0</v>
      </c>
      <c r="P80" s="10">
        <f t="shared" ca="1" si="71"/>
        <v>0</v>
      </c>
      <c r="Q80" s="10">
        <f t="shared" ca="1" si="71"/>
        <v>0</v>
      </c>
      <c r="R80" s="10">
        <f t="shared" ca="1" si="71"/>
        <v>0</v>
      </c>
      <c r="S80" s="10">
        <f t="shared" ca="1" si="71"/>
        <v>0</v>
      </c>
      <c r="T80" s="10">
        <f t="shared" ca="1" si="71"/>
        <v>0</v>
      </c>
      <c r="U80" s="10">
        <f t="shared" ca="1" si="71"/>
        <v>0</v>
      </c>
      <c r="V80" s="10">
        <f t="shared" ca="1" si="71"/>
        <v>0</v>
      </c>
      <c r="W80" s="10">
        <f t="shared" ca="1" si="71"/>
        <v>0</v>
      </c>
      <c r="X80" s="10">
        <f t="shared" ca="1" si="71"/>
        <v>0</v>
      </c>
      <c r="Y80" s="10">
        <f t="shared" ca="1" si="71"/>
        <v>0</v>
      </c>
      <c r="Z80" s="10">
        <f t="shared" ca="1" si="71"/>
        <v>0</v>
      </c>
      <c r="AA80" s="10">
        <f t="shared" ca="1" si="71"/>
        <v>0</v>
      </c>
      <c r="AB80" s="10">
        <f t="shared" ca="1" si="71"/>
        <v>0</v>
      </c>
      <c r="AC80" s="10">
        <f t="shared" ca="1" si="71"/>
        <v>0</v>
      </c>
      <c r="AD80" s="10">
        <f t="shared" ca="1" si="71"/>
        <v>0</v>
      </c>
      <c r="AE80" s="10">
        <f t="shared" ca="1" si="71"/>
        <v>0</v>
      </c>
      <c r="AF80" s="10">
        <f t="shared" ca="1" si="71"/>
        <v>0</v>
      </c>
      <c r="AG80" s="10">
        <f t="shared" ca="1" si="71"/>
        <v>0</v>
      </c>
      <c r="AH80" s="10">
        <f t="shared" ca="1" si="71"/>
        <v>0</v>
      </c>
      <c r="AI80" s="10">
        <f t="shared" ca="1" si="71"/>
        <v>0</v>
      </c>
      <c r="AJ80" s="10">
        <f t="shared" ca="1" si="71"/>
        <v>0</v>
      </c>
      <c r="AK80" s="10">
        <f t="shared" ca="1" si="71"/>
        <v>0</v>
      </c>
      <c r="AL80" s="10">
        <f t="shared" ca="1" si="71"/>
        <v>0</v>
      </c>
      <c r="AM80" s="10">
        <f t="shared" ca="1" si="71"/>
        <v>0</v>
      </c>
      <c r="AN80" s="10">
        <f t="shared" ca="1" si="71"/>
        <v>0</v>
      </c>
      <c r="AO80" s="10">
        <f t="shared" ca="1" si="71"/>
        <v>0</v>
      </c>
      <c r="AP80" s="10">
        <f t="shared" ca="1" si="71"/>
        <v>0</v>
      </c>
      <c r="AQ80" s="10">
        <f t="shared" ca="1" si="71"/>
        <v>0</v>
      </c>
      <c r="AR80" s="10">
        <f t="shared" ca="1" si="71"/>
        <v>0</v>
      </c>
      <c r="AS80" s="10">
        <f t="shared" ca="1" si="71"/>
        <v>0</v>
      </c>
      <c r="AT80" s="10">
        <f t="shared" ca="1" si="71"/>
        <v>0</v>
      </c>
      <c r="AU80" s="10">
        <f t="shared" ca="1" si="71"/>
        <v>0</v>
      </c>
      <c r="AV80" s="10">
        <f t="shared" ca="1" si="71"/>
        <v>0</v>
      </c>
      <c r="AW80" s="10">
        <f t="shared" ca="1" si="71"/>
        <v>0</v>
      </c>
      <c r="AX80" s="10">
        <f t="shared" ca="1" si="71"/>
        <v>0</v>
      </c>
      <c r="AY80" s="10">
        <f t="shared" ca="1" si="71"/>
        <v>0</v>
      </c>
      <c r="AZ80" s="10">
        <f t="shared" ca="1" si="71"/>
        <v>0</v>
      </c>
      <c r="BA80" s="10">
        <f t="shared" ca="1" si="71"/>
        <v>0</v>
      </c>
      <c r="BB80" s="10">
        <f t="shared" ca="1" si="71"/>
        <v>0</v>
      </c>
      <c r="BC80" s="10">
        <f t="shared" ca="1" si="71"/>
        <v>0</v>
      </c>
      <c r="BD80" s="10">
        <f t="shared" ca="1" si="71"/>
        <v>0</v>
      </c>
      <c r="BE80" s="10">
        <f t="shared" ca="1" si="71"/>
        <v>0</v>
      </c>
      <c r="BF80" s="10">
        <f t="shared" ca="1" si="71"/>
        <v>0</v>
      </c>
      <c r="BG80" s="10">
        <f t="shared" ca="1" si="71"/>
        <v>0</v>
      </c>
      <c r="BH80" s="10">
        <f t="shared" ca="1" si="71"/>
        <v>0</v>
      </c>
      <c r="BI80" s="10">
        <f t="shared" ca="1" si="71"/>
        <v>0</v>
      </c>
      <c r="BJ80" s="10">
        <f t="shared" ca="1" si="71"/>
        <v>0</v>
      </c>
      <c r="BK80" s="10">
        <f t="shared" ca="1" si="71"/>
        <v>0</v>
      </c>
      <c r="BL80" s="10">
        <f t="shared" ca="1" si="71"/>
        <v>0</v>
      </c>
      <c r="BM80" s="10">
        <f t="shared" ca="1" si="71"/>
        <v>0</v>
      </c>
      <c r="BN80" s="10">
        <f t="shared" ca="1" si="71"/>
        <v>0</v>
      </c>
      <c r="BO80" s="10">
        <f t="shared" ca="1" si="71"/>
        <v>0</v>
      </c>
      <c r="BP80" s="10">
        <f t="shared" ca="1" si="71"/>
        <v>0</v>
      </c>
      <c r="BQ80" s="10">
        <f t="shared" ca="1" si="71"/>
        <v>0</v>
      </c>
      <c r="BR80" s="10">
        <f t="shared" ca="1" si="71"/>
        <v>0</v>
      </c>
      <c r="BS80" s="10">
        <f t="shared" ca="1" si="71"/>
        <v>0</v>
      </c>
      <c r="BT80" s="10">
        <f t="shared" ca="1" si="71"/>
        <v>0</v>
      </c>
      <c r="BU80" s="10">
        <f t="shared" ca="1" si="71"/>
        <v>0</v>
      </c>
      <c r="BV80" s="10">
        <f t="shared" ca="1" si="71"/>
        <v>0</v>
      </c>
      <c r="BW80" s="10">
        <f t="shared" ca="1" si="71"/>
        <v>0</v>
      </c>
      <c r="BX80" s="10">
        <f t="shared" ca="1" si="71"/>
        <v>0</v>
      </c>
      <c r="BY80" s="10">
        <f t="shared" ref="BY80:CM80" ca="1" si="72" xml:space="preserve"> BY64 * $E$98</f>
        <v>0</v>
      </c>
      <c r="BZ80" s="10">
        <f t="shared" ca="1" si="72"/>
        <v>0</v>
      </c>
      <c r="CA80" s="10">
        <f t="shared" ca="1" si="72"/>
        <v>0</v>
      </c>
      <c r="CB80" s="10">
        <f t="shared" ca="1" si="72"/>
        <v>0</v>
      </c>
      <c r="CC80" s="10">
        <f t="shared" ca="1" si="72"/>
        <v>0</v>
      </c>
      <c r="CD80" s="10">
        <f t="shared" ca="1" si="72"/>
        <v>0</v>
      </c>
      <c r="CE80" s="10">
        <f t="shared" ca="1" si="72"/>
        <v>0</v>
      </c>
      <c r="CF80" s="10">
        <f t="shared" ca="1" si="72"/>
        <v>0</v>
      </c>
      <c r="CG80" s="10">
        <f t="shared" ca="1" si="72"/>
        <v>0</v>
      </c>
      <c r="CH80" s="10">
        <f t="shared" ca="1" si="72"/>
        <v>0</v>
      </c>
      <c r="CI80" s="10">
        <f t="shared" ca="1" si="72"/>
        <v>0</v>
      </c>
      <c r="CJ80" s="10">
        <f t="shared" ca="1" si="72"/>
        <v>0</v>
      </c>
      <c r="CK80" s="10">
        <f t="shared" ca="1" si="72"/>
        <v>0</v>
      </c>
      <c r="CL80" s="10">
        <f t="shared" ca="1" si="72"/>
        <v>0</v>
      </c>
      <c r="CM80" s="10">
        <f t="shared" ca="1" si="72"/>
        <v>0</v>
      </c>
      <c r="CN80" s="10">
        <f ca="1" xml:space="preserve"> CN64 * $E$98</f>
        <v>0</v>
      </c>
      <c r="CO80" s="10">
        <f ca="1" xml:space="preserve"> CO64 * $E$98</f>
        <v>0</v>
      </c>
    </row>
    <row r="81" spans="1:1019 1104:2031 2116:3043 3128:4055 4140:5067 5152:6079 6164:7091 7176:8188 8193:9207 9292:10219 10304:11231 11316:12243 12328:13255 13340:14267 14352:15279 15364:16383" ht="14.65" customHeight="1" thickBot="1">
      <c r="A81" s="47"/>
      <c r="B81" s="47"/>
      <c r="C81" s="17" t="s">
        <v>1007</v>
      </c>
      <c r="D81" s="47"/>
      <c r="E81" s="47"/>
      <c r="F81" s="47"/>
      <c r="G81" s="11" t="str">
        <f t="shared" si="63"/>
        <v>тыс. руб.</v>
      </c>
      <c r="H81" s="47"/>
      <c r="I81" s="23">
        <f t="shared" ca="1" si="64"/>
        <v>447648.48053231894</v>
      </c>
      <c r="J81" s="47"/>
      <c r="K81" s="47"/>
      <c r="L81" s="10">
        <f ca="1" xml:space="preserve"> L65 * $E$101</f>
        <v>0</v>
      </c>
      <c r="M81" s="10">
        <f t="shared" ref="M81:BX81" ca="1" si="73" xml:space="preserve"> M65 * $E$101</f>
        <v>0</v>
      </c>
      <c r="N81" s="10">
        <f t="shared" ca="1" si="73"/>
        <v>0</v>
      </c>
      <c r="O81" s="10">
        <f t="shared" ca="1" si="73"/>
        <v>0</v>
      </c>
      <c r="P81" s="10">
        <f t="shared" ca="1" si="73"/>
        <v>0</v>
      </c>
      <c r="Q81" s="10">
        <f t="shared" ca="1" si="73"/>
        <v>0</v>
      </c>
      <c r="R81" s="10">
        <f t="shared" ca="1" si="73"/>
        <v>0</v>
      </c>
      <c r="S81" s="10">
        <f t="shared" ca="1" si="73"/>
        <v>0</v>
      </c>
      <c r="T81" s="10">
        <f t="shared" ca="1" si="73"/>
        <v>0</v>
      </c>
      <c r="U81" s="10">
        <f t="shared" ca="1" si="73"/>
        <v>0</v>
      </c>
      <c r="V81" s="10">
        <f t="shared" ca="1" si="73"/>
        <v>0</v>
      </c>
      <c r="W81" s="10">
        <f t="shared" ca="1" si="73"/>
        <v>0</v>
      </c>
      <c r="X81" s="10">
        <f t="shared" ca="1" si="73"/>
        <v>0</v>
      </c>
      <c r="Y81" s="10">
        <f t="shared" ca="1" si="73"/>
        <v>0</v>
      </c>
      <c r="Z81" s="10">
        <f t="shared" ca="1" si="73"/>
        <v>0</v>
      </c>
      <c r="AA81" s="10">
        <f t="shared" ca="1" si="73"/>
        <v>0</v>
      </c>
      <c r="AB81" s="10">
        <f t="shared" ca="1" si="73"/>
        <v>0</v>
      </c>
      <c r="AC81" s="10">
        <f t="shared" ca="1" si="73"/>
        <v>3869.5772886875634</v>
      </c>
      <c r="AD81" s="10">
        <f t="shared" ca="1" si="73"/>
        <v>6736.8817843312945</v>
      </c>
      <c r="AE81" s="10">
        <f t="shared" ca="1" si="73"/>
        <v>2868.8970245798178</v>
      </c>
      <c r="AF81" s="10">
        <f t="shared" ca="1" si="73"/>
        <v>2663.439756738569</v>
      </c>
      <c r="AG81" s="10">
        <f t="shared" ca="1" si="73"/>
        <v>4513.7424758562438</v>
      </c>
      <c r="AH81" s="10">
        <f t="shared" ca="1" si="73"/>
        <v>7833.2268115672368</v>
      </c>
      <c r="AI81" s="10">
        <f t="shared" ca="1" si="73"/>
        <v>3325.6835266837047</v>
      </c>
      <c r="AJ81" s="10">
        <f t="shared" ca="1" si="73"/>
        <v>3078.6666624433251</v>
      </c>
      <c r="AK81" s="10">
        <f t="shared" ca="1" si="73"/>
        <v>5203.2495543365194</v>
      </c>
      <c r="AL81" s="10">
        <f t="shared" ca="1" si="73"/>
        <v>9006.5004301271256</v>
      </c>
      <c r="AM81" s="10">
        <f t="shared" ca="1" si="73"/>
        <v>3814.4227137165758</v>
      </c>
      <c r="AN81" s="10">
        <f t="shared" ca="1" si="73"/>
        <v>3561.992997182499</v>
      </c>
      <c r="AO81" s="10">
        <f t="shared" ca="1" si="73"/>
        <v>5940.6952111338442</v>
      </c>
      <c r="AP81" s="10">
        <f t="shared" ca="1" si="73"/>
        <v>10037.51719328802</v>
      </c>
      <c r="AQ81" s="10">
        <f t="shared" ca="1" si="73"/>
        <v>4151.9697821673089</v>
      </c>
      <c r="AR81" s="10">
        <f t="shared" ca="1" si="73"/>
        <v>3747.2338165671081</v>
      </c>
      <c r="AS81" s="10">
        <f t="shared" ca="1" si="73"/>
        <v>6178.3230195791975</v>
      </c>
      <c r="AT81" s="10">
        <f t="shared" ca="1" si="73"/>
        <v>10439.017881019541</v>
      </c>
      <c r="AU81" s="10">
        <f t="shared" ca="1" si="73"/>
        <v>4318.0485734540007</v>
      </c>
      <c r="AV81" s="10">
        <f t="shared" ca="1" si="73"/>
        <v>3897.1231692297915</v>
      </c>
      <c r="AW81" s="10">
        <f t="shared" ca="1" si="73"/>
        <v>6425.4559403623643</v>
      </c>
      <c r="AX81" s="10">
        <f t="shared" ca="1" si="73"/>
        <v>10856.578596260324</v>
      </c>
      <c r="AY81" s="10">
        <f t="shared" ca="1" si="73"/>
        <v>4490.7705163921601</v>
      </c>
      <c r="AZ81" s="10">
        <f t="shared" ca="1" si="73"/>
        <v>4053.0080959989828</v>
      </c>
      <c r="BA81" s="10">
        <f t="shared" ca="1" si="73"/>
        <v>6682.4741779768574</v>
      </c>
      <c r="BB81" s="10">
        <f t="shared" ca="1" si="73"/>
        <v>11290.841740110731</v>
      </c>
      <c r="BC81" s="10">
        <f t="shared" ca="1" si="73"/>
        <v>4670.4013370478451</v>
      </c>
      <c r="BD81" s="10">
        <f t="shared" ca="1" si="73"/>
        <v>4261.9631800593743</v>
      </c>
      <c r="BE81" s="10">
        <f t="shared" ca="1" si="73"/>
        <v>6949.77314509593</v>
      </c>
      <c r="BF81" s="10">
        <f t="shared" ca="1" si="73"/>
        <v>11742.47540971516</v>
      </c>
      <c r="BG81" s="10">
        <f t="shared" ca="1" si="73"/>
        <v>4857.2173905297577</v>
      </c>
      <c r="BH81" s="10">
        <f t="shared" ca="1" si="73"/>
        <v>4383.7335566324982</v>
      </c>
      <c r="BI81" s="10">
        <f t="shared" ca="1" si="73"/>
        <v>7227.7640708997669</v>
      </c>
      <c r="BJ81" s="10">
        <f t="shared" ca="1" si="73"/>
        <v>12212.174426103764</v>
      </c>
      <c r="BK81" s="10">
        <f t="shared" ca="1" si="73"/>
        <v>5051.5060861509501</v>
      </c>
      <c r="BL81" s="10">
        <f t="shared" ca="1" si="73"/>
        <v>4559.0828988977983</v>
      </c>
      <c r="BM81" s="10">
        <f t="shared" ca="1" si="73"/>
        <v>7516.874633735757</v>
      </c>
      <c r="BN81" s="10">
        <f t="shared" ca="1" si="73"/>
        <v>12700.661403147911</v>
      </c>
      <c r="BO81" s="10">
        <f t="shared" ca="1" si="73"/>
        <v>5253.5663295969853</v>
      </c>
      <c r="BP81" s="10">
        <f t="shared" ca="1" si="73"/>
        <v>4741.4462148537095</v>
      </c>
      <c r="BQ81" s="10">
        <f t="shared" ca="1" si="73"/>
        <v>7817.5496190851845</v>
      </c>
      <c r="BR81" s="10">
        <f t="shared" ca="1" si="73"/>
        <v>13208.687859273827</v>
      </c>
      <c r="BS81" s="10">
        <f t="shared" ca="1" si="73"/>
        <v>5463.7089827808641</v>
      </c>
      <c r="BT81" s="10">
        <f t="shared" ca="1" si="73"/>
        <v>4985.8941085972765</v>
      </c>
      <c r="BU81" s="10">
        <f t="shared" ca="1" si="73"/>
        <v>8130.251603848591</v>
      </c>
      <c r="BV81" s="10">
        <f t="shared" ca="1" si="73"/>
        <v>13737.035373644776</v>
      </c>
      <c r="BW81" s="10">
        <f t="shared" ca="1" si="73"/>
        <v>5682.2573420920971</v>
      </c>
      <c r="BX81" s="10">
        <f t="shared" ca="1" si="73"/>
        <v>5128.3482259857701</v>
      </c>
      <c r="BY81" s="10">
        <f t="shared" ref="BY81:CM81" ca="1" si="74" xml:space="preserve"> BY65 * $E$101</f>
        <v>8455.4616680025338</v>
      </c>
      <c r="BZ81" s="10">
        <f t="shared" ca="1" si="74"/>
        <v>14286.516788590565</v>
      </c>
      <c r="CA81" s="10">
        <f t="shared" ca="1" si="74"/>
        <v>5909.5476357757807</v>
      </c>
      <c r="CB81" s="10">
        <f t="shared" ca="1" si="74"/>
        <v>5333.4821550252009</v>
      </c>
      <c r="CC81" s="10">
        <f t="shared" ca="1" si="74"/>
        <v>8793.6801347226337</v>
      </c>
      <c r="CD81" s="10">
        <f t="shared" ca="1" si="74"/>
        <v>14857.977460134191</v>
      </c>
      <c r="CE81" s="10">
        <f t="shared" ca="1" si="74"/>
        <v>6145.9295412068122</v>
      </c>
      <c r="CF81" s="10">
        <f t="shared" ca="1" si="74"/>
        <v>5546.8214412262068</v>
      </c>
      <c r="CG81" s="10">
        <f t="shared" ca="1" si="74"/>
        <v>9145.4273401115388</v>
      </c>
      <c r="CH81" s="10">
        <f t="shared" ca="1" si="74"/>
        <v>15452.296558539554</v>
      </c>
      <c r="CI81" s="10">
        <f t="shared" ca="1" si="74"/>
        <v>6391.7667228550836</v>
      </c>
      <c r="CJ81" s="10">
        <f t="shared" ca="1" si="74"/>
        <v>5832.7909021960922</v>
      </c>
      <c r="CK81" s="10">
        <f t="shared" ca="1" si="74"/>
        <v>9511.2444337160014</v>
      </c>
      <c r="CL81" s="10">
        <f t="shared" ca="1" si="74"/>
        <v>16070.388420881136</v>
      </c>
      <c r="CM81" s="10">
        <f t="shared" ca="1" si="74"/>
        <v>6647.4373917692865</v>
      </c>
      <c r="CN81" s="10">
        <f ca="1" xml:space="preserve"> CN65 * $E$101</f>
        <v>5999.4420708302659</v>
      </c>
      <c r="CO81" s="10">
        <f ca="1" xml:space="preserve"> CO65 * $E$101</f>
        <v>9891.6942110646378</v>
      </c>
    </row>
    <row r="82" spans="1:1019 1104:2031 2116:3043 3128:4055 4140:5067 5152:6079 6164:7091 7176:8188 8193:9207 9292:10219 10304:11231 11316:12243 12328:13255 13340:14267 14352:15279 15364:16383" s="141" customFormat="1" ht="15" customHeight="1" thickTop="1">
      <c r="A82" s="153"/>
      <c r="B82" s="153"/>
      <c r="C82" s="49" t="s">
        <v>1012</v>
      </c>
      <c r="D82" s="49"/>
      <c r="E82" s="49"/>
      <c r="F82" s="49"/>
      <c r="G82" s="159" t="str">
        <f t="shared" si="63"/>
        <v>тыс. руб.</v>
      </c>
      <c r="H82" s="49"/>
      <c r="I82" s="176">
        <f t="shared" ca="1" si="64"/>
        <v>1535468.3136630263</v>
      </c>
      <c r="J82" s="49"/>
      <c r="K82" s="49"/>
      <c r="L82" s="49">
        <f ca="1">SUM(L77:L81)</f>
        <v>0</v>
      </c>
      <c r="M82" s="49">
        <f t="shared" ref="M82:BX82" ca="1" si="75">SUM(M77:M81)</f>
        <v>0</v>
      </c>
      <c r="N82" s="49">
        <f t="shared" ca="1" si="75"/>
        <v>0</v>
      </c>
      <c r="O82" s="49">
        <f t="shared" ca="1" si="75"/>
        <v>0</v>
      </c>
      <c r="P82" s="49">
        <f t="shared" ca="1" si="75"/>
        <v>0</v>
      </c>
      <c r="Q82" s="49">
        <f t="shared" ca="1" si="75"/>
        <v>0</v>
      </c>
      <c r="R82" s="49">
        <f t="shared" ca="1" si="75"/>
        <v>0</v>
      </c>
      <c r="S82" s="49">
        <f t="shared" ca="1" si="75"/>
        <v>0</v>
      </c>
      <c r="T82" s="49">
        <f t="shared" ca="1" si="75"/>
        <v>0</v>
      </c>
      <c r="U82" s="49">
        <f t="shared" ca="1" si="75"/>
        <v>0</v>
      </c>
      <c r="V82" s="49">
        <f t="shared" ca="1" si="75"/>
        <v>0</v>
      </c>
      <c r="W82" s="49">
        <f t="shared" ca="1" si="75"/>
        <v>0</v>
      </c>
      <c r="X82" s="49">
        <f t="shared" ca="1" si="75"/>
        <v>0</v>
      </c>
      <c r="Y82" s="49">
        <f t="shared" ca="1" si="75"/>
        <v>0</v>
      </c>
      <c r="Z82" s="49">
        <f t="shared" ca="1" si="75"/>
        <v>0</v>
      </c>
      <c r="AA82" s="49">
        <f t="shared" ca="1" si="75"/>
        <v>0</v>
      </c>
      <c r="AB82" s="49">
        <f t="shared" ca="1" si="75"/>
        <v>0</v>
      </c>
      <c r="AC82" s="49">
        <f t="shared" ca="1" si="75"/>
        <v>3869.5772886875634</v>
      </c>
      <c r="AD82" s="49">
        <f t="shared" ca="1" si="75"/>
        <v>8175.4718785351724</v>
      </c>
      <c r="AE82" s="49">
        <f t="shared" ca="1" si="75"/>
        <v>2896.6873639593623</v>
      </c>
      <c r="AF82" s="49">
        <f t="shared" ca="1" si="75"/>
        <v>2663.439756738569</v>
      </c>
      <c r="AG82" s="49">
        <f t="shared" ca="1" si="75"/>
        <v>5086.6888569122184</v>
      </c>
      <c r="AH82" s="49">
        <f t="shared" ca="1" si="75"/>
        <v>9683.8705479788387</v>
      </c>
      <c r="AI82" s="49">
        <f t="shared" ca="1" si="75"/>
        <v>3519.0504633940473</v>
      </c>
      <c r="AJ82" s="49">
        <f t="shared" ca="1" si="75"/>
        <v>3213.3639015813524</v>
      </c>
      <c r="AK82" s="49">
        <f t="shared" ca="1" si="75"/>
        <v>6089.3596715759031</v>
      </c>
      <c r="AL82" s="49">
        <f t="shared" ca="1" si="75"/>
        <v>11479.080013130701</v>
      </c>
      <c r="AM82" s="49">
        <f t="shared" ca="1" si="75"/>
        <v>4229.0172918277376</v>
      </c>
      <c r="AN82" s="49">
        <f t="shared" ca="1" si="75"/>
        <v>3896.8439982198829</v>
      </c>
      <c r="AO82" s="49">
        <f t="shared" ca="1" si="75"/>
        <v>7128.5703614682907</v>
      </c>
      <c r="AP82" s="49">
        <f t="shared" ca="1" si="75"/>
        <v>12954.895656445617</v>
      </c>
      <c r="AQ82" s="49">
        <f t="shared" ca="1" si="75"/>
        <v>4916.6348951559748</v>
      </c>
      <c r="AR82" s="49">
        <f t="shared" ca="1" si="75"/>
        <v>4707.0912648631229</v>
      </c>
      <c r="AS82" s="49">
        <f t="shared" ca="1" si="75"/>
        <v>8889.8239874909013</v>
      </c>
      <c r="AT82" s="49">
        <f t="shared" ca="1" si="75"/>
        <v>16754.440977296064</v>
      </c>
      <c r="AU82" s="49">
        <f t="shared" ca="1" si="75"/>
        <v>9613.2552686382296</v>
      </c>
      <c r="AV82" s="49">
        <f t="shared" ca="1" si="75"/>
        <v>8594.2573875928538</v>
      </c>
      <c r="AW82" s="49">
        <f t="shared" ca="1" si="75"/>
        <v>14351.816366779352</v>
      </c>
      <c r="AX82" s="49">
        <f t="shared" ca="1" si="75"/>
        <v>28613.257039696415</v>
      </c>
      <c r="AY82" s="49">
        <f t="shared" ca="1" si="75"/>
        <v>8944.3907573144861</v>
      </c>
      <c r="AZ82" s="49">
        <f t="shared" ca="1" si="75"/>
        <v>7623.8046586168748</v>
      </c>
      <c r="BA82" s="49">
        <f t="shared" ca="1" si="75"/>
        <v>15151.197116847559</v>
      </c>
      <c r="BB82" s="49">
        <f t="shared" ca="1" si="75"/>
        <v>29845.300343100243</v>
      </c>
      <c r="BC82" s="49">
        <f t="shared" ca="1" si="75"/>
        <v>9389.6794094230354</v>
      </c>
      <c r="BD82" s="49">
        <f t="shared" ca="1" si="75"/>
        <v>8128.3752040106656</v>
      </c>
      <c r="BE82" s="49">
        <f t="shared" ca="1" si="75"/>
        <v>16750.573207638616</v>
      </c>
      <c r="BF82" s="49">
        <f t="shared" ca="1" si="75"/>
        <v>32032.507696450044</v>
      </c>
      <c r="BG82" s="49">
        <f t="shared" ca="1" si="75"/>
        <v>10758.662417334865</v>
      </c>
      <c r="BH82" s="49">
        <f t="shared" ca="1" si="75"/>
        <v>9329.6247224287108</v>
      </c>
      <c r="BI82" s="49">
        <f t="shared" ca="1" si="75"/>
        <v>17471.378644803775</v>
      </c>
      <c r="BJ82" s="49">
        <f t="shared" ca="1" si="75"/>
        <v>33364.646933871409</v>
      </c>
      <c r="BK82" s="49">
        <f t="shared" ca="1" si="75"/>
        <v>11239.847332006169</v>
      </c>
      <c r="BL82" s="49">
        <f t="shared" ca="1" si="75"/>
        <v>9753.981228143648</v>
      </c>
      <c r="BM82" s="49">
        <f t="shared" ca="1" si="75"/>
        <v>18221.467189547409</v>
      </c>
      <c r="BN82" s="49">
        <f t="shared" ca="1" si="75"/>
        <v>34750.528092311448</v>
      </c>
      <c r="BO82" s="49">
        <f t="shared" ca="1" si="75"/>
        <v>19618.014578169365</v>
      </c>
      <c r="BP82" s="49">
        <f t="shared" ca="1" si="75"/>
        <v>16817.863297442098</v>
      </c>
      <c r="BQ82" s="49">
        <f t="shared" ca="1" si="75"/>
        <v>32582.14243100402</v>
      </c>
      <c r="BR82" s="49">
        <f t="shared" ca="1" si="75"/>
        <v>72831.348752119942</v>
      </c>
      <c r="BS82" s="49">
        <f t="shared" ca="1" si="75"/>
        <v>29136.475209437758</v>
      </c>
      <c r="BT82" s="49">
        <f t="shared" ca="1" si="75"/>
        <v>26221.956694885572</v>
      </c>
      <c r="BU82" s="49">
        <f t="shared" ca="1" si="75"/>
        <v>42283.579348728686</v>
      </c>
      <c r="BV82" s="49">
        <f t="shared" ca="1" si="75"/>
        <v>75042.368093631769</v>
      </c>
      <c r="BW82" s="49">
        <f t="shared" ca="1" si="75"/>
        <v>29604.453898308413</v>
      </c>
      <c r="BX82" s="49">
        <f t="shared" ca="1" si="75"/>
        <v>26310.063682998149</v>
      </c>
      <c r="BY82" s="49">
        <f t="shared" ref="BY82:CM82" ca="1" si="76">SUM(BY77:BY81)</f>
        <v>43338.621056367039</v>
      </c>
      <c r="BZ82" s="49">
        <f t="shared" ca="1" si="76"/>
        <v>77403.791143508322</v>
      </c>
      <c r="CA82" s="49">
        <f t="shared" ca="1" si="76"/>
        <v>30152.492111529435</v>
      </c>
      <c r="CB82" s="49">
        <f t="shared" ca="1" si="76"/>
        <v>26724.986665500022</v>
      </c>
      <c r="CC82" s="49">
        <f t="shared" ca="1" si="76"/>
        <v>44430.882024179547</v>
      </c>
      <c r="CD82" s="49">
        <f t="shared" ca="1" si="76"/>
        <v>79854.95132504373</v>
      </c>
      <c r="CE82" s="49">
        <f t="shared" ca="1" si="76"/>
        <v>30718.049445406319</v>
      </c>
      <c r="CF82" s="49">
        <f t="shared" ca="1" si="76"/>
        <v>27173.916142339338</v>
      </c>
      <c r="CG82" s="49">
        <f t="shared" ca="1" si="76"/>
        <v>45584.436445464555</v>
      </c>
      <c r="CH82" s="49">
        <f t="shared" ca="1" si="76"/>
        <v>82421.954368323117</v>
      </c>
      <c r="CI82" s="49">
        <f t="shared" ca="1" si="76"/>
        <v>31324.025527120917</v>
      </c>
      <c r="CJ82" s="49">
        <f t="shared" ca="1" si="76"/>
        <v>27976.387055716739</v>
      </c>
      <c r="CK82" s="49">
        <f t="shared" ca="1" si="76"/>
        <v>46784.850387790982</v>
      </c>
      <c r="CL82" s="49">
        <f t="shared" ca="1" si="76"/>
        <v>85092.668137768269</v>
      </c>
      <c r="CM82" s="49">
        <f t="shared" ca="1" si="76"/>
        <v>31955.576648424962</v>
      </c>
      <c r="CN82" s="49">
        <f ca="1">SUM(CN77:CN81)</f>
        <v>28179.290028515185</v>
      </c>
      <c r="CO82" s="49">
        <f ca="1">SUM(CO77:CO81)</f>
        <v>48085.330670533236</v>
      </c>
    </row>
    <row r="83" spans="1:1019 1104:2031 2116:3043 3128:4055 4140:5067 5152:6079 6164:7091 7176:8188 8193:9207 9292:10219 10304:11231 11316:12243 12328:13255 13340:14267 14352:15279 15364:16383" ht="14.65" customHeight="1">
      <c r="A83" s="47"/>
      <c r="B83" s="47"/>
      <c r="C83" s="47"/>
      <c r="D83" s="47"/>
      <c r="E83" s="47"/>
      <c r="F83" s="47"/>
      <c r="G83" s="319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  <c r="BF83" s="47"/>
      <c r="BG83" s="47"/>
      <c r="BH83" s="47"/>
      <c r="BI83" s="47"/>
      <c r="BJ83" s="47"/>
      <c r="BK83" s="47"/>
      <c r="BL83" s="47"/>
      <c r="BM83" s="47"/>
      <c r="BN83" s="47"/>
      <c r="BO83" s="47"/>
      <c r="BP83" s="47"/>
      <c r="BQ83" s="47"/>
      <c r="BR83" s="47"/>
      <c r="BS83" s="47"/>
      <c r="BT83" s="47"/>
      <c r="BU83" s="47"/>
      <c r="BV83" s="47"/>
      <c r="BW83" s="47"/>
      <c r="BX83" s="47"/>
      <c r="BY83" s="47"/>
      <c r="BZ83" s="47"/>
      <c r="CA83" s="47"/>
      <c r="CB83" s="47"/>
      <c r="CC83" s="47"/>
      <c r="CD83" s="47"/>
      <c r="CE83" s="47"/>
      <c r="CF83" s="47"/>
      <c r="CG83" s="47"/>
      <c r="CH83" s="47"/>
      <c r="CI83" s="47"/>
      <c r="CJ83" s="47"/>
      <c r="CK83" s="47"/>
      <c r="CL83" s="47"/>
      <c r="CM83" s="47"/>
      <c r="CN83" s="47"/>
      <c r="CO83" s="47"/>
    </row>
    <row r="84" spans="1:1019 1104:2031 2116:3043 3128:4055 4140:5067 5152:6079 6164:7091 7176:8188 8193:9207 9292:10219 10304:11231 11316:12243 12328:13255 13340:14267 14352:15279 15364:16383" s="10" customFormat="1" ht="14.65" customHeight="1" thickBot="1">
      <c r="C84" s="12" t="s">
        <v>1013</v>
      </c>
      <c r="D84" s="12"/>
      <c r="E84" s="12"/>
      <c r="F84" s="12"/>
      <c r="G84" s="360"/>
      <c r="H84" s="12"/>
      <c r="I84" s="12"/>
      <c r="CS84" s="47"/>
      <c r="CU84" s="11"/>
      <c r="GB84" s="47"/>
      <c r="GG84" s="47"/>
      <c r="GI84" s="11"/>
      <c r="JP84" s="47"/>
      <c r="JU84" s="47"/>
      <c r="JW84" s="11"/>
      <c r="ND84" s="47"/>
      <c r="NI84" s="47"/>
      <c r="NK84" s="11"/>
      <c r="QR84" s="47"/>
      <c r="QW84" s="47"/>
      <c r="QY84" s="11"/>
      <c r="UF84" s="47"/>
      <c r="UK84" s="47"/>
      <c r="UM84" s="11"/>
      <c r="XT84" s="47"/>
      <c r="XY84" s="47"/>
      <c r="YA84" s="11"/>
      <c r="ABH84" s="47"/>
      <c r="ABM84" s="47"/>
      <c r="ABO84" s="11"/>
      <c r="AEV84" s="47"/>
      <c r="AFA84" s="47"/>
      <c r="AFC84" s="11"/>
      <c r="AIJ84" s="47"/>
      <c r="AIO84" s="47"/>
      <c r="AIQ84" s="11"/>
      <c r="ALX84" s="47"/>
      <c r="AMC84" s="47"/>
      <c r="AME84" s="11"/>
      <c r="APL84" s="47"/>
      <c r="APQ84" s="47"/>
      <c r="APS84" s="11"/>
      <c r="ASZ84" s="47"/>
      <c r="ATE84" s="47"/>
      <c r="ATG84" s="11"/>
      <c r="AWN84" s="47"/>
      <c r="AWS84" s="47"/>
      <c r="AWU84" s="11"/>
      <c r="BAB84" s="47"/>
      <c r="BAG84" s="47"/>
      <c r="BAI84" s="11"/>
      <c r="BDP84" s="47"/>
      <c r="BDU84" s="47"/>
      <c r="BDW84" s="11"/>
      <c r="BHD84" s="47"/>
      <c r="BHI84" s="47"/>
      <c r="BHK84" s="11"/>
      <c r="BKR84" s="47"/>
      <c r="BKW84" s="47"/>
      <c r="BKY84" s="11"/>
      <c r="BOF84" s="47"/>
      <c r="BOK84" s="47"/>
      <c r="BOM84" s="11"/>
      <c r="BRT84" s="47"/>
      <c r="BRY84" s="47"/>
      <c r="BSA84" s="11"/>
      <c r="BVH84" s="47"/>
      <c r="BVM84" s="47"/>
      <c r="BVO84" s="11"/>
      <c r="BYV84" s="47"/>
      <c r="BZA84" s="47"/>
      <c r="BZC84" s="11"/>
      <c r="CCJ84" s="47"/>
      <c r="CCO84" s="47"/>
      <c r="CCQ84" s="11"/>
      <c r="CFX84" s="47"/>
      <c r="CGC84" s="47"/>
      <c r="CGE84" s="11"/>
      <c r="CJL84" s="47"/>
      <c r="CJQ84" s="47"/>
      <c r="CJS84" s="11"/>
      <c r="CMZ84" s="47"/>
      <c r="CNE84" s="47"/>
      <c r="CNG84" s="11"/>
      <c r="CQN84" s="47"/>
      <c r="CQS84" s="47"/>
      <c r="CQU84" s="11"/>
      <c r="CUB84" s="47"/>
      <c r="CUG84" s="47"/>
      <c r="CUI84" s="11"/>
      <c r="CXP84" s="47"/>
      <c r="CXU84" s="47"/>
      <c r="CXW84" s="11"/>
      <c r="DBD84" s="47"/>
      <c r="DBI84" s="47"/>
      <c r="DBK84" s="11"/>
      <c r="DER84" s="47"/>
      <c r="DEW84" s="47"/>
      <c r="DEY84" s="11"/>
      <c r="DIF84" s="47"/>
      <c r="DIK84" s="47"/>
      <c r="DIM84" s="11"/>
      <c r="DLT84" s="47"/>
      <c r="DLY84" s="47"/>
      <c r="DMA84" s="11"/>
      <c r="DPH84" s="47"/>
      <c r="DPM84" s="47"/>
      <c r="DPO84" s="11"/>
      <c r="DSV84" s="47"/>
      <c r="DTA84" s="47"/>
      <c r="DTC84" s="11"/>
      <c r="DWJ84" s="47"/>
      <c r="DWO84" s="47"/>
      <c r="DWQ84" s="11"/>
      <c r="DZX84" s="47"/>
      <c r="EAC84" s="47"/>
      <c r="EAE84" s="11"/>
      <c r="EDL84" s="47"/>
      <c r="EDQ84" s="47"/>
      <c r="EDS84" s="11"/>
      <c r="EGZ84" s="47"/>
      <c r="EHE84" s="47"/>
      <c r="EHG84" s="11"/>
      <c r="EKN84" s="47"/>
      <c r="EKS84" s="47"/>
      <c r="EKU84" s="11"/>
      <c r="EOB84" s="47"/>
      <c r="EOG84" s="47"/>
      <c r="EOI84" s="11"/>
      <c r="ERP84" s="47"/>
      <c r="ERU84" s="47"/>
      <c r="ERW84" s="11"/>
      <c r="EVD84" s="47"/>
      <c r="EVI84" s="47"/>
      <c r="EVK84" s="11"/>
      <c r="EYR84" s="47"/>
      <c r="EYW84" s="47"/>
      <c r="EYY84" s="11"/>
      <c r="FCF84" s="47"/>
      <c r="FCK84" s="47"/>
      <c r="FCM84" s="11"/>
      <c r="FFT84" s="47"/>
      <c r="FFY84" s="47"/>
      <c r="FGA84" s="11"/>
      <c r="FJH84" s="47"/>
      <c r="FJM84" s="47"/>
      <c r="FJO84" s="11"/>
      <c r="FMV84" s="47"/>
      <c r="FNA84" s="47"/>
      <c r="FNC84" s="11"/>
      <c r="FQJ84" s="47"/>
      <c r="FQO84" s="47"/>
      <c r="FQQ84" s="11"/>
      <c r="FTX84" s="47"/>
      <c r="FUC84" s="47"/>
      <c r="FUE84" s="11"/>
      <c r="FXL84" s="47"/>
      <c r="FXQ84" s="47"/>
      <c r="FXS84" s="11"/>
      <c r="GAZ84" s="47"/>
      <c r="GBE84" s="47"/>
      <c r="GBG84" s="11"/>
      <c r="GEN84" s="47"/>
      <c r="GES84" s="47"/>
      <c r="GEU84" s="11"/>
      <c r="GIB84" s="47"/>
      <c r="GIG84" s="47"/>
      <c r="GII84" s="11"/>
      <c r="GLP84" s="47"/>
      <c r="GLU84" s="47"/>
      <c r="GLW84" s="11"/>
      <c r="GPD84" s="47"/>
      <c r="GPI84" s="47"/>
      <c r="GPK84" s="11"/>
      <c r="GSR84" s="47"/>
      <c r="GSW84" s="47"/>
      <c r="GSY84" s="11"/>
      <c r="GWF84" s="47"/>
      <c r="GWK84" s="47"/>
      <c r="GWM84" s="11"/>
      <c r="GZT84" s="47"/>
      <c r="GZY84" s="47"/>
      <c r="HAA84" s="11"/>
      <c r="HDH84" s="47"/>
      <c r="HDM84" s="47"/>
      <c r="HDO84" s="11"/>
      <c r="HGV84" s="47"/>
      <c r="HHA84" s="47"/>
      <c r="HHC84" s="11"/>
      <c r="HKJ84" s="47"/>
      <c r="HKO84" s="47"/>
      <c r="HKQ84" s="11"/>
      <c r="HNX84" s="47"/>
      <c r="HOC84" s="47"/>
      <c r="HOE84" s="11"/>
      <c r="HRL84" s="47"/>
      <c r="HRQ84" s="47"/>
      <c r="HRS84" s="11"/>
      <c r="HUZ84" s="47"/>
      <c r="HVE84" s="47"/>
      <c r="HVG84" s="11"/>
      <c r="HYN84" s="47"/>
      <c r="HYS84" s="47"/>
      <c r="HYU84" s="11"/>
      <c r="ICB84" s="47"/>
      <c r="ICG84" s="47"/>
      <c r="ICI84" s="11"/>
      <c r="IFP84" s="47"/>
      <c r="IFU84" s="47"/>
      <c r="IFW84" s="11"/>
      <c r="IJD84" s="47"/>
      <c r="IJI84" s="47"/>
      <c r="IJK84" s="11"/>
      <c r="IMR84" s="47"/>
      <c r="IMW84" s="47"/>
      <c r="IMY84" s="11"/>
      <c r="IQF84" s="47"/>
      <c r="IQK84" s="47"/>
      <c r="IQM84" s="11"/>
      <c r="ITT84" s="47"/>
      <c r="ITY84" s="47"/>
      <c r="IUA84" s="11"/>
      <c r="IXH84" s="47"/>
      <c r="IXM84" s="47"/>
      <c r="IXO84" s="11"/>
      <c r="JAV84" s="47"/>
      <c r="JBA84" s="47"/>
      <c r="JBC84" s="11"/>
      <c r="JEJ84" s="47"/>
      <c r="JEO84" s="47"/>
      <c r="JEQ84" s="11"/>
      <c r="JHX84" s="47"/>
      <c r="JIC84" s="47"/>
      <c r="JIE84" s="11"/>
      <c r="JLL84" s="47"/>
      <c r="JLQ84" s="47"/>
      <c r="JLS84" s="11"/>
      <c r="JOZ84" s="47"/>
      <c r="JPE84" s="47"/>
      <c r="JPG84" s="11"/>
      <c r="JSN84" s="47"/>
      <c r="JSS84" s="47"/>
      <c r="JSU84" s="11"/>
      <c r="JWB84" s="47"/>
      <c r="JWG84" s="47"/>
      <c r="JWI84" s="11"/>
      <c r="JZP84" s="47"/>
      <c r="JZU84" s="47"/>
      <c r="JZW84" s="11"/>
      <c r="KDD84" s="47"/>
      <c r="KDI84" s="47"/>
      <c r="KDK84" s="11"/>
      <c r="KGR84" s="47"/>
      <c r="KGW84" s="47"/>
      <c r="KGY84" s="11"/>
      <c r="KKF84" s="47"/>
      <c r="KKK84" s="47"/>
      <c r="KKM84" s="11"/>
      <c r="KNT84" s="47"/>
      <c r="KNY84" s="47"/>
      <c r="KOA84" s="11"/>
      <c r="KRH84" s="47"/>
      <c r="KRM84" s="47"/>
      <c r="KRO84" s="11"/>
      <c r="KUV84" s="47"/>
      <c r="KVA84" s="47"/>
      <c r="KVC84" s="11"/>
      <c r="KYJ84" s="47"/>
      <c r="KYO84" s="47"/>
      <c r="KYQ84" s="11"/>
      <c r="LBX84" s="47"/>
      <c r="LCC84" s="47"/>
      <c r="LCE84" s="11"/>
      <c r="LFL84" s="47"/>
      <c r="LFQ84" s="47"/>
      <c r="LFS84" s="11"/>
      <c r="LIZ84" s="47"/>
      <c r="LJE84" s="47"/>
      <c r="LJG84" s="11"/>
      <c r="LMN84" s="47"/>
      <c r="LMS84" s="47"/>
      <c r="LMU84" s="11"/>
      <c r="LQB84" s="47"/>
      <c r="LQG84" s="47"/>
      <c r="LQI84" s="11"/>
      <c r="LTP84" s="47"/>
      <c r="LTU84" s="47"/>
      <c r="LTW84" s="11"/>
      <c r="LXD84" s="47"/>
      <c r="LXI84" s="47"/>
      <c r="LXK84" s="11"/>
      <c r="MAR84" s="47"/>
      <c r="MAW84" s="47"/>
      <c r="MAY84" s="11"/>
      <c r="MEF84" s="47"/>
      <c r="MEK84" s="47"/>
      <c r="MEM84" s="11"/>
      <c r="MHT84" s="47"/>
      <c r="MHY84" s="47"/>
      <c r="MIA84" s="11"/>
      <c r="MLH84" s="47"/>
      <c r="MLM84" s="47"/>
      <c r="MLO84" s="11"/>
      <c r="MOV84" s="47"/>
      <c r="MPA84" s="47"/>
      <c r="MPC84" s="11"/>
      <c r="MSJ84" s="47"/>
      <c r="MSO84" s="47"/>
      <c r="MSQ84" s="11"/>
      <c r="MVX84" s="47"/>
      <c r="MWC84" s="47"/>
      <c r="MWE84" s="11"/>
      <c r="MZL84" s="47"/>
      <c r="MZQ84" s="47"/>
      <c r="MZS84" s="11"/>
      <c r="NCZ84" s="47"/>
      <c r="NDE84" s="47"/>
      <c r="NDG84" s="11"/>
      <c r="NGN84" s="47"/>
      <c r="NGS84" s="47"/>
      <c r="NGU84" s="11"/>
      <c r="NKB84" s="47"/>
      <c r="NKG84" s="47"/>
      <c r="NKI84" s="11"/>
      <c r="NNP84" s="47"/>
      <c r="NNU84" s="47"/>
      <c r="NNW84" s="11"/>
      <c r="NRD84" s="47"/>
      <c r="NRI84" s="47"/>
      <c r="NRK84" s="11"/>
      <c r="NUR84" s="47"/>
      <c r="NUW84" s="47"/>
      <c r="NUY84" s="11"/>
      <c r="NYF84" s="47"/>
      <c r="NYK84" s="47"/>
      <c r="NYM84" s="11"/>
      <c r="OBT84" s="47"/>
      <c r="OBY84" s="47"/>
      <c r="OCA84" s="11"/>
      <c r="OFH84" s="47"/>
      <c r="OFM84" s="47"/>
      <c r="OFO84" s="11"/>
      <c r="OIV84" s="47"/>
      <c r="OJA84" s="47"/>
      <c r="OJC84" s="11"/>
      <c r="OMJ84" s="47"/>
      <c r="OMO84" s="47"/>
      <c r="OMQ84" s="11"/>
      <c r="OPX84" s="47"/>
      <c r="OQC84" s="47"/>
      <c r="OQE84" s="11"/>
      <c r="OTL84" s="47"/>
      <c r="OTQ84" s="47"/>
      <c r="OTS84" s="11"/>
      <c r="OWZ84" s="47"/>
      <c r="OXE84" s="47"/>
      <c r="OXG84" s="11"/>
      <c r="PAN84" s="47"/>
      <c r="PAS84" s="47"/>
      <c r="PAU84" s="11"/>
      <c r="PEB84" s="47"/>
      <c r="PEG84" s="47"/>
      <c r="PEI84" s="11"/>
      <c r="PHP84" s="47"/>
      <c r="PHU84" s="47"/>
      <c r="PHW84" s="11"/>
      <c r="PLD84" s="47"/>
      <c r="PLI84" s="47"/>
      <c r="PLK84" s="11"/>
      <c r="POR84" s="47"/>
      <c r="POW84" s="47"/>
      <c r="POY84" s="11"/>
      <c r="PSF84" s="47"/>
      <c r="PSK84" s="47"/>
      <c r="PSM84" s="11"/>
      <c r="PVT84" s="47"/>
      <c r="PVY84" s="47"/>
      <c r="PWA84" s="11"/>
      <c r="PZH84" s="47"/>
      <c r="PZM84" s="47"/>
      <c r="PZO84" s="11"/>
      <c r="QCV84" s="47"/>
      <c r="QDA84" s="47"/>
      <c r="QDC84" s="11"/>
      <c r="QGJ84" s="47"/>
      <c r="QGO84" s="47"/>
      <c r="QGQ84" s="11"/>
      <c r="QJX84" s="47"/>
      <c r="QKC84" s="47"/>
      <c r="QKE84" s="11"/>
      <c r="QNL84" s="47"/>
      <c r="QNQ84" s="47"/>
      <c r="QNS84" s="11"/>
      <c r="QQZ84" s="47"/>
      <c r="QRE84" s="47"/>
      <c r="QRG84" s="11"/>
      <c r="QUN84" s="47"/>
      <c r="QUS84" s="47"/>
      <c r="QUU84" s="11"/>
      <c r="QYB84" s="47"/>
      <c r="QYG84" s="47"/>
      <c r="QYI84" s="11"/>
      <c r="RBP84" s="47"/>
      <c r="RBU84" s="47"/>
      <c r="RBW84" s="11"/>
      <c r="RFD84" s="47"/>
      <c r="RFI84" s="47"/>
      <c r="RFK84" s="11"/>
      <c r="RIR84" s="47"/>
      <c r="RIW84" s="47"/>
      <c r="RIY84" s="11"/>
      <c r="RMF84" s="47"/>
      <c r="RMK84" s="47"/>
      <c r="RMM84" s="11"/>
      <c r="RPT84" s="47"/>
      <c r="RPY84" s="47"/>
      <c r="RQA84" s="11"/>
      <c r="RTH84" s="47"/>
      <c r="RTM84" s="47"/>
      <c r="RTO84" s="11"/>
      <c r="RWV84" s="47"/>
      <c r="RXA84" s="47"/>
      <c r="RXC84" s="11"/>
      <c r="SAJ84" s="47"/>
      <c r="SAO84" s="47"/>
      <c r="SAQ84" s="11"/>
      <c r="SDX84" s="47"/>
      <c r="SEC84" s="47"/>
      <c r="SEE84" s="11"/>
      <c r="SHL84" s="47"/>
      <c r="SHQ84" s="47"/>
      <c r="SHS84" s="11"/>
      <c r="SKZ84" s="47"/>
      <c r="SLE84" s="47"/>
      <c r="SLG84" s="11"/>
      <c r="SON84" s="47"/>
      <c r="SOS84" s="47"/>
      <c r="SOU84" s="11"/>
      <c r="SSB84" s="47"/>
      <c r="SSG84" s="47"/>
      <c r="SSI84" s="11"/>
      <c r="SVP84" s="47"/>
      <c r="SVU84" s="47"/>
      <c r="SVW84" s="11"/>
      <c r="SZD84" s="47"/>
      <c r="SZI84" s="47"/>
      <c r="SZK84" s="11"/>
      <c r="TCR84" s="47"/>
      <c r="TCW84" s="47"/>
      <c r="TCY84" s="11"/>
      <c r="TGF84" s="47"/>
      <c r="TGK84" s="47"/>
      <c r="TGM84" s="11"/>
      <c r="TJT84" s="47"/>
      <c r="TJY84" s="47"/>
      <c r="TKA84" s="11"/>
      <c r="TNH84" s="47"/>
      <c r="TNM84" s="47"/>
      <c r="TNO84" s="11"/>
      <c r="TQV84" s="47"/>
      <c r="TRA84" s="47"/>
      <c r="TRC84" s="11"/>
      <c r="TUJ84" s="47"/>
      <c r="TUO84" s="47"/>
      <c r="TUQ84" s="11"/>
      <c r="TXX84" s="47"/>
      <c r="TYC84" s="47"/>
      <c r="TYE84" s="11"/>
      <c r="UBL84" s="47"/>
      <c r="UBQ84" s="47"/>
      <c r="UBS84" s="11"/>
      <c r="UEZ84" s="47"/>
      <c r="UFE84" s="47"/>
      <c r="UFG84" s="11"/>
      <c r="UIN84" s="47"/>
      <c r="UIS84" s="47"/>
      <c r="UIU84" s="11"/>
      <c r="UMB84" s="47"/>
      <c r="UMG84" s="47"/>
      <c r="UMI84" s="11"/>
      <c r="UPP84" s="47"/>
      <c r="UPU84" s="47"/>
      <c r="UPW84" s="11"/>
      <c r="UTD84" s="47"/>
      <c r="UTI84" s="47"/>
      <c r="UTK84" s="11"/>
      <c r="UWR84" s="47"/>
      <c r="UWW84" s="47"/>
      <c r="UWY84" s="11"/>
      <c r="VAF84" s="47"/>
      <c r="VAK84" s="47"/>
      <c r="VAM84" s="11"/>
      <c r="VDT84" s="47"/>
      <c r="VDY84" s="47"/>
      <c r="VEA84" s="11"/>
      <c r="VHH84" s="47"/>
      <c r="VHM84" s="47"/>
      <c r="VHO84" s="11"/>
      <c r="VKV84" s="47"/>
      <c r="VLA84" s="47"/>
      <c r="VLC84" s="11"/>
      <c r="VOJ84" s="47"/>
      <c r="VOO84" s="47"/>
      <c r="VOQ84" s="11"/>
      <c r="VRX84" s="47"/>
      <c r="VSC84" s="47"/>
      <c r="VSE84" s="11"/>
      <c r="VVL84" s="47"/>
      <c r="VVQ84" s="47"/>
      <c r="VVS84" s="11"/>
      <c r="VYZ84" s="47"/>
      <c r="VZE84" s="47"/>
      <c r="VZG84" s="11"/>
      <c r="WCN84" s="47"/>
      <c r="WCS84" s="47"/>
      <c r="WCU84" s="11"/>
      <c r="WGB84" s="47"/>
      <c r="WGG84" s="47"/>
      <c r="WGI84" s="11"/>
      <c r="WJP84" s="47"/>
      <c r="WJU84" s="47"/>
      <c r="WJW84" s="11"/>
      <c r="WND84" s="47"/>
      <c r="WNI84" s="47"/>
      <c r="WNK84" s="11"/>
      <c r="WQR84" s="47"/>
      <c r="WQW84" s="47"/>
      <c r="WQY84" s="11"/>
      <c r="WUF84" s="47"/>
      <c r="WUK84" s="47"/>
      <c r="WUM84" s="11"/>
      <c r="WXT84" s="47"/>
      <c r="WXY84" s="47"/>
      <c r="WYA84" s="11"/>
      <c r="XBH84" s="47"/>
      <c r="XBM84" s="47"/>
      <c r="XBO84" s="11"/>
      <c r="XEV84" s="47"/>
      <c r="XFA84" s="47"/>
      <c r="XFC84" s="11"/>
    </row>
    <row r="85" spans="1:1019 1104:2031 2116:3043 3128:4055 4140:5067 5152:6079 6164:7091 7176:8188 8193:9207 9292:10219 10304:11231 11316:12243 12328:13255 13340:14267 14352:15279 15364:16383" s="141" customFormat="1" ht="14.65" customHeight="1">
      <c r="A85" s="153"/>
      <c r="B85" s="153"/>
      <c r="C85" s="153"/>
      <c r="D85" s="153"/>
      <c r="E85" s="153"/>
      <c r="F85" s="153"/>
      <c r="G85" s="179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  <c r="AV85" s="153"/>
      <c r="AW85" s="153"/>
      <c r="AX85" s="153"/>
      <c r="AY85" s="153"/>
      <c r="AZ85" s="153"/>
      <c r="BA85" s="153"/>
      <c r="BB85" s="153"/>
      <c r="BC85" s="153"/>
      <c r="BD85" s="153"/>
      <c r="BE85" s="153"/>
      <c r="BF85" s="153"/>
      <c r="BG85" s="153"/>
      <c r="BH85" s="153"/>
      <c r="BI85" s="153"/>
      <c r="BJ85" s="153"/>
      <c r="BK85" s="153"/>
      <c r="BL85" s="153"/>
      <c r="BM85" s="153"/>
      <c r="BN85" s="153"/>
      <c r="BO85" s="153"/>
      <c r="BP85" s="153"/>
      <c r="BQ85" s="153"/>
      <c r="BR85" s="153"/>
      <c r="BS85" s="153"/>
      <c r="BT85" s="153"/>
      <c r="BU85" s="153"/>
      <c r="BV85" s="153"/>
      <c r="BW85" s="153"/>
      <c r="BX85" s="153"/>
      <c r="BY85" s="153"/>
      <c r="BZ85" s="153"/>
      <c r="CA85" s="153"/>
      <c r="CB85" s="153"/>
      <c r="CC85" s="153"/>
      <c r="CD85" s="153"/>
      <c r="CE85" s="153"/>
      <c r="CF85" s="153"/>
      <c r="CG85" s="153"/>
      <c r="CH85" s="153"/>
      <c r="CI85" s="153"/>
      <c r="CJ85" s="153"/>
      <c r="CK85" s="153"/>
      <c r="CL85" s="153"/>
      <c r="CM85" s="153"/>
      <c r="CN85" s="153"/>
      <c r="CO85" s="153"/>
    </row>
    <row r="86" spans="1:1019 1104:2031 2116:3043 3128:4055 4140:5067 5152:6079 6164:7091 7176:8188 8193:9207 9292:10219 10304:11231 11316:12243 12328:13255 13340:14267 14352:15279 15364:16383" s="141" customFormat="1" ht="14.65" customHeight="1">
      <c r="A86" s="153"/>
      <c r="B86" s="153"/>
      <c r="C86" s="17" t="s">
        <v>1161</v>
      </c>
      <c r="D86" s="153"/>
      <c r="E86" s="80">
        <v>0.02</v>
      </c>
      <c r="F86" s="153"/>
      <c r="G86" s="179" t="s">
        <v>28</v>
      </c>
      <c r="H86" s="153"/>
      <c r="I86" s="153"/>
      <c r="J86" s="153"/>
      <c r="K86" s="153"/>
      <c r="L86" s="80">
        <f t="shared" ref="L86:AQ86" si="77">IF(YEAR(Beginning_of_period) &lt;= $E$89, $E$88, $E$86)</f>
        <v>0.03</v>
      </c>
      <c r="M86" s="80">
        <f t="shared" si="77"/>
        <v>0.03</v>
      </c>
      <c r="N86" s="80">
        <f t="shared" si="77"/>
        <v>0.03</v>
      </c>
      <c r="O86" s="80">
        <f t="shared" si="77"/>
        <v>0.03</v>
      </c>
      <c r="P86" s="80">
        <f t="shared" si="77"/>
        <v>0.03</v>
      </c>
      <c r="Q86" s="80">
        <f t="shared" si="77"/>
        <v>0.03</v>
      </c>
      <c r="R86" s="80">
        <f t="shared" si="77"/>
        <v>0.03</v>
      </c>
      <c r="S86" s="80">
        <f t="shared" si="77"/>
        <v>0.03</v>
      </c>
      <c r="T86" s="80">
        <f t="shared" si="77"/>
        <v>0.03</v>
      </c>
      <c r="U86" s="80">
        <f t="shared" si="77"/>
        <v>0.03</v>
      </c>
      <c r="V86" s="80">
        <f t="shared" si="77"/>
        <v>0.03</v>
      </c>
      <c r="W86" s="80">
        <f t="shared" si="77"/>
        <v>0.03</v>
      </c>
      <c r="X86" s="80">
        <f t="shared" si="77"/>
        <v>0.03</v>
      </c>
      <c r="Y86" s="80">
        <f t="shared" si="77"/>
        <v>0.03</v>
      </c>
      <c r="Z86" s="80">
        <f t="shared" si="77"/>
        <v>0.03</v>
      </c>
      <c r="AA86" s="80">
        <f t="shared" si="77"/>
        <v>0.03</v>
      </c>
      <c r="AB86" s="80">
        <f t="shared" si="77"/>
        <v>0.03</v>
      </c>
      <c r="AC86" s="80">
        <f t="shared" si="77"/>
        <v>0.03</v>
      </c>
      <c r="AD86" s="80">
        <f t="shared" si="77"/>
        <v>0.03</v>
      </c>
      <c r="AE86" s="80">
        <f t="shared" si="77"/>
        <v>0.03</v>
      </c>
      <c r="AF86" s="80">
        <f t="shared" si="77"/>
        <v>0.03</v>
      </c>
      <c r="AG86" s="80">
        <f t="shared" si="77"/>
        <v>0.03</v>
      </c>
      <c r="AH86" s="80">
        <f t="shared" si="77"/>
        <v>0.03</v>
      </c>
      <c r="AI86" s="80">
        <f t="shared" si="77"/>
        <v>0.03</v>
      </c>
      <c r="AJ86" s="80">
        <f t="shared" si="77"/>
        <v>0.02</v>
      </c>
      <c r="AK86" s="80">
        <f t="shared" si="77"/>
        <v>0.02</v>
      </c>
      <c r="AL86" s="80">
        <f t="shared" si="77"/>
        <v>0.02</v>
      </c>
      <c r="AM86" s="80">
        <f t="shared" si="77"/>
        <v>0.02</v>
      </c>
      <c r="AN86" s="80">
        <f t="shared" si="77"/>
        <v>0.02</v>
      </c>
      <c r="AO86" s="80">
        <f t="shared" si="77"/>
        <v>0.02</v>
      </c>
      <c r="AP86" s="80">
        <f t="shared" si="77"/>
        <v>0.02</v>
      </c>
      <c r="AQ86" s="80">
        <f t="shared" si="77"/>
        <v>0.02</v>
      </c>
      <c r="AR86" s="80">
        <f t="shared" ref="AR86:BW86" si="78">IF(YEAR(Beginning_of_period) &lt;= $E$89, $E$88, $E$86)</f>
        <v>0.02</v>
      </c>
      <c r="AS86" s="80">
        <f t="shared" si="78"/>
        <v>0.02</v>
      </c>
      <c r="AT86" s="80">
        <f t="shared" si="78"/>
        <v>0.02</v>
      </c>
      <c r="AU86" s="80">
        <f t="shared" si="78"/>
        <v>0.02</v>
      </c>
      <c r="AV86" s="80">
        <f t="shared" si="78"/>
        <v>0.02</v>
      </c>
      <c r="AW86" s="80">
        <f t="shared" si="78"/>
        <v>0.02</v>
      </c>
      <c r="AX86" s="80">
        <f t="shared" si="78"/>
        <v>0.02</v>
      </c>
      <c r="AY86" s="80">
        <f t="shared" si="78"/>
        <v>0.02</v>
      </c>
      <c r="AZ86" s="80">
        <f t="shared" si="78"/>
        <v>0.02</v>
      </c>
      <c r="BA86" s="80">
        <f t="shared" si="78"/>
        <v>0.02</v>
      </c>
      <c r="BB86" s="80">
        <f t="shared" si="78"/>
        <v>0.02</v>
      </c>
      <c r="BC86" s="80">
        <f t="shared" si="78"/>
        <v>0.02</v>
      </c>
      <c r="BD86" s="80">
        <f t="shared" si="78"/>
        <v>0.02</v>
      </c>
      <c r="BE86" s="80">
        <f t="shared" si="78"/>
        <v>0.02</v>
      </c>
      <c r="BF86" s="80">
        <f t="shared" si="78"/>
        <v>0.02</v>
      </c>
      <c r="BG86" s="80">
        <f t="shared" si="78"/>
        <v>0.02</v>
      </c>
      <c r="BH86" s="80">
        <f t="shared" si="78"/>
        <v>0.02</v>
      </c>
      <c r="BI86" s="80">
        <f t="shared" si="78"/>
        <v>0.02</v>
      </c>
      <c r="BJ86" s="80">
        <f t="shared" si="78"/>
        <v>0.02</v>
      </c>
      <c r="BK86" s="80">
        <f t="shared" si="78"/>
        <v>0.02</v>
      </c>
      <c r="BL86" s="80">
        <f t="shared" si="78"/>
        <v>0.02</v>
      </c>
      <c r="BM86" s="80">
        <f t="shared" si="78"/>
        <v>0.02</v>
      </c>
      <c r="BN86" s="80">
        <f t="shared" si="78"/>
        <v>0.02</v>
      </c>
      <c r="BO86" s="80">
        <f t="shared" si="78"/>
        <v>0.02</v>
      </c>
      <c r="BP86" s="80">
        <f t="shared" si="78"/>
        <v>0.02</v>
      </c>
      <c r="BQ86" s="80">
        <f t="shared" si="78"/>
        <v>0.02</v>
      </c>
      <c r="BR86" s="80">
        <f t="shared" si="78"/>
        <v>0.02</v>
      </c>
      <c r="BS86" s="80">
        <f t="shared" si="78"/>
        <v>0.02</v>
      </c>
      <c r="BT86" s="80">
        <f t="shared" si="78"/>
        <v>0.02</v>
      </c>
      <c r="BU86" s="80">
        <f t="shared" si="78"/>
        <v>0.02</v>
      </c>
      <c r="BV86" s="80">
        <f t="shared" si="78"/>
        <v>0.02</v>
      </c>
      <c r="BW86" s="80">
        <f t="shared" si="78"/>
        <v>0.02</v>
      </c>
      <c r="BX86" s="80">
        <f t="shared" ref="BX86:CO86" si="79">IF(YEAR(Beginning_of_period) &lt;= $E$89, $E$88, $E$86)</f>
        <v>0.02</v>
      </c>
      <c r="BY86" s="80">
        <f t="shared" si="79"/>
        <v>0.02</v>
      </c>
      <c r="BZ86" s="80">
        <f t="shared" si="79"/>
        <v>0.02</v>
      </c>
      <c r="CA86" s="80">
        <f t="shared" si="79"/>
        <v>0.02</v>
      </c>
      <c r="CB86" s="80">
        <f t="shared" si="79"/>
        <v>0.02</v>
      </c>
      <c r="CC86" s="80">
        <f t="shared" si="79"/>
        <v>0.02</v>
      </c>
      <c r="CD86" s="80">
        <f t="shared" si="79"/>
        <v>0.02</v>
      </c>
      <c r="CE86" s="80">
        <f t="shared" si="79"/>
        <v>0.02</v>
      </c>
      <c r="CF86" s="80">
        <f t="shared" si="79"/>
        <v>0.02</v>
      </c>
      <c r="CG86" s="80">
        <f t="shared" si="79"/>
        <v>0.02</v>
      </c>
      <c r="CH86" s="80">
        <f t="shared" si="79"/>
        <v>0.02</v>
      </c>
      <c r="CI86" s="80">
        <f t="shared" si="79"/>
        <v>0.02</v>
      </c>
      <c r="CJ86" s="80">
        <f t="shared" si="79"/>
        <v>0.02</v>
      </c>
      <c r="CK86" s="80">
        <f t="shared" si="79"/>
        <v>0.02</v>
      </c>
      <c r="CL86" s="80">
        <f t="shared" si="79"/>
        <v>0.02</v>
      </c>
      <c r="CM86" s="80">
        <f t="shared" si="79"/>
        <v>0.02</v>
      </c>
      <c r="CN86" s="80">
        <f t="shared" si="79"/>
        <v>0.02</v>
      </c>
      <c r="CO86" s="80">
        <f t="shared" si="79"/>
        <v>0.02</v>
      </c>
    </row>
    <row r="87" spans="1:1019 1104:2031 2116:3043 3128:4055 4140:5067 5152:6079 6164:7091 7176:8188 8193:9207 9292:10219 10304:11231 11316:12243 12328:13255 13340:14267 14352:15279 15364:16383" s="141" customFormat="1" ht="14.65" customHeight="1">
      <c r="A87" s="153"/>
      <c r="B87" s="153"/>
      <c r="C87" s="17" t="s">
        <v>1162</v>
      </c>
      <c r="D87" s="153"/>
      <c r="E87" s="464">
        <f>Profits_Tax_Rate-E86</f>
        <v>0.13500000000000001</v>
      </c>
      <c r="F87" s="153"/>
      <c r="G87" s="179" t="s">
        <v>28</v>
      </c>
      <c r="H87" s="153"/>
      <c r="I87" s="153"/>
      <c r="J87" s="153"/>
      <c r="K87" s="153"/>
      <c r="L87" s="80">
        <f t="shared" ref="L87:AQ87" si="80">Profits_Tax_Rate-L86</f>
        <v>0.125</v>
      </c>
      <c r="M87" s="80">
        <f t="shared" si="80"/>
        <v>0.125</v>
      </c>
      <c r="N87" s="80">
        <f t="shared" si="80"/>
        <v>0.125</v>
      </c>
      <c r="O87" s="80">
        <f t="shared" si="80"/>
        <v>0.125</v>
      </c>
      <c r="P87" s="80">
        <f t="shared" si="80"/>
        <v>0.125</v>
      </c>
      <c r="Q87" s="80">
        <f t="shared" si="80"/>
        <v>0.125</v>
      </c>
      <c r="R87" s="80">
        <f t="shared" si="80"/>
        <v>0.125</v>
      </c>
      <c r="S87" s="80">
        <f t="shared" si="80"/>
        <v>0.125</v>
      </c>
      <c r="T87" s="80">
        <f t="shared" si="80"/>
        <v>0.125</v>
      </c>
      <c r="U87" s="80">
        <f t="shared" si="80"/>
        <v>0.125</v>
      </c>
      <c r="V87" s="80">
        <f t="shared" si="80"/>
        <v>0.125</v>
      </c>
      <c r="W87" s="80">
        <f t="shared" si="80"/>
        <v>0.125</v>
      </c>
      <c r="X87" s="80">
        <f t="shared" si="80"/>
        <v>0.125</v>
      </c>
      <c r="Y87" s="80">
        <f t="shared" si="80"/>
        <v>0.125</v>
      </c>
      <c r="Z87" s="80">
        <f t="shared" si="80"/>
        <v>0.125</v>
      </c>
      <c r="AA87" s="80">
        <f t="shared" si="80"/>
        <v>0.125</v>
      </c>
      <c r="AB87" s="80">
        <f t="shared" si="80"/>
        <v>0.125</v>
      </c>
      <c r="AC87" s="80">
        <f t="shared" si="80"/>
        <v>0.125</v>
      </c>
      <c r="AD87" s="80">
        <f t="shared" si="80"/>
        <v>0.125</v>
      </c>
      <c r="AE87" s="80">
        <f t="shared" si="80"/>
        <v>0.125</v>
      </c>
      <c r="AF87" s="80">
        <f t="shared" si="80"/>
        <v>0.125</v>
      </c>
      <c r="AG87" s="80">
        <f t="shared" si="80"/>
        <v>0.125</v>
      </c>
      <c r="AH87" s="80">
        <f t="shared" si="80"/>
        <v>0.125</v>
      </c>
      <c r="AI87" s="80">
        <f t="shared" si="80"/>
        <v>0.125</v>
      </c>
      <c r="AJ87" s="80">
        <f t="shared" si="80"/>
        <v>0.13500000000000001</v>
      </c>
      <c r="AK87" s="80">
        <f t="shared" si="80"/>
        <v>0.13500000000000001</v>
      </c>
      <c r="AL87" s="80">
        <f t="shared" si="80"/>
        <v>0.13500000000000001</v>
      </c>
      <c r="AM87" s="80">
        <f t="shared" si="80"/>
        <v>0.13500000000000001</v>
      </c>
      <c r="AN87" s="80">
        <f t="shared" si="80"/>
        <v>0.13500000000000001</v>
      </c>
      <c r="AO87" s="80">
        <f t="shared" si="80"/>
        <v>0.13500000000000001</v>
      </c>
      <c r="AP87" s="80">
        <f t="shared" si="80"/>
        <v>0.13500000000000001</v>
      </c>
      <c r="AQ87" s="80">
        <f t="shared" si="80"/>
        <v>0.13500000000000001</v>
      </c>
      <c r="AR87" s="80">
        <f t="shared" ref="AR87:BW87" si="81">Profits_Tax_Rate-AR86</f>
        <v>0.13500000000000001</v>
      </c>
      <c r="AS87" s="80">
        <f t="shared" si="81"/>
        <v>0.13500000000000001</v>
      </c>
      <c r="AT87" s="80">
        <f t="shared" si="81"/>
        <v>0.13500000000000001</v>
      </c>
      <c r="AU87" s="80">
        <f t="shared" si="81"/>
        <v>0.13500000000000001</v>
      </c>
      <c r="AV87" s="80">
        <f t="shared" si="81"/>
        <v>0.13500000000000001</v>
      </c>
      <c r="AW87" s="80">
        <f t="shared" si="81"/>
        <v>0.13500000000000001</v>
      </c>
      <c r="AX87" s="80">
        <f t="shared" si="81"/>
        <v>0.13500000000000001</v>
      </c>
      <c r="AY87" s="80">
        <f t="shared" si="81"/>
        <v>0.13500000000000001</v>
      </c>
      <c r="AZ87" s="80">
        <f t="shared" si="81"/>
        <v>0.13500000000000001</v>
      </c>
      <c r="BA87" s="80">
        <f t="shared" si="81"/>
        <v>0.13500000000000001</v>
      </c>
      <c r="BB87" s="80">
        <f t="shared" si="81"/>
        <v>0.13500000000000001</v>
      </c>
      <c r="BC87" s="80">
        <f t="shared" si="81"/>
        <v>0.13500000000000001</v>
      </c>
      <c r="BD87" s="80">
        <f t="shared" si="81"/>
        <v>0.13500000000000001</v>
      </c>
      <c r="BE87" s="80">
        <f t="shared" si="81"/>
        <v>0.13500000000000001</v>
      </c>
      <c r="BF87" s="80">
        <f t="shared" si="81"/>
        <v>0.13500000000000001</v>
      </c>
      <c r="BG87" s="80">
        <f t="shared" si="81"/>
        <v>0.13500000000000001</v>
      </c>
      <c r="BH87" s="80">
        <f t="shared" si="81"/>
        <v>0.13500000000000001</v>
      </c>
      <c r="BI87" s="80">
        <f t="shared" si="81"/>
        <v>0.13500000000000001</v>
      </c>
      <c r="BJ87" s="80">
        <f t="shared" si="81"/>
        <v>0.13500000000000001</v>
      </c>
      <c r="BK87" s="80">
        <f t="shared" si="81"/>
        <v>0.13500000000000001</v>
      </c>
      <c r="BL87" s="80">
        <f t="shared" si="81"/>
        <v>0.13500000000000001</v>
      </c>
      <c r="BM87" s="80">
        <f t="shared" si="81"/>
        <v>0.13500000000000001</v>
      </c>
      <c r="BN87" s="80">
        <f t="shared" si="81"/>
        <v>0.13500000000000001</v>
      </c>
      <c r="BO87" s="80">
        <f t="shared" si="81"/>
        <v>0.13500000000000001</v>
      </c>
      <c r="BP87" s="80">
        <f t="shared" si="81"/>
        <v>0.13500000000000001</v>
      </c>
      <c r="BQ87" s="80">
        <f t="shared" si="81"/>
        <v>0.13500000000000001</v>
      </c>
      <c r="BR87" s="80">
        <f t="shared" si="81"/>
        <v>0.13500000000000001</v>
      </c>
      <c r="BS87" s="80">
        <f t="shared" si="81"/>
        <v>0.13500000000000001</v>
      </c>
      <c r="BT87" s="80">
        <f t="shared" si="81"/>
        <v>0.13500000000000001</v>
      </c>
      <c r="BU87" s="80">
        <f t="shared" si="81"/>
        <v>0.13500000000000001</v>
      </c>
      <c r="BV87" s="80">
        <f t="shared" si="81"/>
        <v>0.13500000000000001</v>
      </c>
      <c r="BW87" s="80">
        <f t="shared" si="81"/>
        <v>0.13500000000000001</v>
      </c>
      <c r="BX87" s="80">
        <f t="shared" ref="BX87:CO87" si="82">Profits_Tax_Rate-BX86</f>
        <v>0.13500000000000001</v>
      </c>
      <c r="BY87" s="80">
        <f t="shared" si="82"/>
        <v>0.13500000000000001</v>
      </c>
      <c r="BZ87" s="80">
        <f t="shared" si="82"/>
        <v>0.13500000000000001</v>
      </c>
      <c r="CA87" s="80">
        <f t="shared" si="82"/>
        <v>0.13500000000000001</v>
      </c>
      <c r="CB87" s="80">
        <f t="shared" si="82"/>
        <v>0.13500000000000001</v>
      </c>
      <c r="CC87" s="80">
        <f t="shared" si="82"/>
        <v>0.13500000000000001</v>
      </c>
      <c r="CD87" s="80">
        <f t="shared" si="82"/>
        <v>0.13500000000000001</v>
      </c>
      <c r="CE87" s="80">
        <f t="shared" si="82"/>
        <v>0.13500000000000001</v>
      </c>
      <c r="CF87" s="80">
        <f t="shared" si="82"/>
        <v>0.13500000000000001</v>
      </c>
      <c r="CG87" s="80">
        <f t="shared" si="82"/>
        <v>0.13500000000000001</v>
      </c>
      <c r="CH87" s="80">
        <f t="shared" si="82"/>
        <v>0.13500000000000001</v>
      </c>
      <c r="CI87" s="80">
        <f t="shared" si="82"/>
        <v>0.13500000000000001</v>
      </c>
      <c r="CJ87" s="80">
        <f t="shared" si="82"/>
        <v>0.13500000000000001</v>
      </c>
      <c r="CK87" s="80">
        <f t="shared" si="82"/>
        <v>0.13500000000000001</v>
      </c>
      <c r="CL87" s="80">
        <f t="shared" si="82"/>
        <v>0.13500000000000001</v>
      </c>
      <c r="CM87" s="80">
        <f t="shared" si="82"/>
        <v>0.13500000000000001</v>
      </c>
      <c r="CN87" s="80">
        <f t="shared" si="82"/>
        <v>0.13500000000000001</v>
      </c>
      <c r="CO87" s="80">
        <f t="shared" si="82"/>
        <v>0.13500000000000001</v>
      </c>
    </row>
    <row r="88" spans="1:1019 1104:2031 2116:3043 3128:4055 4140:5067 5152:6079 6164:7091 7176:8188 8193:9207 9292:10219 10304:11231 11316:12243 12328:13255 13340:14267 14352:15279 15364:16383" s="141" customFormat="1" ht="14.65" customHeight="1">
      <c r="A88" s="153"/>
      <c r="B88" s="153"/>
      <c r="C88" s="17" t="s">
        <v>1165</v>
      </c>
      <c r="D88" s="153"/>
      <c r="E88" s="80">
        <v>0.03</v>
      </c>
      <c r="F88" s="153"/>
      <c r="G88" s="179" t="s">
        <v>28</v>
      </c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</row>
    <row r="89" spans="1:1019 1104:2031 2116:3043 3128:4055 4140:5067 5152:6079 6164:7091 7176:8188 8193:9207 9292:10219 10304:11231 11316:12243 12328:13255 13340:14267 14352:15279 15364:16383" s="141" customFormat="1" ht="25.5">
      <c r="A89" s="153"/>
      <c r="B89" s="153"/>
      <c r="C89" s="40" t="s">
        <v>1166</v>
      </c>
      <c r="D89" s="153"/>
      <c r="E89" s="463">
        <v>2030</v>
      </c>
      <c r="F89" s="153"/>
      <c r="G89" s="179" t="s">
        <v>45</v>
      </c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</row>
    <row r="90" spans="1:1019 1104:2031 2116:3043 3128:4055 4140:5067 5152:6079 6164:7091 7176:8188 8193:9207 9292:10219 10304:11231 11316:12243 12328:13255 13340:14267 14352:15279 15364:16383" s="141" customFormat="1" ht="14.65" customHeight="1">
      <c r="A90" s="153"/>
      <c r="B90" s="153"/>
      <c r="C90" s="17"/>
      <c r="D90" s="153"/>
      <c r="E90" s="153"/>
      <c r="F90" s="153"/>
      <c r="G90" s="179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</row>
    <row r="91" spans="1:1019 1104:2031 2116:3043 3128:4055 4140:5067 5152:6079 6164:7091 7176:8188 8193:9207 9292:10219 10304:11231 11316:12243 12328:13255 13340:14267 14352:15279 15364:16383" s="141" customFormat="1" ht="14.65" customHeight="1">
      <c r="A91" s="153"/>
      <c r="B91" s="153"/>
      <c r="C91" s="17" t="s">
        <v>1014</v>
      </c>
      <c r="D91" s="153"/>
      <c r="E91" s="80">
        <v>0</v>
      </c>
      <c r="F91" s="153"/>
      <c r="G91" s="179" t="s">
        <v>28</v>
      </c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</row>
    <row r="92" spans="1:1019 1104:2031 2116:3043 3128:4055 4140:5067 5152:6079 6164:7091 7176:8188 8193:9207 9292:10219 10304:11231 11316:12243 12328:13255 13340:14267 14352:15279 15364:16383" s="141" customFormat="1" ht="14.65" customHeight="1">
      <c r="A92" s="153"/>
      <c r="B92" s="153"/>
      <c r="C92" s="17" t="s">
        <v>1015</v>
      </c>
      <c r="D92" s="153"/>
      <c r="E92" s="80">
        <v>1</v>
      </c>
      <c r="F92" s="153"/>
      <c r="G92" s="179" t="s">
        <v>28</v>
      </c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</row>
    <row r="93" spans="1:1019 1104:2031 2116:3043 3128:4055 4140:5067 5152:6079 6164:7091 7176:8188 8193:9207 9292:10219 10304:11231 11316:12243 12328:13255 13340:14267 14352:15279 15364:16383" s="141" customFormat="1" ht="14.65" customHeight="1">
      <c r="A93" s="153"/>
      <c r="B93" s="153"/>
      <c r="C93" s="17"/>
      <c r="D93" s="153"/>
      <c r="E93" s="153"/>
      <c r="F93" s="153"/>
      <c r="G93" s="179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</row>
    <row r="94" spans="1:1019 1104:2031 2116:3043 3128:4055 4140:5067 5152:6079 6164:7091 7176:8188 8193:9207 9292:10219 10304:11231 11316:12243 12328:13255 13340:14267 14352:15279 15364:16383" s="141" customFormat="1" ht="14.65" customHeight="1">
      <c r="A94" s="153"/>
      <c r="B94" s="153"/>
      <c r="C94" s="17" t="s">
        <v>1016</v>
      </c>
      <c r="D94" s="153"/>
      <c r="E94" s="80">
        <v>1</v>
      </c>
      <c r="F94" s="153"/>
      <c r="G94" s="179" t="s">
        <v>28</v>
      </c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</row>
    <row r="95" spans="1:1019 1104:2031 2116:3043 3128:4055 4140:5067 5152:6079 6164:7091 7176:8188 8193:9207 9292:10219 10304:11231 11316:12243 12328:13255 13340:14267 14352:15279 15364:16383" s="141" customFormat="1" ht="14.65" customHeight="1">
      <c r="A95" s="153"/>
      <c r="B95" s="153"/>
      <c r="C95" s="17" t="s">
        <v>1017</v>
      </c>
      <c r="D95" s="153"/>
      <c r="E95" s="80">
        <v>0</v>
      </c>
      <c r="F95" s="153"/>
      <c r="G95" s="179" t="s">
        <v>28</v>
      </c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</row>
    <row r="96" spans="1:1019 1104:2031 2116:3043 3128:4055 4140:5067 5152:6079 6164:7091 7176:8188 8193:9207 9292:10219 10304:11231 11316:12243 12328:13255 13340:14267 14352:15279 15364:16383" s="141" customFormat="1" ht="14.65" customHeight="1">
      <c r="A96" s="153"/>
      <c r="B96" s="153"/>
      <c r="C96" s="17"/>
      <c r="D96" s="153"/>
      <c r="E96" s="153"/>
      <c r="F96" s="153"/>
      <c r="G96" s="179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  <c r="AY96" s="153"/>
      <c r="AZ96" s="153"/>
      <c r="BA96" s="153"/>
      <c r="BB96" s="153"/>
      <c r="BC96" s="153"/>
      <c r="BD96" s="153"/>
      <c r="BE96" s="153"/>
      <c r="BF96" s="153"/>
      <c r="BG96" s="153"/>
      <c r="BH96" s="153"/>
      <c r="BI96" s="153"/>
      <c r="BJ96" s="153"/>
      <c r="BK96" s="153"/>
      <c r="BL96" s="153"/>
      <c r="BM96" s="153"/>
      <c r="BN96" s="153"/>
      <c r="BO96" s="153"/>
      <c r="BP96" s="153"/>
      <c r="BQ96" s="153"/>
      <c r="BR96" s="153"/>
      <c r="BS96" s="153"/>
      <c r="BT96" s="153"/>
      <c r="BU96" s="153"/>
      <c r="BV96" s="153"/>
      <c r="BW96" s="153"/>
      <c r="BX96" s="153"/>
      <c r="BY96" s="153"/>
      <c r="BZ96" s="153"/>
      <c r="CA96" s="153"/>
      <c r="CB96" s="153"/>
      <c r="CC96" s="153"/>
      <c r="CD96" s="153"/>
      <c r="CE96" s="153"/>
      <c r="CF96" s="153"/>
      <c r="CG96" s="153"/>
      <c r="CH96" s="153"/>
      <c r="CI96" s="153"/>
      <c r="CJ96" s="153"/>
      <c r="CK96" s="153"/>
      <c r="CL96" s="153"/>
      <c r="CM96" s="153"/>
      <c r="CN96" s="153"/>
      <c r="CO96" s="153"/>
    </row>
    <row r="97" spans="1:1019 1104:2031 2116:3043 3128:4055 4140:5067 5152:6079 6164:7091 7176:8188 8193:9207 9292:10219 10304:11231 11316:12243 12328:13255 13340:14267 14352:15279 15364:16383" s="141" customFormat="1" ht="14.65" customHeight="1">
      <c r="A97" s="153"/>
      <c r="B97" s="153"/>
      <c r="C97" s="17" t="s">
        <v>1018</v>
      </c>
      <c r="D97" s="153"/>
      <c r="E97" s="80">
        <v>1</v>
      </c>
      <c r="F97" s="153"/>
      <c r="G97" s="179" t="s">
        <v>28</v>
      </c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  <c r="AV97" s="153"/>
      <c r="AW97" s="153"/>
      <c r="AX97" s="153"/>
      <c r="AY97" s="153"/>
      <c r="AZ97" s="153"/>
      <c r="BA97" s="153"/>
      <c r="BB97" s="153"/>
      <c r="BC97" s="153"/>
      <c r="BD97" s="153"/>
      <c r="BE97" s="153"/>
      <c r="BF97" s="153"/>
      <c r="BG97" s="153"/>
      <c r="BH97" s="153"/>
      <c r="BI97" s="153"/>
      <c r="BJ97" s="153"/>
      <c r="BK97" s="153"/>
      <c r="BL97" s="153"/>
      <c r="BM97" s="153"/>
      <c r="BN97" s="153"/>
      <c r="BO97" s="153"/>
      <c r="BP97" s="153"/>
      <c r="BQ97" s="153"/>
      <c r="BR97" s="153"/>
      <c r="BS97" s="153"/>
      <c r="BT97" s="153"/>
      <c r="BU97" s="153"/>
      <c r="BV97" s="153"/>
      <c r="BW97" s="153"/>
      <c r="BX97" s="153"/>
      <c r="BY97" s="153"/>
      <c r="BZ97" s="153"/>
      <c r="CA97" s="153"/>
      <c r="CB97" s="153"/>
      <c r="CC97" s="153"/>
      <c r="CD97" s="153"/>
      <c r="CE97" s="153"/>
      <c r="CF97" s="153"/>
      <c r="CG97" s="153"/>
      <c r="CH97" s="153"/>
      <c r="CI97" s="153"/>
      <c r="CJ97" s="153"/>
      <c r="CK97" s="153"/>
      <c r="CL97" s="153"/>
      <c r="CM97" s="153"/>
      <c r="CN97" s="153"/>
      <c r="CO97" s="153"/>
    </row>
    <row r="98" spans="1:1019 1104:2031 2116:3043 3128:4055 4140:5067 5152:6079 6164:7091 7176:8188 8193:9207 9292:10219 10304:11231 11316:12243 12328:13255 13340:14267 14352:15279 15364:16383" s="141" customFormat="1" ht="14.65" customHeight="1">
      <c r="A98" s="153"/>
      <c r="B98" s="153"/>
      <c r="C98" s="17" t="s">
        <v>1019</v>
      </c>
      <c r="D98" s="153"/>
      <c r="E98" s="80">
        <v>0</v>
      </c>
      <c r="F98" s="153"/>
      <c r="G98" s="179" t="s">
        <v>28</v>
      </c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</row>
    <row r="99" spans="1:1019 1104:2031 2116:3043 3128:4055 4140:5067 5152:6079 6164:7091 7176:8188 8193:9207 9292:10219 10304:11231 11316:12243 12328:13255 13340:14267 14352:15279 15364:16383" s="141" customFormat="1" ht="14.65" customHeight="1">
      <c r="A99" s="153"/>
      <c r="B99" s="153"/>
      <c r="C99" s="17"/>
      <c r="D99" s="153"/>
      <c r="E99" s="153"/>
      <c r="F99" s="153"/>
      <c r="G99" s="179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</row>
    <row r="100" spans="1:1019 1104:2031 2116:3043 3128:4055 4140:5067 5152:6079 6164:7091 7176:8188 8193:9207 9292:10219 10304:11231 11316:12243 12328:13255 13340:14267 14352:15279 15364:16383" s="141" customFormat="1" ht="14.65" customHeight="1">
      <c r="A100" s="153"/>
      <c r="B100" s="153"/>
      <c r="C100" s="17" t="s">
        <v>1020</v>
      </c>
      <c r="D100" s="153"/>
      <c r="E100" s="80">
        <v>0</v>
      </c>
      <c r="F100" s="153"/>
      <c r="G100" s="179" t="s">
        <v>28</v>
      </c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</row>
    <row r="101" spans="1:1019 1104:2031 2116:3043 3128:4055 4140:5067 5152:6079 6164:7091 7176:8188 8193:9207 9292:10219 10304:11231 11316:12243 12328:13255 13340:14267 14352:15279 15364:16383" s="141" customFormat="1" ht="14.65" customHeight="1">
      <c r="A101" s="153"/>
      <c r="B101" s="153"/>
      <c r="C101" s="17" t="s">
        <v>1021</v>
      </c>
      <c r="D101" s="153"/>
      <c r="E101" s="80">
        <v>1</v>
      </c>
      <c r="F101" s="153"/>
      <c r="G101" s="179" t="s">
        <v>28</v>
      </c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E101" s="153"/>
      <c r="BF101" s="153"/>
      <c r="BG101" s="153"/>
      <c r="BH101" s="153"/>
      <c r="BI101" s="153"/>
      <c r="BJ101" s="153"/>
      <c r="BK101" s="153"/>
      <c r="BL101" s="153"/>
      <c r="BM101" s="153"/>
      <c r="BN101" s="153"/>
      <c r="BO101" s="153"/>
      <c r="BP101" s="153"/>
      <c r="BQ101" s="153"/>
      <c r="BR101" s="153"/>
      <c r="BS101" s="153"/>
      <c r="BT101" s="153"/>
      <c r="BU101" s="153"/>
      <c r="BV101" s="153"/>
      <c r="BW101" s="153"/>
      <c r="BX101" s="153"/>
      <c r="BY101" s="153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</row>
    <row r="102" spans="1:1019 1104:2031 2116:3043 3128:4055 4140:5067 5152:6079 6164:7091 7176:8188 8193:9207 9292:10219 10304:11231 11316:12243 12328:13255 13340:14267 14352:15279 15364:16383" s="141" customFormat="1" ht="14.65" customHeight="1">
      <c r="A102" s="153"/>
      <c r="B102" s="153"/>
      <c r="C102" s="153"/>
      <c r="D102" s="153"/>
      <c r="E102" s="153"/>
      <c r="F102" s="153"/>
      <c r="G102" s="179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  <c r="AV102" s="153"/>
      <c r="AW102" s="153"/>
      <c r="AX102" s="153"/>
      <c r="AY102" s="153"/>
      <c r="AZ102" s="153"/>
      <c r="BA102" s="153"/>
      <c r="BB102" s="153"/>
      <c r="BC102" s="153"/>
      <c r="BD102" s="153"/>
      <c r="BE102" s="153"/>
      <c r="BF102" s="153"/>
      <c r="BG102" s="153"/>
      <c r="BH102" s="153"/>
      <c r="BI102" s="153"/>
      <c r="BJ102" s="153"/>
      <c r="BK102" s="153"/>
      <c r="BL102" s="153"/>
      <c r="BM102" s="153"/>
      <c r="BN102" s="153"/>
      <c r="BO102" s="153"/>
      <c r="BP102" s="153"/>
      <c r="BQ102" s="153"/>
      <c r="BR102" s="153"/>
      <c r="BS102" s="153"/>
      <c r="BT102" s="153"/>
      <c r="BU102" s="153"/>
      <c r="BV102" s="153"/>
      <c r="BW102" s="153"/>
      <c r="BX102" s="153"/>
      <c r="BY102" s="153"/>
      <c r="BZ102" s="153"/>
      <c r="CA102" s="153"/>
      <c r="CB102" s="153"/>
      <c r="CC102" s="153"/>
      <c r="CD102" s="153"/>
      <c r="CE102" s="153"/>
      <c r="CF102" s="153"/>
      <c r="CG102" s="153"/>
      <c r="CH102" s="153"/>
      <c r="CI102" s="153"/>
      <c r="CJ102" s="153"/>
      <c r="CK102" s="153"/>
      <c r="CL102" s="153"/>
      <c r="CM102" s="153"/>
      <c r="CN102" s="153"/>
      <c r="CO102" s="153"/>
    </row>
    <row r="103" spans="1:1019 1104:2031 2116:3043 3128:4055 4140:5067 5152:6079 6164:7091 7176:8188 8193:9207 9292:10219 10304:11231 11316:12243 12328:13255 13340:14267 14352:15279 15364:16383" s="10" customFormat="1" ht="14.65" customHeight="1" thickBot="1">
      <c r="C103" s="12" t="s">
        <v>1022</v>
      </c>
      <c r="D103" s="12"/>
      <c r="E103" s="12"/>
      <c r="F103" s="12"/>
      <c r="G103" s="360"/>
      <c r="H103" s="12"/>
      <c r="I103" s="12"/>
      <c r="CS103" s="47"/>
      <c r="CU103" s="11"/>
      <c r="GB103" s="47"/>
      <c r="GG103" s="47"/>
      <c r="GI103" s="11"/>
      <c r="JP103" s="47"/>
      <c r="JU103" s="47"/>
      <c r="JW103" s="11"/>
      <c r="ND103" s="47"/>
      <c r="NI103" s="47"/>
      <c r="NK103" s="11"/>
      <c r="QR103" s="47"/>
      <c r="QW103" s="47"/>
      <c r="QY103" s="11"/>
      <c r="UF103" s="47"/>
      <c r="UK103" s="47"/>
      <c r="UM103" s="11"/>
      <c r="XT103" s="47"/>
      <c r="XY103" s="47"/>
      <c r="YA103" s="11"/>
      <c r="ABH103" s="47"/>
      <c r="ABM103" s="47"/>
      <c r="ABO103" s="11"/>
      <c r="AEV103" s="47"/>
      <c r="AFA103" s="47"/>
      <c r="AFC103" s="11"/>
      <c r="AIJ103" s="47"/>
      <c r="AIO103" s="47"/>
      <c r="AIQ103" s="11"/>
      <c r="ALX103" s="47"/>
      <c r="AMC103" s="47"/>
      <c r="AME103" s="11"/>
      <c r="APL103" s="47"/>
      <c r="APQ103" s="47"/>
      <c r="APS103" s="11"/>
      <c r="ASZ103" s="47"/>
      <c r="ATE103" s="47"/>
      <c r="ATG103" s="11"/>
      <c r="AWN103" s="47"/>
      <c r="AWS103" s="47"/>
      <c r="AWU103" s="11"/>
      <c r="BAB103" s="47"/>
      <c r="BAG103" s="47"/>
      <c r="BAI103" s="11"/>
      <c r="BDP103" s="47"/>
      <c r="BDU103" s="47"/>
      <c r="BDW103" s="11"/>
      <c r="BHD103" s="47"/>
      <c r="BHI103" s="47"/>
      <c r="BHK103" s="11"/>
      <c r="BKR103" s="47"/>
      <c r="BKW103" s="47"/>
      <c r="BKY103" s="11"/>
      <c r="BOF103" s="47"/>
      <c r="BOK103" s="47"/>
      <c r="BOM103" s="11"/>
      <c r="BRT103" s="47"/>
      <c r="BRY103" s="47"/>
      <c r="BSA103" s="11"/>
      <c r="BVH103" s="47"/>
      <c r="BVM103" s="47"/>
      <c r="BVO103" s="11"/>
      <c r="BYV103" s="47"/>
      <c r="BZA103" s="47"/>
      <c r="BZC103" s="11"/>
      <c r="CCJ103" s="47"/>
      <c r="CCO103" s="47"/>
      <c r="CCQ103" s="11"/>
      <c r="CFX103" s="47"/>
      <c r="CGC103" s="47"/>
      <c r="CGE103" s="11"/>
      <c r="CJL103" s="47"/>
      <c r="CJQ103" s="47"/>
      <c r="CJS103" s="11"/>
      <c r="CMZ103" s="47"/>
      <c r="CNE103" s="47"/>
      <c r="CNG103" s="11"/>
      <c r="CQN103" s="47"/>
      <c r="CQS103" s="47"/>
      <c r="CQU103" s="11"/>
      <c r="CUB103" s="47"/>
      <c r="CUG103" s="47"/>
      <c r="CUI103" s="11"/>
      <c r="CXP103" s="47"/>
      <c r="CXU103" s="47"/>
      <c r="CXW103" s="11"/>
      <c r="DBD103" s="47"/>
      <c r="DBI103" s="47"/>
      <c r="DBK103" s="11"/>
      <c r="DER103" s="47"/>
      <c r="DEW103" s="47"/>
      <c r="DEY103" s="11"/>
      <c r="DIF103" s="47"/>
      <c r="DIK103" s="47"/>
      <c r="DIM103" s="11"/>
      <c r="DLT103" s="47"/>
      <c r="DLY103" s="47"/>
      <c r="DMA103" s="11"/>
      <c r="DPH103" s="47"/>
      <c r="DPM103" s="47"/>
      <c r="DPO103" s="11"/>
      <c r="DSV103" s="47"/>
      <c r="DTA103" s="47"/>
      <c r="DTC103" s="11"/>
      <c r="DWJ103" s="47"/>
      <c r="DWO103" s="47"/>
      <c r="DWQ103" s="11"/>
      <c r="DZX103" s="47"/>
      <c r="EAC103" s="47"/>
      <c r="EAE103" s="11"/>
      <c r="EDL103" s="47"/>
      <c r="EDQ103" s="47"/>
      <c r="EDS103" s="11"/>
      <c r="EGZ103" s="47"/>
      <c r="EHE103" s="47"/>
      <c r="EHG103" s="11"/>
      <c r="EKN103" s="47"/>
      <c r="EKS103" s="47"/>
      <c r="EKU103" s="11"/>
      <c r="EOB103" s="47"/>
      <c r="EOG103" s="47"/>
      <c r="EOI103" s="11"/>
      <c r="ERP103" s="47"/>
      <c r="ERU103" s="47"/>
      <c r="ERW103" s="11"/>
      <c r="EVD103" s="47"/>
      <c r="EVI103" s="47"/>
      <c r="EVK103" s="11"/>
      <c r="EYR103" s="47"/>
      <c r="EYW103" s="47"/>
      <c r="EYY103" s="11"/>
      <c r="FCF103" s="47"/>
      <c r="FCK103" s="47"/>
      <c r="FCM103" s="11"/>
      <c r="FFT103" s="47"/>
      <c r="FFY103" s="47"/>
      <c r="FGA103" s="11"/>
      <c r="FJH103" s="47"/>
      <c r="FJM103" s="47"/>
      <c r="FJO103" s="11"/>
      <c r="FMV103" s="47"/>
      <c r="FNA103" s="47"/>
      <c r="FNC103" s="11"/>
      <c r="FQJ103" s="47"/>
      <c r="FQO103" s="47"/>
      <c r="FQQ103" s="11"/>
      <c r="FTX103" s="47"/>
      <c r="FUC103" s="47"/>
      <c r="FUE103" s="11"/>
      <c r="FXL103" s="47"/>
      <c r="FXQ103" s="47"/>
      <c r="FXS103" s="11"/>
      <c r="GAZ103" s="47"/>
      <c r="GBE103" s="47"/>
      <c r="GBG103" s="11"/>
      <c r="GEN103" s="47"/>
      <c r="GES103" s="47"/>
      <c r="GEU103" s="11"/>
      <c r="GIB103" s="47"/>
      <c r="GIG103" s="47"/>
      <c r="GII103" s="11"/>
      <c r="GLP103" s="47"/>
      <c r="GLU103" s="47"/>
      <c r="GLW103" s="11"/>
      <c r="GPD103" s="47"/>
      <c r="GPI103" s="47"/>
      <c r="GPK103" s="11"/>
      <c r="GSR103" s="47"/>
      <c r="GSW103" s="47"/>
      <c r="GSY103" s="11"/>
      <c r="GWF103" s="47"/>
      <c r="GWK103" s="47"/>
      <c r="GWM103" s="11"/>
      <c r="GZT103" s="47"/>
      <c r="GZY103" s="47"/>
      <c r="HAA103" s="11"/>
      <c r="HDH103" s="47"/>
      <c r="HDM103" s="47"/>
      <c r="HDO103" s="11"/>
      <c r="HGV103" s="47"/>
      <c r="HHA103" s="47"/>
      <c r="HHC103" s="11"/>
      <c r="HKJ103" s="47"/>
      <c r="HKO103" s="47"/>
      <c r="HKQ103" s="11"/>
      <c r="HNX103" s="47"/>
      <c r="HOC103" s="47"/>
      <c r="HOE103" s="11"/>
      <c r="HRL103" s="47"/>
      <c r="HRQ103" s="47"/>
      <c r="HRS103" s="11"/>
      <c r="HUZ103" s="47"/>
      <c r="HVE103" s="47"/>
      <c r="HVG103" s="11"/>
      <c r="HYN103" s="47"/>
      <c r="HYS103" s="47"/>
      <c r="HYU103" s="11"/>
      <c r="ICB103" s="47"/>
      <c r="ICG103" s="47"/>
      <c r="ICI103" s="11"/>
      <c r="IFP103" s="47"/>
      <c r="IFU103" s="47"/>
      <c r="IFW103" s="11"/>
      <c r="IJD103" s="47"/>
      <c r="IJI103" s="47"/>
      <c r="IJK103" s="11"/>
      <c r="IMR103" s="47"/>
      <c r="IMW103" s="47"/>
      <c r="IMY103" s="11"/>
      <c r="IQF103" s="47"/>
      <c r="IQK103" s="47"/>
      <c r="IQM103" s="11"/>
      <c r="ITT103" s="47"/>
      <c r="ITY103" s="47"/>
      <c r="IUA103" s="11"/>
      <c r="IXH103" s="47"/>
      <c r="IXM103" s="47"/>
      <c r="IXO103" s="11"/>
      <c r="JAV103" s="47"/>
      <c r="JBA103" s="47"/>
      <c r="JBC103" s="11"/>
      <c r="JEJ103" s="47"/>
      <c r="JEO103" s="47"/>
      <c r="JEQ103" s="11"/>
      <c r="JHX103" s="47"/>
      <c r="JIC103" s="47"/>
      <c r="JIE103" s="11"/>
      <c r="JLL103" s="47"/>
      <c r="JLQ103" s="47"/>
      <c r="JLS103" s="11"/>
      <c r="JOZ103" s="47"/>
      <c r="JPE103" s="47"/>
      <c r="JPG103" s="11"/>
      <c r="JSN103" s="47"/>
      <c r="JSS103" s="47"/>
      <c r="JSU103" s="11"/>
      <c r="JWB103" s="47"/>
      <c r="JWG103" s="47"/>
      <c r="JWI103" s="11"/>
      <c r="JZP103" s="47"/>
      <c r="JZU103" s="47"/>
      <c r="JZW103" s="11"/>
      <c r="KDD103" s="47"/>
      <c r="KDI103" s="47"/>
      <c r="KDK103" s="11"/>
      <c r="KGR103" s="47"/>
      <c r="KGW103" s="47"/>
      <c r="KGY103" s="11"/>
      <c r="KKF103" s="47"/>
      <c r="KKK103" s="47"/>
      <c r="KKM103" s="11"/>
      <c r="KNT103" s="47"/>
      <c r="KNY103" s="47"/>
      <c r="KOA103" s="11"/>
      <c r="KRH103" s="47"/>
      <c r="KRM103" s="47"/>
      <c r="KRO103" s="11"/>
      <c r="KUV103" s="47"/>
      <c r="KVA103" s="47"/>
      <c r="KVC103" s="11"/>
      <c r="KYJ103" s="47"/>
      <c r="KYO103" s="47"/>
      <c r="KYQ103" s="11"/>
      <c r="LBX103" s="47"/>
      <c r="LCC103" s="47"/>
      <c r="LCE103" s="11"/>
      <c r="LFL103" s="47"/>
      <c r="LFQ103" s="47"/>
      <c r="LFS103" s="11"/>
      <c r="LIZ103" s="47"/>
      <c r="LJE103" s="47"/>
      <c r="LJG103" s="11"/>
      <c r="LMN103" s="47"/>
      <c r="LMS103" s="47"/>
      <c r="LMU103" s="11"/>
      <c r="LQB103" s="47"/>
      <c r="LQG103" s="47"/>
      <c r="LQI103" s="11"/>
      <c r="LTP103" s="47"/>
      <c r="LTU103" s="47"/>
      <c r="LTW103" s="11"/>
      <c r="LXD103" s="47"/>
      <c r="LXI103" s="47"/>
      <c r="LXK103" s="11"/>
      <c r="MAR103" s="47"/>
      <c r="MAW103" s="47"/>
      <c r="MAY103" s="11"/>
      <c r="MEF103" s="47"/>
      <c r="MEK103" s="47"/>
      <c r="MEM103" s="11"/>
      <c r="MHT103" s="47"/>
      <c r="MHY103" s="47"/>
      <c r="MIA103" s="11"/>
      <c r="MLH103" s="47"/>
      <c r="MLM103" s="47"/>
      <c r="MLO103" s="11"/>
      <c r="MOV103" s="47"/>
      <c r="MPA103" s="47"/>
      <c r="MPC103" s="11"/>
      <c r="MSJ103" s="47"/>
      <c r="MSO103" s="47"/>
      <c r="MSQ103" s="11"/>
      <c r="MVX103" s="47"/>
      <c r="MWC103" s="47"/>
      <c r="MWE103" s="11"/>
      <c r="MZL103" s="47"/>
      <c r="MZQ103" s="47"/>
      <c r="MZS103" s="11"/>
      <c r="NCZ103" s="47"/>
      <c r="NDE103" s="47"/>
      <c r="NDG103" s="11"/>
      <c r="NGN103" s="47"/>
      <c r="NGS103" s="47"/>
      <c r="NGU103" s="11"/>
      <c r="NKB103" s="47"/>
      <c r="NKG103" s="47"/>
      <c r="NKI103" s="11"/>
      <c r="NNP103" s="47"/>
      <c r="NNU103" s="47"/>
      <c r="NNW103" s="11"/>
      <c r="NRD103" s="47"/>
      <c r="NRI103" s="47"/>
      <c r="NRK103" s="11"/>
      <c r="NUR103" s="47"/>
      <c r="NUW103" s="47"/>
      <c r="NUY103" s="11"/>
      <c r="NYF103" s="47"/>
      <c r="NYK103" s="47"/>
      <c r="NYM103" s="11"/>
      <c r="OBT103" s="47"/>
      <c r="OBY103" s="47"/>
      <c r="OCA103" s="11"/>
      <c r="OFH103" s="47"/>
      <c r="OFM103" s="47"/>
      <c r="OFO103" s="11"/>
      <c r="OIV103" s="47"/>
      <c r="OJA103" s="47"/>
      <c r="OJC103" s="11"/>
      <c r="OMJ103" s="47"/>
      <c r="OMO103" s="47"/>
      <c r="OMQ103" s="11"/>
      <c r="OPX103" s="47"/>
      <c r="OQC103" s="47"/>
      <c r="OQE103" s="11"/>
      <c r="OTL103" s="47"/>
      <c r="OTQ103" s="47"/>
      <c r="OTS103" s="11"/>
      <c r="OWZ103" s="47"/>
      <c r="OXE103" s="47"/>
      <c r="OXG103" s="11"/>
      <c r="PAN103" s="47"/>
      <c r="PAS103" s="47"/>
      <c r="PAU103" s="11"/>
      <c r="PEB103" s="47"/>
      <c r="PEG103" s="47"/>
      <c r="PEI103" s="11"/>
      <c r="PHP103" s="47"/>
      <c r="PHU103" s="47"/>
      <c r="PHW103" s="11"/>
      <c r="PLD103" s="47"/>
      <c r="PLI103" s="47"/>
      <c r="PLK103" s="11"/>
      <c r="POR103" s="47"/>
      <c r="POW103" s="47"/>
      <c r="POY103" s="11"/>
      <c r="PSF103" s="47"/>
      <c r="PSK103" s="47"/>
      <c r="PSM103" s="11"/>
      <c r="PVT103" s="47"/>
      <c r="PVY103" s="47"/>
      <c r="PWA103" s="11"/>
      <c r="PZH103" s="47"/>
      <c r="PZM103" s="47"/>
      <c r="PZO103" s="11"/>
      <c r="QCV103" s="47"/>
      <c r="QDA103" s="47"/>
      <c r="QDC103" s="11"/>
      <c r="QGJ103" s="47"/>
      <c r="QGO103" s="47"/>
      <c r="QGQ103" s="11"/>
      <c r="QJX103" s="47"/>
      <c r="QKC103" s="47"/>
      <c r="QKE103" s="11"/>
      <c r="QNL103" s="47"/>
      <c r="QNQ103" s="47"/>
      <c r="QNS103" s="11"/>
      <c r="QQZ103" s="47"/>
      <c r="QRE103" s="47"/>
      <c r="QRG103" s="11"/>
      <c r="QUN103" s="47"/>
      <c r="QUS103" s="47"/>
      <c r="QUU103" s="11"/>
      <c r="QYB103" s="47"/>
      <c r="QYG103" s="47"/>
      <c r="QYI103" s="11"/>
      <c r="RBP103" s="47"/>
      <c r="RBU103" s="47"/>
      <c r="RBW103" s="11"/>
      <c r="RFD103" s="47"/>
      <c r="RFI103" s="47"/>
      <c r="RFK103" s="11"/>
      <c r="RIR103" s="47"/>
      <c r="RIW103" s="47"/>
      <c r="RIY103" s="11"/>
      <c r="RMF103" s="47"/>
      <c r="RMK103" s="47"/>
      <c r="RMM103" s="11"/>
      <c r="RPT103" s="47"/>
      <c r="RPY103" s="47"/>
      <c r="RQA103" s="11"/>
      <c r="RTH103" s="47"/>
      <c r="RTM103" s="47"/>
      <c r="RTO103" s="11"/>
      <c r="RWV103" s="47"/>
      <c r="RXA103" s="47"/>
      <c r="RXC103" s="11"/>
      <c r="SAJ103" s="47"/>
      <c r="SAO103" s="47"/>
      <c r="SAQ103" s="11"/>
      <c r="SDX103" s="47"/>
      <c r="SEC103" s="47"/>
      <c r="SEE103" s="11"/>
      <c r="SHL103" s="47"/>
      <c r="SHQ103" s="47"/>
      <c r="SHS103" s="11"/>
      <c r="SKZ103" s="47"/>
      <c r="SLE103" s="47"/>
      <c r="SLG103" s="11"/>
      <c r="SON103" s="47"/>
      <c r="SOS103" s="47"/>
      <c r="SOU103" s="11"/>
      <c r="SSB103" s="47"/>
      <c r="SSG103" s="47"/>
      <c r="SSI103" s="11"/>
      <c r="SVP103" s="47"/>
      <c r="SVU103" s="47"/>
      <c r="SVW103" s="11"/>
      <c r="SZD103" s="47"/>
      <c r="SZI103" s="47"/>
      <c r="SZK103" s="11"/>
      <c r="TCR103" s="47"/>
      <c r="TCW103" s="47"/>
      <c r="TCY103" s="11"/>
      <c r="TGF103" s="47"/>
      <c r="TGK103" s="47"/>
      <c r="TGM103" s="11"/>
      <c r="TJT103" s="47"/>
      <c r="TJY103" s="47"/>
      <c r="TKA103" s="11"/>
      <c r="TNH103" s="47"/>
      <c r="TNM103" s="47"/>
      <c r="TNO103" s="11"/>
      <c r="TQV103" s="47"/>
      <c r="TRA103" s="47"/>
      <c r="TRC103" s="11"/>
      <c r="TUJ103" s="47"/>
      <c r="TUO103" s="47"/>
      <c r="TUQ103" s="11"/>
      <c r="TXX103" s="47"/>
      <c r="TYC103" s="47"/>
      <c r="TYE103" s="11"/>
      <c r="UBL103" s="47"/>
      <c r="UBQ103" s="47"/>
      <c r="UBS103" s="11"/>
      <c r="UEZ103" s="47"/>
      <c r="UFE103" s="47"/>
      <c r="UFG103" s="11"/>
      <c r="UIN103" s="47"/>
      <c r="UIS103" s="47"/>
      <c r="UIU103" s="11"/>
      <c r="UMB103" s="47"/>
      <c r="UMG103" s="47"/>
      <c r="UMI103" s="11"/>
      <c r="UPP103" s="47"/>
      <c r="UPU103" s="47"/>
      <c r="UPW103" s="11"/>
      <c r="UTD103" s="47"/>
      <c r="UTI103" s="47"/>
      <c r="UTK103" s="11"/>
      <c r="UWR103" s="47"/>
      <c r="UWW103" s="47"/>
      <c r="UWY103" s="11"/>
      <c r="VAF103" s="47"/>
      <c r="VAK103" s="47"/>
      <c r="VAM103" s="11"/>
      <c r="VDT103" s="47"/>
      <c r="VDY103" s="47"/>
      <c r="VEA103" s="11"/>
      <c r="VHH103" s="47"/>
      <c r="VHM103" s="47"/>
      <c r="VHO103" s="11"/>
      <c r="VKV103" s="47"/>
      <c r="VLA103" s="47"/>
      <c r="VLC103" s="11"/>
      <c r="VOJ103" s="47"/>
      <c r="VOO103" s="47"/>
      <c r="VOQ103" s="11"/>
      <c r="VRX103" s="47"/>
      <c r="VSC103" s="47"/>
      <c r="VSE103" s="11"/>
      <c r="VVL103" s="47"/>
      <c r="VVQ103" s="47"/>
      <c r="VVS103" s="11"/>
      <c r="VYZ103" s="47"/>
      <c r="VZE103" s="47"/>
      <c r="VZG103" s="11"/>
      <c r="WCN103" s="47"/>
      <c r="WCS103" s="47"/>
      <c r="WCU103" s="11"/>
      <c r="WGB103" s="47"/>
      <c r="WGG103" s="47"/>
      <c r="WGI103" s="11"/>
      <c r="WJP103" s="47"/>
      <c r="WJU103" s="47"/>
      <c r="WJW103" s="11"/>
      <c r="WND103" s="47"/>
      <c r="WNI103" s="47"/>
      <c r="WNK103" s="11"/>
      <c r="WQR103" s="47"/>
      <c r="WQW103" s="47"/>
      <c r="WQY103" s="11"/>
      <c r="WUF103" s="47"/>
      <c r="WUK103" s="47"/>
      <c r="WUM103" s="11"/>
      <c r="WXT103" s="47"/>
      <c r="WXY103" s="47"/>
      <c r="WYA103" s="11"/>
      <c r="XBH103" s="47"/>
      <c r="XBM103" s="47"/>
      <c r="XBO103" s="11"/>
      <c r="XEV103" s="47"/>
      <c r="XFA103" s="47"/>
      <c r="XFC103" s="11"/>
    </row>
    <row r="104" spans="1:1019 1104:2031 2116:3043 3128:4055 4140:5067 5152:6079 6164:7091 7176:8188 8193:9207 9292:10219 10304:11231 11316:12243 12328:13255 13340:14267 14352:15279 15364:16383" s="141" customFormat="1" ht="14.65" customHeight="1">
      <c r="A104" s="153"/>
      <c r="B104" s="153"/>
      <c r="C104" s="153"/>
      <c r="D104" s="153"/>
      <c r="E104" s="153"/>
      <c r="F104" s="153"/>
      <c r="G104" s="179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  <c r="AV104" s="153"/>
      <c r="AW104" s="153"/>
      <c r="AX104" s="153"/>
      <c r="AY104" s="153"/>
      <c r="AZ104" s="153"/>
      <c r="BA104" s="153"/>
      <c r="BB104" s="153"/>
      <c r="BC104" s="153"/>
      <c r="BD104" s="153"/>
      <c r="BE104" s="153"/>
      <c r="BF104" s="153"/>
      <c r="BG104" s="153"/>
      <c r="BH104" s="153"/>
      <c r="BI104" s="153"/>
      <c r="BJ104" s="153"/>
      <c r="BK104" s="153"/>
      <c r="BL104" s="153"/>
      <c r="BM104" s="153"/>
      <c r="BN104" s="153"/>
      <c r="BO104" s="153"/>
      <c r="BP104" s="153"/>
      <c r="BQ104" s="153"/>
      <c r="BR104" s="153"/>
      <c r="BS104" s="153"/>
      <c r="BT104" s="153"/>
      <c r="BU104" s="153"/>
      <c r="BV104" s="153"/>
      <c r="BW104" s="153"/>
      <c r="BX104" s="153"/>
      <c r="BY104" s="153"/>
      <c r="BZ104" s="153"/>
      <c r="CA104" s="153"/>
      <c r="CB104" s="153"/>
      <c r="CC104" s="153"/>
      <c r="CD104" s="153"/>
      <c r="CE104" s="153"/>
      <c r="CF104" s="153"/>
      <c r="CG104" s="153"/>
      <c r="CH104" s="153"/>
      <c r="CI104" s="153"/>
      <c r="CJ104" s="153"/>
      <c r="CK104" s="153"/>
      <c r="CL104" s="153"/>
      <c r="CM104" s="153"/>
      <c r="CN104" s="153"/>
      <c r="CO104" s="153"/>
    </row>
    <row r="105" spans="1:1019 1104:2031 2116:3043 3128:4055 4140:5067 5152:6079 6164:7091 7176:8188 8193:9207 9292:10219 10304:11231 11316:12243 12328:13255 13340:14267 14352:15279 15364:16383" s="141" customFormat="1" ht="14.65" customHeight="1">
      <c r="A105" s="153"/>
      <c r="B105" s="153"/>
      <c r="C105" s="17" t="s">
        <v>1023</v>
      </c>
      <c r="D105" s="153"/>
      <c r="E105" s="153"/>
      <c r="F105" s="153"/>
      <c r="G105" s="179" t="str">
        <f>Monetary_Unit</f>
        <v>тыс. руб.</v>
      </c>
      <c r="H105" s="153"/>
      <c r="I105" s="23">
        <f ca="1">SUM(L105:CO105)</f>
        <v>2582844.3329367456</v>
      </c>
      <c r="J105" s="153"/>
      <c r="K105" s="153"/>
      <c r="L105" s="10">
        <f ca="1" xml:space="preserve"> - (Расчеты!L970 + Расчеты!L971)</f>
        <v>0</v>
      </c>
      <c r="M105" s="10">
        <f ca="1" xml:space="preserve"> - (Расчеты!M970 + Расчеты!M971)</f>
        <v>0</v>
      </c>
      <c r="N105" s="10">
        <f ca="1" xml:space="preserve"> - (Расчеты!N970 + Расчеты!N971)</f>
        <v>0</v>
      </c>
      <c r="O105" s="10">
        <f ca="1" xml:space="preserve"> - (Расчеты!O970 + Расчеты!O971)</f>
        <v>0</v>
      </c>
      <c r="P105" s="10">
        <f ca="1" xml:space="preserve"> - (Расчеты!P970 + Расчеты!P971)</f>
        <v>0</v>
      </c>
      <c r="Q105" s="10">
        <f ca="1" xml:space="preserve"> - (Расчеты!Q970 + Расчеты!Q971)</f>
        <v>0</v>
      </c>
      <c r="R105" s="10">
        <f ca="1" xml:space="preserve"> - (Расчеты!R970 + Расчеты!R971)</f>
        <v>0</v>
      </c>
      <c r="S105" s="10">
        <f ca="1" xml:space="preserve"> - (Расчеты!S970 + Расчеты!S971)</f>
        <v>0</v>
      </c>
      <c r="T105" s="10">
        <f ca="1" xml:space="preserve"> - (Расчеты!T970 + Расчеты!T971)</f>
        <v>0</v>
      </c>
      <c r="U105" s="10">
        <f ca="1" xml:space="preserve"> - (Расчеты!U970 + Расчеты!U971)</f>
        <v>0</v>
      </c>
      <c r="V105" s="10">
        <f ca="1" xml:space="preserve"> - (Расчеты!V970 + Расчеты!V971)</f>
        <v>0</v>
      </c>
      <c r="W105" s="10">
        <f ca="1" xml:space="preserve"> - (Расчеты!W970 + Расчеты!W971)</f>
        <v>0</v>
      </c>
      <c r="X105" s="10">
        <f ca="1" xml:space="preserve"> - (Расчеты!X970 + Расчеты!X971)</f>
        <v>0</v>
      </c>
      <c r="Y105" s="10">
        <f ca="1" xml:space="preserve"> - (Расчеты!Y970 + Расчеты!Y971)</f>
        <v>0</v>
      </c>
      <c r="Z105" s="10">
        <f ca="1" xml:space="preserve"> - (Расчеты!Z970 + Расчеты!Z971)</f>
        <v>0</v>
      </c>
      <c r="AA105" s="10">
        <f ca="1" xml:space="preserve"> - (Расчеты!AA970 + Расчеты!AA971)</f>
        <v>0</v>
      </c>
      <c r="AB105" s="10">
        <f ca="1" xml:space="preserve"> - (Расчеты!AB970 + Расчеты!AB971)</f>
        <v>0</v>
      </c>
      <c r="AC105" s="10">
        <f ca="1" xml:space="preserve"> - (Расчеты!AC970 + Расчеты!AC971)</f>
        <v>0</v>
      </c>
      <c r="AD105" s="10">
        <f ca="1" xml:space="preserve"> - (Расчеты!AD970 + Расчеты!AD971)</f>
        <v>0</v>
      </c>
      <c r="AE105" s="10">
        <f ca="1" xml:space="preserve"> - (Расчеты!AE970 + Расчеты!AE971)</f>
        <v>0</v>
      </c>
      <c r="AF105" s="10">
        <f ca="1" xml:space="preserve"> - (Расчеты!AF970 + Расчеты!AF971)</f>
        <v>0</v>
      </c>
      <c r="AG105" s="10">
        <f ca="1" xml:space="preserve"> - (Расчеты!AG970 + Расчеты!AG971)</f>
        <v>0</v>
      </c>
      <c r="AH105" s="10">
        <f ca="1" xml:space="preserve"> - (Расчеты!AH970 + Расчеты!AH971)</f>
        <v>0</v>
      </c>
      <c r="AI105" s="10">
        <f ca="1" xml:space="preserve"> - (Расчеты!AI970 + Расчеты!AI971)</f>
        <v>0</v>
      </c>
      <c r="AJ105" s="10">
        <f ca="1" xml:space="preserve"> - (Расчеты!AJ970 + Расчеты!AJ971)</f>
        <v>0</v>
      </c>
      <c r="AK105" s="10">
        <f ca="1" xml:space="preserve"> - (Расчеты!AK970 + Расчеты!AK971)</f>
        <v>0</v>
      </c>
      <c r="AL105" s="10">
        <f ca="1" xml:space="preserve"> - (Расчеты!AL970 + Расчеты!AL971)</f>
        <v>0</v>
      </c>
      <c r="AM105" s="10">
        <f ca="1" xml:space="preserve"> - (Расчеты!AM970 + Расчеты!AM971)</f>
        <v>0</v>
      </c>
      <c r="AN105" s="10">
        <f ca="1" xml:space="preserve"> - (Расчеты!AN970 + Расчеты!AN971)</f>
        <v>0</v>
      </c>
      <c r="AO105" s="10">
        <f ca="1" xml:space="preserve"> - (Расчеты!AO970 + Расчеты!AO971)</f>
        <v>0</v>
      </c>
      <c r="AP105" s="10">
        <f ca="1" xml:space="preserve"> - (Расчеты!AP970 + Расчеты!AP971)</f>
        <v>0</v>
      </c>
      <c r="AQ105" s="10">
        <f ca="1" xml:space="preserve"> - (Расчеты!AQ970 + Расчеты!AQ971)</f>
        <v>0</v>
      </c>
      <c r="AR105" s="10">
        <f ca="1" xml:space="preserve"> - (Расчеты!AR970 + Расчеты!AR971)</f>
        <v>0</v>
      </c>
      <c r="AS105" s="10">
        <f ca="1" xml:space="preserve"> - (Расчеты!AS970 + Расчеты!AS971)</f>
        <v>0</v>
      </c>
      <c r="AT105" s="10">
        <f ca="1" xml:space="preserve"> - (Расчеты!AT970 + Расчеты!AT971)</f>
        <v>0</v>
      </c>
      <c r="AU105" s="10">
        <f ca="1" xml:space="preserve"> - (Расчеты!AU970 + Расчеты!AU971)</f>
        <v>0</v>
      </c>
      <c r="AV105" s="10">
        <f ca="1" xml:space="preserve"> - (Расчеты!AV970 + Расчеты!AV971)</f>
        <v>0</v>
      </c>
      <c r="AW105" s="10">
        <f ca="1" xml:space="preserve"> - (Расчеты!AW970 + Расчеты!AW971)</f>
        <v>0</v>
      </c>
      <c r="AX105" s="10">
        <f ca="1" xml:space="preserve"> - (Расчеты!AX970 + Расчеты!AX971)</f>
        <v>46479.25438646238</v>
      </c>
      <c r="AY105" s="10">
        <f ca="1" xml:space="preserve"> - (Расчеты!AY970 + Расчеты!AY971)</f>
        <v>87172.977251210803</v>
      </c>
      <c r="AZ105" s="10">
        <f ca="1" xml:space="preserve"> - (Расчеты!AZ970 + Расчеты!AZ971)</f>
        <v>30782.112161338224</v>
      </c>
      <c r="BA105" s="10">
        <f ca="1" xml:space="preserve"> - (Расчеты!BA970 + Расчеты!BA971)</f>
        <v>26999.055032837514</v>
      </c>
      <c r="BB105" s="10">
        <f ca="1" xml:space="preserve"> - (Расчеты!BB970 + Расчеты!BB971)</f>
        <v>48338.424561920867</v>
      </c>
      <c r="BC105" s="10">
        <f ca="1" xml:space="preserve"> - (Расчеты!BC970 + Расчеты!BC971)</f>
        <v>90659.896341259198</v>
      </c>
      <c r="BD105" s="10">
        <f ca="1" xml:space="preserve"> - (Расчеты!BD970 + Расчеты!BD971)</f>
        <v>32013.396647791735</v>
      </c>
      <c r="BE105" s="10">
        <f ca="1" xml:space="preserve"> - (Расчеты!BE970 + Расчеты!BE971)</f>
        <v>28391.165156486535</v>
      </c>
      <c r="BF105" s="10">
        <f ca="1" xml:space="preserve"> - (Расчеты!BF970 + Расчеты!BF971)</f>
        <v>50272.121951488145</v>
      </c>
      <c r="BG105" s="10">
        <f ca="1" xml:space="preserve"> - (Расчеты!BG970 + Расчеты!BG971)</f>
        <v>94286.455962640262</v>
      </c>
      <c r="BH105" s="10">
        <f ca="1" xml:space="preserve"> - (Расчеты!BH970 + Расчеты!BH971)</f>
        <v>33294.097895104176</v>
      </c>
      <c r="BI105" s="10">
        <f ca="1" xml:space="preserve"> - (Расчеты!BI970 + Расчеты!BI971)</f>
        <v>29202.177923517062</v>
      </c>
      <c r="BJ105" s="10">
        <f ca="1" xml:space="preserve"> - (Расчеты!BJ970 + Расчеты!BJ971)</f>
        <v>52282.840006173588</v>
      </c>
      <c r="BK105" s="10">
        <f ca="1" xml:space="preserve"> - (Расчеты!BK970 + Расчеты!BK971)</f>
        <v>98057.74388270588</v>
      </c>
      <c r="BL105" s="10">
        <f ca="1" xml:space="preserve"> - (Расчеты!BL970 + Расчеты!BL971)</f>
        <v>34625.689814251542</v>
      </c>
      <c r="BM105" s="10">
        <f ca="1" xml:space="preserve"> - (Расчеты!BM970 + Расчеты!BM971)</f>
        <v>30370.265040457743</v>
      </c>
      <c r="BN105" s="10">
        <f ca="1" xml:space="preserve"> - (Расчеты!BN970 + Расчеты!BN971)</f>
        <v>54374.153606420543</v>
      </c>
      <c r="BO105" s="10">
        <f ca="1" xml:space="preserve"> - (Расчеты!BO970 + Расчеты!BO971)</f>
        <v>101980.05363801408</v>
      </c>
      <c r="BP105" s="10">
        <f ca="1" xml:space="preserve"> - (Расчеты!BP970 + Расчеты!BP971)</f>
        <v>36010.717406821597</v>
      </c>
      <c r="BQ105" s="10">
        <f ca="1" xml:space="preserve"> - (Расчеты!BQ970 + Расчеты!BQ971)</f>
        <v>31585.075642076044</v>
      </c>
      <c r="BR105" s="10">
        <f ca="1" xml:space="preserve"> - (Расчеты!BR970 + Расчеты!BR971)</f>
        <v>56549.119750677346</v>
      </c>
      <c r="BS105" s="10">
        <f ca="1" xml:space="preserve"> - (Расчеты!BS970 + Расчеты!BS971)</f>
        <v>106059.25578353468</v>
      </c>
      <c r="BT105" s="10">
        <f ca="1" xml:space="preserve"> - (Расчеты!BT970 + Расчеты!BT971)</f>
        <v>37451.146103094448</v>
      </c>
      <c r="BU105" s="10">
        <f ca="1" xml:space="preserve"> - (Расчеты!BU970 + Расчеты!BU971)</f>
        <v>33213.647586689483</v>
      </c>
      <c r="BV105" s="10">
        <f ca="1" xml:space="preserve"> - (Расчеты!BV970 + Расчеты!BV971)</f>
        <v>58811.272194312245</v>
      </c>
      <c r="BW105" s="10">
        <f ca="1" xml:space="preserve"> - (Расчеты!BW970 + Расчеты!BW971)</f>
        <v>110301.81759995766</v>
      </c>
      <c r="BX105" s="10">
        <f ca="1" xml:space="preserve"> - (Расчеты!BX970 + Расчеты!BX971)</f>
        <v>38949.385420065577</v>
      </c>
      <c r="BY105" s="10">
        <f ca="1" xml:space="preserve"> - (Расчеты!BY970 + Расчеты!BY971)</f>
        <v>34162.417814469431</v>
      </c>
      <c r="BZ105" s="10">
        <f ca="1" xml:space="preserve"> - (Расчеты!BZ970 + Расчеты!BZ971)</f>
        <v>61163.527922332607</v>
      </c>
      <c r="CA105" s="10">
        <f ca="1" xml:space="preserve"> - (Расчеты!CA970 + Расчеты!CA971)</f>
        <v>114713.69105547106</v>
      </c>
      <c r="CB105" s="10">
        <f ca="1" xml:space="preserve"> - (Расчеты!CB970 + Расчеты!CB971)</f>
        <v>40507.15962510695</v>
      </c>
      <c r="CC105" s="10">
        <f ca="1" xml:space="preserve"> - (Расчеты!CC970 + Расчеты!CC971)</f>
        <v>35528.914527048204</v>
      </c>
      <c r="CD105" s="10">
        <f ca="1" xml:space="preserve"> - (Расчеты!CD970 + Расчеты!CD971)</f>
        <v>63610.069039225898</v>
      </c>
      <c r="CE105" s="10">
        <f ca="1" xml:space="preserve"> - (Расчеты!CE970 + Расчеты!CE971)</f>
        <v>119302.23869768989</v>
      </c>
      <c r="CF105" s="10">
        <f ca="1" xml:space="preserve"> - (Расчеты!CF970 + Расчеты!CF971)</f>
        <v>42127.44601011122</v>
      </c>
      <c r="CG105" s="10">
        <f ca="1" xml:space="preserve"> - (Расчеты!CG970 + Расчеты!CG971)</f>
        <v>36950.071108130127</v>
      </c>
      <c r="CH105" s="10">
        <f ca="1" xml:space="preserve"> - (Расчеты!CH970 + Расчеты!CH971)</f>
        <v>66154.471800794912</v>
      </c>
      <c r="CI105" s="10">
        <f ca="1" xml:space="preserve"> - (Расчеты!CI970 + Расчеты!CI971)</f>
        <v>124074.32824559747</v>
      </c>
      <c r="CJ105" s="10">
        <f ca="1" xml:space="preserve"> - (Расчеты!CJ970 + Расчеты!CJ971)</f>
        <v>43812.543850515678</v>
      </c>
      <c r="CK105" s="10">
        <f ca="1" xml:space="preserve"> - (Расчеты!CK970 + Расчеты!CK971)</f>
        <v>38855.269938112033</v>
      </c>
      <c r="CL105" s="10">
        <f ca="1" xml:space="preserve"> - (Расчеты!CL970 + Расчеты!CL971)</f>
        <v>68800.870201006124</v>
      </c>
      <c r="CM105" s="10">
        <f ca="1" xml:space="preserve"> - (Расчеты!CM970 + Расчеты!CM971)</f>
        <v>129037.52550286913</v>
      </c>
      <c r="CN105" s="10">
        <f ca="1" xml:space="preserve"> - (Расчеты!CN970 + Расчеты!CN971)</f>
        <v>45565.27194040289</v>
      </c>
      <c r="CO105" s="10">
        <f ca="1" xml:space="preserve"> - (Расчеты!CO970 + Расчеты!CO971)</f>
        <v>39965.196910553546</v>
      </c>
    </row>
    <row r="106" spans="1:1019 1104:2031 2116:3043 3128:4055 4140:5067 5152:6079 6164:7091 7176:8188 8193:9207 9292:10219 10304:11231 11316:12243 12328:13255 13340:14267 14352:15279 15364:16383" s="141" customFormat="1" ht="14.65" customHeight="1">
      <c r="A106" s="153"/>
      <c r="B106" s="153"/>
      <c r="C106" s="17" t="s">
        <v>303</v>
      </c>
      <c r="D106" s="153"/>
      <c r="E106" s="153"/>
      <c r="F106" s="153"/>
      <c r="G106" s="179" t="str">
        <f>Monetary_Unit</f>
        <v>тыс. руб.</v>
      </c>
      <c r="H106" s="153"/>
      <c r="I106" s="23">
        <f ca="1">SUM(L106:CO106)</f>
        <v>-939517.6963137642</v>
      </c>
      <c r="J106" s="153"/>
      <c r="K106" s="153"/>
      <c r="L106" s="10">
        <f ca="1">Расчеты!L981+Расчеты!L982</f>
        <v>0</v>
      </c>
      <c r="M106" s="10">
        <f ca="1">Расчеты!M981+Расчеты!M982</f>
        <v>0</v>
      </c>
      <c r="N106" s="10">
        <f ca="1">Расчеты!N981+Расчеты!N982</f>
        <v>0</v>
      </c>
      <c r="O106" s="10">
        <f ca="1">Расчеты!O981+Расчеты!O982</f>
        <v>0</v>
      </c>
      <c r="P106" s="10">
        <f ca="1">Расчеты!P981+Расчеты!P982</f>
        <v>0</v>
      </c>
      <c r="Q106" s="10">
        <f ca="1">Расчеты!Q981+Расчеты!Q982</f>
        <v>0</v>
      </c>
      <c r="R106" s="10">
        <f ca="1">Расчеты!R981+Расчеты!R982</f>
        <v>0</v>
      </c>
      <c r="S106" s="10">
        <f ca="1">Расчеты!S981+Расчеты!S982</f>
        <v>0</v>
      </c>
      <c r="T106" s="10">
        <f ca="1">Расчеты!T981+Расчеты!T982</f>
        <v>0</v>
      </c>
      <c r="U106" s="10">
        <f ca="1">Расчеты!U981+Расчеты!U982</f>
        <v>0</v>
      </c>
      <c r="V106" s="10">
        <f ca="1">Расчеты!V981+Расчеты!V982</f>
        <v>0</v>
      </c>
      <c r="W106" s="10">
        <f ca="1">Расчеты!W981+Расчеты!W982</f>
        <v>0</v>
      </c>
      <c r="X106" s="10">
        <f ca="1">Расчеты!X981+Расчеты!X982</f>
        <v>0</v>
      </c>
      <c r="Y106" s="10">
        <f ca="1">Расчеты!Y981+Расчеты!Y982</f>
        <v>0</v>
      </c>
      <c r="Z106" s="10">
        <f ca="1">Расчеты!Z981+Расчеты!Z982</f>
        <v>0</v>
      </c>
      <c r="AA106" s="10">
        <f ca="1">Расчеты!AA981+Расчеты!AA982</f>
        <v>0</v>
      </c>
      <c r="AB106" s="10">
        <f ca="1">Расчеты!AB981+Расчеты!AB982</f>
        <v>0</v>
      </c>
      <c r="AC106" s="10">
        <f ca="1">Расчеты!AC981+Расчеты!AC982</f>
        <v>-507451.95050251036</v>
      </c>
      <c r="AD106" s="10">
        <f ca="1">Расчеты!AD981+Расчеты!AD982</f>
        <v>-110005.14195495863</v>
      </c>
      <c r="AE106" s="10">
        <f ca="1">Расчеты!AE981+Расчеты!AE982</f>
        <v>-11422.887247221315</v>
      </c>
      <c r="AF106" s="10">
        <f ca="1">Расчеты!AF981+Расчеты!AF982</f>
        <v>-23278.821301859451</v>
      </c>
      <c r="AG106" s="10">
        <f ca="1">Расчеты!AG981+Расчеты!AG982</f>
        <v>-7791.8173422687105</v>
      </c>
      <c r="AH106" s="10">
        <f ca="1">Расчеты!AH981+Расчеты!AH982</f>
        <v>-6908.8504737552994</v>
      </c>
      <c r="AI106" s="10">
        <f ca="1">Расчеты!AI981+Расчеты!AI982</f>
        <v>-13318.803120198072</v>
      </c>
      <c r="AJ106" s="10">
        <f ca="1">Расчеты!AJ981+Расчеты!AJ982</f>
        <v>-27061.573908005023</v>
      </c>
      <c r="AK106" s="10">
        <f ca="1">Расчеты!AK981+Расчеты!AK982</f>
        <v>-9026.9486138278335</v>
      </c>
      <c r="AL106" s="10">
        <f ca="1">Расчеты!AL981+Расчеты!AL982</f>
        <v>-7980.6650179042736</v>
      </c>
      <c r="AM106" s="10">
        <f ca="1">Расчеты!AM981+Расчеты!AM982</f>
        <v>-15348.115643417412</v>
      </c>
      <c r="AN106" s="10">
        <f ca="1">Расчеты!AN981+Расчеты!AN982</f>
        <v>-31109.700608559247</v>
      </c>
      <c r="AO106" s="10">
        <f ca="1">Расчеты!AO981+Расчеты!AO982</f>
        <v>-10348.423479364079</v>
      </c>
      <c r="AP106" s="10">
        <f ca="1">Расчеты!AP981+Расчеты!AP982</f>
        <v>-9228.4477923332597</v>
      </c>
      <c r="AQ106" s="10">
        <f ca="1">Расчеты!AQ981+Расчеты!AQ982</f>
        <v>-17518.325966848792</v>
      </c>
      <c r="AR106" s="10">
        <f ca="1">Расчеты!AR981+Расчеты!AR982</f>
        <v>-34667.166364061552</v>
      </c>
      <c r="AS106" s="10">
        <f ca="1">Расчеты!AS981+Расчеты!AS982</f>
        <v>-11261.625448735358</v>
      </c>
      <c r="AT106" s="10">
        <f ca="1">Расчеты!AT981+Расчеты!AT982</f>
        <v>-9707.3499134339854</v>
      </c>
      <c r="AU106" s="10">
        <f ca="1">Расчеты!AU981+Расчеты!AU982</f>
        <v>-18219.201606842045</v>
      </c>
      <c r="AV106" s="10">
        <f ca="1">Расчеты!AV981+Расчеты!AV982</f>
        <v>-36053.998607540314</v>
      </c>
      <c r="AW106" s="10">
        <f ca="1">Расчеты!AW981+Расчеты!AW982</f>
        <v>-11712.237490147843</v>
      </c>
      <c r="AX106" s="10">
        <f ca="1">Расчеты!AX981+Расчеты!AX982</f>
        <v>-10095.643909971333</v>
      </c>
      <c r="AY106" s="10">
        <f ca="1">Расчеты!AY981+Расчеты!AY982</f>
        <v>0</v>
      </c>
      <c r="AZ106" s="10">
        <f ca="1">Расчеты!AZ981+Расчеты!AZ982</f>
        <v>0</v>
      </c>
      <c r="BA106" s="10">
        <f ca="1">Расчеты!BA981+Расчеты!BA982</f>
        <v>0</v>
      </c>
      <c r="BB106" s="10">
        <f ca="1">Расчеты!BB981+Расчеты!BB982</f>
        <v>0</v>
      </c>
      <c r="BC106" s="10">
        <f ca="1">Расчеты!BC981+Расчеты!BC982</f>
        <v>0</v>
      </c>
      <c r="BD106" s="10">
        <f ca="1">Расчеты!BD981+Расчеты!BD982</f>
        <v>0</v>
      </c>
      <c r="BE106" s="10">
        <f ca="1">Расчеты!BE981+Расчеты!BE982</f>
        <v>0</v>
      </c>
      <c r="BF106" s="10">
        <f ca="1">Расчеты!BF981+Расчеты!BF982</f>
        <v>0</v>
      </c>
      <c r="BG106" s="10">
        <f ca="1">Расчеты!BG981+Расчеты!BG982</f>
        <v>0</v>
      </c>
      <c r="BH106" s="10">
        <f ca="1">Расчеты!BH981+Расчеты!BH982</f>
        <v>0</v>
      </c>
      <c r="BI106" s="10">
        <f ca="1">Расчеты!BI981+Расчеты!BI982</f>
        <v>0</v>
      </c>
      <c r="BJ106" s="10">
        <f ca="1">Расчеты!BJ981+Расчеты!BJ982</f>
        <v>0</v>
      </c>
      <c r="BK106" s="10">
        <f ca="1">Расчеты!BK981+Расчеты!BK982</f>
        <v>0</v>
      </c>
      <c r="BL106" s="10">
        <f ca="1">Расчеты!BL981+Расчеты!BL982</f>
        <v>0</v>
      </c>
      <c r="BM106" s="10">
        <f ca="1">Расчеты!BM981+Расчеты!BM982</f>
        <v>0</v>
      </c>
      <c r="BN106" s="10">
        <f ca="1">Расчеты!BN981+Расчеты!BN982</f>
        <v>0</v>
      </c>
      <c r="BO106" s="10">
        <f ca="1">Расчеты!BO981+Расчеты!BO982</f>
        <v>0</v>
      </c>
      <c r="BP106" s="10">
        <f ca="1">Расчеты!BP981+Расчеты!BP982</f>
        <v>0</v>
      </c>
      <c r="BQ106" s="10">
        <f ca="1">Расчеты!BQ981+Расчеты!BQ982</f>
        <v>0</v>
      </c>
      <c r="BR106" s="10">
        <f ca="1">Расчеты!BR981+Расчеты!BR982</f>
        <v>0</v>
      </c>
      <c r="BS106" s="10">
        <f ca="1">Расчеты!BS981+Расчеты!BS982</f>
        <v>0</v>
      </c>
      <c r="BT106" s="10">
        <f ca="1">Расчеты!BT981+Расчеты!BT982</f>
        <v>0</v>
      </c>
      <c r="BU106" s="10">
        <f ca="1">Расчеты!BU981+Расчеты!BU982</f>
        <v>0</v>
      </c>
      <c r="BV106" s="10">
        <f ca="1">Расчеты!BV981+Расчеты!BV982</f>
        <v>0</v>
      </c>
      <c r="BW106" s="10">
        <f ca="1">Расчеты!BW981+Расчеты!BW982</f>
        <v>0</v>
      </c>
      <c r="BX106" s="10">
        <f ca="1">Расчеты!BX981+Расчеты!BX982</f>
        <v>0</v>
      </c>
      <c r="BY106" s="10">
        <f ca="1">Расчеты!BY981+Расчеты!BY982</f>
        <v>0</v>
      </c>
      <c r="BZ106" s="10">
        <f ca="1">Расчеты!BZ981+Расчеты!BZ982</f>
        <v>0</v>
      </c>
      <c r="CA106" s="10">
        <f ca="1">Расчеты!CA981+Расчеты!CA982</f>
        <v>0</v>
      </c>
      <c r="CB106" s="10">
        <f ca="1">Расчеты!CB981+Расчеты!CB982</f>
        <v>0</v>
      </c>
      <c r="CC106" s="10">
        <f ca="1">Расчеты!CC981+Расчеты!CC982</f>
        <v>0</v>
      </c>
      <c r="CD106" s="10">
        <f ca="1">Расчеты!CD981+Расчеты!CD982</f>
        <v>0</v>
      </c>
      <c r="CE106" s="10">
        <f ca="1">Расчеты!CE981+Расчеты!CE982</f>
        <v>0</v>
      </c>
      <c r="CF106" s="10">
        <f ca="1">Расчеты!CF981+Расчеты!CF982</f>
        <v>0</v>
      </c>
      <c r="CG106" s="10">
        <f ca="1">Расчеты!CG981+Расчеты!CG982</f>
        <v>0</v>
      </c>
      <c r="CH106" s="10">
        <f ca="1">Расчеты!CH981+Расчеты!CH982</f>
        <v>0</v>
      </c>
      <c r="CI106" s="10">
        <f ca="1">Расчеты!CI981+Расчеты!CI982</f>
        <v>0</v>
      </c>
      <c r="CJ106" s="10">
        <f ca="1">Расчеты!CJ981+Расчеты!CJ982</f>
        <v>0</v>
      </c>
      <c r="CK106" s="10">
        <f ca="1">Расчеты!CK981+Расчеты!CK982</f>
        <v>0</v>
      </c>
      <c r="CL106" s="10">
        <f ca="1">Расчеты!CL981+Расчеты!CL982</f>
        <v>0</v>
      </c>
      <c r="CM106" s="10">
        <f ca="1">Расчеты!CM981+Расчеты!CM982</f>
        <v>0</v>
      </c>
      <c r="CN106" s="10">
        <f ca="1">Расчеты!CN981+Расчеты!CN982</f>
        <v>0</v>
      </c>
      <c r="CO106" s="10">
        <f ca="1">Расчеты!CO981+Расчеты!CO982</f>
        <v>0</v>
      </c>
    </row>
    <row r="107" spans="1:1019 1104:2031 2116:3043 3128:4055 4140:5067 5152:6079 6164:7091 7176:8188 8193:9207 9292:10219 10304:11231 11316:12243 12328:13255 13340:14267 14352:15279 15364:16383" s="141" customFormat="1" ht="14.65" customHeight="1">
      <c r="A107" s="153"/>
      <c r="B107" s="153"/>
      <c r="C107" s="153"/>
      <c r="D107" s="153"/>
      <c r="E107" s="153"/>
      <c r="F107" s="153"/>
      <c r="G107" s="179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  <c r="AV107" s="153"/>
      <c r="AW107" s="153"/>
      <c r="AX107" s="153"/>
      <c r="AY107" s="153"/>
      <c r="AZ107" s="153"/>
      <c r="BA107" s="153"/>
      <c r="BB107" s="153"/>
      <c r="BC107" s="153"/>
      <c r="BD107" s="153"/>
      <c r="BE107" s="153"/>
      <c r="BF107" s="153"/>
      <c r="BG107" s="153"/>
      <c r="BH107" s="153"/>
      <c r="BI107" s="153"/>
      <c r="BJ107" s="153"/>
      <c r="BK107" s="153"/>
      <c r="BL107" s="153"/>
      <c r="BM107" s="153"/>
      <c r="BN107" s="153"/>
      <c r="BO107" s="153"/>
      <c r="BP107" s="153"/>
      <c r="BQ107" s="153"/>
      <c r="BR107" s="153"/>
      <c r="BS107" s="153"/>
      <c r="BT107" s="153"/>
      <c r="BU107" s="153"/>
      <c r="BV107" s="153"/>
      <c r="BW107" s="153"/>
      <c r="BX107" s="153"/>
      <c r="BY107" s="153"/>
      <c r="BZ107" s="153"/>
      <c r="CA107" s="153"/>
      <c r="CB107" s="153"/>
      <c r="CC107" s="153"/>
      <c r="CD107" s="153"/>
      <c r="CE107" s="153"/>
      <c r="CF107" s="153"/>
      <c r="CG107" s="153"/>
      <c r="CH107" s="153"/>
      <c r="CI107" s="153"/>
      <c r="CJ107" s="153"/>
      <c r="CK107" s="153"/>
      <c r="CL107" s="153"/>
      <c r="CM107" s="153"/>
      <c r="CN107" s="153"/>
      <c r="CO107" s="153"/>
    </row>
    <row r="108" spans="1:1019 1104:2031 2116:3043 3128:4055 4140:5067 5152:6079 6164:7091 7176:8188 8193:9207 9292:10219 10304:11231 11316:12243 12328:13255 13340:14267 14352:15279 15364:16383" s="10" customFormat="1" ht="14.65" customHeight="1" thickBot="1">
      <c r="C108" s="12" t="s">
        <v>1024</v>
      </c>
      <c r="D108" s="12"/>
      <c r="E108" s="12"/>
      <c r="F108" s="12"/>
      <c r="G108" s="360"/>
      <c r="H108" s="12"/>
      <c r="I108" s="12"/>
      <c r="CS108" s="47"/>
      <c r="CU108" s="11"/>
      <c r="GB108" s="47"/>
      <c r="GG108" s="47"/>
      <c r="GI108" s="11"/>
      <c r="JP108" s="47"/>
      <c r="JU108" s="47"/>
      <c r="JW108" s="11"/>
      <c r="ND108" s="47"/>
      <c r="NI108" s="47"/>
      <c r="NK108" s="11"/>
      <c r="QR108" s="47"/>
      <c r="QW108" s="47"/>
      <c r="QY108" s="11"/>
      <c r="UF108" s="47"/>
      <c r="UK108" s="47"/>
      <c r="UM108" s="11"/>
      <c r="XT108" s="47"/>
      <c r="XY108" s="47"/>
      <c r="YA108" s="11"/>
      <c r="ABH108" s="47"/>
      <c r="ABM108" s="47"/>
      <c r="ABO108" s="11"/>
      <c r="AEV108" s="47"/>
      <c r="AFA108" s="47"/>
      <c r="AFC108" s="11"/>
      <c r="AIJ108" s="47"/>
      <c r="AIO108" s="47"/>
      <c r="AIQ108" s="11"/>
      <c r="ALX108" s="47"/>
      <c r="AMC108" s="47"/>
      <c r="AME108" s="11"/>
      <c r="APL108" s="47"/>
      <c r="APQ108" s="47"/>
      <c r="APS108" s="11"/>
      <c r="ASZ108" s="47"/>
      <c r="ATE108" s="47"/>
      <c r="ATG108" s="11"/>
      <c r="AWN108" s="47"/>
      <c r="AWS108" s="47"/>
      <c r="AWU108" s="11"/>
      <c r="BAB108" s="47"/>
      <c r="BAG108" s="47"/>
      <c r="BAI108" s="11"/>
      <c r="BDP108" s="47"/>
      <c r="BDU108" s="47"/>
      <c r="BDW108" s="11"/>
      <c r="BHD108" s="47"/>
      <c r="BHI108" s="47"/>
      <c r="BHK108" s="11"/>
      <c r="BKR108" s="47"/>
      <c r="BKW108" s="47"/>
      <c r="BKY108" s="11"/>
      <c r="BOF108" s="47"/>
      <c r="BOK108" s="47"/>
      <c r="BOM108" s="11"/>
      <c r="BRT108" s="47"/>
      <c r="BRY108" s="47"/>
      <c r="BSA108" s="11"/>
      <c r="BVH108" s="47"/>
      <c r="BVM108" s="47"/>
      <c r="BVO108" s="11"/>
      <c r="BYV108" s="47"/>
      <c r="BZA108" s="47"/>
      <c r="BZC108" s="11"/>
      <c r="CCJ108" s="47"/>
      <c r="CCO108" s="47"/>
      <c r="CCQ108" s="11"/>
      <c r="CFX108" s="47"/>
      <c r="CGC108" s="47"/>
      <c r="CGE108" s="11"/>
      <c r="CJL108" s="47"/>
      <c r="CJQ108" s="47"/>
      <c r="CJS108" s="11"/>
      <c r="CMZ108" s="47"/>
      <c r="CNE108" s="47"/>
      <c r="CNG108" s="11"/>
      <c r="CQN108" s="47"/>
      <c r="CQS108" s="47"/>
      <c r="CQU108" s="11"/>
      <c r="CUB108" s="47"/>
      <c r="CUG108" s="47"/>
      <c r="CUI108" s="11"/>
      <c r="CXP108" s="47"/>
      <c r="CXU108" s="47"/>
      <c r="CXW108" s="11"/>
      <c r="DBD108" s="47"/>
      <c r="DBI108" s="47"/>
      <c r="DBK108" s="11"/>
      <c r="DER108" s="47"/>
      <c r="DEW108" s="47"/>
      <c r="DEY108" s="11"/>
      <c r="DIF108" s="47"/>
      <c r="DIK108" s="47"/>
      <c r="DIM108" s="11"/>
      <c r="DLT108" s="47"/>
      <c r="DLY108" s="47"/>
      <c r="DMA108" s="11"/>
      <c r="DPH108" s="47"/>
      <c r="DPM108" s="47"/>
      <c r="DPO108" s="11"/>
      <c r="DSV108" s="47"/>
      <c r="DTA108" s="47"/>
      <c r="DTC108" s="11"/>
      <c r="DWJ108" s="47"/>
      <c r="DWO108" s="47"/>
      <c r="DWQ108" s="11"/>
      <c r="DZX108" s="47"/>
      <c r="EAC108" s="47"/>
      <c r="EAE108" s="11"/>
      <c r="EDL108" s="47"/>
      <c r="EDQ108" s="47"/>
      <c r="EDS108" s="11"/>
      <c r="EGZ108" s="47"/>
      <c r="EHE108" s="47"/>
      <c r="EHG108" s="11"/>
      <c r="EKN108" s="47"/>
      <c r="EKS108" s="47"/>
      <c r="EKU108" s="11"/>
      <c r="EOB108" s="47"/>
      <c r="EOG108" s="47"/>
      <c r="EOI108" s="11"/>
      <c r="ERP108" s="47"/>
      <c r="ERU108" s="47"/>
      <c r="ERW108" s="11"/>
      <c r="EVD108" s="47"/>
      <c r="EVI108" s="47"/>
      <c r="EVK108" s="11"/>
      <c r="EYR108" s="47"/>
      <c r="EYW108" s="47"/>
      <c r="EYY108" s="11"/>
      <c r="FCF108" s="47"/>
      <c r="FCK108" s="47"/>
      <c r="FCM108" s="11"/>
      <c r="FFT108" s="47"/>
      <c r="FFY108" s="47"/>
      <c r="FGA108" s="11"/>
      <c r="FJH108" s="47"/>
      <c r="FJM108" s="47"/>
      <c r="FJO108" s="11"/>
      <c r="FMV108" s="47"/>
      <c r="FNA108" s="47"/>
      <c r="FNC108" s="11"/>
      <c r="FQJ108" s="47"/>
      <c r="FQO108" s="47"/>
      <c r="FQQ108" s="11"/>
      <c r="FTX108" s="47"/>
      <c r="FUC108" s="47"/>
      <c r="FUE108" s="11"/>
      <c r="FXL108" s="47"/>
      <c r="FXQ108" s="47"/>
      <c r="FXS108" s="11"/>
      <c r="GAZ108" s="47"/>
      <c r="GBE108" s="47"/>
      <c r="GBG108" s="11"/>
      <c r="GEN108" s="47"/>
      <c r="GES108" s="47"/>
      <c r="GEU108" s="11"/>
      <c r="GIB108" s="47"/>
      <c r="GIG108" s="47"/>
      <c r="GII108" s="11"/>
      <c r="GLP108" s="47"/>
      <c r="GLU108" s="47"/>
      <c r="GLW108" s="11"/>
      <c r="GPD108" s="47"/>
      <c r="GPI108" s="47"/>
      <c r="GPK108" s="11"/>
      <c r="GSR108" s="47"/>
      <c r="GSW108" s="47"/>
      <c r="GSY108" s="11"/>
      <c r="GWF108" s="47"/>
      <c r="GWK108" s="47"/>
      <c r="GWM108" s="11"/>
      <c r="GZT108" s="47"/>
      <c r="GZY108" s="47"/>
      <c r="HAA108" s="11"/>
      <c r="HDH108" s="47"/>
      <c r="HDM108" s="47"/>
      <c r="HDO108" s="11"/>
      <c r="HGV108" s="47"/>
      <c r="HHA108" s="47"/>
      <c r="HHC108" s="11"/>
      <c r="HKJ108" s="47"/>
      <c r="HKO108" s="47"/>
      <c r="HKQ108" s="11"/>
      <c r="HNX108" s="47"/>
      <c r="HOC108" s="47"/>
      <c r="HOE108" s="11"/>
      <c r="HRL108" s="47"/>
      <c r="HRQ108" s="47"/>
      <c r="HRS108" s="11"/>
      <c r="HUZ108" s="47"/>
      <c r="HVE108" s="47"/>
      <c r="HVG108" s="11"/>
      <c r="HYN108" s="47"/>
      <c r="HYS108" s="47"/>
      <c r="HYU108" s="11"/>
      <c r="ICB108" s="47"/>
      <c r="ICG108" s="47"/>
      <c r="ICI108" s="11"/>
      <c r="IFP108" s="47"/>
      <c r="IFU108" s="47"/>
      <c r="IFW108" s="11"/>
      <c r="IJD108" s="47"/>
      <c r="IJI108" s="47"/>
      <c r="IJK108" s="11"/>
      <c r="IMR108" s="47"/>
      <c r="IMW108" s="47"/>
      <c r="IMY108" s="11"/>
      <c r="IQF108" s="47"/>
      <c r="IQK108" s="47"/>
      <c r="IQM108" s="11"/>
      <c r="ITT108" s="47"/>
      <c r="ITY108" s="47"/>
      <c r="IUA108" s="11"/>
      <c r="IXH108" s="47"/>
      <c r="IXM108" s="47"/>
      <c r="IXO108" s="11"/>
      <c r="JAV108" s="47"/>
      <c r="JBA108" s="47"/>
      <c r="JBC108" s="11"/>
      <c r="JEJ108" s="47"/>
      <c r="JEO108" s="47"/>
      <c r="JEQ108" s="11"/>
      <c r="JHX108" s="47"/>
      <c r="JIC108" s="47"/>
      <c r="JIE108" s="11"/>
      <c r="JLL108" s="47"/>
      <c r="JLQ108" s="47"/>
      <c r="JLS108" s="11"/>
      <c r="JOZ108" s="47"/>
      <c r="JPE108" s="47"/>
      <c r="JPG108" s="11"/>
      <c r="JSN108" s="47"/>
      <c r="JSS108" s="47"/>
      <c r="JSU108" s="11"/>
      <c r="JWB108" s="47"/>
      <c r="JWG108" s="47"/>
      <c r="JWI108" s="11"/>
      <c r="JZP108" s="47"/>
      <c r="JZU108" s="47"/>
      <c r="JZW108" s="11"/>
      <c r="KDD108" s="47"/>
      <c r="KDI108" s="47"/>
      <c r="KDK108" s="11"/>
      <c r="KGR108" s="47"/>
      <c r="KGW108" s="47"/>
      <c r="KGY108" s="11"/>
      <c r="KKF108" s="47"/>
      <c r="KKK108" s="47"/>
      <c r="KKM108" s="11"/>
      <c r="KNT108" s="47"/>
      <c r="KNY108" s="47"/>
      <c r="KOA108" s="11"/>
      <c r="KRH108" s="47"/>
      <c r="KRM108" s="47"/>
      <c r="KRO108" s="11"/>
      <c r="KUV108" s="47"/>
      <c r="KVA108" s="47"/>
      <c r="KVC108" s="11"/>
      <c r="KYJ108" s="47"/>
      <c r="KYO108" s="47"/>
      <c r="KYQ108" s="11"/>
      <c r="LBX108" s="47"/>
      <c r="LCC108" s="47"/>
      <c r="LCE108" s="11"/>
      <c r="LFL108" s="47"/>
      <c r="LFQ108" s="47"/>
      <c r="LFS108" s="11"/>
      <c r="LIZ108" s="47"/>
      <c r="LJE108" s="47"/>
      <c r="LJG108" s="11"/>
      <c r="LMN108" s="47"/>
      <c r="LMS108" s="47"/>
      <c r="LMU108" s="11"/>
      <c r="LQB108" s="47"/>
      <c r="LQG108" s="47"/>
      <c r="LQI108" s="11"/>
      <c r="LTP108" s="47"/>
      <c r="LTU108" s="47"/>
      <c r="LTW108" s="11"/>
      <c r="LXD108" s="47"/>
      <c r="LXI108" s="47"/>
      <c r="LXK108" s="11"/>
      <c r="MAR108" s="47"/>
      <c r="MAW108" s="47"/>
      <c r="MAY108" s="11"/>
      <c r="MEF108" s="47"/>
      <c r="MEK108" s="47"/>
      <c r="MEM108" s="11"/>
      <c r="MHT108" s="47"/>
      <c r="MHY108" s="47"/>
      <c r="MIA108" s="11"/>
      <c r="MLH108" s="47"/>
      <c r="MLM108" s="47"/>
      <c r="MLO108" s="11"/>
      <c r="MOV108" s="47"/>
      <c r="MPA108" s="47"/>
      <c r="MPC108" s="11"/>
      <c r="MSJ108" s="47"/>
      <c r="MSO108" s="47"/>
      <c r="MSQ108" s="11"/>
      <c r="MVX108" s="47"/>
      <c r="MWC108" s="47"/>
      <c r="MWE108" s="11"/>
      <c r="MZL108" s="47"/>
      <c r="MZQ108" s="47"/>
      <c r="MZS108" s="11"/>
      <c r="NCZ108" s="47"/>
      <c r="NDE108" s="47"/>
      <c r="NDG108" s="11"/>
      <c r="NGN108" s="47"/>
      <c r="NGS108" s="47"/>
      <c r="NGU108" s="11"/>
      <c r="NKB108" s="47"/>
      <c r="NKG108" s="47"/>
      <c r="NKI108" s="11"/>
      <c r="NNP108" s="47"/>
      <c r="NNU108" s="47"/>
      <c r="NNW108" s="11"/>
      <c r="NRD108" s="47"/>
      <c r="NRI108" s="47"/>
      <c r="NRK108" s="11"/>
      <c r="NUR108" s="47"/>
      <c r="NUW108" s="47"/>
      <c r="NUY108" s="11"/>
      <c r="NYF108" s="47"/>
      <c r="NYK108" s="47"/>
      <c r="NYM108" s="11"/>
      <c r="OBT108" s="47"/>
      <c r="OBY108" s="47"/>
      <c r="OCA108" s="11"/>
      <c r="OFH108" s="47"/>
      <c r="OFM108" s="47"/>
      <c r="OFO108" s="11"/>
      <c r="OIV108" s="47"/>
      <c r="OJA108" s="47"/>
      <c r="OJC108" s="11"/>
      <c r="OMJ108" s="47"/>
      <c r="OMO108" s="47"/>
      <c r="OMQ108" s="11"/>
      <c r="OPX108" s="47"/>
      <c r="OQC108" s="47"/>
      <c r="OQE108" s="11"/>
      <c r="OTL108" s="47"/>
      <c r="OTQ108" s="47"/>
      <c r="OTS108" s="11"/>
      <c r="OWZ108" s="47"/>
      <c r="OXE108" s="47"/>
      <c r="OXG108" s="11"/>
      <c r="PAN108" s="47"/>
      <c r="PAS108" s="47"/>
      <c r="PAU108" s="11"/>
      <c r="PEB108" s="47"/>
      <c r="PEG108" s="47"/>
      <c r="PEI108" s="11"/>
      <c r="PHP108" s="47"/>
      <c r="PHU108" s="47"/>
      <c r="PHW108" s="11"/>
      <c r="PLD108" s="47"/>
      <c r="PLI108" s="47"/>
      <c r="PLK108" s="11"/>
      <c r="POR108" s="47"/>
      <c r="POW108" s="47"/>
      <c r="POY108" s="11"/>
      <c r="PSF108" s="47"/>
      <c r="PSK108" s="47"/>
      <c r="PSM108" s="11"/>
      <c r="PVT108" s="47"/>
      <c r="PVY108" s="47"/>
      <c r="PWA108" s="11"/>
      <c r="PZH108" s="47"/>
      <c r="PZM108" s="47"/>
      <c r="PZO108" s="11"/>
      <c r="QCV108" s="47"/>
      <c r="QDA108" s="47"/>
      <c r="QDC108" s="11"/>
      <c r="QGJ108" s="47"/>
      <c r="QGO108" s="47"/>
      <c r="QGQ108" s="11"/>
      <c r="QJX108" s="47"/>
      <c r="QKC108" s="47"/>
      <c r="QKE108" s="11"/>
      <c r="QNL108" s="47"/>
      <c r="QNQ108" s="47"/>
      <c r="QNS108" s="11"/>
      <c r="QQZ108" s="47"/>
      <c r="QRE108" s="47"/>
      <c r="QRG108" s="11"/>
      <c r="QUN108" s="47"/>
      <c r="QUS108" s="47"/>
      <c r="QUU108" s="11"/>
      <c r="QYB108" s="47"/>
      <c r="QYG108" s="47"/>
      <c r="QYI108" s="11"/>
      <c r="RBP108" s="47"/>
      <c r="RBU108" s="47"/>
      <c r="RBW108" s="11"/>
      <c r="RFD108" s="47"/>
      <c r="RFI108" s="47"/>
      <c r="RFK108" s="11"/>
      <c r="RIR108" s="47"/>
      <c r="RIW108" s="47"/>
      <c r="RIY108" s="11"/>
      <c r="RMF108" s="47"/>
      <c r="RMK108" s="47"/>
      <c r="RMM108" s="11"/>
      <c r="RPT108" s="47"/>
      <c r="RPY108" s="47"/>
      <c r="RQA108" s="11"/>
      <c r="RTH108" s="47"/>
      <c r="RTM108" s="47"/>
      <c r="RTO108" s="11"/>
      <c r="RWV108" s="47"/>
      <c r="RXA108" s="47"/>
      <c r="RXC108" s="11"/>
      <c r="SAJ108" s="47"/>
      <c r="SAO108" s="47"/>
      <c r="SAQ108" s="11"/>
      <c r="SDX108" s="47"/>
      <c r="SEC108" s="47"/>
      <c r="SEE108" s="11"/>
      <c r="SHL108" s="47"/>
      <c r="SHQ108" s="47"/>
      <c r="SHS108" s="11"/>
      <c r="SKZ108" s="47"/>
      <c r="SLE108" s="47"/>
      <c r="SLG108" s="11"/>
      <c r="SON108" s="47"/>
      <c r="SOS108" s="47"/>
      <c r="SOU108" s="11"/>
      <c r="SSB108" s="47"/>
      <c r="SSG108" s="47"/>
      <c r="SSI108" s="11"/>
      <c r="SVP108" s="47"/>
      <c r="SVU108" s="47"/>
      <c r="SVW108" s="11"/>
      <c r="SZD108" s="47"/>
      <c r="SZI108" s="47"/>
      <c r="SZK108" s="11"/>
      <c r="TCR108" s="47"/>
      <c r="TCW108" s="47"/>
      <c r="TCY108" s="11"/>
      <c r="TGF108" s="47"/>
      <c r="TGK108" s="47"/>
      <c r="TGM108" s="11"/>
      <c r="TJT108" s="47"/>
      <c r="TJY108" s="47"/>
      <c r="TKA108" s="11"/>
      <c r="TNH108" s="47"/>
      <c r="TNM108" s="47"/>
      <c r="TNO108" s="11"/>
      <c r="TQV108" s="47"/>
      <c r="TRA108" s="47"/>
      <c r="TRC108" s="11"/>
      <c r="TUJ108" s="47"/>
      <c r="TUO108" s="47"/>
      <c r="TUQ108" s="11"/>
      <c r="TXX108" s="47"/>
      <c r="TYC108" s="47"/>
      <c r="TYE108" s="11"/>
      <c r="UBL108" s="47"/>
      <c r="UBQ108" s="47"/>
      <c r="UBS108" s="11"/>
      <c r="UEZ108" s="47"/>
      <c r="UFE108" s="47"/>
      <c r="UFG108" s="11"/>
      <c r="UIN108" s="47"/>
      <c r="UIS108" s="47"/>
      <c r="UIU108" s="11"/>
      <c r="UMB108" s="47"/>
      <c r="UMG108" s="47"/>
      <c r="UMI108" s="11"/>
      <c r="UPP108" s="47"/>
      <c r="UPU108" s="47"/>
      <c r="UPW108" s="11"/>
      <c r="UTD108" s="47"/>
      <c r="UTI108" s="47"/>
      <c r="UTK108" s="11"/>
      <c r="UWR108" s="47"/>
      <c r="UWW108" s="47"/>
      <c r="UWY108" s="11"/>
      <c r="VAF108" s="47"/>
      <c r="VAK108" s="47"/>
      <c r="VAM108" s="11"/>
      <c r="VDT108" s="47"/>
      <c r="VDY108" s="47"/>
      <c r="VEA108" s="11"/>
      <c r="VHH108" s="47"/>
      <c r="VHM108" s="47"/>
      <c r="VHO108" s="11"/>
      <c r="VKV108" s="47"/>
      <c r="VLA108" s="47"/>
      <c r="VLC108" s="11"/>
      <c r="VOJ108" s="47"/>
      <c r="VOO108" s="47"/>
      <c r="VOQ108" s="11"/>
      <c r="VRX108" s="47"/>
      <c r="VSC108" s="47"/>
      <c r="VSE108" s="11"/>
      <c r="VVL108" s="47"/>
      <c r="VVQ108" s="47"/>
      <c r="VVS108" s="11"/>
      <c r="VYZ108" s="47"/>
      <c r="VZE108" s="47"/>
      <c r="VZG108" s="11"/>
      <c r="WCN108" s="47"/>
      <c r="WCS108" s="47"/>
      <c r="WCU108" s="11"/>
      <c r="WGB108" s="47"/>
      <c r="WGG108" s="47"/>
      <c r="WGI108" s="11"/>
      <c r="WJP108" s="47"/>
      <c r="WJU108" s="47"/>
      <c r="WJW108" s="11"/>
      <c r="WND108" s="47"/>
      <c r="WNI108" s="47"/>
      <c r="WNK108" s="11"/>
      <c r="WQR108" s="47"/>
      <c r="WQW108" s="47"/>
      <c r="WQY108" s="11"/>
      <c r="WUF108" s="47"/>
      <c r="WUK108" s="47"/>
      <c r="WUM108" s="11"/>
      <c r="WXT108" s="47"/>
      <c r="WXY108" s="47"/>
      <c r="WYA108" s="11"/>
      <c r="XBH108" s="47"/>
      <c r="XBM108" s="47"/>
      <c r="XBO108" s="11"/>
      <c r="XEV108" s="47"/>
      <c r="XFA108" s="47"/>
      <c r="XFC108" s="11"/>
    </row>
    <row r="109" spans="1:1019 1104:2031 2116:3043 3128:4055 4140:5067 5152:6079 6164:7091 7176:8188 8193:9207 9292:10219 10304:11231 11316:12243 12328:13255 13340:14267 14352:15279 15364:16383" s="141" customFormat="1" ht="14.65" customHeight="1">
      <c r="A109" s="153"/>
      <c r="B109" s="153"/>
      <c r="C109" s="153"/>
      <c r="D109" s="153"/>
      <c r="E109" s="153"/>
      <c r="F109" s="153"/>
      <c r="G109" s="179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  <c r="AV109" s="153"/>
      <c r="AW109" s="153"/>
      <c r="AX109" s="153"/>
      <c r="AY109" s="153"/>
      <c r="AZ109" s="153"/>
      <c r="BA109" s="153"/>
      <c r="BB109" s="153"/>
      <c r="BC109" s="153"/>
      <c r="BD109" s="153"/>
      <c r="BE109" s="153"/>
      <c r="BF109" s="153"/>
      <c r="BG109" s="153"/>
      <c r="BH109" s="153"/>
      <c r="BI109" s="153"/>
      <c r="BJ109" s="153"/>
      <c r="BK109" s="153"/>
      <c r="BL109" s="153"/>
      <c r="BM109" s="153"/>
      <c r="BN109" s="153"/>
      <c r="BO109" s="153"/>
      <c r="BP109" s="153"/>
      <c r="BQ109" s="153"/>
      <c r="BR109" s="153"/>
      <c r="BS109" s="153"/>
      <c r="BT109" s="153"/>
      <c r="BU109" s="153"/>
      <c r="BV109" s="153"/>
      <c r="BW109" s="153"/>
      <c r="BX109" s="153"/>
      <c r="BY109" s="153"/>
      <c r="BZ109" s="153"/>
      <c r="CA109" s="153"/>
      <c r="CB109" s="153"/>
      <c r="CC109" s="153"/>
      <c r="CD109" s="153"/>
      <c r="CE109" s="153"/>
      <c r="CF109" s="153"/>
      <c r="CG109" s="153"/>
      <c r="CH109" s="153"/>
      <c r="CI109" s="153"/>
      <c r="CJ109" s="153"/>
      <c r="CK109" s="153"/>
      <c r="CL109" s="153"/>
      <c r="CM109" s="153"/>
      <c r="CN109" s="153"/>
      <c r="CO109" s="153"/>
    </row>
    <row r="110" spans="1:1019 1104:2031 2116:3043 3128:4055 4140:5067 5152:6079 6164:7091 7176:8188 8193:9207 9292:10219 10304:11231 11316:12243 12328:13255 13340:14267 14352:15279 15364:16383" s="141" customFormat="1" ht="14.65" customHeight="1">
      <c r="A110" s="153"/>
      <c r="B110" s="153"/>
      <c r="C110" s="365" t="s">
        <v>1025</v>
      </c>
      <c r="D110" s="153"/>
      <c r="E110" s="153"/>
      <c r="F110" s="153"/>
      <c r="G110" s="179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  <c r="AV110" s="153"/>
      <c r="AW110" s="153"/>
      <c r="AX110" s="153"/>
      <c r="AY110" s="153"/>
      <c r="AZ110" s="153"/>
      <c r="BA110" s="153"/>
      <c r="BB110" s="153"/>
      <c r="BC110" s="153"/>
      <c r="BD110" s="153"/>
      <c r="BE110" s="153"/>
      <c r="BF110" s="153"/>
      <c r="BG110" s="153"/>
      <c r="BH110" s="153"/>
      <c r="BI110" s="153"/>
      <c r="BJ110" s="153"/>
      <c r="BK110" s="153"/>
      <c r="BL110" s="153"/>
      <c r="BM110" s="153"/>
      <c r="BN110" s="153"/>
      <c r="BO110" s="153"/>
      <c r="BP110" s="153"/>
      <c r="BQ110" s="153"/>
      <c r="BR110" s="153"/>
      <c r="BS110" s="153"/>
      <c r="BT110" s="153"/>
      <c r="BU110" s="153"/>
      <c r="BV110" s="153"/>
      <c r="BW110" s="153"/>
      <c r="BX110" s="153"/>
      <c r="BY110" s="153"/>
      <c r="BZ110" s="153"/>
      <c r="CA110" s="153"/>
      <c r="CB110" s="153"/>
      <c r="CC110" s="153"/>
      <c r="CD110" s="153"/>
      <c r="CE110" s="153"/>
      <c r="CF110" s="153"/>
      <c r="CG110" s="153"/>
      <c r="CH110" s="153"/>
      <c r="CI110" s="153"/>
      <c r="CJ110" s="153"/>
      <c r="CK110" s="153"/>
      <c r="CL110" s="153"/>
      <c r="CM110" s="153"/>
      <c r="CN110" s="153"/>
      <c r="CO110" s="153"/>
    </row>
    <row r="111" spans="1:1019 1104:2031 2116:3043 3128:4055 4140:5067 5152:6079 6164:7091 7176:8188 8193:9207 9292:10219 10304:11231 11316:12243 12328:13255 13340:14267 14352:15279 15364:16383" s="141" customFormat="1" ht="14.65" customHeight="1">
      <c r="A111" s="153"/>
      <c r="B111" s="153"/>
      <c r="C111" s="17" t="s">
        <v>1026</v>
      </c>
      <c r="D111" s="153"/>
      <c r="E111" s="153"/>
      <c r="F111" s="153"/>
      <c r="G111" s="179" t="str">
        <f t="shared" ref="G111:G116" si="83">Monetary_Unit</f>
        <v>тыс. руб.</v>
      </c>
      <c r="H111" s="153"/>
      <c r="I111" s="23">
        <f t="shared" ref="I111:I116" ca="1" si="84">SUM(L111:CO111)</f>
        <v>3565689.3601093362</v>
      </c>
      <c r="J111" s="153"/>
      <c r="K111" s="153"/>
      <c r="L111" s="10">
        <f ca="1">SUM(Расчеты!L755,Расчеты!L764,Расчеты!L772,Расчеты!L859:L862)</f>
        <v>0</v>
      </c>
      <c r="M111" s="10">
        <f ca="1">SUM(Расчеты!M755,Расчеты!M764,Расчеты!M772,Расчеты!M859:M862)</f>
        <v>0</v>
      </c>
      <c r="N111" s="10">
        <f ca="1">SUM(Расчеты!N755,Расчеты!N764,Расчеты!N772,Расчеты!N859:N862)</f>
        <v>0</v>
      </c>
      <c r="O111" s="10">
        <f ca="1">SUM(Расчеты!O755,Расчеты!O764,Расчеты!O772,Расчеты!O859:O862)</f>
        <v>0</v>
      </c>
      <c r="P111" s="10">
        <f ca="1">SUM(Расчеты!P755,Расчеты!P764,Расчеты!P772,Расчеты!P859:P862)</f>
        <v>0</v>
      </c>
      <c r="Q111" s="10">
        <f ca="1">SUM(Расчеты!Q755,Расчеты!Q764,Расчеты!Q772,Расчеты!Q859:Q862)</f>
        <v>0</v>
      </c>
      <c r="R111" s="10">
        <f ca="1">SUM(Расчеты!R755,Расчеты!R764,Расчеты!R772,Расчеты!R859:R862)</f>
        <v>0</v>
      </c>
      <c r="S111" s="10">
        <f ca="1">SUM(Расчеты!S755,Расчеты!S764,Расчеты!S772,Расчеты!S859:S862)</f>
        <v>0</v>
      </c>
      <c r="T111" s="10">
        <f ca="1">SUM(Расчеты!T755,Расчеты!T764,Расчеты!T772,Расчеты!T859:T862)</f>
        <v>0</v>
      </c>
      <c r="U111" s="10">
        <f ca="1">SUM(Расчеты!U755,Расчеты!U764,Расчеты!U772,Расчеты!U859:U862)</f>
        <v>0</v>
      </c>
      <c r="V111" s="10">
        <f ca="1">SUM(Расчеты!V755,Расчеты!V764,Расчеты!V772,Расчеты!V859:V862)</f>
        <v>0</v>
      </c>
      <c r="W111" s="10">
        <f ca="1">SUM(Расчеты!W755,Расчеты!W764,Расчеты!W772,Расчеты!W859:W862)</f>
        <v>0</v>
      </c>
      <c r="X111" s="10">
        <f ca="1">SUM(Расчеты!X755,Расчеты!X764,Расчеты!X772,Расчеты!X859:X862)</f>
        <v>0</v>
      </c>
      <c r="Y111" s="10">
        <f ca="1">SUM(Расчеты!Y755,Расчеты!Y764,Расчеты!Y772,Расчеты!Y859:Y862)</f>
        <v>0</v>
      </c>
      <c r="Z111" s="10">
        <f ca="1">SUM(Расчеты!Z755,Расчеты!Z764,Расчеты!Z772,Расчеты!Z859:Z862)</f>
        <v>0</v>
      </c>
      <c r="AA111" s="10">
        <f ca="1">SUM(Расчеты!AA755,Расчеты!AA764,Расчеты!AA772,Расчеты!AA859:AA862)</f>
        <v>0</v>
      </c>
      <c r="AB111" s="10">
        <f ca="1">SUM(Расчеты!AB755,Расчеты!AB764,Расчеты!AB772,Расчеты!AB859:AB862)</f>
        <v>0</v>
      </c>
      <c r="AC111" s="10">
        <f ca="1">SUM(Расчеты!AC755,Расчеты!AC764,Расчеты!AC772,Расчеты!AC859:AC862)</f>
        <v>29765.979143750486</v>
      </c>
      <c r="AD111" s="10">
        <f ca="1">SUM(Расчеты!AD755,Расчеты!AD764,Расчеты!AD772,Расчеты!AD859:AD862)</f>
        <v>51822.167571779188</v>
      </c>
      <c r="AE111" s="10">
        <f ca="1">SUM(Расчеты!AE755,Расчеты!AE764,Расчеты!AE772,Расчеты!AE859:AE862)</f>
        <v>22068.438650613982</v>
      </c>
      <c r="AF111" s="10">
        <f ca="1">SUM(Расчеты!AF755,Расчеты!AF764,Расчеты!AF772,Расчеты!AF859:AF862)</f>
        <v>20487.998128758223</v>
      </c>
      <c r="AG111" s="10">
        <f ca="1">SUM(Расчеты!AG755,Расчеты!AG764,Расчеты!AG772,Расчеты!AG859:AG862)</f>
        <v>34721.095968124951</v>
      </c>
      <c r="AH111" s="10">
        <f ca="1">SUM(Расчеты!AH755,Расчеты!AH764,Расчеты!AH772,Расчеты!AH859:AH862)</f>
        <v>60255.590858209514</v>
      </c>
      <c r="AI111" s="10">
        <f ca="1">SUM(Расчеты!AI755,Расчеты!AI764,Расчеты!AI772,Расчеты!AI859:AI862)</f>
        <v>25582.180974490035</v>
      </c>
      <c r="AJ111" s="10">
        <f ca="1">SUM(Расчеты!AJ755,Расчеты!AJ764,Расчеты!AJ772,Расчеты!AJ859:AJ862)</f>
        <v>23682.05124956404</v>
      </c>
      <c r="AK111" s="10">
        <f ca="1">SUM(Расчеты!AK755,Расчеты!AK764,Расчеты!AK772,Расчеты!AK859:AK862)</f>
        <v>40024.996571819378</v>
      </c>
      <c r="AL111" s="10">
        <f ca="1">SUM(Расчеты!AL755,Расчеты!AL764,Расчеты!AL772,Расчеты!AL859:AL862)</f>
        <v>69280.772539439422</v>
      </c>
      <c r="AM111" s="10">
        <f ca="1">SUM(Расчеты!AM755,Расчеты!AM764,Расчеты!AM772,Расчеты!AM859:AM862)</f>
        <v>29341.713182435196</v>
      </c>
      <c r="AN111" s="10">
        <f ca="1">SUM(Расчеты!AN755,Расчеты!AN764,Расчеты!AN772,Расчеты!AN859:AN862)</f>
        <v>27399.946132173067</v>
      </c>
      <c r="AO111" s="10">
        <f ca="1">SUM(Расчеты!AO755,Расчеты!AO764,Расчеты!AO772,Расчеты!AO859:AO862)</f>
        <v>45697.655470260339</v>
      </c>
      <c r="AP111" s="10">
        <f ca="1">SUM(Расчеты!AP755,Расчеты!AP764,Расчеты!AP772,Расчеты!AP859:AP862)</f>
        <v>77211.670717600151</v>
      </c>
      <c r="AQ111" s="10">
        <f ca="1">SUM(Расчеты!AQ755,Расчеты!AQ764,Расчеты!AQ772,Расчеты!AQ859:AQ862)</f>
        <v>31938.229093594684</v>
      </c>
      <c r="AR111" s="10">
        <f ca="1">SUM(Расчеты!AR755,Расчеты!AR764,Расчеты!AR772,Расчеты!AR859:AR862)</f>
        <v>28824.875512054678</v>
      </c>
      <c r="AS111" s="10">
        <f ca="1">SUM(Расчеты!AS755,Расчеты!AS764,Расчеты!AS772,Расчеты!AS859:AS862)</f>
        <v>47525.561689070746</v>
      </c>
      <c r="AT111" s="10">
        <f ca="1">SUM(Расчеты!AT755,Расчеты!AT764,Расчеты!AT772,Расчеты!AT859:AT862)</f>
        <v>80300.137546304162</v>
      </c>
      <c r="AU111" s="10">
        <f ca="1">SUM(Расчеты!AU755,Расчеты!AU764,Расчеты!AU772,Расчеты!AU859:AU862)</f>
        <v>33215.758257338464</v>
      </c>
      <c r="AV111" s="10">
        <f ca="1">SUM(Расчеты!AV755,Расчеты!AV764,Расчеты!AV772,Расчеты!AV859:AV862)</f>
        <v>29977.870532536857</v>
      </c>
      <c r="AW111" s="10">
        <f ca="1">SUM(Расчеты!AW755,Расчеты!AW764,Расчеты!AW772,Расчеты!AW859:AW862)</f>
        <v>49426.584156633573</v>
      </c>
      <c r="AX111" s="10">
        <f ca="1">SUM(Расчеты!AX755,Расчеты!AX764,Расчеты!AX772,Расчеты!AX859:AX862)</f>
        <v>83512.143048156329</v>
      </c>
      <c r="AY111" s="10">
        <f ca="1">SUM(Расчеты!AY755,Расчеты!AY764,Расчеты!AY772,Расчеты!AY859:AY862)</f>
        <v>34544.388587631998</v>
      </c>
      <c r="AZ111" s="10">
        <f ca="1">SUM(Расчеты!AZ755,Расчеты!AZ764,Расчеты!AZ772,Расчеты!AZ859:AZ862)</f>
        <v>31176.985353838329</v>
      </c>
      <c r="BA111" s="10">
        <f ca="1">SUM(Расчеты!BA755,Расчеты!BA764,Расчеты!BA772,Расчеты!BA859:BA862)</f>
        <v>51403.6475228989</v>
      </c>
      <c r="BB111" s="10">
        <f ca="1">SUM(Расчеты!BB755,Расчеты!BB764,Расчеты!BB772,Расчеты!BB859:BB862)</f>
        <v>86852.628770082549</v>
      </c>
      <c r="BC111" s="10">
        <f ca="1">SUM(Расчеты!BC755,Расчеты!BC764,Расчеты!BC772,Расчеты!BC859:BC862)</f>
        <v>35926.164131137266</v>
      </c>
      <c r="BD111" s="10">
        <f ca="1">SUM(Расчеты!BD755,Расчеты!BD764,Расчеты!BD772,Расчеты!BD859:BD862)</f>
        <v>32784.33215430288</v>
      </c>
      <c r="BE111" s="10">
        <f ca="1">SUM(Расчеты!BE755,Расчеты!BE764,Расчеты!BE772,Расчеты!BE859:BE862)</f>
        <v>53459.793423814845</v>
      </c>
      <c r="BF111" s="10">
        <f ca="1">SUM(Расчеты!BF755,Расчеты!BF764,Расчеты!BF772,Расчеты!BF859:BF862)</f>
        <v>90326.733920885847</v>
      </c>
      <c r="BG111" s="10">
        <f ca="1">SUM(Расчеты!BG755,Расчеты!BG764,Расчеты!BG772,Расчеты!BG859:BG862)</f>
        <v>37363.210696382754</v>
      </c>
      <c r="BH111" s="10">
        <f ca="1">SUM(Расчеты!BH755,Расчеты!BH764,Расчеты!BH772,Расчеты!BH859:BH862)</f>
        <v>33721.027358711523</v>
      </c>
      <c r="BI111" s="10">
        <f ca="1">SUM(Расчеты!BI755,Расчеты!BI764,Расчеты!BI772,Расчеты!BI859:BI862)</f>
        <v>55598.185160767433</v>
      </c>
      <c r="BJ111" s="10">
        <f ca="1">SUM(Расчеты!BJ755,Расчеты!BJ764,Расчеты!BJ772,Расчеты!BJ859:BJ862)</f>
        <v>93939.80327772125</v>
      </c>
      <c r="BK111" s="10">
        <f ca="1">SUM(Расчеты!BK755,Расчеты!BK764,Расчеты!BK772,Расчеты!BK859:BK862)</f>
        <v>38857.739124238076</v>
      </c>
      <c r="BL111" s="10">
        <f ca="1">SUM(Расчеты!BL755,Расчеты!BL764,Расчеты!BL772,Расчеты!BL859:BL862)</f>
        <v>35069.868453059986</v>
      </c>
      <c r="BM111" s="10">
        <f ca="1">SUM(Расчеты!BM755,Расчеты!BM764,Расчеты!BM772,Расчеты!BM859:BM862)</f>
        <v>57822.112567198128</v>
      </c>
      <c r="BN111" s="10">
        <f ca="1">SUM(Расчеты!BN755,Расчеты!BN764,Расчеты!BN772,Расчеты!BN859:BN862)</f>
        <v>97697.395408830082</v>
      </c>
      <c r="BO111" s="10">
        <f ca="1">SUM(Расчеты!BO755,Расчеты!BO764,Расчеты!BO772,Расчеты!BO859:BO862)</f>
        <v>40412.048689207579</v>
      </c>
      <c r="BP111" s="10">
        <f ca="1">SUM(Расчеты!BP755,Расчеты!BP764,Расчеты!BP772,Расчеты!BP859:BP862)</f>
        <v>36472.663191182379</v>
      </c>
      <c r="BQ111" s="10">
        <f ca="1">SUM(Расчеты!BQ755,Расчеты!BQ764,Расчеты!BQ772,Расчеты!BQ859:BQ862)</f>
        <v>60134.997069886034</v>
      </c>
      <c r="BR111" s="10">
        <f ca="1">SUM(Расчеты!BR755,Расчеты!BR764,Расчеты!BR772,Расчеты!BR859:BR862)</f>
        <v>101605.29122518327</v>
      </c>
      <c r="BS111" s="10">
        <f ca="1">SUM(Расчеты!BS755,Расчеты!BS764,Расчеты!BS772,Расчеты!BS859:BS862)</f>
        <v>42028.530636775875</v>
      </c>
      <c r="BT111" s="10">
        <f ca="1">SUM(Расчеты!BT755,Расчеты!BT764,Расчеты!BT772,Расчеты!BT859:BT862)</f>
        <v>38353.031604594435</v>
      </c>
      <c r="BU111" s="10">
        <f ca="1">SUM(Расчеты!BU755,Расчеты!BU764,Расчеты!BU772,Расчеты!BU859:BU862)</f>
        <v>62540.396952681469</v>
      </c>
      <c r="BV111" s="10">
        <f ca="1">SUM(Расчеты!BV755,Расчеты!BV764,Расчеты!BV772,Расчеты!BV859:BV862)</f>
        <v>105669.50287419058</v>
      </c>
      <c r="BW111" s="10">
        <f ca="1">SUM(Расчеты!BW755,Расчеты!BW764,Расчеты!BW772,Расчеты!BW859:BW862)</f>
        <v>43709.671862246898</v>
      </c>
      <c r="BX111" s="10">
        <f ca="1">SUM(Расчеты!BX755,Расчеты!BX764,Расчеты!BX772,Расчеты!BX859:BX862)</f>
        <v>39448.832507582847</v>
      </c>
      <c r="BY111" s="10">
        <f ca="1">SUM(Расчеты!BY755,Расчеты!BY764,Расчеты!BY772,Расчеты!BY859:BY862)</f>
        <v>65042.012830788721</v>
      </c>
      <c r="BZ111" s="10">
        <f ca="1">SUM(Расчеты!BZ755,Расчеты!BZ764,Расчеты!BZ772,Расчеты!BZ859:BZ862)</f>
        <v>109896.28298915819</v>
      </c>
      <c r="CA111" s="10">
        <f ca="1">SUM(Расчеты!CA755,Расчеты!CA764,Расчеты!CA772,Расчеты!CA859:CA862)</f>
        <v>45458.05873673677</v>
      </c>
      <c r="CB111" s="10">
        <f ca="1">SUM(Расчеты!CB755,Расчеты!CB764,Расчеты!CB772,Расчеты!CB859:CB862)</f>
        <v>41026.785807886161</v>
      </c>
      <c r="CC111" s="10">
        <f ca="1">SUM(Расчеты!CC755,Расчеты!CC764,Расчеты!CC772,Расчеты!CC859:CC862)</f>
        <v>67643.693344020256</v>
      </c>
      <c r="CD111" s="10">
        <f ca="1">SUM(Расчеты!CD755,Расчеты!CD764,Расчеты!CD772,Расчеты!CD859:CD862)</f>
        <v>114292.13430872453</v>
      </c>
      <c r="CE111" s="10">
        <f ca="1">SUM(Расчеты!CE755,Расчеты!CE764,Расчеты!CE772,Расчеты!CE859:CE862)</f>
        <v>47276.381086206246</v>
      </c>
      <c r="CF111" s="10">
        <f ca="1">SUM(Расчеты!CF755,Расчеты!CF764,Расчеты!CF772,Расчеты!CF859:CF862)</f>
        <v>42667.857240201593</v>
      </c>
      <c r="CG111" s="10">
        <f ca="1">SUM(Расчеты!CG755,Расчеты!CG764,Расчеты!CG772,Расчеты!CG859:CG862)</f>
        <v>70349.44107778107</v>
      </c>
      <c r="CH111" s="10">
        <f ca="1">SUM(Расчеты!CH755,Расчеты!CH764,Расчеты!CH772,Расчеты!CH859:CH862)</f>
        <v>118863.8196810735</v>
      </c>
      <c r="CI111" s="10">
        <f ca="1">SUM(Расчеты!CI755,Расчеты!CI764,Расчеты!CI772,Расчеты!CI859:CI862)</f>
        <v>49167.436329654491</v>
      </c>
      <c r="CJ111" s="10">
        <f ca="1">SUM(Расчеты!CJ755,Расчеты!CJ764,Расчеты!CJ772,Расчеты!CJ859:CJ862)</f>
        <v>44867.622324585325</v>
      </c>
      <c r="CK111" s="10">
        <f ca="1">SUM(Расчеты!CK755,Расчеты!CK764,Расчеты!CK772,Расчеты!CK859:CK862)</f>
        <v>73163.41872089231</v>
      </c>
      <c r="CL111" s="10">
        <f ca="1">SUM(Расчеты!CL755,Расчеты!CL764,Расчеты!CL772,Расчеты!CL859:CL862)</f>
        <v>123618.37246831643</v>
      </c>
      <c r="CM111" s="10">
        <f ca="1">SUM(Расчеты!CM755,Расчеты!CM764,Расчеты!CM772,Расчеты!CM859:CM862)</f>
        <v>51134.133782840661</v>
      </c>
      <c r="CN111" s="10">
        <f ca="1">SUM(Расчеты!CN755,Расчеты!CN764,Расчеты!CN772,Расчеты!CN859:CN862)</f>
        <v>46149.554391002042</v>
      </c>
      <c r="CO111" s="10">
        <f ca="1">SUM(Расчеты!CO755,Расчеты!CO764,Расчеты!CO772,Расчеты!CO859:CO862)</f>
        <v>76089.955469727982</v>
      </c>
    </row>
    <row r="112" spans="1:1019 1104:2031 2116:3043 3128:4055 4140:5067 5152:6079 6164:7091 7176:8188 8193:9207 9292:10219 10304:11231 11316:12243 12328:13255 13340:14267 14352:15279 15364:16383" s="141" customFormat="1" ht="14.65" customHeight="1">
      <c r="A112" s="153"/>
      <c r="B112" s="153"/>
      <c r="C112" s="17" t="s">
        <v>1027</v>
      </c>
      <c r="D112" s="153"/>
      <c r="E112" s="153"/>
      <c r="F112" s="153"/>
      <c r="G112" s="179" t="str">
        <f t="shared" si="83"/>
        <v>тыс. руб.</v>
      </c>
      <c r="H112" s="153"/>
      <c r="I112" s="23">
        <f t="shared" ca="1" si="84"/>
        <v>784451.65922405408</v>
      </c>
      <c r="J112" s="153"/>
      <c r="K112" s="153"/>
      <c r="L112" s="10">
        <f ca="1">SUM(Расчеты!L756,Расчеты!L765,Расчеты!L773,Расчеты!L863)</f>
        <v>0</v>
      </c>
      <c r="M112" s="10">
        <f ca="1">SUM(Расчеты!M756,Расчеты!M765,Расчеты!M773,Расчеты!M863)</f>
        <v>0</v>
      </c>
      <c r="N112" s="10">
        <f ca="1">SUM(Расчеты!N756,Расчеты!N765,Расчеты!N773,Расчеты!N863)</f>
        <v>0</v>
      </c>
      <c r="O112" s="10">
        <f ca="1">SUM(Расчеты!O756,Расчеты!O765,Расчеты!O773,Расчеты!O863)</f>
        <v>0</v>
      </c>
      <c r="P112" s="10">
        <f ca="1">SUM(Расчеты!P756,Расчеты!P765,Расчеты!P773,Расчеты!P863)</f>
        <v>0</v>
      </c>
      <c r="Q112" s="10">
        <f ca="1">SUM(Расчеты!Q756,Расчеты!Q765,Расчеты!Q773,Расчеты!Q863)</f>
        <v>0</v>
      </c>
      <c r="R112" s="10">
        <f ca="1">SUM(Расчеты!R756,Расчеты!R765,Расчеты!R773,Расчеты!R863)</f>
        <v>0</v>
      </c>
      <c r="S112" s="10">
        <f ca="1">SUM(Расчеты!S756,Расчеты!S765,Расчеты!S773,Расчеты!S863)</f>
        <v>0</v>
      </c>
      <c r="T112" s="10">
        <f ca="1">SUM(Расчеты!T756,Расчеты!T765,Расчеты!T773,Расчеты!T863)</f>
        <v>0</v>
      </c>
      <c r="U112" s="10">
        <f ca="1">SUM(Расчеты!U756,Расчеты!U765,Расчеты!U773,Расчеты!U863)</f>
        <v>0</v>
      </c>
      <c r="V112" s="10">
        <f ca="1">SUM(Расчеты!V756,Расчеты!V765,Расчеты!V773,Расчеты!V863)</f>
        <v>0</v>
      </c>
      <c r="W112" s="10">
        <f ca="1">SUM(Расчеты!W756,Расчеты!W765,Расчеты!W773,Расчеты!W863)</f>
        <v>0</v>
      </c>
      <c r="X112" s="10">
        <f ca="1">SUM(Расчеты!X756,Расчеты!X765,Расчеты!X773,Расчеты!X863)</f>
        <v>0</v>
      </c>
      <c r="Y112" s="10">
        <f ca="1">SUM(Расчеты!Y756,Расчеты!Y765,Расчеты!Y773,Расчеты!Y863)</f>
        <v>0</v>
      </c>
      <c r="Z112" s="10">
        <f ca="1">SUM(Расчеты!Z756,Расчеты!Z765,Расчеты!Z773,Расчеты!Z863)</f>
        <v>0</v>
      </c>
      <c r="AA112" s="10">
        <f ca="1">SUM(Расчеты!AA756,Расчеты!AA765,Расчеты!AA773,Расчеты!AA863)</f>
        <v>0</v>
      </c>
      <c r="AB112" s="10">
        <f ca="1">SUM(Расчеты!AB756,Расчеты!AB765,Расчеты!AB773,Расчеты!AB863)</f>
        <v>0</v>
      </c>
      <c r="AC112" s="10">
        <f ca="1">SUM(Расчеты!AC756,Расчеты!AC765,Расчеты!AC773,Расчеты!AC863)</f>
        <v>6548.515411625106</v>
      </c>
      <c r="AD112" s="10">
        <f ca="1">SUM(Расчеты!AD756,Расчеты!AD765,Расчеты!AD773,Расчеты!AD863)</f>
        <v>11400.876865791421</v>
      </c>
      <c r="AE112" s="10">
        <f ca="1">SUM(Расчеты!AE756,Расчеты!AE765,Расчеты!AE773,Расчеты!AE863)</f>
        <v>4855.0565031350761</v>
      </c>
      <c r="AF112" s="10">
        <f ca="1">SUM(Расчеты!AF756,Расчеты!AF765,Расчеты!AF773,Расчеты!AF863)</f>
        <v>4507.359588326809</v>
      </c>
      <c r="AG112" s="10">
        <f ca="1">SUM(Расчеты!AG756,Расчеты!AG765,Расчеты!AG773,Расчеты!AG863)</f>
        <v>7638.6411129874887</v>
      </c>
      <c r="AH112" s="10">
        <f ca="1">SUM(Расчеты!AH756,Расчеты!AH765,Расчеты!AH773,Расчеты!AH863)</f>
        <v>13256.229988806092</v>
      </c>
      <c r="AI112" s="10">
        <f ca="1">SUM(Расчеты!AI756,Расчеты!AI765,Расчеты!AI773,Расчеты!AI863)</f>
        <v>5628.0798143878083</v>
      </c>
      <c r="AJ112" s="10">
        <f ca="1">SUM(Расчеты!AJ756,Расчеты!AJ765,Расчеты!AJ773,Расчеты!AJ863)</f>
        <v>5210.051274904089</v>
      </c>
      <c r="AK112" s="10">
        <f ca="1">SUM(Расчеты!AK756,Расчеты!AK765,Расчеты!AK773,Расчеты!AK863)</f>
        <v>8805.4992458002635</v>
      </c>
      <c r="AL112" s="10">
        <f ca="1">SUM(Расчеты!AL756,Расчеты!AL765,Расчеты!AL773,Расчеты!AL863)</f>
        <v>15241.769958676672</v>
      </c>
      <c r="AM112" s="10">
        <f ca="1">SUM(Расчеты!AM756,Расчеты!AM765,Расчеты!AM773,Расчеты!AM863)</f>
        <v>6455.1769001357434</v>
      </c>
      <c r="AN112" s="10">
        <f ca="1">SUM(Расчеты!AN756,Расчеты!AN765,Расчеты!AN773,Расчеты!AN863)</f>
        <v>6027.9881490780754</v>
      </c>
      <c r="AO112" s="10">
        <f ca="1">SUM(Расчеты!AO756,Расчеты!AO765,Расчеты!AO773,Расчеты!AO863)</f>
        <v>10053.484203457274</v>
      </c>
      <c r="AP112" s="10">
        <f ca="1">SUM(Расчеты!AP756,Расчеты!AP765,Расчеты!AP773,Расчеты!AP863)</f>
        <v>16986.567557872033</v>
      </c>
      <c r="AQ112" s="10">
        <f ca="1">SUM(Расчеты!AQ756,Расчеты!AQ765,Расчеты!AQ773,Расчеты!AQ863)</f>
        <v>7026.4104005908302</v>
      </c>
      <c r="AR112" s="10">
        <f ca="1">SUM(Расчеты!AR756,Расчеты!AR765,Расчеты!AR773,Расчеты!AR863)</f>
        <v>6341.4726126520291</v>
      </c>
      <c r="AS112" s="10">
        <f ca="1">SUM(Расчеты!AS756,Расчеты!AS765,Расчеты!AS773,Расчеты!AS863)</f>
        <v>10455.623571595564</v>
      </c>
      <c r="AT112" s="10">
        <f ca="1">SUM(Расчеты!AT756,Расчеты!AT765,Расчеты!AT773,Расчеты!AT863)</f>
        <v>17666.030260186915</v>
      </c>
      <c r="AU112" s="10">
        <f ca="1">SUM(Расчеты!AU756,Расчеты!AU765,Расчеты!AU773,Расчеты!AU863)</f>
        <v>7307.4668166144638</v>
      </c>
      <c r="AV112" s="10">
        <f ca="1">SUM(Расчеты!AV756,Расчеты!AV765,Расчеты!AV773,Расчеты!AV863)</f>
        <v>6595.1315171581091</v>
      </c>
      <c r="AW112" s="10">
        <f ca="1">SUM(Расчеты!AW756,Расчеты!AW765,Расчеты!AW773,Расчеты!AW863)</f>
        <v>10873.848514459385</v>
      </c>
      <c r="AX112" s="10">
        <f ca="1">SUM(Расчеты!AX756,Расчеты!AX765,Расчеты!AX773,Расчеты!AX863)</f>
        <v>18372.671470594389</v>
      </c>
      <c r="AY112" s="10">
        <f ca="1">SUM(Расчеты!AY756,Расчеты!AY765,Расчеты!AY773,Расчеты!AY863)</f>
        <v>7599.7654892790406</v>
      </c>
      <c r="AZ112" s="10">
        <f ca="1">SUM(Расчеты!AZ756,Расчеты!AZ765,Расчеты!AZ773,Расчеты!AZ863)</f>
        <v>6858.9367778444321</v>
      </c>
      <c r="BA112" s="10">
        <f ca="1">SUM(Расчеты!BA756,Расчеты!BA765,Расчеты!BA773,Расчеты!BA863)</f>
        <v>11308.802455037758</v>
      </c>
      <c r="BB112" s="10">
        <f ca="1">SUM(Расчеты!BB756,Расчеты!BB765,Расчеты!BB773,Расчеты!BB863)</f>
        <v>19107.57832941816</v>
      </c>
      <c r="BC112" s="10">
        <f ca="1">SUM(Расчеты!BC756,Расчеты!BC765,Расчеты!BC773,Расчеты!BC863)</f>
        <v>7903.7561088501998</v>
      </c>
      <c r="BD112" s="10">
        <f ca="1">SUM(Расчеты!BD756,Расчеты!BD765,Расчеты!BD773,Расчеты!BD863)</f>
        <v>7212.553073946634</v>
      </c>
      <c r="BE112" s="10">
        <f ca="1">SUM(Расчеты!BE756,Расчеты!BE765,Расчеты!BE773,Расчеты!BE863)</f>
        <v>11761.154553239267</v>
      </c>
      <c r="BF112" s="10">
        <f ca="1">SUM(Расчеты!BF756,Расчеты!BF765,Расчеты!BF773,Расчеты!BF863)</f>
        <v>19871.881462594887</v>
      </c>
      <c r="BG112" s="10">
        <f ca="1">SUM(Расчеты!BG756,Расчеты!BG765,Расчеты!BG773,Расчеты!BG863)</f>
        <v>8219.9063532042073</v>
      </c>
      <c r="BH112" s="10">
        <f ca="1">SUM(Расчеты!BH756,Расчеты!BH765,Расчеты!BH773,Расчеты!BH863)</f>
        <v>7418.626018916535</v>
      </c>
      <c r="BI112" s="10">
        <f ca="1">SUM(Расчеты!BI756,Расчеты!BI765,Расчеты!BI773,Расчеты!BI863)</f>
        <v>12231.600735368835</v>
      </c>
      <c r="BJ112" s="10">
        <f ca="1">SUM(Расчеты!BJ756,Расчеты!BJ765,Расчеты!BJ773,Расчеты!BJ863)</f>
        <v>20666.756721098678</v>
      </c>
      <c r="BK112" s="10">
        <f ca="1">SUM(Расчеты!BK756,Расчеты!BK765,Расчеты!BK773,Расчеты!BK863)</f>
        <v>8548.7026073323759</v>
      </c>
      <c r="BL112" s="10">
        <f ca="1">SUM(Расчеты!BL756,Расчеты!BL765,Расчеты!BL773,Расчеты!BL863)</f>
        <v>7715.3710596731971</v>
      </c>
      <c r="BM112" s="10">
        <f ca="1">SUM(Расчеты!BM756,Расчеты!BM765,Расчеты!BM773,Расчеты!BM863)</f>
        <v>12720.864764783588</v>
      </c>
      <c r="BN112" s="10">
        <f ca="1">SUM(Расчеты!BN756,Расчеты!BN765,Расчеты!BN773,Расчеты!BN863)</f>
        <v>21493.426989942618</v>
      </c>
      <c r="BO112" s="10">
        <f ca="1">SUM(Расчеты!BO756,Расчеты!BO765,Расчеты!BO773,Расчеты!BO863)</f>
        <v>8890.6507116256689</v>
      </c>
      <c r="BP112" s="10">
        <f ca="1">SUM(Расчеты!BP756,Расчеты!BP765,Расчеты!BP773,Расчеты!BP863)</f>
        <v>8023.9859020601234</v>
      </c>
      <c r="BQ112" s="10">
        <f ca="1">SUM(Расчеты!BQ756,Расчеты!BQ765,Расчеты!BQ773,Расчеты!BQ863)</f>
        <v>13229.699355374927</v>
      </c>
      <c r="BR112" s="10">
        <f ca="1">SUM(Расчеты!BR756,Расчеты!BR765,Расчеты!BR773,Расчеты!BR863)</f>
        <v>22353.164069540322</v>
      </c>
      <c r="BS112" s="10">
        <f ca="1">SUM(Расчеты!BS756,Расчеты!BS765,Расчеты!BS773,Расчеты!BS863)</f>
        <v>9246.2767400906923</v>
      </c>
      <c r="BT112" s="10">
        <f ca="1">SUM(Расчеты!BT756,Расчеты!BT765,Расчеты!BT773,Расчеты!BT863)</f>
        <v>8437.6669530107774</v>
      </c>
      <c r="BU112" s="10">
        <f ca="1">SUM(Расчеты!BU756,Расчеты!BU765,Расчеты!BU773,Расчеты!BU863)</f>
        <v>13758.887329589923</v>
      </c>
      <c r="BV112" s="10">
        <f ca="1">SUM(Расчеты!BV756,Расчеты!BV765,Расчеты!BV773,Расчеты!BV863)</f>
        <v>23247.290632321929</v>
      </c>
      <c r="BW112" s="10">
        <f ca="1">SUM(Расчеты!BW756,Расчеты!BW765,Расчеты!BW773,Расчеты!BW863)</f>
        <v>9616.127809694317</v>
      </c>
      <c r="BX112" s="10">
        <f ca="1">SUM(Расчеты!BX756,Расчеты!BX765,Расчеты!BX773,Расчеты!BX863)</f>
        <v>8678.7431516682263</v>
      </c>
      <c r="BY112" s="10">
        <f ca="1">SUM(Расчеты!BY756,Расчеты!BY765,Расчеты!BY773,Расчеты!BY863)</f>
        <v>14309.242822773518</v>
      </c>
      <c r="BZ112" s="10">
        <f ca="1">SUM(Расчеты!BZ756,Расчеты!BZ765,Расчеты!BZ773,Расчеты!BZ863)</f>
        <v>24177.182257614804</v>
      </c>
      <c r="CA112" s="10">
        <f ca="1">SUM(Расчеты!CA756,Расчеты!CA765,Расчеты!CA773,Расчеты!CA863)</f>
        <v>10000.772922082091</v>
      </c>
      <c r="CB112" s="10">
        <f ca="1">SUM(Расчеты!CB756,Расчеты!CB765,Расчеты!CB773,Расчеты!CB863)</f>
        <v>9025.8928777349556</v>
      </c>
      <c r="CC112" s="10">
        <f ca="1">SUM(Расчеты!CC756,Расчеты!CC765,Расчеты!CC773,Расчеты!CC863)</f>
        <v>14881.612535684457</v>
      </c>
      <c r="CD112" s="10">
        <f ca="1">SUM(Расчеты!CD756,Расчеты!CD765,Расчеты!CD773,Расчеты!CD863)</f>
        <v>25144.269547919397</v>
      </c>
      <c r="CE112" s="10">
        <f ca="1">SUM(Расчеты!CE756,Расчеты!CE765,Расчеты!CE773,Расчеты!CE863)</f>
        <v>10400.803838965374</v>
      </c>
      <c r="CF112" s="10">
        <f ca="1">SUM(Расчеты!CF756,Расчеты!CF765,Расчеты!CF773,Расчеты!CF863)</f>
        <v>9386.9285928443496</v>
      </c>
      <c r="CG112" s="10">
        <f ca="1">SUM(Расчеты!CG756,Расчеты!CG765,Расчеты!CG773,Расчеты!CG863)</f>
        <v>15476.877037111837</v>
      </c>
      <c r="CH112" s="10">
        <f ca="1">SUM(Расчеты!CH756,Расчеты!CH765,Расчеты!CH773,Расчеты!CH863)</f>
        <v>26150.040329836167</v>
      </c>
      <c r="CI112" s="10">
        <f ca="1">SUM(Расчеты!CI756,Расчеты!CI765,Расчеты!CI773,Расчеты!CI863)</f>
        <v>10816.835992523987</v>
      </c>
      <c r="CJ112" s="10">
        <f ca="1">SUM(Расчеты!CJ756,Расчеты!CJ765,Расчеты!CJ773,Расчеты!CJ863)</f>
        <v>9870.8769114087718</v>
      </c>
      <c r="CK112" s="10">
        <f ca="1">SUM(Расчеты!CK756,Расчеты!CK765,Расчеты!CK773,Расчеты!CK863)</f>
        <v>16095.952118596309</v>
      </c>
      <c r="CL112" s="10">
        <f ca="1">SUM(Расчеты!CL756,Расчеты!CL765,Расчеты!CL773,Расчеты!CL863)</f>
        <v>27196.041943029613</v>
      </c>
      <c r="CM112" s="10">
        <f ca="1">SUM(Расчеты!CM756,Расчеты!CM765,Расчеты!CM773,Расчеты!CM863)</f>
        <v>11249.509432224946</v>
      </c>
      <c r="CN112" s="10">
        <f ca="1">SUM(Расчеты!CN756,Расчеты!CN765,Расчеты!CN773,Расчеты!CN863)</f>
        <v>10152.90196602045</v>
      </c>
      <c r="CO112" s="10">
        <f ca="1">SUM(Расчеты!CO756,Расчеты!CO765,Расчеты!CO773,Расчеты!CO863)</f>
        <v>16739.790203340162</v>
      </c>
    </row>
    <row r="113" spans="1:93" s="141" customFormat="1" ht="14.65" customHeight="1">
      <c r="A113" s="153"/>
      <c r="B113" s="153"/>
      <c r="C113" s="17" t="s">
        <v>1028</v>
      </c>
      <c r="D113" s="153"/>
      <c r="E113" s="153"/>
      <c r="F113" s="153"/>
      <c r="G113" s="179" t="str">
        <f t="shared" si="83"/>
        <v>тыс. руб.</v>
      </c>
      <c r="H113" s="153"/>
      <c r="I113" s="23">
        <f t="shared" ca="1" si="84"/>
        <v>103404.99144317077</v>
      </c>
      <c r="J113" s="153"/>
      <c r="K113" s="153"/>
      <c r="L113" s="10">
        <f ca="1">SUM(Расчеты!L757,Расчеты!L766,Расчеты!L774,Расчеты!L864)</f>
        <v>0</v>
      </c>
      <c r="M113" s="10">
        <f ca="1">SUM(Расчеты!M757,Расчеты!M766,Расчеты!M774,Расчеты!M864)</f>
        <v>0</v>
      </c>
      <c r="N113" s="10">
        <f ca="1">SUM(Расчеты!N757,Расчеты!N766,Расчеты!N774,Расчеты!N864)</f>
        <v>0</v>
      </c>
      <c r="O113" s="10">
        <f ca="1">SUM(Расчеты!O757,Расчеты!O766,Расчеты!O774,Расчеты!O864)</f>
        <v>0</v>
      </c>
      <c r="P113" s="10">
        <f ca="1">SUM(Расчеты!P757,Расчеты!P766,Расчеты!P774,Расчеты!P864)</f>
        <v>0</v>
      </c>
      <c r="Q113" s="10">
        <f ca="1">SUM(Расчеты!Q757,Расчеты!Q766,Расчеты!Q774,Расчеты!Q864)</f>
        <v>0</v>
      </c>
      <c r="R113" s="10">
        <f ca="1">SUM(Расчеты!R757,Расчеты!R766,Расчеты!R774,Расчеты!R864)</f>
        <v>0</v>
      </c>
      <c r="S113" s="10">
        <f ca="1">SUM(Расчеты!S757,Расчеты!S766,Расчеты!S774,Расчеты!S864)</f>
        <v>0</v>
      </c>
      <c r="T113" s="10">
        <f ca="1">SUM(Расчеты!T757,Расчеты!T766,Расчеты!T774,Расчеты!T864)</f>
        <v>0</v>
      </c>
      <c r="U113" s="10">
        <f ca="1">SUM(Расчеты!U757,Расчеты!U766,Расчеты!U774,Расчеты!U864)</f>
        <v>0</v>
      </c>
      <c r="V113" s="10">
        <f ca="1">SUM(Расчеты!V757,Расчеты!V766,Расчеты!V774,Расчеты!V864)</f>
        <v>0</v>
      </c>
      <c r="W113" s="10">
        <f ca="1">SUM(Расчеты!W757,Расчеты!W766,Расчеты!W774,Расчеты!W864)</f>
        <v>0</v>
      </c>
      <c r="X113" s="10">
        <f ca="1">SUM(Расчеты!X757,Расчеты!X766,Расчеты!X774,Расчеты!X864)</f>
        <v>0</v>
      </c>
      <c r="Y113" s="10">
        <f ca="1">SUM(Расчеты!Y757,Расчеты!Y766,Расчеты!Y774,Расчеты!Y864)</f>
        <v>0</v>
      </c>
      <c r="Z113" s="10">
        <f ca="1">SUM(Расчеты!Z757,Расчеты!Z766,Расчеты!Z774,Расчеты!Z864)</f>
        <v>0</v>
      </c>
      <c r="AA113" s="10">
        <f ca="1">SUM(Расчеты!AA757,Расчеты!AA766,Расчеты!AA774,Расчеты!AA864)</f>
        <v>0</v>
      </c>
      <c r="AB113" s="10">
        <f ca="1">SUM(Расчеты!AB757,Расчеты!AB766,Расчеты!AB774,Расчеты!AB864)</f>
        <v>0</v>
      </c>
      <c r="AC113" s="10">
        <f ca="1">SUM(Расчеты!AC757,Расчеты!AC766,Расчеты!AC774,Расчеты!AC864)</f>
        <v>863.21339516876412</v>
      </c>
      <c r="AD113" s="10">
        <f ca="1">SUM(Расчеты!AD757,Расчеты!AD766,Расчеты!AD774,Расчеты!AD864)</f>
        <v>1502.8428595815965</v>
      </c>
      <c r="AE113" s="10">
        <f ca="1">SUM(Расчеты!AE757,Расчеты!AE766,Расчеты!AE774,Расчеты!AE864)</f>
        <v>639.98472086780566</v>
      </c>
      <c r="AF113" s="10">
        <f ca="1">SUM(Расчеты!AF757,Расчеты!AF766,Расчеты!AF774,Расчеты!AF864)</f>
        <v>594.15194573398855</v>
      </c>
      <c r="AG113" s="10">
        <f ca="1">SUM(Расчеты!AG757,Расчеты!AG766,Расчеты!AG774,Расчеты!AG864)</f>
        <v>1006.9117830756236</v>
      </c>
      <c r="AH113" s="10">
        <f ca="1">SUM(Расчеты!AH757,Расчеты!AH766,Расчеты!AH774,Расчеты!AH864)</f>
        <v>1747.4121348880758</v>
      </c>
      <c r="AI113" s="10">
        <f ca="1">SUM(Расчеты!AI757,Расчеты!AI766,Расчеты!AI774,Расчеты!AI864)</f>
        <v>741.88324826021119</v>
      </c>
      <c r="AJ113" s="10">
        <f ca="1">SUM(Расчеты!AJ757,Расчеты!AJ766,Расчеты!AJ774,Расчеты!AJ864)</f>
        <v>686.77948623735722</v>
      </c>
      <c r="AK113" s="10">
        <f ca="1">SUM(Расчеты!AK757,Расчеты!AK766,Расчеты!AK774,Расчеты!AK864)</f>
        <v>1160.7249005827621</v>
      </c>
      <c r="AL113" s="10">
        <f ca="1">SUM(Расчеты!AL757,Расчеты!AL766,Расчеты!AL774,Расчеты!AL864)</f>
        <v>2009.1424036437434</v>
      </c>
      <c r="AM113" s="10">
        <f ca="1">SUM(Расчеты!AM757,Расчеты!AM766,Расчеты!AM774,Расчеты!AM864)</f>
        <v>850.90968229062082</v>
      </c>
      <c r="AN113" s="10">
        <f ca="1">SUM(Расчеты!AN757,Расчеты!AN766,Расчеты!AN774,Расчеты!AN864)</f>
        <v>794.59843783301892</v>
      </c>
      <c r="AO113" s="10">
        <f ca="1">SUM(Расчеты!AO757,Расчеты!AO766,Расчеты!AO774,Расчеты!AO864)</f>
        <v>1325.2320086375498</v>
      </c>
      <c r="AP113" s="10">
        <f ca="1">SUM(Расчеты!AP757,Расчеты!AP766,Расчеты!AP774,Расчеты!AP864)</f>
        <v>2239.1384508104047</v>
      </c>
      <c r="AQ113" s="10">
        <f ca="1">SUM(Расчеты!AQ757,Расчеты!AQ766,Расчеты!AQ774,Расчеты!AQ864)</f>
        <v>926.20864371424591</v>
      </c>
      <c r="AR113" s="10">
        <f ca="1">SUM(Расчеты!AR757,Расчеты!AR766,Расчеты!AR774,Расчеты!AR864)</f>
        <v>835.92138984958569</v>
      </c>
      <c r="AS113" s="10">
        <f ca="1">SUM(Расчеты!AS757,Расчеты!AS766,Расчеты!AS774,Расчеты!AS864)</f>
        <v>1378.2412889830516</v>
      </c>
      <c r="AT113" s="10">
        <f ca="1">SUM(Расчеты!AT757,Расчеты!AT766,Расчеты!AT774,Расчеты!AT864)</f>
        <v>2328.7039888428208</v>
      </c>
      <c r="AU113" s="10">
        <f ca="1">SUM(Расчеты!AU757,Расчеты!AU766,Расчеты!AU774,Расчеты!AU864)</f>
        <v>963.25698946281557</v>
      </c>
      <c r="AV113" s="10">
        <f ca="1">SUM(Расчеты!AV757,Расчеты!AV766,Расчеты!AV774,Расчеты!AV864)</f>
        <v>869.35824544356899</v>
      </c>
      <c r="AW113" s="10">
        <f ca="1">SUM(Расчеты!AW757,Расчеты!AW766,Расчеты!AW774,Расчеты!AW864)</f>
        <v>1433.3709405423738</v>
      </c>
      <c r="AX113" s="10">
        <f ca="1">SUM(Расчеты!AX757,Расчеты!AX766,Расчеты!AX774,Расчеты!AX864)</f>
        <v>2421.8521483965337</v>
      </c>
      <c r="AY113" s="10">
        <f ca="1">SUM(Расчеты!AY757,Расчеты!AY766,Расчеты!AY774,Расчеты!AY864)</f>
        <v>1001.787269041328</v>
      </c>
      <c r="AZ113" s="10">
        <f ca="1">SUM(Расчеты!AZ757,Расчеты!AZ766,Расчеты!AZ774,Расчеты!AZ864)</f>
        <v>904.13257526131167</v>
      </c>
      <c r="BA113" s="10">
        <f ca="1">SUM(Расчеты!BA757,Расчеты!BA766,Расчеты!BA774,Расчеты!BA864)</f>
        <v>1490.7057781640683</v>
      </c>
      <c r="BB113" s="10">
        <f ca="1">SUM(Расчеты!BB757,Расчеты!BB766,Расчеты!BB774,Расчеты!BB864)</f>
        <v>2518.7262343323941</v>
      </c>
      <c r="BC113" s="10">
        <f ca="1">SUM(Расчеты!BC757,Расчеты!BC766,Расчеты!BC774,Расчеты!BC864)</f>
        <v>1041.858759802981</v>
      </c>
      <c r="BD113" s="10">
        <f ca="1">SUM(Расчеты!BD757,Расчеты!BD766,Расчеты!BD774,Расчеты!BD864)</f>
        <v>950.74563247478363</v>
      </c>
      <c r="BE113" s="10">
        <f ca="1">SUM(Расчеты!BE757,Расчеты!BE766,Расчеты!BE774,Расчеты!BE864)</f>
        <v>1550.3340092906308</v>
      </c>
      <c r="BF113" s="10">
        <f ca="1">SUM(Расчеты!BF757,Расчеты!BF766,Расчеты!BF774,Расчеты!BF864)</f>
        <v>2619.4752837056899</v>
      </c>
      <c r="BG113" s="10">
        <f ca="1">SUM(Расчеты!BG757,Расчеты!BG766,Расчеты!BG774,Расчеты!BG864)</f>
        <v>1083.5331101951001</v>
      </c>
      <c r="BH113" s="10">
        <f ca="1">SUM(Расчеты!BH757,Расчеты!BH766,Расчеты!BH774,Расчеты!BH864)</f>
        <v>977.90979340263425</v>
      </c>
      <c r="BI113" s="10">
        <f ca="1">SUM(Расчеты!BI757,Расчеты!BI766,Расчеты!BI774,Расчеты!BI864)</f>
        <v>1612.3473696622552</v>
      </c>
      <c r="BJ113" s="10">
        <f ca="1">SUM(Расчеты!BJ757,Расчеты!BJ766,Расчеты!BJ774,Расчеты!BJ864)</f>
        <v>2724.2542950539164</v>
      </c>
      <c r="BK113" s="10">
        <f ca="1">SUM(Расчеты!BK757,Расчеты!BK766,Расчеты!BK774,Расчеты!BK864)</f>
        <v>1126.8744346029041</v>
      </c>
      <c r="BL113" s="10">
        <f ca="1">SUM(Расчеты!BL757,Расчеты!BL766,Расчеты!BL774,Расчеты!BL864)</f>
        <v>1017.0261851387397</v>
      </c>
      <c r="BM113" s="10">
        <f ca="1">SUM(Расчеты!BM757,Расчеты!BM766,Расчеты!BM774,Расчеты!BM864)</f>
        <v>1676.8412644487457</v>
      </c>
      <c r="BN113" s="10">
        <f ca="1">SUM(Расчеты!BN757,Расчеты!BN766,Расчеты!BN774,Расчеты!BN864)</f>
        <v>2833.2244668560729</v>
      </c>
      <c r="BO113" s="10">
        <f ca="1">SUM(Расчеты!BO757,Расчеты!BO766,Расчеты!BO774,Расчеты!BO864)</f>
        <v>1171.9494119870201</v>
      </c>
      <c r="BP113" s="10">
        <f ca="1">SUM(Расчеты!BP757,Расчеты!BP766,Расчеты!BP774,Расчеты!BP864)</f>
        <v>1057.7072325442889</v>
      </c>
      <c r="BQ113" s="10">
        <f ca="1">SUM(Расчеты!BQ757,Расчеты!BQ766,Расчеты!BQ774,Расчеты!BQ864)</f>
        <v>1743.9149150266951</v>
      </c>
      <c r="BR113" s="10">
        <f ca="1">SUM(Расчеты!BR757,Расчеты!BR766,Расчеты!BR774,Расчеты!BR864)</f>
        <v>2946.5534455303155</v>
      </c>
      <c r="BS113" s="10">
        <f ca="1">SUM(Расчеты!BS757,Расчеты!BS766,Расчеты!BS774,Расчеты!BS864)</f>
        <v>1218.8273884665007</v>
      </c>
      <c r="BT113" s="10">
        <f ca="1">SUM(Расчеты!BT757,Расчеты!BT766,Расчеты!BT774,Расчеты!BT864)</f>
        <v>1112.2379165332386</v>
      </c>
      <c r="BU113" s="10">
        <f ca="1">SUM(Расчеты!BU757,Расчеты!BU766,Расчеты!BU774,Расчеты!BU864)</f>
        <v>1813.6715116277628</v>
      </c>
      <c r="BV113" s="10">
        <f ca="1">SUM(Расчеты!BV757,Расчеты!BV766,Расчеты!BV774,Расчеты!BV864)</f>
        <v>3064.4155833515269</v>
      </c>
      <c r="BW113" s="10">
        <f ca="1">SUM(Расчеты!BW757,Расчеты!BW766,Расчеты!BW774,Расчеты!BW864)</f>
        <v>1267.5804840051601</v>
      </c>
      <c r="BX113" s="10">
        <f ca="1">SUM(Расчеты!BX757,Расчеты!BX766,Расчеты!BX774,Расчеты!BX864)</f>
        <v>1144.0161427199027</v>
      </c>
      <c r="BY113" s="10">
        <f ca="1">SUM(Расчеты!BY757,Расчеты!BY766,Расчеты!BY774,Расчеты!BY864)</f>
        <v>1886.2183720928729</v>
      </c>
      <c r="BZ113" s="10">
        <f ca="1">SUM(Расчеты!BZ757,Расчеты!BZ766,Расчеты!BZ774,Расчеты!BZ864)</f>
        <v>3186.9922066855884</v>
      </c>
      <c r="CA113" s="10">
        <f ca="1">SUM(Расчеты!CA757,Расчеты!CA766,Расчеты!CA774,Расчеты!CA864)</f>
        <v>1318.2837033653666</v>
      </c>
      <c r="CB113" s="10">
        <f ca="1">SUM(Расчеты!CB757,Расчеты!CB766,Расчеты!CB774,Расчеты!CB864)</f>
        <v>1189.7767884286989</v>
      </c>
      <c r="CC113" s="10">
        <f ca="1">SUM(Расчеты!CC757,Расчеты!CC766,Расчеты!CC774,Расчеты!CC864)</f>
        <v>1961.6671069765875</v>
      </c>
      <c r="CD113" s="10">
        <f ca="1">SUM(Расчеты!CD757,Расчеты!CD766,Расчеты!CD774,Расчеты!CD864)</f>
        <v>3314.4718949530115</v>
      </c>
      <c r="CE113" s="10">
        <f ca="1">SUM(Расчеты!CE757,Расчеты!CE766,Расчеты!CE774,Расчеты!CE864)</f>
        <v>1371.0150514999809</v>
      </c>
      <c r="CF113" s="10">
        <f ca="1">SUM(Расчеты!CF757,Расчеты!CF766,Расчеты!CF774,Расчеты!CF864)</f>
        <v>1237.3678599658463</v>
      </c>
      <c r="CG113" s="10">
        <f ca="1">SUM(Расчеты!CG757,Расчеты!CG766,Расчеты!CG774,Расчеты!CG864)</f>
        <v>2040.1337912556512</v>
      </c>
      <c r="CH113" s="10">
        <f ca="1">SUM(Расчеты!CH757,Расчеты!CH766,Расчеты!CH774,Расчеты!CH864)</f>
        <v>3447.050770751131</v>
      </c>
      <c r="CI113" s="10">
        <f ca="1">SUM(Расчеты!CI757,Расчеты!CI766,Расчеты!CI774,Расчеты!CI864)</f>
        <v>1425.8556535599803</v>
      </c>
      <c r="CJ113" s="10">
        <f ca="1">SUM(Расчеты!CJ757,Расчеты!CJ766,Расчеты!CJ774,Расчеты!CJ864)</f>
        <v>1301.1610474129745</v>
      </c>
      <c r="CK113" s="10">
        <f ca="1">SUM(Расчеты!CK757,Расчеты!CK766,Расчеты!CK774,Расчеты!CK864)</f>
        <v>2121.7391429058771</v>
      </c>
      <c r="CL113" s="10">
        <f ca="1">SUM(Расчеты!CL757,Расчеты!CL766,Расчеты!CL774,Расчеты!CL864)</f>
        <v>3584.9328015811761</v>
      </c>
      <c r="CM113" s="10">
        <f ca="1">SUM(Расчеты!CM757,Расчеты!CM766,Расчеты!CM774,Расчеты!CM864)</f>
        <v>1482.8898797023792</v>
      </c>
      <c r="CN113" s="10">
        <f ca="1">SUM(Расчеты!CN757,Расчеты!CN766,Расчеты!CN774,Расчеты!CN864)</f>
        <v>1338.3370773390595</v>
      </c>
      <c r="CO113" s="10">
        <f ca="1">SUM(Расчеты!CO757,Расчеты!CO766,Расчеты!CO774,Расчеты!CO864)</f>
        <v>2206.6087086221123</v>
      </c>
    </row>
    <row r="114" spans="1:93" s="141" customFormat="1" ht="14.65" customHeight="1">
      <c r="A114" s="153"/>
      <c r="B114" s="153"/>
      <c r="C114" s="17" t="s">
        <v>1029</v>
      </c>
      <c r="D114" s="153"/>
      <c r="E114" s="153"/>
      <c r="F114" s="153"/>
      <c r="G114" s="11" t="str">
        <f t="shared" si="83"/>
        <v>тыс. руб.</v>
      </c>
      <c r="H114" s="153"/>
      <c r="I114" s="23">
        <f t="shared" ca="1" si="84"/>
        <v>181850.15736557616</v>
      </c>
      <c r="J114" s="153"/>
      <c r="K114" s="153"/>
      <c r="L114" s="10">
        <f ca="1">SUM(Расчеты!L758,Расчеты!L767,Расчеты!L775,Расчеты!L865)</f>
        <v>0</v>
      </c>
      <c r="M114" s="10">
        <f ca="1">SUM(Расчеты!M758,Расчеты!M767,Расчеты!M775,Расчеты!M865)</f>
        <v>0</v>
      </c>
      <c r="N114" s="10">
        <f ca="1">SUM(Расчеты!N758,Расчеты!N767,Расчеты!N775,Расчеты!N865)</f>
        <v>0</v>
      </c>
      <c r="O114" s="10">
        <f ca="1">SUM(Расчеты!O758,Расчеты!O767,Расчеты!O775,Расчеты!O865)</f>
        <v>0</v>
      </c>
      <c r="P114" s="10">
        <f ca="1">SUM(Расчеты!P758,Расчеты!P767,Расчеты!P775,Расчеты!P865)</f>
        <v>0</v>
      </c>
      <c r="Q114" s="10">
        <f ca="1">SUM(Расчеты!Q758,Расчеты!Q767,Расчеты!Q775,Расчеты!Q865)</f>
        <v>0</v>
      </c>
      <c r="R114" s="10">
        <f ca="1">SUM(Расчеты!R758,Расчеты!R767,Расчеты!R775,Расчеты!R865)</f>
        <v>0</v>
      </c>
      <c r="S114" s="10">
        <f ca="1">SUM(Расчеты!S758,Расчеты!S767,Расчеты!S775,Расчеты!S865)</f>
        <v>0</v>
      </c>
      <c r="T114" s="10">
        <f ca="1">SUM(Расчеты!T758,Расчеты!T767,Расчеты!T775,Расчеты!T865)</f>
        <v>0</v>
      </c>
      <c r="U114" s="10">
        <f ca="1">SUM(Расчеты!U758,Расчеты!U767,Расчеты!U775,Расчеты!U865)</f>
        <v>0</v>
      </c>
      <c r="V114" s="10">
        <f ca="1">SUM(Расчеты!V758,Расчеты!V767,Расчеты!V775,Расчеты!V865)</f>
        <v>0</v>
      </c>
      <c r="W114" s="10">
        <f ca="1">SUM(Расчеты!W758,Расчеты!W767,Расчеты!W775,Расчеты!W865)</f>
        <v>0</v>
      </c>
      <c r="X114" s="10">
        <f ca="1">SUM(Расчеты!X758,Расчеты!X767,Расчеты!X775,Расчеты!X865)</f>
        <v>0</v>
      </c>
      <c r="Y114" s="10">
        <f ca="1">SUM(Расчеты!Y758,Расчеты!Y767,Расчеты!Y775,Расчеты!Y865)</f>
        <v>0</v>
      </c>
      <c r="Z114" s="10">
        <f ca="1">SUM(Расчеты!Z758,Расчеты!Z767,Расчеты!Z775,Расчеты!Z865)</f>
        <v>0</v>
      </c>
      <c r="AA114" s="10">
        <f ca="1">SUM(Расчеты!AA758,Расчеты!AA767,Расчеты!AA775,Расчеты!AA865)</f>
        <v>0</v>
      </c>
      <c r="AB114" s="10">
        <f ca="1">SUM(Расчеты!AB758,Расчеты!AB767,Расчеты!AB775,Расчеты!AB865)</f>
        <v>0</v>
      </c>
      <c r="AC114" s="10">
        <f ca="1">SUM(Расчеты!AC758,Расчеты!AC767,Расчеты!AC775,Расчеты!AC865)</f>
        <v>1518.0649363312748</v>
      </c>
      <c r="AD114" s="10">
        <f ca="1">SUM(Расчеты!AD758,Расчеты!AD767,Расчеты!AD775,Расчеты!AD865)</f>
        <v>2642.9305461607382</v>
      </c>
      <c r="AE114" s="10">
        <f ca="1">SUM(Расчеты!AE758,Расчеты!AE767,Расчеты!AE775,Расчеты!AE865)</f>
        <v>1125.4903711813131</v>
      </c>
      <c r="AF114" s="10">
        <f ca="1">SUM(Расчеты!AF758,Расчеты!AF767,Расчеты!AF775,Расчеты!AF865)</f>
        <v>1044.8879045666692</v>
      </c>
      <c r="AG114" s="10">
        <f ca="1">SUM(Расчеты!AG758,Расчеты!AG767,Расчеты!AG775,Расчеты!AG865)</f>
        <v>1770.7758943743725</v>
      </c>
      <c r="AH114" s="10">
        <f ca="1">SUM(Расчеты!AH758,Расчеты!AH767,Расчеты!AH775,Расчеты!AH865)</f>
        <v>3073.0351337686848</v>
      </c>
      <c r="AI114" s="10">
        <f ca="1">SUM(Расчеты!AI758,Расчеты!AI767,Расчеты!AI775,Расчеты!AI865)</f>
        <v>1304.6912296989919</v>
      </c>
      <c r="AJ114" s="10">
        <f ca="1">SUM(Расчеты!AJ758,Расчеты!AJ767,Расчеты!AJ775,Расчеты!AJ865)</f>
        <v>1207.7846137277661</v>
      </c>
      <c r="AK114" s="10">
        <f ca="1">SUM(Расчеты!AK758,Расчеты!AK767,Расчеты!AK775,Расчеты!AK865)</f>
        <v>2041.2748251627881</v>
      </c>
      <c r="AL114" s="10">
        <f ca="1">SUM(Расчеты!AL758,Расчеты!AL767,Расчеты!AL775,Расчеты!AL865)</f>
        <v>3533.3193995114107</v>
      </c>
      <c r="AM114" s="10">
        <f ca="1">SUM(Расчеты!AM758,Расчеты!AM767,Расчеты!AM775,Расчеты!AM865)</f>
        <v>1496.4273723041947</v>
      </c>
      <c r="AN114" s="10">
        <f ca="1">SUM(Расчеты!AN758,Расчеты!AN767,Расчеты!AN775,Расчеты!AN865)</f>
        <v>1397.3972527408264</v>
      </c>
      <c r="AO114" s="10">
        <f ca="1">SUM(Расчеты!AO758,Расчеты!AO767,Расчеты!AO775,Расчеты!AO865)</f>
        <v>2330.5804289832772</v>
      </c>
      <c r="AP114" s="10">
        <f ca="1">SUM(Расчеты!AP758,Расчеты!AP767,Расчеты!AP775,Расчеты!AP865)</f>
        <v>3937.7952065976074</v>
      </c>
      <c r="AQ114" s="10">
        <f ca="1">SUM(Расчеты!AQ758,Расчеты!AQ767,Расчеты!AQ775,Расчеты!AQ865)</f>
        <v>1628.8496837733287</v>
      </c>
      <c r="AR114" s="10">
        <f ca="1">SUM(Расчеты!AR758,Расчеты!AR767,Расчеты!AR775,Расчеты!AR865)</f>
        <v>1470.0686511147885</v>
      </c>
      <c r="AS114" s="10">
        <f ca="1">SUM(Расчеты!AS758,Расчеты!AS767,Расчеты!AS775,Расчеты!AS865)</f>
        <v>2423.8036461426077</v>
      </c>
      <c r="AT114" s="10">
        <f ca="1">SUM(Расчеты!AT758,Расчеты!AT767,Расчеты!AT775,Расчеты!AT865)</f>
        <v>4095.3070148615116</v>
      </c>
      <c r="AU114" s="10">
        <f ca="1">SUM(Расчеты!AU758,Расчеты!AU767,Расчеты!AU775,Расчеты!AU865)</f>
        <v>1694.0036711242617</v>
      </c>
      <c r="AV114" s="10">
        <f ca="1">SUM(Расчеты!AV758,Расчеты!AV767,Расчеты!AV775,Расчеты!AV865)</f>
        <v>1528.8713971593797</v>
      </c>
      <c r="AW114" s="10">
        <f ca="1">SUM(Расчеты!AW758,Расчеты!AW767,Расчеты!AW775,Расчеты!AW865)</f>
        <v>2520.755791988312</v>
      </c>
      <c r="AX114" s="10">
        <f ca="1">SUM(Расчеты!AX758,Расчеты!AX767,Расчеты!AX775,Расчеты!AX865)</f>
        <v>4259.119295455972</v>
      </c>
      <c r="AY114" s="10">
        <f ca="1">SUM(Расчеты!AY758,Расчеты!AY767,Расчеты!AY775,Расчеты!AY865)</f>
        <v>1761.7638179692317</v>
      </c>
      <c r="AZ114" s="10">
        <f ca="1">SUM(Расчеты!AZ758,Расчеты!AZ767,Расчеты!AZ775,Расчеты!AZ865)</f>
        <v>1590.0262530457546</v>
      </c>
      <c r="BA114" s="10">
        <f ca="1">SUM(Расчеты!BA758,Расчеты!BA767,Расчеты!BA775,Расчеты!BA865)</f>
        <v>2621.5860236678436</v>
      </c>
      <c r="BB114" s="10">
        <f ca="1">SUM(Расчеты!BB758,Расчеты!BB767,Расчеты!BB775,Расчеты!BB865)</f>
        <v>4429.4840672742093</v>
      </c>
      <c r="BC114" s="10">
        <f ca="1">SUM(Расчеты!BC758,Расчеты!BC767,Расчеты!BC775,Расчеты!BC865)</f>
        <v>1832.2343706880008</v>
      </c>
      <c r="BD114" s="10">
        <f ca="1">SUM(Расчеты!BD758,Расчеты!BD767,Расчеты!BD775,Расчеты!BD865)</f>
        <v>1672.0009398694467</v>
      </c>
      <c r="BE114" s="10">
        <f ca="1">SUM(Расчеты!BE758,Расчеты!BE767,Расчеты!BE775,Расчеты!BE865)</f>
        <v>2726.4494646145572</v>
      </c>
      <c r="BF114" s="10">
        <f ca="1">SUM(Расчеты!BF758,Расчеты!BF767,Расчеты!BF775,Расчеты!BF865)</f>
        <v>4606.6634299651778</v>
      </c>
      <c r="BG114" s="10">
        <f ca="1">SUM(Расчеты!BG758,Расчеты!BG767,Расчеты!BG775,Расчеты!BG865)</f>
        <v>1905.5237455155207</v>
      </c>
      <c r="BH114" s="10">
        <f ca="1">SUM(Расчеты!BH758,Расчеты!BH767,Расчеты!BH775,Расчеты!BH865)</f>
        <v>1719.7723952942874</v>
      </c>
      <c r="BI114" s="10">
        <f ca="1">SUM(Расчеты!BI758,Расчеты!BI767,Расчеты!BI775,Расчеты!BI865)</f>
        <v>2835.5074431991384</v>
      </c>
      <c r="BJ114" s="10">
        <f ca="1">SUM(Расчеты!BJ758,Расчеты!BJ767,Расчеты!BJ775,Расчеты!BJ865)</f>
        <v>4790.9299671637827</v>
      </c>
      <c r="BK114" s="10">
        <f ca="1">SUM(Расчеты!BK758,Расчеты!BK767,Расчеты!BK775,Расчеты!BK865)</f>
        <v>1981.7446953361416</v>
      </c>
      <c r="BL114" s="10">
        <f ca="1">SUM(Расчеты!BL758,Расчеты!BL767,Расчеты!BL775,Расчеты!BL865)</f>
        <v>1788.5632911060593</v>
      </c>
      <c r="BM114" s="10">
        <f ca="1">SUM(Расчеты!BM758,Расчеты!BM767,Расчеты!BM775,Расчеты!BM865)</f>
        <v>2948.9277409271044</v>
      </c>
      <c r="BN114" s="10">
        <f ca="1">SUM(Расчеты!BN758,Расчеты!BN767,Расчеты!BN775,Расчеты!BN865)</f>
        <v>4982.5671658503334</v>
      </c>
      <c r="BO114" s="10">
        <f ca="1">SUM(Расчеты!BO758,Расчеты!BO767,Расчеты!BO775,Расчеты!BO865)</f>
        <v>2061.0144831495863</v>
      </c>
      <c r="BP114" s="10">
        <f ca="1">SUM(Расчеты!BP758,Расчеты!BP767,Расчеты!BP775,Расчеты!BP865)</f>
        <v>1860.1058227503011</v>
      </c>
      <c r="BQ114" s="10">
        <f ca="1">SUM(Расчеты!BQ758,Расчеты!BQ767,Расчеты!BQ775,Расчеты!BQ865)</f>
        <v>3066.8848505641877</v>
      </c>
      <c r="BR114" s="10">
        <f ca="1">SUM(Расчеты!BR758,Расчеты!BR767,Расчеты!BR775,Расчеты!BR865)</f>
        <v>5181.8698524843467</v>
      </c>
      <c r="BS114" s="10">
        <f ca="1">SUM(Расчеты!BS758,Расчеты!BS767,Расчеты!BS775,Расчеты!BS865)</f>
        <v>2143.4550624755698</v>
      </c>
      <c r="BT114" s="10">
        <f ca="1">SUM(Расчеты!BT758,Расчеты!BT767,Расчеты!BT775,Расчеты!BT865)</f>
        <v>1956.0046118343162</v>
      </c>
      <c r="BU114" s="10">
        <f ca="1">SUM(Расчеты!BU758,Расчеты!BU767,Расчеты!BU775,Расчеты!BU865)</f>
        <v>3189.5602445867548</v>
      </c>
      <c r="BV114" s="10">
        <f ca="1">SUM(Расчеты!BV758,Расчеты!BV767,Расчеты!BV775,Расчеты!BV865)</f>
        <v>5389.1446465837198</v>
      </c>
      <c r="BW114" s="10">
        <f ca="1">SUM(Расчеты!BW758,Расчеты!BW767,Расчеты!BW775,Расчеты!BW865)</f>
        <v>2229.1932649745918</v>
      </c>
      <c r="BX114" s="10">
        <f ca="1">SUM(Расчеты!BX758,Расчеты!BX767,Расчеты!BX775,Расчеты!BX865)</f>
        <v>2011.8904578867252</v>
      </c>
      <c r="BY114" s="10">
        <f ca="1">SUM(Расчеты!BY758,Расчеты!BY767,Расчеты!BY775,Расчеты!BY865)</f>
        <v>3317.1426543702241</v>
      </c>
      <c r="BZ114" s="10">
        <f ca="1">SUM(Расчеты!BZ758,Расчеты!BZ767,Расчеты!BZ775,Расчеты!BZ865)</f>
        <v>5604.7104324470674</v>
      </c>
      <c r="CA114" s="10">
        <f ca="1">SUM(Расчеты!CA758,Расчеты!CA767,Расчеты!CA775,Расчеты!CA865)</f>
        <v>2318.3609955735756</v>
      </c>
      <c r="CB114" s="10">
        <f ca="1">SUM(Расчеты!CB758,Расчеты!CB767,Расчеты!CB775,Расчеты!CB865)</f>
        <v>2092.3660762021941</v>
      </c>
      <c r="CC114" s="10">
        <f ca="1">SUM(Расчеты!CC758,Расчеты!CC767,Расчеты!CC775,Расчеты!CC865)</f>
        <v>3449.8283605450329</v>
      </c>
      <c r="CD114" s="10">
        <f ca="1">SUM(Расчеты!CD758,Расчеты!CD767,Расчеты!CD775,Расчеты!CD865)</f>
        <v>5828.8988497449509</v>
      </c>
      <c r="CE114" s="10">
        <f ca="1">SUM(Расчеты!CE758,Расчеты!CE767,Расчеты!CE775,Расчеты!CE865)</f>
        <v>2411.0954353965185</v>
      </c>
      <c r="CF114" s="10">
        <f ca="1">SUM(Расчеты!CF758,Расчеты!CF767,Расчеты!CF775,Расчеты!CF865)</f>
        <v>2176.0607192502812</v>
      </c>
      <c r="CG114" s="10">
        <f ca="1">SUM(Расчеты!CG758,Расчеты!CG767,Расчеты!CG775,Расчеты!CG865)</f>
        <v>3587.8214949668341</v>
      </c>
      <c r="CH114" s="10">
        <f ca="1">SUM(Расчеты!CH758,Расчеты!CH767,Расчеты!CH775,Расчеты!CH865)</f>
        <v>6062.054803734748</v>
      </c>
      <c r="CI114" s="10">
        <f ca="1">SUM(Расчеты!CI758,Расчеты!CI767,Расчеты!CI775,Расчеты!CI865)</f>
        <v>2507.5392528123793</v>
      </c>
      <c r="CJ114" s="10">
        <f ca="1">SUM(Расчеты!CJ758,Расчеты!CJ767,Расчеты!CJ775,Расчеты!CJ865)</f>
        <v>2288.2487385538516</v>
      </c>
      <c r="CK114" s="10">
        <f ca="1">SUM(Расчеты!CK758,Расчеты!CK767,Расчеты!CK775,Расчеты!CK865)</f>
        <v>3731.3343547655077</v>
      </c>
      <c r="CL114" s="10">
        <f ca="1">SUM(Расчеты!CL758,Расчеты!CL767,Расчеты!CL775,Расчеты!CL865)</f>
        <v>6304.5369958841366</v>
      </c>
      <c r="CM114" s="10">
        <f ca="1">SUM(Расчеты!CM758,Расчеты!CM767,Расчеты!CM775,Расчеты!CM865)</f>
        <v>2607.8408229248735</v>
      </c>
      <c r="CN114" s="10">
        <f ca="1">SUM(Расчеты!CN758,Расчеты!CN767,Расчеты!CN775,Расчеты!CN865)</f>
        <v>2353.6272739411042</v>
      </c>
      <c r="CO114" s="10">
        <f ca="1">SUM(Расчеты!CO758,Расчеты!CO767,Расчеты!CO775,Расчеты!CO865)</f>
        <v>3880.5877289561276</v>
      </c>
    </row>
    <row r="115" spans="1:93" s="141" customFormat="1" ht="14.65" customHeight="1" thickBot="1">
      <c r="A115" s="153"/>
      <c r="B115" s="153"/>
      <c r="C115" s="17" t="s">
        <v>1030</v>
      </c>
      <c r="D115" s="153"/>
      <c r="E115" s="153"/>
      <c r="F115" s="153"/>
      <c r="G115" s="11" t="str">
        <f t="shared" si="83"/>
        <v>тыс. руб.</v>
      </c>
      <c r="H115" s="153"/>
      <c r="I115" s="23">
        <f t="shared" ca="1" si="84"/>
        <v>7131.3787202186741</v>
      </c>
      <c r="J115" s="153"/>
      <c r="K115" s="153"/>
      <c r="L115" s="10">
        <f ca="1">SUM(Расчеты!L759,Расчеты!L768,Расчеты!L776,Расчеты!L866)</f>
        <v>0</v>
      </c>
      <c r="M115" s="10">
        <f ca="1">SUM(Расчеты!M759,Расчеты!M768,Расчеты!M776,Расчеты!M866)</f>
        <v>0</v>
      </c>
      <c r="N115" s="10">
        <f ca="1">SUM(Расчеты!N759,Расчеты!N768,Расчеты!N776,Расчеты!N866)</f>
        <v>0</v>
      </c>
      <c r="O115" s="10">
        <f ca="1">SUM(Расчеты!O759,Расчеты!O768,Расчеты!O776,Расчеты!O866)</f>
        <v>0</v>
      </c>
      <c r="P115" s="10">
        <f ca="1">SUM(Расчеты!P759,Расчеты!P768,Расчеты!P776,Расчеты!P866)</f>
        <v>0</v>
      </c>
      <c r="Q115" s="10">
        <f ca="1">SUM(Расчеты!Q759,Расчеты!Q768,Расчеты!Q776,Расчеты!Q866)</f>
        <v>0</v>
      </c>
      <c r="R115" s="10">
        <f ca="1">SUM(Расчеты!R759,Расчеты!R768,Расчеты!R776,Расчеты!R866)</f>
        <v>0</v>
      </c>
      <c r="S115" s="10">
        <f ca="1">SUM(Расчеты!S759,Расчеты!S768,Расчеты!S776,Расчеты!S866)</f>
        <v>0</v>
      </c>
      <c r="T115" s="10">
        <f ca="1">SUM(Расчеты!T759,Расчеты!T768,Расчеты!T776,Расчеты!T866)</f>
        <v>0</v>
      </c>
      <c r="U115" s="10">
        <f ca="1">SUM(Расчеты!U759,Расчеты!U768,Расчеты!U776,Расчеты!U866)</f>
        <v>0</v>
      </c>
      <c r="V115" s="10">
        <f ca="1">SUM(Расчеты!V759,Расчеты!V768,Расчеты!V776,Расчеты!V866)</f>
        <v>0</v>
      </c>
      <c r="W115" s="10">
        <f ca="1">SUM(Расчеты!W759,Расчеты!W768,Расчеты!W776,Расчеты!W866)</f>
        <v>0</v>
      </c>
      <c r="X115" s="10">
        <f ca="1">SUM(Расчеты!X759,Расчеты!X768,Расчеты!X776,Расчеты!X866)</f>
        <v>0</v>
      </c>
      <c r="Y115" s="10">
        <f ca="1">SUM(Расчеты!Y759,Расчеты!Y768,Расчеты!Y776,Расчеты!Y866)</f>
        <v>0</v>
      </c>
      <c r="Z115" s="10">
        <f ca="1">SUM(Расчеты!Z759,Расчеты!Z768,Расчеты!Z776,Расчеты!Z866)</f>
        <v>0</v>
      </c>
      <c r="AA115" s="10">
        <f ca="1">SUM(Расчеты!AA759,Расчеты!AA768,Расчеты!AA776,Расчеты!AA866)</f>
        <v>0</v>
      </c>
      <c r="AB115" s="10">
        <f ca="1">SUM(Расчеты!AB759,Расчеты!AB768,Расчеты!AB776,Расчеты!AB866)</f>
        <v>0</v>
      </c>
      <c r="AC115" s="10">
        <f ca="1">SUM(Расчеты!AC759,Расчеты!AC768,Расчеты!AC776,Расчеты!AC866)</f>
        <v>59.53195828750097</v>
      </c>
      <c r="AD115" s="10">
        <f ca="1">SUM(Расчеты!AD759,Расчеты!AD768,Расчеты!AD776,Расчеты!AD866)</f>
        <v>103.64433514355838</v>
      </c>
      <c r="AE115" s="10">
        <f ca="1">SUM(Расчеты!AE759,Расчеты!AE768,Расчеты!AE776,Расчеты!AE866)</f>
        <v>44.136877301227969</v>
      </c>
      <c r="AF115" s="10">
        <f ca="1">SUM(Расчеты!AF759,Расчеты!AF768,Расчеты!AF776,Расчеты!AF866)</f>
        <v>40.975996257516449</v>
      </c>
      <c r="AG115" s="10">
        <f ca="1">SUM(Расчеты!AG759,Расчеты!AG768,Расчеты!AG776,Расчеты!AG866)</f>
        <v>69.442191936249884</v>
      </c>
      <c r="AH115" s="10">
        <f ca="1">SUM(Расчеты!AH759,Расчеты!AH768,Расчеты!AH776,Расчеты!AH866)</f>
        <v>120.51118171641902</v>
      </c>
      <c r="AI115" s="10">
        <f ca="1">SUM(Расчеты!AI759,Расчеты!AI768,Расчеты!AI776,Расчеты!AI866)</f>
        <v>51.16436194898008</v>
      </c>
      <c r="AJ115" s="10">
        <f ca="1">SUM(Расчеты!AJ759,Расчеты!AJ768,Расчеты!AJ776,Расчеты!AJ866)</f>
        <v>47.36410249912808</v>
      </c>
      <c r="AK115" s="10">
        <f ca="1">SUM(Расчеты!AK759,Расчеты!AK768,Расчеты!AK776,Расчеты!AK866)</f>
        <v>80.049993143638758</v>
      </c>
      <c r="AL115" s="10">
        <f ca="1">SUM(Расчеты!AL759,Расчеты!AL768,Расчеты!AL776,Расчеты!AL866)</f>
        <v>138.56154507887885</v>
      </c>
      <c r="AM115" s="10">
        <f ca="1">SUM(Расчеты!AM759,Расчеты!AM768,Расчеты!AM776,Расчеты!AM866)</f>
        <v>58.6834263648704</v>
      </c>
      <c r="AN115" s="10">
        <f ca="1">SUM(Расчеты!AN759,Расчеты!AN768,Расчеты!AN776,Расчеты!AN866)</f>
        <v>54.799892264346134</v>
      </c>
      <c r="AO115" s="10">
        <f ca="1">SUM(Расчеты!AO759,Расчеты!AO768,Расчеты!AO776,Расчеты!AO866)</f>
        <v>91.395310940520673</v>
      </c>
      <c r="AP115" s="10">
        <f ca="1">SUM(Расчеты!AP759,Расчеты!AP768,Расчеты!AP776,Расчеты!AP866)</f>
        <v>154.42334143520031</v>
      </c>
      <c r="AQ115" s="10">
        <f ca="1">SUM(Расчеты!AQ759,Расчеты!AQ768,Расчеты!AQ776,Расчеты!AQ866)</f>
        <v>63.876458187189371</v>
      </c>
      <c r="AR115" s="10">
        <f ca="1">SUM(Расчеты!AR759,Расчеты!AR768,Расчеты!AR776,Расчеты!AR866)</f>
        <v>57.649751024109356</v>
      </c>
      <c r="AS115" s="10">
        <f ca="1">SUM(Расчеты!AS759,Расчеты!AS768,Расчеты!AS776,Расчеты!AS866)</f>
        <v>95.051123378141483</v>
      </c>
      <c r="AT115" s="10">
        <f ca="1">SUM(Расчеты!AT759,Расчеты!AT768,Расчеты!AT776,Расчеты!AT866)</f>
        <v>160.60027509260831</v>
      </c>
      <c r="AU115" s="10">
        <f ca="1">SUM(Расчеты!AU759,Расчеты!AU768,Расчеты!AU776,Расчеты!AU866)</f>
        <v>66.431516514676943</v>
      </c>
      <c r="AV115" s="10">
        <f ca="1">SUM(Расчеты!AV759,Расчеты!AV768,Расчеты!AV776,Расчеты!AV866)</f>
        <v>59.955741065073717</v>
      </c>
      <c r="AW115" s="10">
        <f ca="1">SUM(Расчеты!AW759,Расчеты!AW768,Расчеты!AW776,Расчеты!AW866)</f>
        <v>98.853168313267133</v>
      </c>
      <c r="AX115" s="10">
        <f ca="1">SUM(Расчеты!AX759,Расчеты!AX768,Расчеты!AX776,Расчеты!AX866)</f>
        <v>167.02428609631264</v>
      </c>
      <c r="AY115" s="10">
        <f ca="1">SUM(Расчеты!AY759,Расчеты!AY768,Расчеты!AY776,Расчеты!AY866)</f>
        <v>69.088777175264013</v>
      </c>
      <c r="AZ115" s="10">
        <f ca="1">SUM(Расчеты!AZ759,Расчеты!AZ768,Расчеты!AZ776,Расчеты!AZ866)</f>
        <v>62.353970707676659</v>
      </c>
      <c r="BA115" s="10">
        <f ca="1">SUM(Расчеты!BA759,Расчеты!BA768,Расчеты!BA776,Расчеты!BA866)</f>
        <v>102.8072950457978</v>
      </c>
      <c r="BB115" s="10">
        <f ca="1">SUM(Расчеты!BB759,Расчеты!BB768,Расчеты!BB776,Расчеты!BB866)</f>
        <v>173.70525754016506</v>
      </c>
      <c r="BC115" s="10">
        <f ca="1">SUM(Расчеты!BC759,Расчеты!BC768,Расчеты!BC776,Расчеты!BC866)</f>
        <v>71.852328262274554</v>
      </c>
      <c r="BD115" s="10">
        <f ca="1">SUM(Расчеты!BD759,Расчеты!BD768,Расчеты!BD776,Расчеты!BD866)</f>
        <v>65.568664308605761</v>
      </c>
      <c r="BE115" s="10">
        <f ca="1">SUM(Расчеты!BE759,Расчеты!BE768,Расчеты!BE776,Расчеты!BE866)</f>
        <v>106.9195868476297</v>
      </c>
      <c r="BF115" s="10">
        <f ca="1">SUM(Расчеты!BF759,Расчеты!BF768,Расчеты!BF776,Расчеты!BF866)</f>
        <v>180.65346784177169</v>
      </c>
      <c r="BG115" s="10">
        <f ca="1">SUM(Расчеты!BG759,Расчеты!BG768,Расчеты!BG776,Расчеты!BG866)</f>
        <v>74.726421392765516</v>
      </c>
      <c r="BH115" s="10">
        <f ca="1">SUM(Расчеты!BH759,Расчеты!BH768,Расчеты!BH776,Расчеты!BH866)</f>
        <v>67.442054717423048</v>
      </c>
      <c r="BI115" s="10">
        <f ca="1">SUM(Расчеты!BI759,Расчеты!BI768,Расчеты!BI776,Расчеты!BI866)</f>
        <v>111.19637032153486</v>
      </c>
      <c r="BJ115" s="10">
        <f ca="1">SUM(Расчеты!BJ759,Расчеты!BJ768,Расчеты!BJ776,Расчеты!BJ866)</f>
        <v>187.87960655544248</v>
      </c>
      <c r="BK115" s="10">
        <f ca="1">SUM(Расчеты!BK759,Расчеты!BK768,Расчеты!BK776,Расчеты!BK866)</f>
        <v>77.715478248476145</v>
      </c>
      <c r="BL115" s="10">
        <f ca="1">SUM(Расчеты!BL759,Расчеты!BL768,Расчеты!BL776,Расчеты!BL866)</f>
        <v>70.139736906119978</v>
      </c>
      <c r="BM115" s="10">
        <f ca="1">SUM(Расчеты!BM759,Расчеты!BM768,Расчеты!BM776,Расчеты!BM866)</f>
        <v>115.64422513439627</v>
      </c>
      <c r="BN115" s="10">
        <f ca="1">SUM(Расчеты!BN759,Расчеты!BN768,Расчеты!BN776,Расчеты!BN866)</f>
        <v>195.39479081766015</v>
      </c>
      <c r="BO115" s="10">
        <f ca="1">SUM(Расчеты!BO759,Расчеты!BO768,Расчеты!BO776,Расчеты!BO866)</f>
        <v>80.824097378415161</v>
      </c>
      <c r="BP115" s="10">
        <f ca="1">SUM(Расчеты!BP759,Расчеты!BP768,Расчеты!BP776,Расчеты!BP866)</f>
        <v>72.945326382364755</v>
      </c>
      <c r="BQ115" s="10">
        <f ca="1">SUM(Расчеты!BQ759,Расчеты!BQ768,Расчеты!BQ776,Расчеты!BQ866)</f>
        <v>120.26999413977208</v>
      </c>
      <c r="BR115" s="10">
        <f ca="1">SUM(Расчеты!BR759,Расчеты!BR768,Расчеты!BR776,Расчеты!BR866)</f>
        <v>203.21058245036659</v>
      </c>
      <c r="BS115" s="10">
        <f ca="1">SUM(Расчеты!BS759,Расчеты!BS768,Расчеты!BS776,Расчеты!BS866)</f>
        <v>84.057061273551753</v>
      </c>
      <c r="BT115" s="10">
        <f ca="1">SUM(Расчеты!BT759,Расчеты!BT768,Расчеты!BT776,Расчеты!BT866)</f>
        <v>76.706063209188883</v>
      </c>
      <c r="BU115" s="10">
        <f ca="1">SUM(Расчеты!BU759,Расчеты!BU768,Расчеты!BU776,Расчеты!BU866)</f>
        <v>125.08079390536292</v>
      </c>
      <c r="BV115" s="10">
        <f ca="1">SUM(Расчеты!BV759,Расчеты!BV768,Расчеты!BV776,Расчеты!BV866)</f>
        <v>211.33900574838117</v>
      </c>
      <c r="BW115" s="10">
        <f ca="1">SUM(Расчеты!BW759,Расчеты!BW768,Расчеты!BW776,Расчеты!BW866)</f>
        <v>87.4193437244938</v>
      </c>
      <c r="BX115" s="10">
        <f ca="1">SUM(Расчеты!BX759,Расчеты!BX768,Расчеты!BX776,Расчеты!BX866)</f>
        <v>78.8976650151657</v>
      </c>
      <c r="BY115" s="10">
        <f ca="1">SUM(Расчеты!BY759,Расчеты!BY768,Расчеты!BY776,Расчеты!BY866)</f>
        <v>130.08402566157744</v>
      </c>
      <c r="BZ115" s="10">
        <f ca="1">SUM(Расчеты!BZ759,Расчеты!BZ768,Расчеты!BZ776,Расчеты!BZ866)</f>
        <v>219.79256597831642</v>
      </c>
      <c r="CA115" s="10">
        <f ca="1">SUM(Расчеты!CA759,Расчеты!CA768,Расчеты!CA776,Расчеты!CA866)</f>
        <v>90.916117473473548</v>
      </c>
      <c r="CB115" s="10">
        <f ca="1">SUM(Расчеты!CB759,Расчеты!CB768,Расчеты!CB776,Расчеты!CB866)</f>
        <v>82.053571615772327</v>
      </c>
      <c r="CC115" s="10">
        <f ca="1">SUM(Расчеты!CC759,Расчеты!CC768,Расчеты!CC776,Расчеты!CC866)</f>
        <v>135.28738668804053</v>
      </c>
      <c r="CD115" s="10">
        <f ca="1">SUM(Расчеты!CD759,Расчеты!CD768,Расчеты!CD776,Расчеты!CD866)</f>
        <v>228.58426861744906</v>
      </c>
      <c r="CE115" s="10">
        <f ca="1">SUM(Расчеты!CE759,Расчеты!CE768,Расчеты!CE776,Расчеты!CE866)</f>
        <v>94.552762172412486</v>
      </c>
      <c r="CF115" s="10">
        <f ca="1">SUM(Расчеты!CF759,Расчеты!CF768,Расчеты!CF776,Расчеты!CF866)</f>
        <v>85.335714480403198</v>
      </c>
      <c r="CG115" s="10">
        <f ca="1">SUM(Расчеты!CG759,Расчеты!CG768,Расчеты!CG776,Расчеты!CG866)</f>
        <v>140.69888215556213</v>
      </c>
      <c r="CH115" s="10">
        <f ca="1">SUM(Расчеты!CH759,Расчеты!CH768,Расчеты!CH776,Расчеты!CH866)</f>
        <v>237.72763936214699</v>
      </c>
      <c r="CI115" s="10">
        <f ca="1">SUM(Расчеты!CI759,Расчеты!CI768,Расчеты!CI776,Расчеты!CI866)</f>
        <v>98.334872659308985</v>
      </c>
      <c r="CJ115" s="10">
        <f ca="1">SUM(Расчеты!CJ759,Расчеты!CJ768,Расчеты!CJ776,Расчеты!CJ866)</f>
        <v>89.735244649170653</v>
      </c>
      <c r="CK115" s="10">
        <f ca="1">SUM(Расчеты!CK759,Расчеты!CK768,Расчеты!CK776,Расчеты!CK866)</f>
        <v>146.32683744178462</v>
      </c>
      <c r="CL115" s="10">
        <f ca="1">SUM(Расчеты!CL759,Расчеты!CL768,Расчеты!CL776,Расчеты!CL866)</f>
        <v>247.23674493663285</v>
      </c>
      <c r="CM115" s="10">
        <f ca="1">SUM(Расчеты!CM759,Расчеты!CM768,Расчеты!CM776,Расчеты!CM866)</f>
        <v>102.26826756568134</v>
      </c>
      <c r="CN115" s="10">
        <f ca="1">SUM(Расчеты!CN759,Расчеты!CN768,Расчеты!CN776,Расчеты!CN866)</f>
        <v>92.299108782004112</v>
      </c>
      <c r="CO115" s="10">
        <f ca="1">SUM(Расчеты!CO759,Расчеты!CO768,Расчеты!CO776,Расчеты!CO866)</f>
        <v>152.17991093945599</v>
      </c>
    </row>
    <row r="116" spans="1:93" s="141" customFormat="1" ht="15" customHeight="1" thickTop="1">
      <c r="A116" s="153"/>
      <c r="B116" s="153"/>
      <c r="C116" s="49" t="s">
        <v>1031</v>
      </c>
      <c r="D116" s="49"/>
      <c r="E116" s="49"/>
      <c r="F116" s="49"/>
      <c r="G116" s="159" t="str">
        <f t="shared" si="83"/>
        <v>тыс. руб.</v>
      </c>
      <c r="H116" s="49"/>
      <c r="I116" s="23">
        <f t="shared" ca="1" si="84"/>
        <v>4642527.5468623573</v>
      </c>
      <c r="J116" s="49"/>
      <c r="K116" s="49"/>
      <c r="L116" s="49">
        <f ca="1">SUM(L111:L115)</f>
        <v>0</v>
      </c>
      <c r="M116" s="49">
        <f t="shared" ref="M116:AY116" ca="1" si="85">SUM(M111:M115)</f>
        <v>0</v>
      </c>
      <c r="N116" s="49">
        <f t="shared" ca="1" si="85"/>
        <v>0</v>
      </c>
      <c r="O116" s="49">
        <f t="shared" ca="1" si="85"/>
        <v>0</v>
      </c>
      <c r="P116" s="49">
        <f t="shared" ca="1" si="85"/>
        <v>0</v>
      </c>
      <c r="Q116" s="49">
        <f t="shared" ca="1" si="85"/>
        <v>0</v>
      </c>
      <c r="R116" s="49">
        <f t="shared" ca="1" si="85"/>
        <v>0</v>
      </c>
      <c r="S116" s="49">
        <f t="shared" ca="1" si="85"/>
        <v>0</v>
      </c>
      <c r="T116" s="49">
        <f t="shared" ca="1" si="85"/>
        <v>0</v>
      </c>
      <c r="U116" s="49">
        <f t="shared" ca="1" si="85"/>
        <v>0</v>
      </c>
      <c r="V116" s="49">
        <f t="shared" ca="1" si="85"/>
        <v>0</v>
      </c>
      <c r="W116" s="49">
        <f t="shared" ca="1" si="85"/>
        <v>0</v>
      </c>
      <c r="X116" s="49">
        <f t="shared" ca="1" si="85"/>
        <v>0</v>
      </c>
      <c r="Y116" s="49">
        <f t="shared" ca="1" si="85"/>
        <v>0</v>
      </c>
      <c r="Z116" s="49">
        <f t="shared" ca="1" si="85"/>
        <v>0</v>
      </c>
      <c r="AA116" s="49">
        <f t="shared" ca="1" si="85"/>
        <v>0</v>
      </c>
      <c r="AB116" s="49">
        <f t="shared" ca="1" si="85"/>
        <v>0</v>
      </c>
      <c r="AC116" s="49">
        <f t="shared" ca="1" si="85"/>
        <v>38755.304845163133</v>
      </c>
      <c r="AD116" s="49">
        <f t="shared" ca="1" si="85"/>
        <v>67472.462178456495</v>
      </c>
      <c r="AE116" s="49">
        <f t="shared" ca="1" si="85"/>
        <v>28733.107123099402</v>
      </c>
      <c r="AF116" s="49">
        <f t="shared" ca="1" si="85"/>
        <v>26675.373563643207</v>
      </c>
      <c r="AG116" s="49">
        <f t="shared" ca="1" si="85"/>
        <v>45206.86695049869</v>
      </c>
      <c r="AH116" s="49">
        <f t="shared" ca="1" si="85"/>
        <v>78452.779297388784</v>
      </c>
      <c r="AI116" s="49">
        <f t="shared" ca="1" si="85"/>
        <v>33307.999628786027</v>
      </c>
      <c r="AJ116" s="49">
        <f t="shared" ca="1" si="85"/>
        <v>30834.030726932378</v>
      </c>
      <c r="AK116" s="49">
        <f t="shared" ca="1" si="85"/>
        <v>52112.54553650882</v>
      </c>
      <c r="AL116" s="49">
        <f t="shared" ca="1" si="85"/>
        <v>90203.565846350117</v>
      </c>
      <c r="AM116" s="49">
        <f t="shared" ca="1" si="85"/>
        <v>38202.910563530626</v>
      </c>
      <c r="AN116" s="49">
        <f t="shared" ca="1" si="85"/>
        <v>35674.729864089335</v>
      </c>
      <c r="AO116" s="49">
        <f t="shared" ca="1" si="85"/>
        <v>59498.347422278952</v>
      </c>
      <c r="AP116" s="49">
        <f t="shared" ca="1" si="85"/>
        <v>100529.59527431542</v>
      </c>
      <c r="AQ116" s="49">
        <f t="shared" ca="1" si="85"/>
        <v>41583.574279860266</v>
      </c>
      <c r="AR116" s="49">
        <f t="shared" ca="1" si="85"/>
        <v>37529.987916695194</v>
      </c>
      <c r="AS116" s="49">
        <f t="shared" ca="1" si="85"/>
        <v>61878.281319170113</v>
      </c>
      <c r="AT116" s="49">
        <f t="shared" ca="1" si="85"/>
        <v>104550.77908528803</v>
      </c>
      <c r="AU116" s="49">
        <f t="shared" ca="1" si="85"/>
        <v>43246.917251054685</v>
      </c>
      <c r="AV116" s="49">
        <f t="shared" ca="1" si="85"/>
        <v>39031.187433362989</v>
      </c>
      <c r="AW116" s="49">
        <f t="shared" ca="1" si="85"/>
        <v>64353.412571936911</v>
      </c>
      <c r="AX116" s="49">
        <f t="shared" ca="1" si="85"/>
        <v>108732.81024869953</v>
      </c>
      <c r="AY116" s="49">
        <f t="shared" ca="1" si="85"/>
        <v>44976.793941096854</v>
      </c>
      <c r="AZ116" s="49">
        <f t="shared" ref="AZ116:CM116" ca="1" si="86">SUM(AZ111:AZ115)</f>
        <v>40592.434930697505</v>
      </c>
      <c r="BA116" s="49">
        <f t="shared" ca="1" si="86"/>
        <v>66927.549074814378</v>
      </c>
      <c r="BB116" s="49">
        <f t="shared" ca="1" si="86"/>
        <v>113082.12265864748</v>
      </c>
      <c r="BC116" s="49">
        <f t="shared" ca="1" si="86"/>
        <v>46775.865698740723</v>
      </c>
      <c r="BD116" s="49">
        <f t="shared" ca="1" si="86"/>
        <v>42685.200464902351</v>
      </c>
      <c r="BE116" s="49">
        <f t="shared" ca="1" si="86"/>
        <v>69604.651037806922</v>
      </c>
      <c r="BF116" s="49">
        <f t="shared" ca="1" si="86"/>
        <v>117605.40756499337</v>
      </c>
      <c r="BG116" s="49">
        <f t="shared" ca="1" si="86"/>
        <v>48646.900326690346</v>
      </c>
      <c r="BH116" s="49">
        <f t="shared" ca="1" si="86"/>
        <v>43904.777621042405</v>
      </c>
      <c r="BI116" s="49">
        <f t="shared" ca="1" si="86"/>
        <v>72388.837079319186</v>
      </c>
      <c r="BJ116" s="49">
        <f t="shared" ca="1" si="86"/>
        <v>122309.62386759308</v>
      </c>
      <c r="BK116" s="49">
        <f t="shared" ca="1" si="86"/>
        <v>50592.776339757977</v>
      </c>
      <c r="BL116" s="49">
        <f t="shared" ca="1" si="86"/>
        <v>45660.968725884108</v>
      </c>
      <c r="BM116" s="49">
        <f t="shared" ca="1" si="86"/>
        <v>75284.390562491957</v>
      </c>
      <c r="BN116" s="49">
        <f t="shared" ca="1" si="86"/>
        <v>127202.00882229676</v>
      </c>
      <c r="BO116" s="49">
        <f t="shared" ca="1" si="86"/>
        <v>52616.487393348267</v>
      </c>
      <c r="BP116" s="49">
        <f t="shared" ca="1" si="86"/>
        <v>47487.407474919455</v>
      </c>
      <c r="BQ116" s="49">
        <f t="shared" ca="1" si="86"/>
        <v>78295.766184991619</v>
      </c>
      <c r="BR116" s="49">
        <f t="shared" ca="1" si="86"/>
        <v>132290.08917518859</v>
      </c>
      <c r="BS116" s="49">
        <f t="shared" ca="1" si="86"/>
        <v>54721.146889082193</v>
      </c>
      <c r="BT116" s="49">
        <f t="shared" ca="1" si="86"/>
        <v>49935.647149181954</v>
      </c>
      <c r="BU116" s="49">
        <f t="shared" ca="1" si="86"/>
        <v>81427.596832391268</v>
      </c>
      <c r="BV116" s="49">
        <f t="shared" ca="1" si="86"/>
        <v>137581.69274219614</v>
      </c>
      <c r="BW116" s="49">
        <f t="shared" ca="1" si="86"/>
        <v>56909.99276464546</v>
      </c>
      <c r="BX116" s="49">
        <f t="shared" ca="1" si="86"/>
        <v>51362.379924872868</v>
      </c>
      <c r="BY116" s="49">
        <f t="shared" ca="1" si="86"/>
        <v>84684.700705686919</v>
      </c>
      <c r="BZ116" s="49">
        <f t="shared" ca="1" si="86"/>
        <v>143084.96045188396</v>
      </c>
      <c r="CA116" s="49">
        <f t="shared" ca="1" si="86"/>
        <v>59186.392475231274</v>
      </c>
      <c r="CB116" s="49">
        <f t="shared" ca="1" si="86"/>
        <v>53416.875121867793</v>
      </c>
      <c r="CC116" s="49">
        <f t="shared" ca="1" si="86"/>
        <v>88072.088733914366</v>
      </c>
      <c r="CD116" s="49">
        <f t="shared" ca="1" si="86"/>
        <v>148808.35886995937</v>
      </c>
      <c r="CE116" s="49">
        <f t="shared" ca="1" si="86"/>
        <v>61553.848174240535</v>
      </c>
      <c r="CF116" s="49">
        <f t="shared" ca="1" si="86"/>
        <v>55553.55012674247</v>
      </c>
      <c r="CG116" s="49">
        <f t="shared" ca="1" si="86"/>
        <v>91594.972283270938</v>
      </c>
      <c r="CH116" s="49">
        <f t="shared" ca="1" si="86"/>
        <v>154760.69322475774</v>
      </c>
      <c r="CI116" s="49">
        <f t="shared" ca="1" si="86"/>
        <v>64016.002101210142</v>
      </c>
      <c r="CJ116" s="49">
        <f t="shared" ca="1" si="86"/>
        <v>58417.644266610092</v>
      </c>
      <c r="CK116" s="49">
        <f t="shared" ca="1" si="86"/>
        <v>95258.771174601789</v>
      </c>
      <c r="CL116" s="49">
        <f t="shared" ca="1" si="86"/>
        <v>160951.120953748</v>
      </c>
      <c r="CM116" s="49">
        <f t="shared" ca="1" si="86"/>
        <v>66576.642185258534</v>
      </c>
      <c r="CN116" s="49">
        <f ca="1">SUM(CN111:CN115)</f>
        <v>60086.71981708466</v>
      </c>
      <c r="CO116" s="49">
        <f ca="1">SUM(CO111:CO115)</f>
        <v>99069.122021585834</v>
      </c>
    </row>
    <row r="117" spans="1:93" s="141" customFormat="1" ht="14.65" customHeight="1">
      <c r="A117" s="153"/>
      <c r="B117" s="153"/>
      <c r="C117" s="153"/>
      <c r="D117" s="153"/>
      <c r="E117" s="153"/>
      <c r="F117" s="153"/>
      <c r="G117" s="179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AW117" s="153"/>
      <c r="AX117" s="153"/>
      <c r="AY117" s="153"/>
      <c r="AZ117" s="153"/>
      <c r="BA117" s="153"/>
      <c r="BB117" s="153"/>
      <c r="BC117" s="153"/>
      <c r="BD117" s="153"/>
      <c r="BE117" s="153"/>
      <c r="BF117" s="153"/>
      <c r="BG117" s="153"/>
      <c r="BH117" s="153"/>
      <c r="BI117" s="153"/>
      <c r="BJ117" s="153"/>
      <c r="BK117" s="153"/>
      <c r="BL117" s="153"/>
      <c r="BM117" s="153"/>
      <c r="BN117" s="153"/>
      <c r="BO117" s="153"/>
      <c r="BP117" s="153"/>
      <c r="BQ117" s="153"/>
      <c r="BR117" s="153"/>
      <c r="BS117" s="153"/>
      <c r="BT117" s="153"/>
      <c r="BU117" s="153"/>
      <c r="BV117" s="153"/>
      <c r="BW117" s="153"/>
      <c r="BX117" s="153"/>
      <c r="BY117" s="153"/>
      <c r="BZ117" s="153"/>
      <c r="CA117" s="153"/>
      <c r="CB117" s="153"/>
      <c r="CC117" s="153"/>
      <c r="CD117" s="153"/>
      <c r="CE117" s="153"/>
      <c r="CF117" s="153"/>
      <c r="CG117" s="153"/>
      <c r="CH117" s="153"/>
      <c r="CI117" s="153"/>
      <c r="CJ117" s="153"/>
      <c r="CK117" s="153"/>
      <c r="CL117" s="153"/>
      <c r="CM117" s="153"/>
      <c r="CN117" s="153"/>
      <c r="CO117" s="153"/>
    </row>
    <row r="118" spans="1:93" s="141" customFormat="1" ht="14.65" customHeight="1">
      <c r="A118" s="153"/>
      <c r="B118" s="153"/>
      <c r="C118" s="153" t="s">
        <v>699</v>
      </c>
      <c r="D118" s="153"/>
      <c r="E118" s="153"/>
      <c r="F118" s="153"/>
      <c r="G118" s="179" t="str">
        <f>Monetary_Unit</f>
        <v>тыс. руб.</v>
      </c>
      <c r="H118" s="153"/>
      <c r="I118" s="23">
        <f ca="1">SUM(L118:CO118)</f>
        <v>3102149.7432951233</v>
      </c>
      <c r="J118" s="153"/>
      <c r="K118" s="153"/>
      <c r="L118" s="155">
        <f ca="1" xml:space="preserve"> L111 - L119</f>
        <v>0</v>
      </c>
      <c r="M118" s="155">
        <f t="shared" ref="M118:BX118" ca="1" si="87" xml:space="preserve"> M111 - M119</f>
        <v>0</v>
      </c>
      <c r="N118" s="155">
        <f t="shared" ca="1" si="87"/>
        <v>0</v>
      </c>
      <c r="O118" s="155">
        <f t="shared" ca="1" si="87"/>
        <v>0</v>
      </c>
      <c r="P118" s="155">
        <f t="shared" ca="1" si="87"/>
        <v>0</v>
      </c>
      <c r="Q118" s="155">
        <f t="shared" ca="1" si="87"/>
        <v>0</v>
      </c>
      <c r="R118" s="155">
        <f t="shared" ca="1" si="87"/>
        <v>0</v>
      </c>
      <c r="S118" s="155">
        <f t="shared" ca="1" si="87"/>
        <v>0</v>
      </c>
      <c r="T118" s="155">
        <f t="shared" ca="1" si="87"/>
        <v>0</v>
      </c>
      <c r="U118" s="155">
        <f t="shared" ca="1" si="87"/>
        <v>0</v>
      </c>
      <c r="V118" s="155">
        <f t="shared" ca="1" si="87"/>
        <v>0</v>
      </c>
      <c r="W118" s="155">
        <f t="shared" ca="1" si="87"/>
        <v>0</v>
      </c>
      <c r="X118" s="155">
        <f t="shared" ca="1" si="87"/>
        <v>0</v>
      </c>
      <c r="Y118" s="155">
        <f t="shared" ca="1" si="87"/>
        <v>0</v>
      </c>
      <c r="Z118" s="155">
        <f t="shared" ca="1" si="87"/>
        <v>0</v>
      </c>
      <c r="AA118" s="155">
        <f t="shared" ca="1" si="87"/>
        <v>0</v>
      </c>
      <c r="AB118" s="155">
        <f t="shared" ca="1" si="87"/>
        <v>0</v>
      </c>
      <c r="AC118" s="155">
        <f t="shared" ca="1" si="87"/>
        <v>25896.401855062923</v>
      </c>
      <c r="AD118" s="155">
        <f t="shared" ca="1" si="87"/>
        <v>45085.285787447894</v>
      </c>
      <c r="AE118" s="155">
        <f t="shared" ca="1" si="87"/>
        <v>19199.541626034163</v>
      </c>
      <c r="AF118" s="155">
        <f t="shared" ca="1" si="87"/>
        <v>17824.558372019656</v>
      </c>
      <c r="AG118" s="155">
        <f t="shared" ca="1" si="87"/>
        <v>30207.353492268707</v>
      </c>
      <c r="AH118" s="155">
        <f t="shared" ca="1" si="87"/>
        <v>52422.36404664228</v>
      </c>
      <c r="AI118" s="155">
        <f t="shared" ca="1" si="87"/>
        <v>22256.49744780633</v>
      </c>
      <c r="AJ118" s="155">
        <f t="shared" ca="1" si="87"/>
        <v>20603.384587120716</v>
      </c>
      <c r="AK118" s="155">
        <f t="shared" ca="1" si="87"/>
        <v>34821.747017482856</v>
      </c>
      <c r="AL118" s="155">
        <f t="shared" ca="1" si="87"/>
        <v>60274.272109312296</v>
      </c>
      <c r="AM118" s="155">
        <f t="shared" ca="1" si="87"/>
        <v>25527.29046871862</v>
      </c>
      <c r="AN118" s="155">
        <f t="shared" ca="1" si="87"/>
        <v>23837.953134990566</v>
      </c>
      <c r="AO118" s="155">
        <f t="shared" ca="1" si="87"/>
        <v>39756.960259126492</v>
      </c>
      <c r="AP118" s="155">
        <f t="shared" ca="1" si="87"/>
        <v>67174.153524312133</v>
      </c>
      <c r="AQ118" s="155">
        <f t="shared" ca="1" si="87"/>
        <v>27786.259311427377</v>
      </c>
      <c r="AR118" s="155">
        <f t="shared" ca="1" si="87"/>
        <v>25077.641695487568</v>
      </c>
      <c r="AS118" s="155">
        <f t="shared" ca="1" si="87"/>
        <v>41347.238669491548</v>
      </c>
      <c r="AT118" s="155">
        <f t="shared" ca="1" si="87"/>
        <v>69861.119665284627</v>
      </c>
      <c r="AU118" s="155">
        <f t="shared" ca="1" si="87"/>
        <v>28897.709683884463</v>
      </c>
      <c r="AV118" s="155">
        <f t="shared" ca="1" si="87"/>
        <v>26080.747363307066</v>
      </c>
      <c r="AW118" s="155">
        <f t="shared" ca="1" si="87"/>
        <v>43001.128216271209</v>
      </c>
      <c r="AX118" s="155">
        <f t="shared" ca="1" si="87"/>
        <v>72655.564451896003</v>
      </c>
      <c r="AY118" s="155">
        <f t="shared" ca="1" si="87"/>
        <v>30053.618071239838</v>
      </c>
      <c r="AZ118" s="155">
        <f t="shared" ca="1" si="87"/>
        <v>27123.977257839346</v>
      </c>
      <c r="BA118" s="155">
        <f t="shared" ca="1" si="87"/>
        <v>44721.173344922041</v>
      </c>
      <c r="BB118" s="155">
        <f t="shared" ca="1" si="87"/>
        <v>75561.78702997182</v>
      </c>
      <c r="BC118" s="155">
        <f t="shared" ca="1" si="87"/>
        <v>31255.76279408942</v>
      </c>
      <c r="BD118" s="155">
        <f t="shared" ca="1" si="87"/>
        <v>28522.368974243505</v>
      </c>
      <c r="BE118" s="155">
        <f t="shared" ca="1" si="87"/>
        <v>46510.020278718912</v>
      </c>
      <c r="BF118" s="155">
        <f t="shared" ca="1" si="87"/>
        <v>78584.258511170687</v>
      </c>
      <c r="BG118" s="155">
        <f t="shared" ca="1" si="87"/>
        <v>32505.993305852997</v>
      </c>
      <c r="BH118" s="155">
        <f t="shared" ca="1" si="87"/>
        <v>29337.293802079024</v>
      </c>
      <c r="BI118" s="155">
        <f t="shared" ca="1" si="87"/>
        <v>48370.421089867668</v>
      </c>
      <c r="BJ118" s="155">
        <f t="shared" ca="1" si="87"/>
        <v>81727.628851617483</v>
      </c>
      <c r="BK118" s="155">
        <f t="shared" ca="1" si="87"/>
        <v>33806.233038087128</v>
      </c>
      <c r="BL118" s="155">
        <f t="shared" ca="1" si="87"/>
        <v>30510.785554162187</v>
      </c>
      <c r="BM118" s="155">
        <f t="shared" ca="1" si="87"/>
        <v>50305.237933462369</v>
      </c>
      <c r="BN118" s="155">
        <f t="shared" ca="1" si="87"/>
        <v>84996.73400568217</v>
      </c>
      <c r="BO118" s="155">
        <f t="shared" ca="1" si="87"/>
        <v>35158.482359610593</v>
      </c>
      <c r="BP118" s="155">
        <f t="shared" ca="1" si="87"/>
        <v>31731.216976328669</v>
      </c>
      <c r="BQ118" s="155">
        <f t="shared" ca="1" si="87"/>
        <v>52317.44745080085</v>
      </c>
      <c r="BR118" s="155">
        <f t="shared" ca="1" si="87"/>
        <v>88396.603365909454</v>
      </c>
      <c r="BS118" s="155">
        <f t="shared" ca="1" si="87"/>
        <v>36564.821653995008</v>
      </c>
      <c r="BT118" s="155">
        <f t="shared" ca="1" si="87"/>
        <v>33367.137495997158</v>
      </c>
      <c r="BU118" s="155">
        <f t="shared" ca="1" si="87"/>
        <v>54410.145348832877</v>
      </c>
      <c r="BV118" s="155">
        <f t="shared" ca="1" si="87"/>
        <v>91932.467500545812</v>
      </c>
      <c r="BW118" s="155">
        <f t="shared" ca="1" si="87"/>
        <v>38027.414520154802</v>
      </c>
      <c r="BX118" s="155">
        <f t="shared" ca="1" si="87"/>
        <v>34320.484281597077</v>
      </c>
      <c r="BY118" s="155">
        <f t="shared" ref="BY118:CM118" ca="1" si="88" xml:space="preserve"> BY111 - BY119</f>
        <v>56586.551162786185</v>
      </c>
      <c r="BZ118" s="155">
        <f t="shared" ca="1" si="88"/>
        <v>95609.766200567625</v>
      </c>
      <c r="CA118" s="155">
        <f t="shared" ca="1" si="88"/>
        <v>39548.51110096099</v>
      </c>
      <c r="CB118" s="155">
        <f t="shared" ca="1" si="88"/>
        <v>35693.303652860959</v>
      </c>
      <c r="CC118" s="155">
        <f t="shared" ca="1" si="88"/>
        <v>58850.01320929762</v>
      </c>
      <c r="CD118" s="155">
        <f t="shared" ca="1" si="88"/>
        <v>99434.156848590341</v>
      </c>
      <c r="CE118" s="155">
        <f t="shared" ca="1" si="88"/>
        <v>41130.451544999436</v>
      </c>
      <c r="CF118" s="155">
        <f t="shared" ca="1" si="88"/>
        <v>37121.035798975383</v>
      </c>
      <c r="CG118" s="155">
        <f t="shared" ca="1" si="88"/>
        <v>61204.013737669535</v>
      </c>
      <c r="CH118" s="155">
        <f t="shared" ca="1" si="88"/>
        <v>103411.52312253394</v>
      </c>
      <c r="CI118" s="155">
        <f t="shared" ca="1" si="88"/>
        <v>42775.669606799405</v>
      </c>
      <c r="CJ118" s="155">
        <f t="shared" ca="1" si="88"/>
        <v>39034.83142238923</v>
      </c>
      <c r="CK118" s="155">
        <f t="shared" ca="1" si="88"/>
        <v>63652.174287176313</v>
      </c>
      <c r="CL118" s="155">
        <f t="shared" ca="1" si="88"/>
        <v>107547.9840474353</v>
      </c>
      <c r="CM118" s="155">
        <f t="shared" ca="1" si="88"/>
        <v>44486.696391071375</v>
      </c>
      <c r="CN118" s="155">
        <f ca="1" xml:space="preserve"> CN111 - CN119</f>
        <v>40150.112320171778</v>
      </c>
      <c r="CO118" s="155">
        <f ca="1" xml:space="preserve"> CO111 - CO119</f>
        <v>66198.261258663348</v>
      </c>
    </row>
    <row r="119" spans="1:93" s="141" customFormat="1" ht="14.65" customHeight="1">
      <c r="A119" s="153"/>
      <c r="B119" s="153"/>
      <c r="C119" s="153" t="s">
        <v>1032</v>
      </c>
      <c r="D119" s="153"/>
      <c r="E119" s="153"/>
      <c r="F119" s="153"/>
      <c r="G119" s="11" t="str">
        <f>Monetary_Unit</f>
        <v>тыс. руб.</v>
      </c>
      <c r="H119" s="153"/>
      <c r="I119" s="23">
        <f ca="1">SUM(L119:CO119)</f>
        <v>463539.61681421386</v>
      </c>
      <c r="J119" s="153"/>
      <c r="K119" s="153"/>
      <c r="L119" s="155">
        <f ca="1" xml:space="preserve"> L111 * 0.13</f>
        <v>0</v>
      </c>
      <c r="M119" s="155">
        <f t="shared" ref="M119:BX119" ca="1" si="89" xml:space="preserve"> M111 * 0.13</f>
        <v>0</v>
      </c>
      <c r="N119" s="155">
        <f t="shared" ca="1" si="89"/>
        <v>0</v>
      </c>
      <c r="O119" s="155">
        <f t="shared" ca="1" si="89"/>
        <v>0</v>
      </c>
      <c r="P119" s="155">
        <f t="shared" ca="1" si="89"/>
        <v>0</v>
      </c>
      <c r="Q119" s="155">
        <f t="shared" ca="1" si="89"/>
        <v>0</v>
      </c>
      <c r="R119" s="155">
        <f t="shared" ca="1" si="89"/>
        <v>0</v>
      </c>
      <c r="S119" s="155">
        <f t="shared" ca="1" si="89"/>
        <v>0</v>
      </c>
      <c r="T119" s="155">
        <f t="shared" ca="1" si="89"/>
        <v>0</v>
      </c>
      <c r="U119" s="155">
        <f t="shared" ca="1" si="89"/>
        <v>0</v>
      </c>
      <c r="V119" s="155">
        <f t="shared" ca="1" si="89"/>
        <v>0</v>
      </c>
      <c r="W119" s="155">
        <f t="shared" ca="1" si="89"/>
        <v>0</v>
      </c>
      <c r="X119" s="155">
        <f t="shared" ca="1" si="89"/>
        <v>0</v>
      </c>
      <c r="Y119" s="155">
        <f t="shared" ca="1" si="89"/>
        <v>0</v>
      </c>
      <c r="Z119" s="155">
        <f t="shared" ca="1" si="89"/>
        <v>0</v>
      </c>
      <c r="AA119" s="155">
        <f t="shared" ca="1" si="89"/>
        <v>0</v>
      </c>
      <c r="AB119" s="155">
        <f t="shared" ca="1" si="89"/>
        <v>0</v>
      </c>
      <c r="AC119" s="155">
        <f t="shared" ca="1" si="89"/>
        <v>3869.5772886875634</v>
      </c>
      <c r="AD119" s="155">
        <f t="shared" ca="1" si="89"/>
        <v>6736.8817843312945</v>
      </c>
      <c r="AE119" s="155">
        <f t="shared" ca="1" si="89"/>
        <v>2868.8970245798178</v>
      </c>
      <c r="AF119" s="155">
        <f t="shared" ca="1" si="89"/>
        <v>2663.439756738569</v>
      </c>
      <c r="AG119" s="155">
        <f t="shared" ca="1" si="89"/>
        <v>4513.7424758562438</v>
      </c>
      <c r="AH119" s="155">
        <f t="shared" ca="1" si="89"/>
        <v>7833.2268115672368</v>
      </c>
      <c r="AI119" s="155">
        <f t="shared" ca="1" si="89"/>
        <v>3325.6835266837047</v>
      </c>
      <c r="AJ119" s="155">
        <f t="shared" ca="1" si="89"/>
        <v>3078.6666624433251</v>
      </c>
      <c r="AK119" s="155">
        <f t="shared" ca="1" si="89"/>
        <v>5203.2495543365194</v>
      </c>
      <c r="AL119" s="155">
        <f t="shared" ca="1" si="89"/>
        <v>9006.5004301271256</v>
      </c>
      <c r="AM119" s="155">
        <f t="shared" ca="1" si="89"/>
        <v>3814.4227137165758</v>
      </c>
      <c r="AN119" s="155">
        <f t="shared" ca="1" si="89"/>
        <v>3561.992997182499</v>
      </c>
      <c r="AO119" s="155">
        <f t="shared" ca="1" si="89"/>
        <v>5940.6952111338442</v>
      </c>
      <c r="AP119" s="155">
        <f t="shared" ca="1" si="89"/>
        <v>10037.51719328802</v>
      </c>
      <c r="AQ119" s="155">
        <f t="shared" ca="1" si="89"/>
        <v>4151.9697821673089</v>
      </c>
      <c r="AR119" s="155">
        <f t="shared" ca="1" si="89"/>
        <v>3747.2338165671081</v>
      </c>
      <c r="AS119" s="155">
        <f t="shared" ca="1" si="89"/>
        <v>6178.3230195791975</v>
      </c>
      <c r="AT119" s="155">
        <f t="shared" ca="1" si="89"/>
        <v>10439.017881019541</v>
      </c>
      <c r="AU119" s="155">
        <f t="shared" ca="1" si="89"/>
        <v>4318.0485734540007</v>
      </c>
      <c r="AV119" s="155">
        <f t="shared" ca="1" si="89"/>
        <v>3897.1231692297915</v>
      </c>
      <c r="AW119" s="155">
        <f t="shared" ca="1" si="89"/>
        <v>6425.4559403623643</v>
      </c>
      <c r="AX119" s="155">
        <f t="shared" ca="1" si="89"/>
        <v>10856.578596260324</v>
      </c>
      <c r="AY119" s="155">
        <f t="shared" ca="1" si="89"/>
        <v>4490.7705163921601</v>
      </c>
      <c r="AZ119" s="155">
        <f t="shared" ca="1" si="89"/>
        <v>4053.0080959989828</v>
      </c>
      <c r="BA119" s="155">
        <f t="shared" ca="1" si="89"/>
        <v>6682.4741779768574</v>
      </c>
      <c r="BB119" s="155">
        <f t="shared" ca="1" si="89"/>
        <v>11290.841740110731</v>
      </c>
      <c r="BC119" s="155">
        <f t="shared" ca="1" si="89"/>
        <v>4670.4013370478451</v>
      </c>
      <c r="BD119" s="155">
        <f t="shared" ca="1" si="89"/>
        <v>4261.9631800593743</v>
      </c>
      <c r="BE119" s="155">
        <f t="shared" ca="1" si="89"/>
        <v>6949.77314509593</v>
      </c>
      <c r="BF119" s="155">
        <f t="shared" ca="1" si="89"/>
        <v>11742.47540971516</v>
      </c>
      <c r="BG119" s="155">
        <f t="shared" ca="1" si="89"/>
        <v>4857.2173905297577</v>
      </c>
      <c r="BH119" s="155">
        <f t="shared" ca="1" si="89"/>
        <v>4383.7335566324982</v>
      </c>
      <c r="BI119" s="155">
        <f t="shared" ca="1" si="89"/>
        <v>7227.7640708997669</v>
      </c>
      <c r="BJ119" s="155">
        <f t="shared" ca="1" si="89"/>
        <v>12212.174426103764</v>
      </c>
      <c r="BK119" s="155">
        <f t="shared" ca="1" si="89"/>
        <v>5051.5060861509501</v>
      </c>
      <c r="BL119" s="155">
        <f t="shared" ca="1" si="89"/>
        <v>4559.0828988977983</v>
      </c>
      <c r="BM119" s="155">
        <f t="shared" ca="1" si="89"/>
        <v>7516.874633735757</v>
      </c>
      <c r="BN119" s="155">
        <f t="shared" ca="1" si="89"/>
        <v>12700.661403147911</v>
      </c>
      <c r="BO119" s="155">
        <f t="shared" ca="1" si="89"/>
        <v>5253.5663295969853</v>
      </c>
      <c r="BP119" s="155">
        <f t="shared" ca="1" si="89"/>
        <v>4741.4462148537095</v>
      </c>
      <c r="BQ119" s="155">
        <f t="shared" ca="1" si="89"/>
        <v>7817.5496190851845</v>
      </c>
      <c r="BR119" s="155">
        <f t="shared" ca="1" si="89"/>
        <v>13208.687859273827</v>
      </c>
      <c r="BS119" s="155">
        <f t="shared" ca="1" si="89"/>
        <v>5463.7089827808641</v>
      </c>
      <c r="BT119" s="155">
        <f t="shared" ca="1" si="89"/>
        <v>4985.8941085972765</v>
      </c>
      <c r="BU119" s="155">
        <f t="shared" ca="1" si="89"/>
        <v>8130.251603848591</v>
      </c>
      <c r="BV119" s="155">
        <f t="shared" ca="1" si="89"/>
        <v>13737.035373644776</v>
      </c>
      <c r="BW119" s="155">
        <f t="shared" ca="1" si="89"/>
        <v>5682.2573420920971</v>
      </c>
      <c r="BX119" s="155">
        <f t="shared" ca="1" si="89"/>
        <v>5128.3482259857701</v>
      </c>
      <c r="BY119" s="155">
        <f t="shared" ref="BY119:CM119" ca="1" si="90" xml:space="preserve"> BY111 * 0.13</f>
        <v>8455.4616680025338</v>
      </c>
      <c r="BZ119" s="155">
        <f t="shared" ca="1" si="90"/>
        <v>14286.516788590565</v>
      </c>
      <c r="CA119" s="155">
        <f t="shared" ca="1" si="90"/>
        <v>5909.5476357757807</v>
      </c>
      <c r="CB119" s="155">
        <f t="shared" ca="1" si="90"/>
        <v>5333.4821550252009</v>
      </c>
      <c r="CC119" s="155">
        <f t="shared" ca="1" si="90"/>
        <v>8793.6801347226337</v>
      </c>
      <c r="CD119" s="155">
        <f t="shared" ca="1" si="90"/>
        <v>14857.977460134191</v>
      </c>
      <c r="CE119" s="155">
        <f t="shared" ca="1" si="90"/>
        <v>6145.9295412068122</v>
      </c>
      <c r="CF119" s="155">
        <f t="shared" ca="1" si="90"/>
        <v>5546.8214412262068</v>
      </c>
      <c r="CG119" s="155">
        <f t="shared" ca="1" si="90"/>
        <v>9145.4273401115388</v>
      </c>
      <c r="CH119" s="155">
        <f t="shared" ca="1" si="90"/>
        <v>15452.296558539554</v>
      </c>
      <c r="CI119" s="155">
        <f t="shared" ca="1" si="90"/>
        <v>6391.7667228550836</v>
      </c>
      <c r="CJ119" s="155">
        <f t="shared" ca="1" si="90"/>
        <v>5832.7909021960922</v>
      </c>
      <c r="CK119" s="155">
        <f t="shared" ca="1" si="90"/>
        <v>9511.2444337160014</v>
      </c>
      <c r="CL119" s="155">
        <f t="shared" ca="1" si="90"/>
        <v>16070.388420881136</v>
      </c>
      <c r="CM119" s="155">
        <f t="shared" ca="1" si="90"/>
        <v>6647.4373917692865</v>
      </c>
      <c r="CN119" s="155">
        <f ca="1" xml:space="preserve"> CN111 * 0.13</f>
        <v>5999.4420708302659</v>
      </c>
      <c r="CO119" s="155">
        <f ca="1" xml:space="preserve"> CO111 * 0.13</f>
        <v>9891.6942110646378</v>
      </c>
    </row>
    <row r="120" spans="1:93" s="141" customFormat="1" ht="14.65" customHeight="1" thickBot="1">
      <c r="A120" s="153"/>
      <c r="B120" s="153"/>
      <c r="C120" s="153" t="s">
        <v>1033</v>
      </c>
      <c r="D120" s="153"/>
      <c r="E120" s="153"/>
      <c r="F120" s="153"/>
      <c r="G120" s="11" t="str">
        <f>Monetary_Unit</f>
        <v>тыс. руб.</v>
      </c>
      <c r="H120" s="153"/>
      <c r="I120" s="23">
        <f ca="1">SUM(L120:CO120)</f>
        <v>1076838.1867530199</v>
      </c>
      <c r="J120" s="153"/>
      <c r="K120" s="153"/>
      <c r="L120" s="155">
        <f ca="1">SUM(L112:L115)</f>
        <v>0</v>
      </c>
      <c r="M120" s="155">
        <f t="shared" ref="M120:BX120" ca="1" si="91">SUM(M112:M115)</f>
        <v>0</v>
      </c>
      <c r="N120" s="155">
        <f t="shared" ca="1" si="91"/>
        <v>0</v>
      </c>
      <c r="O120" s="155">
        <f t="shared" ca="1" si="91"/>
        <v>0</v>
      </c>
      <c r="P120" s="155">
        <f t="shared" ca="1" si="91"/>
        <v>0</v>
      </c>
      <c r="Q120" s="155">
        <f t="shared" ca="1" si="91"/>
        <v>0</v>
      </c>
      <c r="R120" s="155">
        <f t="shared" ca="1" si="91"/>
        <v>0</v>
      </c>
      <c r="S120" s="155">
        <f t="shared" ca="1" si="91"/>
        <v>0</v>
      </c>
      <c r="T120" s="155">
        <f t="shared" ca="1" si="91"/>
        <v>0</v>
      </c>
      <c r="U120" s="155">
        <f t="shared" ca="1" si="91"/>
        <v>0</v>
      </c>
      <c r="V120" s="155">
        <f t="shared" ca="1" si="91"/>
        <v>0</v>
      </c>
      <c r="W120" s="155">
        <f t="shared" ca="1" si="91"/>
        <v>0</v>
      </c>
      <c r="X120" s="155">
        <f t="shared" ca="1" si="91"/>
        <v>0</v>
      </c>
      <c r="Y120" s="155">
        <f t="shared" ca="1" si="91"/>
        <v>0</v>
      </c>
      <c r="Z120" s="155">
        <f t="shared" ca="1" si="91"/>
        <v>0</v>
      </c>
      <c r="AA120" s="155">
        <f t="shared" ca="1" si="91"/>
        <v>0</v>
      </c>
      <c r="AB120" s="155">
        <f t="shared" ca="1" si="91"/>
        <v>0</v>
      </c>
      <c r="AC120" s="155">
        <f t="shared" ca="1" si="91"/>
        <v>8989.3257014126466</v>
      </c>
      <c r="AD120" s="155">
        <f t="shared" ca="1" si="91"/>
        <v>15650.294606677315</v>
      </c>
      <c r="AE120" s="155">
        <f t="shared" ca="1" si="91"/>
        <v>6664.6684724854231</v>
      </c>
      <c r="AF120" s="155">
        <f t="shared" ca="1" si="91"/>
        <v>6187.3754348849825</v>
      </c>
      <c r="AG120" s="155">
        <f t="shared" ca="1" si="91"/>
        <v>10485.770982373735</v>
      </c>
      <c r="AH120" s="155">
        <f t="shared" ca="1" si="91"/>
        <v>18197.18843917927</v>
      </c>
      <c r="AI120" s="155">
        <f t="shared" ca="1" si="91"/>
        <v>7725.818654295992</v>
      </c>
      <c r="AJ120" s="155">
        <f t="shared" ca="1" si="91"/>
        <v>7151.9794773683407</v>
      </c>
      <c r="AK120" s="155">
        <f t="shared" ca="1" si="91"/>
        <v>12087.548964689453</v>
      </c>
      <c r="AL120" s="155">
        <f t="shared" ca="1" si="91"/>
        <v>20922.793306910706</v>
      </c>
      <c r="AM120" s="155">
        <f t="shared" ca="1" si="91"/>
        <v>8861.1973810954296</v>
      </c>
      <c r="AN120" s="155">
        <f t="shared" ca="1" si="91"/>
        <v>8274.7837319162663</v>
      </c>
      <c r="AO120" s="155">
        <f t="shared" ca="1" si="91"/>
        <v>13800.691952018622</v>
      </c>
      <c r="AP120" s="155">
        <f t="shared" ca="1" si="91"/>
        <v>23317.924556715247</v>
      </c>
      <c r="AQ120" s="155">
        <f t="shared" ca="1" si="91"/>
        <v>9645.3451862655947</v>
      </c>
      <c r="AR120" s="155">
        <f t="shared" ca="1" si="91"/>
        <v>8705.112404640513</v>
      </c>
      <c r="AS120" s="155">
        <f t="shared" ca="1" si="91"/>
        <v>14352.719630099366</v>
      </c>
      <c r="AT120" s="155">
        <f t="shared" ca="1" si="91"/>
        <v>24250.641538983858</v>
      </c>
      <c r="AU120" s="155">
        <f t="shared" ca="1" si="91"/>
        <v>10031.158993716217</v>
      </c>
      <c r="AV120" s="155">
        <f t="shared" ca="1" si="91"/>
        <v>9053.316900826132</v>
      </c>
      <c r="AW120" s="155">
        <f t="shared" ca="1" si="91"/>
        <v>14926.828415303338</v>
      </c>
      <c r="AX120" s="155">
        <f t="shared" ca="1" si="91"/>
        <v>25220.667200543205</v>
      </c>
      <c r="AY120" s="155">
        <f t="shared" ca="1" si="91"/>
        <v>10432.405353464865</v>
      </c>
      <c r="AZ120" s="155">
        <f t="shared" ca="1" si="91"/>
        <v>9415.4495768591751</v>
      </c>
      <c r="BA120" s="155">
        <f t="shared" ca="1" si="91"/>
        <v>15523.901551915467</v>
      </c>
      <c r="BB120" s="155">
        <f t="shared" ca="1" si="91"/>
        <v>26229.493888564928</v>
      </c>
      <c r="BC120" s="155">
        <f t="shared" ca="1" si="91"/>
        <v>10849.701567603455</v>
      </c>
      <c r="BD120" s="155">
        <f t="shared" ca="1" si="91"/>
        <v>9900.8683105994714</v>
      </c>
      <c r="BE120" s="155">
        <f t="shared" ca="1" si="91"/>
        <v>16144.857613992084</v>
      </c>
      <c r="BF120" s="155">
        <f t="shared" ca="1" si="91"/>
        <v>27278.673644107526</v>
      </c>
      <c r="BG120" s="155">
        <f t="shared" ca="1" si="91"/>
        <v>11283.689630307592</v>
      </c>
      <c r="BH120" s="155">
        <f t="shared" ca="1" si="91"/>
        <v>10183.750262330879</v>
      </c>
      <c r="BI120" s="155">
        <f t="shared" ca="1" si="91"/>
        <v>16790.651918551761</v>
      </c>
      <c r="BJ120" s="155">
        <f t="shared" ca="1" si="91"/>
        <v>28369.820589871819</v>
      </c>
      <c r="BK120" s="155">
        <f t="shared" ca="1" si="91"/>
        <v>11735.037215519897</v>
      </c>
      <c r="BL120" s="155">
        <f t="shared" ca="1" si="91"/>
        <v>10591.100272824115</v>
      </c>
      <c r="BM120" s="155">
        <f t="shared" ca="1" si="91"/>
        <v>17462.277995293836</v>
      </c>
      <c r="BN120" s="155">
        <f t="shared" ca="1" si="91"/>
        <v>29504.613413466686</v>
      </c>
      <c r="BO120" s="155">
        <f t="shared" ca="1" si="91"/>
        <v>12204.438704140692</v>
      </c>
      <c r="BP120" s="155">
        <f t="shared" ca="1" si="91"/>
        <v>11014.74428373708</v>
      </c>
      <c r="BQ120" s="155">
        <f t="shared" ca="1" si="91"/>
        <v>18160.769115105584</v>
      </c>
      <c r="BR120" s="155">
        <f t="shared" ca="1" si="91"/>
        <v>30684.797950005352</v>
      </c>
      <c r="BS120" s="155">
        <f t="shared" ca="1" si="91"/>
        <v>12692.616252306316</v>
      </c>
      <c r="BT120" s="155">
        <f t="shared" ca="1" si="91"/>
        <v>11582.615544587521</v>
      </c>
      <c r="BU120" s="155">
        <f t="shared" ca="1" si="91"/>
        <v>18887.199879709802</v>
      </c>
      <c r="BV120" s="155">
        <f t="shared" ca="1" si="91"/>
        <v>31912.189868005556</v>
      </c>
      <c r="BW120" s="155">
        <f t="shared" ca="1" si="91"/>
        <v>13200.320902398564</v>
      </c>
      <c r="BX120" s="155">
        <f t="shared" ca="1" si="91"/>
        <v>11913.547417290019</v>
      </c>
      <c r="BY120" s="155">
        <f t="shared" ref="BY120:CM120" ca="1" si="92">SUM(BY112:BY115)</f>
        <v>19642.687874898194</v>
      </c>
      <c r="BZ120" s="155">
        <f t="shared" ca="1" si="92"/>
        <v>33188.677462725776</v>
      </c>
      <c r="CA120" s="155">
        <f t="shared" ca="1" si="92"/>
        <v>13728.333738494506</v>
      </c>
      <c r="CB120" s="155">
        <f t="shared" ca="1" si="92"/>
        <v>12390.08931398162</v>
      </c>
      <c r="CC120" s="155">
        <f t="shared" ca="1" si="92"/>
        <v>20428.395389894118</v>
      </c>
      <c r="CD120" s="155">
        <f t="shared" ca="1" si="92"/>
        <v>34516.224561234812</v>
      </c>
      <c r="CE120" s="155">
        <f t="shared" ca="1" si="92"/>
        <v>14277.467088034286</v>
      </c>
      <c r="CF120" s="155">
        <f t="shared" ca="1" si="92"/>
        <v>12885.692886540881</v>
      </c>
      <c r="CG120" s="155">
        <f t="shared" ca="1" si="92"/>
        <v>21245.531205489882</v>
      </c>
      <c r="CH120" s="155">
        <f t="shared" ca="1" si="92"/>
        <v>35896.873543684196</v>
      </c>
      <c r="CI120" s="155">
        <f t="shared" ca="1" si="92"/>
        <v>14848.565771555655</v>
      </c>
      <c r="CJ120" s="155">
        <f t="shared" ca="1" si="92"/>
        <v>13550.021942024769</v>
      </c>
      <c r="CK120" s="155">
        <f t="shared" ca="1" si="92"/>
        <v>22095.352453709482</v>
      </c>
      <c r="CL120" s="155">
        <f t="shared" ca="1" si="92"/>
        <v>37332.748485431563</v>
      </c>
      <c r="CM120" s="155">
        <f t="shared" ca="1" si="92"/>
        <v>15442.508402417881</v>
      </c>
      <c r="CN120" s="155">
        <f ca="1">SUM(CN112:CN115)</f>
        <v>13937.165426082618</v>
      </c>
      <c r="CO120" s="155">
        <f ca="1">SUM(CO112:CO115)</f>
        <v>22979.166551857859</v>
      </c>
    </row>
    <row r="121" spans="1:93" s="141" customFormat="1" ht="15" customHeight="1" thickTop="1">
      <c r="A121" s="153"/>
      <c r="B121" s="153"/>
      <c r="C121" s="49" t="s">
        <v>1031</v>
      </c>
      <c r="D121" s="49"/>
      <c r="E121" s="49"/>
      <c r="F121" s="49"/>
      <c r="G121" s="159" t="str">
        <f>Monetary_Unit</f>
        <v>тыс. руб.</v>
      </c>
      <c r="H121" s="49"/>
      <c r="I121" s="176">
        <f ca="1">SUM(L121:CO121)</f>
        <v>4642527.5468623564</v>
      </c>
      <c r="J121" s="49"/>
      <c r="K121" s="49"/>
      <c r="L121" s="49">
        <f ca="1">SUM(L118:L120)</f>
        <v>0</v>
      </c>
      <c r="M121" s="49">
        <f t="shared" ref="M121:BX121" ca="1" si="93">SUM(M118:M120)</f>
        <v>0</v>
      </c>
      <c r="N121" s="49">
        <f t="shared" ca="1" si="93"/>
        <v>0</v>
      </c>
      <c r="O121" s="49">
        <f t="shared" ca="1" si="93"/>
        <v>0</v>
      </c>
      <c r="P121" s="49">
        <f t="shared" ca="1" si="93"/>
        <v>0</v>
      </c>
      <c r="Q121" s="49">
        <f t="shared" ca="1" si="93"/>
        <v>0</v>
      </c>
      <c r="R121" s="49">
        <f t="shared" ca="1" si="93"/>
        <v>0</v>
      </c>
      <c r="S121" s="49">
        <f t="shared" ca="1" si="93"/>
        <v>0</v>
      </c>
      <c r="T121" s="49">
        <f t="shared" ca="1" si="93"/>
        <v>0</v>
      </c>
      <c r="U121" s="49">
        <f t="shared" ca="1" si="93"/>
        <v>0</v>
      </c>
      <c r="V121" s="49">
        <f t="shared" ca="1" si="93"/>
        <v>0</v>
      </c>
      <c r="W121" s="49">
        <f t="shared" ca="1" si="93"/>
        <v>0</v>
      </c>
      <c r="X121" s="49">
        <f t="shared" ca="1" si="93"/>
        <v>0</v>
      </c>
      <c r="Y121" s="49">
        <f t="shared" ca="1" si="93"/>
        <v>0</v>
      </c>
      <c r="Z121" s="49">
        <f t="shared" ca="1" si="93"/>
        <v>0</v>
      </c>
      <c r="AA121" s="49">
        <f t="shared" ca="1" si="93"/>
        <v>0</v>
      </c>
      <c r="AB121" s="49">
        <f t="shared" ca="1" si="93"/>
        <v>0</v>
      </c>
      <c r="AC121" s="49">
        <f t="shared" ca="1" si="93"/>
        <v>38755.304845163133</v>
      </c>
      <c r="AD121" s="49">
        <f t="shared" ca="1" si="93"/>
        <v>67472.46217845651</v>
      </c>
      <c r="AE121" s="49">
        <f t="shared" ca="1" si="93"/>
        <v>28733.107123099406</v>
      </c>
      <c r="AF121" s="49">
        <f t="shared" ca="1" si="93"/>
        <v>26675.373563643207</v>
      </c>
      <c r="AG121" s="49">
        <f t="shared" ca="1" si="93"/>
        <v>45206.86695049869</v>
      </c>
      <c r="AH121" s="49">
        <f t="shared" ca="1" si="93"/>
        <v>78452.779297388784</v>
      </c>
      <c r="AI121" s="49">
        <f t="shared" ca="1" si="93"/>
        <v>33307.999628786027</v>
      </c>
      <c r="AJ121" s="49">
        <f t="shared" ca="1" si="93"/>
        <v>30834.030726932382</v>
      </c>
      <c r="AK121" s="49">
        <f t="shared" ca="1" si="93"/>
        <v>52112.545536508827</v>
      </c>
      <c r="AL121" s="49">
        <f t="shared" ca="1" si="93"/>
        <v>90203.565846350131</v>
      </c>
      <c r="AM121" s="49">
        <f t="shared" ca="1" si="93"/>
        <v>38202.910563530626</v>
      </c>
      <c r="AN121" s="49">
        <f t="shared" ca="1" si="93"/>
        <v>35674.729864089335</v>
      </c>
      <c r="AO121" s="49">
        <f t="shared" ca="1" si="93"/>
        <v>59498.347422278959</v>
      </c>
      <c r="AP121" s="49">
        <f t="shared" ca="1" si="93"/>
        <v>100529.59527431539</v>
      </c>
      <c r="AQ121" s="49">
        <f t="shared" ca="1" si="93"/>
        <v>41583.574279860281</v>
      </c>
      <c r="AR121" s="49">
        <f t="shared" ca="1" si="93"/>
        <v>37529.987916695187</v>
      </c>
      <c r="AS121" s="49">
        <f t="shared" ca="1" si="93"/>
        <v>61878.281319170113</v>
      </c>
      <c r="AT121" s="49">
        <f t="shared" ca="1" si="93"/>
        <v>104550.77908528803</v>
      </c>
      <c r="AU121" s="49">
        <f t="shared" ca="1" si="93"/>
        <v>43246.917251054678</v>
      </c>
      <c r="AV121" s="49">
        <f t="shared" ca="1" si="93"/>
        <v>39031.187433362989</v>
      </c>
      <c r="AW121" s="49">
        <f t="shared" ca="1" si="93"/>
        <v>64353.412571936911</v>
      </c>
      <c r="AX121" s="49">
        <f t="shared" ca="1" si="93"/>
        <v>108732.81024869953</v>
      </c>
      <c r="AY121" s="49">
        <f t="shared" ca="1" si="93"/>
        <v>44976.793941096861</v>
      </c>
      <c r="AZ121" s="49">
        <f t="shared" ca="1" si="93"/>
        <v>40592.434930697505</v>
      </c>
      <c r="BA121" s="49">
        <f t="shared" ca="1" si="93"/>
        <v>66927.549074814364</v>
      </c>
      <c r="BB121" s="49">
        <f t="shared" ca="1" si="93"/>
        <v>113082.12265864748</v>
      </c>
      <c r="BC121" s="49">
        <f t="shared" ca="1" si="93"/>
        <v>46775.865698740723</v>
      </c>
      <c r="BD121" s="49">
        <f t="shared" ca="1" si="93"/>
        <v>42685.200464902351</v>
      </c>
      <c r="BE121" s="49">
        <f t="shared" ca="1" si="93"/>
        <v>69604.651037806936</v>
      </c>
      <c r="BF121" s="49">
        <f t="shared" ca="1" si="93"/>
        <v>117605.40756499337</v>
      </c>
      <c r="BG121" s="49">
        <f t="shared" ca="1" si="93"/>
        <v>48646.900326690346</v>
      </c>
      <c r="BH121" s="49">
        <f t="shared" ca="1" si="93"/>
        <v>43904.777621042405</v>
      </c>
      <c r="BI121" s="49">
        <f t="shared" ca="1" si="93"/>
        <v>72388.837079319201</v>
      </c>
      <c r="BJ121" s="49">
        <f t="shared" ca="1" si="93"/>
        <v>122309.62386759307</v>
      </c>
      <c r="BK121" s="49">
        <f t="shared" ca="1" si="93"/>
        <v>50592.776339757969</v>
      </c>
      <c r="BL121" s="49">
        <f t="shared" ca="1" si="93"/>
        <v>45660.9687258841</v>
      </c>
      <c r="BM121" s="49">
        <f t="shared" ca="1" si="93"/>
        <v>75284.390562491957</v>
      </c>
      <c r="BN121" s="49">
        <f t="shared" ca="1" si="93"/>
        <v>127202.00882229678</v>
      </c>
      <c r="BO121" s="49">
        <f t="shared" ca="1" si="93"/>
        <v>52616.487393348274</v>
      </c>
      <c r="BP121" s="49">
        <f t="shared" ca="1" si="93"/>
        <v>47487.407474919455</v>
      </c>
      <c r="BQ121" s="49">
        <f t="shared" ca="1" si="93"/>
        <v>78295.766184991619</v>
      </c>
      <c r="BR121" s="49">
        <f t="shared" ca="1" si="93"/>
        <v>132290.08917518862</v>
      </c>
      <c r="BS121" s="49">
        <f t="shared" ca="1" si="93"/>
        <v>54721.146889082193</v>
      </c>
      <c r="BT121" s="49">
        <f t="shared" ca="1" si="93"/>
        <v>49935.647149181954</v>
      </c>
      <c r="BU121" s="49">
        <f t="shared" ca="1" si="93"/>
        <v>81427.596832391268</v>
      </c>
      <c r="BV121" s="49">
        <f t="shared" ca="1" si="93"/>
        <v>137581.69274219614</v>
      </c>
      <c r="BW121" s="49">
        <f t="shared" ca="1" si="93"/>
        <v>56909.99276464546</v>
      </c>
      <c r="BX121" s="49">
        <f t="shared" ca="1" si="93"/>
        <v>51362.379924872868</v>
      </c>
      <c r="BY121" s="49">
        <f t="shared" ref="BY121:CM121" ca="1" si="94">SUM(BY118:BY120)</f>
        <v>84684.700705686919</v>
      </c>
      <c r="BZ121" s="49">
        <f t="shared" ca="1" si="94"/>
        <v>143084.96045188396</v>
      </c>
      <c r="CA121" s="49">
        <f t="shared" ca="1" si="94"/>
        <v>59186.392475231274</v>
      </c>
      <c r="CB121" s="49">
        <f t="shared" ca="1" si="94"/>
        <v>53416.875121867779</v>
      </c>
      <c r="CC121" s="49">
        <f t="shared" ca="1" si="94"/>
        <v>88072.088733914366</v>
      </c>
      <c r="CD121" s="49">
        <f t="shared" ca="1" si="94"/>
        <v>148808.35886995934</v>
      </c>
      <c r="CE121" s="49">
        <f t="shared" ca="1" si="94"/>
        <v>61553.848174240527</v>
      </c>
      <c r="CF121" s="49">
        <f t="shared" ca="1" si="94"/>
        <v>55553.55012674247</v>
      </c>
      <c r="CG121" s="49">
        <f t="shared" ca="1" si="94"/>
        <v>91594.972283270952</v>
      </c>
      <c r="CH121" s="49">
        <f t="shared" ca="1" si="94"/>
        <v>154760.69322475768</v>
      </c>
      <c r="CI121" s="49">
        <f t="shared" ca="1" si="94"/>
        <v>64016.00210121015</v>
      </c>
      <c r="CJ121" s="49">
        <f t="shared" ca="1" si="94"/>
        <v>58417.644266610092</v>
      </c>
      <c r="CK121" s="49">
        <f t="shared" ca="1" si="94"/>
        <v>95258.771174601789</v>
      </c>
      <c r="CL121" s="49">
        <f t="shared" ca="1" si="94"/>
        <v>160951.120953748</v>
      </c>
      <c r="CM121" s="49">
        <f t="shared" ca="1" si="94"/>
        <v>66576.642185258548</v>
      </c>
      <c r="CN121" s="49">
        <f ca="1">SUM(CN118:CN120)</f>
        <v>60086.71981708466</v>
      </c>
      <c r="CO121" s="49">
        <f ca="1">SUM(CO118:CO120)</f>
        <v>99069.122021585848</v>
      </c>
    </row>
    <row r="122" spans="1:93" s="141" customFormat="1" ht="14.65" customHeight="1">
      <c r="A122" s="153"/>
      <c r="B122" s="153"/>
      <c r="C122" s="153"/>
      <c r="D122" s="153"/>
      <c r="E122" s="153"/>
      <c r="F122" s="153"/>
      <c r="G122" s="179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AW122" s="153"/>
      <c r="AX122" s="153"/>
      <c r="AY122" s="153"/>
      <c r="AZ122" s="153"/>
      <c r="BA122" s="153"/>
      <c r="BB122" s="153"/>
      <c r="BC122" s="153"/>
      <c r="BD122" s="153"/>
      <c r="BE122" s="153"/>
      <c r="BF122" s="153"/>
      <c r="BG122" s="153"/>
      <c r="BH122" s="153"/>
      <c r="BI122" s="153"/>
      <c r="BJ122" s="153"/>
      <c r="BK122" s="153"/>
      <c r="BL122" s="153"/>
      <c r="BM122" s="153"/>
      <c r="BN122" s="153"/>
      <c r="BO122" s="153"/>
      <c r="BP122" s="153"/>
      <c r="BQ122" s="153"/>
      <c r="BR122" s="153"/>
      <c r="BS122" s="153"/>
      <c r="BT122" s="153"/>
      <c r="BU122" s="153"/>
      <c r="BV122" s="153"/>
      <c r="BW122" s="153"/>
      <c r="BX122" s="153"/>
      <c r="BY122" s="153"/>
      <c r="BZ122" s="153"/>
      <c r="CA122" s="153"/>
      <c r="CB122" s="153"/>
      <c r="CC122" s="153"/>
      <c r="CD122" s="153"/>
      <c r="CE122" s="153"/>
      <c r="CF122" s="153"/>
      <c r="CG122" s="153"/>
      <c r="CH122" s="153"/>
      <c r="CI122" s="153"/>
      <c r="CJ122" s="153"/>
      <c r="CK122" s="153"/>
      <c r="CL122" s="153"/>
      <c r="CM122" s="153"/>
      <c r="CN122" s="153"/>
      <c r="CO122" s="153"/>
    </row>
    <row r="123" spans="1:93" customFormat="1" ht="14.65" hidden="1" customHeight="1"/>
    <row r="124" spans="1:93" customFormat="1" ht="14.65" hidden="1" customHeight="1"/>
    <row r="125" spans="1:93" customFormat="1" ht="14.65" hidden="1" customHeight="1"/>
    <row r="126" spans="1:93" customFormat="1" ht="14.65" hidden="1" customHeight="1"/>
    <row r="127" spans="1:93" customFormat="1" ht="14.65" hidden="1" customHeight="1"/>
    <row r="128" spans="1:93" customFormat="1" ht="14.65" hidden="1" customHeight="1"/>
    <row r="129" customFormat="1" ht="14.65" hidden="1" customHeight="1"/>
    <row r="130" customFormat="1" ht="14.65" hidden="1" customHeight="1"/>
    <row r="131" customFormat="1" ht="14.65" hidden="1" customHeight="1"/>
    <row r="132" customFormat="1" ht="14.65" hidden="1" customHeight="1"/>
    <row r="133" customFormat="1" ht="14.65" hidden="1" customHeight="1"/>
    <row r="134" customFormat="1" ht="14.65" hidden="1" customHeight="1"/>
    <row r="135" customFormat="1" ht="14.65" hidden="1" customHeight="1"/>
    <row r="136" customFormat="1" ht="14.65" hidden="1" customHeight="1"/>
    <row r="137" customFormat="1" ht="14.65" hidden="1" customHeight="1"/>
    <row r="138" customFormat="1" ht="14.65" hidden="1" customHeight="1"/>
    <row r="139" customFormat="1" ht="14.65" hidden="1" customHeight="1"/>
    <row r="140" customFormat="1" ht="14.65" hidden="1" customHeight="1"/>
    <row r="141" customFormat="1" ht="14.65" hidden="1" customHeight="1"/>
    <row r="142" customFormat="1" ht="14.65" hidden="1" customHeight="1"/>
    <row r="143" customFormat="1" ht="14.65" hidden="1" customHeight="1"/>
    <row r="144" customFormat="1" ht="14.65" hidden="1" customHeight="1"/>
    <row r="145" customFormat="1" ht="14.65" hidden="1" customHeight="1"/>
    <row r="146" customFormat="1" ht="14.65" hidden="1" customHeight="1"/>
    <row r="147" customFormat="1" ht="14.65" hidden="1" customHeight="1"/>
    <row r="148" customFormat="1" ht="14.65" hidden="1" customHeight="1"/>
    <row r="149" customFormat="1" ht="14.65" hidden="1" customHeight="1"/>
    <row r="150" customFormat="1" ht="14.65" hidden="1" customHeight="1"/>
    <row r="151" customFormat="1" ht="14.65" hidden="1" customHeight="1"/>
    <row r="152" customFormat="1" ht="14.65" hidden="1" customHeight="1"/>
    <row r="153" customFormat="1" ht="14.65" hidden="1" customHeight="1"/>
    <row r="154" customFormat="1" ht="14.65" hidden="1" customHeight="1"/>
    <row r="155" customFormat="1" ht="14.65" hidden="1" customHeight="1"/>
    <row r="156" customFormat="1" ht="14.65" hidden="1" customHeight="1"/>
    <row r="157" customFormat="1" ht="14.65" hidden="1" customHeight="1"/>
    <row r="158" customFormat="1" ht="14.65" hidden="1" customHeight="1"/>
    <row r="159" customFormat="1" ht="14.65" hidden="1" customHeight="1"/>
    <row r="160" customFormat="1" ht="14.65" hidden="1" customHeight="1"/>
    <row r="161" customFormat="1" ht="14.65" hidden="1" customHeight="1"/>
    <row r="162" customFormat="1" ht="14.65" hidden="1" customHeight="1"/>
  </sheetData>
  <conditionalFormatting sqref="E4">
    <cfRule type="cellIs" dxfId="14" priority="3" operator="equal">
      <formula>FALSE</formula>
    </cfRule>
    <cfRule type="cellIs" dxfId="13" priority="4" operator="equal">
      <formula>TRUE</formula>
    </cfRule>
  </conditionalFormatting>
  <conditionalFormatting sqref="L9:CO9">
    <cfRule type="cellIs" dxfId="12" priority="5" operator="equal">
      <formula>2</formula>
    </cfRule>
    <cfRule type="cellIs" dxfId="11" priority="6" operator="equal">
      <formula>1</formula>
    </cfRule>
  </conditionalFormatting>
  <hyperlinks>
    <hyperlink ref="I26" r:id="rId1" xr:uid="{00000000-0004-0000-0A00-000000000000}"/>
  </hyperlinks>
  <pageMargins left="0.70866141732283472" right="0.70866141732283472" top="0.74803149606299213" bottom="0.74803149606299213" header="0.31496062992125984" footer="0.31496062992125984"/>
  <pageSetup paperSize="8" scale="25" orientation="landscape" r:id="rId2"/>
  <colBreaks count="1" manualBreakCount="1">
    <brk id="63" max="119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92D050"/>
  </sheetPr>
  <dimension ref="A1:CQ143"/>
  <sheetViews>
    <sheetView showGridLines="0" view="pageBreakPreview" zoomScale="70" zoomScaleNormal="60" zoomScaleSheetLayoutView="70" workbookViewId="0">
      <pane xSplit="10" ySplit="9" topLeftCell="K11" activePane="bottomRight" state="frozen"/>
      <selection pane="topRight" activeCell="K1" sqref="K1"/>
      <selection pane="bottomLeft" activeCell="A10" sqref="A10"/>
      <selection pane="bottomRight" activeCell="Q16" sqref="Q16"/>
    </sheetView>
  </sheetViews>
  <sheetFormatPr defaultColWidth="0" defaultRowHeight="0" customHeight="1" zeroHeight="1"/>
  <cols>
    <col min="1" max="2" width="2.42578125" style="133" customWidth="1"/>
    <col min="3" max="3" width="50.7109375" style="133" customWidth="1"/>
    <col min="4" max="5" width="11.42578125" style="133" customWidth="1"/>
    <col min="6" max="6" width="2.42578125" style="133" customWidth="1"/>
    <col min="7" max="7" width="10.28515625" style="207" customWidth="1"/>
    <col min="8" max="8" width="2.42578125" style="133" customWidth="1"/>
    <col min="9" max="9" width="13.7109375" style="133" customWidth="1"/>
    <col min="10" max="11" width="2.42578125" style="133" customWidth="1"/>
    <col min="12" max="93" width="12.42578125" style="133" customWidth="1"/>
    <col min="94" max="94" width="2.7109375" style="133" hidden="1" customWidth="1"/>
    <col min="95" max="95" width="0" style="133" hidden="1" customWidth="1"/>
    <col min="96" max="16384" width="2.7109375" style="133" hidden="1"/>
  </cols>
  <sheetData>
    <row r="1" spans="1:93" ht="14.25">
      <c r="A1" s="47"/>
      <c r="B1" s="47"/>
      <c r="C1" s="47"/>
      <c r="D1" s="47"/>
      <c r="E1" s="47"/>
      <c r="F1" s="47"/>
      <c r="G1" s="319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1121</v>
      </c>
      <c r="D4" s="320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O7" si="1">Beginning_of_period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si="1"/>
        <v>48580</v>
      </c>
      <c r="AS7" s="113">
        <f t="shared" si="1"/>
        <v>48670</v>
      </c>
      <c r="AT7" s="113">
        <f t="shared" si="1"/>
        <v>48761</v>
      </c>
      <c r="AU7" s="113">
        <f t="shared" si="1"/>
        <v>48853</v>
      </c>
      <c r="AV7" s="113">
        <f t="shared" si="1"/>
        <v>48945</v>
      </c>
      <c r="AW7" s="113">
        <f t="shared" si="1"/>
        <v>49035</v>
      </c>
      <c r="AX7" s="113">
        <f t="shared" si="1"/>
        <v>49126</v>
      </c>
      <c r="AY7" s="113">
        <f t="shared" si="1"/>
        <v>49218</v>
      </c>
      <c r="AZ7" s="113">
        <f t="shared" si="1"/>
        <v>49310</v>
      </c>
      <c r="BA7" s="113">
        <f t="shared" si="1"/>
        <v>49400</v>
      </c>
      <c r="BB7" s="113">
        <f t="shared" si="1"/>
        <v>49491</v>
      </c>
      <c r="BC7" s="113">
        <f t="shared" si="1"/>
        <v>49583</v>
      </c>
      <c r="BD7" s="113">
        <f t="shared" si="1"/>
        <v>49675</v>
      </c>
      <c r="BE7" s="113">
        <f t="shared" si="1"/>
        <v>49766</v>
      </c>
      <c r="BF7" s="113">
        <f t="shared" si="1"/>
        <v>49857</v>
      </c>
      <c r="BG7" s="113">
        <f t="shared" si="1"/>
        <v>49949</v>
      </c>
      <c r="BH7" s="113">
        <f t="shared" si="1"/>
        <v>50041</v>
      </c>
      <c r="BI7" s="113">
        <f t="shared" si="1"/>
        <v>50131</v>
      </c>
      <c r="BJ7" s="113">
        <f t="shared" si="1"/>
        <v>50222</v>
      </c>
      <c r="BK7" s="113">
        <f t="shared" si="1"/>
        <v>50314</v>
      </c>
      <c r="BL7" s="113">
        <f t="shared" si="1"/>
        <v>50406</v>
      </c>
      <c r="BM7" s="113">
        <f t="shared" si="1"/>
        <v>50496</v>
      </c>
      <c r="BN7" s="113">
        <f t="shared" si="1"/>
        <v>50587</v>
      </c>
      <c r="BO7" s="113">
        <f t="shared" si="1"/>
        <v>50679</v>
      </c>
      <c r="BP7" s="113">
        <f t="shared" si="1"/>
        <v>50771</v>
      </c>
      <c r="BQ7" s="113">
        <f t="shared" si="1"/>
        <v>50861</v>
      </c>
      <c r="BR7" s="113">
        <f t="shared" si="1"/>
        <v>50952</v>
      </c>
      <c r="BS7" s="113">
        <f t="shared" si="1"/>
        <v>51044</v>
      </c>
      <c r="BT7" s="113">
        <f t="shared" si="1"/>
        <v>51136</v>
      </c>
      <c r="BU7" s="113">
        <f t="shared" si="1"/>
        <v>51227</v>
      </c>
      <c r="BV7" s="113">
        <f t="shared" si="1"/>
        <v>51318</v>
      </c>
      <c r="BW7" s="113">
        <f t="shared" si="1"/>
        <v>51410</v>
      </c>
      <c r="BX7" s="113">
        <f t="shared" si="1"/>
        <v>51502</v>
      </c>
      <c r="BY7" s="113">
        <f t="shared" si="1"/>
        <v>51592</v>
      </c>
      <c r="BZ7" s="113">
        <f t="shared" si="1"/>
        <v>51683</v>
      </c>
      <c r="CA7" s="113">
        <f t="shared" si="1"/>
        <v>51775</v>
      </c>
      <c r="CB7" s="113">
        <f t="shared" si="1"/>
        <v>51867</v>
      </c>
      <c r="CC7" s="113">
        <f t="shared" si="1"/>
        <v>51957</v>
      </c>
      <c r="CD7" s="113">
        <f t="shared" si="1"/>
        <v>52048</v>
      </c>
      <c r="CE7" s="113">
        <f t="shared" si="1"/>
        <v>52140</v>
      </c>
      <c r="CF7" s="113">
        <f t="shared" si="1"/>
        <v>52232</v>
      </c>
      <c r="CG7" s="113">
        <f t="shared" si="1"/>
        <v>52322</v>
      </c>
      <c r="CH7" s="113">
        <f t="shared" si="1"/>
        <v>52413</v>
      </c>
      <c r="CI7" s="113">
        <f t="shared" si="1"/>
        <v>52505</v>
      </c>
      <c r="CJ7" s="113">
        <f t="shared" si="1"/>
        <v>52597</v>
      </c>
      <c r="CK7" s="113">
        <f t="shared" si="1"/>
        <v>52688</v>
      </c>
      <c r="CL7" s="113">
        <f t="shared" si="1"/>
        <v>52779</v>
      </c>
      <c r="CM7" s="113">
        <f t="shared" si="1"/>
        <v>52871</v>
      </c>
      <c r="CN7" s="113">
        <f t="shared" si="1"/>
        <v>52963</v>
      </c>
      <c r="CO7" s="113">
        <f t="shared" si="1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2">End_of_period</f>
        <v>45747</v>
      </c>
      <c r="M8" s="113">
        <f t="shared" si="2"/>
        <v>45838</v>
      </c>
      <c r="N8" s="113">
        <f t="shared" si="2"/>
        <v>45930</v>
      </c>
      <c r="O8" s="113">
        <f t="shared" si="2"/>
        <v>46022</v>
      </c>
      <c r="P8" s="113">
        <f t="shared" si="2"/>
        <v>46112</v>
      </c>
      <c r="Q8" s="113">
        <f t="shared" si="2"/>
        <v>46203</v>
      </c>
      <c r="R8" s="113">
        <f t="shared" si="2"/>
        <v>46295</v>
      </c>
      <c r="S8" s="113">
        <f t="shared" si="2"/>
        <v>46387</v>
      </c>
      <c r="T8" s="113">
        <f t="shared" si="2"/>
        <v>46477</v>
      </c>
      <c r="U8" s="113">
        <f t="shared" si="2"/>
        <v>46568</v>
      </c>
      <c r="V8" s="113">
        <f t="shared" si="2"/>
        <v>46660</v>
      </c>
      <c r="W8" s="113">
        <f t="shared" si="2"/>
        <v>46752</v>
      </c>
      <c r="X8" s="113">
        <f t="shared" si="2"/>
        <v>46843</v>
      </c>
      <c r="Y8" s="113">
        <f t="shared" si="2"/>
        <v>46934</v>
      </c>
      <c r="Z8" s="113">
        <f t="shared" si="2"/>
        <v>47026</v>
      </c>
      <c r="AA8" s="113">
        <f t="shared" si="2"/>
        <v>47118</v>
      </c>
      <c r="AB8" s="113">
        <f t="shared" si="2"/>
        <v>47208</v>
      </c>
      <c r="AC8" s="113">
        <f t="shared" si="2"/>
        <v>47299</v>
      </c>
      <c r="AD8" s="113">
        <f t="shared" si="2"/>
        <v>47391</v>
      </c>
      <c r="AE8" s="113">
        <f t="shared" si="2"/>
        <v>47483</v>
      </c>
      <c r="AF8" s="113">
        <f t="shared" si="2"/>
        <v>47573</v>
      </c>
      <c r="AG8" s="113">
        <f t="shared" si="2"/>
        <v>47664</v>
      </c>
      <c r="AH8" s="113">
        <f t="shared" si="2"/>
        <v>47756</v>
      </c>
      <c r="AI8" s="113">
        <f t="shared" si="2"/>
        <v>47848</v>
      </c>
      <c r="AJ8" s="113">
        <f t="shared" si="2"/>
        <v>47938</v>
      </c>
      <c r="AK8" s="113">
        <f t="shared" si="2"/>
        <v>48029</v>
      </c>
      <c r="AL8" s="113">
        <f t="shared" si="2"/>
        <v>48121</v>
      </c>
      <c r="AM8" s="113">
        <f t="shared" si="2"/>
        <v>48213</v>
      </c>
      <c r="AN8" s="113">
        <f t="shared" si="2"/>
        <v>48304</v>
      </c>
      <c r="AO8" s="113">
        <f t="shared" si="2"/>
        <v>48395</v>
      </c>
      <c r="AP8" s="113">
        <f t="shared" si="2"/>
        <v>48487</v>
      </c>
      <c r="AQ8" s="113">
        <f t="shared" si="2"/>
        <v>48579</v>
      </c>
      <c r="AR8" s="113">
        <f t="shared" si="2"/>
        <v>48669</v>
      </c>
      <c r="AS8" s="113">
        <f t="shared" si="2"/>
        <v>48760</v>
      </c>
      <c r="AT8" s="113">
        <f t="shared" si="2"/>
        <v>48852</v>
      </c>
      <c r="AU8" s="113">
        <f t="shared" si="2"/>
        <v>48944</v>
      </c>
      <c r="AV8" s="113">
        <f t="shared" si="2"/>
        <v>49034</v>
      </c>
      <c r="AW8" s="113">
        <f t="shared" si="2"/>
        <v>49125</v>
      </c>
      <c r="AX8" s="113">
        <f t="shared" si="2"/>
        <v>49217</v>
      </c>
      <c r="AY8" s="113">
        <f t="shared" si="2"/>
        <v>49309</v>
      </c>
      <c r="AZ8" s="113">
        <f t="shared" si="2"/>
        <v>49399</v>
      </c>
      <c r="BA8" s="113">
        <f t="shared" si="2"/>
        <v>49490</v>
      </c>
      <c r="BB8" s="113">
        <f t="shared" si="2"/>
        <v>49582</v>
      </c>
      <c r="BC8" s="113">
        <f t="shared" si="2"/>
        <v>49674</v>
      </c>
      <c r="BD8" s="113">
        <f t="shared" si="2"/>
        <v>49765</v>
      </c>
      <c r="BE8" s="113">
        <f t="shared" si="2"/>
        <v>49856</v>
      </c>
      <c r="BF8" s="113">
        <f t="shared" si="2"/>
        <v>49948</v>
      </c>
      <c r="BG8" s="113">
        <f t="shared" si="2"/>
        <v>50040</v>
      </c>
      <c r="BH8" s="113">
        <f t="shared" si="2"/>
        <v>50130</v>
      </c>
      <c r="BI8" s="113">
        <f t="shared" si="2"/>
        <v>50221</v>
      </c>
      <c r="BJ8" s="113">
        <f t="shared" si="2"/>
        <v>50313</v>
      </c>
      <c r="BK8" s="113">
        <f t="shared" si="2"/>
        <v>50405</v>
      </c>
      <c r="BL8" s="113">
        <f t="shared" si="2"/>
        <v>50495</v>
      </c>
      <c r="BM8" s="113">
        <f t="shared" si="2"/>
        <v>50586</v>
      </c>
      <c r="BN8" s="113">
        <f t="shared" si="2"/>
        <v>50678</v>
      </c>
      <c r="BO8" s="113">
        <f t="shared" si="2"/>
        <v>50770</v>
      </c>
      <c r="BP8" s="113">
        <f t="shared" si="2"/>
        <v>50860</v>
      </c>
      <c r="BQ8" s="113">
        <f t="shared" si="2"/>
        <v>50951</v>
      </c>
      <c r="BR8" s="113">
        <f t="shared" si="2"/>
        <v>51043</v>
      </c>
      <c r="BS8" s="113">
        <f t="shared" si="2"/>
        <v>51135</v>
      </c>
      <c r="BT8" s="113">
        <f t="shared" si="2"/>
        <v>51226</v>
      </c>
      <c r="BU8" s="113">
        <f t="shared" si="2"/>
        <v>51317</v>
      </c>
      <c r="BV8" s="113">
        <f t="shared" si="2"/>
        <v>51409</v>
      </c>
      <c r="BW8" s="113">
        <f t="shared" si="2"/>
        <v>51501</v>
      </c>
      <c r="BX8" s="113">
        <f t="shared" si="2"/>
        <v>51591</v>
      </c>
      <c r="BY8" s="113">
        <f t="shared" si="2"/>
        <v>51682</v>
      </c>
      <c r="BZ8" s="113">
        <f t="shared" si="2"/>
        <v>51774</v>
      </c>
      <c r="CA8" s="113">
        <f t="shared" si="2"/>
        <v>51866</v>
      </c>
      <c r="CB8" s="113">
        <f t="shared" si="2"/>
        <v>51956</v>
      </c>
      <c r="CC8" s="113">
        <f t="shared" si="2"/>
        <v>52047</v>
      </c>
      <c r="CD8" s="113">
        <f t="shared" si="2"/>
        <v>52139</v>
      </c>
      <c r="CE8" s="113">
        <f t="shared" si="2"/>
        <v>52231</v>
      </c>
      <c r="CF8" s="113">
        <f t="shared" si="2"/>
        <v>52321</v>
      </c>
      <c r="CG8" s="113">
        <f t="shared" si="2"/>
        <v>52412</v>
      </c>
      <c r="CH8" s="113">
        <f t="shared" si="2"/>
        <v>52504</v>
      </c>
      <c r="CI8" s="113">
        <f t="shared" si="2"/>
        <v>52596</v>
      </c>
      <c r="CJ8" s="113">
        <f t="shared" si="2"/>
        <v>52687</v>
      </c>
      <c r="CK8" s="113">
        <f t="shared" si="2"/>
        <v>52778</v>
      </c>
      <c r="CL8" s="113">
        <f t="shared" si="2"/>
        <v>52870</v>
      </c>
      <c r="CM8" s="113">
        <f t="shared" si="2"/>
        <v>52962</v>
      </c>
      <c r="CN8" s="113">
        <f t="shared" si="2"/>
        <v>53052</v>
      </c>
      <c r="CO8" s="113">
        <f t="shared" si="2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O9" si="3">IF(Flag_Construction,1,2)*Flag_Financial_Model</f>
        <v>1</v>
      </c>
      <c r="M9" s="152">
        <f t="shared" si="3"/>
        <v>1</v>
      </c>
      <c r="N9" s="152">
        <f t="shared" si="3"/>
        <v>1</v>
      </c>
      <c r="O9" s="152">
        <f t="shared" si="3"/>
        <v>1</v>
      </c>
      <c r="P9" s="152">
        <f t="shared" si="3"/>
        <v>1</v>
      </c>
      <c r="Q9" s="152">
        <f t="shared" si="3"/>
        <v>1</v>
      </c>
      <c r="R9" s="152">
        <f t="shared" si="3"/>
        <v>1</v>
      </c>
      <c r="S9" s="152">
        <f t="shared" si="3"/>
        <v>1</v>
      </c>
      <c r="T9" s="152">
        <f t="shared" si="3"/>
        <v>1</v>
      </c>
      <c r="U9" s="152">
        <f t="shared" si="3"/>
        <v>1</v>
      </c>
      <c r="V9" s="152">
        <f t="shared" si="3"/>
        <v>1</v>
      </c>
      <c r="W9" s="152">
        <f t="shared" si="3"/>
        <v>1</v>
      </c>
      <c r="X9" s="152">
        <f t="shared" si="3"/>
        <v>1</v>
      </c>
      <c r="Y9" s="152">
        <f t="shared" si="3"/>
        <v>1</v>
      </c>
      <c r="Z9" s="152">
        <f t="shared" si="3"/>
        <v>1</v>
      </c>
      <c r="AA9" s="152">
        <f t="shared" si="3"/>
        <v>1</v>
      </c>
      <c r="AB9" s="152">
        <f t="shared" si="3"/>
        <v>1</v>
      </c>
      <c r="AC9" s="152">
        <f t="shared" si="3"/>
        <v>2</v>
      </c>
      <c r="AD9" s="152">
        <f t="shared" si="3"/>
        <v>2</v>
      </c>
      <c r="AE9" s="152">
        <f t="shared" si="3"/>
        <v>2</v>
      </c>
      <c r="AF9" s="152">
        <f t="shared" si="3"/>
        <v>2</v>
      </c>
      <c r="AG9" s="152">
        <f t="shared" si="3"/>
        <v>2</v>
      </c>
      <c r="AH9" s="152">
        <f t="shared" si="3"/>
        <v>2</v>
      </c>
      <c r="AI9" s="152">
        <f t="shared" si="3"/>
        <v>2</v>
      </c>
      <c r="AJ9" s="152">
        <f t="shared" si="3"/>
        <v>2</v>
      </c>
      <c r="AK9" s="152">
        <f t="shared" si="3"/>
        <v>2</v>
      </c>
      <c r="AL9" s="152">
        <f t="shared" si="3"/>
        <v>2</v>
      </c>
      <c r="AM9" s="152">
        <f t="shared" si="3"/>
        <v>2</v>
      </c>
      <c r="AN9" s="152">
        <f t="shared" si="3"/>
        <v>2</v>
      </c>
      <c r="AO9" s="152">
        <f t="shared" si="3"/>
        <v>2</v>
      </c>
      <c r="AP9" s="152">
        <f t="shared" si="3"/>
        <v>2</v>
      </c>
      <c r="AQ9" s="152">
        <f t="shared" si="3"/>
        <v>2</v>
      </c>
      <c r="AR9" s="152">
        <f t="shared" si="3"/>
        <v>2</v>
      </c>
      <c r="AS9" s="152">
        <f t="shared" si="3"/>
        <v>2</v>
      </c>
      <c r="AT9" s="152">
        <f t="shared" si="3"/>
        <v>2</v>
      </c>
      <c r="AU9" s="152">
        <f t="shared" si="3"/>
        <v>2</v>
      </c>
      <c r="AV9" s="152">
        <f t="shared" si="3"/>
        <v>2</v>
      </c>
      <c r="AW9" s="152">
        <f t="shared" si="3"/>
        <v>2</v>
      </c>
      <c r="AX9" s="152">
        <f t="shared" si="3"/>
        <v>2</v>
      </c>
      <c r="AY9" s="152">
        <f t="shared" si="3"/>
        <v>2</v>
      </c>
      <c r="AZ9" s="152">
        <f t="shared" si="3"/>
        <v>2</v>
      </c>
      <c r="BA9" s="152">
        <f t="shared" si="3"/>
        <v>2</v>
      </c>
      <c r="BB9" s="152">
        <f t="shared" si="3"/>
        <v>2</v>
      </c>
      <c r="BC9" s="152">
        <f t="shared" si="3"/>
        <v>2</v>
      </c>
      <c r="BD9" s="152">
        <f t="shared" si="3"/>
        <v>2</v>
      </c>
      <c r="BE9" s="152">
        <f t="shared" si="3"/>
        <v>2</v>
      </c>
      <c r="BF9" s="152">
        <f t="shared" si="3"/>
        <v>2</v>
      </c>
      <c r="BG9" s="152">
        <f t="shared" si="3"/>
        <v>2</v>
      </c>
      <c r="BH9" s="152">
        <f t="shared" si="3"/>
        <v>2</v>
      </c>
      <c r="BI9" s="152">
        <f t="shared" si="3"/>
        <v>2</v>
      </c>
      <c r="BJ9" s="152">
        <f t="shared" si="3"/>
        <v>2</v>
      </c>
      <c r="BK9" s="152">
        <f t="shared" si="3"/>
        <v>2</v>
      </c>
      <c r="BL9" s="152">
        <f t="shared" si="3"/>
        <v>2</v>
      </c>
      <c r="BM9" s="152">
        <f t="shared" si="3"/>
        <v>2</v>
      </c>
      <c r="BN9" s="152">
        <f t="shared" si="3"/>
        <v>2</v>
      </c>
      <c r="BO9" s="152">
        <f t="shared" si="3"/>
        <v>2</v>
      </c>
      <c r="BP9" s="152">
        <f t="shared" si="3"/>
        <v>2</v>
      </c>
      <c r="BQ9" s="152">
        <f t="shared" si="3"/>
        <v>2</v>
      </c>
      <c r="BR9" s="152">
        <f t="shared" si="3"/>
        <v>2</v>
      </c>
      <c r="BS9" s="152">
        <f t="shared" si="3"/>
        <v>2</v>
      </c>
      <c r="BT9" s="152">
        <f t="shared" si="3"/>
        <v>2</v>
      </c>
      <c r="BU9" s="152">
        <f t="shared" si="3"/>
        <v>2</v>
      </c>
      <c r="BV9" s="152">
        <f t="shared" si="3"/>
        <v>2</v>
      </c>
      <c r="BW9" s="152">
        <f t="shared" si="3"/>
        <v>2</v>
      </c>
      <c r="BX9" s="152">
        <f t="shared" si="3"/>
        <v>2</v>
      </c>
      <c r="BY9" s="152">
        <f t="shared" si="3"/>
        <v>2</v>
      </c>
      <c r="BZ9" s="152">
        <f t="shared" si="3"/>
        <v>2</v>
      </c>
      <c r="CA9" s="152">
        <f t="shared" si="3"/>
        <v>2</v>
      </c>
      <c r="CB9" s="152">
        <f t="shared" si="3"/>
        <v>2</v>
      </c>
      <c r="CC9" s="152">
        <f t="shared" si="3"/>
        <v>2</v>
      </c>
      <c r="CD9" s="152">
        <f t="shared" si="3"/>
        <v>2</v>
      </c>
      <c r="CE9" s="152">
        <f t="shared" si="3"/>
        <v>2</v>
      </c>
      <c r="CF9" s="152">
        <f t="shared" si="3"/>
        <v>2</v>
      </c>
      <c r="CG9" s="152">
        <f t="shared" si="3"/>
        <v>2</v>
      </c>
      <c r="CH9" s="152">
        <f t="shared" si="3"/>
        <v>2</v>
      </c>
      <c r="CI9" s="152">
        <f t="shared" si="3"/>
        <v>2</v>
      </c>
      <c r="CJ9" s="152">
        <f t="shared" si="3"/>
        <v>2</v>
      </c>
      <c r="CK9" s="152">
        <f t="shared" si="3"/>
        <v>2</v>
      </c>
      <c r="CL9" s="152">
        <f t="shared" si="3"/>
        <v>2</v>
      </c>
      <c r="CM9" s="152">
        <f t="shared" si="3"/>
        <v>2</v>
      </c>
      <c r="CN9" s="152">
        <f t="shared" si="3"/>
        <v>2</v>
      </c>
      <c r="CO9" s="152">
        <f t="shared" si="3"/>
        <v>2</v>
      </c>
    </row>
    <row r="10" spans="1:93" ht="15" customHeight="1">
      <c r="A10" s="47"/>
      <c r="B10" s="47"/>
      <c r="C10" s="47"/>
      <c r="D10" s="47"/>
      <c r="E10" s="47"/>
      <c r="F10" s="47"/>
      <c r="G10" s="319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customFormat="1" ht="22.5" customHeight="1">
      <c r="A11" s="3"/>
      <c r="B11" s="5"/>
      <c r="C11" s="5" t="s">
        <v>1122</v>
      </c>
      <c r="D11" s="5"/>
      <c r="E11" s="5"/>
      <c r="F11" s="5"/>
      <c r="G11" s="5"/>
      <c r="H11" s="5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</row>
    <row r="12" spans="1:93" s="141" customFormat="1" ht="15" customHeight="1">
      <c r="A12" s="153"/>
      <c r="B12" s="153"/>
      <c r="C12" s="153"/>
      <c r="D12" s="153"/>
      <c r="E12" s="153"/>
      <c r="F12" s="153"/>
      <c r="G12" s="179"/>
      <c r="H12" s="153"/>
      <c r="I12" s="153"/>
      <c r="J12" s="153"/>
      <c r="K12" s="153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s="132" customFormat="1" ht="15">
      <c r="A13" s="10"/>
      <c r="B13" s="130"/>
      <c r="C13" s="35" t="s">
        <v>1123</v>
      </c>
      <c r="D13" s="130"/>
      <c r="E13" s="47"/>
      <c r="F13" s="130"/>
      <c r="G13" s="131" t="str">
        <f t="shared" ref="G13:G24" si="4">Monetary_Unit</f>
        <v>тыс. руб.</v>
      </c>
      <c r="H13" s="130"/>
      <c r="I13" s="176">
        <f t="shared" ref="I13:I18" ca="1" si="5">SUM(L13:CO13)</f>
        <v>533689.28401900001</v>
      </c>
      <c r="J13" s="10"/>
      <c r="K13" s="10"/>
      <c r="L13" s="132">
        <f>SUM(L14:L16)</f>
        <v>10115.776706000001</v>
      </c>
      <c r="M13" s="132">
        <f t="shared" ref="M13:BX13" ca="1" si="6">SUM(M14:M16)</f>
        <v>10259.369017999999</v>
      </c>
      <c r="N13" s="132">
        <f t="shared" ca="1" si="6"/>
        <v>10404.999605999999</v>
      </c>
      <c r="O13" s="132">
        <f t="shared" ca="1" si="6"/>
        <v>10552.697404</v>
      </c>
      <c r="P13" s="132">
        <f t="shared" ca="1" si="6"/>
        <v>88745.245311999999</v>
      </c>
      <c r="Q13" s="132">
        <f t="shared" ca="1" si="6"/>
        <v>89619.688294000007</v>
      </c>
      <c r="R13" s="132">
        <f t="shared" ca="1" si="6"/>
        <v>90502.747516999996</v>
      </c>
      <c r="S13" s="132">
        <f t="shared" ca="1" si="6"/>
        <v>91394.507882000005</v>
      </c>
      <c r="T13" s="132">
        <f t="shared" ca="1" si="6"/>
        <v>65019.970534</v>
      </c>
      <c r="U13" s="132">
        <f t="shared" ca="1" si="6"/>
        <v>2040.909165</v>
      </c>
      <c r="V13" s="132">
        <f t="shared" ca="1" si="6"/>
        <v>3303.1237150000002</v>
      </c>
      <c r="W13" s="132">
        <f t="shared" ca="1" si="6"/>
        <v>4555.126816</v>
      </c>
      <c r="X13" s="132">
        <f t="shared" ca="1" si="6"/>
        <v>6346.2741310000001</v>
      </c>
      <c r="Y13" s="132">
        <f t="shared" ca="1" si="6"/>
        <v>8757.801496</v>
      </c>
      <c r="Z13" s="132">
        <f t="shared" ca="1" si="6"/>
        <v>11316.091617</v>
      </c>
      <c r="AA13" s="132">
        <f t="shared" ca="1" si="6"/>
        <v>13802.401747</v>
      </c>
      <c r="AB13" s="132">
        <f t="shared" ca="1" si="6"/>
        <v>16952.553059000002</v>
      </c>
      <c r="AC13" s="132">
        <f t="shared" ca="1" si="6"/>
        <v>0</v>
      </c>
      <c r="AD13" s="132">
        <f t="shared" ca="1" si="6"/>
        <v>0</v>
      </c>
      <c r="AE13" s="132">
        <f t="shared" ca="1" si="6"/>
        <v>0</v>
      </c>
      <c r="AF13" s="132">
        <f t="shared" ca="1" si="6"/>
        <v>0</v>
      </c>
      <c r="AG13" s="132">
        <f t="shared" ca="1" si="6"/>
        <v>0</v>
      </c>
      <c r="AH13" s="132">
        <f t="shared" ca="1" si="6"/>
        <v>0</v>
      </c>
      <c r="AI13" s="132">
        <f t="shared" ca="1" si="6"/>
        <v>0</v>
      </c>
      <c r="AJ13" s="132">
        <f t="shared" ca="1" si="6"/>
        <v>0</v>
      </c>
      <c r="AK13" s="132">
        <f t="shared" ca="1" si="6"/>
        <v>0</v>
      </c>
      <c r="AL13" s="132">
        <f t="shared" ca="1" si="6"/>
        <v>0</v>
      </c>
      <c r="AM13" s="132">
        <f t="shared" ca="1" si="6"/>
        <v>0</v>
      </c>
      <c r="AN13" s="132">
        <f t="shared" ca="1" si="6"/>
        <v>0</v>
      </c>
      <c r="AO13" s="132">
        <f t="shared" ca="1" si="6"/>
        <v>0</v>
      </c>
      <c r="AP13" s="132">
        <f t="shared" ca="1" si="6"/>
        <v>0</v>
      </c>
      <c r="AQ13" s="132">
        <f t="shared" ca="1" si="6"/>
        <v>0</v>
      </c>
      <c r="AR13" s="132">
        <f t="shared" ca="1" si="6"/>
        <v>0</v>
      </c>
      <c r="AS13" s="132">
        <f t="shared" ca="1" si="6"/>
        <v>0</v>
      </c>
      <c r="AT13" s="132">
        <f t="shared" ca="1" si="6"/>
        <v>0</v>
      </c>
      <c r="AU13" s="132">
        <f t="shared" ca="1" si="6"/>
        <v>0</v>
      </c>
      <c r="AV13" s="132">
        <f t="shared" ca="1" si="6"/>
        <v>0</v>
      </c>
      <c r="AW13" s="132">
        <f t="shared" ca="1" si="6"/>
        <v>0</v>
      </c>
      <c r="AX13" s="132">
        <f t="shared" ca="1" si="6"/>
        <v>0</v>
      </c>
      <c r="AY13" s="132">
        <f t="shared" ca="1" si="6"/>
        <v>0</v>
      </c>
      <c r="AZ13" s="132">
        <f t="shared" ca="1" si="6"/>
        <v>0</v>
      </c>
      <c r="BA13" s="132">
        <f t="shared" ca="1" si="6"/>
        <v>0</v>
      </c>
      <c r="BB13" s="132">
        <f t="shared" ca="1" si="6"/>
        <v>0</v>
      </c>
      <c r="BC13" s="132">
        <f t="shared" ca="1" si="6"/>
        <v>0</v>
      </c>
      <c r="BD13" s="132">
        <f t="shared" ca="1" si="6"/>
        <v>0</v>
      </c>
      <c r="BE13" s="132">
        <f t="shared" ca="1" si="6"/>
        <v>0</v>
      </c>
      <c r="BF13" s="132">
        <f t="shared" ca="1" si="6"/>
        <v>0</v>
      </c>
      <c r="BG13" s="132">
        <f t="shared" ca="1" si="6"/>
        <v>0</v>
      </c>
      <c r="BH13" s="132">
        <f t="shared" ca="1" si="6"/>
        <v>0</v>
      </c>
      <c r="BI13" s="132">
        <f t="shared" ca="1" si="6"/>
        <v>0</v>
      </c>
      <c r="BJ13" s="132">
        <f t="shared" ca="1" si="6"/>
        <v>0</v>
      </c>
      <c r="BK13" s="132">
        <f t="shared" ca="1" si="6"/>
        <v>0</v>
      </c>
      <c r="BL13" s="132">
        <f t="shared" ca="1" si="6"/>
        <v>0</v>
      </c>
      <c r="BM13" s="132">
        <f t="shared" ca="1" si="6"/>
        <v>0</v>
      </c>
      <c r="BN13" s="132">
        <f t="shared" ca="1" si="6"/>
        <v>0</v>
      </c>
      <c r="BO13" s="132">
        <f t="shared" ca="1" si="6"/>
        <v>0</v>
      </c>
      <c r="BP13" s="132">
        <f t="shared" ca="1" si="6"/>
        <v>0</v>
      </c>
      <c r="BQ13" s="132">
        <f t="shared" ca="1" si="6"/>
        <v>0</v>
      </c>
      <c r="BR13" s="132">
        <f t="shared" ca="1" si="6"/>
        <v>0</v>
      </c>
      <c r="BS13" s="132">
        <f t="shared" ca="1" si="6"/>
        <v>0</v>
      </c>
      <c r="BT13" s="132">
        <f t="shared" ca="1" si="6"/>
        <v>0</v>
      </c>
      <c r="BU13" s="132">
        <f t="shared" ca="1" si="6"/>
        <v>0</v>
      </c>
      <c r="BV13" s="132">
        <f t="shared" ca="1" si="6"/>
        <v>0</v>
      </c>
      <c r="BW13" s="132">
        <f t="shared" ca="1" si="6"/>
        <v>0</v>
      </c>
      <c r="BX13" s="132">
        <f t="shared" ca="1" si="6"/>
        <v>0</v>
      </c>
      <c r="BY13" s="132">
        <f t="shared" ref="BY13:CO13" ca="1" si="7">SUM(BY14:BY16)</f>
        <v>0</v>
      </c>
      <c r="BZ13" s="132">
        <f t="shared" ca="1" si="7"/>
        <v>0</v>
      </c>
      <c r="CA13" s="132">
        <f t="shared" ca="1" si="7"/>
        <v>0</v>
      </c>
      <c r="CB13" s="132">
        <f t="shared" ca="1" si="7"/>
        <v>0</v>
      </c>
      <c r="CC13" s="132">
        <f t="shared" ca="1" si="7"/>
        <v>0</v>
      </c>
      <c r="CD13" s="132">
        <f t="shared" ca="1" si="7"/>
        <v>0</v>
      </c>
      <c r="CE13" s="132">
        <f t="shared" ca="1" si="7"/>
        <v>0</v>
      </c>
      <c r="CF13" s="132">
        <f t="shared" ca="1" si="7"/>
        <v>0</v>
      </c>
      <c r="CG13" s="132">
        <f t="shared" ca="1" si="7"/>
        <v>0</v>
      </c>
      <c r="CH13" s="132">
        <f t="shared" ca="1" si="7"/>
        <v>0</v>
      </c>
      <c r="CI13" s="132">
        <f t="shared" ca="1" si="7"/>
        <v>0</v>
      </c>
      <c r="CJ13" s="132">
        <f t="shared" ca="1" si="7"/>
        <v>0</v>
      </c>
      <c r="CK13" s="132">
        <f t="shared" ca="1" si="7"/>
        <v>0</v>
      </c>
      <c r="CL13" s="132">
        <f t="shared" ca="1" si="7"/>
        <v>0</v>
      </c>
      <c r="CM13" s="132">
        <f t="shared" ca="1" si="7"/>
        <v>0</v>
      </c>
      <c r="CN13" s="132">
        <f t="shared" ca="1" si="7"/>
        <v>0</v>
      </c>
      <c r="CO13" s="132">
        <f t="shared" ca="1" si="7"/>
        <v>0</v>
      </c>
    </row>
    <row r="14" spans="1:93" s="132" customFormat="1" ht="15" customHeight="1">
      <c r="A14" s="153"/>
      <c r="B14" s="153"/>
      <c r="C14" s="156" t="s">
        <v>1135</v>
      </c>
      <c r="D14" s="153"/>
      <c r="E14" s="153"/>
      <c r="F14" s="153"/>
      <c r="G14" s="11" t="str">
        <f t="shared" si="4"/>
        <v>тыс. руб.</v>
      </c>
      <c r="H14" s="153"/>
      <c r="I14" s="23">
        <f t="shared" ca="1" si="5"/>
        <v>533689.28401900001</v>
      </c>
      <c r="J14" s="153"/>
      <c r="K14" s="153"/>
      <c r="L14" s="52">
        <f t="shared" ref="L14:AQ14" si="8">ROUND(Equity_Drawdown-L16,6)</f>
        <v>10115.776706000001</v>
      </c>
      <c r="M14" s="52">
        <f t="shared" ca="1" si="8"/>
        <v>10259.369017999999</v>
      </c>
      <c r="N14" s="52">
        <f t="shared" ca="1" si="8"/>
        <v>10404.999605999999</v>
      </c>
      <c r="O14" s="52">
        <f t="shared" ca="1" si="8"/>
        <v>10552.697404</v>
      </c>
      <c r="P14" s="52">
        <f t="shared" ca="1" si="8"/>
        <v>88745.245311999999</v>
      </c>
      <c r="Q14" s="52">
        <f t="shared" ca="1" si="8"/>
        <v>89619.688294000007</v>
      </c>
      <c r="R14" s="52">
        <f t="shared" ca="1" si="8"/>
        <v>90502.747516999996</v>
      </c>
      <c r="S14" s="52">
        <f t="shared" ca="1" si="8"/>
        <v>91394.507882000005</v>
      </c>
      <c r="T14" s="52">
        <f t="shared" ca="1" si="8"/>
        <v>65019.970534</v>
      </c>
      <c r="U14" s="52">
        <f t="shared" ca="1" si="8"/>
        <v>2040.909165</v>
      </c>
      <c r="V14" s="52">
        <f t="shared" ca="1" si="8"/>
        <v>3303.1237150000002</v>
      </c>
      <c r="W14" s="52">
        <f t="shared" ca="1" si="8"/>
        <v>4555.126816</v>
      </c>
      <c r="X14" s="52">
        <f t="shared" ca="1" si="8"/>
        <v>6346.2741310000001</v>
      </c>
      <c r="Y14" s="52">
        <f t="shared" ca="1" si="8"/>
        <v>8757.801496</v>
      </c>
      <c r="Z14" s="52">
        <f t="shared" ca="1" si="8"/>
        <v>11316.091617</v>
      </c>
      <c r="AA14" s="52">
        <f t="shared" ca="1" si="8"/>
        <v>13802.401747</v>
      </c>
      <c r="AB14" s="52">
        <f t="shared" ca="1" si="8"/>
        <v>16952.553059000002</v>
      </c>
      <c r="AC14" s="52">
        <f t="shared" ca="1" si="8"/>
        <v>0</v>
      </c>
      <c r="AD14" s="52">
        <f t="shared" ca="1" si="8"/>
        <v>0</v>
      </c>
      <c r="AE14" s="52">
        <f t="shared" ca="1" si="8"/>
        <v>0</v>
      </c>
      <c r="AF14" s="52">
        <f t="shared" ca="1" si="8"/>
        <v>0</v>
      </c>
      <c r="AG14" s="52">
        <f t="shared" ca="1" si="8"/>
        <v>0</v>
      </c>
      <c r="AH14" s="52">
        <f t="shared" ca="1" si="8"/>
        <v>0</v>
      </c>
      <c r="AI14" s="52">
        <f t="shared" ca="1" si="8"/>
        <v>0</v>
      </c>
      <c r="AJ14" s="52">
        <f t="shared" ca="1" si="8"/>
        <v>0</v>
      </c>
      <c r="AK14" s="52">
        <f t="shared" ca="1" si="8"/>
        <v>0</v>
      </c>
      <c r="AL14" s="52">
        <f t="shared" ca="1" si="8"/>
        <v>0</v>
      </c>
      <c r="AM14" s="52">
        <f t="shared" ca="1" si="8"/>
        <v>0</v>
      </c>
      <c r="AN14" s="52">
        <f t="shared" ca="1" si="8"/>
        <v>0</v>
      </c>
      <c r="AO14" s="52">
        <f t="shared" ca="1" si="8"/>
        <v>0</v>
      </c>
      <c r="AP14" s="52">
        <f t="shared" ca="1" si="8"/>
        <v>0</v>
      </c>
      <c r="AQ14" s="52">
        <f t="shared" ca="1" si="8"/>
        <v>0</v>
      </c>
      <c r="AR14" s="52">
        <f t="shared" ref="AR14:BW14" ca="1" si="9">ROUND(Equity_Drawdown-AR16,6)</f>
        <v>0</v>
      </c>
      <c r="AS14" s="52">
        <f t="shared" ca="1" si="9"/>
        <v>0</v>
      </c>
      <c r="AT14" s="52">
        <f t="shared" ca="1" si="9"/>
        <v>0</v>
      </c>
      <c r="AU14" s="52">
        <f t="shared" ca="1" si="9"/>
        <v>0</v>
      </c>
      <c r="AV14" s="52">
        <f t="shared" ca="1" si="9"/>
        <v>0</v>
      </c>
      <c r="AW14" s="52">
        <f t="shared" ca="1" si="9"/>
        <v>0</v>
      </c>
      <c r="AX14" s="52">
        <f t="shared" ca="1" si="9"/>
        <v>0</v>
      </c>
      <c r="AY14" s="52">
        <f t="shared" ca="1" si="9"/>
        <v>0</v>
      </c>
      <c r="AZ14" s="52">
        <f t="shared" ca="1" si="9"/>
        <v>0</v>
      </c>
      <c r="BA14" s="52">
        <f t="shared" ca="1" si="9"/>
        <v>0</v>
      </c>
      <c r="BB14" s="52">
        <f t="shared" ca="1" si="9"/>
        <v>0</v>
      </c>
      <c r="BC14" s="52">
        <f t="shared" ca="1" si="9"/>
        <v>0</v>
      </c>
      <c r="BD14" s="52">
        <f t="shared" ca="1" si="9"/>
        <v>0</v>
      </c>
      <c r="BE14" s="52">
        <f t="shared" ca="1" si="9"/>
        <v>0</v>
      </c>
      <c r="BF14" s="52">
        <f t="shared" ca="1" si="9"/>
        <v>0</v>
      </c>
      <c r="BG14" s="52">
        <f t="shared" ca="1" si="9"/>
        <v>0</v>
      </c>
      <c r="BH14" s="52">
        <f t="shared" ca="1" si="9"/>
        <v>0</v>
      </c>
      <c r="BI14" s="52">
        <f t="shared" ca="1" si="9"/>
        <v>0</v>
      </c>
      <c r="BJ14" s="52">
        <f t="shared" ca="1" si="9"/>
        <v>0</v>
      </c>
      <c r="BK14" s="52">
        <f t="shared" ca="1" si="9"/>
        <v>0</v>
      </c>
      <c r="BL14" s="52">
        <f t="shared" ca="1" si="9"/>
        <v>0</v>
      </c>
      <c r="BM14" s="52">
        <f t="shared" ca="1" si="9"/>
        <v>0</v>
      </c>
      <c r="BN14" s="52">
        <f t="shared" ca="1" si="9"/>
        <v>0</v>
      </c>
      <c r="BO14" s="52">
        <f t="shared" ca="1" si="9"/>
        <v>0</v>
      </c>
      <c r="BP14" s="52">
        <f t="shared" ca="1" si="9"/>
        <v>0</v>
      </c>
      <c r="BQ14" s="52">
        <f t="shared" ca="1" si="9"/>
        <v>0</v>
      </c>
      <c r="BR14" s="52">
        <f t="shared" ca="1" si="9"/>
        <v>0</v>
      </c>
      <c r="BS14" s="52">
        <f t="shared" ca="1" si="9"/>
        <v>0</v>
      </c>
      <c r="BT14" s="52">
        <f t="shared" ca="1" si="9"/>
        <v>0</v>
      </c>
      <c r="BU14" s="52">
        <f t="shared" ca="1" si="9"/>
        <v>0</v>
      </c>
      <c r="BV14" s="52">
        <f t="shared" ca="1" si="9"/>
        <v>0</v>
      </c>
      <c r="BW14" s="52">
        <f t="shared" ca="1" si="9"/>
        <v>0</v>
      </c>
      <c r="BX14" s="52">
        <f t="shared" ref="BX14:CO14" ca="1" si="10">ROUND(Equity_Drawdown-BX16,6)</f>
        <v>0</v>
      </c>
      <c r="BY14" s="52">
        <f t="shared" ca="1" si="10"/>
        <v>0</v>
      </c>
      <c r="BZ14" s="52">
        <f t="shared" ca="1" si="10"/>
        <v>0</v>
      </c>
      <c r="CA14" s="52">
        <f t="shared" ca="1" si="10"/>
        <v>0</v>
      </c>
      <c r="CB14" s="52">
        <f t="shared" ca="1" si="10"/>
        <v>0</v>
      </c>
      <c r="CC14" s="52">
        <f t="shared" ca="1" si="10"/>
        <v>0</v>
      </c>
      <c r="CD14" s="52">
        <f t="shared" ca="1" si="10"/>
        <v>0</v>
      </c>
      <c r="CE14" s="52">
        <f t="shared" ca="1" si="10"/>
        <v>0</v>
      </c>
      <c r="CF14" s="52">
        <f t="shared" ca="1" si="10"/>
        <v>0</v>
      </c>
      <c r="CG14" s="52">
        <f t="shared" ca="1" si="10"/>
        <v>0</v>
      </c>
      <c r="CH14" s="52">
        <f t="shared" ca="1" si="10"/>
        <v>0</v>
      </c>
      <c r="CI14" s="52">
        <f t="shared" ca="1" si="10"/>
        <v>0</v>
      </c>
      <c r="CJ14" s="52">
        <f t="shared" ca="1" si="10"/>
        <v>0</v>
      </c>
      <c r="CK14" s="52">
        <f t="shared" ca="1" si="10"/>
        <v>0</v>
      </c>
      <c r="CL14" s="52">
        <f t="shared" ca="1" si="10"/>
        <v>0</v>
      </c>
      <c r="CM14" s="52">
        <f t="shared" ca="1" si="10"/>
        <v>0</v>
      </c>
      <c r="CN14" s="52">
        <f t="shared" ca="1" si="10"/>
        <v>0</v>
      </c>
      <c r="CO14" s="52">
        <f t="shared" ca="1" si="10"/>
        <v>0</v>
      </c>
    </row>
    <row r="15" spans="1:93" s="132" customFormat="1" ht="15" customHeight="1">
      <c r="A15" s="153"/>
      <c r="B15" s="153"/>
      <c r="C15" s="156" t="s">
        <v>1136</v>
      </c>
      <c r="D15" s="153"/>
      <c r="E15" s="153"/>
      <c r="F15" s="153"/>
      <c r="G15" s="11" t="str">
        <f t="shared" si="4"/>
        <v>тыс. руб.</v>
      </c>
      <c r="H15" s="153"/>
      <c r="I15" s="23">
        <f t="shared" si="5"/>
        <v>0</v>
      </c>
      <c r="J15" s="153"/>
      <c r="K15" s="153"/>
      <c r="L15" s="52">
        <f t="shared" ref="L15:AQ15" si="11">Equity_S_Drawdown_1+Equity_S_Drawdown_2</f>
        <v>0</v>
      </c>
      <c r="M15" s="52">
        <f t="shared" si="11"/>
        <v>0</v>
      </c>
      <c r="N15" s="52">
        <f t="shared" si="11"/>
        <v>0</v>
      </c>
      <c r="O15" s="52">
        <f t="shared" si="11"/>
        <v>0</v>
      </c>
      <c r="P15" s="52">
        <f t="shared" si="11"/>
        <v>0</v>
      </c>
      <c r="Q15" s="52">
        <f t="shared" si="11"/>
        <v>0</v>
      </c>
      <c r="R15" s="52">
        <f t="shared" si="11"/>
        <v>0</v>
      </c>
      <c r="S15" s="52">
        <f t="shared" si="11"/>
        <v>0</v>
      </c>
      <c r="T15" s="52">
        <f t="shared" si="11"/>
        <v>0</v>
      </c>
      <c r="U15" s="52">
        <f t="shared" si="11"/>
        <v>0</v>
      </c>
      <c r="V15" s="52">
        <f t="shared" si="11"/>
        <v>0</v>
      </c>
      <c r="W15" s="52">
        <f t="shared" si="11"/>
        <v>0</v>
      </c>
      <c r="X15" s="52">
        <f t="shared" si="11"/>
        <v>0</v>
      </c>
      <c r="Y15" s="52">
        <f t="shared" si="11"/>
        <v>0</v>
      </c>
      <c r="Z15" s="52">
        <f t="shared" si="11"/>
        <v>0</v>
      </c>
      <c r="AA15" s="52">
        <f t="shared" si="11"/>
        <v>0</v>
      </c>
      <c r="AB15" s="52">
        <f t="shared" si="11"/>
        <v>0</v>
      </c>
      <c r="AC15" s="52">
        <f t="shared" si="11"/>
        <v>0</v>
      </c>
      <c r="AD15" s="52">
        <f t="shared" si="11"/>
        <v>0</v>
      </c>
      <c r="AE15" s="52">
        <f t="shared" si="11"/>
        <v>0</v>
      </c>
      <c r="AF15" s="52">
        <f t="shared" si="11"/>
        <v>0</v>
      </c>
      <c r="AG15" s="52">
        <f t="shared" si="11"/>
        <v>0</v>
      </c>
      <c r="AH15" s="52">
        <f t="shared" si="11"/>
        <v>0</v>
      </c>
      <c r="AI15" s="52">
        <f t="shared" si="11"/>
        <v>0</v>
      </c>
      <c r="AJ15" s="52">
        <f t="shared" si="11"/>
        <v>0</v>
      </c>
      <c r="AK15" s="52">
        <f t="shared" si="11"/>
        <v>0</v>
      </c>
      <c r="AL15" s="52">
        <f t="shared" si="11"/>
        <v>0</v>
      </c>
      <c r="AM15" s="52">
        <f t="shared" si="11"/>
        <v>0</v>
      </c>
      <c r="AN15" s="52">
        <f t="shared" si="11"/>
        <v>0</v>
      </c>
      <c r="AO15" s="52">
        <f t="shared" si="11"/>
        <v>0</v>
      </c>
      <c r="AP15" s="52">
        <f t="shared" si="11"/>
        <v>0</v>
      </c>
      <c r="AQ15" s="52">
        <f t="shared" si="11"/>
        <v>0</v>
      </c>
      <c r="AR15" s="52">
        <f t="shared" ref="AR15:BW15" si="12">Equity_S_Drawdown_1+Equity_S_Drawdown_2</f>
        <v>0</v>
      </c>
      <c r="AS15" s="52">
        <f t="shared" si="12"/>
        <v>0</v>
      </c>
      <c r="AT15" s="52">
        <f t="shared" si="12"/>
        <v>0</v>
      </c>
      <c r="AU15" s="52">
        <f t="shared" si="12"/>
        <v>0</v>
      </c>
      <c r="AV15" s="52">
        <f t="shared" si="12"/>
        <v>0</v>
      </c>
      <c r="AW15" s="52">
        <f t="shared" si="12"/>
        <v>0</v>
      </c>
      <c r="AX15" s="52">
        <f t="shared" si="12"/>
        <v>0</v>
      </c>
      <c r="AY15" s="52">
        <f t="shared" si="12"/>
        <v>0</v>
      </c>
      <c r="AZ15" s="52">
        <f t="shared" si="12"/>
        <v>0</v>
      </c>
      <c r="BA15" s="52">
        <f t="shared" si="12"/>
        <v>0</v>
      </c>
      <c r="BB15" s="52">
        <f t="shared" si="12"/>
        <v>0</v>
      </c>
      <c r="BC15" s="52">
        <f t="shared" si="12"/>
        <v>0</v>
      </c>
      <c r="BD15" s="52">
        <f t="shared" si="12"/>
        <v>0</v>
      </c>
      <c r="BE15" s="52">
        <f t="shared" si="12"/>
        <v>0</v>
      </c>
      <c r="BF15" s="52">
        <f t="shared" si="12"/>
        <v>0</v>
      </c>
      <c r="BG15" s="52">
        <f t="shared" si="12"/>
        <v>0</v>
      </c>
      <c r="BH15" s="52">
        <f t="shared" si="12"/>
        <v>0</v>
      </c>
      <c r="BI15" s="52">
        <f t="shared" si="12"/>
        <v>0</v>
      </c>
      <c r="BJ15" s="52">
        <f t="shared" si="12"/>
        <v>0</v>
      </c>
      <c r="BK15" s="52">
        <f t="shared" si="12"/>
        <v>0</v>
      </c>
      <c r="BL15" s="52">
        <f t="shared" si="12"/>
        <v>0</v>
      </c>
      <c r="BM15" s="52">
        <f t="shared" si="12"/>
        <v>0</v>
      </c>
      <c r="BN15" s="52">
        <f t="shared" si="12"/>
        <v>0</v>
      </c>
      <c r="BO15" s="52">
        <f t="shared" si="12"/>
        <v>0</v>
      </c>
      <c r="BP15" s="52">
        <f t="shared" si="12"/>
        <v>0</v>
      </c>
      <c r="BQ15" s="52">
        <f t="shared" si="12"/>
        <v>0</v>
      </c>
      <c r="BR15" s="52">
        <f t="shared" si="12"/>
        <v>0</v>
      </c>
      <c r="BS15" s="52">
        <f t="shared" si="12"/>
        <v>0</v>
      </c>
      <c r="BT15" s="52">
        <f t="shared" si="12"/>
        <v>0</v>
      </c>
      <c r="BU15" s="52">
        <f t="shared" si="12"/>
        <v>0</v>
      </c>
      <c r="BV15" s="52">
        <f t="shared" si="12"/>
        <v>0</v>
      </c>
      <c r="BW15" s="52">
        <f t="shared" si="12"/>
        <v>0</v>
      </c>
      <c r="BX15" s="52">
        <f t="shared" ref="BX15:CO15" si="13">Equity_S_Drawdown_1+Equity_S_Drawdown_2</f>
        <v>0</v>
      </c>
      <c r="BY15" s="52">
        <f t="shared" si="13"/>
        <v>0</v>
      </c>
      <c r="BZ15" s="52">
        <f t="shared" si="13"/>
        <v>0</v>
      </c>
      <c r="CA15" s="52">
        <f t="shared" si="13"/>
        <v>0</v>
      </c>
      <c r="CB15" s="52">
        <f t="shared" si="13"/>
        <v>0</v>
      </c>
      <c r="CC15" s="52">
        <f t="shared" si="13"/>
        <v>0</v>
      </c>
      <c r="CD15" s="52">
        <f t="shared" si="13"/>
        <v>0</v>
      </c>
      <c r="CE15" s="52">
        <f t="shared" si="13"/>
        <v>0</v>
      </c>
      <c r="CF15" s="52">
        <f t="shared" si="13"/>
        <v>0</v>
      </c>
      <c r="CG15" s="52">
        <f t="shared" si="13"/>
        <v>0</v>
      </c>
      <c r="CH15" s="52">
        <f t="shared" si="13"/>
        <v>0</v>
      </c>
      <c r="CI15" s="52">
        <f t="shared" si="13"/>
        <v>0</v>
      </c>
      <c r="CJ15" s="52">
        <f t="shared" si="13"/>
        <v>0</v>
      </c>
      <c r="CK15" s="52">
        <f t="shared" si="13"/>
        <v>0</v>
      </c>
      <c r="CL15" s="52">
        <f t="shared" si="13"/>
        <v>0</v>
      </c>
      <c r="CM15" s="52">
        <f t="shared" si="13"/>
        <v>0</v>
      </c>
      <c r="CN15" s="52">
        <f t="shared" si="13"/>
        <v>0</v>
      </c>
      <c r="CO15" s="52">
        <f t="shared" si="13"/>
        <v>0</v>
      </c>
    </row>
    <row r="16" spans="1:93" s="132" customFormat="1" ht="15" customHeight="1">
      <c r="A16" s="153"/>
      <c r="B16" s="153"/>
      <c r="C16" s="156"/>
      <c r="D16" s="153"/>
      <c r="E16" s="153"/>
      <c r="F16" s="153"/>
      <c r="G16" s="11" t="str">
        <f t="shared" si="4"/>
        <v>тыс. руб.</v>
      </c>
      <c r="H16" s="153"/>
      <c r="I16" s="23">
        <f t="shared" ca="1" si="5"/>
        <v>0</v>
      </c>
      <c r="J16" s="153"/>
      <c r="K16" s="153"/>
      <c r="L16" s="52">
        <f t="shared" ref="L16:AQ16" si="14">-Investor_TRRF</f>
        <v>0</v>
      </c>
      <c r="M16" s="52">
        <f t="shared" ca="1" si="14"/>
        <v>0</v>
      </c>
      <c r="N16" s="52">
        <f t="shared" ca="1" si="14"/>
        <v>0</v>
      </c>
      <c r="O16" s="52">
        <f t="shared" ca="1" si="14"/>
        <v>0</v>
      </c>
      <c r="P16" s="52">
        <f t="shared" ca="1" si="14"/>
        <v>0</v>
      </c>
      <c r="Q16" s="52">
        <f t="shared" ca="1" si="14"/>
        <v>0</v>
      </c>
      <c r="R16" s="52">
        <f t="shared" ca="1" si="14"/>
        <v>0</v>
      </c>
      <c r="S16" s="52">
        <f t="shared" ca="1" si="14"/>
        <v>0</v>
      </c>
      <c r="T16" s="52">
        <f t="shared" ca="1" si="14"/>
        <v>0</v>
      </c>
      <c r="U16" s="52">
        <f t="shared" ca="1" si="14"/>
        <v>0</v>
      </c>
      <c r="V16" s="52">
        <f t="shared" ca="1" si="14"/>
        <v>0</v>
      </c>
      <c r="W16" s="52">
        <f t="shared" ca="1" si="14"/>
        <v>0</v>
      </c>
      <c r="X16" s="52">
        <f t="shared" ca="1" si="14"/>
        <v>0</v>
      </c>
      <c r="Y16" s="52">
        <f t="shared" ca="1" si="14"/>
        <v>0</v>
      </c>
      <c r="Z16" s="52">
        <f t="shared" ca="1" si="14"/>
        <v>0</v>
      </c>
      <c r="AA16" s="52">
        <f t="shared" ca="1" si="14"/>
        <v>0</v>
      </c>
      <c r="AB16" s="52">
        <f t="shared" ca="1" si="14"/>
        <v>0</v>
      </c>
      <c r="AC16" s="52">
        <f t="shared" ca="1" si="14"/>
        <v>0</v>
      </c>
      <c r="AD16" s="52">
        <f t="shared" ca="1" si="14"/>
        <v>0</v>
      </c>
      <c r="AE16" s="52">
        <f t="shared" ca="1" si="14"/>
        <v>0</v>
      </c>
      <c r="AF16" s="52">
        <f t="shared" ca="1" si="14"/>
        <v>0</v>
      </c>
      <c r="AG16" s="52">
        <f t="shared" ca="1" si="14"/>
        <v>0</v>
      </c>
      <c r="AH16" s="52">
        <f t="shared" ca="1" si="14"/>
        <v>0</v>
      </c>
      <c r="AI16" s="52">
        <f t="shared" ca="1" si="14"/>
        <v>0</v>
      </c>
      <c r="AJ16" s="52">
        <f t="shared" ca="1" si="14"/>
        <v>0</v>
      </c>
      <c r="AK16" s="52">
        <f t="shared" ca="1" si="14"/>
        <v>0</v>
      </c>
      <c r="AL16" s="52">
        <f t="shared" ca="1" si="14"/>
        <v>0</v>
      </c>
      <c r="AM16" s="52">
        <f t="shared" ca="1" si="14"/>
        <v>0</v>
      </c>
      <c r="AN16" s="52">
        <f t="shared" ca="1" si="14"/>
        <v>0</v>
      </c>
      <c r="AO16" s="52">
        <f t="shared" ca="1" si="14"/>
        <v>0</v>
      </c>
      <c r="AP16" s="52">
        <f t="shared" ca="1" si="14"/>
        <v>0</v>
      </c>
      <c r="AQ16" s="52">
        <f t="shared" ca="1" si="14"/>
        <v>0</v>
      </c>
      <c r="AR16" s="52">
        <f t="shared" ref="AR16:BW16" ca="1" si="15">-Investor_TRRF</f>
        <v>0</v>
      </c>
      <c r="AS16" s="52">
        <f t="shared" ca="1" si="15"/>
        <v>0</v>
      </c>
      <c r="AT16" s="52">
        <f t="shared" ca="1" si="15"/>
        <v>0</v>
      </c>
      <c r="AU16" s="52">
        <f t="shared" ca="1" si="15"/>
        <v>0</v>
      </c>
      <c r="AV16" s="52">
        <f t="shared" ca="1" si="15"/>
        <v>0</v>
      </c>
      <c r="AW16" s="52">
        <f t="shared" ca="1" si="15"/>
        <v>0</v>
      </c>
      <c r="AX16" s="52">
        <f t="shared" ca="1" si="15"/>
        <v>0</v>
      </c>
      <c r="AY16" s="52">
        <f t="shared" ca="1" si="15"/>
        <v>0</v>
      </c>
      <c r="AZ16" s="52">
        <f t="shared" ca="1" si="15"/>
        <v>0</v>
      </c>
      <c r="BA16" s="52">
        <f t="shared" ca="1" si="15"/>
        <v>0</v>
      </c>
      <c r="BB16" s="52">
        <f t="shared" ca="1" si="15"/>
        <v>0</v>
      </c>
      <c r="BC16" s="52">
        <f t="shared" ca="1" si="15"/>
        <v>0</v>
      </c>
      <c r="BD16" s="52">
        <f t="shared" ca="1" si="15"/>
        <v>0</v>
      </c>
      <c r="BE16" s="52">
        <f t="shared" ca="1" si="15"/>
        <v>0</v>
      </c>
      <c r="BF16" s="52">
        <f t="shared" ca="1" si="15"/>
        <v>0</v>
      </c>
      <c r="BG16" s="52">
        <f t="shared" ca="1" si="15"/>
        <v>0</v>
      </c>
      <c r="BH16" s="52">
        <f t="shared" ca="1" si="15"/>
        <v>0</v>
      </c>
      <c r="BI16" s="52">
        <f t="shared" ca="1" si="15"/>
        <v>0</v>
      </c>
      <c r="BJ16" s="52">
        <f t="shared" ca="1" si="15"/>
        <v>0</v>
      </c>
      <c r="BK16" s="52">
        <f t="shared" ca="1" si="15"/>
        <v>0</v>
      </c>
      <c r="BL16" s="52">
        <f t="shared" ca="1" si="15"/>
        <v>0</v>
      </c>
      <c r="BM16" s="52">
        <f t="shared" ca="1" si="15"/>
        <v>0</v>
      </c>
      <c r="BN16" s="52">
        <f t="shared" ca="1" si="15"/>
        <v>0</v>
      </c>
      <c r="BO16" s="52">
        <f t="shared" ca="1" si="15"/>
        <v>0</v>
      </c>
      <c r="BP16" s="52">
        <f t="shared" ca="1" si="15"/>
        <v>0</v>
      </c>
      <c r="BQ16" s="52">
        <f t="shared" ca="1" si="15"/>
        <v>0</v>
      </c>
      <c r="BR16" s="52">
        <f t="shared" ca="1" si="15"/>
        <v>0</v>
      </c>
      <c r="BS16" s="52">
        <f t="shared" ca="1" si="15"/>
        <v>0</v>
      </c>
      <c r="BT16" s="52">
        <f t="shared" ca="1" si="15"/>
        <v>0</v>
      </c>
      <c r="BU16" s="52">
        <f t="shared" ca="1" si="15"/>
        <v>0</v>
      </c>
      <c r="BV16" s="52">
        <f t="shared" ca="1" si="15"/>
        <v>0</v>
      </c>
      <c r="BW16" s="52">
        <f t="shared" ca="1" si="15"/>
        <v>0</v>
      </c>
      <c r="BX16" s="52">
        <f t="shared" ref="BX16:CO16" ca="1" si="16">-Investor_TRRF</f>
        <v>0</v>
      </c>
      <c r="BY16" s="52">
        <f t="shared" ca="1" si="16"/>
        <v>0</v>
      </c>
      <c r="BZ16" s="52">
        <f t="shared" ca="1" si="16"/>
        <v>0</v>
      </c>
      <c r="CA16" s="52">
        <f t="shared" ca="1" si="16"/>
        <v>0</v>
      </c>
      <c r="CB16" s="52">
        <f t="shared" ca="1" si="16"/>
        <v>0</v>
      </c>
      <c r="CC16" s="52">
        <f t="shared" ca="1" si="16"/>
        <v>0</v>
      </c>
      <c r="CD16" s="52">
        <f t="shared" ca="1" si="16"/>
        <v>0</v>
      </c>
      <c r="CE16" s="52">
        <f t="shared" ca="1" si="16"/>
        <v>0</v>
      </c>
      <c r="CF16" s="52">
        <f t="shared" ca="1" si="16"/>
        <v>0</v>
      </c>
      <c r="CG16" s="52">
        <f t="shared" ca="1" si="16"/>
        <v>0</v>
      </c>
      <c r="CH16" s="52">
        <f t="shared" ca="1" si="16"/>
        <v>0</v>
      </c>
      <c r="CI16" s="52">
        <f t="shared" ca="1" si="16"/>
        <v>0</v>
      </c>
      <c r="CJ16" s="52">
        <f t="shared" ca="1" si="16"/>
        <v>0</v>
      </c>
      <c r="CK16" s="52">
        <f t="shared" ca="1" si="16"/>
        <v>0</v>
      </c>
      <c r="CL16" s="52">
        <f t="shared" ca="1" si="16"/>
        <v>0</v>
      </c>
      <c r="CM16" s="52">
        <f t="shared" ca="1" si="16"/>
        <v>0</v>
      </c>
      <c r="CN16" s="52">
        <f t="shared" ca="1" si="16"/>
        <v>0</v>
      </c>
      <c r="CO16" s="52">
        <f t="shared" ca="1" si="16"/>
        <v>0</v>
      </c>
    </row>
    <row r="17" spans="1:93" s="132" customFormat="1" ht="15" customHeight="1">
      <c r="A17" s="153"/>
      <c r="B17" s="153"/>
      <c r="C17" s="35" t="s">
        <v>597</v>
      </c>
      <c r="D17" s="153"/>
      <c r="E17" s="153"/>
      <c r="F17" s="153"/>
      <c r="G17" s="162" t="str">
        <f t="shared" si="4"/>
        <v>тыс. руб.</v>
      </c>
      <c r="H17" s="153"/>
      <c r="I17" s="176">
        <f t="shared" ca="1" si="5"/>
        <v>3305577.6634790692</v>
      </c>
      <c r="J17" s="153"/>
      <c r="K17" s="153"/>
      <c r="L17" s="132">
        <f ca="1">SUM(L18:L19)</f>
        <v>10115.776706000001</v>
      </c>
      <c r="M17" s="132">
        <f t="shared" ref="M17:BX17" ca="1" si="17">SUM(M18:M19)</f>
        <v>10259.369017999999</v>
      </c>
      <c r="N17" s="132">
        <f t="shared" ca="1" si="17"/>
        <v>10404.999605999999</v>
      </c>
      <c r="O17" s="132">
        <f t="shared" ca="1" si="17"/>
        <v>10552.697404</v>
      </c>
      <c r="P17" s="132">
        <f t="shared" ca="1" si="17"/>
        <v>88745.245311999999</v>
      </c>
      <c r="Q17" s="132">
        <f t="shared" ca="1" si="17"/>
        <v>89619.688294000007</v>
      </c>
      <c r="R17" s="132">
        <f t="shared" ca="1" si="17"/>
        <v>90502.747516999996</v>
      </c>
      <c r="S17" s="132">
        <f t="shared" ca="1" si="17"/>
        <v>91394.507882000005</v>
      </c>
      <c r="T17" s="132">
        <f t="shared" ca="1" si="17"/>
        <v>119945.96897919229</v>
      </c>
      <c r="U17" s="132">
        <f t="shared" ca="1" si="17"/>
        <v>188449.86081596476</v>
      </c>
      <c r="V17" s="132">
        <f t="shared" ca="1" si="17"/>
        <v>191548.83855094871</v>
      </c>
      <c r="W17" s="132">
        <f t="shared" ca="1" si="17"/>
        <v>194655.7032113286</v>
      </c>
      <c r="X17" s="132">
        <f t="shared" ca="1" si="17"/>
        <v>373921.76394745481</v>
      </c>
      <c r="Y17" s="132">
        <f t="shared" ca="1" si="17"/>
        <v>379955.16205105279</v>
      </c>
      <c r="Z17" s="132">
        <f t="shared" ca="1" si="17"/>
        <v>386171.01067550585</v>
      </c>
      <c r="AA17" s="132">
        <f t="shared" ca="1" si="17"/>
        <v>392350.91871986986</v>
      </c>
      <c r="AB17" s="132">
        <f t="shared" ca="1" si="17"/>
        <v>676983.40478875162</v>
      </c>
      <c r="AC17" s="132">
        <f t="shared" ca="1" si="17"/>
        <v>0</v>
      </c>
      <c r="AD17" s="132">
        <f t="shared" ca="1" si="17"/>
        <v>0</v>
      </c>
      <c r="AE17" s="132">
        <f t="shared" ca="1" si="17"/>
        <v>0</v>
      </c>
      <c r="AF17" s="132">
        <f t="shared" ca="1" si="17"/>
        <v>0</v>
      </c>
      <c r="AG17" s="132">
        <f t="shared" ca="1" si="17"/>
        <v>0</v>
      </c>
      <c r="AH17" s="132">
        <f t="shared" ca="1" si="17"/>
        <v>0</v>
      </c>
      <c r="AI17" s="132">
        <f t="shared" ca="1" si="17"/>
        <v>0</v>
      </c>
      <c r="AJ17" s="132">
        <f t="shared" ca="1" si="17"/>
        <v>0</v>
      </c>
      <c r="AK17" s="132">
        <f t="shared" ca="1" si="17"/>
        <v>0</v>
      </c>
      <c r="AL17" s="132">
        <f t="shared" ca="1" si="17"/>
        <v>0</v>
      </c>
      <c r="AM17" s="132">
        <f t="shared" ca="1" si="17"/>
        <v>0</v>
      </c>
      <c r="AN17" s="132">
        <f t="shared" ca="1" si="17"/>
        <v>0</v>
      </c>
      <c r="AO17" s="132">
        <f t="shared" ca="1" si="17"/>
        <v>0</v>
      </c>
      <c r="AP17" s="132">
        <f t="shared" ca="1" si="17"/>
        <v>0</v>
      </c>
      <c r="AQ17" s="132">
        <f t="shared" ca="1" si="17"/>
        <v>0</v>
      </c>
      <c r="AR17" s="132">
        <f t="shared" ca="1" si="17"/>
        <v>0</v>
      </c>
      <c r="AS17" s="132">
        <f t="shared" ca="1" si="17"/>
        <v>0</v>
      </c>
      <c r="AT17" s="132">
        <f t="shared" ca="1" si="17"/>
        <v>0</v>
      </c>
      <c r="AU17" s="132">
        <f t="shared" ca="1" si="17"/>
        <v>0</v>
      </c>
      <c r="AV17" s="132">
        <f t="shared" ca="1" si="17"/>
        <v>0</v>
      </c>
      <c r="AW17" s="132">
        <f t="shared" ca="1" si="17"/>
        <v>0</v>
      </c>
      <c r="AX17" s="132">
        <f t="shared" ca="1" si="17"/>
        <v>0</v>
      </c>
      <c r="AY17" s="132">
        <f t="shared" ca="1" si="17"/>
        <v>0</v>
      </c>
      <c r="AZ17" s="132">
        <f t="shared" ca="1" si="17"/>
        <v>0</v>
      </c>
      <c r="BA17" s="132">
        <f t="shared" ca="1" si="17"/>
        <v>0</v>
      </c>
      <c r="BB17" s="132">
        <f t="shared" ca="1" si="17"/>
        <v>0</v>
      </c>
      <c r="BC17" s="132">
        <f t="shared" ca="1" si="17"/>
        <v>0</v>
      </c>
      <c r="BD17" s="132">
        <f t="shared" ca="1" si="17"/>
        <v>0</v>
      </c>
      <c r="BE17" s="132">
        <f t="shared" ca="1" si="17"/>
        <v>0</v>
      </c>
      <c r="BF17" s="132">
        <f t="shared" ca="1" si="17"/>
        <v>0</v>
      </c>
      <c r="BG17" s="132">
        <f t="shared" ca="1" si="17"/>
        <v>0</v>
      </c>
      <c r="BH17" s="132">
        <f t="shared" ca="1" si="17"/>
        <v>0</v>
      </c>
      <c r="BI17" s="132">
        <f t="shared" ca="1" si="17"/>
        <v>0</v>
      </c>
      <c r="BJ17" s="132">
        <f t="shared" ca="1" si="17"/>
        <v>0</v>
      </c>
      <c r="BK17" s="132">
        <f t="shared" ca="1" si="17"/>
        <v>0</v>
      </c>
      <c r="BL17" s="132">
        <f t="shared" ca="1" si="17"/>
        <v>0</v>
      </c>
      <c r="BM17" s="132">
        <f t="shared" ca="1" si="17"/>
        <v>0</v>
      </c>
      <c r="BN17" s="132">
        <f t="shared" ca="1" si="17"/>
        <v>0</v>
      </c>
      <c r="BO17" s="132">
        <f t="shared" ca="1" si="17"/>
        <v>0</v>
      </c>
      <c r="BP17" s="132">
        <f t="shared" ca="1" si="17"/>
        <v>0</v>
      </c>
      <c r="BQ17" s="132">
        <f t="shared" ca="1" si="17"/>
        <v>0</v>
      </c>
      <c r="BR17" s="132">
        <f t="shared" ca="1" si="17"/>
        <v>0</v>
      </c>
      <c r="BS17" s="132">
        <f t="shared" ca="1" si="17"/>
        <v>0</v>
      </c>
      <c r="BT17" s="132">
        <f t="shared" ca="1" si="17"/>
        <v>0</v>
      </c>
      <c r="BU17" s="132">
        <f t="shared" ca="1" si="17"/>
        <v>0</v>
      </c>
      <c r="BV17" s="132">
        <f t="shared" ca="1" si="17"/>
        <v>0</v>
      </c>
      <c r="BW17" s="132">
        <f t="shared" ca="1" si="17"/>
        <v>0</v>
      </c>
      <c r="BX17" s="132">
        <f t="shared" ca="1" si="17"/>
        <v>0</v>
      </c>
      <c r="BY17" s="132">
        <f t="shared" ref="BY17:CO17" ca="1" si="18">SUM(BY18:BY19)</f>
        <v>0</v>
      </c>
      <c r="BZ17" s="132">
        <f t="shared" ca="1" si="18"/>
        <v>0</v>
      </c>
      <c r="CA17" s="132">
        <f t="shared" ca="1" si="18"/>
        <v>0</v>
      </c>
      <c r="CB17" s="132">
        <f t="shared" ca="1" si="18"/>
        <v>0</v>
      </c>
      <c r="CC17" s="132">
        <f t="shared" ca="1" si="18"/>
        <v>0</v>
      </c>
      <c r="CD17" s="132">
        <f t="shared" ca="1" si="18"/>
        <v>0</v>
      </c>
      <c r="CE17" s="132">
        <f t="shared" ca="1" si="18"/>
        <v>0</v>
      </c>
      <c r="CF17" s="132">
        <f t="shared" ca="1" si="18"/>
        <v>0</v>
      </c>
      <c r="CG17" s="132">
        <f t="shared" ca="1" si="18"/>
        <v>0</v>
      </c>
      <c r="CH17" s="132">
        <f t="shared" ca="1" si="18"/>
        <v>0</v>
      </c>
      <c r="CI17" s="132">
        <f t="shared" ca="1" si="18"/>
        <v>0</v>
      </c>
      <c r="CJ17" s="132">
        <f t="shared" ca="1" si="18"/>
        <v>0</v>
      </c>
      <c r="CK17" s="132">
        <f t="shared" ca="1" si="18"/>
        <v>0</v>
      </c>
      <c r="CL17" s="132">
        <f t="shared" ca="1" si="18"/>
        <v>0</v>
      </c>
      <c r="CM17" s="132">
        <f t="shared" ca="1" si="18"/>
        <v>0</v>
      </c>
      <c r="CN17" s="132">
        <f t="shared" ca="1" si="18"/>
        <v>0</v>
      </c>
      <c r="CO17" s="132">
        <f t="shared" ca="1" si="18"/>
        <v>0</v>
      </c>
    </row>
    <row r="18" spans="1:93" s="132" customFormat="1" ht="15" customHeight="1">
      <c r="A18" s="153"/>
      <c r="B18" s="153"/>
      <c r="C18" s="416" t="s">
        <v>1124</v>
      </c>
      <c r="D18" s="153"/>
      <c r="E18" s="153"/>
      <c r="F18" s="153"/>
      <c r="G18" s="11" t="str">
        <f t="shared" si="4"/>
        <v>тыс. руб.</v>
      </c>
      <c r="H18" s="153"/>
      <c r="I18" s="23">
        <f t="shared" ca="1" si="5"/>
        <v>2771888.3794600694</v>
      </c>
      <c r="J18" s="153"/>
      <c r="K18" s="153"/>
      <c r="L18" s="52">
        <f t="shared" ref="L18:AQ18" si="19">Debt_Drawdown*Flag_Construction</f>
        <v>0</v>
      </c>
      <c r="M18" s="52">
        <f t="shared" ca="1" si="19"/>
        <v>0</v>
      </c>
      <c r="N18" s="52">
        <f t="shared" ca="1" si="19"/>
        <v>0</v>
      </c>
      <c r="O18" s="52">
        <f t="shared" ca="1" si="19"/>
        <v>0</v>
      </c>
      <c r="P18" s="52">
        <f t="shared" ca="1" si="19"/>
        <v>0</v>
      </c>
      <c r="Q18" s="52">
        <f t="shared" ca="1" si="19"/>
        <v>0</v>
      </c>
      <c r="R18" s="52">
        <f t="shared" ca="1" si="19"/>
        <v>0</v>
      </c>
      <c r="S18" s="52">
        <f t="shared" ca="1" si="19"/>
        <v>0</v>
      </c>
      <c r="T18" s="52">
        <f t="shared" ca="1" si="19"/>
        <v>54925.998445192294</v>
      </c>
      <c r="U18" s="52">
        <f t="shared" ca="1" si="19"/>
        <v>186408.95165096477</v>
      </c>
      <c r="V18" s="52">
        <f t="shared" ca="1" si="19"/>
        <v>188245.71483594872</v>
      </c>
      <c r="W18" s="52">
        <f t="shared" ca="1" si="19"/>
        <v>190100.57639532859</v>
      </c>
      <c r="X18" s="52">
        <f t="shared" ca="1" si="19"/>
        <v>367575.48981645482</v>
      </c>
      <c r="Y18" s="52">
        <f t="shared" ca="1" si="19"/>
        <v>371197.36055505282</v>
      </c>
      <c r="Z18" s="52">
        <f t="shared" ca="1" si="19"/>
        <v>374854.91905850585</v>
      </c>
      <c r="AA18" s="52">
        <f t="shared" ca="1" si="19"/>
        <v>378548.51697286987</v>
      </c>
      <c r="AB18" s="52">
        <f t="shared" ca="1" si="19"/>
        <v>660030.85172975156</v>
      </c>
      <c r="AC18" s="52">
        <f t="shared" ca="1" si="19"/>
        <v>0</v>
      </c>
      <c r="AD18" s="52">
        <f t="shared" ca="1" si="19"/>
        <v>0</v>
      </c>
      <c r="AE18" s="52">
        <f t="shared" ca="1" si="19"/>
        <v>0</v>
      </c>
      <c r="AF18" s="52">
        <f t="shared" ca="1" si="19"/>
        <v>0</v>
      </c>
      <c r="AG18" s="52">
        <f t="shared" ca="1" si="19"/>
        <v>0</v>
      </c>
      <c r="AH18" s="52">
        <f t="shared" ca="1" si="19"/>
        <v>0</v>
      </c>
      <c r="AI18" s="52">
        <f t="shared" ca="1" si="19"/>
        <v>0</v>
      </c>
      <c r="AJ18" s="52">
        <f t="shared" ca="1" si="19"/>
        <v>0</v>
      </c>
      <c r="AK18" s="52">
        <f t="shared" ca="1" si="19"/>
        <v>0</v>
      </c>
      <c r="AL18" s="52">
        <f t="shared" ca="1" si="19"/>
        <v>0</v>
      </c>
      <c r="AM18" s="52">
        <f t="shared" ca="1" si="19"/>
        <v>0</v>
      </c>
      <c r="AN18" s="52">
        <f t="shared" ca="1" si="19"/>
        <v>0</v>
      </c>
      <c r="AO18" s="52">
        <f t="shared" ca="1" si="19"/>
        <v>0</v>
      </c>
      <c r="AP18" s="52">
        <f t="shared" ca="1" si="19"/>
        <v>0</v>
      </c>
      <c r="AQ18" s="52">
        <f t="shared" ca="1" si="19"/>
        <v>0</v>
      </c>
      <c r="AR18" s="52">
        <f t="shared" ref="AR18:BW18" ca="1" si="20">Debt_Drawdown*Flag_Construction</f>
        <v>0</v>
      </c>
      <c r="AS18" s="52">
        <f t="shared" ca="1" si="20"/>
        <v>0</v>
      </c>
      <c r="AT18" s="52">
        <f t="shared" ca="1" si="20"/>
        <v>0</v>
      </c>
      <c r="AU18" s="52">
        <f t="shared" ca="1" si="20"/>
        <v>0</v>
      </c>
      <c r="AV18" s="52">
        <f t="shared" ca="1" si="20"/>
        <v>0</v>
      </c>
      <c r="AW18" s="52">
        <f t="shared" ca="1" si="20"/>
        <v>0</v>
      </c>
      <c r="AX18" s="52">
        <f t="shared" ca="1" si="20"/>
        <v>0</v>
      </c>
      <c r="AY18" s="52">
        <f t="shared" ca="1" si="20"/>
        <v>0</v>
      </c>
      <c r="AZ18" s="52">
        <f t="shared" ca="1" si="20"/>
        <v>0</v>
      </c>
      <c r="BA18" s="52">
        <f t="shared" ca="1" si="20"/>
        <v>0</v>
      </c>
      <c r="BB18" s="52">
        <f t="shared" ca="1" si="20"/>
        <v>0</v>
      </c>
      <c r="BC18" s="52">
        <f t="shared" ca="1" si="20"/>
        <v>0</v>
      </c>
      <c r="BD18" s="52">
        <f t="shared" ca="1" si="20"/>
        <v>0</v>
      </c>
      <c r="BE18" s="52">
        <f t="shared" ca="1" si="20"/>
        <v>0</v>
      </c>
      <c r="BF18" s="52">
        <f t="shared" ca="1" si="20"/>
        <v>0</v>
      </c>
      <c r="BG18" s="52">
        <f t="shared" ca="1" si="20"/>
        <v>0</v>
      </c>
      <c r="BH18" s="52">
        <f t="shared" ca="1" si="20"/>
        <v>0</v>
      </c>
      <c r="BI18" s="52">
        <f t="shared" ca="1" si="20"/>
        <v>0</v>
      </c>
      <c r="BJ18" s="52">
        <f t="shared" ca="1" si="20"/>
        <v>0</v>
      </c>
      <c r="BK18" s="52">
        <f t="shared" ca="1" si="20"/>
        <v>0</v>
      </c>
      <c r="BL18" s="52">
        <f t="shared" ca="1" si="20"/>
        <v>0</v>
      </c>
      <c r="BM18" s="52">
        <f t="shared" ca="1" si="20"/>
        <v>0</v>
      </c>
      <c r="BN18" s="52">
        <f t="shared" ca="1" si="20"/>
        <v>0</v>
      </c>
      <c r="BO18" s="52">
        <f t="shared" ca="1" si="20"/>
        <v>0</v>
      </c>
      <c r="BP18" s="52">
        <f t="shared" ca="1" si="20"/>
        <v>0</v>
      </c>
      <c r="BQ18" s="52">
        <f t="shared" ca="1" si="20"/>
        <v>0</v>
      </c>
      <c r="BR18" s="52">
        <f t="shared" ca="1" si="20"/>
        <v>0</v>
      </c>
      <c r="BS18" s="52">
        <f t="shared" ca="1" si="20"/>
        <v>0</v>
      </c>
      <c r="BT18" s="52">
        <f t="shared" ca="1" si="20"/>
        <v>0</v>
      </c>
      <c r="BU18" s="52">
        <f t="shared" ca="1" si="20"/>
        <v>0</v>
      </c>
      <c r="BV18" s="52">
        <f t="shared" ca="1" si="20"/>
        <v>0</v>
      </c>
      <c r="BW18" s="52">
        <f t="shared" ca="1" si="20"/>
        <v>0</v>
      </c>
      <c r="BX18" s="52">
        <f t="shared" ref="BX18:CO18" ca="1" si="21">Debt_Drawdown*Flag_Construction</f>
        <v>0</v>
      </c>
      <c r="BY18" s="52">
        <f t="shared" ca="1" si="21"/>
        <v>0</v>
      </c>
      <c r="BZ18" s="52">
        <f t="shared" ca="1" si="21"/>
        <v>0</v>
      </c>
      <c r="CA18" s="52">
        <f t="shared" ca="1" si="21"/>
        <v>0</v>
      </c>
      <c r="CB18" s="52">
        <f t="shared" ca="1" si="21"/>
        <v>0</v>
      </c>
      <c r="CC18" s="52">
        <f t="shared" ca="1" si="21"/>
        <v>0</v>
      </c>
      <c r="CD18" s="52">
        <f t="shared" ca="1" si="21"/>
        <v>0</v>
      </c>
      <c r="CE18" s="52">
        <f t="shared" ca="1" si="21"/>
        <v>0</v>
      </c>
      <c r="CF18" s="52">
        <f t="shared" ca="1" si="21"/>
        <v>0</v>
      </c>
      <c r="CG18" s="52">
        <f t="shared" ca="1" si="21"/>
        <v>0</v>
      </c>
      <c r="CH18" s="52">
        <f t="shared" ca="1" si="21"/>
        <v>0</v>
      </c>
      <c r="CI18" s="52">
        <f t="shared" ca="1" si="21"/>
        <v>0</v>
      </c>
      <c r="CJ18" s="52">
        <f t="shared" ca="1" si="21"/>
        <v>0</v>
      </c>
      <c r="CK18" s="52">
        <f t="shared" ca="1" si="21"/>
        <v>0</v>
      </c>
      <c r="CL18" s="52">
        <f t="shared" ca="1" si="21"/>
        <v>0</v>
      </c>
      <c r="CM18" s="52">
        <f t="shared" ca="1" si="21"/>
        <v>0</v>
      </c>
      <c r="CN18" s="52">
        <f t="shared" ca="1" si="21"/>
        <v>0</v>
      </c>
      <c r="CO18" s="52">
        <f t="shared" ca="1" si="21"/>
        <v>0</v>
      </c>
    </row>
    <row r="19" spans="1:93" s="132" customFormat="1" ht="15" customHeight="1">
      <c r="A19" s="47"/>
      <c r="B19" s="47"/>
      <c r="C19" s="416" t="s">
        <v>1435</v>
      </c>
      <c r="D19" s="153"/>
      <c r="E19" s="11"/>
      <c r="F19" s="11"/>
      <c r="G19" s="11" t="str">
        <f t="shared" si="4"/>
        <v>тыс. руб.</v>
      </c>
      <c r="H19" s="153"/>
      <c r="I19" s="23">
        <f t="shared" ref="I19:I24" ca="1" si="22">SUM(L19:CO19)</f>
        <v>533689.28401900001</v>
      </c>
      <c r="J19" s="153"/>
      <c r="K19" s="153"/>
      <c r="L19" s="52">
        <f t="shared" ref="L19:AQ19" ca="1" si="23">ROUND(Subord_Drawdown*Flag_Construction,6)</f>
        <v>10115.776706000001</v>
      </c>
      <c r="M19" s="52">
        <f t="shared" ca="1" si="23"/>
        <v>10259.369017999999</v>
      </c>
      <c r="N19" s="52">
        <f t="shared" ca="1" si="23"/>
        <v>10404.999605999999</v>
      </c>
      <c r="O19" s="52">
        <f t="shared" ca="1" si="23"/>
        <v>10552.697404</v>
      </c>
      <c r="P19" s="52">
        <f t="shared" ca="1" si="23"/>
        <v>88745.245311999999</v>
      </c>
      <c r="Q19" s="52">
        <f t="shared" ca="1" si="23"/>
        <v>89619.688294000007</v>
      </c>
      <c r="R19" s="52">
        <f t="shared" ca="1" si="23"/>
        <v>90502.747516999996</v>
      </c>
      <c r="S19" s="52">
        <f t="shared" ca="1" si="23"/>
        <v>91394.507882000005</v>
      </c>
      <c r="T19" s="52">
        <f t="shared" ca="1" si="23"/>
        <v>65019.970534</v>
      </c>
      <c r="U19" s="52">
        <f t="shared" ca="1" si="23"/>
        <v>2040.909165</v>
      </c>
      <c r="V19" s="52">
        <f t="shared" ca="1" si="23"/>
        <v>3303.1237150000002</v>
      </c>
      <c r="W19" s="52">
        <f t="shared" ca="1" si="23"/>
        <v>4555.126816</v>
      </c>
      <c r="X19" s="52">
        <f t="shared" ca="1" si="23"/>
        <v>6346.2741310000001</v>
      </c>
      <c r="Y19" s="52">
        <f t="shared" ca="1" si="23"/>
        <v>8757.801496</v>
      </c>
      <c r="Z19" s="52">
        <f t="shared" ca="1" si="23"/>
        <v>11316.091617</v>
      </c>
      <c r="AA19" s="52">
        <f t="shared" ca="1" si="23"/>
        <v>13802.401747</v>
      </c>
      <c r="AB19" s="52">
        <f t="shared" ca="1" si="23"/>
        <v>16952.553059000002</v>
      </c>
      <c r="AC19" s="52">
        <f t="shared" ca="1" si="23"/>
        <v>0</v>
      </c>
      <c r="AD19" s="52">
        <f t="shared" ca="1" si="23"/>
        <v>0</v>
      </c>
      <c r="AE19" s="52">
        <f t="shared" ca="1" si="23"/>
        <v>0</v>
      </c>
      <c r="AF19" s="52">
        <f t="shared" ca="1" si="23"/>
        <v>0</v>
      </c>
      <c r="AG19" s="52">
        <f t="shared" ca="1" si="23"/>
        <v>0</v>
      </c>
      <c r="AH19" s="52">
        <f t="shared" ca="1" si="23"/>
        <v>0</v>
      </c>
      <c r="AI19" s="52">
        <f t="shared" ca="1" si="23"/>
        <v>0</v>
      </c>
      <c r="AJ19" s="52">
        <f t="shared" ca="1" si="23"/>
        <v>0</v>
      </c>
      <c r="AK19" s="52">
        <f t="shared" ca="1" si="23"/>
        <v>0</v>
      </c>
      <c r="AL19" s="52">
        <f t="shared" ca="1" si="23"/>
        <v>0</v>
      </c>
      <c r="AM19" s="52">
        <f t="shared" ca="1" si="23"/>
        <v>0</v>
      </c>
      <c r="AN19" s="52">
        <f t="shared" ca="1" si="23"/>
        <v>0</v>
      </c>
      <c r="AO19" s="52">
        <f t="shared" ca="1" si="23"/>
        <v>0</v>
      </c>
      <c r="AP19" s="52">
        <f t="shared" ca="1" si="23"/>
        <v>0</v>
      </c>
      <c r="AQ19" s="52">
        <f t="shared" ca="1" si="23"/>
        <v>0</v>
      </c>
      <c r="AR19" s="52">
        <f t="shared" ref="AR19:BW19" ca="1" si="24">ROUND(Subord_Drawdown*Flag_Construction,6)</f>
        <v>0</v>
      </c>
      <c r="AS19" s="52">
        <f t="shared" ca="1" si="24"/>
        <v>0</v>
      </c>
      <c r="AT19" s="52">
        <f t="shared" ca="1" si="24"/>
        <v>0</v>
      </c>
      <c r="AU19" s="52">
        <f t="shared" ca="1" si="24"/>
        <v>0</v>
      </c>
      <c r="AV19" s="52">
        <f t="shared" ca="1" si="24"/>
        <v>0</v>
      </c>
      <c r="AW19" s="52">
        <f t="shared" ca="1" si="24"/>
        <v>0</v>
      </c>
      <c r="AX19" s="52">
        <f t="shared" ca="1" si="24"/>
        <v>0</v>
      </c>
      <c r="AY19" s="52">
        <f t="shared" ca="1" si="24"/>
        <v>0</v>
      </c>
      <c r="AZ19" s="52">
        <f t="shared" ca="1" si="24"/>
        <v>0</v>
      </c>
      <c r="BA19" s="52">
        <f t="shared" ca="1" si="24"/>
        <v>0</v>
      </c>
      <c r="BB19" s="52">
        <f t="shared" ca="1" si="24"/>
        <v>0</v>
      </c>
      <c r="BC19" s="52">
        <f t="shared" ca="1" si="24"/>
        <v>0</v>
      </c>
      <c r="BD19" s="52">
        <f t="shared" ca="1" si="24"/>
        <v>0</v>
      </c>
      <c r="BE19" s="52">
        <f t="shared" ca="1" si="24"/>
        <v>0</v>
      </c>
      <c r="BF19" s="52">
        <f t="shared" ca="1" si="24"/>
        <v>0</v>
      </c>
      <c r="BG19" s="52">
        <f t="shared" ca="1" si="24"/>
        <v>0</v>
      </c>
      <c r="BH19" s="52">
        <f t="shared" ca="1" si="24"/>
        <v>0</v>
      </c>
      <c r="BI19" s="52">
        <f t="shared" ca="1" si="24"/>
        <v>0</v>
      </c>
      <c r="BJ19" s="52">
        <f t="shared" ca="1" si="24"/>
        <v>0</v>
      </c>
      <c r="BK19" s="52">
        <f t="shared" ca="1" si="24"/>
        <v>0</v>
      </c>
      <c r="BL19" s="52">
        <f t="shared" ca="1" si="24"/>
        <v>0</v>
      </c>
      <c r="BM19" s="52">
        <f t="shared" ca="1" si="24"/>
        <v>0</v>
      </c>
      <c r="BN19" s="52">
        <f t="shared" ca="1" si="24"/>
        <v>0</v>
      </c>
      <c r="BO19" s="52">
        <f t="shared" ca="1" si="24"/>
        <v>0</v>
      </c>
      <c r="BP19" s="52">
        <f t="shared" ca="1" si="24"/>
        <v>0</v>
      </c>
      <c r="BQ19" s="52">
        <f t="shared" ca="1" si="24"/>
        <v>0</v>
      </c>
      <c r="BR19" s="52">
        <f t="shared" ca="1" si="24"/>
        <v>0</v>
      </c>
      <c r="BS19" s="52">
        <f t="shared" ca="1" si="24"/>
        <v>0</v>
      </c>
      <c r="BT19" s="52">
        <f t="shared" ca="1" si="24"/>
        <v>0</v>
      </c>
      <c r="BU19" s="52">
        <f t="shared" ca="1" si="24"/>
        <v>0</v>
      </c>
      <c r="BV19" s="52">
        <f t="shared" ca="1" si="24"/>
        <v>0</v>
      </c>
      <c r="BW19" s="52">
        <f t="shared" ca="1" si="24"/>
        <v>0</v>
      </c>
      <c r="BX19" s="52">
        <f t="shared" ref="BX19:CO19" ca="1" si="25">ROUND(Subord_Drawdown*Flag_Construction,6)</f>
        <v>0</v>
      </c>
      <c r="BY19" s="52">
        <f t="shared" ca="1" si="25"/>
        <v>0</v>
      </c>
      <c r="BZ19" s="52">
        <f t="shared" ca="1" si="25"/>
        <v>0</v>
      </c>
      <c r="CA19" s="52">
        <f t="shared" ca="1" si="25"/>
        <v>0</v>
      </c>
      <c r="CB19" s="52">
        <f t="shared" ca="1" si="25"/>
        <v>0</v>
      </c>
      <c r="CC19" s="52">
        <f t="shared" ca="1" si="25"/>
        <v>0</v>
      </c>
      <c r="CD19" s="52">
        <f t="shared" ca="1" si="25"/>
        <v>0</v>
      </c>
      <c r="CE19" s="52">
        <f t="shared" ca="1" si="25"/>
        <v>0</v>
      </c>
      <c r="CF19" s="52">
        <f t="shared" ca="1" si="25"/>
        <v>0</v>
      </c>
      <c r="CG19" s="52">
        <f t="shared" ca="1" si="25"/>
        <v>0</v>
      </c>
      <c r="CH19" s="52">
        <f t="shared" ca="1" si="25"/>
        <v>0</v>
      </c>
      <c r="CI19" s="52">
        <f t="shared" ca="1" si="25"/>
        <v>0</v>
      </c>
      <c r="CJ19" s="52">
        <f t="shared" ca="1" si="25"/>
        <v>0</v>
      </c>
      <c r="CK19" s="52">
        <f t="shared" ca="1" si="25"/>
        <v>0</v>
      </c>
      <c r="CL19" s="52">
        <f t="shared" ca="1" si="25"/>
        <v>0</v>
      </c>
      <c r="CM19" s="52">
        <f t="shared" ca="1" si="25"/>
        <v>0</v>
      </c>
      <c r="CN19" s="52">
        <f t="shared" ca="1" si="25"/>
        <v>0</v>
      </c>
      <c r="CO19" s="52">
        <f t="shared" ca="1" si="25"/>
        <v>0</v>
      </c>
    </row>
    <row r="20" spans="1:93" s="132" customFormat="1" ht="15" customHeight="1">
      <c r="A20" s="47"/>
      <c r="B20" s="47"/>
      <c r="C20" s="415" t="s">
        <v>1125</v>
      </c>
      <c r="D20" s="153"/>
      <c r="E20" s="11"/>
      <c r="F20" s="11"/>
      <c r="G20" s="162" t="str">
        <f t="shared" si="4"/>
        <v>тыс. руб.</v>
      </c>
      <c r="H20" s="153"/>
      <c r="I20" s="176">
        <f t="shared" ca="1" si="22"/>
        <v>0</v>
      </c>
      <c r="J20" s="153"/>
      <c r="K20" s="153"/>
      <c r="L20" s="132">
        <f ca="1">SUM(L21:L24)</f>
        <v>0</v>
      </c>
      <c r="M20" s="132">
        <f t="shared" ref="M20:BX20" ca="1" si="26">SUM(M21:M24)</f>
        <v>0</v>
      </c>
      <c r="N20" s="132">
        <f t="shared" ca="1" si="26"/>
        <v>0</v>
      </c>
      <c r="O20" s="132">
        <f t="shared" ca="1" si="26"/>
        <v>0</v>
      </c>
      <c r="P20" s="132">
        <f t="shared" ca="1" si="26"/>
        <v>0</v>
      </c>
      <c r="Q20" s="132">
        <f t="shared" ca="1" si="26"/>
        <v>0</v>
      </c>
      <c r="R20" s="132">
        <f t="shared" ca="1" si="26"/>
        <v>0</v>
      </c>
      <c r="S20" s="132">
        <f t="shared" ca="1" si="26"/>
        <v>0</v>
      </c>
      <c r="T20" s="132">
        <f t="shared" ca="1" si="26"/>
        <v>0</v>
      </c>
      <c r="U20" s="132">
        <f t="shared" ca="1" si="26"/>
        <v>0</v>
      </c>
      <c r="V20" s="132">
        <f t="shared" ca="1" si="26"/>
        <v>0</v>
      </c>
      <c r="W20" s="132">
        <f t="shared" ca="1" si="26"/>
        <v>0</v>
      </c>
      <c r="X20" s="132">
        <f t="shared" ca="1" si="26"/>
        <v>0</v>
      </c>
      <c r="Y20" s="132">
        <f t="shared" ca="1" si="26"/>
        <v>0</v>
      </c>
      <c r="Z20" s="132">
        <f t="shared" ca="1" si="26"/>
        <v>0</v>
      </c>
      <c r="AA20" s="132">
        <f t="shared" ca="1" si="26"/>
        <v>0</v>
      </c>
      <c r="AB20" s="132">
        <f t="shared" ca="1" si="26"/>
        <v>0</v>
      </c>
      <c r="AC20" s="132">
        <f t="shared" ca="1" si="26"/>
        <v>0</v>
      </c>
      <c r="AD20" s="132">
        <f t="shared" ca="1" si="26"/>
        <v>0</v>
      </c>
      <c r="AE20" s="132">
        <f t="shared" ca="1" si="26"/>
        <v>0</v>
      </c>
      <c r="AF20" s="132">
        <f t="shared" ca="1" si="26"/>
        <v>0</v>
      </c>
      <c r="AG20" s="132">
        <f t="shared" ca="1" si="26"/>
        <v>0</v>
      </c>
      <c r="AH20" s="132">
        <f t="shared" ca="1" si="26"/>
        <v>0</v>
      </c>
      <c r="AI20" s="132">
        <f t="shared" ca="1" si="26"/>
        <v>0</v>
      </c>
      <c r="AJ20" s="132">
        <f t="shared" ca="1" si="26"/>
        <v>0</v>
      </c>
      <c r="AK20" s="132">
        <f t="shared" ca="1" si="26"/>
        <v>0</v>
      </c>
      <c r="AL20" s="132">
        <f t="shared" ca="1" si="26"/>
        <v>0</v>
      </c>
      <c r="AM20" s="132">
        <f t="shared" ca="1" si="26"/>
        <v>0</v>
      </c>
      <c r="AN20" s="132">
        <f t="shared" ca="1" si="26"/>
        <v>0</v>
      </c>
      <c r="AO20" s="132">
        <f t="shared" ca="1" si="26"/>
        <v>0</v>
      </c>
      <c r="AP20" s="132">
        <f t="shared" ca="1" si="26"/>
        <v>0</v>
      </c>
      <c r="AQ20" s="132">
        <f t="shared" ca="1" si="26"/>
        <v>0</v>
      </c>
      <c r="AR20" s="132">
        <f t="shared" ca="1" si="26"/>
        <v>0</v>
      </c>
      <c r="AS20" s="132">
        <f t="shared" ca="1" si="26"/>
        <v>0</v>
      </c>
      <c r="AT20" s="132">
        <f t="shared" ca="1" si="26"/>
        <v>0</v>
      </c>
      <c r="AU20" s="132">
        <f t="shared" ca="1" si="26"/>
        <v>0</v>
      </c>
      <c r="AV20" s="132">
        <f t="shared" ca="1" si="26"/>
        <v>0</v>
      </c>
      <c r="AW20" s="132">
        <f t="shared" ca="1" si="26"/>
        <v>0</v>
      </c>
      <c r="AX20" s="132">
        <f t="shared" ca="1" si="26"/>
        <v>0</v>
      </c>
      <c r="AY20" s="132">
        <f t="shared" ca="1" si="26"/>
        <v>0</v>
      </c>
      <c r="AZ20" s="132">
        <f t="shared" ca="1" si="26"/>
        <v>0</v>
      </c>
      <c r="BA20" s="132">
        <f t="shared" ca="1" si="26"/>
        <v>0</v>
      </c>
      <c r="BB20" s="132">
        <f t="shared" ca="1" si="26"/>
        <v>0</v>
      </c>
      <c r="BC20" s="132">
        <f t="shared" ca="1" si="26"/>
        <v>0</v>
      </c>
      <c r="BD20" s="132">
        <f t="shared" ca="1" si="26"/>
        <v>0</v>
      </c>
      <c r="BE20" s="132">
        <f t="shared" ca="1" si="26"/>
        <v>0</v>
      </c>
      <c r="BF20" s="132">
        <f t="shared" ca="1" si="26"/>
        <v>0</v>
      </c>
      <c r="BG20" s="132">
        <f t="shared" ca="1" si="26"/>
        <v>0</v>
      </c>
      <c r="BH20" s="132">
        <f t="shared" ca="1" si="26"/>
        <v>0</v>
      </c>
      <c r="BI20" s="132">
        <f t="shared" ca="1" si="26"/>
        <v>0</v>
      </c>
      <c r="BJ20" s="132">
        <f t="shared" ca="1" si="26"/>
        <v>0</v>
      </c>
      <c r="BK20" s="132">
        <f t="shared" ca="1" si="26"/>
        <v>0</v>
      </c>
      <c r="BL20" s="132">
        <f t="shared" ca="1" si="26"/>
        <v>0</v>
      </c>
      <c r="BM20" s="132">
        <f t="shared" ca="1" si="26"/>
        <v>0</v>
      </c>
      <c r="BN20" s="132">
        <f t="shared" ca="1" si="26"/>
        <v>0</v>
      </c>
      <c r="BO20" s="132">
        <f t="shared" ca="1" si="26"/>
        <v>0</v>
      </c>
      <c r="BP20" s="132">
        <f t="shared" ca="1" si="26"/>
        <v>0</v>
      </c>
      <c r="BQ20" s="132">
        <f t="shared" ca="1" si="26"/>
        <v>0</v>
      </c>
      <c r="BR20" s="132">
        <f t="shared" ca="1" si="26"/>
        <v>0</v>
      </c>
      <c r="BS20" s="132">
        <f t="shared" ca="1" si="26"/>
        <v>0</v>
      </c>
      <c r="BT20" s="132">
        <f t="shared" ca="1" si="26"/>
        <v>0</v>
      </c>
      <c r="BU20" s="132">
        <f t="shared" ca="1" si="26"/>
        <v>0</v>
      </c>
      <c r="BV20" s="132">
        <f t="shared" ca="1" si="26"/>
        <v>0</v>
      </c>
      <c r="BW20" s="132">
        <f t="shared" ca="1" si="26"/>
        <v>0</v>
      </c>
      <c r="BX20" s="132">
        <f t="shared" ca="1" si="26"/>
        <v>0</v>
      </c>
      <c r="BY20" s="132">
        <f t="shared" ref="BY20:CO20" ca="1" si="27">SUM(BY21:BY24)</f>
        <v>0</v>
      </c>
      <c r="BZ20" s="132">
        <f t="shared" ca="1" si="27"/>
        <v>0</v>
      </c>
      <c r="CA20" s="132">
        <f t="shared" ca="1" si="27"/>
        <v>0</v>
      </c>
      <c r="CB20" s="132">
        <f t="shared" ca="1" si="27"/>
        <v>0</v>
      </c>
      <c r="CC20" s="132">
        <f t="shared" ca="1" si="27"/>
        <v>0</v>
      </c>
      <c r="CD20" s="132">
        <f t="shared" ca="1" si="27"/>
        <v>0</v>
      </c>
      <c r="CE20" s="132">
        <f t="shared" ca="1" si="27"/>
        <v>0</v>
      </c>
      <c r="CF20" s="132">
        <f t="shared" ca="1" si="27"/>
        <v>0</v>
      </c>
      <c r="CG20" s="132">
        <f t="shared" ca="1" si="27"/>
        <v>0</v>
      </c>
      <c r="CH20" s="132">
        <f t="shared" ca="1" si="27"/>
        <v>0</v>
      </c>
      <c r="CI20" s="132">
        <f t="shared" ca="1" si="27"/>
        <v>0</v>
      </c>
      <c r="CJ20" s="132">
        <f t="shared" ca="1" si="27"/>
        <v>0</v>
      </c>
      <c r="CK20" s="132">
        <f t="shared" ca="1" si="27"/>
        <v>0</v>
      </c>
      <c r="CL20" s="132">
        <f t="shared" ca="1" si="27"/>
        <v>0</v>
      </c>
      <c r="CM20" s="132">
        <f t="shared" ca="1" si="27"/>
        <v>0</v>
      </c>
      <c r="CN20" s="132">
        <f t="shared" ca="1" si="27"/>
        <v>0</v>
      </c>
      <c r="CO20" s="132">
        <f t="shared" ca="1" si="27"/>
        <v>0</v>
      </c>
    </row>
    <row r="21" spans="1:93" s="132" customFormat="1" ht="15" customHeight="1">
      <c r="A21" s="47"/>
      <c r="B21" s="47"/>
      <c r="C21" s="416" t="s">
        <v>303</v>
      </c>
      <c r="D21" s="153"/>
      <c r="E21" s="11"/>
      <c r="F21" s="11"/>
      <c r="G21" s="11" t="str">
        <f t="shared" si="4"/>
        <v>тыс. руб.</v>
      </c>
      <c r="H21" s="153"/>
      <c r="I21" s="23">
        <f t="shared" ca="1" si="22"/>
        <v>0</v>
      </c>
      <c r="J21" s="153"/>
      <c r="K21" s="153"/>
      <c r="L21" s="52">
        <f ca="1">-(Расчеты!L981+Расчеты!L982)*Flag_Construction</f>
        <v>0</v>
      </c>
      <c r="M21" s="52">
        <f ca="1">-(Расчеты!M981+Расчеты!M982)*Flag_Construction</f>
        <v>0</v>
      </c>
      <c r="N21" s="52">
        <f ca="1">-(Расчеты!N981+Расчеты!N982)*Flag_Construction</f>
        <v>0</v>
      </c>
      <c r="O21" s="52">
        <f ca="1">-(Расчеты!O981+Расчеты!O982)*Flag_Construction</f>
        <v>0</v>
      </c>
      <c r="P21" s="52">
        <f ca="1">-(Расчеты!P981+Расчеты!P982)*Flag_Construction</f>
        <v>0</v>
      </c>
      <c r="Q21" s="52">
        <f ca="1">-(Расчеты!Q981+Расчеты!Q982)*Flag_Construction</f>
        <v>0</v>
      </c>
      <c r="R21" s="52">
        <f ca="1">-(Расчеты!R981+Расчеты!R982)*Flag_Construction</f>
        <v>0</v>
      </c>
      <c r="S21" s="52">
        <f ca="1">-(Расчеты!S981+Расчеты!S982)*Flag_Construction</f>
        <v>0</v>
      </c>
      <c r="T21" s="52">
        <f ca="1">-(Расчеты!T981+Расчеты!T982)*Flag_Construction</f>
        <v>0</v>
      </c>
      <c r="U21" s="52">
        <f ca="1">-(Расчеты!U981+Расчеты!U982)*Flag_Construction</f>
        <v>0</v>
      </c>
      <c r="V21" s="52">
        <f ca="1">-(Расчеты!V981+Расчеты!V982)*Flag_Construction</f>
        <v>0</v>
      </c>
      <c r="W21" s="52">
        <f ca="1">-(Расчеты!W981+Расчеты!W982)*Flag_Construction</f>
        <v>0</v>
      </c>
      <c r="X21" s="52">
        <f ca="1">-(Расчеты!X981+Расчеты!X982)*Flag_Construction</f>
        <v>0</v>
      </c>
      <c r="Y21" s="52">
        <f ca="1">-(Расчеты!Y981+Расчеты!Y982)*Flag_Construction</f>
        <v>0</v>
      </c>
      <c r="Z21" s="52">
        <f ca="1">-(Расчеты!Z981+Расчеты!Z982)*Flag_Construction</f>
        <v>0</v>
      </c>
      <c r="AA21" s="52">
        <f ca="1">-(Расчеты!AA981+Расчеты!AA982)*Flag_Construction</f>
        <v>0</v>
      </c>
      <c r="AB21" s="52">
        <f ca="1">-(Расчеты!AB981+Расчеты!AB982)*Flag_Construction</f>
        <v>0</v>
      </c>
      <c r="AC21" s="52">
        <f ca="1">-(Расчеты!AC981+Расчеты!AC982)*Flag_Construction</f>
        <v>0</v>
      </c>
      <c r="AD21" s="52">
        <f ca="1">-(Расчеты!AD981+Расчеты!AD982)*Flag_Construction</f>
        <v>0</v>
      </c>
      <c r="AE21" s="52">
        <f ca="1">-(Расчеты!AE981+Расчеты!AE982)*Flag_Construction</f>
        <v>0</v>
      </c>
      <c r="AF21" s="52">
        <f ca="1">-(Расчеты!AF981+Расчеты!AF982)*Flag_Construction</f>
        <v>0</v>
      </c>
      <c r="AG21" s="52">
        <f ca="1">-(Расчеты!AG981+Расчеты!AG982)*Flag_Construction</f>
        <v>0</v>
      </c>
      <c r="AH21" s="52">
        <f ca="1">-(Расчеты!AH981+Расчеты!AH982)*Flag_Construction</f>
        <v>0</v>
      </c>
      <c r="AI21" s="52">
        <f ca="1">-(Расчеты!AI981+Расчеты!AI982)*Flag_Construction</f>
        <v>0</v>
      </c>
      <c r="AJ21" s="52">
        <f ca="1">-(Расчеты!AJ981+Расчеты!AJ982)*Flag_Construction</f>
        <v>0</v>
      </c>
      <c r="AK21" s="52">
        <f ca="1">-(Расчеты!AK981+Расчеты!AK982)*Flag_Construction</f>
        <v>0</v>
      </c>
      <c r="AL21" s="52">
        <f ca="1">-(Расчеты!AL981+Расчеты!AL982)*Flag_Construction</f>
        <v>0</v>
      </c>
      <c r="AM21" s="52">
        <f ca="1">-(Расчеты!AM981+Расчеты!AM982)*Flag_Construction</f>
        <v>0</v>
      </c>
      <c r="AN21" s="52">
        <f ca="1">-(Расчеты!AN981+Расчеты!AN982)*Flag_Construction</f>
        <v>0</v>
      </c>
      <c r="AO21" s="52">
        <f ca="1">-(Расчеты!AO981+Расчеты!AO982)*Flag_Construction</f>
        <v>0</v>
      </c>
      <c r="AP21" s="52">
        <f ca="1">-(Расчеты!AP981+Расчеты!AP982)*Flag_Construction</f>
        <v>0</v>
      </c>
      <c r="AQ21" s="52">
        <f ca="1">-(Расчеты!AQ981+Расчеты!AQ982)*Flag_Construction</f>
        <v>0</v>
      </c>
      <c r="AR21" s="52">
        <f ca="1">-(Расчеты!AR981+Расчеты!AR982)*Flag_Construction</f>
        <v>0</v>
      </c>
      <c r="AS21" s="52">
        <f ca="1">-(Расчеты!AS981+Расчеты!AS982)*Flag_Construction</f>
        <v>0</v>
      </c>
      <c r="AT21" s="52">
        <f ca="1">-(Расчеты!AT981+Расчеты!AT982)*Flag_Construction</f>
        <v>0</v>
      </c>
      <c r="AU21" s="52">
        <f ca="1">-(Расчеты!AU981+Расчеты!AU982)*Flag_Construction</f>
        <v>0</v>
      </c>
      <c r="AV21" s="52">
        <f ca="1">-(Расчеты!AV981+Расчеты!AV982)*Flag_Construction</f>
        <v>0</v>
      </c>
      <c r="AW21" s="52">
        <f ca="1">-(Расчеты!AW981+Расчеты!AW982)*Flag_Construction</f>
        <v>0</v>
      </c>
      <c r="AX21" s="52">
        <f ca="1">-(Расчеты!AX981+Расчеты!AX982)*Flag_Construction</f>
        <v>0</v>
      </c>
      <c r="AY21" s="52">
        <f ca="1">-(Расчеты!AY981+Расчеты!AY982)*Flag_Construction</f>
        <v>0</v>
      </c>
      <c r="AZ21" s="52">
        <f ca="1">-(Расчеты!AZ981+Расчеты!AZ982)*Flag_Construction</f>
        <v>0</v>
      </c>
      <c r="BA21" s="52">
        <f ca="1">-(Расчеты!BA981+Расчеты!BA982)*Flag_Construction</f>
        <v>0</v>
      </c>
      <c r="BB21" s="52">
        <f ca="1">-(Расчеты!BB981+Расчеты!BB982)*Flag_Construction</f>
        <v>0</v>
      </c>
      <c r="BC21" s="52">
        <f ca="1">-(Расчеты!BC981+Расчеты!BC982)*Flag_Construction</f>
        <v>0</v>
      </c>
      <c r="BD21" s="52">
        <f ca="1">-(Расчеты!BD981+Расчеты!BD982)*Flag_Construction</f>
        <v>0</v>
      </c>
      <c r="BE21" s="52">
        <f ca="1">-(Расчеты!BE981+Расчеты!BE982)*Flag_Construction</f>
        <v>0</v>
      </c>
      <c r="BF21" s="52">
        <f ca="1">-(Расчеты!BF981+Расчеты!BF982)*Flag_Construction</f>
        <v>0</v>
      </c>
      <c r="BG21" s="52">
        <f ca="1">-(Расчеты!BG981+Расчеты!BG982)*Flag_Construction</f>
        <v>0</v>
      </c>
      <c r="BH21" s="52">
        <f ca="1">-(Расчеты!BH981+Расчеты!BH982)*Flag_Construction</f>
        <v>0</v>
      </c>
      <c r="BI21" s="52">
        <f ca="1">-(Расчеты!BI981+Расчеты!BI982)*Flag_Construction</f>
        <v>0</v>
      </c>
      <c r="BJ21" s="52">
        <f ca="1">-(Расчеты!BJ981+Расчеты!BJ982)*Flag_Construction</f>
        <v>0</v>
      </c>
      <c r="BK21" s="52">
        <f ca="1">-(Расчеты!BK981+Расчеты!BK982)*Flag_Construction</f>
        <v>0</v>
      </c>
      <c r="BL21" s="52">
        <f ca="1">-(Расчеты!BL981+Расчеты!BL982)*Flag_Construction</f>
        <v>0</v>
      </c>
      <c r="BM21" s="52">
        <f ca="1">-(Расчеты!BM981+Расчеты!BM982)*Flag_Construction</f>
        <v>0</v>
      </c>
      <c r="BN21" s="52">
        <f ca="1">-(Расчеты!BN981+Расчеты!BN982)*Flag_Construction</f>
        <v>0</v>
      </c>
      <c r="BO21" s="52">
        <f ca="1">-(Расчеты!BO981+Расчеты!BO982)*Flag_Construction</f>
        <v>0</v>
      </c>
      <c r="BP21" s="52">
        <f ca="1">-(Расчеты!BP981+Расчеты!BP982)*Flag_Construction</f>
        <v>0</v>
      </c>
      <c r="BQ21" s="52">
        <f ca="1">-(Расчеты!BQ981+Расчеты!BQ982)*Flag_Construction</f>
        <v>0</v>
      </c>
      <c r="BR21" s="52">
        <f ca="1">-(Расчеты!BR981+Расчеты!BR982)*Flag_Construction</f>
        <v>0</v>
      </c>
      <c r="BS21" s="52">
        <f ca="1">-(Расчеты!BS981+Расчеты!BS982)*Flag_Construction</f>
        <v>0</v>
      </c>
      <c r="BT21" s="52">
        <f ca="1">-(Расчеты!BT981+Расчеты!BT982)*Flag_Construction</f>
        <v>0</v>
      </c>
      <c r="BU21" s="52">
        <f ca="1">-(Расчеты!BU981+Расчеты!BU982)*Flag_Construction</f>
        <v>0</v>
      </c>
      <c r="BV21" s="52">
        <f ca="1">-(Расчеты!BV981+Расчеты!BV982)*Flag_Construction</f>
        <v>0</v>
      </c>
      <c r="BW21" s="52">
        <f ca="1">-(Расчеты!BW981+Расчеты!BW982)*Flag_Construction</f>
        <v>0</v>
      </c>
      <c r="BX21" s="52">
        <f ca="1">-(Расчеты!BX981+Расчеты!BX982)*Flag_Construction</f>
        <v>0</v>
      </c>
      <c r="BY21" s="52">
        <f ca="1">-(Расчеты!BY981+Расчеты!BY982)*Flag_Construction</f>
        <v>0</v>
      </c>
      <c r="BZ21" s="52">
        <f ca="1">-(Расчеты!BZ981+Расчеты!BZ982)*Flag_Construction</f>
        <v>0</v>
      </c>
      <c r="CA21" s="52">
        <f ca="1">-(Расчеты!CA981+Расчеты!CA982)*Flag_Construction</f>
        <v>0</v>
      </c>
      <c r="CB21" s="52">
        <f ca="1">-(Расчеты!CB981+Расчеты!CB982)*Flag_Construction</f>
        <v>0</v>
      </c>
      <c r="CC21" s="52">
        <f ca="1">-(Расчеты!CC981+Расчеты!CC982)*Flag_Construction</f>
        <v>0</v>
      </c>
      <c r="CD21" s="52">
        <f ca="1">-(Расчеты!CD981+Расчеты!CD982)*Flag_Construction</f>
        <v>0</v>
      </c>
      <c r="CE21" s="52">
        <f ca="1">-(Расчеты!CE981+Расчеты!CE982)*Flag_Construction</f>
        <v>0</v>
      </c>
      <c r="CF21" s="52">
        <f ca="1">-(Расчеты!CF981+Расчеты!CF982)*Flag_Construction</f>
        <v>0</v>
      </c>
      <c r="CG21" s="52">
        <f ca="1">-(Расчеты!CG981+Расчеты!CG982)*Flag_Construction</f>
        <v>0</v>
      </c>
      <c r="CH21" s="52">
        <f ca="1">-(Расчеты!CH981+Расчеты!CH982)*Flag_Construction</f>
        <v>0</v>
      </c>
      <c r="CI21" s="52">
        <f ca="1">-(Расчеты!CI981+Расчеты!CI982)*Flag_Construction</f>
        <v>0</v>
      </c>
      <c r="CJ21" s="52">
        <f ca="1">-(Расчеты!CJ981+Расчеты!CJ982)*Flag_Construction</f>
        <v>0</v>
      </c>
      <c r="CK21" s="52">
        <f ca="1">-(Расчеты!CK981+Расчеты!CK982)*Flag_Construction</f>
        <v>0</v>
      </c>
      <c r="CL21" s="52">
        <f ca="1">-(Расчеты!CL981+Расчеты!CL982)*Flag_Construction</f>
        <v>0</v>
      </c>
      <c r="CM21" s="52">
        <f ca="1">-(Расчеты!CM981+Расчеты!CM982)*Flag_Construction</f>
        <v>0</v>
      </c>
      <c r="CN21" s="52">
        <f ca="1">-(Расчеты!CN981+Расчеты!CN982)*Flag_Construction</f>
        <v>0</v>
      </c>
      <c r="CO21" s="52">
        <f ca="1">-(Расчеты!CO981+Расчеты!CO982)*Flag_Construction</f>
        <v>0</v>
      </c>
    </row>
    <row r="22" spans="1:93" s="132" customFormat="1" ht="15" customHeight="1">
      <c r="A22" s="47"/>
      <c r="B22" s="47"/>
      <c r="C22" s="416" t="s">
        <v>1193</v>
      </c>
      <c r="D22" s="153"/>
      <c r="E22" s="11"/>
      <c r="F22" s="11"/>
      <c r="G22" s="11" t="str">
        <f t="shared" si="4"/>
        <v>тыс. руб.</v>
      </c>
      <c r="H22" s="153"/>
      <c r="I22" s="23">
        <f t="shared" ca="1" si="22"/>
        <v>0</v>
      </c>
      <c r="J22" s="153"/>
      <c r="K22" s="153"/>
      <c r="L22" s="52">
        <f t="shared" ref="L22:AQ22" ca="1" si="28">(Revenue+COGS_PL+SGA_PL+Profits_Tax+Dividends+VAT_Paid+VAT_Paid_e)*Flag_Construction</f>
        <v>0</v>
      </c>
      <c r="M22" s="52">
        <f t="shared" ca="1" si="28"/>
        <v>0</v>
      </c>
      <c r="N22" s="52">
        <f t="shared" ca="1" si="28"/>
        <v>0</v>
      </c>
      <c r="O22" s="52">
        <f t="shared" ca="1" si="28"/>
        <v>0</v>
      </c>
      <c r="P22" s="52">
        <f t="shared" ca="1" si="28"/>
        <v>0</v>
      </c>
      <c r="Q22" s="52">
        <f t="shared" ca="1" si="28"/>
        <v>0</v>
      </c>
      <c r="R22" s="52">
        <f t="shared" ca="1" si="28"/>
        <v>0</v>
      </c>
      <c r="S22" s="52">
        <f t="shared" ca="1" si="28"/>
        <v>0</v>
      </c>
      <c r="T22" s="52">
        <f t="shared" ca="1" si="28"/>
        <v>0</v>
      </c>
      <c r="U22" s="52">
        <f t="shared" ca="1" si="28"/>
        <v>0</v>
      </c>
      <c r="V22" s="52">
        <f t="shared" ca="1" si="28"/>
        <v>0</v>
      </c>
      <c r="W22" s="52">
        <f t="shared" ca="1" si="28"/>
        <v>0</v>
      </c>
      <c r="X22" s="52">
        <f t="shared" ca="1" si="28"/>
        <v>0</v>
      </c>
      <c r="Y22" s="52">
        <f t="shared" ca="1" si="28"/>
        <v>0</v>
      </c>
      <c r="Z22" s="52">
        <f t="shared" ca="1" si="28"/>
        <v>0</v>
      </c>
      <c r="AA22" s="52">
        <f t="shared" ca="1" si="28"/>
        <v>0</v>
      </c>
      <c r="AB22" s="52">
        <f t="shared" ca="1" si="28"/>
        <v>0</v>
      </c>
      <c r="AC22" s="52">
        <f t="shared" ca="1" si="28"/>
        <v>0</v>
      </c>
      <c r="AD22" s="52">
        <f t="shared" ca="1" si="28"/>
        <v>0</v>
      </c>
      <c r="AE22" s="52">
        <f t="shared" ca="1" si="28"/>
        <v>0</v>
      </c>
      <c r="AF22" s="52">
        <f t="shared" ca="1" si="28"/>
        <v>0</v>
      </c>
      <c r="AG22" s="52">
        <f t="shared" ca="1" si="28"/>
        <v>0</v>
      </c>
      <c r="AH22" s="52">
        <f t="shared" ca="1" si="28"/>
        <v>0</v>
      </c>
      <c r="AI22" s="52">
        <f t="shared" ca="1" si="28"/>
        <v>0</v>
      </c>
      <c r="AJ22" s="52">
        <f t="shared" ca="1" si="28"/>
        <v>0</v>
      </c>
      <c r="AK22" s="52">
        <f t="shared" ca="1" si="28"/>
        <v>0</v>
      </c>
      <c r="AL22" s="52">
        <f t="shared" ca="1" si="28"/>
        <v>0</v>
      </c>
      <c r="AM22" s="52">
        <f t="shared" ca="1" si="28"/>
        <v>0</v>
      </c>
      <c r="AN22" s="52">
        <f t="shared" ca="1" si="28"/>
        <v>0</v>
      </c>
      <c r="AO22" s="52">
        <f t="shared" ca="1" si="28"/>
        <v>0</v>
      </c>
      <c r="AP22" s="52">
        <f t="shared" ca="1" si="28"/>
        <v>0</v>
      </c>
      <c r="AQ22" s="52">
        <f t="shared" ca="1" si="28"/>
        <v>0</v>
      </c>
      <c r="AR22" s="52">
        <f t="shared" ref="AR22:BW22" ca="1" si="29">(Revenue+COGS_PL+SGA_PL+Profits_Tax+Dividends+VAT_Paid+VAT_Paid_e)*Flag_Construction</f>
        <v>0</v>
      </c>
      <c r="AS22" s="52">
        <f t="shared" ca="1" si="29"/>
        <v>0</v>
      </c>
      <c r="AT22" s="52">
        <f t="shared" ca="1" si="29"/>
        <v>0</v>
      </c>
      <c r="AU22" s="52">
        <f t="shared" ca="1" si="29"/>
        <v>0</v>
      </c>
      <c r="AV22" s="52">
        <f t="shared" ca="1" si="29"/>
        <v>0</v>
      </c>
      <c r="AW22" s="52">
        <f t="shared" ca="1" si="29"/>
        <v>0</v>
      </c>
      <c r="AX22" s="52">
        <f t="shared" ca="1" si="29"/>
        <v>0</v>
      </c>
      <c r="AY22" s="52">
        <f t="shared" ca="1" si="29"/>
        <v>0</v>
      </c>
      <c r="AZ22" s="52">
        <f t="shared" ca="1" si="29"/>
        <v>0</v>
      </c>
      <c r="BA22" s="52">
        <f t="shared" ca="1" si="29"/>
        <v>0</v>
      </c>
      <c r="BB22" s="52">
        <f t="shared" ca="1" si="29"/>
        <v>0</v>
      </c>
      <c r="BC22" s="52">
        <f t="shared" ca="1" si="29"/>
        <v>0</v>
      </c>
      <c r="BD22" s="52">
        <f t="shared" ca="1" si="29"/>
        <v>0</v>
      </c>
      <c r="BE22" s="52">
        <f t="shared" ca="1" si="29"/>
        <v>0</v>
      </c>
      <c r="BF22" s="52">
        <f t="shared" ca="1" si="29"/>
        <v>0</v>
      </c>
      <c r="BG22" s="52">
        <f t="shared" ca="1" si="29"/>
        <v>0</v>
      </c>
      <c r="BH22" s="52">
        <f t="shared" ca="1" si="29"/>
        <v>0</v>
      </c>
      <c r="BI22" s="52">
        <f t="shared" ca="1" si="29"/>
        <v>0</v>
      </c>
      <c r="BJ22" s="52">
        <f t="shared" ca="1" si="29"/>
        <v>0</v>
      </c>
      <c r="BK22" s="52">
        <f t="shared" ca="1" si="29"/>
        <v>0</v>
      </c>
      <c r="BL22" s="52">
        <f t="shared" ca="1" si="29"/>
        <v>0</v>
      </c>
      <c r="BM22" s="52">
        <f t="shared" ca="1" si="29"/>
        <v>0</v>
      </c>
      <c r="BN22" s="52">
        <f t="shared" ca="1" si="29"/>
        <v>0</v>
      </c>
      <c r="BO22" s="52">
        <f t="shared" ca="1" si="29"/>
        <v>0</v>
      </c>
      <c r="BP22" s="52">
        <f t="shared" ca="1" si="29"/>
        <v>0</v>
      </c>
      <c r="BQ22" s="52">
        <f t="shared" ca="1" si="29"/>
        <v>0</v>
      </c>
      <c r="BR22" s="52">
        <f t="shared" ca="1" si="29"/>
        <v>0</v>
      </c>
      <c r="BS22" s="52">
        <f t="shared" ca="1" si="29"/>
        <v>0</v>
      </c>
      <c r="BT22" s="52">
        <f t="shared" ca="1" si="29"/>
        <v>0</v>
      </c>
      <c r="BU22" s="52">
        <f t="shared" ca="1" si="29"/>
        <v>0</v>
      </c>
      <c r="BV22" s="52">
        <f t="shared" ca="1" si="29"/>
        <v>0</v>
      </c>
      <c r="BW22" s="52">
        <f t="shared" ca="1" si="29"/>
        <v>0</v>
      </c>
      <c r="BX22" s="52">
        <f t="shared" ref="BX22:CO22" ca="1" si="30">(Revenue+COGS_PL+SGA_PL+Profits_Tax+Dividends+VAT_Paid+VAT_Paid_e)*Flag_Construction</f>
        <v>0</v>
      </c>
      <c r="BY22" s="52">
        <f t="shared" ca="1" si="30"/>
        <v>0</v>
      </c>
      <c r="BZ22" s="52">
        <f t="shared" ca="1" si="30"/>
        <v>0</v>
      </c>
      <c r="CA22" s="52">
        <f t="shared" ca="1" si="30"/>
        <v>0</v>
      </c>
      <c r="CB22" s="52">
        <f t="shared" ca="1" si="30"/>
        <v>0</v>
      </c>
      <c r="CC22" s="52">
        <f t="shared" ca="1" si="30"/>
        <v>0</v>
      </c>
      <c r="CD22" s="52">
        <f t="shared" ca="1" si="30"/>
        <v>0</v>
      </c>
      <c r="CE22" s="52">
        <f t="shared" ca="1" si="30"/>
        <v>0</v>
      </c>
      <c r="CF22" s="52">
        <f t="shared" ca="1" si="30"/>
        <v>0</v>
      </c>
      <c r="CG22" s="52">
        <f t="shared" ca="1" si="30"/>
        <v>0</v>
      </c>
      <c r="CH22" s="52">
        <f t="shared" ca="1" si="30"/>
        <v>0</v>
      </c>
      <c r="CI22" s="52">
        <f t="shared" ca="1" si="30"/>
        <v>0</v>
      </c>
      <c r="CJ22" s="52">
        <f t="shared" ca="1" si="30"/>
        <v>0</v>
      </c>
      <c r="CK22" s="52">
        <f t="shared" ca="1" si="30"/>
        <v>0</v>
      </c>
      <c r="CL22" s="52">
        <f t="shared" ca="1" si="30"/>
        <v>0</v>
      </c>
      <c r="CM22" s="52">
        <f t="shared" ca="1" si="30"/>
        <v>0</v>
      </c>
      <c r="CN22" s="52">
        <f t="shared" ca="1" si="30"/>
        <v>0</v>
      </c>
      <c r="CO22" s="52">
        <f t="shared" ca="1" si="30"/>
        <v>0</v>
      </c>
    </row>
    <row r="23" spans="1:93" s="132" customFormat="1" ht="15" customHeight="1">
      <c r="A23" s="47"/>
      <c r="B23" s="47"/>
      <c r="C23" s="416" t="s">
        <v>1134</v>
      </c>
      <c r="D23" s="153"/>
      <c r="E23" s="11"/>
      <c r="F23" s="11"/>
      <c r="G23" s="11" t="str">
        <f t="shared" si="4"/>
        <v>тыс. руб.</v>
      </c>
      <c r="H23" s="153"/>
      <c r="I23" s="23">
        <f t="shared" ca="1" si="22"/>
        <v>0</v>
      </c>
      <c r="J23" s="153"/>
      <c r="K23" s="153"/>
      <c r="L23" s="52">
        <f t="shared" ref="L23:AQ23" ca="1" si="31">MAX(WC_Cash_Flow*Flag_Construction,0)</f>
        <v>0</v>
      </c>
      <c r="M23" s="52">
        <f t="shared" ca="1" si="31"/>
        <v>0</v>
      </c>
      <c r="N23" s="52">
        <f t="shared" ca="1" si="31"/>
        <v>0</v>
      </c>
      <c r="O23" s="52">
        <f t="shared" ca="1" si="31"/>
        <v>0</v>
      </c>
      <c r="P23" s="52">
        <f t="shared" ca="1" si="31"/>
        <v>0</v>
      </c>
      <c r="Q23" s="52">
        <f t="shared" ca="1" si="31"/>
        <v>0</v>
      </c>
      <c r="R23" s="52">
        <f t="shared" ca="1" si="31"/>
        <v>0</v>
      </c>
      <c r="S23" s="52">
        <f t="shared" ca="1" si="31"/>
        <v>0</v>
      </c>
      <c r="T23" s="52">
        <f t="shared" ca="1" si="31"/>
        <v>0</v>
      </c>
      <c r="U23" s="52">
        <f t="shared" ca="1" si="31"/>
        <v>0</v>
      </c>
      <c r="V23" s="52">
        <f t="shared" ca="1" si="31"/>
        <v>0</v>
      </c>
      <c r="W23" s="52">
        <f t="shared" ca="1" si="31"/>
        <v>0</v>
      </c>
      <c r="X23" s="52">
        <f t="shared" ca="1" si="31"/>
        <v>0</v>
      </c>
      <c r="Y23" s="52">
        <f t="shared" ca="1" si="31"/>
        <v>0</v>
      </c>
      <c r="Z23" s="52">
        <f t="shared" ca="1" si="31"/>
        <v>0</v>
      </c>
      <c r="AA23" s="52">
        <f t="shared" ca="1" si="31"/>
        <v>0</v>
      </c>
      <c r="AB23" s="52">
        <f t="shared" ca="1" si="31"/>
        <v>0</v>
      </c>
      <c r="AC23" s="52">
        <f t="shared" ca="1" si="31"/>
        <v>0</v>
      </c>
      <c r="AD23" s="52">
        <f t="shared" ca="1" si="31"/>
        <v>0</v>
      </c>
      <c r="AE23" s="52">
        <f t="shared" ca="1" si="31"/>
        <v>0</v>
      </c>
      <c r="AF23" s="52">
        <f t="shared" ca="1" si="31"/>
        <v>0</v>
      </c>
      <c r="AG23" s="52">
        <f t="shared" ca="1" si="31"/>
        <v>0</v>
      </c>
      <c r="AH23" s="52">
        <f t="shared" ca="1" si="31"/>
        <v>0</v>
      </c>
      <c r="AI23" s="52">
        <f t="shared" ca="1" si="31"/>
        <v>0</v>
      </c>
      <c r="AJ23" s="52">
        <f t="shared" ca="1" si="31"/>
        <v>0</v>
      </c>
      <c r="AK23" s="52">
        <f t="shared" ca="1" si="31"/>
        <v>0</v>
      </c>
      <c r="AL23" s="52">
        <f t="shared" ca="1" si="31"/>
        <v>0</v>
      </c>
      <c r="AM23" s="52">
        <f t="shared" ca="1" si="31"/>
        <v>0</v>
      </c>
      <c r="AN23" s="52">
        <f t="shared" ca="1" si="31"/>
        <v>0</v>
      </c>
      <c r="AO23" s="52">
        <f t="shared" ca="1" si="31"/>
        <v>0</v>
      </c>
      <c r="AP23" s="52">
        <f t="shared" ca="1" si="31"/>
        <v>0</v>
      </c>
      <c r="AQ23" s="52">
        <f t="shared" ca="1" si="31"/>
        <v>0</v>
      </c>
      <c r="AR23" s="52">
        <f t="shared" ref="AR23:BW23" ca="1" si="32">MAX(WC_Cash_Flow*Flag_Construction,0)</f>
        <v>0</v>
      </c>
      <c r="AS23" s="52">
        <f t="shared" ca="1" si="32"/>
        <v>0</v>
      </c>
      <c r="AT23" s="52">
        <f t="shared" ca="1" si="32"/>
        <v>0</v>
      </c>
      <c r="AU23" s="52">
        <f t="shared" ca="1" si="32"/>
        <v>0</v>
      </c>
      <c r="AV23" s="52">
        <f t="shared" ca="1" si="32"/>
        <v>0</v>
      </c>
      <c r="AW23" s="52">
        <f t="shared" ca="1" si="32"/>
        <v>0</v>
      </c>
      <c r="AX23" s="52">
        <f t="shared" ca="1" si="32"/>
        <v>0</v>
      </c>
      <c r="AY23" s="52">
        <f t="shared" ca="1" si="32"/>
        <v>0</v>
      </c>
      <c r="AZ23" s="52">
        <f t="shared" ca="1" si="32"/>
        <v>0</v>
      </c>
      <c r="BA23" s="52">
        <f t="shared" ca="1" si="32"/>
        <v>0</v>
      </c>
      <c r="BB23" s="52">
        <f t="shared" ca="1" si="32"/>
        <v>0</v>
      </c>
      <c r="BC23" s="52">
        <f t="shared" ca="1" si="32"/>
        <v>0</v>
      </c>
      <c r="BD23" s="52">
        <f t="shared" ca="1" si="32"/>
        <v>0</v>
      </c>
      <c r="BE23" s="52">
        <f t="shared" ca="1" si="32"/>
        <v>0</v>
      </c>
      <c r="BF23" s="52">
        <f t="shared" ca="1" si="32"/>
        <v>0</v>
      </c>
      <c r="BG23" s="52">
        <f t="shared" ca="1" si="32"/>
        <v>0</v>
      </c>
      <c r="BH23" s="52">
        <f t="shared" ca="1" si="32"/>
        <v>0</v>
      </c>
      <c r="BI23" s="52">
        <f t="shared" ca="1" si="32"/>
        <v>0</v>
      </c>
      <c r="BJ23" s="52">
        <f t="shared" ca="1" si="32"/>
        <v>0</v>
      </c>
      <c r="BK23" s="52">
        <f t="shared" ca="1" si="32"/>
        <v>0</v>
      </c>
      <c r="BL23" s="52">
        <f t="shared" ca="1" si="32"/>
        <v>0</v>
      </c>
      <c r="BM23" s="52">
        <f t="shared" ca="1" si="32"/>
        <v>0</v>
      </c>
      <c r="BN23" s="52">
        <f t="shared" ca="1" si="32"/>
        <v>0</v>
      </c>
      <c r="BO23" s="52">
        <f t="shared" ca="1" si="32"/>
        <v>0</v>
      </c>
      <c r="BP23" s="52">
        <f t="shared" ca="1" si="32"/>
        <v>0</v>
      </c>
      <c r="BQ23" s="52">
        <f t="shared" ca="1" si="32"/>
        <v>0</v>
      </c>
      <c r="BR23" s="52">
        <f t="shared" ca="1" si="32"/>
        <v>0</v>
      </c>
      <c r="BS23" s="52">
        <f t="shared" ca="1" si="32"/>
        <v>0</v>
      </c>
      <c r="BT23" s="52">
        <f t="shared" ca="1" si="32"/>
        <v>0</v>
      </c>
      <c r="BU23" s="52">
        <f t="shared" ca="1" si="32"/>
        <v>0</v>
      </c>
      <c r="BV23" s="52">
        <f t="shared" ca="1" si="32"/>
        <v>0</v>
      </c>
      <c r="BW23" s="52">
        <f t="shared" ca="1" si="32"/>
        <v>0</v>
      </c>
      <c r="BX23" s="52">
        <f t="shared" ref="BX23:CO23" ca="1" si="33">MAX(WC_Cash_Flow*Flag_Construction,0)</f>
        <v>0</v>
      </c>
      <c r="BY23" s="52">
        <f t="shared" ca="1" si="33"/>
        <v>0</v>
      </c>
      <c r="BZ23" s="52">
        <f t="shared" ca="1" si="33"/>
        <v>0</v>
      </c>
      <c r="CA23" s="52">
        <f t="shared" ca="1" si="33"/>
        <v>0</v>
      </c>
      <c r="CB23" s="52">
        <f t="shared" ca="1" si="33"/>
        <v>0</v>
      </c>
      <c r="CC23" s="52">
        <f t="shared" ca="1" si="33"/>
        <v>0</v>
      </c>
      <c r="CD23" s="52">
        <f t="shared" ca="1" si="33"/>
        <v>0</v>
      </c>
      <c r="CE23" s="52">
        <f t="shared" ca="1" si="33"/>
        <v>0</v>
      </c>
      <c r="CF23" s="52">
        <f t="shared" ca="1" si="33"/>
        <v>0</v>
      </c>
      <c r="CG23" s="52">
        <f t="shared" ca="1" si="33"/>
        <v>0</v>
      </c>
      <c r="CH23" s="52">
        <f t="shared" ca="1" si="33"/>
        <v>0</v>
      </c>
      <c r="CI23" s="52">
        <f t="shared" ca="1" si="33"/>
        <v>0</v>
      </c>
      <c r="CJ23" s="52">
        <f t="shared" ca="1" si="33"/>
        <v>0</v>
      </c>
      <c r="CK23" s="52">
        <f t="shared" ca="1" si="33"/>
        <v>0</v>
      </c>
      <c r="CL23" s="52">
        <f t="shared" ca="1" si="33"/>
        <v>0</v>
      </c>
      <c r="CM23" s="52">
        <f t="shared" ca="1" si="33"/>
        <v>0</v>
      </c>
      <c r="CN23" s="52">
        <f t="shared" ca="1" si="33"/>
        <v>0</v>
      </c>
      <c r="CO23" s="52">
        <f t="shared" ca="1" si="33"/>
        <v>0</v>
      </c>
    </row>
    <row r="24" spans="1:93" s="132" customFormat="1" ht="15" customHeight="1">
      <c r="A24" s="47"/>
      <c r="B24" s="47"/>
      <c r="C24" s="416" t="s">
        <v>1127</v>
      </c>
      <c r="D24" s="153"/>
      <c r="E24" s="11"/>
      <c r="F24" s="11"/>
      <c r="G24" s="11" t="str">
        <f t="shared" si="4"/>
        <v>тыс. руб.</v>
      </c>
      <c r="H24" s="153"/>
      <c r="I24" s="23">
        <f t="shared" ca="1" si="22"/>
        <v>0</v>
      </c>
      <c r="J24" s="153"/>
      <c r="K24" s="153"/>
      <c r="L24" s="52">
        <f t="shared" ref="L24:AQ24" ca="1" si="34">-MIN((Cash_EoP-Cash_BoP)*Flag_Construction,0)</f>
        <v>0</v>
      </c>
      <c r="M24" s="52">
        <f t="shared" ca="1" si="34"/>
        <v>0</v>
      </c>
      <c r="N24" s="52">
        <f t="shared" ca="1" si="34"/>
        <v>0</v>
      </c>
      <c r="O24" s="52">
        <f t="shared" ca="1" si="34"/>
        <v>0</v>
      </c>
      <c r="P24" s="52">
        <f t="shared" ca="1" si="34"/>
        <v>0</v>
      </c>
      <c r="Q24" s="52">
        <f t="shared" ca="1" si="34"/>
        <v>0</v>
      </c>
      <c r="R24" s="52">
        <f t="shared" ca="1" si="34"/>
        <v>0</v>
      </c>
      <c r="S24" s="52">
        <f t="shared" ca="1" si="34"/>
        <v>0</v>
      </c>
      <c r="T24" s="52">
        <f t="shared" ca="1" si="34"/>
        <v>0</v>
      </c>
      <c r="U24" s="52">
        <f t="shared" ca="1" si="34"/>
        <v>0</v>
      </c>
      <c r="V24" s="52">
        <f t="shared" ca="1" si="34"/>
        <v>0</v>
      </c>
      <c r="W24" s="52">
        <f t="shared" ca="1" si="34"/>
        <v>0</v>
      </c>
      <c r="X24" s="52">
        <f t="shared" ca="1" si="34"/>
        <v>0</v>
      </c>
      <c r="Y24" s="52">
        <f t="shared" ca="1" si="34"/>
        <v>0</v>
      </c>
      <c r="Z24" s="52">
        <f t="shared" ca="1" si="34"/>
        <v>0</v>
      </c>
      <c r="AA24" s="52">
        <f t="shared" ca="1" si="34"/>
        <v>0</v>
      </c>
      <c r="AB24" s="52">
        <f t="shared" ca="1" si="34"/>
        <v>0</v>
      </c>
      <c r="AC24" s="52">
        <f t="shared" ca="1" si="34"/>
        <v>0</v>
      </c>
      <c r="AD24" s="52">
        <f t="shared" ca="1" si="34"/>
        <v>0</v>
      </c>
      <c r="AE24" s="52">
        <f t="shared" ca="1" si="34"/>
        <v>0</v>
      </c>
      <c r="AF24" s="52">
        <f t="shared" ca="1" si="34"/>
        <v>0</v>
      </c>
      <c r="AG24" s="52">
        <f t="shared" ca="1" si="34"/>
        <v>0</v>
      </c>
      <c r="AH24" s="52">
        <f t="shared" ca="1" si="34"/>
        <v>0</v>
      </c>
      <c r="AI24" s="52">
        <f t="shared" ca="1" si="34"/>
        <v>0</v>
      </c>
      <c r="AJ24" s="52">
        <f t="shared" ca="1" si="34"/>
        <v>0</v>
      </c>
      <c r="AK24" s="52">
        <f t="shared" ca="1" si="34"/>
        <v>0</v>
      </c>
      <c r="AL24" s="52">
        <f t="shared" ca="1" si="34"/>
        <v>0</v>
      </c>
      <c r="AM24" s="52">
        <f t="shared" ca="1" si="34"/>
        <v>0</v>
      </c>
      <c r="AN24" s="52">
        <f t="shared" ca="1" si="34"/>
        <v>0</v>
      </c>
      <c r="AO24" s="52">
        <f t="shared" ca="1" si="34"/>
        <v>0</v>
      </c>
      <c r="AP24" s="52">
        <f t="shared" ca="1" si="34"/>
        <v>0</v>
      </c>
      <c r="AQ24" s="52">
        <f t="shared" ca="1" si="34"/>
        <v>0</v>
      </c>
      <c r="AR24" s="52">
        <f t="shared" ref="AR24:BW24" ca="1" si="35">-MIN((Cash_EoP-Cash_BoP)*Flag_Construction,0)</f>
        <v>0</v>
      </c>
      <c r="AS24" s="52">
        <f t="shared" ca="1" si="35"/>
        <v>0</v>
      </c>
      <c r="AT24" s="52">
        <f t="shared" ca="1" si="35"/>
        <v>0</v>
      </c>
      <c r="AU24" s="52">
        <f t="shared" ca="1" si="35"/>
        <v>0</v>
      </c>
      <c r="AV24" s="52">
        <f t="shared" ca="1" si="35"/>
        <v>0</v>
      </c>
      <c r="AW24" s="52">
        <f t="shared" ca="1" si="35"/>
        <v>0</v>
      </c>
      <c r="AX24" s="52">
        <f t="shared" ca="1" si="35"/>
        <v>0</v>
      </c>
      <c r="AY24" s="52">
        <f t="shared" ca="1" si="35"/>
        <v>0</v>
      </c>
      <c r="AZ24" s="52">
        <f t="shared" ca="1" si="35"/>
        <v>0</v>
      </c>
      <c r="BA24" s="52">
        <f t="shared" ca="1" si="35"/>
        <v>0</v>
      </c>
      <c r="BB24" s="52">
        <f t="shared" ca="1" si="35"/>
        <v>0</v>
      </c>
      <c r="BC24" s="52">
        <f t="shared" ca="1" si="35"/>
        <v>0</v>
      </c>
      <c r="BD24" s="52">
        <f t="shared" ca="1" si="35"/>
        <v>0</v>
      </c>
      <c r="BE24" s="52">
        <f t="shared" ca="1" si="35"/>
        <v>0</v>
      </c>
      <c r="BF24" s="52">
        <f t="shared" ca="1" si="35"/>
        <v>0</v>
      </c>
      <c r="BG24" s="52">
        <f t="shared" ca="1" si="35"/>
        <v>0</v>
      </c>
      <c r="BH24" s="52">
        <f t="shared" ca="1" si="35"/>
        <v>0</v>
      </c>
      <c r="BI24" s="52">
        <f t="shared" ca="1" si="35"/>
        <v>0</v>
      </c>
      <c r="BJ24" s="52">
        <f t="shared" ca="1" si="35"/>
        <v>0</v>
      </c>
      <c r="BK24" s="52">
        <f t="shared" ca="1" si="35"/>
        <v>0</v>
      </c>
      <c r="BL24" s="52">
        <f t="shared" ca="1" si="35"/>
        <v>0</v>
      </c>
      <c r="BM24" s="52">
        <f t="shared" ca="1" si="35"/>
        <v>0</v>
      </c>
      <c r="BN24" s="52">
        <f t="shared" ca="1" si="35"/>
        <v>0</v>
      </c>
      <c r="BO24" s="52">
        <f t="shared" ca="1" si="35"/>
        <v>0</v>
      </c>
      <c r="BP24" s="52">
        <f t="shared" ca="1" si="35"/>
        <v>0</v>
      </c>
      <c r="BQ24" s="52">
        <f t="shared" ca="1" si="35"/>
        <v>0</v>
      </c>
      <c r="BR24" s="52">
        <f t="shared" ca="1" si="35"/>
        <v>0</v>
      </c>
      <c r="BS24" s="52">
        <f t="shared" ca="1" si="35"/>
        <v>0</v>
      </c>
      <c r="BT24" s="52">
        <f t="shared" ca="1" si="35"/>
        <v>0</v>
      </c>
      <c r="BU24" s="52">
        <f t="shared" ca="1" si="35"/>
        <v>0</v>
      </c>
      <c r="BV24" s="52">
        <f t="shared" ca="1" si="35"/>
        <v>0</v>
      </c>
      <c r="BW24" s="52">
        <f t="shared" ca="1" si="35"/>
        <v>0</v>
      </c>
      <c r="BX24" s="52">
        <f t="shared" ref="BX24:CO24" ca="1" si="36">-MIN((Cash_EoP-Cash_BoP)*Flag_Construction,0)</f>
        <v>0</v>
      </c>
      <c r="BY24" s="52">
        <f t="shared" ca="1" si="36"/>
        <v>0</v>
      </c>
      <c r="BZ24" s="52">
        <f t="shared" ca="1" si="36"/>
        <v>0</v>
      </c>
      <c r="CA24" s="52">
        <f t="shared" ca="1" si="36"/>
        <v>0</v>
      </c>
      <c r="CB24" s="52">
        <f t="shared" ca="1" si="36"/>
        <v>0</v>
      </c>
      <c r="CC24" s="52">
        <f t="shared" ca="1" si="36"/>
        <v>0</v>
      </c>
      <c r="CD24" s="52">
        <f t="shared" ca="1" si="36"/>
        <v>0</v>
      </c>
      <c r="CE24" s="52">
        <f t="shared" ca="1" si="36"/>
        <v>0</v>
      </c>
      <c r="CF24" s="52">
        <f t="shared" ca="1" si="36"/>
        <v>0</v>
      </c>
      <c r="CG24" s="52">
        <f t="shared" ca="1" si="36"/>
        <v>0</v>
      </c>
      <c r="CH24" s="52">
        <f t="shared" ca="1" si="36"/>
        <v>0</v>
      </c>
      <c r="CI24" s="52">
        <f t="shared" ca="1" si="36"/>
        <v>0</v>
      </c>
      <c r="CJ24" s="52">
        <f t="shared" ca="1" si="36"/>
        <v>0</v>
      </c>
      <c r="CK24" s="52">
        <f t="shared" ca="1" si="36"/>
        <v>0</v>
      </c>
      <c r="CL24" s="52">
        <f t="shared" ca="1" si="36"/>
        <v>0</v>
      </c>
      <c r="CM24" s="52">
        <f t="shared" ca="1" si="36"/>
        <v>0</v>
      </c>
      <c r="CN24" s="52">
        <f t="shared" ca="1" si="36"/>
        <v>0</v>
      </c>
      <c r="CO24" s="52">
        <f t="shared" ca="1" si="36"/>
        <v>0</v>
      </c>
    </row>
    <row r="25" spans="1:93" customFormat="1" ht="15">
      <c r="A25" s="10"/>
      <c r="B25" s="10"/>
      <c r="C25" s="17"/>
      <c r="D25" s="10"/>
      <c r="E25" s="106"/>
      <c r="F25" s="10"/>
      <c r="G25" s="134"/>
      <c r="H25" s="10"/>
      <c r="I25" s="153"/>
      <c r="J25" s="10"/>
      <c r="K25" s="10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</row>
    <row r="26" spans="1:93" ht="14.25">
      <c r="A26" s="10"/>
      <c r="B26" s="10"/>
      <c r="C26" s="413" t="s">
        <v>1142</v>
      </c>
      <c r="D26" s="24"/>
      <c r="E26" s="24"/>
      <c r="F26" s="24"/>
      <c r="G26" s="457" t="s">
        <v>26</v>
      </c>
      <c r="H26" s="24"/>
      <c r="I26" s="413">
        <f ca="1">SUM(L26:CO26)</f>
        <v>3839266.9474980696</v>
      </c>
      <c r="J26" s="24"/>
      <c r="K26" s="24"/>
      <c r="L26" s="413">
        <f ca="1">SUM(L13,L17,L20)</f>
        <v>20231.553412000001</v>
      </c>
      <c r="M26" s="413">
        <f t="shared" ref="M26:BX26" ca="1" si="37">SUM(M13,M17,M20)</f>
        <v>20518.738035999999</v>
      </c>
      <c r="N26" s="413">
        <f t="shared" ca="1" si="37"/>
        <v>20809.999211999999</v>
      </c>
      <c r="O26" s="413">
        <f t="shared" ca="1" si="37"/>
        <v>21105.394808000001</v>
      </c>
      <c r="P26" s="413">
        <f t="shared" ca="1" si="37"/>
        <v>177490.490624</v>
      </c>
      <c r="Q26" s="413">
        <f t="shared" ca="1" si="37"/>
        <v>179239.37658800001</v>
      </c>
      <c r="R26" s="413">
        <f t="shared" ca="1" si="37"/>
        <v>181005.49503399999</v>
      </c>
      <c r="S26" s="413">
        <f t="shared" ca="1" si="37"/>
        <v>182789.01576400001</v>
      </c>
      <c r="T26" s="413">
        <f t="shared" ca="1" si="37"/>
        <v>184965.93951319228</v>
      </c>
      <c r="U26" s="413">
        <f t="shared" ca="1" si="37"/>
        <v>190490.76998096475</v>
      </c>
      <c r="V26" s="413">
        <f t="shared" ca="1" si="37"/>
        <v>194851.96226594871</v>
      </c>
      <c r="W26" s="413">
        <f t="shared" ca="1" si="37"/>
        <v>199210.8300273286</v>
      </c>
      <c r="X26" s="413">
        <f t="shared" ca="1" si="37"/>
        <v>380268.03807845479</v>
      </c>
      <c r="Y26" s="413">
        <f t="shared" ca="1" si="37"/>
        <v>388712.96354705282</v>
      </c>
      <c r="Z26" s="413">
        <f t="shared" ca="1" si="37"/>
        <v>397487.10229250585</v>
      </c>
      <c r="AA26" s="413">
        <f t="shared" ca="1" si="37"/>
        <v>406153.32046686986</v>
      </c>
      <c r="AB26" s="413">
        <f t="shared" ca="1" si="37"/>
        <v>693935.95784775168</v>
      </c>
      <c r="AC26" s="413">
        <f t="shared" ca="1" si="37"/>
        <v>0</v>
      </c>
      <c r="AD26" s="413">
        <f t="shared" ca="1" si="37"/>
        <v>0</v>
      </c>
      <c r="AE26" s="413">
        <f t="shared" ca="1" si="37"/>
        <v>0</v>
      </c>
      <c r="AF26" s="413">
        <f t="shared" ca="1" si="37"/>
        <v>0</v>
      </c>
      <c r="AG26" s="413">
        <f t="shared" ca="1" si="37"/>
        <v>0</v>
      </c>
      <c r="AH26" s="413">
        <f t="shared" ca="1" si="37"/>
        <v>0</v>
      </c>
      <c r="AI26" s="413">
        <f t="shared" ca="1" si="37"/>
        <v>0</v>
      </c>
      <c r="AJ26" s="413">
        <f t="shared" ca="1" si="37"/>
        <v>0</v>
      </c>
      <c r="AK26" s="413">
        <f t="shared" ca="1" si="37"/>
        <v>0</v>
      </c>
      <c r="AL26" s="413">
        <f t="shared" ca="1" si="37"/>
        <v>0</v>
      </c>
      <c r="AM26" s="413">
        <f t="shared" ca="1" si="37"/>
        <v>0</v>
      </c>
      <c r="AN26" s="413">
        <f t="shared" ca="1" si="37"/>
        <v>0</v>
      </c>
      <c r="AO26" s="413">
        <f t="shared" ca="1" si="37"/>
        <v>0</v>
      </c>
      <c r="AP26" s="413">
        <f t="shared" ca="1" si="37"/>
        <v>0</v>
      </c>
      <c r="AQ26" s="413">
        <f t="shared" ca="1" si="37"/>
        <v>0</v>
      </c>
      <c r="AR26" s="413">
        <f t="shared" ca="1" si="37"/>
        <v>0</v>
      </c>
      <c r="AS26" s="413">
        <f t="shared" ca="1" si="37"/>
        <v>0</v>
      </c>
      <c r="AT26" s="413">
        <f t="shared" ca="1" si="37"/>
        <v>0</v>
      </c>
      <c r="AU26" s="413">
        <f t="shared" ca="1" si="37"/>
        <v>0</v>
      </c>
      <c r="AV26" s="413">
        <f t="shared" ca="1" si="37"/>
        <v>0</v>
      </c>
      <c r="AW26" s="413">
        <f t="shared" ca="1" si="37"/>
        <v>0</v>
      </c>
      <c r="AX26" s="413">
        <f t="shared" ca="1" si="37"/>
        <v>0</v>
      </c>
      <c r="AY26" s="413">
        <f t="shared" ca="1" si="37"/>
        <v>0</v>
      </c>
      <c r="AZ26" s="413">
        <f t="shared" ca="1" si="37"/>
        <v>0</v>
      </c>
      <c r="BA26" s="413">
        <f t="shared" ca="1" si="37"/>
        <v>0</v>
      </c>
      <c r="BB26" s="413">
        <f t="shared" ca="1" si="37"/>
        <v>0</v>
      </c>
      <c r="BC26" s="413">
        <f t="shared" ca="1" si="37"/>
        <v>0</v>
      </c>
      <c r="BD26" s="413">
        <f t="shared" ca="1" si="37"/>
        <v>0</v>
      </c>
      <c r="BE26" s="413">
        <f t="shared" ca="1" si="37"/>
        <v>0</v>
      </c>
      <c r="BF26" s="413">
        <f t="shared" ca="1" si="37"/>
        <v>0</v>
      </c>
      <c r="BG26" s="413">
        <f t="shared" ca="1" si="37"/>
        <v>0</v>
      </c>
      <c r="BH26" s="413">
        <f t="shared" ca="1" si="37"/>
        <v>0</v>
      </c>
      <c r="BI26" s="413">
        <f t="shared" ca="1" si="37"/>
        <v>0</v>
      </c>
      <c r="BJ26" s="413">
        <f t="shared" ca="1" si="37"/>
        <v>0</v>
      </c>
      <c r="BK26" s="413">
        <f t="shared" ca="1" si="37"/>
        <v>0</v>
      </c>
      <c r="BL26" s="413">
        <f t="shared" ca="1" si="37"/>
        <v>0</v>
      </c>
      <c r="BM26" s="413">
        <f t="shared" ca="1" si="37"/>
        <v>0</v>
      </c>
      <c r="BN26" s="413">
        <f t="shared" ca="1" si="37"/>
        <v>0</v>
      </c>
      <c r="BO26" s="413">
        <f t="shared" ca="1" si="37"/>
        <v>0</v>
      </c>
      <c r="BP26" s="413">
        <f t="shared" ca="1" si="37"/>
        <v>0</v>
      </c>
      <c r="BQ26" s="413">
        <f t="shared" ca="1" si="37"/>
        <v>0</v>
      </c>
      <c r="BR26" s="413">
        <f t="shared" ca="1" si="37"/>
        <v>0</v>
      </c>
      <c r="BS26" s="413">
        <f t="shared" ca="1" si="37"/>
        <v>0</v>
      </c>
      <c r="BT26" s="413">
        <f t="shared" ca="1" si="37"/>
        <v>0</v>
      </c>
      <c r="BU26" s="413">
        <f t="shared" ca="1" si="37"/>
        <v>0</v>
      </c>
      <c r="BV26" s="413">
        <f t="shared" ca="1" si="37"/>
        <v>0</v>
      </c>
      <c r="BW26" s="413">
        <f t="shared" ca="1" si="37"/>
        <v>0</v>
      </c>
      <c r="BX26" s="413">
        <f t="shared" ca="1" si="37"/>
        <v>0</v>
      </c>
      <c r="BY26" s="413">
        <f t="shared" ref="BY26:CO26" ca="1" si="38">SUM(BY13,BY17,BY20)</f>
        <v>0</v>
      </c>
      <c r="BZ26" s="413">
        <f t="shared" ca="1" si="38"/>
        <v>0</v>
      </c>
      <c r="CA26" s="413">
        <f t="shared" ca="1" si="38"/>
        <v>0</v>
      </c>
      <c r="CB26" s="413">
        <f t="shared" ca="1" si="38"/>
        <v>0</v>
      </c>
      <c r="CC26" s="413">
        <f t="shared" ca="1" si="38"/>
        <v>0</v>
      </c>
      <c r="CD26" s="413">
        <f t="shared" ca="1" si="38"/>
        <v>0</v>
      </c>
      <c r="CE26" s="413">
        <f t="shared" ca="1" si="38"/>
        <v>0</v>
      </c>
      <c r="CF26" s="413">
        <f t="shared" ca="1" si="38"/>
        <v>0</v>
      </c>
      <c r="CG26" s="413">
        <f t="shared" ca="1" si="38"/>
        <v>0</v>
      </c>
      <c r="CH26" s="413">
        <f t="shared" ca="1" si="38"/>
        <v>0</v>
      </c>
      <c r="CI26" s="413">
        <f t="shared" ca="1" si="38"/>
        <v>0</v>
      </c>
      <c r="CJ26" s="413">
        <f t="shared" ca="1" si="38"/>
        <v>0</v>
      </c>
      <c r="CK26" s="413">
        <f t="shared" ca="1" si="38"/>
        <v>0</v>
      </c>
      <c r="CL26" s="413">
        <f t="shared" ca="1" si="38"/>
        <v>0</v>
      </c>
      <c r="CM26" s="413">
        <f t="shared" ca="1" si="38"/>
        <v>0</v>
      </c>
      <c r="CN26" s="413">
        <f t="shared" ca="1" si="38"/>
        <v>0</v>
      </c>
      <c r="CO26" s="413">
        <f t="shared" ca="1" si="38"/>
        <v>0</v>
      </c>
    </row>
    <row r="27" spans="1:93" s="52" customFormat="1" ht="15" customHeight="1">
      <c r="A27" s="153"/>
      <c r="B27" s="153"/>
      <c r="C27" s="153" t="s">
        <v>1137</v>
      </c>
      <c r="D27" s="153"/>
      <c r="E27" s="153"/>
      <c r="F27" s="153"/>
      <c r="G27" s="179" t="s">
        <v>28</v>
      </c>
      <c r="H27" s="153"/>
      <c r="I27" s="419">
        <f ca="1">1-I28</f>
        <v>1</v>
      </c>
      <c r="J27" s="153"/>
      <c r="K27" s="153"/>
      <c r="L27" s="420">
        <f t="shared" ref="L27:AQ27" si="39">IF(Flag_Construction,1-L28,-1)</f>
        <v>1</v>
      </c>
      <c r="M27" s="420">
        <f t="shared" ca="1" si="39"/>
        <v>1</v>
      </c>
      <c r="N27" s="420">
        <f t="shared" ca="1" si="39"/>
        <v>1</v>
      </c>
      <c r="O27" s="420">
        <f t="shared" ca="1" si="39"/>
        <v>1</v>
      </c>
      <c r="P27" s="420">
        <f t="shared" ca="1" si="39"/>
        <v>1</v>
      </c>
      <c r="Q27" s="420">
        <f t="shared" ca="1" si="39"/>
        <v>1</v>
      </c>
      <c r="R27" s="420">
        <f t="shared" ca="1" si="39"/>
        <v>1</v>
      </c>
      <c r="S27" s="420">
        <f t="shared" ca="1" si="39"/>
        <v>1</v>
      </c>
      <c r="T27" s="420">
        <f t="shared" ca="1" si="39"/>
        <v>1</v>
      </c>
      <c r="U27" s="420">
        <f t="shared" ca="1" si="39"/>
        <v>1</v>
      </c>
      <c r="V27" s="420">
        <f t="shared" ca="1" si="39"/>
        <v>1</v>
      </c>
      <c r="W27" s="420">
        <f t="shared" ca="1" si="39"/>
        <v>1</v>
      </c>
      <c r="X27" s="420">
        <f t="shared" ca="1" si="39"/>
        <v>1</v>
      </c>
      <c r="Y27" s="420">
        <f t="shared" ca="1" si="39"/>
        <v>1</v>
      </c>
      <c r="Z27" s="420">
        <f t="shared" ca="1" si="39"/>
        <v>1</v>
      </c>
      <c r="AA27" s="420">
        <f t="shared" ca="1" si="39"/>
        <v>1</v>
      </c>
      <c r="AB27" s="420">
        <f t="shared" ca="1" si="39"/>
        <v>1</v>
      </c>
      <c r="AC27" s="420">
        <f t="shared" si="39"/>
        <v>-1</v>
      </c>
      <c r="AD27" s="420">
        <f t="shared" si="39"/>
        <v>-1</v>
      </c>
      <c r="AE27" s="420">
        <f t="shared" si="39"/>
        <v>-1</v>
      </c>
      <c r="AF27" s="420">
        <f t="shared" si="39"/>
        <v>-1</v>
      </c>
      <c r="AG27" s="420">
        <f t="shared" si="39"/>
        <v>-1</v>
      </c>
      <c r="AH27" s="420">
        <f t="shared" si="39"/>
        <v>-1</v>
      </c>
      <c r="AI27" s="420">
        <f t="shared" si="39"/>
        <v>-1</v>
      </c>
      <c r="AJ27" s="420">
        <f t="shared" si="39"/>
        <v>-1</v>
      </c>
      <c r="AK27" s="420">
        <f t="shared" si="39"/>
        <v>-1</v>
      </c>
      <c r="AL27" s="420">
        <f t="shared" si="39"/>
        <v>-1</v>
      </c>
      <c r="AM27" s="420">
        <f t="shared" si="39"/>
        <v>-1</v>
      </c>
      <c r="AN27" s="420">
        <f t="shared" si="39"/>
        <v>-1</v>
      </c>
      <c r="AO27" s="420">
        <f t="shared" si="39"/>
        <v>-1</v>
      </c>
      <c r="AP27" s="420">
        <f t="shared" si="39"/>
        <v>-1</v>
      </c>
      <c r="AQ27" s="420">
        <f t="shared" si="39"/>
        <v>-1</v>
      </c>
      <c r="AR27" s="420">
        <f t="shared" ref="AR27:BW27" si="40">IF(Flag_Construction,1-AR28,-1)</f>
        <v>-1</v>
      </c>
      <c r="AS27" s="420">
        <f t="shared" si="40"/>
        <v>-1</v>
      </c>
      <c r="AT27" s="420">
        <f t="shared" si="40"/>
        <v>-1</v>
      </c>
      <c r="AU27" s="420">
        <f t="shared" si="40"/>
        <v>-1</v>
      </c>
      <c r="AV27" s="420">
        <f t="shared" si="40"/>
        <v>-1</v>
      </c>
      <c r="AW27" s="420">
        <f t="shared" si="40"/>
        <v>-1</v>
      </c>
      <c r="AX27" s="420">
        <f t="shared" si="40"/>
        <v>-1</v>
      </c>
      <c r="AY27" s="420">
        <f t="shared" si="40"/>
        <v>-1</v>
      </c>
      <c r="AZ27" s="420">
        <f t="shared" si="40"/>
        <v>-1</v>
      </c>
      <c r="BA27" s="420">
        <f t="shared" si="40"/>
        <v>-1</v>
      </c>
      <c r="BB27" s="420">
        <f t="shared" si="40"/>
        <v>-1</v>
      </c>
      <c r="BC27" s="420">
        <f t="shared" si="40"/>
        <v>-1</v>
      </c>
      <c r="BD27" s="420">
        <f t="shared" si="40"/>
        <v>-1</v>
      </c>
      <c r="BE27" s="420">
        <f t="shared" si="40"/>
        <v>-1</v>
      </c>
      <c r="BF27" s="420">
        <f t="shared" si="40"/>
        <v>-1</v>
      </c>
      <c r="BG27" s="420">
        <f t="shared" si="40"/>
        <v>-1</v>
      </c>
      <c r="BH27" s="420">
        <f t="shared" si="40"/>
        <v>-1</v>
      </c>
      <c r="BI27" s="420">
        <f t="shared" si="40"/>
        <v>-1</v>
      </c>
      <c r="BJ27" s="420">
        <f t="shared" si="40"/>
        <v>-1</v>
      </c>
      <c r="BK27" s="420">
        <f t="shared" si="40"/>
        <v>-1</v>
      </c>
      <c r="BL27" s="420">
        <f t="shared" si="40"/>
        <v>-1</v>
      </c>
      <c r="BM27" s="420">
        <f t="shared" si="40"/>
        <v>-1</v>
      </c>
      <c r="BN27" s="420">
        <f t="shared" si="40"/>
        <v>-1</v>
      </c>
      <c r="BO27" s="420">
        <f t="shared" si="40"/>
        <v>-1</v>
      </c>
      <c r="BP27" s="420">
        <f t="shared" si="40"/>
        <v>-1</v>
      </c>
      <c r="BQ27" s="420">
        <f t="shared" si="40"/>
        <v>-1</v>
      </c>
      <c r="BR27" s="420">
        <f t="shared" si="40"/>
        <v>-1</v>
      </c>
      <c r="BS27" s="420">
        <f t="shared" si="40"/>
        <v>-1</v>
      </c>
      <c r="BT27" s="420">
        <f t="shared" si="40"/>
        <v>-1</v>
      </c>
      <c r="BU27" s="420">
        <f t="shared" si="40"/>
        <v>-1</v>
      </c>
      <c r="BV27" s="420">
        <f t="shared" si="40"/>
        <v>-1</v>
      </c>
      <c r="BW27" s="420">
        <f t="shared" si="40"/>
        <v>-1</v>
      </c>
      <c r="BX27" s="420">
        <f t="shared" ref="BX27:CO27" si="41">IF(Flag_Construction,1-BX28,-1)</f>
        <v>-1</v>
      </c>
      <c r="BY27" s="420">
        <f t="shared" si="41"/>
        <v>-1</v>
      </c>
      <c r="BZ27" s="420">
        <f t="shared" si="41"/>
        <v>-1</v>
      </c>
      <c r="CA27" s="420">
        <f t="shared" si="41"/>
        <v>-1</v>
      </c>
      <c r="CB27" s="420">
        <f t="shared" si="41"/>
        <v>-1</v>
      </c>
      <c r="CC27" s="420">
        <f t="shared" si="41"/>
        <v>-1</v>
      </c>
      <c r="CD27" s="420">
        <f t="shared" si="41"/>
        <v>-1</v>
      </c>
      <c r="CE27" s="420">
        <f t="shared" si="41"/>
        <v>-1</v>
      </c>
      <c r="CF27" s="420">
        <f t="shared" si="41"/>
        <v>-1</v>
      </c>
      <c r="CG27" s="420">
        <f t="shared" si="41"/>
        <v>-1</v>
      </c>
      <c r="CH27" s="420">
        <f t="shared" si="41"/>
        <v>-1</v>
      </c>
      <c r="CI27" s="420">
        <f t="shared" si="41"/>
        <v>-1</v>
      </c>
      <c r="CJ27" s="420">
        <f t="shared" si="41"/>
        <v>-1</v>
      </c>
      <c r="CK27" s="420">
        <f t="shared" si="41"/>
        <v>-1</v>
      </c>
      <c r="CL27" s="420">
        <f t="shared" si="41"/>
        <v>-1</v>
      </c>
      <c r="CM27" s="420">
        <f t="shared" si="41"/>
        <v>-1</v>
      </c>
      <c r="CN27" s="420">
        <f t="shared" si="41"/>
        <v>-1</v>
      </c>
      <c r="CO27" s="420">
        <f t="shared" si="41"/>
        <v>-1</v>
      </c>
    </row>
    <row r="28" spans="1:93" s="52" customFormat="1" ht="15" customHeight="1">
      <c r="A28" s="153"/>
      <c r="B28" s="153"/>
      <c r="C28" s="153"/>
      <c r="D28" s="153"/>
      <c r="E28" s="153"/>
      <c r="F28" s="153"/>
      <c r="G28" s="179" t="s">
        <v>28</v>
      </c>
      <c r="H28" s="153"/>
      <c r="I28" s="231">
        <f ca="1">IFERROR(I16/I13,0)</f>
        <v>0</v>
      </c>
      <c r="J28" s="153"/>
      <c r="K28" s="153"/>
      <c r="L28" s="420">
        <f>IF(Flag_Construction,IFERROR(SUM($L16:L16)/SUM($L13:L13),0),-1)</f>
        <v>0</v>
      </c>
      <c r="M28" s="420">
        <f ca="1">IF(Flag_Construction,IFERROR(SUM($L16:M16)/SUM($L13:M13),0),-1)</f>
        <v>0</v>
      </c>
      <c r="N28" s="420">
        <f ca="1">IF(Flag_Construction,IFERROR(SUM($L16:N16)/SUM($L13:N13),0),-1)</f>
        <v>0</v>
      </c>
      <c r="O28" s="420">
        <f ca="1">IF(Flag_Construction,IFERROR(SUM($L16:O16)/SUM($L13:O13),0),-1)</f>
        <v>0</v>
      </c>
      <c r="P28" s="420">
        <f ca="1">IF(Flag_Construction,IFERROR(SUM($L16:P16)/SUM($L13:P13),0),-1)</f>
        <v>0</v>
      </c>
      <c r="Q28" s="420">
        <f ca="1">IF(Flag_Construction,IFERROR(SUM($L16:Q16)/SUM($L13:Q13),0),-1)</f>
        <v>0</v>
      </c>
      <c r="R28" s="420">
        <f ca="1">IF(Flag_Construction,IFERROR(SUM($L16:R16)/SUM($L13:R13),0),-1)</f>
        <v>0</v>
      </c>
      <c r="S28" s="420">
        <f ca="1">IF(Flag_Construction,IFERROR(SUM($L16:S16)/SUM($L13:S13),0),-1)</f>
        <v>0</v>
      </c>
      <c r="T28" s="420">
        <f ca="1">IF(Flag_Construction,IFERROR(SUM($L16:T16)/SUM($L13:T13),0),-1)</f>
        <v>0</v>
      </c>
      <c r="U28" s="420">
        <f ca="1">IF(Flag_Construction,IFERROR(SUM($L16:U16)/SUM($L13:U13),0),-1)</f>
        <v>0</v>
      </c>
      <c r="V28" s="420">
        <f ca="1">IF(Flag_Construction,IFERROR(SUM($L16:V16)/SUM($L13:V13),0),-1)</f>
        <v>0</v>
      </c>
      <c r="W28" s="420">
        <f ca="1">IF(Flag_Construction,IFERROR(SUM($L16:W16)/SUM($L13:W13),0),-1)</f>
        <v>0</v>
      </c>
      <c r="X28" s="420">
        <f ca="1">IF(Flag_Construction,IFERROR(SUM($L16:X16)/SUM($L13:X13),0),-1)</f>
        <v>0</v>
      </c>
      <c r="Y28" s="420">
        <f ca="1">IF(Flag_Construction,IFERROR(SUM($L16:Y16)/SUM($L13:Y13),0),-1)</f>
        <v>0</v>
      </c>
      <c r="Z28" s="420">
        <f ca="1">IF(Flag_Construction,IFERROR(SUM($L16:Z16)/SUM($L13:Z13),0),-1)</f>
        <v>0</v>
      </c>
      <c r="AA28" s="420">
        <f ca="1">IF(Flag_Construction,IFERROR(SUM($L16:AA16)/SUM($L13:AA13),0),-1)</f>
        <v>0</v>
      </c>
      <c r="AB28" s="420">
        <f ca="1">IF(Flag_Construction,IFERROR(SUM($L16:AB16)/SUM($L13:AB13),0),-1)</f>
        <v>0</v>
      </c>
      <c r="AC28" s="420">
        <f>IF(Flag_Construction,IFERROR(SUM($L16:AC16)/SUM($L13:AC13),0),-1)</f>
        <v>-1</v>
      </c>
      <c r="AD28" s="420">
        <f>IF(Flag_Construction,IFERROR(SUM($L16:AD16)/SUM($L13:AD13),0),-1)</f>
        <v>-1</v>
      </c>
      <c r="AE28" s="420">
        <f>IF(Flag_Construction,IFERROR(SUM($L16:AE16)/SUM($L13:AE13),0),-1)</f>
        <v>-1</v>
      </c>
      <c r="AF28" s="420">
        <f>IF(Flag_Construction,IFERROR(SUM($L16:AF16)/SUM($L13:AF13),0),-1)</f>
        <v>-1</v>
      </c>
      <c r="AG28" s="420">
        <f>IF(Flag_Construction,IFERROR(SUM($L16:AG16)/SUM($L13:AG13),0),-1)</f>
        <v>-1</v>
      </c>
      <c r="AH28" s="420">
        <f>IF(Flag_Construction,IFERROR(SUM($L16:AH16)/SUM($L13:AH13),0),-1)</f>
        <v>-1</v>
      </c>
      <c r="AI28" s="420">
        <f>IF(Flag_Construction,IFERROR(SUM($L16:AI16)/SUM($L13:AI13),0),-1)</f>
        <v>-1</v>
      </c>
      <c r="AJ28" s="420">
        <f>IF(Flag_Construction,IFERROR(SUM($L16:AJ16)/SUM($L13:AJ13),0),-1)</f>
        <v>-1</v>
      </c>
      <c r="AK28" s="420">
        <f>IF(Flag_Construction,IFERROR(SUM($L16:AK16)/SUM($L13:AK13),0),-1)</f>
        <v>-1</v>
      </c>
      <c r="AL28" s="420">
        <f>IF(Flag_Construction,IFERROR(SUM($L16:AL16)/SUM($L13:AL13),0),-1)</f>
        <v>-1</v>
      </c>
      <c r="AM28" s="420">
        <f>IF(Flag_Construction,IFERROR(SUM($L16:AM16)/SUM($L13:AM13),0),-1)</f>
        <v>-1</v>
      </c>
      <c r="AN28" s="420">
        <f>IF(Flag_Construction,IFERROR(SUM($L16:AN16)/SUM($L13:AN13),0),-1)</f>
        <v>-1</v>
      </c>
      <c r="AO28" s="420">
        <f>IF(Flag_Construction,IFERROR(SUM($L16:AO16)/SUM($L13:AO13),0),-1)</f>
        <v>-1</v>
      </c>
      <c r="AP28" s="420">
        <f>IF(Flag_Construction,IFERROR(SUM($L16:AP16)/SUM($L13:AP13),0),-1)</f>
        <v>-1</v>
      </c>
      <c r="AQ28" s="420">
        <f>IF(Flag_Construction,IFERROR(SUM($L16:AQ16)/SUM($L13:AQ13),0),-1)</f>
        <v>-1</v>
      </c>
      <c r="AR28" s="420">
        <f>IF(Flag_Construction,IFERROR(SUM($L16:AR16)/SUM($L13:AR13),0),-1)</f>
        <v>-1</v>
      </c>
      <c r="AS28" s="420">
        <f>IF(Flag_Construction,IFERROR(SUM($L16:AS16)/SUM($L13:AS13),0),-1)</f>
        <v>-1</v>
      </c>
      <c r="AT28" s="420">
        <f>IF(Flag_Construction,IFERROR(SUM($L16:AT16)/SUM($L13:AT13),0),-1)</f>
        <v>-1</v>
      </c>
      <c r="AU28" s="420">
        <f>IF(Flag_Construction,IFERROR(SUM($L16:AU16)/SUM($L13:AU13),0),-1)</f>
        <v>-1</v>
      </c>
      <c r="AV28" s="420">
        <f>IF(Flag_Construction,IFERROR(SUM($L16:AV16)/SUM($L13:AV13),0),-1)</f>
        <v>-1</v>
      </c>
      <c r="AW28" s="420">
        <f>IF(Flag_Construction,IFERROR(SUM($L16:AW16)/SUM($L13:AW13),0),-1)</f>
        <v>-1</v>
      </c>
      <c r="AX28" s="420">
        <f>IF(Flag_Construction,IFERROR(SUM($L16:AX16)/SUM($L13:AX13),0),-1)</f>
        <v>-1</v>
      </c>
      <c r="AY28" s="420">
        <f>IF(Flag_Construction,IFERROR(SUM($L16:AY16)/SUM($L13:AY13),0),-1)</f>
        <v>-1</v>
      </c>
      <c r="AZ28" s="420">
        <f>IF(Flag_Construction,IFERROR(SUM($L16:AZ16)/SUM($L13:AZ13),0),-1)</f>
        <v>-1</v>
      </c>
      <c r="BA28" s="420">
        <f>IF(Flag_Construction,IFERROR(SUM($L16:BA16)/SUM($L13:BA13),0),-1)</f>
        <v>-1</v>
      </c>
      <c r="BB28" s="420">
        <f>IF(Flag_Construction,IFERROR(SUM($L16:BB16)/SUM($L13:BB13),0),-1)</f>
        <v>-1</v>
      </c>
      <c r="BC28" s="420">
        <f>IF(Flag_Construction,IFERROR(SUM($L16:BC16)/SUM($L13:BC13),0),-1)</f>
        <v>-1</v>
      </c>
      <c r="BD28" s="420">
        <f>IF(Flag_Construction,IFERROR(SUM($L16:BD16)/SUM($L13:BD13),0),-1)</f>
        <v>-1</v>
      </c>
      <c r="BE28" s="420">
        <f>IF(Flag_Construction,IFERROR(SUM($L16:BE16)/SUM($L13:BE13),0),-1)</f>
        <v>-1</v>
      </c>
      <c r="BF28" s="420">
        <f>IF(Flag_Construction,IFERROR(SUM($L16:BF16)/SUM($L13:BF13),0),-1)</f>
        <v>-1</v>
      </c>
      <c r="BG28" s="420">
        <f>IF(Flag_Construction,IFERROR(SUM($L16:BG16)/SUM($L13:BG13),0),-1)</f>
        <v>-1</v>
      </c>
      <c r="BH28" s="420">
        <f>IF(Flag_Construction,IFERROR(SUM($L16:BH16)/SUM($L13:BH13),0),-1)</f>
        <v>-1</v>
      </c>
      <c r="BI28" s="420">
        <f>IF(Flag_Construction,IFERROR(SUM($L16:BI16)/SUM($L13:BI13),0),-1)</f>
        <v>-1</v>
      </c>
      <c r="BJ28" s="420">
        <f>IF(Flag_Construction,IFERROR(SUM($L16:BJ16)/SUM($L13:BJ13),0),-1)</f>
        <v>-1</v>
      </c>
      <c r="BK28" s="420">
        <f>IF(Flag_Construction,IFERROR(SUM($L16:BK16)/SUM($L13:BK13),0),-1)</f>
        <v>-1</v>
      </c>
      <c r="BL28" s="420">
        <f>IF(Flag_Construction,IFERROR(SUM($L16:BL16)/SUM($L13:BL13),0),-1)</f>
        <v>-1</v>
      </c>
      <c r="BM28" s="420">
        <f>IF(Flag_Construction,IFERROR(SUM($L16:BM16)/SUM($L13:BM13),0),-1)</f>
        <v>-1</v>
      </c>
      <c r="BN28" s="420">
        <f>IF(Flag_Construction,IFERROR(SUM($L16:BN16)/SUM($L13:BN13),0),-1)</f>
        <v>-1</v>
      </c>
      <c r="BO28" s="420">
        <f>IF(Flag_Construction,IFERROR(SUM($L16:BO16)/SUM($L13:BO13),0),-1)</f>
        <v>-1</v>
      </c>
      <c r="BP28" s="420">
        <f>IF(Flag_Construction,IFERROR(SUM($L16:BP16)/SUM($L13:BP13),0),-1)</f>
        <v>-1</v>
      </c>
      <c r="BQ28" s="420">
        <f>IF(Flag_Construction,IFERROR(SUM($L16:BQ16)/SUM($L13:BQ13),0),-1)</f>
        <v>-1</v>
      </c>
      <c r="BR28" s="420">
        <f>IF(Flag_Construction,IFERROR(SUM($L16:BR16)/SUM($L13:BR13),0),-1)</f>
        <v>-1</v>
      </c>
      <c r="BS28" s="420">
        <f>IF(Flag_Construction,IFERROR(SUM($L16:BS16)/SUM($L13:BS13),0),-1)</f>
        <v>-1</v>
      </c>
      <c r="BT28" s="420">
        <f>IF(Flag_Construction,IFERROR(SUM($L16:BT16)/SUM($L13:BT13),0),-1)</f>
        <v>-1</v>
      </c>
      <c r="BU28" s="420">
        <f>IF(Flag_Construction,IFERROR(SUM($L16:BU16)/SUM($L13:BU13),0),-1)</f>
        <v>-1</v>
      </c>
      <c r="BV28" s="420">
        <f>IF(Flag_Construction,IFERROR(SUM($L16:BV16)/SUM($L13:BV13),0),-1)</f>
        <v>-1</v>
      </c>
      <c r="BW28" s="420">
        <f>IF(Flag_Construction,IFERROR(SUM($L16:BW16)/SUM($L13:BW13),0),-1)</f>
        <v>-1</v>
      </c>
      <c r="BX28" s="420">
        <f>IF(Flag_Construction,IFERROR(SUM($L16:BX16)/SUM($L13:BX13),0),-1)</f>
        <v>-1</v>
      </c>
      <c r="BY28" s="420">
        <f>IF(Flag_Construction,IFERROR(SUM($L16:BY16)/SUM($L13:BY13),0),-1)</f>
        <v>-1</v>
      </c>
      <c r="BZ28" s="420">
        <f>IF(Flag_Construction,IFERROR(SUM($L16:BZ16)/SUM($L13:BZ13),0),-1)</f>
        <v>-1</v>
      </c>
      <c r="CA28" s="420">
        <f>IF(Flag_Construction,IFERROR(SUM($L16:CA16)/SUM($L13:CA13),0),-1)</f>
        <v>-1</v>
      </c>
      <c r="CB28" s="420">
        <f>IF(Flag_Construction,IFERROR(SUM($L16:CB16)/SUM($L13:CB13),0),-1)</f>
        <v>-1</v>
      </c>
      <c r="CC28" s="420">
        <f>IF(Flag_Construction,IFERROR(SUM($L16:CC16)/SUM($L13:CC13),0),-1)</f>
        <v>-1</v>
      </c>
      <c r="CD28" s="420">
        <f>IF(Flag_Construction,IFERROR(SUM($L16:CD16)/SUM($L13:CD13),0),-1)</f>
        <v>-1</v>
      </c>
      <c r="CE28" s="420">
        <f>IF(Flag_Construction,IFERROR(SUM($L16:CE16)/SUM($L13:CE13),0),-1)</f>
        <v>-1</v>
      </c>
      <c r="CF28" s="420">
        <f>IF(Flag_Construction,IFERROR(SUM($L16:CF16)/SUM($L13:CF13),0),-1)</f>
        <v>-1</v>
      </c>
      <c r="CG28" s="420">
        <f>IF(Flag_Construction,IFERROR(SUM($L16:CG16)/SUM($L13:CG13),0),-1)</f>
        <v>-1</v>
      </c>
      <c r="CH28" s="420">
        <f>IF(Flag_Construction,IFERROR(SUM($L16:CH16)/SUM($L13:CH13),0),-1)</f>
        <v>-1</v>
      </c>
      <c r="CI28" s="420">
        <f>IF(Flag_Construction,IFERROR(SUM($L16:CI16)/SUM($L13:CI13),0),-1)</f>
        <v>-1</v>
      </c>
      <c r="CJ28" s="420">
        <f>IF(Flag_Construction,IFERROR(SUM($L16:CJ16)/SUM($L13:CJ13),0),-1)</f>
        <v>-1</v>
      </c>
      <c r="CK28" s="420">
        <f>IF(Flag_Construction,IFERROR(SUM($L16:CK16)/SUM($L13:CK13),0),-1)</f>
        <v>-1</v>
      </c>
      <c r="CL28" s="420">
        <f>IF(Flag_Construction,IFERROR(SUM($L16:CL16)/SUM($L13:CL13),0),-1)</f>
        <v>-1</v>
      </c>
      <c r="CM28" s="420">
        <f>IF(Flag_Construction,IFERROR(SUM($L16:CM16)/SUM($L13:CM13),0),-1)</f>
        <v>-1</v>
      </c>
      <c r="CN28" s="420">
        <f>IF(Flag_Construction,IFERROR(SUM($L16:CN16)/SUM($L13:CN13),0),-1)</f>
        <v>-1</v>
      </c>
      <c r="CO28" s="420">
        <f>IF(Flag_Construction,IFERROR(SUM($L16:CO16)/SUM($L13:CO13),0),-1)</f>
        <v>-1</v>
      </c>
    </row>
    <row r="29" spans="1:93" ht="15" customHeight="1">
      <c r="A29" s="47"/>
      <c r="B29" s="47"/>
      <c r="C29" s="47"/>
      <c r="D29" s="47"/>
      <c r="E29" s="47"/>
      <c r="F29" s="47"/>
      <c r="G29" s="319"/>
      <c r="H29" s="47"/>
      <c r="I29" s="47"/>
      <c r="J29" s="47"/>
      <c r="K29" s="47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</row>
    <row r="30" spans="1:93" customFormat="1" ht="22.5" customHeight="1">
      <c r="A30" s="3"/>
      <c r="B30" s="5"/>
      <c r="C30" s="5" t="s">
        <v>1126</v>
      </c>
      <c r="D30" s="5"/>
      <c r="E30" s="5"/>
      <c r="F30" s="5"/>
      <c r="G30" s="5"/>
      <c r="H30" s="5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</row>
    <row r="31" spans="1:93" s="141" customFormat="1" ht="15" customHeight="1">
      <c r="A31" s="153"/>
      <c r="B31" s="153"/>
      <c r="C31" s="153"/>
      <c r="D31" s="153"/>
      <c r="E31" s="153"/>
      <c r="F31" s="153"/>
      <c r="G31" s="179"/>
      <c r="H31" s="153"/>
      <c r="I31" s="153"/>
      <c r="J31" s="153"/>
      <c r="K31" s="153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</row>
    <row r="32" spans="1:93" ht="15">
      <c r="A32" s="10"/>
      <c r="B32" s="130"/>
      <c r="C32" s="415" t="s">
        <v>161</v>
      </c>
      <c r="D32" s="130"/>
      <c r="E32" s="47"/>
      <c r="F32" s="130"/>
      <c r="G32" s="131" t="str">
        <f t="shared" ref="G32:G44" si="42">Monetary_Unit</f>
        <v>тыс. руб.</v>
      </c>
      <c r="H32" s="130"/>
      <c r="I32" s="176">
        <f t="shared" ref="I32:I37" ca="1" si="43">SUM(L32:CO32)</f>
        <v>3087285.4622873445</v>
      </c>
      <c r="J32" s="10"/>
      <c r="K32" s="10"/>
      <c r="L32" s="132">
        <f ca="1">SUM(L33:L34)</f>
        <v>16859.627844133964</v>
      </c>
      <c r="M32" s="132">
        <f t="shared" ref="M32:BX32" ca="1" si="44">SUM(M33:M34)</f>
        <v>17098.948363166921</v>
      </c>
      <c r="N32" s="132">
        <f t="shared" ca="1" si="44"/>
        <v>17341.666010022611</v>
      </c>
      <c r="O32" s="132">
        <f t="shared" ca="1" si="44"/>
        <v>17587.829006547992</v>
      </c>
      <c r="P32" s="132">
        <f t="shared" ca="1" si="44"/>
        <v>147908.74218730364</v>
      </c>
      <c r="Q32" s="132">
        <f t="shared" ca="1" si="44"/>
        <v>149366.14715622176</v>
      </c>
      <c r="R32" s="132">
        <f t="shared" ca="1" si="44"/>
        <v>150837.91252880514</v>
      </c>
      <c r="S32" s="132">
        <f t="shared" ca="1" si="44"/>
        <v>152324.1798039492</v>
      </c>
      <c r="T32" s="132">
        <f t="shared" ca="1" si="44"/>
        <v>153825.09187479576</v>
      </c>
      <c r="U32" s="132">
        <f t="shared" ca="1" si="44"/>
        <v>155340.79304247064</v>
      </c>
      <c r="V32" s="132">
        <f t="shared" ca="1" si="44"/>
        <v>156871.42902995727</v>
      </c>
      <c r="W32" s="132">
        <f t="shared" ca="1" si="44"/>
        <v>158417.14699610716</v>
      </c>
      <c r="X32" s="132">
        <f t="shared" ca="1" si="44"/>
        <v>306312.90818037902</v>
      </c>
      <c r="Y32" s="132">
        <f t="shared" ca="1" si="44"/>
        <v>309331.13379587734</v>
      </c>
      <c r="Z32" s="132">
        <f t="shared" ca="1" si="44"/>
        <v>312379.09921542153</v>
      </c>
      <c r="AA32" s="132">
        <f t="shared" ca="1" si="44"/>
        <v>315457.09747739154</v>
      </c>
      <c r="AB32" s="132">
        <f t="shared" ca="1" si="44"/>
        <v>550025.70977479313</v>
      </c>
      <c r="AC32" s="132">
        <f t="shared" ca="1" si="44"/>
        <v>0</v>
      </c>
      <c r="AD32" s="132">
        <f t="shared" ca="1" si="44"/>
        <v>0</v>
      </c>
      <c r="AE32" s="132">
        <f t="shared" ca="1" si="44"/>
        <v>0</v>
      </c>
      <c r="AF32" s="132">
        <f t="shared" ca="1" si="44"/>
        <v>0</v>
      </c>
      <c r="AG32" s="132">
        <f t="shared" ca="1" si="44"/>
        <v>0</v>
      </c>
      <c r="AH32" s="132">
        <f t="shared" ca="1" si="44"/>
        <v>0</v>
      </c>
      <c r="AI32" s="132">
        <f t="shared" ca="1" si="44"/>
        <v>0</v>
      </c>
      <c r="AJ32" s="132">
        <f t="shared" ca="1" si="44"/>
        <v>0</v>
      </c>
      <c r="AK32" s="132">
        <f t="shared" ca="1" si="44"/>
        <v>0</v>
      </c>
      <c r="AL32" s="132">
        <f t="shared" ca="1" si="44"/>
        <v>0</v>
      </c>
      <c r="AM32" s="132">
        <f t="shared" ca="1" si="44"/>
        <v>0</v>
      </c>
      <c r="AN32" s="132">
        <f t="shared" ca="1" si="44"/>
        <v>0</v>
      </c>
      <c r="AO32" s="132">
        <f t="shared" ca="1" si="44"/>
        <v>0</v>
      </c>
      <c r="AP32" s="132">
        <f t="shared" ca="1" si="44"/>
        <v>0</v>
      </c>
      <c r="AQ32" s="132">
        <f t="shared" ca="1" si="44"/>
        <v>0</v>
      </c>
      <c r="AR32" s="132">
        <f t="shared" ca="1" si="44"/>
        <v>0</v>
      </c>
      <c r="AS32" s="132">
        <f t="shared" ca="1" si="44"/>
        <v>0</v>
      </c>
      <c r="AT32" s="132">
        <f t="shared" ca="1" si="44"/>
        <v>0</v>
      </c>
      <c r="AU32" s="132">
        <f t="shared" ca="1" si="44"/>
        <v>0</v>
      </c>
      <c r="AV32" s="132">
        <f t="shared" ca="1" si="44"/>
        <v>0</v>
      </c>
      <c r="AW32" s="132">
        <f t="shared" ca="1" si="44"/>
        <v>0</v>
      </c>
      <c r="AX32" s="132">
        <f t="shared" ca="1" si="44"/>
        <v>0</v>
      </c>
      <c r="AY32" s="132">
        <f t="shared" ca="1" si="44"/>
        <v>0</v>
      </c>
      <c r="AZ32" s="132">
        <f t="shared" ca="1" si="44"/>
        <v>0</v>
      </c>
      <c r="BA32" s="132">
        <f t="shared" ca="1" si="44"/>
        <v>0</v>
      </c>
      <c r="BB32" s="132">
        <f t="shared" ca="1" si="44"/>
        <v>0</v>
      </c>
      <c r="BC32" s="132">
        <f t="shared" ca="1" si="44"/>
        <v>0</v>
      </c>
      <c r="BD32" s="132">
        <f t="shared" ca="1" si="44"/>
        <v>0</v>
      </c>
      <c r="BE32" s="132">
        <f t="shared" ca="1" si="44"/>
        <v>0</v>
      </c>
      <c r="BF32" s="132">
        <f t="shared" ca="1" si="44"/>
        <v>0</v>
      </c>
      <c r="BG32" s="132">
        <f t="shared" ca="1" si="44"/>
        <v>0</v>
      </c>
      <c r="BH32" s="132">
        <f t="shared" ca="1" si="44"/>
        <v>0</v>
      </c>
      <c r="BI32" s="132">
        <f t="shared" ca="1" si="44"/>
        <v>0</v>
      </c>
      <c r="BJ32" s="132">
        <f t="shared" ca="1" si="44"/>
        <v>0</v>
      </c>
      <c r="BK32" s="132">
        <f t="shared" ca="1" si="44"/>
        <v>0</v>
      </c>
      <c r="BL32" s="132">
        <f t="shared" ca="1" si="44"/>
        <v>0</v>
      </c>
      <c r="BM32" s="132">
        <f t="shared" ca="1" si="44"/>
        <v>0</v>
      </c>
      <c r="BN32" s="132">
        <f t="shared" ca="1" si="44"/>
        <v>0</v>
      </c>
      <c r="BO32" s="132">
        <f t="shared" ca="1" si="44"/>
        <v>0</v>
      </c>
      <c r="BP32" s="132">
        <f t="shared" ca="1" si="44"/>
        <v>0</v>
      </c>
      <c r="BQ32" s="132">
        <f t="shared" ca="1" si="44"/>
        <v>0</v>
      </c>
      <c r="BR32" s="132">
        <f t="shared" ca="1" si="44"/>
        <v>0</v>
      </c>
      <c r="BS32" s="132">
        <f t="shared" ca="1" si="44"/>
        <v>0</v>
      </c>
      <c r="BT32" s="132">
        <f t="shared" ca="1" si="44"/>
        <v>0</v>
      </c>
      <c r="BU32" s="132">
        <f t="shared" ca="1" si="44"/>
        <v>0</v>
      </c>
      <c r="BV32" s="132">
        <f t="shared" ca="1" si="44"/>
        <v>0</v>
      </c>
      <c r="BW32" s="132">
        <f t="shared" ca="1" si="44"/>
        <v>0</v>
      </c>
      <c r="BX32" s="132">
        <f t="shared" ca="1" si="44"/>
        <v>0</v>
      </c>
      <c r="BY32" s="132">
        <f t="shared" ref="BY32:CO32" ca="1" si="45">SUM(BY33:BY34)</f>
        <v>0</v>
      </c>
      <c r="BZ32" s="132">
        <f t="shared" ca="1" si="45"/>
        <v>0</v>
      </c>
      <c r="CA32" s="132">
        <f t="shared" ca="1" si="45"/>
        <v>0</v>
      </c>
      <c r="CB32" s="132">
        <f t="shared" ca="1" si="45"/>
        <v>0</v>
      </c>
      <c r="CC32" s="132">
        <f t="shared" ca="1" si="45"/>
        <v>0</v>
      </c>
      <c r="CD32" s="132">
        <f t="shared" ca="1" si="45"/>
        <v>0</v>
      </c>
      <c r="CE32" s="132">
        <f t="shared" ca="1" si="45"/>
        <v>0</v>
      </c>
      <c r="CF32" s="132">
        <f t="shared" ca="1" si="45"/>
        <v>0</v>
      </c>
      <c r="CG32" s="132">
        <f t="shared" ca="1" si="45"/>
        <v>0</v>
      </c>
      <c r="CH32" s="132">
        <f t="shared" ca="1" si="45"/>
        <v>0</v>
      </c>
      <c r="CI32" s="132">
        <f t="shared" ca="1" si="45"/>
        <v>0</v>
      </c>
      <c r="CJ32" s="132">
        <f t="shared" ca="1" si="45"/>
        <v>0</v>
      </c>
      <c r="CK32" s="132">
        <f t="shared" ca="1" si="45"/>
        <v>0</v>
      </c>
      <c r="CL32" s="132">
        <f t="shared" ca="1" si="45"/>
        <v>0</v>
      </c>
      <c r="CM32" s="132">
        <f t="shared" ca="1" si="45"/>
        <v>0</v>
      </c>
      <c r="CN32" s="132">
        <f t="shared" ca="1" si="45"/>
        <v>0</v>
      </c>
      <c r="CO32" s="132">
        <f t="shared" ca="1" si="45"/>
        <v>0</v>
      </c>
    </row>
    <row r="33" spans="1:93" ht="15">
      <c r="A33" s="10"/>
      <c r="B33" s="130"/>
      <c r="C33" s="416" t="s">
        <v>1174</v>
      </c>
      <c r="D33" s="130"/>
      <c r="E33" s="47"/>
      <c r="F33" s="130"/>
      <c r="G33" s="11" t="str">
        <f t="shared" si="42"/>
        <v>тыс. руб.</v>
      </c>
      <c r="H33" s="130"/>
      <c r="I33" s="23">
        <f t="shared" ca="1" si="43"/>
        <v>3087285.4622873445</v>
      </c>
      <c r="J33" s="10"/>
      <c r="K33" s="10"/>
      <c r="L33" s="52">
        <f t="shared" ref="L33:AQ33" ca="1" si="46">CAPEX</f>
        <v>16859.627844133964</v>
      </c>
      <c r="M33" s="52">
        <f t="shared" ca="1" si="46"/>
        <v>17098.948363166921</v>
      </c>
      <c r="N33" s="52">
        <f t="shared" ca="1" si="46"/>
        <v>17341.666010022611</v>
      </c>
      <c r="O33" s="52">
        <f t="shared" ca="1" si="46"/>
        <v>17587.829006547992</v>
      </c>
      <c r="P33" s="52">
        <f t="shared" ca="1" si="46"/>
        <v>147908.74218730364</v>
      </c>
      <c r="Q33" s="52">
        <f t="shared" ca="1" si="46"/>
        <v>149366.14715622176</v>
      </c>
      <c r="R33" s="52">
        <f t="shared" ca="1" si="46"/>
        <v>150837.91252880514</v>
      </c>
      <c r="S33" s="52">
        <f t="shared" ca="1" si="46"/>
        <v>152324.1798039492</v>
      </c>
      <c r="T33" s="52">
        <f t="shared" ca="1" si="46"/>
        <v>153825.09187479576</v>
      </c>
      <c r="U33" s="52">
        <f t="shared" ca="1" si="46"/>
        <v>155340.79304247064</v>
      </c>
      <c r="V33" s="52">
        <f t="shared" ca="1" si="46"/>
        <v>156871.42902995727</v>
      </c>
      <c r="W33" s="52">
        <f t="shared" ca="1" si="46"/>
        <v>158417.14699610716</v>
      </c>
      <c r="X33" s="52">
        <f t="shared" ca="1" si="46"/>
        <v>306312.90818037902</v>
      </c>
      <c r="Y33" s="52">
        <f t="shared" ca="1" si="46"/>
        <v>309331.13379587734</v>
      </c>
      <c r="Z33" s="52">
        <f t="shared" ca="1" si="46"/>
        <v>312379.09921542153</v>
      </c>
      <c r="AA33" s="52">
        <f t="shared" ca="1" si="46"/>
        <v>315457.09747739154</v>
      </c>
      <c r="AB33" s="52">
        <f t="shared" ca="1" si="46"/>
        <v>550025.70977479313</v>
      </c>
      <c r="AC33" s="52">
        <f t="shared" ca="1" si="46"/>
        <v>0</v>
      </c>
      <c r="AD33" s="52">
        <f t="shared" ca="1" si="46"/>
        <v>0</v>
      </c>
      <c r="AE33" s="52">
        <f t="shared" ca="1" si="46"/>
        <v>0</v>
      </c>
      <c r="AF33" s="52">
        <f t="shared" ca="1" si="46"/>
        <v>0</v>
      </c>
      <c r="AG33" s="52">
        <f t="shared" ca="1" si="46"/>
        <v>0</v>
      </c>
      <c r="AH33" s="52">
        <f t="shared" ca="1" si="46"/>
        <v>0</v>
      </c>
      <c r="AI33" s="52">
        <f t="shared" ca="1" si="46"/>
        <v>0</v>
      </c>
      <c r="AJ33" s="52">
        <f t="shared" ca="1" si="46"/>
        <v>0</v>
      </c>
      <c r="AK33" s="52">
        <f t="shared" ca="1" si="46"/>
        <v>0</v>
      </c>
      <c r="AL33" s="52">
        <f t="shared" ca="1" si="46"/>
        <v>0</v>
      </c>
      <c r="AM33" s="52">
        <f t="shared" ca="1" si="46"/>
        <v>0</v>
      </c>
      <c r="AN33" s="52">
        <f t="shared" ca="1" si="46"/>
        <v>0</v>
      </c>
      <c r="AO33" s="52">
        <f t="shared" ca="1" si="46"/>
        <v>0</v>
      </c>
      <c r="AP33" s="52">
        <f t="shared" ca="1" si="46"/>
        <v>0</v>
      </c>
      <c r="AQ33" s="52">
        <f t="shared" ca="1" si="46"/>
        <v>0</v>
      </c>
      <c r="AR33" s="52">
        <f t="shared" ref="AR33:BW33" ca="1" si="47">CAPEX</f>
        <v>0</v>
      </c>
      <c r="AS33" s="52">
        <f t="shared" ca="1" si="47"/>
        <v>0</v>
      </c>
      <c r="AT33" s="52">
        <f t="shared" ca="1" si="47"/>
        <v>0</v>
      </c>
      <c r="AU33" s="52">
        <f t="shared" ca="1" si="47"/>
        <v>0</v>
      </c>
      <c r="AV33" s="52">
        <f t="shared" ca="1" si="47"/>
        <v>0</v>
      </c>
      <c r="AW33" s="52">
        <f t="shared" ca="1" si="47"/>
        <v>0</v>
      </c>
      <c r="AX33" s="52">
        <f t="shared" ca="1" si="47"/>
        <v>0</v>
      </c>
      <c r="AY33" s="52">
        <f t="shared" ca="1" si="47"/>
        <v>0</v>
      </c>
      <c r="AZ33" s="52">
        <f t="shared" ca="1" si="47"/>
        <v>0</v>
      </c>
      <c r="BA33" s="52">
        <f t="shared" ca="1" si="47"/>
        <v>0</v>
      </c>
      <c r="BB33" s="52">
        <f t="shared" ca="1" si="47"/>
        <v>0</v>
      </c>
      <c r="BC33" s="52">
        <f t="shared" ca="1" si="47"/>
        <v>0</v>
      </c>
      <c r="BD33" s="52">
        <f t="shared" ca="1" si="47"/>
        <v>0</v>
      </c>
      <c r="BE33" s="52">
        <f t="shared" ca="1" si="47"/>
        <v>0</v>
      </c>
      <c r="BF33" s="52">
        <f t="shared" ca="1" si="47"/>
        <v>0</v>
      </c>
      <c r="BG33" s="52">
        <f t="shared" ca="1" si="47"/>
        <v>0</v>
      </c>
      <c r="BH33" s="52">
        <f t="shared" ca="1" si="47"/>
        <v>0</v>
      </c>
      <c r="BI33" s="52">
        <f t="shared" ca="1" si="47"/>
        <v>0</v>
      </c>
      <c r="BJ33" s="52">
        <f t="shared" ca="1" si="47"/>
        <v>0</v>
      </c>
      <c r="BK33" s="52">
        <f t="shared" ca="1" si="47"/>
        <v>0</v>
      </c>
      <c r="BL33" s="52">
        <f t="shared" ca="1" si="47"/>
        <v>0</v>
      </c>
      <c r="BM33" s="52">
        <f t="shared" ca="1" si="47"/>
        <v>0</v>
      </c>
      <c r="BN33" s="52">
        <f t="shared" ca="1" si="47"/>
        <v>0</v>
      </c>
      <c r="BO33" s="52">
        <f t="shared" ca="1" si="47"/>
        <v>0</v>
      </c>
      <c r="BP33" s="52">
        <f t="shared" ca="1" si="47"/>
        <v>0</v>
      </c>
      <c r="BQ33" s="52">
        <f t="shared" ca="1" si="47"/>
        <v>0</v>
      </c>
      <c r="BR33" s="52">
        <f t="shared" ca="1" si="47"/>
        <v>0</v>
      </c>
      <c r="BS33" s="52">
        <f t="shared" ca="1" si="47"/>
        <v>0</v>
      </c>
      <c r="BT33" s="52">
        <f t="shared" ca="1" si="47"/>
        <v>0</v>
      </c>
      <c r="BU33" s="52">
        <f t="shared" ca="1" si="47"/>
        <v>0</v>
      </c>
      <c r="BV33" s="52">
        <f t="shared" ca="1" si="47"/>
        <v>0</v>
      </c>
      <c r="BW33" s="52">
        <f t="shared" ca="1" si="47"/>
        <v>0</v>
      </c>
      <c r="BX33" s="52">
        <f t="shared" ref="BX33:CO33" ca="1" si="48">CAPEX</f>
        <v>0</v>
      </c>
      <c r="BY33" s="52">
        <f t="shared" ca="1" si="48"/>
        <v>0</v>
      </c>
      <c r="BZ33" s="52">
        <f t="shared" ca="1" si="48"/>
        <v>0</v>
      </c>
      <c r="CA33" s="52">
        <f t="shared" ca="1" si="48"/>
        <v>0</v>
      </c>
      <c r="CB33" s="52">
        <f t="shared" ca="1" si="48"/>
        <v>0</v>
      </c>
      <c r="CC33" s="52">
        <f t="shared" ca="1" si="48"/>
        <v>0</v>
      </c>
      <c r="CD33" s="52">
        <f t="shared" ca="1" si="48"/>
        <v>0</v>
      </c>
      <c r="CE33" s="52">
        <f t="shared" ca="1" si="48"/>
        <v>0</v>
      </c>
      <c r="CF33" s="52">
        <f t="shared" ca="1" si="48"/>
        <v>0</v>
      </c>
      <c r="CG33" s="52">
        <f t="shared" ca="1" si="48"/>
        <v>0</v>
      </c>
      <c r="CH33" s="52">
        <f t="shared" ca="1" si="48"/>
        <v>0</v>
      </c>
      <c r="CI33" s="52">
        <f t="shared" ca="1" si="48"/>
        <v>0</v>
      </c>
      <c r="CJ33" s="52">
        <f t="shared" ca="1" si="48"/>
        <v>0</v>
      </c>
      <c r="CK33" s="52">
        <f t="shared" ca="1" si="48"/>
        <v>0</v>
      </c>
      <c r="CL33" s="52">
        <f t="shared" ca="1" si="48"/>
        <v>0</v>
      </c>
      <c r="CM33" s="52">
        <f t="shared" ca="1" si="48"/>
        <v>0</v>
      </c>
      <c r="CN33" s="52">
        <f t="shared" ca="1" si="48"/>
        <v>0</v>
      </c>
      <c r="CO33" s="52">
        <f t="shared" ca="1" si="48"/>
        <v>0</v>
      </c>
    </row>
    <row r="34" spans="1:93" ht="15">
      <c r="A34" s="10"/>
      <c r="B34" s="130"/>
      <c r="C34" s="416" t="s">
        <v>1173</v>
      </c>
      <c r="D34" s="130"/>
      <c r="E34" s="47"/>
      <c r="F34" s="130"/>
      <c r="G34" s="11" t="str">
        <f t="shared" si="42"/>
        <v>тыс. руб.</v>
      </c>
      <c r="H34" s="130"/>
      <c r="I34" s="23">
        <f t="shared" si="43"/>
        <v>0</v>
      </c>
      <c r="J34" s="10"/>
      <c r="K34" s="10"/>
      <c r="L34" s="52">
        <f>SUM(Расчеты!L273:L275)</f>
        <v>0</v>
      </c>
      <c r="M34" s="52">
        <f>SUM(Расчеты!M273:M275)</f>
        <v>0</v>
      </c>
      <c r="N34" s="52">
        <f>SUM(Расчеты!N273:N275)</f>
        <v>0</v>
      </c>
      <c r="O34" s="52">
        <f>SUM(Расчеты!O273:O275)</f>
        <v>0</v>
      </c>
      <c r="P34" s="52">
        <f>SUM(Расчеты!P273:P275)</f>
        <v>0</v>
      </c>
      <c r="Q34" s="52">
        <f>SUM(Расчеты!Q273:Q275)</f>
        <v>0</v>
      </c>
      <c r="R34" s="52">
        <f>SUM(Расчеты!R273:R275)</f>
        <v>0</v>
      </c>
      <c r="S34" s="52">
        <f>SUM(Расчеты!S273:S275)</f>
        <v>0</v>
      </c>
      <c r="T34" s="52">
        <f>SUM(Расчеты!T273:T275)</f>
        <v>0</v>
      </c>
      <c r="U34" s="52">
        <f>SUM(Расчеты!U273:U275)</f>
        <v>0</v>
      </c>
      <c r="V34" s="52">
        <f>SUM(Расчеты!V273:V275)</f>
        <v>0</v>
      </c>
      <c r="W34" s="52">
        <f>SUM(Расчеты!W273:W275)</f>
        <v>0</v>
      </c>
      <c r="X34" s="52">
        <f>SUM(Расчеты!X273:X275)</f>
        <v>0</v>
      </c>
      <c r="Y34" s="52">
        <f>SUM(Расчеты!Y273:Y275)</f>
        <v>0</v>
      </c>
      <c r="Z34" s="52">
        <f>SUM(Расчеты!Z273:Z275)</f>
        <v>0</v>
      </c>
      <c r="AA34" s="52">
        <f>SUM(Расчеты!AA273:AA275)</f>
        <v>0</v>
      </c>
      <c r="AB34" s="52">
        <f>SUM(Расчеты!AB273:AB275)</f>
        <v>0</v>
      </c>
      <c r="AC34" s="52">
        <f>SUM(Расчеты!AC273:AC275)</f>
        <v>0</v>
      </c>
      <c r="AD34" s="52">
        <f>SUM(Расчеты!AD273:AD275)</f>
        <v>0</v>
      </c>
      <c r="AE34" s="52">
        <f>SUM(Расчеты!AE273:AE275)</f>
        <v>0</v>
      </c>
      <c r="AF34" s="52">
        <f>SUM(Расчеты!AF273:AF275)</f>
        <v>0</v>
      </c>
      <c r="AG34" s="52">
        <f>SUM(Расчеты!AG273:AG275)</f>
        <v>0</v>
      </c>
      <c r="AH34" s="52">
        <f>SUM(Расчеты!AH273:AH275)</f>
        <v>0</v>
      </c>
      <c r="AI34" s="52">
        <f>SUM(Расчеты!AI273:AI275)</f>
        <v>0</v>
      </c>
      <c r="AJ34" s="52">
        <f>SUM(Расчеты!AJ273:AJ275)</f>
        <v>0</v>
      </c>
      <c r="AK34" s="52">
        <f>SUM(Расчеты!AK273:AK275)</f>
        <v>0</v>
      </c>
      <c r="AL34" s="52">
        <f>SUM(Расчеты!AL273:AL275)</f>
        <v>0</v>
      </c>
      <c r="AM34" s="52">
        <f>SUM(Расчеты!AM273:AM275)</f>
        <v>0</v>
      </c>
      <c r="AN34" s="52">
        <f>SUM(Расчеты!AN273:AN275)</f>
        <v>0</v>
      </c>
      <c r="AO34" s="52">
        <f>SUM(Расчеты!AO273:AO275)</f>
        <v>0</v>
      </c>
      <c r="AP34" s="52">
        <f>SUM(Расчеты!AP273:AP275)</f>
        <v>0</v>
      </c>
      <c r="AQ34" s="52">
        <f>SUM(Расчеты!AQ273:AQ275)</f>
        <v>0</v>
      </c>
      <c r="AR34" s="52">
        <f>SUM(Расчеты!AR273:AR275)</f>
        <v>0</v>
      </c>
      <c r="AS34" s="52">
        <f>SUM(Расчеты!AS273:AS275)</f>
        <v>0</v>
      </c>
      <c r="AT34" s="52">
        <f>SUM(Расчеты!AT273:AT275)</f>
        <v>0</v>
      </c>
      <c r="AU34" s="52">
        <f>SUM(Расчеты!AU273:AU275)</f>
        <v>0</v>
      </c>
      <c r="AV34" s="52">
        <f>SUM(Расчеты!AV273:AV275)</f>
        <v>0</v>
      </c>
      <c r="AW34" s="52">
        <f>SUM(Расчеты!AW273:AW275)</f>
        <v>0</v>
      </c>
      <c r="AX34" s="52">
        <f>SUM(Расчеты!AX273:AX275)</f>
        <v>0</v>
      </c>
      <c r="AY34" s="52">
        <f>SUM(Расчеты!AY273:AY275)</f>
        <v>0</v>
      </c>
      <c r="AZ34" s="52">
        <f>SUM(Расчеты!AZ273:AZ275)</f>
        <v>0</v>
      </c>
      <c r="BA34" s="52">
        <f>SUM(Расчеты!BA273:BA275)</f>
        <v>0</v>
      </c>
      <c r="BB34" s="52">
        <f>SUM(Расчеты!BB273:BB275)</f>
        <v>0</v>
      </c>
      <c r="BC34" s="52">
        <f>SUM(Расчеты!BC273:BC275)</f>
        <v>0</v>
      </c>
      <c r="BD34" s="52">
        <f>SUM(Расчеты!BD273:BD275)</f>
        <v>0</v>
      </c>
      <c r="BE34" s="52">
        <f>SUM(Расчеты!BE273:BE275)</f>
        <v>0</v>
      </c>
      <c r="BF34" s="52">
        <f>SUM(Расчеты!BF273:BF275)</f>
        <v>0</v>
      </c>
      <c r="BG34" s="52">
        <f>SUM(Расчеты!BG273:BG275)</f>
        <v>0</v>
      </c>
      <c r="BH34" s="52">
        <f>SUM(Расчеты!BH273:BH275)</f>
        <v>0</v>
      </c>
      <c r="BI34" s="52">
        <f>SUM(Расчеты!BI273:BI275)</f>
        <v>0</v>
      </c>
      <c r="BJ34" s="52">
        <f>SUM(Расчеты!BJ273:BJ275)</f>
        <v>0</v>
      </c>
      <c r="BK34" s="52">
        <f>SUM(Расчеты!BK273:BK275)</f>
        <v>0</v>
      </c>
      <c r="BL34" s="52">
        <f>SUM(Расчеты!BL273:BL275)</f>
        <v>0</v>
      </c>
      <c r="BM34" s="52">
        <f>SUM(Расчеты!BM273:BM275)</f>
        <v>0</v>
      </c>
      <c r="BN34" s="52">
        <f>SUM(Расчеты!BN273:BN275)</f>
        <v>0</v>
      </c>
      <c r="BO34" s="52">
        <f>SUM(Расчеты!BO273:BO275)</f>
        <v>0</v>
      </c>
      <c r="BP34" s="52">
        <f>SUM(Расчеты!BP273:BP275)</f>
        <v>0</v>
      </c>
      <c r="BQ34" s="52">
        <f>SUM(Расчеты!BQ273:BQ275)</f>
        <v>0</v>
      </c>
      <c r="BR34" s="52">
        <f>SUM(Расчеты!BR273:BR275)</f>
        <v>0</v>
      </c>
      <c r="BS34" s="52">
        <f>SUM(Расчеты!BS273:BS275)</f>
        <v>0</v>
      </c>
      <c r="BT34" s="52">
        <f>SUM(Расчеты!BT273:BT275)</f>
        <v>0</v>
      </c>
      <c r="BU34" s="52">
        <f>SUM(Расчеты!BU273:BU275)</f>
        <v>0</v>
      </c>
      <c r="BV34" s="52">
        <f>SUM(Расчеты!BV273:BV275)</f>
        <v>0</v>
      </c>
      <c r="BW34" s="52">
        <f>SUM(Расчеты!BW273:BW275)</f>
        <v>0</v>
      </c>
      <c r="BX34" s="52">
        <f>SUM(Расчеты!BX273:BX275)</f>
        <v>0</v>
      </c>
      <c r="BY34" s="52">
        <f>SUM(Расчеты!BY273:BY275)</f>
        <v>0</v>
      </c>
      <c r="BZ34" s="52">
        <f>SUM(Расчеты!BZ273:BZ275)</f>
        <v>0</v>
      </c>
      <c r="CA34" s="52">
        <f>SUM(Расчеты!CA273:CA275)</f>
        <v>0</v>
      </c>
      <c r="CB34" s="52">
        <f>SUM(Расчеты!CB273:CB275)</f>
        <v>0</v>
      </c>
      <c r="CC34" s="52">
        <f>SUM(Расчеты!CC273:CC275)</f>
        <v>0</v>
      </c>
      <c r="CD34" s="52">
        <f>SUM(Расчеты!CD273:CD275)</f>
        <v>0</v>
      </c>
      <c r="CE34" s="52">
        <f>SUM(Расчеты!CE273:CE275)</f>
        <v>0</v>
      </c>
      <c r="CF34" s="52">
        <f>SUM(Расчеты!CF273:CF275)</f>
        <v>0</v>
      </c>
      <c r="CG34" s="52">
        <f>SUM(Расчеты!CG273:CG275)</f>
        <v>0</v>
      </c>
      <c r="CH34" s="52">
        <f>SUM(Расчеты!CH273:CH275)</f>
        <v>0</v>
      </c>
      <c r="CI34" s="52">
        <f>SUM(Расчеты!CI273:CI275)</f>
        <v>0</v>
      </c>
      <c r="CJ34" s="52">
        <f>SUM(Расчеты!CJ273:CJ275)</f>
        <v>0</v>
      </c>
      <c r="CK34" s="52">
        <f>SUM(Расчеты!CK273:CK275)</f>
        <v>0</v>
      </c>
      <c r="CL34" s="52">
        <f>SUM(Расчеты!CL273:CL275)</f>
        <v>0</v>
      </c>
      <c r="CM34" s="52">
        <f>SUM(Расчеты!CM273:CM275)</f>
        <v>0</v>
      </c>
      <c r="CN34" s="52">
        <f>SUM(Расчеты!CN273:CN275)</f>
        <v>0</v>
      </c>
      <c r="CO34" s="52">
        <f>SUM(Расчеты!CO273:CO275)</f>
        <v>0</v>
      </c>
    </row>
    <row r="35" spans="1:93" s="141" customFormat="1" ht="15" customHeight="1">
      <c r="A35" s="153"/>
      <c r="B35" s="153"/>
      <c r="C35" s="415" t="s">
        <v>1128</v>
      </c>
      <c r="D35" s="153"/>
      <c r="E35" s="153"/>
      <c r="F35" s="153"/>
      <c r="G35" s="162" t="str">
        <f t="shared" si="42"/>
        <v>тыс. руб.</v>
      </c>
      <c r="H35" s="153"/>
      <c r="I35" s="176">
        <f t="shared" ca="1" si="43"/>
        <v>134524.39275554652</v>
      </c>
      <c r="J35" s="153"/>
      <c r="K35" s="153"/>
      <c r="L35" s="132">
        <f ca="1">SUM(L36:L39)</f>
        <v>0</v>
      </c>
      <c r="M35" s="132">
        <f t="shared" ref="M35:BX35" ca="1" si="49">SUM(M36:M39)</f>
        <v>0</v>
      </c>
      <c r="N35" s="132">
        <f t="shared" ca="1" si="49"/>
        <v>0</v>
      </c>
      <c r="O35" s="132">
        <f t="shared" ca="1" si="49"/>
        <v>0</v>
      </c>
      <c r="P35" s="132">
        <f t="shared" ca="1" si="49"/>
        <v>0</v>
      </c>
      <c r="Q35" s="132">
        <f t="shared" ca="1" si="49"/>
        <v>0</v>
      </c>
      <c r="R35" s="132">
        <f t="shared" ca="1" si="49"/>
        <v>0</v>
      </c>
      <c r="S35" s="132">
        <f t="shared" ca="1" si="49"/>
        <v>0</v>
      </c>
      <c r="T35" s="132">
        <f t="shared" ca="1" si="49"/>
        <v>375.82926333388428</v>
      </c>
      <c r="U35" s="132">
        <f t="shared" ca="1" si="49"/>
        <v>4081.8183296468605</v>
      </c>
      <c r="V35" s="132">
        <f t="shared" ca="1" si="49"/>
        <v>6606.2474292372463</v>
      </c>
      <c r="W35" s="132">
        <f t="shared" ca="1" si="49"/>
        <v>9110.2536325762321</v>
      </c>
      <c r="X35" s="132">
        <f t="shared" ca="1" si="49"/>
        <v>12692.548261457432</v>
      </c>
      <c r="Y35" s="132">
        <f t="shared" ca="1" si="49"/>
        <v>17515.602992825621</v>
      </c>
      <c r="Z35" s="132">
        <f t="shared" ca="1" si="49"/>
        <v>22632.183234954195</v>
      </c>
      <c r="AA35" s="132">
        <f t="shared" ca="1" si="49"/>
        <v>27604.803493227293</v>
      </c>
      <c r="AB35" s="132">
        <f t="shared" ca="1" si="49"/>
        <v>33905.106118287738</v>
      </c>
      <c r="AC35" s="132">
        <f t="shared" ca="1" si="49"/>
        <v>0</v>
      </c>
      <c r="AD35" s="132">
        <f t="shared" ca="1" si="49"/>
        <v>0</v>
      </c>
      <c r="AE35" s="132">
        <f t="shared" ca="1" si="49"/>
        <v>0</v>
      </c>
      <c r="AF35" s="132">
        <f t="shared" ca="1" si="49"/>
        <v>0</v>
      </c>
      <c r="AG35" s="132">
        <f t="shared" ca="1" si="49"/>
        <v>0</v>
      </c>
      <c r="AH35" s="132">
        <f t="shared" ca="1" si="49"/>
        <v>0</v>
      </c>
      <c r="AI35" s="132">
        <f t="shared" ca="1" si="49"/>
        <v>0</v>
      </c>
      <c r="AJ35" s="132">
        <f t="shared" ca="1" si="49"/>
        <v>0</v>
      </c>
      <c r="AK35" s="132">
        <f t="shared" ca="1" si="49"/>
        <v>0</v>
      </c>
      <c r="AL35" s="132">
        <f t="shared" ca="1" si="49"/>
        <v>0</v>
      </c>
      <c r="AM35" s="132">
        <f t="shared" ca="1" si="49"/>
        <v>0</v>
      </c>
      <c r="AN35" s="132">
        <f t="shared" ca="1" si="49"/>
        <v>0</v>
      </c>
      <c r="AO35" s="132">
        <f t="shared" ca="1" si="49"/>
        <v>0</v>
      </c>
      <c r="AP35" s="132">
        <f t="shared" ca="1" si="49"/>
        <v>0</v>
      </c>
      <c r="AQ35" s="132">
        <f t="shared" ca="1" si="49"/>
        <v>0</v>
      </c>
      <c r="AR35" s="132">
        <f t="shared" ca="1" si="49"/>
        <v>0</v>
      </c>
      <c r="AS35" s="132">
        <f t="shared" ca="1" si="49"/>
        <v>0</v>
      </c>
      <c r="AT35" s="132">
        <f t="shared" ca="1" si="49"/>
        <v>0</v>
      </c>
      <c r="AU35" s="132">
        <f t="shared" ca="1" si="49"/>
        <v>0</v>
      </c>
      <c r="AV35" s="132">
        <f t="shared" ca="1" si="49"/>
        <v>0</v>
      </c>
      <c r="AW35" s="132">
        <f t="shared" ca="1" si="49"/>
        <v>0</v>
      </c>
      <c r="AX35" s="132">
        <f t="shared" ca="1" si="49"/>
        <v>0</v>
      </c>
      <c r="AY35" s="132">
        <f t="shared" ca="1" si="49"/>
        <v>0</v>
      </c>
      <c r="AZ35" s="132">
        <f t="shared" ca="1" si="49"/>
        <v>0</v>
      </c>
      <c r="BA35" s="132">
        <f t="shared" ca="1" si="49"/>
        <v>0</v>
      </c>
      <c r="BB35" s="132">
        <f t="shared" ca="1" si="49"/>
        <v>0</v>
      </c>
      <c r="BC35" s="132">
        <f t="shared" ca="1" si="49"/>
        <v>0</v>
      </c>
      <c r="BD35" s="132">
        <f t="shared" ca="1" si="49"/>
        <v>0</v>
      </c>
      <c r="BE35" s="132">
        <f t="shared" ca="1" si="49"/>
        <v>0</v>
      </c>
      <c r="BF35" s="132">
        <f t="shared" ca="1" si="49"/>
        <v>0</v>
      </c>
      <c r="BG35" s="132">
        <f t="shared" ca="1" si="49"/>
        <v>0</v>
      </c>
      <c r="BH35" s="132">
        <f t="shared" ca="1" si="49"/>
        <v>0</v>
      </c>
      <c r="BI35" s="132">
        <f t="shared" ca="1" si="49"/>
        <v>0</v>
      </c>
      <c r="BJ35" s="132">
        <f t="shared" ca="1" si="49"/>
        <v>0</v>
      </c>
      <c r="BK35" s="132">
        <f t="shared" ca="1" si="49"/>
        <v>0</v>
      </c>
      <c r="BL35" s="132">
        <f t="shared" ca="1" si="49"/>
        <v>0</v>
      </c>
      <c r="BM35" s="132">
        <f t="shared" ca="1" si="49"/>
        <v>0</v>
      </c>
      <c r="BN35" s="132">
        <f t="shared" ca="1" si="49"/>
        <v>0</v>
      </c>
      <c r="BO35" s="132">
        <f t="shared" ca="1" si="49"/>
        <v>0</v>
      </c>
      <c r="BP35" s="132">
        <f t="shared" ca="1" si="49"/>
        <v>0</v>
      </c>
      <c r="BQ35" s="132">
        <f t="shared" ca="1" si="49"/>
        <v>0</v>
      </c>
      <c r="BR35" s="132">
        <f t="shared" ca="1" si="49"/>
        <v>0</v>
      </c>
      <c r="BS35" s="132">
        <f t="shared" ca="1" si="49"/>
        <v>0</v>
      </c>
      <c r="BT35" s="132">
        <f t="shared" ca="1" si="49"/>
        <v>0</v>
      </c>
      <c r="BU35" s="132">
        <f t="shared" ca="1" si="49"/>
        <v>0</v>
      </c>
      <c r="BV35" s="132">
        <f t="shared" ca="1" si="49"/>
        <v>0</v>
      </c>
      <c r="BW35" s="132">
        <f t="shared" ca="1" si="49"/>
        <v>0</v>
      </c>
      <c r="BX35" s="132">
        <f t="shared" ca="1" si="49"/>
        <v>0</v>
      </c>
      <c r="BY35" s="132">
        <f t="shared" ref="BY35:CO35" ca="1" si="50">SUM(BY36:BY39)</f>
        <v>0</v>
      </c>
      <c r="BZ35" s="132">
        <f t="shared" ca="1" si="50"/>
        <v>0</v>
      </c>
      <c r="CA35" s="132">
        <f t="shared" ca="1" si="50"/>
        <v>0</v>
      </c>
      <c r="CB35" s="132">
        <f t="shared" ca="1" si="50"/>
        <v>0</v>
      </c>
      <c r="CC35" s="132">
        <f t="shared" ca="1" si="50"/>
        <v>0</v>
      </c>
      <c r="CD35" s="132">
        <f t="shared" ca="1" si="50"/>
        <v>0</v>
      </c>
      <c r="CE35" s="132">
        <f t="shared" ca="1" si="50"/>
        <v>0</v>
      </c>
      <c r="CF35" s="132">
        <f t="shared" ca="1" si="50"/>
        <v>0</v>
      </c>
      <c r="CG35" s="132">
        <f t="shared" ca="1" si="50"/>
        <v>0</v>
      </c>
      <c r="CH35" s="132">
        <f t="shared" ca="1" si="50"/>
        <v>0</v>
      </c>
      <c r="CI35" s="132">
        <f t="shared" ca="1" si="50"/>
        <v>0</v>
      </c>
      <c r="CJ35" s="132">
        <f t="shared" ca="1" si="50"/>
        <v>0</v>
      </c>
      <c r="CK35" s="132">
        <f t="shared" ca="1" si="50"/>
        <v>0</v>
      </c>
      <c r="CL35" s="132">
        <f t="shared" ca="1" si="50"/>
        <v>0</v>
      </c>
      <c r="CM35" s="132">
        <f t="shared" ca="1" si="50"/>
        <v>0</v>
      </c>
      <c r="CN35" s="132">
        <f t="shared" ca="1" si="50"/>
        <v>0</v>
      </c>
      <c r="CO35" s="132">
        <f t="shared" ca="1" si="50"/>
        <v>0</v>
      </c>
    </row>
    <row r="36" spans="1:93" s="141" customFormat="1" ht="15" customHeight="1">
      <c r="A36" s="153"/>
      <c r="B36" s="153"/>
      <c r="C36" s="416" t="s">
        <v>1129</v>
      </c>
      <c r="D36" s="153"/>
      <c r="E36" s="153"/>
      <c r="F36" s="153"/>
      <c r="G36" s="11" t="str">
        <f t="shared" si="42"/>
        <v>тыс. руб.</v>
      </c>
      <c r="H36" s="153"/>
      <c r="I36" s="23">
        <f t="shared" ca="1" si="43"/>
        <v>123533.77374294518</v>
      </c>
      <c r="J36" s="153"/>
      <c r="K36" s="153"/>
      <c r="L36" s="52">
        <f t="shared" ref="L36:AQ36" ca="1" si="51">-(Debt_Interest_Paid+Subord_Interest_Paid)*Flag_Construction</f>
        <v>0</v>
      </c>
      <c r="M36" s="52">
        <f t="shared" ca="1" si="51"/>
        <v>0</v>
      </c>
      <c r="N36" s="52">
        <f t="shared" ca="1" si="51"/>
        <v>0</v>
      </c>
      <c r="O36" s="52">
        <f t="shared" ca="1" si="51"/>
        <v>0</v>
      </c>
      <c r="P36" s="52">
        <f t="shared" ca="1" si="51"/>
        <v>0</v>
      </c>
      <c r="Q36" s="52">
        <f t="shared" ca="1" si="51"/>
        <v>0</v>
      </c>
      <c r="R36" s="52">
        <f t="shared" ca="1" si="51"/>
        <v>0</v>
      </c>
      <c r="S36" s="52">
        <f t="shared" ca="1" si="51"/>
        <v>0</v>
      </c>
      <c r="T36" s="52">
        <f t="shared" ca="1" si="51"/>
        <v>375.82926333388428</v>
      </c>
      <c r="U36" s="52">
        <f t="shared" ca="1" si="51"/>
        <v>2049.679343298747</v>
      </c>
      <c r="V36" s="52">
        <f t="shared" ca="1" si="51"/>
        <v>4692.73305525248</v>
      </c>
      <c r="W36" s="52">
        <f t="shared" ca="1" si="51"/>
        <v>7339.0839635085113</v>
      </c>
      <c r="X36" s="52">
        <f t="shared" ca="1" si="51"/>
        <v>11087.213428915877</v>
      </c>
      <c r="Y36" s="52">
        <f t="shared" ca="1" si="51"/>
        <v>16184.443320720929</v>
      </c>
      <c r="Z36" s="52">
        <f t="shared" ca="1" si="51"/>
        <v>21566.314755658917</v>
      </c>
      <c r="AA36" s="52">
        <f t="shared" ca="1" si="51"/>
        <v>26821.612493877776</v>
      </c>
      <c r="AB36" s="52">
        <f t="shared" ca="1" si="51"/>
        <v>33416.864118378056</v>
      </c>
      <c r="AC36" s="52">
        <f t="shared" ca="1" si="51"/>
        <v>0</v>
      </c>
      <c r="AD36" s="52">
        <f t="shared" ca="1" si="51"/>
        <v>0</v>
      </c>
      <c r="AE36" s="52">
        <f t="shared" ca="1" si="51"/>
        <v>0</v>
      </c>
      <c r="AF36" s="52">
        <f t="shared" ca="1" si="51"/>
        <v>0</v>
      </c>
      <c r="AG36" s="52">
        <f t="shared" ca="1" si="51"/>
        <v>0</v>
      </c>
      <c r="AH36" s="52">
        <f t="shared" ca="1" si="51"/>
        <v>0</v>
      </c>
      <c r="AI36" s="52">
        <f t="shared" ca="1" si="51"/>
        <v>0</v>
      </c>
      <c r="AJ36" s="52">
        <f t="shared" ca="1" si="51"/>
        <v>0</v>
      </c>
      <c r="AK36" s="52">
        <f t="shared" ca="1" si="51"/>
        <v>0</v>
      </c>
      <c r="AL36" s="52">
        <f t="shared" ca="1" si="51"/>
        <v>0</v>
      </c>
      <c r="AM36" s="52">
        <f t="shared" ca="1" si="51"/>
        <v>0</v>
      </c>
      <c r="AN36" s="52">
        <f t="shared" ca="1" si="51"/>
        <v>0</v>
      </c>
      <c r="AO36" s="52">
        <f t="shared" ca="1" si="51"/>
        <v>0</v>
      </c>
      <c r="AP36" s="52">
        <f t="shared" ca="1" si="51"/>
        <v>0</v>
      </c>
      <c r="AQ36" s="52">
        <f t="shared" ca="1" si="51"/>
        <v>0</v>
      </c>
      <c r="AR36" s="52">
        <f t="shared" ref="AR36:BW36" ca="1" si="52">-(Debt_Interest_Paid+Subord_Interest_Paid)*Flag_Construction</f>
        <v>0</v>
      </c>
      <c r="AS36" s="52">
        <f t="shared" ca="1" si="52"/>
        <v>0</v>
      </c>
      <c r="AT36" s="52">
        <f t="shared" ca="1" si="52"/>
        <v>0</v>
      </c>
      <c r="AU36" s="52">
        <f t="shared" ca="1" si="52"/>
        <v>0</v>
      </c>
      <c r="AV36" s="52">
        <f t="shared" ca="1" si="52"/>
        <v>0</v>
      </c>
      <c r="AW36" s="52">
        <f t="shared" ca="1" si="52"/>
        <v>0</v>
      </c>
      <c r="AX36" s="52">
        <f t="shared" ca="1" si="52"/>
        <v>0</v>
      </c>
      <c r="AY36" s="52">
        <f t="shared" ca="1" si="52"/>
        <v>0</v>
      </c>
      <c r="AZ36" s="52">
        <f t="shared" ca="1" si="52"/>
        <v>0</v>
      </c>
      <c r="BA36" s="52">
        <f t="shared" ca="1" si="52"/>
        <v>0</v>
      </c>
      <c r="BB36" s="52">
        <f t="shared" ca="1" si="52"/>
        <v>0</v>
      </c>
      <c r="BC36" s="52">
        <f t="shared" ca="1" si="52"/>
        <v>0</v>
      </c>
      <c r="BD36" s="52">
        <f t="shared" ca="1" si="52"/>
        <v>0</v>
      </c>
      <c r="BE36" s="52">
        <f t="shared" ca="1" si="52"/>
        <v>0</v>
      </c>
      <c r="BF36" s="52">
        <f t="shared" ca="1" si="52"/>
        <v>0</v>
      </c>
      <c r="BG36" s="52">
        <f t="shared" ca="1" si="52"/>
        <v>0</v>
      </c>
      <c r="BH36" s="52">
        <f t="shared" ca="1" si="52"/>
        <v>0</v>
      </c>
      <c r="BI36" s="52">
        <f t="shared" ca="1" si="52"/>
        <v>0</v>
      </c>
      <c r="BJ36" s="52">
        <f t="shared" ca="1" si="52"/>
        <v>0</v>
      </c>
      <c r="BK36" s="52">
        <f t="shared" ca="1" si="52"/>
        <v>0</v>
      </c>
      <c r="BL36" s="52">
        <f t="shared" ca="1" si="52"/>
        <v>0</v>
      </c>
      <c r="BM36" s="52">
        <f t="shared" ca="1" si="52"/>
        <v>0</v>
      </c>
      <c r="BN36" s="52">
        <f t="shared" ca="1" si="52"/>
        <v>0</v>
      </c>
      <c r="BO36" s="52">
        <f t="shared" ca="1" si="52"/>
        <v>0</v>
      </c>
      <c r="BP36" s="52">
        <f t="shared" ca="1" si="52"/>
        <v>0</v>
      </c>
      <c r="BQ36" s="52">
        <f t="shared" ca="1" si="52"/>
        <v>0</v>
      </c>
      <c r="BR36" s="52">
        <f t="shared" ca="1" si="52"/>
        <v>0</v>
      </c>
      <c r="BS36" s="52">
        <f t="shared" ca="1" si="52"/>
        <v>0</v>
      </c>
      <c r="BT36" s="52">
        <f t="shared" ca="1" si="52"/>
        <v>0</v>
      </c>
      <c r="BU36" s="52">
        <f t="shared" ca="1" si="52"/>
        <v>0</v>
      </c>
      <c r="BV36" s="52">
        <f t="shared" ca="1" si="52"/>
        <v>0</v>
      </c>
      <c r="BW36" s="52">
        <f t="shared" ca="1" si="52"/>
        <v>0</v>
      </c>
      <c r="BX36" s="52">
        <f t="shared" ref="BX36:CO36" ca="1" si="53">-(Debt_Interest_Paid+Subord_Interest_Paid)*Flag_Construction</f>
        <v>0</v>
      </c>
      <c r="BY36" s="52">
        <f t="shared" ca="1" si="53"/>
        <v>0</v>
      </c>
      <c r="BZ36" s="52">
        <f t="shared" ca="1" si="53"/>
        <v>0</v>
      </c>
      <c r="CA36" s="52">
        <f t="shared" ca="1" si="53"/>
        <v>0</v>
      </c>
      <c r="CB36" s="52">
        <f t="shared" ca="1" si="53"/>
        <v>0</v>
      </c>
      <c r="CC36" s="52">
        <f t="shared" ca="1" si="53"/>
        <v>0</v>
      </c>
      <c r="CD36" s="52">
        <f t="shared" ca="1" si="53"/>
        <v>0</v>
      </c>
      <c r="CE36" s="52">
        <f t="shared" ca="1" si="53"/>
        <v>0</v>
      </c>
      <c r="CF36" s="52">
        <f t="shared" ca="1" si="53"/>
        <v>0</v>
      </c>
      <c r="CG36" s="52">
        <f t="shared" ca="1" si="53"/>
        <v>0</v>
      </c>
      <c r="CH36" s="52">
        <f t="shared" ca="1" si="53"/>
        <v>0</v>
      </c>
      <c r="CI36" s="52">
        <f t="shared" ca="1" si="53"/>
        <v>0</v>
      </c>
      <c r="CJ36" s="52">
        <f t="shared" ca="1" si="53"/>
        <v>0</v>
      </c>
      <c r="CK36" s="52">
        <f t="shared" ca="1" si="53"/>
        <v>0</v>
      </c>
      <c r="CL36" s="52">
        <f t="shared" ca="1" si="53"/>
        <v>0</v>
      </c>
      <c r="CM36" s="52">
        <f t="shared" ca="1" si="53"/>
        <v>0</v>
      </c>
      <c r="CN36" s="52">
        <f t="shared" ca="1" si="53"/>
        <v>0</v>
      </c>
      <c r="CO36" s="52">
        <f t="shared" ca="1" si="53"/>
        <v>0</v>
      </c>
    </row>
    <row r="37" spans="1:93" s="141" customFormat="1" ht="15" customHeight="1">
      <c r="A37" s="153"/>
      <c r="B37" s="153"/>
      <c r="C37" s="416" t="s">
        <v>103</v>
      </c>
      <c r="D37" s="153"/>
      <c r="E37" s="153"/>
      <c r="F37" s="153"/>
      <c r="G37" s="11" t="str">
        <f t="shared" si="42"/>
        <v>тыс. руб.</v>
      </c>
      <c r="H37" s="153"/>
      <c r="I37" s="23">
        <f t="shared" ca="1" si="43"/>
        <v>10990.619012601321</v>
      </c>
      <c r="J37" s="153"/>
      <c r="K37" s="153"/>
      <c r="L37" s="52">
        <f t="shared" ref="L37:AQ37" si="54">-Bank_Fees*Flag_Construction</f>
        <v>0</v>
      </c>
      <c r="M37" s="52">
        <f t="shared" ca="1" si="54"/>
        <v>0</v>
      </c>
      <c r="N37" s="52">
        <f t="shared" ca="1" si="54"/>
        <v>0</v>
      </c>
      <c r="O37" s="52">
        <f t="shared" ca="1" si="54"/>
        <v>0</v>
      </c>
      <c r="P37" s="52">
        <f t="shared" ca="1" si="54"/>
        <v>0</v>
      </c>
      <c r="Q37" s="52">
        <f t="shared" ca="1" si="54"/>
        <v>0</v>
      </c>
      <c r="R37" s="52">
        <f t="shared" ca="1" si="54"/>
        <v>0</v>
      </c>
      <c r="S37" s="52">
        <f t="shared" ca="1" si="54"/>
        <v>0</v>
      </c>
      <c r="T37" s="52">
        <f t="shared" ca="1" si="54"/>
        <v>0</v>
      </c>
      <c r="U37" s="52">
        <f t="shared" ca="1" si="54"/>
        <v>2032.1389863481136</v>
      </c>
      <c r="V37" s="52">
        <f t="shared" ca="1" si="54"/>
        <v>1913.5143739847667</v>
      </c>
      <c r="W37" s="52">
        <f t="shared" ca="1" si="54"/>
        <v>1771.1696690677206</v>
      </c>
      <c r="X37" s="52">
        <f t="shared" ca="1" si="54"/>
        <v>1605.3348325415557</v>
      </c>
      <c r="Y37" s="52">
        <f t="shared" ca="1" si="54"/>
        <v>1331.1596721046919</v>
      </c>
      <c r="Z37" s="52">
        <f t="shared" ca="1" si="54"/>
        <v>1065.8684792952763</v>
      </c>
      <c r="AA37" s="52">
        <f t="shared" ca="1" si="54"/>
        <v>783.19099934951782</v>
      </c>
      <c r="AB37" s="52">
        <f t="shared" ca="1" si="54"/>
        <v>488.24199990967918</v>
      </c>
      <c r="AC37" s="52">
        <f t="shared" ca="1" si="54"/>
        <v>0</v>
      </c>
      <c r="AD37" s="52">
        <f t="shared" ca="1" si="54"/>
        <v>0</v>
      </c>
      <c r="AE37" s="52">
        <f t="shared" ca="1" si="54"/>
        <v>0</v>
      </c>
      <c r="AF37" s="52">
        <f t="shared" ca="1" si="54"/>
        <v>0</v>
      </c>
      <c r="AG37" s="52">
        <f t="shared" ca="1" si="54"/>
        <v>0</v>
      </c>
      <c r="AH37" s="52">
        <f t="shared" ca="1" si="54"/>
        <v>0</v>
      </c>
      <c r="AI37" s="52">
        <f t="shared" ca="1" si="54"/>
        <v>0</v>
      </c>
      <c r="AJ37" s="52">
        <f t="shared" ca="1" si="54"/>
        <v>0</v>
      </c>
      <c r="AK37" s="52">
        <f t="shared" ca="1" si="54"/>
        <v>0</v>
      </c>
      <c r="AL37" s="52">
        <f t="shared" ca="1" si="54"/>
        <v>0</v>
      </c>
      <c r="AM37" s="52">
        <f t="shared" ca="1" si="54"/>
        <v>0</v>
      </c>
      <c r="AN37" s="52">
        <f t="shared" ca="1" si="54"/>
        <v>0</v>
      </c>
      <c r="AO37" s="52">
        <f t="shared" ca="1" si="54"/>
        <v>0</v>
      </c>
      <c r="AP37" s="52">
        <f t="shared" ca="1" si="54"/>
        <v>0</v>
      </c>
      <c r="AQ37" s="52">
        <f t="shared" ca="1" si="54"/>
        <v>0</v>
      </c>
      <c r="AR37" s="52">
        <f t="shared" ref="AR37:BW37" ca="1" si="55">-Bank_Fees*Flag_Construction</f>
        <v>0</v>
      </c>
      <c r="AS37" s="52">
        <f t="shared" ca="1" si="55"/>
        <v>0</v>
      </c>
      <c r="AT37" s="52">
        <f t="shared" ca="1" si="55"/>
        <v>0</v>
      </c>
      <c r="AU37" s="52">
        <f t="shared" ca="1" si="55"/>
        <v>0</v>
      </c>
      <c r="AV37" s="52">
        <f t="shared" ca="1" si="55"/>
        <v>0</v>
      </c>
      <c r="AW37" s="52">
        <f t="shared" ca="1" si="55"/>
        <v>0</v>
      </c>
      <c r="AX37" s="52">
        <f t="shared" ca="1" si="55"/>
        <v>0</v>
      </c>
      <c r="AY37" s="52">
        <f t="shared" ca="1" si="55"/>
        <v>0</v>
      </c>
      <c r="AZ37" s="52">
        <f t="shared" ca="1" si="55"/>
        <v>0</v>
      </c>
      <c r="BA37" s="52">
        <f t="shared" ca="1" si="55"/>
        <v>0</v>
      </c>
      <c r="BB37" s="52">
        <f t="shared" ca="1" si="55"/>
        <v>0</v>
      </c>
      <c r="BC37" s="52">
        <f t="shared" ca="1" si="55"/>
        <v>0</v>
      </c>
      <c r="BD37" s="52">
        <f t="shared" ca="1" si="55"/>
        <v>0</v>
      </c>
      <c r="BE37" s="52">
        <f t="shared" ca="1" si="55"/>
        <v>0</v>
      </c>
      <c r="BF37" s="52">
        <f t="shared" ca="1" si="55"/>
        <v>0</v>
      </c>
      <c r="BG37" s="52">
        <f t="shared" ca="1" si="55"/>
        <v>0</v>
      </c>
      <c r="BH37" s="52">
        <f t="shared" ca="1" si="55"/>
        <v>0</v>
      </c>
      <c r="BI37" s="52">
        <f t="shared" ca="1" si="55"/>
        <v>0</v>
      </c>
      <c r="BJ37" s="52">
        <f t="shared" ca="1" si="55"/>
        <v>0</v>
      </c>
      <c r="BK37" s="52">
        <f t="shared" ca="1" si="55"/>
        <v>0</v>
      </c>
      <c r="BL37" s="52">
        <f t="shared" ca="1" si="55"/>
        <v>0</v>
      </c>
      <c r="BM37" s="52">
        <f t="shared" ca="1" si="55"/>
        <v>0</v>
      </c>
      <c r="BN37" s="52">
        <f t="shared" ca="1" si="55"/>
        <v>0</v>
      </c>
      <c r="BO37" s="52">
        <f t="shared" ca="1" si="55"/>
        <v>0</v>
      </c>
      <c r="BP37" s="52">
        <f t="shared" ca="1" si="55"/>
        <v>0</v>
      </c>
      <c r="BQ37" s="52">
        <f t="shared" ca="1" si="55"/>
        <v>0</v>
      </c>
      <c r="BR37" s="52">
        <f t="shared" ca="1" si="55"/>
        <v>0</v>
      </c>
      <c r="BS37" s="52">
        <f t="shared" ca="1" si="55"/>
        <v>0</v>
      </c>
      <c r="BT37" s="52">
        <f t="shared" ca="1" si="55"/>
        <v>0</v>
      </c>
      <c r="BU37" s="52">
        <f t="shared" ca="1" si="55"/>
        <v>0</v>
      </c>
      <c r="BV37" s="52">
        <f t="shared" ca="1" si="55"/>
        <v>0</v>
      </c>
      <c r="BW37" s="52">
        <f t="shared" ca="1" si="55"/>
        <v>0</v>
      </c>
      <c r="BX37" s="52">
        <f t="shared" ref="BX37:CO37" ca="1" si="56">-Bank_Fees*Flag_Construction</f>
        <v>0</v>
      </c>
      <c r="BY37" s="52">
        <f t="shared" ca="1" si="56"/>
        <v>0</v>
      </c>
      <c r="BZ37" s="52">
        <f t="shared" ca="1" si="56"/>
        <v>0</v>
      </c>
      <c r="CA37" s="52">
        <f t="shared" ca="1" si="56"/>
        <v>0</v>
      </c>
      <c r="CB37" s="52">
        <f t="shared" ca="1" si="56"/>
        <v>0</v>
      </c>
      <c r="CC37" s="52">
        <f t="shared" ca="1" si="56"/>
        <v>0</v>
      </c>
      <c r="CD37" s="52">
        <f t="shared" ca="1" si="56"/>
        <v>0</v>
      </c>
      <c r="CE37" s="52">
        <f t="shared" ca="1" si="56"/>
        <v>0</v>
      </c>
      <c r="CF37" s="52">
        <f t="shared" ca="1" si="56"/>
        <v>0</v>
      </c>
      <c r="CG37" s="52">
        <f t="shared" ca="1" si="56"/>
        <v>0</v>
      </c>
      <c r="CH37" s="52">
        <f t="shared" ca="1" si="56"/>
        <v>0</v>
      </c>
      <c r="CI37" s="52">
        <f t="shared" ca="1" si="56"/>
        <v>0</v>
      </c>
      <c r="CJ37" s="52">
        <f t="shared" ca="1" si="56"/>
        <v>0</v>
      </c>
      <c r="CK37" s="52">
        <f t="shared" ca="1" si="56"/>
        <v>0</v>
      </c>
      <c r="CL37" s="52">
        <f t="shared" ca="1" si="56"/>
        <v>0</v>
      </c>
      <c r="CM37" s="52">
        <f t="shared" ca="1" si="56"/>
        <v>0</v>
      </c>
      <c r="CN37" s="52">
        <f t="shared" ca="1" si="56"/>
        <v>0</v>
      </c>
      <c r="CO37" s="52">
        <f t="shared" ca="1" si="56"/>
        <v>0</v>
      </c>
    </row>
    <row r="38" spans="1:93" ht="15" customHeight="1">
      <c r="A38" s="47"/>
      <c r="B38" s="47"/>
      <c r="C38" s="416" t="s">
        <v>1130</v>
      </c>
      <c r="D38" s="153"/>
      <c r="E38" s="11"/>
      <c r="F38" s="11"/>
      <c r="G38" s="11" t="str">
        <f t="shared" si="42"/>
        <v>тыс. руб.</v>
      </c>
      <c r="H38" s="153"/>
      <c r="I38" s="23">
        <f ca="1">SUM(L38:CO38)</f>
        <v>0</v>
      </c>
      <c r="J38" s="153"/>
      <c r="K38" s="153"/>
      <c r="L38" s="52">
        <f t="shared" ref="L38:AQ38" ca="1" si="57">-Debt_Repaiment*Flag_Construction</f>
        <v>0</v>
      </c>
      <c r="M38" s="52">
        <f t="shared" ca="1" si="57"/>
        <v>0</v>
      </c>
      <c r="N38" s="52">
        <f t="shared" ca="1" si="57"/>
        <v>0</v>
      </c>
      <c r="O38" s="52">
        <f t="shared" ca="1" si="57"/>
        <v>0</v>
      </c>
      <c r="P38" s="52">
        <f t="shared" ca="1" si="57"/>
        <v>0</v>
      </c>
      <c r="Q38" s="52">
        <f t="shared" ca="1" si="57"/>
        <v>0</v>
      </c>
      <c r="R38" s="52">
        <f t="shared" ca="1" si="57"/>
        <v>0</v>
      </c>
      <c r="S38" s="52">
        <f t="shared" ca="1" si="57"/>
        <v>0</v>
      </c>
      <c r="T38" s="52">
        <f t="shared" ca="1" si="57"/>
        <v>0</v>
      </c>
      <c r="U38" s="52">
        <f t="shared" ca="1" si="57"/>
        <v>0</v>
      </c>
      <c r="V38" s="52">
        <f t="shared" ca="1" si="57"/>
        <v>0</v>
      </c>
      <c r="W38" s="52">
        <f t="shared" ca="1" si="57"/>
        <v>0</v>
      </c>
      <c r="X38" s="52">
        <f t="shared" ca="1" si="57"/>
        <v>0</v>
      </c>
      <c r="Y38" s="52">
        <f t="shared" ca="1" si="57"/>
        <v>0</v>
      </c>
      <c r="Z38" s="52">
        <f t="shared" ca="1" si="57"/>
        <v>0</v>
      </c>
      <c r="AA38" s="52">
        <f t="shared" ca="1" si="57"/>
        <v>0</v>
      </c>
      <c r="AB38" s="52">
        <f t="shared" ca="1" si="57"/>
        <v>0</v>
      </c>
      <c r="AC38" s="52">
        <f t="shared" ca="1" si="57"/>
        <v>0</v>
      </c>
      <c r="AD38" s="52">
        <f t="shared" ca="1" si="57"/>
        <v>0</v>
      </c>
      <c r="AE38" s="52">
        <f t="shared" ca="1" si="57"/>
        <v>0</v>
      </c>
      <c r="AF38" s="52">
        <f t="shared" ca="1" si="57"/>
        <v>0</v>
      </c>
      <c r="AG38" s="52">
        <f t="shared" ca="1" si="57"/>
        <v>0</v>
      </c>
      <c r="AH38" s="52">
        <f t="shared" ca="1" si="57"/>
        <v>0</v>
      </c>
      <c r="AI38" s="52">
        <f t="shared" ca="1" si="57"/>
        <v>0</v>
      </c>
      <c r="AJ38" s="52">
        <f t="shared" ca="1" si="57"/>
        <v>0</v>
      </c>
      <c r="AK38" s="52">
        <f t="shared" ca="1" si="57"/>
        <v>0</v>
      </c>
      <c r="AL38" s="52">
        <f t="shared" ca="1" si="57"/>
        <v>0</v>
      </c>
      <c r="AM38" s="52">
        <f t="shared" ca="1" si="57"/>
        <v>0</v>
      </c>
      <c r="AN38" s="52">
        <f t="shared" ca="1" si="57"/>
        <v>0</v>
      </c>
      <c r="AO38" s="52">
        <f t="shared" ca="1" si="57"/>
        <v>0</v>
      </c>
      <c r="AP38" s="52">
        <f t="shared" ca="1" si="57"/>
        <v>0</v>
      </c>
      <c r="AQ38" s="52">
        <f t="shared" ca="1" si="57"/>
        <v>0</v>
      </c>
      <c r="AR38" s="52">
        <f t="shared" ref="AR38:BW38" ca="1" si="58">-Debt_Repaiment*Flag_Construction</f>
        <v>0</v>
      </c>
      <c r="AS38" s="52">
        <f t="shared" ca="1" si="58"/>
        <v>0</v>
      </c>
      <c r="AT38" s="52">
        <f t="shared" ca="1" si="58"/>
        <v>0</v>
      </c>
      <c r="AU38" s="52">
        <f t="shared" ca="1" si="58"/>
        <v>0</v>
      </c>
      <c r="AV38" s="52">
        <f t="shared" ca="1" si="58"/>
        <v>0</v>
      </c>
      <c r="AW38" s="52">
        <f t="shared" ca="1" si="58"/>
        <v>0</v>
      </c>
      <c r="AX38" s="52">
        <f t="shared" ca="1" si="58"/>
        <v>0</v>
      </c>
      <c r="AY38" s="52">
        <f t="shared" ca="1" si="58"/>
        <v>0</v>
      </c>
      <c r="AZ38" s="52">
        <f t="shared" ca="1" si="58"/>
        <v>0</v>
      </c>
      <c r="BA38" s="52">
        <f t="shared" ca="1" si="58"/>
        <v>0</v>
      </c>
      <c r="BB38" s="52">
        <f t="shared" ca="1" si="58"/>
        <v>0</v>
      </c>
      <c r="BC38" s="52">
        <f t="shared" ca="1" si="58"/>
        <v>0</v>
      </c>
      <c r="BD38" s="52">
        <f t="shared" ca="1" si="58"/>
        <v>0</v>
      </c>
      <c r="BE38" s="52">
        <f t="shared" ca="1" si="58"/>
        <v>0</v>
      </c>
      <c r="BF38" s="52">
        <f t="shared" ca="1" si="58"/>
        <v>0</v>
      </c>
      <c r="BG38" s="52">
        <f t="shared" ca="1" si="58"/>
        <v>0</v>
      </c>
      <c r="BH38" s="52">
        <f t="shared" ca="1" si="58"/>
        <v>0</v>
      </c>
      <c r="BI38" s="52">
        <f t="shared" ca="1" si="58"/>
        <v>0</v>
      </c>
      <c r="BJ38" s="52">
        <f t="shared" ca="1" si="58"/>
        <v>0</v>
      </c>
      <c r="BK38" s="52">
        <f t="shared" ca="1" si="58"/>
        <v>0</v>
      </c>
      <c r="BL38" s="52">
        <f t="shared" ca="1" si="58"/>
        <v>0</v>
      </c>
      <c r="BM38" s="52">
        <f t="shared" ca="1" si="58"/>
        <v>0</v>
      </c>
      <c r="BN38" s="52">
        <f t="shared" ca="1" si="58"/>
        <v>0</v>
      </c>
      <c r="BO38" s="52">
        <f t="shared" ca="1" si="58"/>
        <v>0</v>
      </c>
      <c r="BP38" s="52">
        <f t="shared" ca="1" si="58"/>
        <v>0</v>
      </c>
      <c r="BQ38" s="52">
        <f t="shared" ca="1" si="58"/>
        <v>0</v>
      </c>
      <c r="BR38" s="52">
        <f t="shared" ca="1" si="58"/>
        <v>0</v>
      </c>
      <c r="BS38" s="52">
        <f t="shared" ca="1" si="58"/>
        <v>0</v>
      </c>
      <c r="BT38" s="52">
        <f t="shared" ca="1" si="58"/>
        <v>0</v>
      </c>
      <c r="BU38" s="52">
        <f t="shared" ca="1" si="58"/>
        <v>0</v>
      </c>
      <c r="BV38" s="52">
        <f t="shared" ca="1" si="58"/>
        <v>0</v>
      </c>
      <c r="BW38" s="52">
        <f t="shared" ca="1" si="58"/>
        <v>0</v>
      </c>
      <c r="BX38" s="52">
        <f t="shared" ref="BX38:CO38" ca="1" si="59">-Debt_Repaiment*Flag_Construction</f>
        <v>0</v>
      </c>
      <c r="BY38" s="52">
        <f t="shared" ca="1" si="59"/>
        <v>0</v>
      </c>
      <c r="BZ38" s="52">
        <f t="shared" ca="1" si="59"/>
        <v>0</v>
      </c>
      <c r="CA38" s="52">
        <f t="shared" ca="1" si="59"/>
        <v>0</v>
      </c>
      <c r="CB38" s="52">
        <f t="shared" ca="1" si="59"/>
        <v>0</v>
      </c>
      <c r="CC38" s="52">
        <f t="shared" ca="1" si="59"/>
        <v>0</v>
      </c>
      <c r="CD38" s="52">
        <f t="shared" ca="1" si="59"/>
        <v>0</v>
      </c>
      <c r="CE38" s="52">
        <f t="shared" ca="1" si="59"/>
        <v>0</v>
      </c>
      <c r="CF38" s="52">
        <f t="shared" ca="1" si="59"/>
        <v>0</v>
      </c>
      <c r="CG38" s="52">
        <f t="shared" ca="1" si="59"/>
        <v>0</v>
      </c>
      <c r="CH38" s="52">
        <f t="shared" ca="1" si="59"/>
        <v>0</v>
      </c>
      <c r="CI38" s="52">
        <f t="shared" ca="1" si="59"/>
        <v>0</v>
      </c>
      <c r="CJ38" s="52">
        <f t="shared" ca="1" si="59"/>
        <v>0</v>
      </c>
      <c r="CK38" s="52">
        <f t="shared" ca="1" si="59"/>
        <v>0</v>
      </c>
      <c r="CL38" s="52">
        <f t="shared" ca="1" si="59"/>
        <v>0</v>
      </c>
      <c r="CM38" s="52">
        <f t="shared" ca="1" si="59"/>
        <v>0</v>
      </c>
      <c r="CN38" s="52">
        <f t="shared" ca="1" si="59"/>
        <v>0</v>
      </c>
      <c r="CO38" s="52">
        <f t="shared" ca="1" si="59"/>
        <v>0</v>
      </c>
    </row>
    <row r="39" spans="1:93" ht="15" customHeight="1">
      <c r="A39" s="47"/>
      <c r="B39" s="47"/>
      <c r="C39" s="416" t="s">
        <v>1131</v>
      </c>
      <c r="D39" s="153"/>
      <c r="E39" s="11"/>
      <c r="F39" s="11"/>
      <c r="G39" s="11" t="str">
        <f t="shared" si="42"/>
        <v>тыс. руб.</v>
      </c>
      <c r="H39" s="153"/>
      <c r="I39" s="23">
        <f t="shared" ref="I39:I44" ca="1" si="60">SUM(L39:CO39)</f>
        <v>0</v>
      </c>
      <c r="J39" s="153"/>
      <c r="K39" s="153"/>
      <c r="L39" s="52">
        <f t="shared" ref="L39:AQ39" ca="1" si="61">-Subord_Repayment*Flag_Construction</f>
        <v>0</v>
      </c>
      <c r="M39" s="52">
        <f t="shared" ca="1" si="61"/>
        <v>0</v>
      </c>
      <c r="N39" s="52">
        <f t="shared" ca="1" si="61"/>
        <v>0</v>
      </c>
      <c r="O39" s="52">
        <f t="shared" ca="1" si="61"/>
        <v>0</v>
      </c>
      <c r="P39" s="52">
        <f t="shared" ca="1" si="61"/>
        <v>0</v>
      </c>
      <c r="Q39" s="52">
        <f t="shared" ca="1" si="61"/>
        <v>0</v>
      </c>
      <c r="R39" s="52">
        <f t="shared" ca="1" si="61"/>
        <v>0</v>
      </c>
      <c r="S39" s="52">
        <f t="shared" ca="1" si="61"/>
        <v>0</v>
      </c>
      <c r="T39" s="52">
        <f t="shared" ca="1" si="61"/>
        <v>0</v>
      </c>
      <c r="U39" s="52">
        <f t="shared" ca="1" si="61"/>
        <v>0</v>
      </c>
      <c r="V39" s="52">
        <f t="shared" ca="1" si="61"/>
        <v>0</v>
      </c>
      <c r="W39" s="52">
        <f t="shared" ca="1" si="61"/>
        <v>0</v>
      </c>
      <c r="X39" s="52">
        <f t="shared" ca="1" si="61"/>
        <v>0</v>
      </c>
      <c r="Y39" s="52">
        <f t="shared" ca="1" si="61"/>
        <v>0</v>
      </c>
      <c r="Z39" s="52">
        <f t="shared" ca="1" si="61"/>
        <v>0</v>
      </c>
      <c r="AA39" s="52">
        <f t="shared" ca="1" si="61"/>
        <v>0</v>
      </c>
      <c r="AB39" s="52">
        <f t="shared" ca="1" si="61"/>
        <v>0</v>
      </c>
      <c r="AC39" s="52">
        <f t="shared" ca="1" si="61"/>
        <v>0</v>
      </c>
      <c r="AD39" s="52">
        <f t="shared" ca="1" si="61"/>
        <v>0</v>
      </c>
      <c r="AE39" s="52">
        <f t="shared" ca="1" si="61"/>
        <v>0</v>
      </c>
      <c r="AF39" s="52">
        <f t="shared" ca="1" si="61"/>
        <v>0</v>
      </c>
      <c r="AG39" s="52">
        <f t="shared" ca="1" si="61"/>
        <v>0</v>
      </c>
      <c r="AH39" s="52">
        <f t="shared" ca="1" si="61"/>
        <v>0</v>
      </c>
      <c r="AI39" s="52">
        <f t="shared" ca="1" si="61"/>
        <v>0</v>
      </c>
      <c r="AJ39" s="52">
        <f t="shared" ca="1" si="61"/>
        <v>0</v>
      </c>
      <c r="AK39" s="52">
        <f t="shared" ca="1" si="61"/>
        <v>0</v>
      </c>
      <c r="AL39" s="52">
        <f t="shared" ca="1" si="61"/>
        <v>0</v>
      </c>
      <c r="AM39" s="52">
        <f t="shared" ca="1" si="61"/>
        <v>0</v>
      </c>
      <c r="AN39" s="52">
        <f t="shared" ca="1" si="61"/>
        <v>0</v>
      </c>
      <c r="AO39" s="52">
        <f t="shared" ca="1" si="61"/>
        <v>0</v>
      </c>
      <c r="AP39" s="52">
        <f t="shared" ca="1" si="61"/>
        <v>0</v>
      </c>
      <c r="AQ39" s="52">
        <f t="shared" ca="1" si="61"/>
        <v>0</v>
      </c>
      <c r="AR39" s="52">
        <f t="shared" ref="AR39:BW39" ca="1" si="62">-Subord_Repayment*Flag_Construction</f>
        <v>0</v>
      </c>
      <c r="AS39" s="52">
        <f t="shared" ca="1" si="62"/>
        <v>0</v>
      </c>
      <c r="AT39" s="52">
        <f t="shared" ca="1" si="62"/>
        <v>0</v>
      </c>
      <c r="AU39" s="52">
        <f t="shared" ca="1" si="62"/>
        <v>0</v>
      </c>
      <c r="AV39" s="52">
        <f t="shared" ca="1" si="62"/>
        <v>0</v>
      </c>
      <c r="AW39" s="52">
        <f t="shared" ca="1" si="62"/>
        <v>0</v>
      </c>
      <c r="AX39" s="52">
        <f t="shared" ca="1" si="62"/>
        <v>0</v>
      </c>
      <c r="AY39" s="52">
        <f t="shared" ca="1" si="62"/>
        <v>0</v>
      </c>
      <c r="AZ39" s="52">
        <f t="shared" ca="1" si="62"/>
        <v>0</v>
      </c>
      <c r="BA39" s="52">
        <f t="shared" ca="1" si="62"/>
        <v>0</v>
      </c>
      <c r="BB39" s="52">
        <f t="shared" ca="1" si="62"/>
        <v>0</v>
      </c>
      <c r="BC39" s="52">
        <f t="shared" ca="1" si="62"/>
        <v>0</v>
      </c>
      <c r="BD39" s="52">
        <f t="shared" ca="1" si="62"/>
        <v>0</v>
      </c>
      <c r="BE39" s="52">
        <f t="shared" ca="1" si="62"/>
        <v>0</v>
      </c>
      <c r="BF39" s="52">
        <f t="shared" ca="1" si="62"/>
        <v>0</v>
      </c>
      <c r="BG39" s="52">
        <f t="shared" ca="1" si="62"/>
        <v>0</v>
      </c>
      <c r="BH39" s="52">
        <f t="shared" ca="1" si="62"/>
        <v>0</v>
      </c>
      <c r="BI39" s="52">
        <f t="shared" ca="1" si="62"/>
        <v>0</v>
      </c>
      <c r="BJ39" s="52">
        <f t="shared" ca="1" si="62"/>
        <v>0</v>
      </c>
      <c r="BK39" s="52">
        <f t="shared" ca="1" si="62"/>
        <v>0</v>
      </c>
      <c r="BL39" s="52">
        <f t="shared" ca="1" si="62"/>
        <v>0</v>
      </c>
      <c r="BM39" s="52">
        <f t="shared" ca="1" si="62"/>
        <v>0</v>
      </c>
      <c r="BN39" s="52">
        <f t="shared" ca="1" si="62"/>
        <v>0</v>
      </c>
      <c r="BO39" s="52">
        <f t="shared" ca="1" si="62"/>
        <v>0</v>
      </c>
      <c r="BP39" s="52">
        <f t="shared" ca="1" si="62"/>
        <v>0</v>
      </c>
      <c r="BQ39" s="52">
        <f t="shared" ca="1" si="62"/>
        <v>0</v>
      </c>
      <c r="BR39" s="52">
        <f t="shared" ca="1" si="62"/>
        <v>0</v>
      </c>
      <c r="BS39" s="52">
        <f t="shared" ca="1" si="62"/>
        <v>0</v>
      </c>
      <c r="BT39" s="52">
        <f t="shared" ca="1" si="62"/>
        <v>0</v>
      </c>
      <c r="BU39" s="52">
        <f t="shared" ca="1" si="62"/>
        <v>0</v>
      </c>
      <c r="BV39" s="52">
        <f t="shared" ca="1" si="62"/>
        <v>0</v>
      </c>
      <c r="BW39" s="52">
        <f t="shared" ca="1" si="62"/>
        <v>0</v>
      </c>
      <c r="BX39" s="52">
        <f t="shared" ref="BX39:CO39" ca="1" si="63">-Subord_Repayment*Flag_Construction</f>
        <v>0</v>
      </c>
      <c r="BY39" s="52">
        <f t="shared" ca="1" si="63"/>
        <v>0</v>
      </c>
      <c r="BZ39" s="52">
        <f t="shared" ca="1" si="63"/>
        <v>0</v>
      </c>
      <c r="CA39" s="52">
        <f t="shared" ca="1" si="63"/>
        <v>0</v>
      </c>
      <c r="CB39" s="52">
        <f t="shared" ca="1" si="63"/>
        <v>0</v>
      </c>
      <c r="CC39" s="52">
        <f t="shared" ca="1" si="63"/>
        <v>0</v>
      </c>
      <c r="CD39" s="52">
        <f t="shared" ca="1" si="63"/>
        <v>0</v>
      </c>
      <c r="CE39" s="52">
        <f t="shared" ca="1" si="63"/>
        <v>0</v>
      </c>
      <c r="CF39" s="52">
        <f t="shared" ca="1" si="63"/>
        <v>0</v>
      </c>
      <c r="CG39" s="52">
        <f t="shared" ca="1" si="63"/>
        <v>0</v>
      </c>
      <c r="CH39" s="52">
        <f t="shared" ca="1" si="63"/>
        <v>0</v>
      </c>
      <c r="CI39" s="52">
        <f t="shared" ca="1" si="63"/>
        <v>0</v>
      </c>
      <c r="CJ39" s="52">
        <f t="shared" ca="1" si="63"/>
        <v>0</v>
      </c>
      <c r="CK39" s="52">
        <f t="shared" ca="1" si="63"/>
        <v>0</v>
      </c>
      <c r="CL39" s="52">
        <f t="shared" ca="1" si="63"/>
        <v>0</v>
      </c>
      <c r="CM39" s="52">
        <f t="shared" ca="1" si="63"/>
        <v>0</v>
      </c>
      <c r="CN39" s="52">
        <f t="shared" ca="1" si="63"/>
        <v>0</v>
      </c>
      <c r="CO39" s="52">
        <f t="shared" ca="1" si="63"/>
        <v>0</v>
      </c>
    </row>
    <row r="40" spans="1:93" ht="15" customHeight="1">
      <c r="A40" s="47"/>
      <c r="B40" s="47"/>
      <c r="C40" s="415" t="s">
        <v>1133</v>
      </c>
      <c r="D40" s="153"/>
      <c r="E40" s="11"/>
      <c r="F40" s="11"/>
      <c r="G40" s="162" t="str">
        <f t="shared" si="42"/>
        <v>тыс. руб.</v>
      </c>
      <c r="H40" s="153"/>
      <c r="I40" s="176">
        <f ca="1">SUM(L40:CO40)</f>
        <v>617457.09245746897</v>
      </c>
      <c r="J40" s="153"/>
      <c r="K40" s="153"/>
      <c r="L40" s="132">
        <f ca="1">SUM(L41:L44)</f>
        <v>3371.9255688267931</v>
      </c>
      <c r="M40" s="132">
        <f t="shared" ref="M40:BX40" ca="1" si="64">SUM(M41:M44)</f>
        <v>3419.7896726333838</v>
      </c>
      <c r="N40" s="132">
        <f t="shared" ca="1" si="64"/>
        <v>3468.3332020045218</v>
      </c>
      <c r="O40" s="132">
        <f t="shared" ca="1" si="64"/>
        <v>3517.5658013095981</v>
      </c>
      <c r="P40" s="132">
        <f t="shared" ca="1" si="64"/>
        <v>29581.74843746073</v>
      </c>
      <c r="Q40" s="132">
        <f t="shared" ca="1" si="64"/>
        <v>29873.229431244363</v>
      </c>
      <c r="R40" s="132">
        <f t="shared" ca="1" si="64"/>
        <v>30167.582505761035</v>
      </c>
      <c r="S40" s="132">
        <f t="shared" ca="1" si="64"/>
        <v>30464.835960789846</v>
      </c>
      <c r="T40" s="132">
        <f t="shared" ca="1" si="64"/>
        <v>30765.018374959152</v>
      </c>
      <c r="U40" s="132">
        <f t="shared" ca="1" si="64"/>
        <v>31068.158608494123</v>
      </c>
      <c r="V40" s="132">
        <f t="shared" ca="1" si="64"/>
        <v>31374.285805991443</v>
      </c>
      <c r="W40" s="132">
        <f t="shared" ca="1" si="64"/>
        <v>31683.429399221437</v>
      </c>
      <c r="X40" s="132">
        <f t="shared" ca="1" si="64"/>
        <v>61262.581636075804</v>
      </c>
      <c r="Y40" s="132">
        <f t="shared" ca="1" si="64"/>
        <v>61866.226759175479</v>
      </c>
      <c r="Z40" s="132">
        <f t="shared" ca="1" si="64"/>
        <v>62475.819843084319</v>
      </c>
      <c r="AA40" s="132">
        <f t="shared" ca="1" si="64"/>
        <v>63091.419495478331</v>
      </c>
      <c r="AB40" s="132">
        <f t="shared" ca="1" si="64"/>
        <v>110005.14195495861</v>
      </c>
      <c r="AC40" s="132">
        <f t="shared" ca="1" si="64"/>
        <v>0</v>
      </c>
      <c r="AD40" s="132">
        <f t="shared" ca="1" si="64"/>
        <v>0</v>
      </c>
      <c r="AE40" s="132">
        <f t="shared" ca="1" si="64"/>
        <v>0</v>
      </c>
      <c r="AF40" s="132">
        <f t="shared" ca="1" si="64"/>
        <v>0</v>
      </c>
      <c r="AG40" s="132">
        <f t="shared" ca="1" si="64"/>
        <v>0</v>
      </c>
      <c r="AH40" s="132">
        <f t="shared" ca="1" si="64"/>
        <v>0</v>
      </c>
      <c r="AI40" s="132">
        <f t="shared" ca="1" si="64"/>
        <v>0</v>
      </c>
      <c r="AJ40" s="132">
        <f t="shared" ca="1" si="64"/>
        <v>0</v>
      </c>
      <c r="AK40" s="132">
        <f t="shared" ca="1" si="64"/>
        <v>0</v>
      </c>
      <c r="AL40" s="132">
        <f t="shared" ca="1" si="64"/>
        <v>0</v>
      </c>
      <c r="AM40" s="132">
        <f t="shared" ca="1" si="64"/>
        <v>0</v>
      </c>
      <c r="AN40" s="132">
        <f t="shared" ca="1" si="64"/>
        <v>0</v>
      </c>
      <c r="AO40" s="132">
        <f t="shared" ca="1" si="64"/>
        <v>0</v>
      </c>
      <c r="AP40" s="132">
        <f t="shared" ca="1" si="64"/>
        <v>0</v>
      </c>
      <c r="AQ40" s="132">
        <f t="shared" ca="1" si="64"/>
        <v>0</v>
      </c>
      <c r="AR40" s="132">
        <f t="shared" ca="1" si="64"/>
        <v>0</v>
      </c>
      <c r="AS40" s="132">
        <f t="shared" ca="1" si="64"/>
        <v>0</v>
      </c>
      <c r="AT40" s="132">
        <f t="shared" ca="1" si="64"/>
        <v>0</v>
      </c>
      <c r="AU40" s="132">
        <f t="shared" ca="1" si="64"/>
        <v>0</v>
      </c>
      <c r="AV40" s="132">
        <f t="shared" ca="1" si="64"/>
        <v>0</v>
      </c>
      <c r="AW40" s="132">
        <f t="shared" ca="1" si="64"/>
        <v>0</v>
      </c>
      <c r="AX40" s="132">
        <f t="shared" ca="1" si="64"/>
        <v>0</v>
      </c>
      <c r="AY40" s="132">
        <f t="shared" ca="1" si="64"/>
        <v>0</v>
      </c>
      <c r="AZ40" s="132">
        <f t="shared" ca="1" si="64"/>
        <v>0</v>
      </c>
      <c r="BA40" s="132">
        <f t="shared" ca="1" si="64"/>
        <v>0</v>
      </c>
      <c r="BB40" s="132">
        <f t="shared" ca="1" si="64"/>
        <v>0</v>
      </c>
      <c r="BC40" s="132">
        <f t="shared" ca="1" si="64"/>
        <v>0</v>
      </c>
      <c r="BD40" s="132">
        <f t="shared" ca="1" si="64"/>
        <v>0</v>
      </c>
      <c r="BE40" s="132">
        <f t="shared" ca="1" si="64"/>
        <v>0</v>
      </c>
      <c r="BF40" s="132">
        <f t="shared" ca="1" si="64"/>
        <v>0</v>
      </c>
      <c r="BG40" s="132">
        <f t="shared" ca="1" si="64"/>
        <v>0</v>
      </c>
      <c r="BH40" s="132">
        <f t="shared" ca="1" si="64"/>
        <v>0</v>
      </c>
      <c r="BI40" s="132">
        <f t="shared" ca="1" si="64"/>
        <v>0</v>
      </c>
      <c r="BJ40" s="132">
        <f t="shared" ca="1" si="64"/>
        <v>0</v>
      </c>
      <c r="BK40" s="132">
        <f t="shared" ca="1" si="64"/>
        <v>0</v>
      </c>
      <c r="BL40" s="132">
        <f t="shared" ca="1" si="64"/>
        <v>0</v>
      </c>
      <c r="BM40" s="132">
        <f t="shared" ca="1" si="64"/>
        <v>0</v>
      </c>
      <c r="BN40" s="132">
        <f t="shared" ca="1" si="64"/>
        <v>0</v>
      </c>
      <c r="BO40" s="132">
        <f t="shared" ca="1" si="64"/>
        <v>0</v>
      </c>
      <c r="BP40" s="132">
        <f t="shared" ca="1" si="64"/>
        <v>0</v>
      </c>
      <c r="BQ40" s="132">
        <f t="shared" ca="1" si="64"/>
        <v>0</v>
      </c>
      <c r="BR40" s="132">
        <f t="shared" ca="1" si="64"/>
        <v>0</v>
      </c>
      <c r="BS40" s="132">
        <f t="shared" ca="1" si="64"/>
        <v>0</v>
      </c>
      <c r="BT40" s="132">
        <f t="shared" ca="1" si="64"/>
        <v>0</v>
      </c>
      <c r="BU40" s="132">
        <f t="shared" ca="1" si="64"/>
        <v>0</v>
      </c>
      <c r="BV40" s="132">
        <f t="shared" ca="1" si="64"/>
        <v>0</v>
      </c>
      <c r="BW40" s="132">
        <f t="shared" ca="1" si="64"/>
        <v>0</v>
      </c>
      <c r="BX40" s="132">
        <f t="shared" ca="1" si="64"/>
        <v>0</v>
      </c>
      <c r="BY40" s="132">
        <f t="shared" ref="BY40:CO40" ca="1" si="65">SUM(BY41:BY44)</f>
        <v>0</v>
      </c>
      <c r="BZ40" s="132">
        <f t="shared" ca="1" si="65"/>
        <v>0</v>
      </c>
      <c r="CA40" s="132">
        <f t="shared" ca="1" si="65"/>
        <v>0</v>
      </c>
      <c r="CB40" s="132">
        <f t="shared" ca="1" si="65"/>
        <v>0</v>
      </c>
      <c r="CC40" s="132">
        <f t="shared" ca="1" si="65"/>
        <v>0</v>
      </c>
      <c r="CD40" s="132">
        <f t="shared" ca="1" si="65"/>
        <v>0</v>
      </c>
      <c r="CE40" s="132">
        <f t="shared" ca="1" si="65"/>
        <v>0</v>
      </c>
      <c r="CF40" s="132">
        <f t="shared" ca="1" si="65"/>
        <v>0</v>
      </c>
      <c r="CG40" s="132">
        <f t="shared" ca="1" si="65"/>
        <v>0</v>
      </c>
      <c r="CH40" s="132">
        <f t="shared" ca="1" si="65"/>
        <v>0</v>
      </c>
      <c r="CI40" s="132">
        <f t="shared" ca="1" si="65"/>
        <v>0</v>
      </c>
      <c r="CJ40" s="132">
        <f t="shared" ca="1" si="65"/>
        <v>0</v>
      </c>
      <c r="CK40" s="132">
        <f t="shared" ca="1" si="65"/>
        <v>0</v>
      </c>
      <c r="CL40" s="132">
        <f t="shared" ca="1" si="65"/>
        <v>0</v>
      </c>
      <c r="CM40" s="132">
        <f t="shared" ca="1" si="65"/>
        <v>0</v>
      </c>
      <c r="CN40" s="132">
        <f t="shared" ca="1" si="65"/>
        <v>0</v>
      </c>
      <c r="CO40" s="132">
        <f t="shared" ca="1" si="65"/>
        <v>0</v>
      </c>
    </row>
    <row r="41" spans="1:93" ht="15" customHeight="1">
      <c r="A41" s="47"/>
      <c r="B41" s="47"/>
      <c r="C41" s="416" t="s">
        <v>1132</v>
      </c>
      <c r="D41" s="153"/>
      <c r="E41" s="11"/>
      <c r="F41" s="11"/>
      <c r="G41" s="11" t="str">
        <f t="shared" si="42"/>
        <v>тыс. руб.</v>
      </c>
      <c r="H41" s="153"/>
      <c r="I41" s="23">
        <f t="shared" ca="1" si="60"/>
        <v>617457.09245746897</v>
      </c>
      <c r="J41" s="153"/>
      <c r="K41" s="153"/>
      <c r="L41" s="52">
        <f t="shared" ref="L41:AQ41" ca="1" si="66">(-VAT_Cash_Flow+VAT_from_Investor)*Flag_Construction+L21</f>
        <v>3371.9255688267931</v>
      </c>
      <c r="M41" s="52">
        <f t="shared" ca="1" si="66"/>
        <v>3419.7896726333838</v>
      </c>
      <c r="N41" s="52">
        <f t="shared" ca="1" si="66"/>
        <v>3468.3332020045218</v>
      </c>
      <c r="O41" s="52">
        <f t="shared" ca="1" si="66"/>
        <v>3517.5658013095981</v>
      </c>
      <c r="P41" s="52">
        <f t="shared" ca="1" si="66"/>
        <v>29581.74843746073</v>
      </c>
      <c r="Q41" s="52">
        <f t="shared" ca="1" si="66"/>
        <v>29873.229431244363</v>
      </c>
      <c r="R41" s="52">
        <f t="shared" ca="1" si="66"/>
        <v>30167.582505761035</v>
      </c>
      <c r="S41" s="52">
        <f t="shared" ca="1" si="66"/>
        <v>30464.835960789846</v>
      </c>
      <c r="T41" s="52">
        <f t="shared" ca="1" si="66"/>
        <v>30765.018374959152</v>
      </c>
      <c r="U41" s="52">
        <f t="shared" ca="1" si="66"/>
        <v>31068.158608494123</v>
      </c>
      <c r="V41" s="52">
        <f t="shared" ca="1" si="66"/>
        <v>31374.285805991443</v>
      </c>
      <c r="W41" s="52">
        <f t="shared" ca="1" si="66"/>
        <v>31683.429399221437</v>
      </c>
      <c r="X41" s="52">
        <f t="shared" ca="1" si="66"/>
        <v>61262.581636075804</v>
      </c>
      <c r="Y41" s="52">
        <f t="shared" ca="1" si="66"/>
        <v>61866.226759175479</v>
      </c>
      <c r="Z41" s="52">
        <f t="shared" ca="1" si="66"/>
        <v>62475.819843084319</v>
      </c>
      <c r="AA41" s="52">
        <f t="shared" ca="1" si="66"/>
        <v>63091.419495478331</v>
      </c>
      <c r="AB41" s="52">
        <f t="shared" ca="1" si="66"/>
        <v>110005.14195495861</v>
      </c>
      <c r="AC41" s="52">
        <f t="shared" ca="1" si="66"/>
        <v>0</v>
      </c>
      <c r="AD41" s="52">
        <f t="shared" ca="1" si="66"/>
        <v>0</v>
      </c>
      <c r="AE41" s="52">
        <f t="shared" ca="1" si="66"/>
        <v>0</v>
      </c>
      <c r="AF41" s="52">
        <f t="shared" ca="1" si="66"/>
        <v>0</v>
      </c>
      <c r="AG41" s="52">
        <f t="shared" ca="1" si="66"/>
        <v>0</v>
      </c>
      <c r="AH41" s="52">
        <f t="shared" ca="1" si="66"/>
        <v>0</v>
      </c>
      <c r="AI41" s="52">
        <f t="shared" ca="1" si="66"/>
        <v>0</v>
      </c>
      <c r="AJ41" s="52">
        <f t="shared" ca="1" si="66"/>
        <v>0</v>
      </c>
      <c r="AK41" s="52">
        <f t="shared" ca="1" si="66"/>
        <v>0</v>
      </c>
      <c r="AL41" s="52">
        <f t="shared" ca="1" si="66"/>
        <v>0</v>
      </c>
      <c r="AM41" s="52">
        <f t="shared" ca="1" si="66"/>
        <v>0</v>
      </c>
      <c r="AN41" s="52">
        <f t="shared" ca="1" si="66"/>
        <v>0</v>
      </c>
      <c r="AO41" s="52">
        <f t="shared" ca="1" si="66"/>
        <v>0</v>
      </c>
      <c r="AP41" s="52">
        <f t="shared" ca="1" si="66"/>
        <v>0</v>
      </c>
      <c r="AQ41" s="52">
        <f t="shared" ca="1" si="66"/>
        <v>0</v>
      </c>
      <c r="AR41" s="52">
        <f t="shared" ref="AR41:BW41" ca="1" si="67">(-VAT_Cash_Flow+VAT_from_Investor)*Flag_Construction+AR21</f>
        <v>0</v>
      </c>
      <c r="AS41" s="52">
        <f t="shared" ca="1" si="67"/>
        <v>0</v>
      </c>
      <c r="AT41" s="52">
        <f t="shared" ca="1" si="67"/>
        <v>0</v>
      </c>
      <c r="AU41" s="52">
        <f t="shared" ca="1" si="67"/>
        <v>0</v>
      </c>
      <c r="AV41" s="52">
        <f t="shared" ca="1" si="67"/>
        <v>0</v>
      </c>
      <c r="AW41" s="52">
        <f t="shared" ca="1" si="67"/>
        <v>0</v>
      </c>
      <c r="AX41" s="52">
        <f t="shared" ca="1" si="67"/>
        <v>0</v>
      </c>
      <c r="AY41" s="52">
        <f t="shared" ca="1" si="67"/>
        <v>0</v>
      </c>
      <c r="AZ41" s="52">
        <f t="shared" ca="1" si="67"/>
        <v>0</v>
      </c>
      <c r="BA41" s="52">
        <f t="shared" ca="1" si="67"/>
        <v>0</v>
      </c>
      <c r="BB41" s="52">
        <f t="shared" ca="1" si="67"/>
        <v>0</v>
      </c>
      <c r="BC41" s="52">
        <f t="shared" ca="1" si="67"/>
        <v>0</v>
      </c>
      <c r="BD41" s="52">
        <f t="shared" ca="1" si="67"/>
        <v>0</v>
      </c>
      <c r="BE41" s="52">
        <f t="shared" ca="1" si="67"/>
        <v>0</v>
      </c>
      <c r="BF41" s="52">
        <f t="shared" ca="1" si="67"/>
        <v>0</v>
      </c>
      <c r="BG41" s="52">
        <f t="shared" ca="1" si="67"/>
        <v>0</v>
      </c>
      <c r="BH41" s="52">
        <f t="shared" ca="1" si="67"/>
        <v>0</v>
      </c>
      <c r="BI41" s="52">
        <f t="shared" ca="1" si="67"/>
        <v>0</v>
      </c>
      <c r="BJ41" s="52">
        <f t="shared" ca="1" si="67"/>
        <v>0</v>
      </c>
      <c r="BK41" s="52">
        <f t="shared" ca="1" si="67"/>
        <v>0</v>
      </c>
      <c r="BL41" s="52">
        <f t="shared" ca="1" si="67"/>
        <v>0</v>
      </c>
      <c r="BM41" s="52">
        <f t="shared" ca="1" si="67"/>
        <v>0</v>
      </c>
      <c r="BN41" s="52">
        <f t="shared" ca="1" si="67"/>
        <v>0</v>
      </c>
      <c r="BO41" s="52">
        <f t="shared" ca="1" si="67"/>
        <v>0</v>
      </c>
      <c r="BP41" s="52">
        <f t="shared" ca="1" si="67"/>
        <v>0</v>
      </c>
      <c r="BQ41" s="52">
        <f t="shared" ca="1" si="67"/>
        <v>0</v>
      </c>
      <c r="BR41" s="52">
        <f t="shared" ca="1" si="67"/>
        <v>0</v>
      </c>
      <c r="BS41" s="52">
        <f t="shared" ca="1" si="67"/>
        <v>0</v>
      </c>
      <c r="BT41" s="52">
        <f t="shared" ca="1" si="67"/>
        <v>0</v>
      </c>
      <c r="BU41" s="52">
        <f t="shared" ca="1" si="67"/>
        <v>0</v>
      </c>
      <c r="BV41" s="52">
        <f t="shared" ca="1" si="67"/>
        <v>0</v>
      </c>
      <c r="BW41" s="52">
        <f t="shared" ca="1" si="67"/>
        <v>0</v>
      </c>
      <c r="BX41" s="52">
        <f t="shared" ref="BX41:CO41" ca="1" si="68">(-VAT_Cash_Flow+VAT_from_Investor)*Flag_Construction+BX21</f>
        <v>0</v>
      </c>
      <c r="BY41" s="52">
        <f t="shared" ca="1" si="68"/>
        <v>0</v>
      </c>
      <c r="BZ41" s="52">
        <f t="shared" ca="1" si="68"/>
        <v>0</v>
      </c>
      <c r="CA41" s="52">
        <f t="shared" ca="1" si="68"/>
        <v>0</v>
      </c>
      <c r="CB41" s="52">
        <f t="shared" ca="1" si="68"/>
        <v>0</v>
      </c>
      <c r="CC41" s="52">
        <f t="shared" ca="1" si="68"/>
        <v>0</v>
      </c>
      <c r="CD41" s="52">
        <f t="shared" ca="1" si="68"/>
        <v>0</v>
      </c>
      <c r="CE41" s="52">
        <f t="shared" ca="1" si="68"/>
        <v>0</v>
      </c>
      <c r="CF41" s="52">
        <f t="shared" ca="1" si="68"/>
        <v>0</v>
      </c>
      <c r="CG41" s="52">
        <f t="shared" ca="1" si="68"/>
        <v>0</v>
      </c>
      <c r="CH41" s="52">
        <f t="shared" ca="1" si="68"/>
        <v>0</v>
      </c>
      <c r="CI41" s="52">
        <f t="shared" ca="1" si="68"/>
        <v>0</v>
      </c>
      <c r="CJ41" s="52">
        <f t="shared" ca="1" si="68"/>
        <v>0</v>
      </c>
      <c r="CK41" s="52">
        <f t="shared" ca="1" si="68"/>
        <v>0</v>
      </c>
      <c r="CL41" s="52">
        <f t="shared" ca="1" si="68"/>
        <v>0</v>
      </c>
      <c r="CM41" s="52">
        <f t="shared" ca="1" si="68"/>
        <v>0</v>
      </c>
      <c r="CN41" s="52">
        <f t="shared" ca="1" si="68"/>
        <v>0</v>
      </c>
      <c r="CO41" s="52">
        <f t="shared" ca="1" si="68"/>
        <v>0</v>
      </c>
    </row>
    <row r="42" spans="1:93" ht="15" customHeight="1">
      <c r="A42" s="47"/>
      <c r="B42" s="47"/>
      <c r="C42" s="416" t="s">
        <v>1194</v>
      </c>
      <c r="D42" s="153"/>
      <c r="E42" s="11"/>
      <c r="F42" s="11"/>
      <c r="G42" s="11" t="str">
        <f t="shared" si="42"/>
        <v>тыс. руб.</v>
      </c>
      <c r="H42" s="153"/>
      <c r="I42" s="23">
        <f ca="1">SUM(L42:CO42)</f>
        <v>0</v>
      </c>
      <c r="J42" s="153"/>
      <c r="K42" s="153"/>
      <c r="L42" s="52">
        <f t="shared" ref="L42:AQ42" ca="1" si="69">-COGS_Capitalised-SGA_Capitalised</f>
        <v>0</v>
      </c>
      <c r="M42" s="52">
        <f t="shared" ca="1" si="69"/>
        <v>0</v>
      </c>
      <c r="N42" s="52">
        <f t="shared" ca="1" si="69"/>
        <v>0</v>
      </c>
      <c r="O42" s="52">
        <f t="shared" ca="1" si="69"/>
        <v>0</v>
      </c>
      <c r="P42" s="52">
        <f t="shared" ca="1" si="69"/>
        <v>0</v>
      </c>
      <c r="Q42" s="52">
        <f t="shared" ca="1" si="69"/>
        <v>0</v>
      </c>
      <c r="R42" s="52">
        <f t="shared" ca="1" si="69"/>
        <v>0</v>
      </c>
      <c r="S42" s="52">
        <f t="shared" ca="1" si="69"/>
        <v>0</v>
      </c>
      <c r="T42" s="52">
        <f t="shared" ca="1" si="69"/>
        <v>0</v>
      </c>
      <c r="U42" s="52">
        <f t="shared" ca="1" si="69"/>
        <v>0</v>
      </c>
      <c r="V42" s="52">
        <f t="shared" ca="1" si="69"/>
        <v>0</v>
      </c>
      <c r="W42" s="52">
        <f t="shared" ca="1" si="69"/>
        <v>0</v>
      </c>
      <c r="X42" s="52">
        <f t="shared" ca="1" si="69"/>
        <v>0</v>
      </c>
      <c r="Y42" s="52">
        <f t="shared" ca="1" si="69"/>
        <v>0</v>
      </c>
      <c r="Z42" s="52">
        <f t="shared" ca="1" si="69"/>
        <v>0</v>
      </c>
      <c r="AA42" s="52">
        <f t="shared" ca="1" si="69"/>
        <v>0</v>
      </c>
      <c r="AB42" s="52">
        <f t="shared" ca="1" si="69"/>
        <v>0</v>
      </c>
      <c r="AC42" s="52">
        <f t="shared" ca="1" si="69"/>
        <v>0</v>
      </c>
      <c r="AD42" s="52">
        <f t="shared" ca="1" si="69"/>
        <v>0</v>
      </c>
      <c r="AE42" s="52">
        <f t="shared" ca="1" si="69"/>
        <v>0</v>
      </c>
      <c r="AF42" s="52">
        <f t="shared" ca="1" si="69"/>
        <v>0</v>
      </c>
      <c r="AG42" s="52">
        <f t="shared" ca="1" si="69"/>
        <v>0</v>
      </c>
      <c r="AH42" s="52">
        <f t="shared" ca="1" si="69"/>
        <v>0</v>
      </c>
      <c r="AI42" s="52">
        <f t="shared" ca="1" si="69"/>
        <v>0</v>
      </c>
      <c r="AJ42" s="52">
        <f t="shared" ca="1" si="69"/>
        <v>0</v>
      </c>
      <c r="AK42" s="52">
        <f t="shared" ca="1" si="69"/>
        <v>0</v>
      </c>
      <c r="AL42" s="52">
        <f t="shared" ca="1" si="69"/>
        <v>0</v>
      </c>
      <c r="AM42" s="52">
        <f t="shared" ca="1" si="69"/>
        <v>0</v>
      </c>
      <c r="AN42" s="52">
        <f t="shared" ca="1" si="69"/>
        <v>0</v>
      </c>
      <c r="AO42" s="52">
        <f t="shared" ca="1" si="69"/>
        <v>0</v>
      </c>
      <c r="AP42" s="52">
        <f t="shared" ca="1" si="69"/>
        <v>0</v>
      </c>
      <c r="AQ42" s="52">
        <f t="shared" ca="1" si="69"/>
        <v>0</v>
      </c>
      <c r="AR42" s="52">
        <f t="shared" ref="AR42:BW42" ca="1" si="70">-COGS_Capitalised-SGA_Capitalised</f>
        <v>0</v>
      </c>
      <c r="AS42" s="52">
        <f t="shared" ca="1" si="70"/>
        <v>0</v>
      </c>
      <c r="AT42" s="52">
        <f t="shared" ca="1" si="70"/>
        <v>0</v>
      </c>
      <c r="AU42" s="52">
        <f t="shared" ca="1" si="70"/>
        <v>0</v>
      </c>
      <c r="AV42" s="52">
        <f t="shared" ca="1" si="70"/>
        <v>0</v>
      </c>
      <c r="AW42" s="52">
        <f t="shared" ca="1" si="70"/>
        <v>0</v>
      </c>
      <c r="AX42" s="52">
        <f t="shared" ca="1" si="70"/>
        <v>0</v>
      </c>
      <c r="AY42" s="52">
        <f t="shared" ca="1" si="70"/>
        <v>0</v>
      </c>
      <c r="AZ42" s="52">
        <f t="shared" ca="1" si="70"/>
        <v>0</v>
      </c>
      <c r="BA42" s="52">
        <f t="shared" ca="1" si="70"/>
        <v>0</v>
      </c>
      <c r="BB42" s="52">
        <f t="shared" ca="1" si="70"/>
        <v>0</v>
      </c>
      <c r="BC42" s="52">
        <f t="shared" ca="1" si="70"/>
        <v>0</v>
      </c>
      <c r="BD42" s="52">
        <f t="shared" ca="1" si="70"/>
        <v>0</v>
      </c>
      <c r="BE42" s="52">
        <f t="shared" ca="1" si="70"/>
        <v>0</v>
      </c>
      <c r="BF42" s="52">
        <f t="shared" ca="1" si="70"/>
        <v>0</v>
      </c>
      <c r="BG42" s="52">
        <f t="shared" ca="1" si="70"/>
        <v>0</v>
      </c>
      <c r="BH42" s="52">
        <f t="shared" ca="1" si="70"/>
        <v>0</v>
      </c>
      <c r="BI42" s="52">
        <f t="shared" ca="1" si="70"/>
        <v>0</v>
      </c>
      <c r="BJ42" s="52">
        <f t="shared" ca="1" si="70"/>
        <v>0</v>
      </c>
      <c r="BK42" s="52">
        <f t="shared" ca="1" si="70"/>
        <v>0</v>
      </c>
      <c r="BL42" s="52">
        <f t="shared" ca="1" si="70"/>
        <v>0</v>
      </c>
      <c r="BM42" s="52">
        <f t="shared" ca="1" si="70"/>
        <v>0</v>
      </c>
      <c r="BN42" s="52">
        <f t="shared" ca="1" si="70"/>
        <v>0</v>
      </c>
      <c r="BO42" s="52">
        <f t="shared" ca="1" si="70"/>
        <v>0</v>
      </c>
      <c r="BP42" s="52">
        <f t="shared" ca="1" si="70"/>
        <v>0</v>
      </c>
      <c r="BQ42" s="52">
        <f t="shared" ca="1" si="70"/>
        <v>0</v>
      </c>
      <c r="BR42" s="52">
        <f t="shared" ca="1" si="70"/>
        <v>0</v>
      </c>
      <c r="BS42" s="52">
        <f t="shared" ca="1" si="70"/>
        <v>0</v>
      </c>
      <c r="BT42" s="52">
        <f t="shared" ca="1" si="70"/>
        <v>0</v>
      </c>
      <c r="BU42" s="52">
        <f t="shared" ca="1" si="70"/>
        <v>0</v>
      </c>
      <c r="BV42" s="52">
        <f t="shared" ca="1" si="70"/>
        <v>0</v>
      </c>
      <c r="BW42" s="52">
        <f t="shared" ca="1" si="70"/>
        <v>0</v>
      </c>
      <c r="BX42" s="52">
        <f t="shared" ref="BX42:CO42" ca="1" si="71">-COGS_Capitalised-SGA_Capitalised</f>
        <v>0</v>
      </c>
      <c r="BY42" s="52">
        <f t="shared" ca="1" si="71"/>
        <v>0</v>
      </c>
      <c r="BZ42" s="52">
        <f t="shared" ca="1" si="71"/>
        <v>0</v>
      </c>
      <c r="CA42" s="52">
        <f t="shared" ca="1" si="71"/>
        <v>0</v>
      </c>
      <c r="CB42" s="52">
        <f t="shared" ca="1" si="71"/>
        <v>0</v>
      </c>
      <c r="CC42" s="52">
        <f t="shared" ca="1" si="71"/>
        <v>0</v>
      </c>
      <c r="CD42" s="52">
        <f t="shared" ca="1" si="71"/>
        <v>0</v>
      </c>
      <c r="CE42" s="52">
        <f t="shared" ca="1" si="71"/>
        <v>0</v>
      </c>
      <c r="CF42" s="52">
        <f t="shared" ca="1" si="71"/>
        <v>0</v>
      </c>
      <c r="CG42" s="52">
        <f t="shared" ca="1" si="71"/>
        <v>0</v>
      </c>
      <c r="CH42" s="52">
        <f t="shared" ca="1" si="71"/>
        <v>0</v>
      </c>
      <c r="CI42" s="52">
        <f t="shared" ca="1" si="71"/>
        <v>0</v>
      </c>
      <c r="CJ42" s="52">
        <f t="shared" ca="1" si="71"/>
        <v>0</v>
      </c>
      <c r="CK42" s="52">
        <f t="shared" ca="1" si="71"/>
        <v>0</v>
      </c>
      <c r="CL42" s="52">
        <f t="shared" ca="1" si="71"/>
        <v>0</v>
      </c>
      <c r="CM42" s="52">
        <f t="shared" ca="1" si="71"/>
        <v>0</v>
      </c>
      <c r="CN42" s="52">
        <f t="shared" ca="1" si="71"/>
        <v>0</v>
      </c>
      <c r="CO42" s="52">
        <f t="shared" ca="1" si="71"/>
        <v>0</v>
      </c>
    </row>
    <row r="43" spans="1:93" ht="15" customHeight="1">
      <c r="A43" s="47"/>
      <c r="B43" s="47"/>
      <c r="C43" s="416" t="s">
        <v>511</v>
      </c>
      <c r="D43" s="153"/>
      <c r="E43" s="11"/>
      <c r="F43" s="11"/>
      <c r="G43" s="11" t="str">
        <f t="shared" si="42"/>
        <v>тыс. руб.</v>
      </c>
      <c r="H43" s="153"/>
      <c r="I43" s="23">
        <f t="shared" ca="1" si="60"/>
        <v>0</v>
      </c>
      <c r="J43" s="153"/>
      <c r="K43" s="153"/>
      <c r="L43" s="52">
        <f t="shared" ref="L43:AQ43" ca="1" si="72">-MIN(WC_Cash_Flow*Flag_Construction,0)</f>
        <v>0</v>
      </c>
      <c r="M43" s="52">
        <f t="shared" ca="1" si="72"/>
        <v>0</v>
      </c>
      <c r="N43" s="52">
        <f t="shared" ca="1" si="72"/>
        <v>0</v>
      </c>
      <c r="O43" s="52">
        <f t="shared" ca="1" si="72"/>
        <v>0</v>
      </c>
      <c r="P43" s="52">
        <f t="shared" ca="1" si="72"/>
        <v>0</v>
      </c>
      <c r="Q43" s="52">
        <f t="shared" ca="1" si="72"/>
        <v>0</v>
      </c>
      <c r="R43" s="52">
        <f t="shared" ca="1" si="72"/>
        <v>0</v>
      </c>
      <c r="S43" s="52">
        <f t="shared" ca="1" si="72"/>
        <v>0</v>
      </c>
      <c r="T43" s="52">
        <f t="shared" ca="1" si="72"/>
        <v>0</v>
      </c>
      <c r="U43" s="52">
        <f t="shared" ca="1" si="72"/>
        <v>0</v>
      </c>
      <c r="V43" s="52">
        <f t="shared" ca="1" si="72"/>
        <v>0</v>
      </c>
      <c r="W43" s="52">
        <f t="shared" ca="1" si="72"/>
        <v>0</v>
      </c>
      <c r="X43" s="52">
        <f t="shared" ca="1" si="72"/>
        <v>0</v>
      </c>
      <c r="Y43" s="52">
        <f t="shared" ca="1" si="72"/>
        <v>0</v>
      </c>
      <c r="Z43" s="52">
        <f t="shared" ca="1" si="72"/>
        <v>0</v>
      </c>
      <c r="AA43" s="52">
        <f t="shared" ca="1" si="72"/>
        <v>0</v>
      </c>
      <c r="AB43" s="52">
        <f t="shared" ca="1" si="72"/>
        <v>0</v>
      </c>
      <c r="AC43" s="52">
        <f t="shared" ca="1" si="72"/>
        <v>0</v>
      </c>
      <c r="AD43" s="52">
        <f t="shared" ca="1" si="72"/>
        <v>0</v>
      </c>
      <c r="AE43" s="52">
        <f t="shared" ca="1" si="72"/>
        <v>0</v>
      </c>
      <c r="AF43" s="52">
        <f t="shared" ca="1" si="72"/>
        <v>0</v>
      </c>
      <c r="AG43" s="52">
        <f t="shared" ca="1" si="72"/>
        <v>0</v>
      </c>
      <c r="AH43" s="52">
        <f t="shared" ca="1" si="72"/>
        <v>0</v>
      </c>
      <c r="AI43" s="52">
        <f t="shared" ca="1" si="72"/>
        <v>0</v>
      </c>
      <c r="AJ43" s="52">
        <f t="shared" ca="1" si="72"/>
        <v>0</v>
      </c>
      <c r="AK43" s="52">
        <f t="shared" ca="1" si="72"/>
        <v>0</v>
      </c>
      <c r="AL43" s="52">
        <f t="shared" ca="1" si="72"/>
        <v>0</v>
      </c>
      <c r="AM43" s="52">
        <f t="shared" ca="1" si="72"/>
        <v>0</v>
      </c>
      <c r="AN43" s="52">
        <f t="shared" ca="1" si="72"/>
        <v>0</v>
      </c>
      <c r="AO43" s="52">
        <f t="shared" ca="1" si="72"/>
        <v>0</v>
      </c>
      <c r="AP43" s="52">
        <f t="shared" ca="1" si="72"/>
        <v>0</v>
      </c>
      <c r="AQ43" s="52">
        <f t="shared" ca="1" si="72"/>
        <v>0</v>
      </c>
      <c r="AR43" s="52">
        <f t="shared" ref="AR43:BW43" ca="1" si="73">-MIN(WC_Cash_Flow*Flag_Construction,0)</f>
        <v>0</v>
      </c>
      <c r="AS43" s="52">
        <f t="shared" ca="1" si="73"/>
        <v>0</v>
      </c>
      <c r="AT43" s="52">
        <f t="shared" ca="1" si="73"/>
        <v>0</v>
      </c>
      <c r="AU43" s="52">
        <f t="shared" ca="1" si="73"/>
        <v>0</v>
      </c>
      <c r="AV43" s="52">
        <f t="shared" ca="1" si="73"/>
        <v>0</v>
      </c>
      <c r="AW43" s="52">
        <f t="shared" ca="1" si="73"/>
        <v>0</v>
      </c>
      <c r="AX43" s="52">
        <f t="shared" ca="1" si="73"/>
        <v>0</v>
      </c>
      <c r="AY43" s="52">
        <f t="shared" ca="1" si="73"/>
        <v>0</v>
      </c>
      <c r="AZ43" s="52">
        <f t="shared" ca="1" si="73"/>
        <v>0</v>
      </c>
      <c r="BA43" s="52">
        <f t="shared" ca="1" si="73"/>
        <v>0</v>
      </c>
      <c r="BB43" s="52">
        <f t="shared" ca="1" si="73"/>
        <v>0</v>
      </c>
      <c r="BC43" s="52">
        <f t="shared" ca="1" si="73"/>
        <v>0</v>
      </c>
      <c r="BD43" s="52">
        <f t="shared" ca="1" si="73"/>
        <v>0</v>
      </c>
      <c r="BE43" s="52">
        <f t="shared" ca="1" si="73"/>
        <v>0</v>
      </c>
      <c r="BF43" s="52">
        <f t="shared" ca="1" si="73"/>
        <v>0</v>
      </c>
      <c r="BG43" s="52">
        <f t="shared" ca="1" si="73"/>
        <v>0</v>
      </c>
      <c r="BH43" s="52">
        <f t="shared" ca="1" si="73"/>
        <v>0</v>
      </c>
      <c r="BI43" s="52">
        <f t="shared" ca="1" si="73"/>
        <v>0</v>
      </c>
      <c r="BJ43" s="52">
        <f t="shared" ca="1" si="73"/>
        <v>0</v>
      </c>
      <c r="BK43" s="52">
        <f t="shared" ca="1" si="73"/>
        <v>0</v>
      </c>
      <c r="BL43" s="52">
        <f t="shared" ca="1" si="73"/>
        <v>0</v>
      </c>
      <c r="BM43" s="52">
        <f t="shared" ca="1" si="73"/>
        <v>0</v>
      </c>
      <c r="BN43" s="52">
        <f t="shared" ca="1" si="73"/>
        <v>0</v>
      </c>
      <c r="BO43" s="52">
        <f t="shared" ca="1" si="73"/>
        <v>0</v>
      </c>
      <c r="BP43" s="52">
        <f t="shared" ca="1" si="73"/>
        <v>0</v>
      </c>
      <c r="BQ43" s="52">
        <f t="shared" ca="1" si="73"/>
        <v>0</v>
      </c>
      <c r="BR43" s="52">
        <f t="shared" ca="1" si="73"/>
        <v>0</v>
      </c>
      <c r="BS43" s="52">
        <f t="shared" ca="1" si="73"/>
        <v>0</v>
      </c>
      <c r="BT43" s="52">
        <f t="shared" ca="1" si="73"/>
        <v>0</v>
      </c>
      <c r="BU43" s="52">
        <f t="shared" ca="1" si="73"/>
        <v>0</v>
      </c>
      <c r="BV43" s="52">
        <f t="shared" ca="1" si="73"/>
        <v>0</v>
      </c>
      <c r="BW43" s="52">
        <f t="shared" ca="1" si="73"/>
        <v>0</v>
      </c>
      <c r="BX43" s="52">
        <f t="shared" ref="BX43:CO43" ca="1" si="74">-MIN(WC_Cash_Flow*Flag_Construction,0)</f>
        <v>0</v>
      </c>
      <c r="BY43" s="52">
        <f t="shared" ca="1" si="74"/>
        <v>0</v>
      </c>
      <c r="BZ43" s="52">
        <f t="shared" ca="1" si="74"/>
        <v>0</v>
      </c>
      <c r="CA43" s="52">
        <f t="shared" ca="1" si="74"/>
        <v>0</v>
      </c>
      <c r="CB43" s="52">
        <f t="shared" ca="1" si="74"/>
        <v>0</v>
      </c>
      <c r="CC43" s="52">
        <f t="shared" ca="1" si="74"/>
        <v>0</v>
      </c>
      <c r="CD43" s="52">
        <f t="shared" ca="1" si="74"/>
        <v>0</v>
      </c>
      <c r="CE43" s="52">
        <f t="shared" ca="1" si="74"/>
        <v>0</v>
      </c>
      <c r="CF43" s="52">
        <f t="shared" ca="1" si="74"/>
        <v>0</v>
      </c>
      <c r="CG43" s="52">
        <f t="shared" ca="1" si="74"/>
        <v>0</v>
      </c>
      <c r="CH43" s="52">
        <f t="shared" ca="1" si="74"/>
        <v>0</v>
      </c>
      <c r="CI43" s="52">
        <f t="shared" ca="1" si="74"/>
        <v>0</v>
      </c>
      <c r="CJ43" s="52">
        <f t="shared" ca="1" si="74"/>
        <v>0</v>
      </c>
      <c r="CK43" s="52">
        <f t="shared" ca="1" si="74"/>
        <v>0</v>
      </c>
      <c r="CL43" s="52">
        <f t="shared" ca="1" si="74"/>
        <v>0</v>
      </c>
      <c r="CM43" s="52">
        <f t="shared" ca="1" si="74"/>
        <v>0</v>
      </c>
      <c r="CN43" s="52">
        <f t="shared" ca="1" si="74"/>
        <v>0</v>
      </c>
      <c r="CO43" s="52">
        <f t="shared" ca="1" si="74"/>
        <v>0</v>
      </c>
    </row>
    <row r="44" spans="1:93" ht="15" customHeight="1">
      <c r="A44" s="47"/>
      <c r="B44" s="47"/>
      <c r="C44" s="416" t="s">
        <v>470</v>
      </c>
      <c r="D44" s="153"/>
      <c r="E44" s="11"/>
      <c r="F44" s="11"/>
      <c r="G44" s="11" t="str">
        <f t="shared" si="42"/>
        <v>тыс. руб.</v>
      </c>
      <c r="H44" s="153"/>
      <c r="I44" s="23">
        <f t="shared" ca="1" si="60"/>
        <v>0</v>
      </c>
      <c r="J44" s="153"/>
      <c r="K44" s="153"/>
      <c r="L44" s="52">
        <f t="shared" ref="L44:AQ44" ca="1" si="75">MAX((Cash_EoP-Cash_BoP)*Flag_Construction,0)</f>
        <v>0</v>
      </c>
      <c r="M44" s="52">
        <f t="shared" ca="1" si="75"/>
        <v>0</v>
      </c>
      <c r="N44" s="52">
        <f t="shared" ca="1" si="75"/>
        <v>0</v>
      </c>
      <c r="O44" s="52">
        <f t="shared" ca="1" si="75"/>
        <v>0</v>
      </c>
      <c r="P44" s="52">
        <f t="shared" ca="1" si="75"/>
        <v>0</v>
      </c>
      <c r="Q44" s="52">
        <f t="shared" ca="1" si="75"/>
        <v>0</v>
      </c>
      <c r="R44" s="52">
        <f t="shared" ca="1" si="75"/>
        <v>0</v>
      </c>
      <c r="S44" s="52">
        <f t="shared" ca="1" si="75"/>
        <v>0</v>
      </c>
      <c r="T44" s="52">
        <f t="shared" ca="1" si="75"/>
        <v>0</v>
      </c>
      <c r="U44" s="52">
        <f t="shared" ca="1" si="75"/>
        <v>0</v>
      </c>
      <c r="V44" s="52">
        <f t="shared" ca="1" si="75"/>
        <v>0</v>
      </c>
      <c r="W44" s="52">
        <f t="shared" ca="1" si="75"/>
        <v>0</v>
      </c>
      <c r="X44" s="52">
        <f t="shared" ca="1" si="75"/>
        <v>0</v>
      </c>
      <c r="Y44" s="52">
        <f t="shared" ca="1" si="75"/>
        <v>0</v>
      </c>
      <c r="Z44" s="52">
        <f t="shared" ca="1" si="75"/>
        <v>0</v>
      </c>
      <c r="AA44" s="52">
        <f t="shared" ca="1" si="75"/>
        <v>0</v>
      </c>
      <c r="AB44" s="52">
        <f t="shared" ca="1" si="75"/>
        <v>0</v>
      </c>
      <c r="AC44" s="52">
        <f t="shared" ca="1" si="75"/>
        <v>0</v>
      </c>
      <c r="AD44" s="52">
        <f t="shared" ca="1" si="75"/>
        <v>0</v>
      </c>
      <c r="AE44" s="52">
        <f t="shared" ca="1" si="75"/>
        <v>0</v>
      </c>
      <c r="AF44" s="52">
        <f t="shared" ca="1" si="75"/>
        <v>0</v>
      </c>
      <c r="AG44" s="52">
        <f t="shared" ca="1" si="75"/>
        <v>0</v>
      </c>
      <c r="AH44" s="52">
        <f t="shared" ca="1" si="75"/>
        <v>0</v>
      </c>
      <c r="AI44" s="52">
        <f t="shared" ca="1" si="75"/>
        <v>0</v>
      </c>
      <c r="AJ44" s="52">
        <f t="shared" ca="1" si="75"/>
        <v>0</v>
      </c>
      <c r="AK44" s="52">
        <f t="shared" ca="1" si="75"/>
        <v>0</v>
      </c>
      <c r="AL44" s="52">
        <f t="shared" ca="1" si="75"/>
        <v>0</v>
      </c>
      <c r="AM44" s="52">
        <f t="shared" ca="1" si="75"/>
        <v>0</v>
      </c>
      <c r="AN44" s="52">
        <f t="shared" ca="1" si="75"/>
        <v>0</v>
      </c>
      <c r="AO44" s="52">
        <f t="shared" ca="1" si="75"/>
        <v>0</v>
      </c>
      <c r="AP44" s="52">
        <f t="shared" ca="1" si="75"/>
        <v>0</v>
      </c>
      <c r="AQ44" s="52">
        <f t="shared" ca="1" si="75"/>
        <v>0</v>
      </c>
      <c r="AR44" s="52">
        <f t="shared" ref="AR44:BW44" ca="1" si="76">MAX((Cash_EoP-Cash_BoP)*Flag_Construction,0)</f>
        <v>0</v>
      </c>
      <c r="AS44" s="52">
        <f t="shared" ca="1" si="76"/>
        <v>0</v>
      </c>
      <c r="AT44" s="52">
        <f t="shared" ca="1" si="76"/>
        <v>0</v>
      </c>
      <c r="AU44" s="52">
        <f t="shared" ca="1" si="76"/>
        <v>0</v>
      </c>
      <c r="AV44" s="52">
        <f t="shared" ca="1" si="76"/>
        <v>0</v>
      </c>
      <c r="AW44" s="52">
        <f t="shared" ca="1" si="76"/>
        <v>0</v>
      </c>
      <c r="AX44" s="52">
        <f t="shared" ca="1" si="76"/>
        <v>0</v>
      </c>
      <c r="AY44" s="52">
        <f t="shared" ca="1" si="76"/>
        <v>0</v>
      </c>
      <c r="AZ44" s="52">
        <f t="shared" ca="1" si="76"/>
        <v>0</v>
      </c>
      <c r="BA44" s="52">
        <f t="shared" ca="1" si="76"/>
        <v>0</v>
      </c>
      <c r="BB44" s="52">
        <f t="shared" ca="1" si="76"/>
        <v>0</v>
      </c>
      <c r="BC44" s="52">
        <f t="shared" ca="1" si="76"/>
        <v>0</v>
      </c>
      <c r="BD44" s="52">
        <f t="shared" ca="1" si="76"/>
        <v>0</v>
      </c>
      <c r="BE44" s="52">
        <f t="shared" ca="1" si="76"/>
        <v>0</v>
      </c>
      <c r="BF44" s="52">
        <f t="shared" ca="1" si="76"/>
        <v>0</v>
      </c>
      <c r="BG44" s="52">
        <f t="shared" ca="1" si="76"/>
        <v>0</v>
      </c>
      <c r="BH44" s="52">
        <f t="shared" ca="1" si="76"/>
        <v>0</v>
      </c>
      <c r="BI44" s="52">
        <f t="shared" ca="1" si="76"/>
        <v>0</v>
      </c>
      <c r="BJ44" s="52">
        <f t="shared" ca="1" si="76"/>
        <v>0</v>
      </c>
      <c r="BK44" s="52">
        <f t="shared" ca="1" si="76"/>
        <v>0</v>
      </c>
      <c r="BL44" s="52">
        <f t="shared" ca="1" si="76"/>
        <v>0</v>
      </c>
      <c r="BM44" s="52">
        <f t="shared" ca="1" si="76"/>
        <v>0</v>
      </c>
      <c r="BN44" s="52">
        <f t="shared" ca="1" si="76"/>
        <v>0</v>
      </c>
      <c r="BO44" s="52">
        <f t="shared" ca="1" si="76"/>
        <v>0</v>
      </c>
      <c r="BP44" s="52">
        <f t="shared" ca="1" si="76"/>
        <v>0</v>
      </c>
      <c r="BQ44" s="52">
        <f t="shared" ca="1" si="76"/>
        <v>0</v>
      </c>
      <c r="BR44" s="52">
        <f t="shared" ca="1" si="76"/>
        <v>0</v>
      </c>
      <c r="BS44" s="52">
        <f t="shared" ca="1" si="76"/>
        <v>0</v>
      </c>
      <c r="BT44" s="52">
        <f t="shared" ca="1" si="76"/>
        <v>0</v>
      </c>
      <c r="BU44" s="52">
        <f t="shared" ca="1" si="76"/>
        <v>0</v>
      </c>
      <c r="BV44" s="52">
        <f t="shared" ca="1" si="76"/>
        <v>0</v>
      </c>
      <c r="BW44" s="52">
        <f t="shared" ca="1" si="76"/>
        <v>0</v>
      </c>
      <c r="BX44" s="52">
        <f t="shared" ref="BX44:CO44" ca="1" si="77">MAX((Cash_EoP-Cash_BoP)*Flag_Construction,0)</f>
        <v>0</v>
      </c>
      <c r="BY44" s="52">
        <f t="shared" ca="1" si="77"/>
        <v>0</v>
      </c>
      <c r="BZ44" s="52">
        <f t="shared" ca="1" si="77"/>
        <v>0</v>
      </c>
      <c r="CA44" s="52">
        <f t="shared" ca="1" si="77"/>
        <v>0</v>
      </c>
      <c r="CB44" s="52">
        <f t="shared" ca="1" si="77"/>
        <v>0</v>
      </c>
      <c r="CC44" s="52">
        <f t="shared" ca="1" si="77"/>
        <v>0</v>
      </c>
      <c r="CD44" s="52">
        <f t="shared" ca="1" si="77"/>
        <v>0</v>
      </c>
      <c r="CE44" s="52">
        <f t="shared" ca="1" si="77"/>
        <v>0</v>
      </c>
      <c r="CF44" s="52">
        <f t="shared" ca="1" si="77"/>
        <v>0</v>
      </c>
      <c r="CG44" s="52">
        <f t="shared" ca="1" si="77"/>
        <v>0</v>
      </c>
      <c r="CH44" s="52">
        <f t="shared" ca="1" si="77"/>
        <v>0</v>
      </c>
      <c r="CI44" s="52">
        <f t="shared" ca="1" si="77"/>
        <v>0</v>
      </c>
      <c r="CJ44" s="52">
        <f t="shared" ca="1" si="77"/>
        <v>0</v>
      </c>
      <c r="CK44" s="52">
        <f t="shared" ca="1" si="77"/>
        <v>0</v>
      </c>
      <c r="CL44" s="52">
        <f t="shared" ca="1" si="77"/>
        <v>0</v>
      </c>
      <c r="CM44" s="52">
        <f t="shared" ca="1" si="77"/>
        <v>0</v>
      </c>
      <c r="CN44" s="52">
        <f t="shared" ca="1" si="77"/>
        <v>0</v>
      </c>
      <c r="CO44" s="52">
        <f t="shared" ca="1" si="77"/>
        <v>0</v>
      </c>
    </row>
    <row r="45" spans="1:93" customFormat="1" ht="15">
      <c r="A45" s="10"/>
      <c r="B45" s="10"/>
      <c r="C45" s="17"/>
      <c r="D45" s="10"/>
      <c r="E45" s="106"/>
      <c r="F45" s="10"/>
      <c r="G45" s="134"/>
      <c r="H45" s="10"/>
      <c r="I45" s="153"/>
      <c r="J45" s="10"/>
      <c r="K45" s="10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</row>
    <row r="46" spans="1:93" ht="14.25">
      <c r="A46" s="10"/>
      <c r="B46" s="10"/>
      <c r="C46" s="413" t="s">
        <v>1141</v>
      </c>
      <c r="D46" s="24"/>
      <c r="E46" s="24"/>
      <c r="F46" s="24"/>
      <c r="G46" s="457" t="s">
        <v>26</v>
      </c>
      <c r="H46" s="24"/>
      <c r="I46" s="413">
        <f ca="1">SUM(L46:CO46)</f>
        <v>3839266.9475003602</v>
      </c>
      <c r="J46" s="24"/>
      <c r="K46" s="24"/>
      <c r="L46" s="413">
        <f ca="1">SUM(L32,L35,L40)</f>
        <v>20231.553412960755</v>
      </c>
      <c r="M46" s="413">
        <f t="shared" ref="M46:BX46" ca="1" si="78">SUM(M32,M35,M40)</f>
        <v>20518.738035800307</v>
      </c>
      <c r="N46" s="413">
        <f t="shared" ca="1" si="78"/>
        <v>20809.999212027134</v>
      </c>
      <c r="O46" s="413">
        <f t="shared" ca="1" si="78"/>
        <v>21105.394807857592</v>
      </c>
      <c r="P46" s="413">
        <f t="shared" ca="1" si="78"/>
        <v>177490.49062476435</v>
      </c>
      <c r="Q46" s="413">
        <f t="shared" ca="1" si="78"/>
        <v>179239.37658746613</v>
      </c>
      <c r="R46" s="413">
        <f t="shared" ca="1" si="78"/>
        <v>181005.49503456618</v>
      </c>
      <c r="S46" s="413">
        <f t="shared" ca="1" si="78"/>
        <v>182789.01576473904</v>
      </c>
      <c r="T46" s="413">
        <f t="shared" ca="1" si="78"/>
        <v>184965.93951308879</v>
      </c>
      <c r="U46" s="413">
        <f t="shared" ca="1" si="78"/>
        <v>190490.76998061163</v>
      </c>
      <c r="V46" s="413">
        <f t="shared" ca="1" si="78"/>
        <v>194851.96226518595</v>
      </c>
      <c r="W46" s="413">
        <f t="shared" ca="1" si="78"/>
        <v>199210.83002790483</v>
      </c>
      <c r="X46" s="413">
        <f t="shared" ca="1" si="78"/>
        <v>380268.03807791224</v>
      </c>
      <c r="Y46" s="413">
        <f t="shared" ca="1" si="78"/>
        <v>388712.96354787843</v>
      </c>
      <c r="Z46" s="413">
        <f t="shared" ca="1" si="78"/>
        <v>397487.10229346005</v>
      </c>
      <c r="AA46" s="413">
        <f t="shared" ca="1" si="78"/>
        <v>406153.32046609715</v>
      </c>
      <c r="AB46" s="413">
        <f t="shared" ca="1" si="78"/>
        <v>693935.95784803946</v>
      </c>
      <c r="AC46" s="413">
        <f t="shared" ca="1" si="78"/>
        <v>0</v>
      </c>
      <c r="AD46" s="413">
        <f t="shared" ca="1" si="78"/>
        <v>0</v>
      </c>
      <c r="AE46" s="413">
        <f t="shared" ca="1" si="78"/>
        <v>0</v>
      </c>
      <c r="AF46" s="413">
        <f t="shared" ca="1" si="78"/>
        <v>0</v>
      </c>
      <c r="AG46" s="413">
        <f t="shared" ca="1" si="78"/>
        <v>0</v>
      </c>
      <c r="AH46" s="413">
        <f t="shared" ca="1" si="78"/>
        <v>0</v>
      </c>
      <c r="AI46" s="413">
        <f t="shared" ca="1" si="78"/>
        <v>0</v>
      </c>
      <c r="AJ46" s="413">
        <f t="shared" ca="1" si="78"/>
        <v>0</v>
      </c>
      <c r="AK46" s="413">
        <f t="shared" ca="1" si="78"/>
        <v>0</v>
      </c>
      <c r="AL46" s="413">
        <f t="shared" ca="1" si="78"/>
        <v>0</v>
      </c>
      <c r="AM46" s="413">
        <f t="shared" ca="1" si="78"/>
        <v>0</v>
      </c>
      <c r="AN46" s="413">
        <f t="shared" ca="1" si="78"/>
        <v>0</v>
      </c>
      <c r="AO46" s="413">
        <f t="shared" ca="1" si="78"/>
        <v>0</v>
      </c>
      <c r="AP46" s="413">
        <f t="shared" ca="1" si="78"/>
        <v>0</v>
      </c>
      <c r="AQ46" s="413">
        <f t="shared" ca="1" si="78"/>
        <v>0</v>
      </c>
      <c r="AR46" s="413">
        <f t="shared" ca="1" si="78"/>
        <v>0</v>
      </c>
      <c r="AS46" s="413">
        <f t="shared" ca="1" si="78"/>
        <v>0</v>
      </c>
      <c r="AT46" s="413">
        <f t="shared" ca="1" si="78"/>
        <v>0</v>
      </c>
      <c r="AU46" s="413">
        <f t="shared" ca="1" si="78"/>
        <v>0</v>
      </c>
      <c r="AV46" s="413">
        <f t="shared" ca="1" si="78"/>
        <v>0</v>
      </c>
      <c r="AW46" s="413">
        <f t="shared" ca="1" si="78"/>
        <v>0</v>
      </c>
      <c r="AX46" s="413">
        <f t="shared" ca="1" si="78"/>
        <v>0</v>
      </c>
      <c r="AY46" s="413">
        <f t="shared" ca="1" si="78"/>
        <v>0</v>
      </c>
      <c r="AZ46" s="413">
        <f t="shared" ca="1" si="78"/>
        <v>0</v>
      </c>
      <c r="BA46" s="413">
        <f t="shared" ca="1" si="78"/>
        <v>0</v>
      </c>
      <c r="BB46" s="413">
        <f t="shared" ca="1" si="78"/>
        <v>0</v>
      </c>
      <c r="BC46" s="413">
        <f t="shared" ca="1" si="78"/>
        <v>0</v>
      </c>
      <c r="BD46" s="413">
        <f t="shared" ca="1" si="78"/>
        <v>0</v>
      </c>
      <c r="BE46" s="413">
        <f t="shared" ca="1" si="78"/>
        <v>0</v>
      </c>
      <c r="BF46" s="413">
        <f t="shared" ca="1" si="78"/>
        <v>0</v>
      </c>
      <c r="BG46" s="413">
        <f t="shared" ca="1" si="78"/>
        <v>0</v>
      </c>
      <c r="BH46" s="413">
        <f t="shared" ca="1" si="78"/>
        <v>0</v>
      </c>
      <c r="BI46" s="413">
        <f t="shared" ca="1" si="78"/>
        <v>0</v>
      </c>
      <c r="BJ46" s="413">
        <f t="shared" ca="1" si="78"/>
        <v>0</v>
      </c>
      <c r="BK46" s="413">
        <f t="shared" ca="1" si="78"/>
        <v>0</v>
      </c>
      <c r="BL46" s="413">
        <f t="shared" ca="1" si="78"/>
        <v>0</v>
      </c>
      <c r="BM46" s="413">
        <f t="shared" ca="1" si="78"/>
        <v>0</v>
      </c>
      <c r="BN46" s="413">
        <f t="shared" ca="1" si="78"/>
        <v>0</v>
      </c>
      <c r="BO46" s="413">
        <f t="shared" ca="1" si="78"/>
        <v>0</v>
      </c>
      <c r="BP46" s="413">
        <f t="shared" ca="1" si="78"/>
        <v>0</v>
      </c>
      <c r="BQ46" s="413">
        <f t="shared" ca="1" si="78"/>
        <v>0</v>
      </c>
      <c r="BR46" s="413">
        <f t="shared" ca="1" si="78"/>
        <v>0</v>
      </c>
      <c r="BS46" s="413">
        <f t="shared" ca="1" si="78"/>
        <v>0</v>
      </c>
      <c r="BT46" s="413">
        <f t="shared" ca="1" si="78"/>
        <v>0</v>
      </c>
      <c r="BU46" s="413">
        <f t="shared" ca="1" si="78"/>
        <v>0</v>
      </c>
      <c r="BV46" s="413">
        <f t="shared" ca="1" si="78"/>
        <v>0</v>
      </c>
      <c r="BW46" s="413">
        <f t="shared" ca="1" si="78"/>
        <v>0</v>
      </c>
      <c r="BX46" s="413">
        <f t="shared" ca="1" si="78"/>
        <v>0</v>
      </c>
      <c r="BY46" s="413">
        <f t="shared" ref="BY46:CO46" ca="1" si="79">SUM(BY32,BY35,BY40)</f>
        <v>0</v>
      </c>
      <c r="BZ46" s="413">
        <f t="shared" ca="1" si="79"/>
        <v>0</v>
      </c>
      <c r="CA46" s="413">
        <f t="shared" ca="1" si="79"/>
        <v>0</v>
      </c>
      <c r="CB46" s="413">
        <f t="shared" ca="1" si="79"/>
        <v>0</v>
      </c>
      <c r="CC46" s="413">
        <f t="shared" ca="1" si="79"/>
        <v>0</v>
      </c>
      <c r="CD46" s="413">
        <f t="shared" ca="1" si="79"/>
        <v>0</v>
      </c>
      <c r="CE46" s="413">
        <f t="shared" ca="1" si="79"/>
        <v>0</v>
      </c>
      <c r="CF46" s="413">
        <f t="shared" ca="1" si="79"/>
        <v>0</v>
      </c>
      <c r="CG46" s="413">
        <f t="shared" ca="1" si="79"/>
        <v>0</v>
      </c>
      <c r="CH46" s="413">
        <f t="shared" ca="1" si="79"/>
        <v>0</v>
      </c>
      <c r="CI46" s="413">
        <f t="shared" ca="1" si="79"/>
        <v>0</v>
      </c>
      <c r="CJ46" s="413">
        <f t="shared" ca="1" si="79"/>
        <v>0</v>
      </c>
      <c r="CK46" s="413">
        <f t="shared" ca="1" si="79"/>
        <v>0</v>
      </c>
      <c r="CL46" s="413">
        <f t="shared" ca="1" si="79"/>
        <v>0</v>
      </c>
      <c r="CM46" s="413">
        <f t="shared" ca="1" si="79"/>
        <v>0</v>
      </c>
      <c r="CN46" s="413">
        <f t="shared" ca="1" si="79"/>
        <v>0</v>
      </c>
      <c r="CO46" s="413">
        <f t="shared" ca="1" si="79"/>
        <v>0</v>
      </c>
    </row>
    <row r="47" spans="1:93" s="141" customFormat="1" ht="15" customHeight="1">
      <c r="A47" s="153"/>
      <c r="B47" s="153"/>
      <c r="C47" s="153"/>
      <c r="D47" s="153"/>
      <c r="E47" s="153"/>
      <c r="F47" s="153"/>
      <c r="G47" s="179"/>
      <c r="H47" s="153"/>
      <c r="I47" s="153"/>
      <c r="J47" s="153"/>
      <c r="K47" s="153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</row>
    <row r="48" spans="1:93" s="46" customFormat="1" ht="12.75">
      <c r="C48" s="46" t="s">
        <v>1150</v>
      </c>
      <c r="G48" s="89" t="str">
        <f>Monetary_Unit</f>
        <v>тыс. руб.</v>
      </c>
      <c r="H48" s="73"/>
      <c r="I48" s="46">
        <f ca="1">SUM(L48:CQ48)</f>
        <v>0</v>
      </c>
      <c r="L48" s="46">
        <f t="shared" ref="L48:AQ48" ca="1" si="80">(L46-L26)*(ABS(L46-L26)&gt;Accuracy)</f>
        <v>0</v>
      </c>
      <c r="M48" s="46">
        <f t="shared" ca="1" si="80"/>
        <v>0</v>
      </c>
      <c r="N48" s="46">
        <f t="shared" ca="1" si="80"/>
        <v>0</v>
      </c>
      <c r="O48" s="46">
        <f t="shared" ca="1" si="80"/>
        <v>0</v>
      </c>
      <c r="P48" s="46">
        <f t="shared" ca="1" si="80"/>
        <v>0</v>
      </c>
      <c r="Q48" s="46">
        <f t="shared" ca="1" si="80"/>
        <v>0</v>
      </c>
      <c r="R48" s="46">
        <f t="shared" ca="1" si="80"/>
        <v>0</v>
      </c>
      <c r="S48" s="46">
        <f t="shared" ca="1" si="80"/>
        <v>0</v>
      </c>
      <c r="T48" s="46">
        <f t="shared" ca="1" si="80"/>
        <v>0</v>
      </c>
      <c r="U48" s="46">
        <f t="shared" ca="1" si="80"/>
        <v>0</v>
      </c>
      <c r="V48" s="46">
        <f t="shared" ca="1" si="80"/>
        <v>0</v>
      </c>
      <c r="W48" s="46">
        <f t="shared" ca="1" si="80"/>
        <v>0</v>
      </c>
      <c r="X48" s="46">
        <f t="shared" ca="1" si="80"/>
        <v>0</v>
      </c>
      <c r="Y48" s="46">
        <f t="shared" ca="1" si="80"/>
        <v>0</v>
      </c>
      <c r="Z48" s="46">
        <f t="shared" ca="1" si="80"/>
        <v>0</v>
      </c>
      <c r="AA48" s="46">
        <f t="shared" ca="1" si="80"/>
        <v>0</v>
      </c>
      <c r="AB48" s="46">
        <f t="shared" ca="1" si="80"/>
        <v>0</v>
      </c>
      <c r="AC48" s="46">
        <f t="shared" ca="1" si="80"/>
        <v>0</v>
      </c>
      <c r="AD48" s="46">
        <f t="shared" ca="1" si="80"/>
        <v>0</v>
      </c>
      <c r="AE48" s="46">
        <f t="shared" ca="1" si="80"/>
        <v>0</v>
      </c>
      <c r="AF48" s="46">
        <f t="shared" ca="1" si="80"/>
        <v>0</v>
      </c>
      <c r="AG48" s="46">
        <f t="shared" ca="1" si="80"/>
        <v>0</v>
      </c>
      <c r="AH48" s="46">
        <f t="shared" ca="1" si="80"/>
        <v>0</v>
      </c>
      <c r="AI48" s="46">
        <f t="shared" ca="1" si="80"/>
        <v>0</v>
      </c>
      <c r="AJ48" s="46">
        <f t="shared" ca="1" si="80"/>
        <v>0</v>
      </c>
      <c r="AK48" s="46">
        <f t="shared" ca="1" si="80"/>
        <v>0</v>
      </c>
      <c r="AL48" s="46">
        <f t="shared" ca="1" si="80"/>
        <v>0</v>
      </c>
      <c r="AM48" s="46">
        <f t="shared" ca="1" si="80"/>
        <v>0</v>
      </c>
      <c r="AN48" s="46">
        <f t="shared" ca="1" si="80"/>
        <v>0</v>
      </c>
      <c r="AO48" s="46">
        <f t="shared" ca="1" si="80"/>
        <v>0</v>
      </c>
      <c r="AP48" s="46">
        <f t="shared" ca="1" si="80"/>
        <v>0</v>
      </c>
      <c r="AQ48" s="46">
        <f t="shared" ca="1" si="80"/>
        <v>0</v>
      </c>
      <c r="AR48" s="46">
        <f t="shared" ref="AR48:BW48" ca="1" si="81">(AR46-AR26)*(ABS(AR46-AR26)&gt;Accuracy)</f>
        <v>0</v>
      </c>
      <c r="AS48" s="46">
        <f t="shared" ca="1" si="81"/>
        <v>0</v>
      </c>
      <c r="AT48" s="46">
        <f t="shared" ca="1" si="81"/>
        <v>0</v>
      </c>
      <c r="AU48" s="46">
        <f t="shared" ca="1" si="81"/>
        <v>0</v>
      </c>
      <c r="AV48" s="46">
        <f t="shared" ca="1" si="81"/>
        <v>0</v>
      </c>
      <c r="AW48" s="46">
        <f t="shared" ca="1" si="81"/>
        <v>0</v>
      </c>
      <c r="AX48" s="46">
        <f t="shared" ca="1" si="81"/>
        <v>0</v>
      </c>
      <c r="AY48" s="46">
        <f t="shared" ca="1" si="81"/>
        <v>0</v>
      </c>
      <c r="AZ48" s="46">
        <f t="shared" ca="1" si="81"/>
        <v>0</v>
      </c>
      <c r="BA48" s="46">
        <f t="shared" ca="1" si="81"/>
        <v>0</v>
      </c>
      <c r="BB48" s="46">
        <f t="shared" ca="1" si="81"/>
        <v>0</v>
      </c>
      <c r="BC48" s="46">
        <f t="shared" ca="1" si="81"/>
        <v>0</v>
      </c>
      <c r="BD48" s="46">
        <f t="shared" ca="1" si="81"/>
        <v>0</v>
      </c>
      <c r="BE48" s="46">
        <f t="shared" ca="1" si="81"/>
        <v>0</v>
      </c>
      <c r="BF48" s="46">
        <f t="shared" ca="1" si="81"/>
        <v>0</v>
      </c>
      <c r="BG48" s="46">
        <f t="shared" ca="1" si="81"/>
        <v>0</v>
      </c>
      <c r="BH48" s="46">
        <f t="shared" ca="1" si="81"/>
        <v>0</v>
      </c>
      <c r="BI48" s="46">
        <f t="shared" ca="1" si="81"/>
        <v>0</v>
      </c>
      <c r="BJ48" s="46">
        <f t="shared" ca="1" si="81"/>
        <v>0</v>
      </c>
      <c r="BK48" s="46">
        <f t="shared" ca="1" si="81"/>
        <v>0</v>
      </c>
      <c r="BL48" s="46">
        <f t="shared" ca="1" si="81"/>
        <v>0</v>
      </c>
      <c r="BM48" s="46">
        <f t="shared" ca="1" si="81"/>
        <v>0</v>
      </c>
      <c r="BN48" s="46">
        <f t="shared" ca="1" si="81"/>
        <v>0</v>
      </c>
      <c r="BO48" s="46">
        <f t="shared" ca="1" si="81"/>
        <v>0</v>
      </c>
      <c r="BP48" s="46">
        <f t="shared" ca="1" si="81"/>
        <v>0</v>
      </c>
      <c r="BQ48" s="46">
        <f t="shared" ca="1" si="81"/>
        <v>0</v>
      </c>
      <c r="BR48" s="46">
        <f t="shared" ca="1" si="81"/>
        <v>0</v>
      </c>
      <c r="BS48" s="46">
        <f t="shared" ca="1" si="81"/>
        <v>0</v>
      </c>
      <c r="BT48" s="46">
        <f t="shared" ca="1" si="81"/>
        <v>0</v>
      </c>
      <c r="BU48" s="46">
        <f t="shared" ca="1" si="81"/>
        <v>0</v>
      </c>
      <c r="BV48" s="46">
        <f t="shared" ca="1" si="81"/>
        <v>0</v>
      </c>
      <c r="BW48" s="46">
        <f t="shared" ca="1" si="81"/>
        <v>0</v>
      </c>
      <c r="BX48" s="46">
        <f t="shared" ref="BX48:CO48" ca="1" si="82">(BX46-BX26)*(ABS(BX46-BX26)&gt;Accuracy)</f>
        <v>0</v>
      </c>
      <c r="BY48" s="46">
        <f t="shared" ca="1" si="82"/>
        <v>0</v>
      </c>
      <c r="BZ48" s="46">
        <f t="shared" ca="1" si="82"/>
        <v>0</v>
      </c>
      <c r="CA48" s="46">
        <f t="shared" ca="1" si="82"/>
        <v>0</v>
      </c>
      <c r="CB48" s="46">
        <f t="shared" ca="1" si="82"/>
        <v>0</v>
      </c>
      <c r="CC48" s="46">
        <f t="shared" ca="1" si="82"/>
        <v>0</v>
      </c>
      <c r="CD48" s="46">
        <f t="shared" ca="1" si="82"/>
        <v>0</v>
      </c>
      <c r="CE48" s="46">
        <f t="shared" ca="1" si="82"/>
        <v>0</v>
      </c>
      <c r="CF48" s="46">
        <f t="shared" ca="1" si="82"/>
        <v>0</v>
      </c>
      <c r="CG48" s="46">
        <f t="shared" ca="1" si="82"/>
        <v>0</v>
      </c>
      <c r="CH48" s="46">
        <f t="shared" ca="1" si="82"/>
        <v>0</v>
      </c>
      <c r="CI48" s="46">
        <f t="shared" ca="1" si="82"/>
        <v>0</v>
      </c>
      <c r="CJ48" s="46">
        <f t="shared" ca="1" si="82"/>
        <v>0</v>
      </c>
      <c r="CK48" s="46">
        <f t="shared" ca="1" si="82"/>
        <v>0</v>
      </c>
      <c r="CL48" s="46">
        <f t="shared" ca="1" si="82"/>
        <v>0</v>
      </c>
      <c r="CM48" s="46">
        <f t="shared" ca="1" si="82"/>
        <v>0</v>
      </c>
      <c r="CN48" s="46">
        <f t="shared" ca="1" si="82"/>
        <v>0</v>
      </c>
      <c r="CO48" s="46">
        <f t="shared" ca="1" si="82"/>
        <v>0</v>
      </c>
    </row>
    <row r="49" spans="1:93" ht="15" customHeight="1">
      <c r="A49" s="47"/>
      <c r="B49" s="47"/>
      <c r="C49" s="153"/>
      <c r="D49" s="153"/>
      <c r="E49" s="11"/>
      <c r="F49" s="11"/>
      <c r="G49" s="11"/>
      <c r="H49" s="153"/>
      <c r="I49" s="154"/>
      <c r="J49" s="153"/>
      <c r="K49" s="153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</row>
    <row r="50" spans="1:93" ht="15" hidden="1" customHeight="1">
      <c r="A50" s="47"/>
      <c r="B50" s="47"/>
      <c r="C50" s="47"/>
      <c r="D50" s="47"/>
      <c r="E50" s="47"/>
      <c r="F50" s="47"/>
      <c r="G50" s="319"/>
      <c r="H50" s="47"/>
      <c r="I50" s="47"/>
      <c r="J50" s="47"/>
      <c r="K50" s="47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</row>
    <row r="51" spans="1:93" ht="15" hidden="1" customHeight="1">
      <c r="A51" s="47"/>
      <c r="B51" s="47"/>
      <c r="C51" s="47"/>
      <c r="D51" s="47"/>
      <c r="E51" s="47"/>
      <c r="F51" s="47"/>
      <c r="G51" s="319"/>
      <c r="H51" s="47"/>
      <c r="I51" s="47"/>
      <c r="J51" s="47"/>
      <c r="K51" s="47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</row>
    <row r="52" spans="1:93" ht="15" hidden="1" customHeight="1">
      <c r="A52" s="47"/>
      <c r="B52" s="47"/>
      <c r="C52" s="47"/>
      <c r="D52" s="47"/>
      <c r="E52" s="47"/>
      <c r="F52" s="47"/>
      <c r="G52" s="319"/>
      <c r="H52" s="47"/>
      <c r="I52" s="47"/>
      <c r="J52" s="47"/>
      <c r="K52" s="47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</row>
    <row r="53" spans="1:93" ht="15" hidden="1" customHeight="1">
      <c r="A53" s="47"/>
      <c r="B53" s="47"/>
      <c r="C53" s="47"/>
      <c r="D53" s="47"/>
      <c r="E53" s="47"/>
      <c r="F53" s="47"/>
      <c r="G53" s="319"/>
      <c r="H53" s="47"/>
      <c r="I53" s="47"/>
      <c r="J53" s="47"/>
      <c r="K53" s="47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</row>
    <row r="54" spans="1:93" ht="15" hidden="1" customHeight="1">
      <c r="A54" s="47"/>
      <c r="B54" s="47"/>
      <c r="C54" s="47"/>
      <c r="D54" s="47"/>
      <c r="E54" s="47"/>
      <c r="F54" s="47"/>
      <c r="G54" s="319"/>
      <c r="H54" s="47"/>
      <c r="I54" s="47"/>
      <c r="J54" s="47"/>
      <c r="K54" s="47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</row>
    <row r="55" spans="1:93" ht="15" hidden="1" customHeight="1">
      <c r="A55" s="47"/>
      <c r="B55" s="47"/>
      <c r="C55" s="47"/>
      <c r="D55" s="47"/>
      <c r="E55" s="47"/>
      <c r="F55" s="47"/>
      <c r="G55" s="319"/>
      <c r="H55" s="47"/>
      <c r="I55" s="47"/>
      <c r="J55" s="47"/>
      <c r="K55" s="47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</row>
    <row r="56" spans="1:93" ht="15" hidden="1" customHeight="1">
      <c r="A56" s="47"/>
      <c r="B56" s="47"/>
      <c r="C56" s="47"/>
      <c r="D56" s="47"/>
      <c r="E56" s="47"/>
      <c r="F56" s="47"/>
      <c r="G56" s="319"/>
      <c r="H56" s="47"/>
      <c r="I56" s="47"/>
      <c r="J56" s="47"/>
      <c r="K56" s="47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</row>
    <row r="57" spans="1:93" ht="15" hidden="1" customHeight="1">
      <c r="A57" s="47"/>
      <c r="B57" s="47"/>
      <c r="C57" s="47"/>
      <c r="D57" s="47"/>
      <c r="E57" s="47"/>
      <c r="F57" s="47"/>
      <c r="G57" s="319"/>
      <c r="H57" s="47"/>
      <c r="I57" s="47"/>
      <c r="J57" s="47"/>
      <c r="K57" s="47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</row>
    <row r="58" spans="1:93" ht="15" hidden="1" customHeight="1">
      <c r="A58" s="47"/>
      <c r="B58" s="47"/>
      <c r="C58" s="47"/>
      <c r="D58" s="47"/>
      <c r="E58" s="47"/>
      <c r="F58" s="47"/>
      <c r="G58" s="319"/>
      <c r="H58" s="47"/>
      <c r="I58" s="47"/>
      <c r="J58" s="47"/>
      <c r="K58" s="47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</row>
    <row r="59" spans="1:93" ht="15" hidden="1" customHeight="1">
      <c r="A59" s="47"/>
      <c r="B59" s="47"/>
      <c r="C59" s="47"/>
      <c r="D59" s="47"/>
      <c r="E59" s="47"/>
      <c r="F59" s="47"/>
      <c r="G59" s="319"/>
      <c r="H59" s="47"/>
      <c r="I59" s="47"/>
      <c r="J59" s="47"/>
      <c r="K59" s="47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 ht="14.65" hidden="1" customHeight="1"/>
    <row r="61" spans="1:93" ht="14.65" hidden="1" customHeight="1"/>
    <row r="62" spans="1:93" ht="14.65" hidden="1" customHeight="1"/>
    <row r="63" spans="1:93" ht="14.65" hidden="1" customHeight="1"/>
    <row r="64" spans="1:93" ht="14.65" hidden="1" customHeight="1"/>
    <row r="65" ht="14.65" hidden="1" customHeight="1"/>
    <row r="66" ht="14.65" hidden="1" customHeight="1"/>
    <row r="67" ht="14.65" hidden="1" customHeight="1"/>
    <row r="68" ht="14.65" hidden="1" customHeight="1"/>
    <row r="69" ht="14.65" hidden="1" customHeight="1"/>
    <row r="70" ht="14.65" hidden="1" customHeight="1"/>
    <row r="71" ht="14.65" hidden="1" customHeight="1"/>
    <row r="72" ht="14.65" hidden="1" customHeight="1"/>
    <row r="73" ht="14.65" hidden="1" customHeight="1"/>
    <row r="74" ht="14.65" hidden="1" customHeight="1"/>
    <row r="75" ht="14.65" hidden="1" customHeight="1"/>
    <row r="76" ht="14.65" hidden="1" customHeight="1"/>
    <row r="77" ht="14.65" hidden="1" customHeight="1"/>
    <row r="78" ht="14.65" hidden="1" customHeight="1"/>
    <row r="79" ht="14.65" hidden="1" customHeight="1"/>
    <row r="80" ht="14.65" hidden="1" customHeight="1"/>
    <row r="81" ht="14.65" hidden="1" customHeight="1"/>
    <row r="82" ht="14.65" hidden="1" customHeight="1"/>
    <row r="83" ht="14.65" hidden="1" customHeight="1"/>
    <row r="84" ht="14.65" hidden="1" customHeight="1"/>
    <row r="85" ht="14.65" hidden="1" customHeight="1"/>
    <row r="86" ht="14.65" hidden="1" customHeight="1"/>
    <row r="87" ht="14.65" hidden="1" customHeight="1"/>
    <row r="88" ht="14.65" hidden="1" customHeight="1"/>
    <row r="89" ht="14.65" hidden="1" customHeight="1"/>
    <row r="90" ht="14.65" hidden="1" customHeight="1"/>
    <row r="91" ht="14.65" hidden="1" customHeight="1"/>
    <row r="92" ht="14.65" hidden="1" customHeight="1"/>
    <row r="93" ht="14.65" hidden="1" customHeight="1"/>
    <row r="94" ht="14.65" hidden="1" customHeight="1"/>
    <row r="95" ht="14.65" hidden="1" customHeight="1"/>
    <row r="96" ht="14.65" hidden="1" customHeight="1"/>
    <row r="97" ht="14.65" hidden="1" customHeight="1"/>
    <row r="98" ht="14.65" hidden="1" customHeight="1"/>
    <row r="99" ht="14.65" hidden="1" customHeight="1"/>
    <row r="100" ht="14.65" hidden="1" customHeight="1"/>
    <row r="101" ht="14.65" hidden="1" customHeight="1"/>
    <row r="102" ht="14.65" hidden="1" customHeight="1"/>
    <row r="103" ht="14.65" hidden="1" customHeight="1"/>
    <row r="104" ht="14.65" hidden="1" customHeight="1"/>
    <row r="105" ht="14.65" hidden="1" customHeight="1"/>
    <row r="106" ht="14.65" hidden="1" customHeight="1"/>
    <row r="107" ht="14.65" hidden="1" customHeight="1"/>
    <row r="108" ht="14.65" hidden="1" customHeight="1"/>
    <row r="109" ht="14.65" hidden="1" customHeight="1"/>
    <row r="110" ht="14.65" hidden="1" customHeight="1"/>
    <row r="111" ht="14.65" hidden="1" customHeight="1"/>
    <row r="112" ht="14.65" hidden="1" customHeight="1"/>
    <row r="113" ht="14.65" hidden="1" customHeight="1"/>
    <row r="114" ht="14.65" hidden="1" customHeight="1"/>
    <row r="115" ht="14.65" hidden="1" customHeight="1"/>
    <row r="116" ht="14.65" hidden="1" customHeight="1"/>
    <row r="117" ht="14.65" hidden="1" customHeight="1"/>
    <row r="118" ht="14.65" hidden="1" customHeight="1"/>
    <row r="119" ht="14.65" hidden="1" customHeight="1"/>
    <row r="120" ht="14.65" hidden="1" customHeight="1"/>
    <row r="121" ht="14.65" hidden="1" customHeight="1"/>
    <row r="122" ht="14.65" hidden="1" customHeight="1"/>
    <row r="123" ht="14.65" hidden="1" customHeight="1"/>
    <row r="124" ht="14.65" hidden="1" customHeight="1"/>
    <row r="125" ht="14.65" hidden="1" customHeight="1"/>
    <row r="126" ht="14.65" hidden="1" customHeight="1"/>
    <row r="127" ht="14.65" hidden="1" customHeight="1"/>
    <row r="128" ht="14.65" hidden="1" customHeight="1"/>
    <row r="129" ht="14.65" hidden="1" customHeight="1"/>
    <row r="130" ht="14.65" hidden="1" customHeight="1"/>
    <row r="131" ht="14.65" hidden="1" customHeight="1"/>
    <row r="132" ht="14.65" hidden="1" customHeight="1"/>
    <row r="133" ht="14.65" hidden="1" customHeight="1"/>
    <row r="134" ht="14.65" hidden="1" customHeight="1"/>
    <row r="135" ht="14.65" hidden="1" customHeight="1"/>
    <row r="136" ht="14.65" hidden="1" customHeight="1"/>
    <row r="137" ht="14.65" hidden="1" customHeight="1"/>
    <row r="138" ht="14.65" hidden="1" customHeight="1"/>
    <row r="139" ht="14.65" hidden="1" customHeight="1"/>
    <row r="140" ht="14.65" hidden="1" customHeight="1"/>
    <row r="141" ht="14.65" hidden="1" customHeight="1"/>
    <row r="142" ht="14.65" hidden="1" customHeight="1"/>
    <row r="143" ht="14.65" hidden="1" customHeight="1"/>
  </sheetData>
  <conditionalFormatting sqref="L9:CO9">
    <cfRule type="cellIs" dxfId="10" priority="137" operator="equal">
      <formula>2</formula>
    </cfRule>
    <cfRule type="cellIs" dxfId="9" priority="138" operator="equal">
      <formula>1</formula>
    </cfRule>
  </conditionalFormatting>
  <conditionalFormatting sqref="E4">
    <cfRule type="cellIs" dxfId="8" priority="135" operator="equal">
      <formula>FALSE</formula>
    </cfRule>
    <cfRule type="cellIs" dxfId="7" priority="136" operator="equal">
      <formula>TRUE</formula>
    </cfRule>
  </conditionalFormatting>
  <conditionalFormatting sqref="L27:CO28 L32:CO44 L13:CO24">
    <cfRule type="expression" dxfId="6" priority="5">
      <formula>L$9&lt;&gt;1</formula>
    </cfRule>
  </conditionalFormatting>
  <pageMargins left="0.70866141732283472" right="0.70866141732283472" top="0.74803149606299213" bottom="0.74803149606299213" header="0.31496062992125984" footer="0.31496062992125984"/>
  <pageSetup paperSize="8" scale="26" orientation="landscape" r:id="rId1"/>
  <colBreaks count="1" manualBreakCount="1">
    <brk id="62" max="69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" id="{7984F40E-643C-409B-A5E6-BC7357E44CD4}">
            <xm:f>Инвестор!$I$13+Accuracy</xm:f>
            <x14:dxf>
              <font>
                <color rgb="FF9C0006"/>
              </font>
            </x14:dxf>
          </x14:cfRule>
          <xm:sqref>L28:CO28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92D050"/>
  </sheetPr>
  <dimension ref="A1:CQ168"/>
  <sheetViews>
    <sheetView showGridLines="0" view="pageBreakPreview" zoomScale="70" zoomScaleNormal="60" zoomScaleSheetLayoutView="70" workbookViewId="0">
      <pane xSplit="10" ySplit="9" topLeftCell="L11" activePane="bottomRight" state="frozen"/>
      <selection pane="topRight" activeCell="K1" sqref="K1"/>
      <selection pane="bottomLeft" activeCell="A10" sqref="A10"/>
      <selection pane="bottomRight" activeCell="I13" sqref="I13"/>
    </sheetView>
  </sheetViews>
  <sheetFormatPr defaultColWidth="0" defaultRowHeight="0" customHeight="1" zeroHeight="1"/>
  <cols>
    <col min="1" max="2" width="2.42578125" style="133" customWidth="1"/>
    <col min="3" max="3" width="50.7109375" style="133" customWidth="1"/>
    <col min="4" max="5" width="11.42578125" style="133" customWidth="1"/>
    <col min="6" max="6" width="2.42578125" style="133" customWidth="1"/>
    <col min="7" max="7" width="10.28515625" style="207" customWidth="1"/>
    <col min="8" max="8" width="2.42578125" style="133" customWidth="1"/>
    <col min="9" max="9" width="13.7109375" style="133" customWidth="1"/>
    <col min="10" max="11" width="2.42578125" style="133" customWidth="1"/>
    <col min="12" max="93" width="12.42578125" style="133" customWidth="1"/>
    <col min="94" max="94" width="2.7109375" style="133" hidden="1" customWidth="1"/>
    <col min="95" max="95" width="0" style="133" hidden="1" customWidth="1"/>
    <col min="96" max="16384" width="2.7109375" style="133" hidden="1"/>
  </cols>
  <sheetData>
    <row r="1" spans="1:93" ht="14.25">
      <c r="A1" s="47"/>
      <c r="B1" s="47"/>
      <c r="C1" s="47"/>
      <c r="D1" s="47"/>
      <c r="E1" s="47"/>
      <c r="F1" s="47"/>
      <c r="G1" s="319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47"/>
      <c r="BU1" s="47"/>
      <c r="BV1" s="47"/>
      <c r="BW1" s="47"/>
      <c r="BX1" s="47"/>
      <c r="BY1" s="47"/>
      <c r="BZ1" s="47"/>
      <c r="CA1" s="47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</row>
    <row r="2" spans="1:93" ht="22.5" customHeight="1">
      <c r="A2" s="47"/>
      <c r="B2" s="5" t="str">
        <f xml:space="preserve"> "Проект «" &amp; Name_Model &amp; "»"</f>
        <v>Проект «Отель в коттеджах 5* UAI»</v>
      </c>
      <c r="C2" s="5"/>
      <c r="D2" s="5"/>
      <c r="E2" s="5"/>
      <c r="F2" s="5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</row>
    <row r="3" spans="1:93" ht="15" customHeight="1">
      <c r="A3" s="10"/>
      <c r="B3" s="10"/>
      <c r="C3" s="10"/>
      <c r="D3" s="47"/>
      <c r="E3" s="85" t="s">
        <v>17</v>
      </c>
      <c r="F3" s="10"/>
      <c r="G3" s="11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</row>
    <row r="4" spans="1:93" ht="15" customHeight="1">
      <c r="A4" s="10"/>
      <c r="B4" s="16"/>
      <c r="C4" s="100" t="s">
        <v>946</v>
      </c>
      <c r="D4" s="320"/>
      <c r="E4" s="166" t="b">
        <f ca="1">Overall_Check</f>
        <v>1</v>
      </c>
      <c r="F4" s="10"/>
      <c r="G4" s="11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</row>
    <row r="5" spans="1:93" ht="15" customHeight="1">
      <c r="A5" s="10"/>
      <c r="B5" s="10"/>
      <c r="C5" s="10"/>
      <c r="D5" s="47"/>
      <c r="E5" s="47"/>
      <c r="F5" s="10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</row>
    <row r="6" spans="1:93" ht="22.5" customHeight="1">
      <c r="A6" s="177"/>
      <c r="B6" s="5" t="s">
        <v>21</v>
      </c>
      <c r="C6" s="5"/>
      <c r="D6" s="5"/>
      <c r="E6" s="6"/>
      <c r="F6" s="6"/>
      <c r="G6" s="6" t="s">
        <v>23</v>
      </c>
      <c r="H6" s="6"/>
      <c r="I6" s="5" t="s">
        <v>20</v>
      </c>
      <c r="J6" s="5"/>
      <c r="K6" s="5"/>
      <c r="L6" s="6">
        <f t="shared" ref="L6:CO6" si="0">YEAR(L7)</f>
        <v>2025</v>
      </c>
      <c r="M6" s="6">
        <f t="shared" si="0"/>
        <v>2025</v>
      </c>
      <c r="N6" s="6">
        <f t="shared" si="0"/>
        <v>2025</v>
      </c>
      <c r="O6" s="6">
        <f t="shared" si="0"/>
        <v>2025</v>
      </c>
      <c r="P6" s="6">
        <f t="shared" si="0"/>
        <v>2026</v>
      </c>
      <c r="Q6" s="6">
        <f t="shared" si="0"/>
        <v>2026</v>
      </c>
      <c r="R6" s="6">
        <f t="shared" si="0"/>
        <v>2026</v>
      </c>
      <c r="S6" s="6">
        <f t="shared" si="0"/>
        <v>2026</v>
      </c>
      <c r="T6" s="6">
        <f t="shared" si="0"/>
        <v>2027</v>
      </c>
      <c r="U6" s="6">
        <f t="shared" si="0"/>
        <v>2027</v>
      </c>
      <c r="V6" s="6">
        <f t="shared" si="0"/>
        <v>2027</v>
      </c>
      <c r="W6" s="6">
        <f t="shared" si="0"/>
        <v>2027</v>
      </c>
      <c r="X6" s="6">
        <f t="shared" si="0"/>
        <v>2028</v>
      </c>
      <c r="Y6" s="6">
        <f t="shared" si="0"/>
        <v>2028</v>
      </c>
      <c r="Z6" s="6">
        <f t="shared" si="0"/>
        <v>2028</v>
      </c>
      <c r="AA6" s="6">
        <f t="shared" si="0"/>
        <v>2028</v>
      </c>
      <c r="AB6" s="6">
        <f t="shared" si="0"/>
        <v>2029</v>
      </c>
      <c r="AC6" s="6">
        <f t="shared" si="0"/>
        <v>2029</v>
      </c>
      <c r="AD6" s="6">
        <f t="shared" si="0"/>
        <v>2029</v>
      </c>
      <c r="AE6" s="6">
        <f t="shared" si="0"/>
        <v>2029</v>
      </c>
      <c r="AF6" s="6">
        <f t="shared" si="0"/>
        <v>2030</v>
      </c>
      <c r="AG6" s="6">
        <f t="shared" si="0"/>
        <v>2030</v>
      </c>
      <c r="AH6" s="6">
        <f t="shared" si="0"/>
        <v>2030</v>
      </c>
      <c r="AI6" s="6">
        <f t="shared" si="0"/>
        <v>2030</v>
      </c>
      <c r="AJ6" s="6">
        <f t="shared" si="0"/>
        <v>2031</v>
      </c>
      <c r="AK6" s="6">
        <f t="shared" si="0"/>
        <v>2031</v>
      </c>
      <c r="AL6" s="6">
        <f t="shared" si="0"/>
        <v>2031</v>
      </c>
      <c r="AM6" s="6">
        <f t="shared" si="0"/>
        <v>2031</v>
      </c>
      <c r="AN6" s="6">
        <f t="shared" si="0"/>
        <v>2032</v>
      </c>
      <c r="AO6" s="6">
        <f t="shared" si="0"/>
        <v>2032</v>
      </c>
      <c r="AP6" s="6">
        <f t="shared" si="0"/>
        <v>2032</v>
      </c>
      <c r="AQ6" s="6">
        <f t="shared" si="0"/>
        <v>2032</v>
      </c>
      <c r="AR6" s="6">
        <f t="shared" si="0"/>
        <v>2033</v>
      </c>
      <c r="AS6" s="6">
        <f t="shared" si="0"/>
        <v>2033</v>
      </c>
      <c r="AT6" s="6">
        <f t="shared" si="0"/>
        <v>2033</v>
      </c>
      <c r="AU6" s="6">
        <f t="shared" si="0"/>
        <v>2033</v>
      </c>
      <c r="AV6" s="6">
        <f t="shared" si="0"/>
        <v>2034</v>
      </c>
      <c r="AW6" s="6">
        <f t="shared" si="0"/>
        <v>2034</v>
      </c>
      <c r="AX6" s="6">
        <f t="shared" si="0"/>
        <v>2034</v>
      </c>
      <c r="AY6" s="6">
        <f t="shared" si="0"/>
        <v>2034</v>
      </c>
      <c r="AZ6" s="6">
        <f t="shared" si="0"/>
        <v>2035</v>
      </c>
      <c r="BA6" s="6">
        <f t="shared" si="0"/>
        <v>2035</v>
      </c>
      <c r="BB6" s="6">
        <f t="shared" si="0"/>
        <v>2035</v>
      </c>
      <c r="BC6" s="6">
        <f t="shared" si="0"/>
        <v>2035</v>
      </c>
      <c r="BD6" s="6">
        <f t="shared" si="0"/>
        <v>2036</v>
      </c>
      <c r="BE6" s="6">
        <f t="shared" si="0"/>
        <v>2036</v>
      </c>
      <c r="BF6" s="6">
        <f t="shared" si="0"/>
        <v>2036</v>
      </c>
      <c r="BG6" s="6">
        <f t="shared" si="0"/>
        <v>2036</v>
      </c>
      <c r="BH6" s="6">
        <f t="shared" si="0"/>
        <v>2037</v>
      </c>
      <c r="BI6" s="6">
        <f t="shared" si="0"/>
        <v>2037</v>
      </c>
      <c r="BJ6" s="6">
        <f t="shared" si="0"/>
        <v>2037</v>
      </c>
      <c r="BK6" s="6">
        <f t="shared" si="0"/>
        <v>2037</v>
      </c>
      <c r="BL6" s="6">
        <f t="shared" si="0"/>
        <v>2038</v>
      </c>
      <c r="BM6" s="6">
        <f t="shared" si="0"/>
        <v>2038</v>
      </c>
      <c r="BN6" s="6">
        <f t="shared" si="0"/>
        <v>2038</v>
      </c>
      <c r="BO6" s="6">
        <f t="shared" si="0"/>
        <v>2038</v>
      </c>
      <c r="BP6" s="6">
        <f t="shared" si="0"/>
        <v>2039</v>
      </c>
      <c r="BQ6" s="6">
        <f t="shared" si="0"/>
        <v>2039</v>
      </c>
      <c r="BR6" s="6">
        <f t="shared" si="0"/>
        <v>2039</v>
      </c>
      <c r="BS6" s="6">
        <f t="shared" si="0"/>
        <v>2039</v>
      </c>
      <c r="BT6" s="6">
        <f t="shared" si="0"/>
        <v>2040</v>
      </c>
      <c r="BU6" s="6">
        <f t="shared" si="0"/>
        <v>2040</v>
      </c>
      <c r="BV6" s="6">
        <f t="shared" si="0"/>
        <v>2040</v>
      </c>
      <c r="BW6" s="6">
        <f t="shared" si="0"/>
        <v>2040</v>
      </c>
      <c r="BX6" s="6">
        <f t="shared" si="0"/>
        <v>2041</v>
      </c>
      <c r="BY6" s="6">
        <f t="shared" si="0"/>
        <v>2041</v>
      </c>
      <c r="BZ6" s="6">
        <f t="shared" si="0"/>
        <v>2041</v>
      </c>
      <c r="CA6" s="6">
        <f t="shared" si="0"/>
        <v>2041</v>
      </c>
      <c r="CB6" s="6">
        <f t="shared" si="0"/>
        <v>2042</v>
      </c>
      <c r="CC6" s="6">
        <f t="shared" si="0"/>
        <v>2042</v>
      </c>
      <c r="CD6" s="6">
        <f t="shared" si="0"/>
        <v>2042</v>
      </c>
      <c r="CE6" s="6">
        <f t="shared" si="0"/>
        <v>2042</v>
      </c>
      <c r="CF6" s="6">
        <f t="shared" si="0"/>
        <v>2043</v>
      </c>
      <c r="CG6" s="6">
        <f t="shared" si="0"/>
        <v>2043</v>
      </c>
      <c r="CH6" s="6">
        <f t="shared" si="0"/>
        <v>2043</v>
      </c>
      <c r="CI6" s="6">
        <f t="shared" si="0"/>
        <v>2043</v>
      </c>
      <c r="CJ6" s="6">
        <f t="shared" si="0"/>
        <v>2044</v>
      </c>
      <c r="CK6" s="6">
        <f t="shared" si="0"/>
        <v>2044</v>
      </c>
      <c r="CL6" s="6">
        <f t="shared" si="0"/>
        <v>2044</v>
      </c>
      <c r="CM6" s="6">
        <f t="shared" si="0"/>
        <v>2044</v>
      </c>
      <c r="CN6" s="6">
        <f t="shared" si="0"/>
        <v>2045</v>
      </c>
      <c r="CO6" s="6">
        <f t="shared" si="0"/>
        <v>2045</v>
      </c>
    </row>
    <row r="7" spans="1:93" ht="15" customHeight="1">
      <c r="A7" s="9"/>
      <c r="B7" s="9"/>
      <c r="C7" s="9" t="s">
        <v>380</v>
      </c>
      <c r="D7" s="9"/>
      <c r="E7" s="9"/>
      <c r="F7" s="9"/>
      <c r="G7" s="142"/>
      <c r="H7" s="9"/>
      <c r="I7" s="9"/>
      <c r="J7" s="9"/>
      <c r="K7" s="9"/>
      <c r="L7" s="113">
        <f t="shared" ref="L7:CO7" si="1">Beginning_of_period</f>
        <v>45658</v>
      </c>
      <c r="M7" s="113">
        <f t="shared" si="1"/>
        <v>45748</v>
      </c>
      <c r="N7" s="113">
        <f t="shared" si="1"/>
        <v>45839</v>
      </c>
      <c r="O7" s="113">
        <f t="shared" si="1"/>
        <v>45931</v>
      </c>
      <c r="P7" s="113">
        <f t="shared" si="1"/>
        <v>46023</v>
      </c>
      <c r="Q7" s="113">
        <f t="shared" si="1"/>
        <v>46113</v>
      </c>
      <c r="R7" s="113">
        <f t="shared" si="1"/>
        <v>46204</v>
      </c>
      <c r="S7" s="113">
        <f t="shared" si="1"/>
        <v>46296</v>
      </c>
      <c r="T7" s="113">
        <f t="shared" si="1"/>
        <v>46388</v>
      </c>
      <c r="U7" s="113">
        <f t="shared" si="1"/>
        <v>46478</v>
      </c>
      <c r="V7" s="113">
        <f t="shared" si="1"/>
        <v>46569</v>
      </c>
      <c r="W7" s="113">
        <f t="shared" si="1"/>
        <v>46661</v>
      </c>
      <c r="X7" s="113">
        <f t="shared" si="1"/>
        <v>46753</v>
      </c>
      <c r="Y7" s="113">
        <f t="shared" si="1"/>
        <v>46844</v>
      </c>
      <c r="Z7" s="113">
        <f t="shared" si="1"/>
        <v>46935</v>
      </c>
      <c r="AA7" s="113">
        <f t="shared" si="1"/>
        <v>47027</v>
      </c>
      <c r="AB7" s="113">
        <f t="shared" si="1"/>
        <v>47119</v>
      </c>
      <c r="AC7" s="113">
        <f t="shared" si="1"/>
        <v>47209</v>
      </c>
      <c r="AD7" s="113">
        <f t="shared" si="1"/>
        <v>47300</v>
      </c>
      <c r="AE7" s="113">
        <f t="shared" si="1"/>
        <v>47392</v>
      </c>
      <c r="AF7" s="113">
        <f t="shared" si="1"/>
        <v>47484</v>
      </c>
      <c r="AG7" s="113">
        <f t="shared" si="1"/>
        <v>47574</v>
      </c>
      <c r="AH7" s="113">
        <f t="shared" si="1"/>
        <v>47665</v>
      </c>
      <c r="AI7" s="113">
        <f t="shared" si="1"/>
        <v>47757</v>
      </c>
      <c r="AJ7" s="113">
        <f t="shared" si="1"/>
        <v>47849</v>
      </c>
      <c r="AK7" s="113">
        <f t="shared" si="1"/>
        <v>47939</v>
      </c>
      <c r="AL7" s="113">
        <f t="shared" si="1"/>
        <v>48030</v>
      </c>
      <c r="AM7" s="113">
        <f t="shared" si="1"/>
        <v>48122</v>
      </c>
      <c r="AN7" s="113">
        <f t="shared" si="1"/>
        <v>48214</v>
      </c>
      <c r="AO7" s="113">
        <f t="shared" si="1"/>
        <v>48305</v>
      </c>
      <c r="AP7" s="113">
        <f t="shared" si="1"/>
        <v>48396</v>
      </c>
      <c r="AQ7" s="113">
        <f t="shared" si="1"/>
        <v>48488</v>
      </c>
      <c r="AR7" s="113">
        <f t="shared" si="1"/>
        <v>48580</v>
      </c>
      <c r="AS7" s="113">
        <f t="shared" si="1"/>
        <v>48670</v>
      </c>
      <c r="AT7" s="113">
        <f t="shared" si="1"/>
        <v>48761</v>
      </c>
      <c r="AU7" s="113">
        <f t="shared" si="1"/>
        <v>48853</v>
      </c>
      <c r="AV7" s="113">
        <f t="shared" si="1"/>
        <v>48945</v>
      </c>
      <c r="AW7" s="113">
        <f t="shared" si="1"/>
        <v>49035</v>
      </c>
      <c r="AX7" s="113">
        <f t="shared" si="1"/>
        <v>49126</v>
      </c>
      <c r="AY7" s="113">
        <f t="shared" si="1"/>
        <v>49218</v>
      </c>
      <c r="AZ7" s="113">
        <f t="shared" si="1"/>
        <v>49310</v>
      </c>
      <c r="BA7" s="113">
        <f t="shared" si="1"/>
        <v>49400</v>
      </c>
      <c r="BB7" s="113">
        <f t="shared" si="1"/>
        <v>49491</v>
      </c>
      <c r="BC7" s="113">
        <f t="shared" si="1"/>
        <v>49583</v>
      </c>
      <c r="BD7" s="113">
        <f t="shared" si="1"/>
        <v>49675</v>
      </c>
      <c r="BE7" s="113">
        <f t="shared" si="1"/>
        <v>49766</v>
      </c>
      <c r="BF7" s="113">
        <f t="shared" si="1"/>
        <v>49857</v>
      </c>
      <c r="BG7" s="113">
        <f t="shared" si="1"/>
        <v>49949</v>
      </c>
      <c r="BH7" s="113">
        <f t="shared" si="1"/>
        <v>50041</v>
      </c>
      <c r="BI7" s="113">
        <f t="shared" si="1"/>
        <v>50131</v>
      </c>
      <c r="BJ7" s="113">
        <f t="shared" si="1"/>
        <v>50222</v>
      </c>
      <c r="BK7" s="113">
        <f t="shared" si="1"/>
        <v>50314</v>
      </c>
      <c r="BL7" s="113">
        <f t="shared" si="1"/>
        <v>50406</v>
      </c>
      <c r="BM7" s="113">
        <f t="shared" si="1"/>
        <v>50496</v>
      </c>
      <c r="BN7" s="113">
        <f t="shared" si="1"/>
        <v>50587</v>
      </c>
      <c r="BO7" s="113">
        <f t="shared" si="1"/>
        <v>50679</v>
      </c>
      <c r="BP7" s="113">
        <f t="shared" si="1"/>
        <v>50771</v>
      </c>
      <c r="BQ7" s="113">
        <f t="shared" si="1"/>
        <v>50861</v>
      </c>
      <c r="BR7" s="113">
        <f t="shared" si="1"/>
        <v>50952</v>
      </c>
      <c r="BS7" s="113">
        <f t="shared" si="1"/>
        <v>51044</v>
      </c>
      <c r="BT7" s="113">
        <f t="shared" si="1"/>
        <v>51136</v>
      </c>
      <c r="BU7" s="113">
        <f t="shared" si="1"/>
        <v>51227</v>
      </c>
      <c r="BV7" s="113">
        <f t="shared" si="1"/>
        <v>51318</v>
      </c>
      <c r="BW7" s="113">
        <f t="shared" si="1"/>
        <v>51410</v>
      </c>
      <c r="BX7" s="113">
        <f t="shared" si="1"/>
        <v>51502</v>
      </c>
      <c r="BY7" s="113">
        <f t="shared" si="1"/>
        <v>51592</v>
      </c>
      <c r="BZ7" s="113">
        <f t="shared" si="1"/>
        <v>51683</v>
      </c>
      <c r="CA7" s="113">
        <f t="shared" si="1"/>
        <v>51775</v>
      </c>
      <c r="CB7" s="113">
        <f t="shared" si="1"/>
        <v>51867</v>
      </c>
      <c r="CC7" s="113">
        <f t="shared" si="1"/>
        <v>51957</v>
      </c>
      <c r="CD7" s="113">
        <f t="shared" si="1"/>
        <v>52048</v>
      </c>
      <c r="CE7" s="113">
        <f t="shared" si="1"/>
        <v>52140</v>
      </c>
      <c r="CF7" s="113">
        <f t="shared" si="1"/>
        <v>52232</v>
      </c>
      <c r="CG7" s="113">
        <f t="shared" si="1"/>
        <v>52322</v>
      </c>
      <c r="CH7" s="113">
        <f t="shared" si="1"/>
        <v>52413</v>
      </c>
      <c r="CI7" s="113">
        <f t="shared" si="1"/>
        <v>52505</v>
      </c>
      <c r="CJ7" s="113">
        <f t="shared" si="1"/>
        <v>52597</v>
      </c>
      <c r="CK7" s="113">
        <f t="shared" si="1"/>
        <v>52688</v>
      </c>
      <c r="CL7" s="113">
        <f t="shared" si="1"/>
        <v>52779</v>
      </c>
      <c r="CM7" s="113">
        <f t="shared" si="1"/>
        <v>52871</v>
      </c>
      <c r="CN7" s="113">
        <f t="shared" si="1"/>
        <v>52963</v>
      </c>
      <c r="CO7" s="113">
        <f t="shared" si="1"/>
        <v>53053</v>
      </c>
    </row>
    <row r="8" spans="1:93" ht="15" customHeight="1">
      <c r="A8" s="9"/>
      <c r="B8" s="9"/>
      <c r="C8" s="9" t="s">
        <v>381</v>
      </c>
      <c r="D8" s="9"/>
      <c r="E8" s="9"/>
      <c r="F8" s="9"/>
      <c r="G8" s="142"/>
      <c r="H8" s="9"/>
      <c r="I8" s="9"/>
      <c r="J8" s="9"/>
      <c r="K8" s="9"/>
      <c r="L8" s="113">
        <f t="shared" ref="L8:CO8" si="2">End_of_period</f>
        <v>45747</v>
      </c>
      <c r="M8" s="113">
        <f t="shared" si="2"/>
        <v>45838</v>
      </c>
      <c r="N8" s="113">
        <f t="shared" si="2"/>
        <v>45930</v>
      </c>
      <c r="O8" s="113">
        <f t="shared" si="2"/>
        <v>46022</v>
      </c>
      <c r="P8" s="113">
        <f t="shared" si="2"/>
        <v>46112</v>
      </c>
      <c r="Q8" s="113">
        <f t="shared" si="2"/>
        <v>46203</v>
      </c>
      <c r="R8" s="113">
        <f t="shared" si="2"/>
        <v>46295</v>
      </c>
      <c r="S8" s="113">
        <f t="shared" si="2"/>
        <v>46387</v>
      </c>
      <c r="T8" s="113">
        <f t="shared" si="2"/>
        <v>46477</v>
      </c>
      <c r="U8" s="113">
        <f t="shared" si="2"/>
        <v>46568</v>
      </c>
      <c r="V8" s="113">
        <f t="shared" si="2"/>
        <v>46660</v>
      </c>
      <c r="W8" s="113">
        <f t="shared" si="2"/>
        <v>46752</v>
      </c>
      <c r="X8" s="113">
        <f t="shared" si="2"/>
        <v>46843</v>
      </c>
      <c r="Y8" s="113">
        <f t="shared" si="2"/>
        <v>46934</v>
      </c>
      <c r="Z8" s="113">
        <f t="shared" si="2"/>
        <v>47026</v>
      </c>
      <c r="AA8" s="113">
        <f t="shared" si="2"/>
        <v>47118</v>
      </c>
      <c r="AB8" s="113">
        <f t="shared" si="2"/>
        <v>47208</v>
      </c>
      <c r="AC8" s="113">
        <f t="shared" si="2"/>
        <v>47299</v>
      </c>
      <c r="AD8" s="113">
        <f t="shared" si="2"/>
        <v>47391</v>
      </c>
      <c r="AE8" s="113">
        <f t="shared" si="2"/>
        <v>47483</v>
      </c>
      <c r="AF8" s="113">
        <f t="shared" si="2"/>
        <v>47573</v>
      </c>
      <c r="AG8" s="113">
        <f t="shared" si="2"/>
        <v>47664</v>
      </c>
      <c r="AH8" s="113">
        <f t="shared" si="2"/>
        <v>47756</v>
      </c>
      <c r="AI8" s="113">
        <f t="shared" si="2"/>
        <v>47848</v>
      </c>
      <c r="AJ8" s="113">
        <f t="shared" si="2"/>
        <v>47938</v>
      </c>
      <c r="AK8" s="113">
        <f t="shared" si="2"/>
        <v>48029</v>
      </c>
      <c r="AL8" s="113">
        <f t="shared" si="2"/>
        <v>48121</v>
      </c>
      <c r="AM8" s="113">
        <f t="shared" si="2"/>
        <v>48213</v>
      </c>
      <c r="AN8" s="113">
        <f t="shared" si="2"/>
        <v>48304</v>
      </c>
      <c r="AO8" s="113">
        <f t="shared" si="2"/>
        <v>48395</v>
      </c>
      <c r="AP8" s="113">
        <f t="shared" si="2"/>
        <v>48487</v>
      </c>
      <c r="AQ8" s="113">
        <f t="shared" si="2"/>
        <v>48579</v>
      </c>
      <c r="AR8" s="113">
        <f t="shared" si="2"/>
        <v>48669</v>
      </c>
      <c r="AS8" s="113">
        <f t="shared" si="2"/>
        <v>48760</v>
      </c>
      <c r="AT8" s="113">
        <f t="shared" si="2"/>
        <v>48852</v>
      </c>
      <c r="AU8" s="113">
        <f t="shared" si="2"/>
        <v>48944</v>
      </c>
      <c r="AV8" s="113">
        <f t="shared" si="2"/>
        <v>49034</v>
      </c>
      <c r="AW8" s="113">
        <f t="shared" si="2"/>
        <v>49125</v>
      </c>
      <c r="AX8" s="113">
        <f t="shared" si="2"/>
        <v>49217</v>
      </c>
      <c r="AY8" s="113">
        <f t="shared" si="2"/>
        <v>49309</v>
      </c>
      <c r="AZ8" s="113">
        <f t="shared" si="2"/>
        <v>49399</v>
      </c>
      <c r="BA8" s="113">
        <f t="shared" si="2"/>
        <v>49490</v>
      </c>
      <c r="BB8" s="113">
        <f t="shared" si="2"/>
        <v>49582</v>
      </c>
      <c r="BC8" s="113">
        <f t="shared" si="2"/>
        <v>49674</v>
      </c>
      <c r="BD8" s="113">
        <f t="shared" si="2"/>
        <v>49765</v>
      </c>
      <c r="BE8" s="113">
        <f t="shared" si="2"/>
        <v>49856</v>
      </c>
      <c r="BF8" s="113">
        <f t="shared" si="2"/>
        <v>49948</v>
      </c>
      <c r="BG8" s="113">
        <f t="shared" si="2"/>
        <v>50040</v>
      </c>
      <c r="BH8" s="113">
        <f t="shared" si="2"/>
        <v>50130</v>
      </c>
      <c r="BI8" s="113">
        <f t="shared" si="2"/>
        <v>50221</v>
      </c>
      <c r="BJ8" s="113">
        <f t="shared" si="2"/>
        <v>50313</v>
      </c>
      <c r="BK8" s="113">
        <f t="shared" si="2"/>
        <v>50405</v>
      </c>
      <c r="BL8" s="113">
        <f t="shared" si="2"/>
        <v>50495</v>
      </c>
      <c r="BM8" s="113">
        <f t="shared" si="2"/>
        <v>50586</v>
      </c>
      <c r="BN8" s="113">
        <f t="shared" si="2"/>
        <v>50678</v>
      </c>
      <c r="BO8" s="113">
        <f t="shared" si="2"/>
        <v>50770</v>
      </c>
      <c r="BP8" s="113">
        <f t="shared" si="2"/>
        <v>50860</v>
      </c>
      <c r="BQ8" s="113">
        <f t="shared" si="2"/>
        <v>50951</v>
      </c>
      <c r="BR8" s="113">
        <f t="shared" si="2"/>
        <v>51043</v>
      </c>
      <c r="BS8" s="113">
        <f t="shared" si="2"/>
        <v>51135</v>
      </c>
      <c r="BT8" s="113">
        <f t="shared" si="2"/>
        <v>51226</v>
      </c>
      <c r="BU8" s="113">
        <f t="shared" si="2"/>
        <v>51317</v>
      </c>
      <c r="BV8" s="113">
        <f t="shared" si="2"/>
        <v>51409</v>
      </c>
      <c r="BW8" s="113">
        <f t="shared" si="2"/>
        <v>51501</v>
      </c>
      <c r="BX8" s="113">
        <f t="shared" si="2"/>
        <v>51591</v>
      </c>
      <c r="BY8" s="113">
        <f t="shared" si="2"/>
        <v>51682</v>
      </c>
      <c r="BZ8" s="113">
        <f t="shared" si="2"/>
        <v>51774</v>
      </c>
      <c r="CA8" s="113">
        <f t="shared" si="2"/>
        <v>51866</v>
      </c>
      <c r="CB8" s="113">
        <f t="shared" si="2"/>
        <v>51956</v>
      </c>
      <c r="CC8" s="113">
        <f t="shared" si="2"/>
        <v>52047</v>
      </c>
      <c r="CD8" s="113">
        <f t="shared" si="2"/>
        <v>52139</v>
      </c>
      <c r="CE8" s="113">
        <f t="shared" si="2"/>
        <v>52231</v>
      </c>
      <c r="CF8" s="113">
        <f t="shared" si="2"/>
        <v>52321</v>
      </c>
      <c r="CG8" s="113">
        <f t="shared" si="2"/>
        <v>52412</v>
      </c>
      <c r="CH8" s="113">
        <f t="shared" si="2"/>
        <v>52504</v>
      </c>
      <c r="CI8" s="113">
        <f t="shared" si="2"/>
        <v>52596</v>
      </c>
      <c r="CJ8" s="113">
        <f t="shared" si="2"/>
        <v>52687</v>
      </c>
      <c r="CK8" s="113">
        <f t="shared" si="2"/>
        <v>52778</v>
      </c>
      <c r="CL8" s="113">
        <f t="shared" si="2"/>
        <v>52870</v>
      </c>
      <c r="CM8" s="113">
        <f t="shared" si="2"/>
        <v>52962</v>
      </c>
      <c r="CN8" s="113">
        <f t="shared" si="2"/>
        <v>53052</v>
      </c>
      <c r="CO8" s="113">
        <f t="shared" si="2"/>
        <v>53143</v>
      </c>
    </row>
    <row r="9" spans="1:93" ht="15" customHeight="1">
      <c r="A9" s="9"/>
      <c r="B9" s="9"/>
      <c r="C9" s="9" t="s">
        <v>445</v>
      </c>
      <c r="D9" s="9"/>
      <c r="E9" s="9"/>
      <c r="F9" s="9"/>
      <c r="G9" s="142"/>
      <c r="H9" s="9"/>
      <c r="I9" s="9"/>
      <c r="J9" s="9"/>
      <c r="K9" s="9"/>
      <c r="L9" s="152">
        <f t="shared" ref="L9:CO9" si="3">IF(Flag_Construction,1,2)*Flag_Financial_Model</f>
        <v>1</v>
      </c>
      <c r="M9" s="152">
        <f t="shared" si="3"/>
        <v>1</v>
      </c>
      <c r="N9" s="152">
        <f t="shared" si="3"/>
        <v>1</v>
      </c>
      <c r="O9" s="152">
        <f t="shared" si="3"/>
        <v>1</v>
      </c>
      <c r="P9" s="152">
        <f t="shared" si="3"/>
        <v>1</v>
      </c>
      <c r="Q9" s="152">
        <f t="shared" si="3"/>
        <v>1</v>
      </c>
      <c r="R9" s="152">
        <f t="shared" si="3"/>
        <v>1</v>
      </c>
      <c r="S9" s="152">
        <f t="shared" si="3"/>
        <v>1</v>
      </c>
      <c r="T9" s="152">
        <f t="shared" si="3"/>
        <v>1</v>
      </c>
      <c r="U9" s="152">
        <f t="shared" si="3"/>
        <v>1</v>
      </c>
      <c r="V9" s="152">
        <f t="shared" si="3"/>
        <v>1</v>
      </c>
      <c r="W9" s="152">
        <f t="shared" si="3"/>
        <v>1</v>
      </c>
      <c r="X9" s="152">
        <f t="shared" si="3"/>
        <v>1</v>
      </c>
      <c r="Y9" s="152">
        <f t="shared" si="3"/>
        <v>1</v>
      </c>
      <c r="Z9" s="152">
        <f t="shared" si="3"/>
        <v>1</v>
      </c>
      <c r="AA9" s="152">
        <f t="shared" si="3"/>
        <v>1</v>
      </c>
      <c r="AB9" s="152">
        <f t="shared" si="3"/>
        <v>1</v>
      </c>
      <c r="AC9" s="152">
        <f t="shared" si="3"/>
        <v>2</v>
      </c>
      <c r="AD9" s="152">
        <f t="shared" si="3"/>
        <v>2</v>
      </c>
      <c r="AE9" s="152">
        <f t="shared" si="3"/>
        <v>2</v>
      </c>
      <c r="AF9" s="152">
        <f t="shared" si="3"/>
        <v>2</v>
      </c>
      <c r="AG9" s="152">
        <f t="shared" si="3"/>
        <v>2</v>
      </c>
      <c r="AH9" s="152">
        <f t="shared" si="3"/>
        <v>2</v>
      </c>
      <c r="AI9" s="152">
        <f t="shared" si="3"/>
        <v>2</v>
      </c>
      <c r="AJ9" s="152">
        <f t="shared" si="3"/>
        <v>2</v>
      </c>
      <c r="AK9" s="152">
        <f t="shared" si="3"/>
        <v>2</v>
      </c>
      <c r="AL9" s="152">
        <f t="shared" si="3"/>
        <v>2</v>
      </c>
      <c r="AM9" s="152">
        <f t="shared" si="3"/>
        <v>2</v>
      </c>
      <c r="AN9" s="152">
        <f t="shared" si="3"/>
        <v>2</v>
      </c>
      <c r="AO9" s="152">
        <f t="shared" si="3"/>
        <v>2</v>
      </c>
      <c r="AP9" s="152">
        <f t="shared" si="3"/>
        <v>2</v>
      </c>
      <c r="AQ9" s="152">
        <f t="shared" si="3"/>
        <v>2</v>
      </c>
      <c r="AR9" s="152">
        <f t="shared" si="3"/>
        <v>2</v>
      </c>
      <c r="AS9" s="152">
        <f t="shared" si="3"/>
        <v>2</v>
      </c>
      <c r="AT9" s="152">
        <f t="shared" si="3"/>
        <v>2</v>
      </c>
      <c r="AU9" s="152">
        <f t="shared" si="3"/>
        <v>2</v>
      </c>
      <c r="AV9" s="152">
        <f t="shared" si="3"/>
        <v>2</v>
      </c>
      <c r="AW9" s="152">
        <f t="shared" si="3"/>
        <v>2</v>
      </c>
      <c r="AX9" s="152">
        <f t="shared" si="3"/>
        <v>2</v>
      </c>
      <c r="AY9" s="152">
        <f t="shared" si="3"/>
        <v>2</v>
      </c>
      <c r="AZ9" s="152">
        <f t="shared" si="3"/>
        <v>2</v>
      </c>
      <c r="BA9" s="152">
        <f t="shared" si="3"/>
        <v>2</v>
      </c>
      <c r="BB9" s="152">
        <f t="shared" si="3"/>
        <v>2</v>
      </c>
      <c r="BC9" s="152">
        <f t="shared" si="3"/>
        <v>2</v>
      </c>
      <c r="BD9" s="152">
        <f t="shared" si="3"/>
        <v>2</v>
      </c>
      <c r="BE9" s="152">
        <f t="shared" si="3"/>
        <v>2</v>
      </c>
      <c r="BF9" s="152">
        <f t="shared" si="3"/>
        <v>2</v>
      </c>
      <c r="BG9" s="152">
        <f t="shared" si="3"/>
        <v>2</v>
      </c>
      <c r="BH9" s="152">
        <f t="shared" si="3"/>
        <v>2</v>
      </c>
      <c r="BI9" s="152">
        <f t="shared" si="3"/>
        <v>2</v>
      </c>
      <c r="BJ9" s="152">
        <f t="shared" si="3"/>
        <v>2</v>
      </c>
      <c r="BK9" s="152">
        <f t="shared" si="3"/>
        <v>2</v>
      </c>
      <c r="BL9" s="152">
        <f t="shared" si="3"/>
        <v>2</v>
      </c>
      <c r="BM9" s="152">
        <f t="shared" si="3"/>
        <v>2</v>
      </c>
      <c r="BN9" s="152">
        <f t="shared" si="3"/>
        <v>2</v>
      </c>
      <c r="BO9" s="152">
        <f t="shared" si="3"/>
        <v>2</v>
      </c>
      <c r="BP9" s="152">
        <f t="shared" si="3"/>
        <v>2</v>
      </c>
      <c r="BQ9" s="152">
        <f t="shared" si="3"/>
        <v>2</v>
      </c>
      <c r="BR9" s="152">
        <f t="shared" si="3"/>
        <v>2</v>
      </c>
      <c r="BS9" s="152">
        <f t="shared" si="3"/>
        <v>2</v>
      </c>
      <c r="BT9" s="152">
        <f t="shared" si="3"/>
        <v>2</v>
      </c>
      <c r="BU9" s="152">
        <f t="shared" si="3"/>
        <v>2</v>
      </c>
      <c r="BV9" s="152">
        <f t="shared" si="3"/>
        <v>2</v>
      </c>
      <c r="BW9" s="152">
        <f t="shared" si="3"/>
        <v>2</v>
      </c>
      <c r="BX9" s="152">
        <f t="shared" si="3"/>
        <v>2</v>
      </c>
      <c r="BY9" s="152">
        <f t="shared" si="3"/>
        <v>2</v>
      </c>
      <c r="BZ9" s="152">
        <f t="shared" si="3"/>
        <v>2</v>
      </c>
      <c r="CA9" s="152">
        <f t="shared" si="3"/>
        <v>2</v>
      </c>
      <c r="CB9" s="152">
        <f t="shared" si="3"/>
        <v>2</v>
      </c>
      <c r="CC9" s="152">
        <f t="shared" si="3"/>
        <v>2</v>
      </c>
      <c r="CD9" s="152">
        <f t="shared" si="3"/>
        <v>2</v>
      </c>
      <c r="CE9" s="152">
        <f t="shared" si="3"/>
        <v>2</v>
      </c>
      <c r="CF9" s="152">
        <f t="shared" si="3"/>
        <v>2</v>
      </c>
      <c r="CG9" s="152">
        <f t="shared" si="3"/>
        <v>2</v>
      </c>
      <c r="CH9" s="152">
        <f t="shared" si="3"/>
        <v>2</v>
      </c>
      <c r="CI9" s="152">
        <f t="shared" si="3"/>
        <v>2</v>
      </c>
      <c r="CJ9" s="152">
        <f t="shared" si="3"/>
        <v>2</v>
      </c>
      <c r="CK9" s="152">
        <f t="shared" si="3"/>
        <v>2</v>
      </c>
      <c r="CL9" s="152">
        <f t="shared" si="3"/>
        <v>2</v>
      </c>
      <c r="CM9" s="152">
        <f t="shared" si="3"/>
        <v>2</v>
      </c>
      <c r="CN9" s="152">
        <f t="shared" si="3"/>
        <v>2</v>
      </c>
      <c r="CO9" s="152">
        <f t="shared" si="3"/>
        <v>2</v>
      </c>
    </row>
    <row r="10" spans="1:93" ht="15" customHeight="1">
      <c r="A10" s="47"/>
      <c r="B10" s="47"/>
      <c r="C10" s="47"/>
      <c r="D10" s="47"/>
      <c r="E10" s="47"/>
      <c r="F10" s="47"/>
      <c r="G10" s="319"/>
      <c r="H10" s="47"/>
      <c r="I10" s="47"/>
      <c r="J10" s="47"/>
      <c r="K10" s="47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</row>
    <row r="11" spans="1:93" ht="15" customHeight="1" thickBot="1">
      <c r="A11" s="47"/>
      <c r="B11" s="47"/>
      <c r="C11" s="12" t="s">
        <v>1211</v>
      </c>
      <c r="D11" s="12"/>
      <c r="E11" s="12"/>
      <c r="F11" s="12"/>
      <c r="G11" s="12"/>
      <c r="H11" s="12"/>
      <c r="I11" s="12"/>
      <c r="J11" s="47"/>
      <c r="K11" s="47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</row>
    <row r="12" spans="1:93" s="141" customFormat="1" ht="15" customHeight="1">
      <c r="A12" s="153"/>
      <c r="B12" s="153"/>
      <c r="C12" s="153"/>
      <c r="D12" s="153"/>
      <c r="E12" s="153"/>
      <c r="F12" s="153"/>
      <c r="G12" s="179"/>
      <c r="H12" s="153"/>
      <c r="I12" s="153"/>
      <c r="J12" s="153"/>
      <c r="K12" s="153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</row>
    <row r="13" spans="1:93" s="141" customFormat="1" ht="15" customHeight="1">
      <c r="A13" s="153"/>
      <c r="B13" s="153"/>
      <c r="C13" s="156" t="s">
        <v>947</v>
      </c>
      <c r="D13" s="153"/>
      <c r="E13" s="153"/>
      <c r="F13" s="153"/>
      <c r="G13" s="179" t="s">
        <v>28</v>
      </c>
      <c r="H13" s="153"/>
      <c r="I13" s="411">
        <f>Предпосылки!E575</f>
        <v>0</v>
      </c>
      <c r="J13" s="153"/>
      <c r="K13" s="153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</row>
    <row r="14" spans="1:93" s="141" customFormat="1" ht="15" customHeight="1">
      <c r="A14" s="153"/>
      <c r="B14" s="153"/>
      <c r="C14" s="156" t="s">
        <v>948</v>
      </c>
      <c r="D14" s="153"/>
      <c r="E14" s="153"/>
      <c r="F14" s="153"/>
      <c r="G14" s="179"/>
      <c r="H14" s="153"/>
      <c r="I14" s="332">
        <f xml:space="preserve"> Date_Operations_Start</f>
        <v>47209</v>
      </c>
      <c r="J14" s="153"/>
      <c r="K14" s="153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</row>
    <row r="15" spans="1:93" s="141" customFormat="1" ht="15" customHeight="1">
      <c r="A15" s="153"/>
      <c r="B15" s="153"/>
      <c r="C15" s="156" t="s">
        <v>1199</v>
      </c>
      <c r="D15" s="153"/>
      <c r="E15" s="153"/>
      <c r="F15" s="153"/>
      <c r="G15" s="179" t="s">
        <v>1200</v>
      </c>
      <c r="H15" s="153"/>
      <c r="I15" s="394">
        <v>3</v>
      </c>
      <c r="J15" s="153"/>
      <c r="K15" s="153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</row>
    <row r="16" spans="1:93" s="141" customFormat="1" ht="15" customHeight="1">
      <c r="A16" s="153"/>
      <c r="B16" s="153"/>
      <c r="C16" s="156" t="s">
        <v>949</v>
      </c>
      <c r="D16" s="153"/>
      <c r="E16" s="153"/>
      <c r="F16" s="153"/>
      <c r="G16" s="179" t="s">
        <v>31</v>
      </c>
      <c r="H16" s="153"/>
      <c r="I16" s="332">
        <f>EOMONTH(I14,I15*Months_in_Year-1)</f>
        <v>48304</v>
      </c>
      <c r="J16" s="153"/>
      <c r="K16" s="153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</row>
    <row r="17" spans="1:93" s="141" customFormat="1" ht="15" customHeight="1">
      <c r="A17" s="153"/>
      <c r="B17" s="153"/>
      <c r="C17" s="153"/>
      <c r="D17" s="153"/>
      <c r="E17" s="153"/>
      <c r="F17" s="153"/>
      <c r="G17" s="11"/>
      <c r="H17" s="153"/>
      <c r="I17" s="153"/>
      <c r="J17" s="153"/>
      <c r="K17" s="153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</row>
    <row r="18" spans="1:93" s="141" customFormat="1" ht="15" customHeight="1">
      <c r="A18" s="153"/>
      <c r="B18" s="153"/>
      <c r="C18" s="156" t="s">
        <v>924</v>
      </c>
      <c r="D18" s="153"/>
      <c r="E18" s="153"/>
      <c r="F18" s="153"/>
      <c r="G18" s="11" t="s">
        <v>28</v>
      </c>
      <c r="H18" s="153"/>
      <c r="I18" s="326">
        <f ca="1">Расчеты!E1295</f>
        <v>0.23641391339318618</v>
      </c>
      <c r="J18" s="153"/>
      <c r="K18" s="153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</row>
    <row r="19" spans="1:93" s="141" customFormat="1" ht="15" customHeight="1">
      <c r="A19" s="153"/>
      <c r="B19" s="153"/>
      <c r="C19" s="156" t="s">
        <v>934</v>
      </c>
      <c r="D19" s="153"/>
      <c r="E19" s="153"/>
      <c r="F19" s="153"/>
      <c r="G19" s="11" t="s">
        <v>28</v>
      </c>
      <c r="H19" s="153"/>
      <c r="I19" s="326">
        <f>AVERAGE(Предпосылки!R59:AA59)</f>
        <v>4.0300646272306576E-2</v>
      </c>
      <c r="J19" s="153"/>
      <c r="K19" s="153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</row>
    <row r="20" spans="1:93" s="141" customFormat="1" ht="15" customHeight="1">
      <c r="A20" s="153"/>
      <c r="B20" s="153"/>
      <c r="C20" s="153"/>
      <c r="D20" s="153"/>
      <c r="E20" s="153"/>
      <c r="F20" s="153"/>
      <c r="G20" s="179"/>
      <c r="H20" s="153"/>
      <c r="I20" s="153"/>
      <c r="J20" s="153"/>
      <c r="K20" s="153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</row>
    <row r="21" spans="1:93" s="141" customFormat="1" ht="15" customHeight="1" thickBot="1">
      <c r="A21" s="153"/>
      <c r="B21" s="153"/>
      <c r="C21" s="12" t="s">
        <v>1212</v>
      </c>
      <c r="D21" s="12"/>
      <c r="E21" s="12"/>
      <c r="F21" s="12"/>
      <c r="G21" s="12"/>
      <c r="H21" s="12"/>
      <c r="I21" s="12"/>
      <c r="J21" s="153"/>
      <c r="K21" s="153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</row>
    <row r="22" spans="1:93" ht="15" customHeight="1">
      <c r="A22" s="47"/>
      <c r="B22" s="47"/>
      <c r="C22" s="47"/>
      <c r="D22" s="47"/>
      <c r="E22" s="47"/>
      <c r="F22" s="47"/>
      <c r="G22" s="319"/>
      <c r="H22" s="47"/>
      <c r="I22" s="47"/>
      <c r="J22" s="47"/>
      <c r="K22" s="47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</row>
    <row r="23" spans="1:93" ht="15" customHeight="1">
      <c r="A23" s="47"/>
      <c r="B23" s="47"/>
      <c r="C23" s="156" t="s">
        <v>590</v>
      </c>
      <c r="D23" s="153"/>
      <c r="E23" s="11"/>
      <c r="F23" s="11"/>
      <c r="G23" s="11" t="str">
        <f>Monetary_Unit</f>
        <v>тыс. руб.</v>
      </c>
      <c r="H23" s="153"/>
      <c r="I23" s="23">
        <f t="shared" ref="I23:I29" ca="1" si="4">SUM(L23:CO23)</f>
        <v>0</v>
      </c>
      <c r="J23" s="153"/>
      <c r="K23" s="153"/>
      <c r="L23" s="10">
        <f t="shared" ref="L23:AQ23" si="5" xml:space="preserve"> - L43</f>
        <v>0</v>
      </c>
      <c r="M23" s="10">
        <f t="shared" ca="1" si="5"/>
        <v>0</v>
      </c>
      <c r="N23" s="10">
        <f t="shared" ca="1" si="5"/>
        <v>0</v>
      </c>
      <c r="O23" s="10">
        <f t="shared" ca="1" si="5"/>
        <v>0</v>
      </c>
      <c r="P23" s="10">
        <f t="shared" ca="1" si="5"/>
        <v>0</v>
      </c>
      <c r="Q23" s="10">
        <f t="shared" ca="1" si="5"/>
        <v>0</v>
      </c>
      <c r="R23" s="10">
        <f t="shared" ca="1" si="5"/>
        <v>0</v>
      </c>
      <c r="S23" s="10">
        <f t="shared" ca="1" si="5"/>
        <v>0</v>
      </c>
      <c r="T23" s="10">
        <f t="shared" ca="1" si="5"/>
        <v>0</v>
      </c>
      <c r="U23" s="10">
        <f t="shared" ca="1" si="5"/>
        <v>0</v>
      </c>
      <c r="V23" s="10">
        <f t="shared" ca="1" si="5"/>
        <v>0</v>
      </c>
      <c r="W23" s="10">
        <f t="shared" ca="1" si="5"/>
        <v>0</v>
      </c>
      <c r="X23" s="10">
        <f t="shared" ca="1" si="5"/>
        <v>0</v>
      </c>
      <c r="Y23" s="10">
        <f t="shared" ca="1" si="5"/>
        <v>0</v>
      </c>
      <c r="Z23" s="10">
        <f t="shared" ca="1" si="5"/>
        <v>0</v>
      </c>
      <c r="AA23" s="10">
        <f t="shared" ca="1" si="5"/>
        <v>0</v>
      </c>
      <c r="AB23" s="10">
        <f t="shared" ca="1" si="5"/>
        <v>0</v>
      </c>
      <c r="AC23" s="10">
        <f t="shared" ca="1" si="5"/>
        <v>0</v>
      </c>
      <c r="AD23" s="10">
        <f t="shared" ca="1" si="5"/>
        <v>0</v>
      </c>
      <c r="AE23" s="10">
        <f t="shared" ca="1" si="5"/>
        <v>0</v>
      </c>
      <c r="AF23" s="10">
        <f t="shared" ca="1" si="5"/>
        <v>0</v>
      </c>
      <c r="AG23" s="10">
        <f t="shared" ca="1" si="5"/>
        <v>0</v>
      </c>
      <c r="AH23" s="10">
        <f t="shared" ca="1" si="5"/>
        <v>0</v>
      </c>
      <c r="AI23" s="10">
        <f t="shared" ca="1" si="5"/>
        <v>0</v>
      </c>
      <c r="AJ23" s="10">
        <f t="shared" ca="1" si="5"/>
        <v>0</v>
      </c>
      <c r="AK23" s="10">
        <f t="shared" ca="1" si="5"/>
        <v>0</v>
      </c>
      <c r="AL23" s="10">
        <f t="shared" ca="1" si="5"/>
        <v>0</v>
      </c>
      <c r="AM23" s="10">
        <f t="shared" ca="1" si="5"/>
        <v>0</v>
      </c>
      <c r="AN23" s="10">
        <f t="shared" ca="1" si="5"/>
        <v>0</v>
      </c>
      <c r="AO23" s="10">
        <f t="shared" ca="1" si="5"/>
        <v>0</v>
      </c>
      <c r="AP23" s="10">
        <f t="shared" ca="1" si="5"/>
        <v>0</v>
      </c>
      <c r="AQ23" s="10">
        <f t="shared" ca="1" si="5"/>
        <v>0</v>
      </c>
      <c r="AR23" s="10">
        <f t="shared" ref="AR23:BS23" ca="1" si="6" xml:space="preserve"> - AR43</f>
        <v>0</v>
      </c>
      <c r="AS23" s="10">
        <f t="shared" ca="1" si="6"/>
        <v>0</v>
      </c>
      <c r="AT23" s="10">
        <f t="shared" ca="1" si="6"/>
        <v>0</v>
      </c>
      <c r="AU23" s="10">
        <f t="shared" ca="1" si="6"/>
        <v>0</v>
      </c>
      <c r="AV23" s="10">
        <f t="shared" ca="1" si="6"/>
        <v>0</v>
      </c>
      <c r="AW23" s="10">
        <f t="shared" ca="1" si="6"/>
        <v>0</v>
      </c>
      <c r="AX23" s="10">
        <f t="shared" ca="1" si="6"/>
        <v>0</v>
      </c>
      <c r="AY23" s="10">
        <f t="shared" ca="1" si="6"/>
        <v>0</v>
      </c>
      <c r="AZ23" s="10">
        <f t="shared" ca="1" si="6"/>
        <v>0</v>
      </c>
      <c r="BA23" s="10">
        <f t="shared" ca="1" si="6"/>
        <v>0</v>
      </c>
      <c r="BB23" s="10">
        <f t="shared" ca="1" si="6"/>
        <v>0</v>
      </c>
      <c r="BC23" s="10">
        <f t="shared" ca="1" si="6"/>
        <v>0</v>
      </c>
      <c r="BD23" s="10">
        <f t="shared" ca="1" si="6"/>
        <v>0</v>
      </c>
      <c r="BE23" s="10">
        <f t="shared" ca="1" si="6"/>
        <v>0</v>
      </c>
      <c r="BF23" s="10">
        <f t="shared" ca="1" si="6"/>
        <v>0</v>
      </c>
      <c r="BG23" s="10">
        <f t="shared" ca="1" si="6"/>
        <v>0</v>
      </c>
      <c r="BH23" s="10">
        <f t="shared" ca="1" si="6"/>
        <v>0</v>
      </c>
      <c r="BI23" s="10">
        <f t="shared" ca="1" si="6"/>
        <v>0</v>
      </c>
      <c r="BJ23" s="10">
        <f t="shared" ca="1" si="6"/>
        <v>0</v>
      </c>
      <c r="BK23" s="10">
        <f t="shared" ca="1" si="6"/>
        <v>0</v>
      </c>
      <c r="BL23" s="10">
        <f t="shared" ca="1" si="6"/>
        <v>0</v>
      </c>
      <c r="BM23" s="10">
        <f t="shared" ca="1" si="6"/>
        <v>0</v>
      </c>
      <c r="BN23" s="10">
        <f t="shared" ca="1" si="6"/>
        <v>0</v>
      </c>
      <c r="BO23" s="10">
        <f t="shared" ca="1" si="6"/>
        <v>0</v>
      </c>
      <c r="BP23" s="10">
        <f t="shared" ca="1" si="6"/>
        <v>0</v>
      </c>
      <c r="BQ23" s="10">
        <f t="shared" ca="1" si="6"/>
        <v>0</v>
      </c>
      <c r="BR23" s="10">
        <f t="shared" ca="1" si="6"/>
        <v>0</v>
      </c>
      <c r="BS23" s="10">
        <f t="shared" ca="1" si="6"/>
        <v>0</v>
      </c>
      <c r="BT23" s="10">
        <f t="shared" ref="BT23:CO23" ca="1" si="7" xml:space="preserve"> - BT43</f>
        <v>0</v>
      </c>
      <c r="BU23" s="10">
        <f t="shared" ca="1" si="7"/>
        <v>0</v>
      </c>
      <c r="BV23" s="10">
        <f t="shared" ca="1" si="7"/>
        <v>0</v>
      </c>
      <c r="BW23" s="10">
        <f t="shared" ca="1" si="7"/>
        <v>0</v>
      </c>
      <c r="BX23" s="10">
        <f t="shared" ca="1" si="7"/>
        <v>0</v>
      </c>
      <c r="BY23" s="10">
        <f t="shared" ca="1" si="7"/>
        <v>0</v>
      </c>
      <c r="BZ23" s="10">
        <f t="shared" ca="1" si="7"/>
        <v>0</v>
      </c>
      <c r="CA23" s="10">
        <f t="shared" ca="1" si="7"/>
        <v>0</v>
      </c>
      <c r="CB23" s="10">
        <f t="shared" ca="1" si="7"/>
        <v>0</v>
      </c>
      <c r="CC23" s="10">
        <f t="shared" ca="1" si="7"/>
        <v>0</v>
      </c>
      <c r="CD23" s="10">
        <f t="shared" ca="1" si="7"/>
        <v>0</v>
      </c>
      <c r="CE23" s="10">
        <f t="shared" ca="1" si="7"/>
        <v>0</v>
      </c>
      <c r="CF23" s="10">
        <f t="shared" ca="1" si="7"/>
        <v>0</v>
      </c>
      <c r="CG23" s="10">
        <f t="shared" ca="1" si="7"/>
        <v>0</v>
      </c>
      <c r="CH23" s="10">
        <f t="shared" ca="1" si="7"/>
        <v>0</v>
      </c>
      <c r="CI23" s="10">
        <f t="shared" ca="1" si="7"/>
        <v>0</v>
      </c>
      <c r="CJ23" s="10">
        <f t="shared" ca="1" si="7"/>
        <v>0</v>
      </c>
      <c r="CK23" s="10">
        <f t="shared" ca="1" si="7"/>
        <v>0</v>
      </c>
      <c r="CL23" s="10">
        <f t="shared" ca="1" si="7"/>
        <v>0</v>
      </c>
      <c r="CM23" s="10">
        <f t="shared" ca="1" si="7"/>
        <v>0</v>
      </c>
      <c r="CN23" s="10">
        <f t="shared" ca="1" si="7"/>
        <v>0</v>
      </c>
      <c r="CO23" s="10">
        <f t="shared" ca="1" si="7"/>
        <v>0</v>
      </c>
    </row>
    <row r="24" spans="1:93" ht="15" customHeight="1">
      <c r="A24" s="47"/>
      <c r="B24" s="47"/>
      <c r="C24" s="156" t="s">
        <v>936</v>
      </c>
      <c r="D24" s="153"/>
      <c r="E24" s="11"/>
      <c r="F24" s="11"/>
      <c r="G24" s="11" t="str">
        <f>Monetary_Unit</f>
        <v>тыс. руб.</v>
      </c>
      <c r="H24" s="153"/>
      <c r="I24" s="23">
        <f t="shared" ca="1" si="4"/>
        <v>0</v>
      </c>
      <c r="J24" s="153"/>
      <c r="K24" s="153"/>
      <c r="L24" s="10">
        <f t="shared" ref="L24:AQ24" ca="1" si="8" xml:space="preserve"> L48 * L53 * $I$13</f>
        <v>0</v>
      </c>
      <c r="M24" s="10">
        <f t="shared" ca="1" si="8"/>
        <v>0</v>
      </c>
      <c r="N24" s="10">
        <f t="shared" ca="1" si="8"/>
        <v>0</v>
      </c>
      <c r="O24" s="10">
        <f t="shared" ca="1" si="8"/>
        <v>0</v>
      </c>
      <c r="P24" s="10">
        <f t="shared" ca="1" si="8"/>
        <v>0</v>
      </c>
      <c r="Q24" s="10">
        <f t="shared" ca="1" si="8"/>
        <v>0</v>
      </c>
      <c r="R24" s="10">
        <f t="shared" ca="1" si="8"/>
        <v>0</v>
      </c>
      <c r="S24" s="10">
        <f t="shared" ca="1" si="8"/>
        <v>0</v>
      </c>
      <c r="T24" s="10">
        <f t="shared" ca="1" si="8"/>
        <v>0</v>
      </c>
      <c r="U24" s="10">
        <f t="shared" ca="1" si="8"/>
        <v>0</v>
      </c>
      <c r="V24" s="10">
        <f t="shared" ca="1" si="8"/>
        <v>0</v>
      </c>
      <c r="W24" s="10">
        <f t="shared" ca="1" si="8"/>
        <v>0</v>
      </c>
      <c r="X24" s="10">
        <f t="shared" ca="1" si="8"/>
        <v>0</v>
      </c>
      <c r="Y24" s="10">
        <f t="shared" ca="1" si="8"/>
        <v>0</v>
      </c>
      <c r="Z24" s="10">
        <f t="shared" ca="1" si="8"/>
        <v>0</v>
      </c>
      <c r="AA24" s="10">
        <f t="shared" ca="1" si="8"/>
        <v>0</v>
      </c>
      <c r="AB24" s="10">
        <f t="shared" ca="1" si="8"/>
        <v>0</v>
      </c>
      <c r="AC24" s="10">
        <f t="shared" ca="1" si="8"/>
        <v>0</v>
      </c>
      <c r="AD24" s="10">
        <f t="shared" ca="1" si="8"/>
        <v>0</v>
      </c>
      <c r="AE24" s="10">
        <f t="shared" ca="1" si="8"/>
        <v>0</v>
      </c>
      <c r="AF24" s="10">
        <f t="shared" ca="1" si="8"/>
        <v>0</v>
      </c>
      <c r="AG24" s="10">
        <f t="shared" ca="1" si="8"/>
        <v>0</v>
      </c>
      <c r="AH24" s="10">
        <f t="shared" ca="1" si="8"/>
        <v>0</v>
      </c>
      <c r="AI24" s="10">
        <f t="shared" ca="1" si="8"/>
        <v>0</v>
      </c>
      <c r="AJ24" s="10">
        <f t="shared" ca="1" si="8"/>
        <v>0</v>
      </c>
      <c r="AK24" s="10">
        <f t="shared" ca="1" si="8"/>
        <v>0</v>
      </c>
      <c r="AL24" s="10">
        <f t="shared" ca="1" si="8"/>
        <v>0</v>
      </c>
      <c r="AM24" s="10">
        <f t="shared" ca="1" si="8"/>
        <v>0</v>
      </c>
      <c r="AN24" s="10">
        <f t="shared" ca="1" si="8"/>
        <v>0</v>
      </c>
      <c r="AO24" s="10">
        <f t="shared" ca="1" si="8"/>
        <v>0</v>
      </c>
      <c r="AP24" s="10">
        <f t="shared" ca="1" si="8"/>
        <v>0</v>
      </c>
      <c r="AQ24" s="10">
        <f t="shared" ca="1" si="8"/>
        <v>0</v>
      </c>
      <c r="AR24" s="10">
        <f t="shared" ref="AR24:BS24" ca="1" si="9" xml:space="preserve"> AR48 * AR53 * $I$13</f>
        <v>0</v>
      </c>
      <c r="AS24" s="10">
        <f t="shared" ca="1" si="9"/>
        <v>0</v>
      </c>
      <c r="AT24" s="10">
        <f t="shared" ca="1" si="9"/>
        <v>0</v>
      </c>
      <c r="AU24" s="10">
        <f t="shared" ca="1" si="9"/>
        <v>0</v>
      </c>
      <c r="AV24" s="10">
        <f t="shared" ca="1" si="9"/>
        <v>0</v>
      </c>
      <c r="AW24" s="10">
        <f t="shared" ca="1" si="9"/>
        <v>0</v>
      </c>
      <c r="AX24" s="10">
        <f t="shared" ca="1" si="9"/>
        <v>0</v>
      </c>
      <c r="AY24" s="10">
        <f t="shared" ca="1" si="9"/>
        <v>0</v>
      </c>
      <c r="AZ24" s="10">
        <f t="shared" ca="1" si="9"/>
        <v>0</v>
      </c>
      <c r="BA24" s="10">
        <f t="shared" ca="1" si="9"/>
        <v>0</v>
      </c>
      <c r="BB24" s="10">
        <f t="shared" ca="1" si="9"/>
        <v>0</v>
      </c>
      <c r="BC24" s="10">
        <f t="shared" ca="1" si="9"/>
        <v>0</v>
      </c>
      <c r="BD24" s="10">
        <f t="shared" ca="1" si="9"/>
        <v>0</v>
      </c>
      <c r="BE24" s="10">
        <f t="shared" ca="1" si="9"/>
        <v>0</v>
      </c>
      <c r="BF24" s="10">
        <f t="shared" ca="1" si="9"/>
        <v>0</v>
      </c>
      <c r="BG24" s="10">
        <f t="shared" ca="1" si="9"/>
        <v>0</v>
      </c>
      <c r="BH24" s="10">
        <f t="shared" ca="1" si="9"/>
        <v>0</v>
      </c>
      <c r="BI24" s="10">
        <f t="shared" ca="1" si="9"/>
        <v>0</v>
      </c>
      <c r="BJ24" s="10">
        <f t="shared" ca="1" si="9"/>
        <v>0</v>
      </c>
      <c r="BK24" s="10">
        <f t="shared" ca="1" si="9"/>
        <v>0</v>
      </c>
      <c r="BL24" s="10">
        <f t="shared" ca="1" si="9"/>
        <v>0</v>
      </c>
      <c r="BM24" s="10">
        <f t="shared" ca="1" si="9"/>
        <v>0</v>
      </c>
      <c r="BN24" s="10">
        <f t="shared" ca="1" si="9"/>
        <v>0</v>
      </c>
      <c r="BO24" s="10">
        <f t="shared" ca="1" si="9"/>
        <v>0</v>
      </c>
      <c r="BP24" s="10">
        <f t="shared" ca="1" si="9"/>
        <v>0</v>
      </c>
      <c r="BQ24" s="10">
        <f t="shared" ca="1" si="9"/>
        <v>0</v>
      </c>
      <c r="BR24" s="10">
        <f t="shared" ca="1" si="9"/>
        <v>0</v>
      </c>
      <c r="BS24" s="10">
        <f t="shared" ca="1" si="9"/>
        <v>0</v>
      </c>
      <c r="BT24" s="10">
        <f t="shared" ref="BT24:CO24" ca="1" si="10" xml:space="preserve"> BT48 * BT53 * $I$13</f>
        <v>0</v>
      </c>
      <c r="BU24" s="10">
        <f t="shared" ca="1" si="10"/>
        <v>0</v>
      </c>
      <c r="BV24" s="10">
        <f t="shared" ca="1" si="10"/>
        <v>0</v>
      </c>
      <c r="BW24" s="10">
        <f t="shared" ca="1" si="10"/>
        <v>0</v>
      </c>
      <c r="BX24" s="10">
        <f t="shared" ca="1" si="10"/>
        <v>0</v>
      </c>
      <c r="BY24" s="10">
        <f t="shared" ca="1" si="10"/>
        <v>0</v>
      </c>
      <c r="BZ24" s="10">
        <f t="shared" ca="1" si="10"/>
        <v>0</v>
      </c>
      <c r="CA24" s="10">
        <f t="shared" ca="1" si="10"/>
        <v>0</v>
      </c>
      <c r="CB24" s="10">
        <f t="shared" ca="1" si="10"/>
        <v>0</v>
      </c>
      <c r="CC24" s="10">
        <f t="shared" ca="1" si="10"/>
        <v>0</v>
      </c>
      <c r="CD24" s="10">
        <f t="shared" ca="1" si="10"/>
        <v>0</v>
      </c>
      <c r="CE24" s="10">
        <f t="shared" ca="1" si="10"/>
        <v>0</v>
      </c>
      <c r="CF24" s="10">
        <f t="shared" ca="1" si="10"/>
        <v>0</v>
      </c>
      <c r="CG24" s="10">
        <f t="shared" ca="1" si="10"/>
        <v>0</v>
      </c>
      <c r="CH24" s="10">
        <f t="shared" ca="1" si="10"/>
        <v>0</v>
      </c>
      <c r="CI24" s="10">
        <f t="shared" ca="1" si="10"/>
        <v>0</v>
      </c>
      <c r="CJ24" s="10">
        <f t="shared" ca="1" si="10"/>
        <v>0</v>
      </c>
      <c r="CK24" s="10">
        <f t="shared" ca="1" si="10"/>
        <v>0</v>
      </c>
      <c r="CL24" s="10">
        <f t="shared" ca="1" si="10"/>
        <v>0</v>
      </c>
      <c r="CM24" s="10">
        <f t="shared" ca="1" si="10"/>
        <v>0</v>
      </c>
      <c r="CN24" s="10">
        <f t="shared" ca="1" si="10"/>
        <v>0</v>
      </c>
      <c r="CO24" s="10">
        <f t="shared" ca="1" si="10"/>
        <v>0</v>
      </c>
    </row>
    <row r="25" spans="1:93" ht="15" customHeight="1">
      <c r="A25" s="47"/>
      <c r="B25" s="47"/>
      <c r="C25" s="156" t="s">
        <v>937</v>
      </c>
      <c r="D25" s="153"/>
      <c r="E25" s="11"/>
      <c r="F25" s="11"/>
      <c r="G25" s="11" t="str">
        <f>Monetary_Unit</f>
        <v>тыс. руб.</v>
      </c>
      <c r="H25" s="153"/>
      <c r="I25" s="23">
        <f t="shared" ca="1" si="4"/>
        <v>0</v>
      </c>
      <c r="J25" s="153"/>
      <c r="K25" s="153"/>
      <c r="L25" s="10">
        <f t="shared" ref="L25:AQ25" ca="1" si="11" xml:space="preserve"> L54 * $I$74 * $I$13</f>
        <v>0</v>
      </c>
      <c r="M25" s="10">
        <f t="shared" ca="1" si="11"/>
        <v>0</v>
      </c>
      <c r="N25" s="10">
        <f t="shared" ca="1" si="11"/>
        <v>0</v>
      </c>
      <c r="O25" s="10">
        <f t="shared" ca="1" si="11"/>
        <v>0</v>
      </c>
      <c r="P25" s="10">
        <f t="shared" ca="1" si="11"/>
        <v>0</v>
      </c>
      <c r="Q25" s="10">
        <f t="shared" ca="1" si="11"/>
        <v>0</v>
      </c>
      <c r="R25" s="10">
        <f t="shared" ca="1" si="11"/>
        <v>0</v>
      </c>
      <c r="S25" s="10">
        <f t="shared" ca="1" si="11"/>
        <v>0</v>
      </c>
      <c r="T25" s="10">
        <f t="shared" ca="1" si="11"/>
        <v>0</v>
      </c>
      <c r="U25" s="10">
        <f t="shared" ca="1" si="11"/>
        <v>0</v>
      </c>
      <c r="V25" s="10">
        <f t="shared" ca="1" si="11"/>
        <v>0</v>
      </c>
      <c r="W25" s="10">
        <f t="shared" ca="1" si="11"/>
        <v>0</v>
      </c>
      <c r="X25" s="10">
        <f t="shared" ca="1" si="11"/>
        <v>0</v>
      </c>
      <c r="Y25" s="10">
        <f t="shared" ca="1" si="11"/>
        <v>0</v>
      </c>
      <c r="Z25" s="10">
        <f t="shared" ca="1" si="11"/>
        <v>0</v>
      </c>
      <c r="AA25" s="10">
        <f t="shared" ca="1" si="11"/>
        <v>0</v>
      </c>
      <c r="AB25" s="10">
        <f t="shared" ca="1" si="11"/>
        <v>0</v>
      </c>
      <c r="AC25" s="10">
        <f t="shared" ca="1" si="11"/>
        <v>0</v>
      </c>
      <c r="AD25" s="10">
        <f t="shared" ca="1" si="11"/>
        <v>0</v>
      </c>
      <c r="AE25" s="10">
        <f t="shared" ca="1" si="11"/>
        <v>0</v>
      </c>
      <c r="AF25" s="10">
        <f t="shared" ca="1" si="11"/>
        <v>0</v>
      </c>
      <c r="AG25" s="10">
        <f t="shared" ca="1" si="11"/>
        <v>0</v>
      </c>
      <c r="AH25" s="10">
        <f t="shared" ca="1" si="11"/>
        <v>0</v>
      </c>
      <c r="AI25" s="10">
        <f t="shared" ca="1" si="11"/>
        <v>0</v>
      </c>
      <c r="AJ25" s="10">
        <f t="shared" ca="1" si="11"/>
        <v>0</v>
      </c>
      <c r="AK25" s="10">
        <f t="shared" ca="1" si="11"/>
        <v>0</v>
      </c>
      <c r="AL25" s="10">
        <f t="shared" ca="1" si="11"/>
        <v>0</v>
      </c>
      <c r="AM25" s="10">
        <f t="shared" ca="1" si="11"/>
        <v>0</v>
      </c>
      <c r="AN25" s="10">
        <f t="shared" ca="1" si="11"/>
        <v>0</v>
      </c>
      <c r="AO25" s="10">
        <f t="shared" ca="1" si="11"/>
        <v>0</v>
      </c>
      <c r="AP25" s="10">
        <f t="shared" ca="1" si="11"/>
        <v>0</v>
      </c>
      <c r="AQ25" s="10">
        <f t="shared" ca="1" si="11"/>
        <v>0</v>
      </c>
      <c r="AR25" s="10">
        <f t="shared" ref="AR25:BS25" ca="1" si="12" xml:space="preserve"> AR54 * $I$74 * $I$13</f>
        <v>0</v>
      </c>
      <c r="AS25" s="10">
        <f t="shared" ca="1" si="12"/>
        <v>0</v>
      </c>
      <c r="AT25" s="10">
        <f t="shared" ca="1" si="12"/>
        <v>0</v>
      </c>
      <c r="AU25" s="10">
        <f t="shared" ca="1" si="12"/>
        <v>0</v>
      </c>
      <c r="AV25" s="10">
        <f t="shared" ca="1" si="12"/>
        <v>0</v>
      </c>
      <c r="AW25" s="10">
        <f t="shared" ca="1" si="12"/>
        <v>0</v>
      </c>
      <c r="AX25" s="10">
        <f t="shared" ca="1" si="12"/>
        <v>0</v>
      </c>
      <c r="AY25" s="10">
        <f t="shared" ca="1" si="12"/>
        <v>0</v>
      </c>
      <c r="AZ25" s="10">
        <f t="shared" ca="1" si="12"/>
        <v>0</v>
      </c>
      <c r="BA25" s="10">
        <f t="shared" ca="1" si="12"/>
        <v>0</v>
      </c>
      <c r="BB25" s="10">
        <f t="shared" ca="1" si="12"/>
        <v>0</v>
      </c>
      <c r="BC25" s="10">
        <f t="shared" ca="1" si="12"/>
        <v>0</v>
      </c>
      <c r="BD25" s="10">
        <f t="shared" ca="1" si="12"/>
        <v>0</v>
      </c>
      <c r="BE25" s="10">
        <f t="shared" ca="1" si="12"/>
        <v>0</v>
      </c>
      <c r="BF25" s="10">
        <f t="shared" ca="1" si="12"/>
        <v>0</v>
      </c>
      <c r="BG25" s="10">
        <f t="shared" ca="1" si="12"/>
        <v>0</v>
      </c>
      <c r="BH25" s="10">
        <f t="shared" ca="1" si="12"/>
        <v>0</v>
      </c>
      <c r="BI25" s="10">
        <f t="shared" ca="1" si="12"/>
        <v>0</v>
      </c>
      <c r="BJ25" s="10">
        <f t="shared" ca="1" si="12"/>
        <v>0</v>
      </c>
      <c r="BK25" s="10">
        <f t="shared" ca="1" si="12"/>
        <v>0</v>
      </c>
      <c r="BL25" s="10">
        <f t="shared" ca="1" si="12"/>
        <v>0</v>
      </c>
      <c r="BM25" s="10">
        <f t="shared" ca="1" si="12"/>
        <v>0</v>
      </c>
      <c r="BN25" s="10">
        <f t="shared" ca="1" si="12"/>
        <v>0</v>
      </c>
      <c r="BO25" s="10">
        <f t="shared" ca="1" si="12"/>
        <v>0</v>
      </c>
      <c r="BP25" s="10">
        <f t="shared" ca="1" si="12"/>
        <v>0</v>
      </c>
      <c r="BQ25" s="10">
        <f t="shared" ca="1" si="12"/>
        <v>0</v>
      </c>
      <c r="BR25" s="10">
        <f t="shared" ca="1" si="12"/>
        <v>0</v>
      </c>
      <c r="BS25" s="10">
        <f t="shared" ca="1" si="12"/>
        <v>0</v>
      </c>
      <c r="BT25" s="10">
        <f t="shared" ref="BT25:CO25" ca="1" si="13" xml:space="preserve"> BT54 * $I$74 * $I$13</f>
        <v>0</v>
      </c>
      <c r="BU25" s="10">
        <f t="shared" ca="1" si="13"/>
        <v>0</v>
      </c>
      <c r="BV25" s="10">
        <f t="shared" ca="1" si="13"/>
        <v>0</v>
      </c>
      <c r="BW25" s="10">
        <f t="shared" ca="1" si="13"/>
        <v>0</v>
      </c>
      <c r="BX25" s="10">
        <f t="shared" ca="1" si="13"/>
        <v>0</v>
      </c>
      <c r="BY25" s="10">
        <f t="shared" ca="1" si="13"/>
        <v>0</v>
      </c>
      <c r="BZ25" s="10">
        <f t="shared" ca="1" si="13"/>
        <v>0</v>
      </c>
      <c r="CA25" s="10">
        <f t="shared" ca="1" si="13"/>
        <v>0</v>
      </c>
      <c r="CB25" s="10">
        <f t="shared" ca="1" si="13"/>
        <v>0</v>
      </c>
      <c r="CC25" s="10">
        <f t="shared" ca="1" si="13"/>
        <v>0</v>
      </c>
      <c r="CD25" s="10">
        <f t="shared" ca="1" si="13"/>
        <v>0</v>
      </c>
      <c r="CE25" s="10">
        <f t="shared" ca="1" si="13"/>
        <v>0</v>
      </c>
      <c r="CF25" s="10">
        <f t="shared" ca="1" si="13"/>
        <v>0</v>
      </c>
      <c r="CG25" s="10">
        <f t="shared" ca="1" si="13"/>
        <v>0</v>
      </c>
      <c r="CH25" s="10">
        <f t="shared" ca="1" si="13"/>
        <v>0</v>
      </c>
      <c r="CI25" s="10">
        <f t="shared" ca="1" si="13"/>
        <v>0</v>
      </c>
      <c r="CJ25" s="10">
        <f t="shared" ca="1" si="13"/>
        <v>0</v>
      </c>
      <c r="CK25" s="10">
        <f t="shared" ca="1" si="13"/>
        <v>0</v>
      </c>
      <c r="CL25" s="10">
        <f t="shared" ca="1" si="13"/>
        <v>0</v>
      </c>
      <c r="CM25" s="10">
        <f t="shared" ca="1" si="13"/>
        <v>0</v>
      </c>
      <c r="CN25" s="10">
        <f t="shared" ca="1" si="13"/>
        <v>0</v>
      </c>
      <c r="CO25" s="10">
        <f t="shared" ca="1" si="13"/>
        <v>0</v>
      </c>
    </row>
    <row r="26" spans="1:93" ht="15" customHeight="1">
      <c r="A26" s="47"/>
      <c r="B26" s="47"/>
      <c r="C26" s="156" t="s">
        <v>938</v>
      </c>
      <c r="D26" s="153"/>
      <c r="E26" s="411">
        <f>Divid_Tax_Rate</f>
        <v>0.13</v>
      </c>
      <c r="F26" s="11"/>
      <c r="G26" s="11" t="str">
        <f>Monetary_Unit</f>
        <v>тыс. руб.</v>
      </c>
      <c r="H26" s="153"/>
      <c r="I26" s="23">
        <f t="shared" ca="1" si="4"/>
        <v>0</v>
      </c>
      <c r="J26" s="153"/>
      <c r="K26" s="153"/>
      <c r="L26" s="450">
        <f t="shared" ref="L26:AQ26" ca="1" si="14" xml:space="preserve"> - L24 * Divid_Tax_Rate</f>
        <v>0</v>
      </c>
      <c r="M26" s="450">
        <f t="shared" ca="1" si="14"/>
        <v>0</v>
      </c>
      <c r="N26" s="450">
        <f t="shared" ca="1" si="14"/>
        <v>0</v>
      </c>
      <c r="O26" s="450">
        <f t="shared" ca="1" si="14"/>
        <v>0</v>
      </c>
      <c r="P26" s="450">
        <f t="shared" ca="1" si="14"/>
        <v>0</v>
      </c>
      <c r="Q26" s="450">
        <f t="shared" ca="1" si="14"/>
        <v>0</v>
      </c>
      <c r="R26" s="450">
        <f t="shared" ca="1" si="14"/>
        <v>0</v>
      </c>
      <c r="S26" s="450">
        <f t="shared" ca="1" si="14"/>
        <v>0</v>
      </c>
      <c r="T26" s="450">
        <f t="shared" ca="1" si="14"/>
        <v>0</v>
      </c>
      <c r="U26" s="450">
        <f t="shared" ca="1" si="14"/>
        <v>0</v>
      </c>
      <c r="V26" s="450">
        <f t="shared" ca="1" si="14"/>
        <v>0</v>
      </c>
      <c r="W26" s="450">
        <f t="shared" ca="1" si="14"/>
        <v>0</v>
      </c>
      <c r="X26" s="450">
        <f t="shared" ca="1" si="14"/>
        <v>0</v>
      </c>
      <c r="Y26" s="450">
        <f t="shared" ca="1" si="14"/>
        <v>0</v>
      </c>
      <c r="Z26" s="450">
        <f t="shared" ca="1" si="14"/>
        <v>0</v>
      </c>
      <c r="AA26" s="450">
        <f t="shared" ca="1" si="14"/>
        <v>0</v>
      </c>
      <c r="AB26" s="450">
        <f t="shared" ca="1" si="14"/>
        <v>0</v>
      </c>
      <c r="AC26" s="450">
        <f t="shared" ca="1" si="14"/>
        <v>0</v>
      </c>
      <c r="AD26" s="450">
        <f t="shared" ca="1" si="14"/>
        <v>0</v>
      </c>
      <c r="AE26" s="450">
        <f t="shared" ca="1" si="14"/>
        <v>0</v>
      </c>
      <c r="AF26" s="450">
        <f t="shared" ca="1" si="14"/>
        <v>0</v>
      </c>
      <c r="AG26" s="450">
        <f t="shared" ca="1" si="14"/>
        <v>0</v>
      </c>
      <c r="AH26" s="450">
        <f t="shared" ca="1" si="14"/>
        <v>0</v>
      </c>
      <c r="AI26" s="450">
        <f t="shared" ca="1" si="14"/>
        <v>0</v>
      </c>
      <c r="AJ26" s="450">
        <f t="shared" ca="1" si="14"/>
        <v>0</v>
      </c>
      <c r="AK26" s="450">
        <f t="shared" ca="1" si="14"/>
        <v>0</v>
      </c>
      <c r="AL26" s="450">
        <f t="shared" ca="1" si="14"/>
        <v>0</v>
      </c>
      <c r="AM26" s="450">
        <f t="shared" ca="1" si="14"/>
        <v>0</v>
      </c>
      <c r="AN26" s="450">
        <f t="shared" ca="1" si="14"/>
        <v>0</v>
      </c>
      <c r="AO26" s="450">
        <f t="shared" ca="1" si="14"/>
        <v>0</v>
      </c>
      <c r="AP26" s="450">
        <f t="shared" ca="1" si="14"/>
        <v>0</v>
      </c>
      <c r="AQ26" s="450">
        <f t="shared" ca="1" si="14"/>
        <v>0</v>
      </c>
      <c r="AR26" s="450">
        <f t="shared" ref="AR26:BW26" ca="1" si="15" xml:space="preserve"> - AR24 * Divid_Tax_Rate</f>
        <v>0</v>
      </c>
      <c r="AS26" s="450">
        <f t="shared" ca="1" si="15"/>
        <v>0</v>
      </c>
      <c r="AT26" s="450">
        <f t="shared" ca="1" si="15"/>
        <v>0</v>
      </c>
      <c r="AU26" s="450">
        <f t="shared" ca="1" si="15"/>
        <v>0</v>
      </c>
      <c r="AV26" s="450">
        <f t="shared" ca="1" si="15"/>
        <v>0</v>
      </c>
      <c r="AW26" s="450">
        <f t="shared" ca="1" si="15"/>
        <v>0</v>
      </c>
      <c r="AX26" s="450">
        <f t="shared" ca="1" si="15"/>
        <v>0</v>
      </c>
      <c r="AY26" s="450">
        <f t="shared" ca="1" si="15"/>
        <v>0</v>
      </c>
      <c r="AZ26" s="450">
        <f t="shared" ca="1" si="15"/>
        <v>0</v>
      </c>
      <c r="BA26" s="450">
        <f t="shared" ca="1" si="15"/>
        <v>0</v>
      </c>
      <c r="BB26" s="450">
        <f t="shared" ca="1" si="15"/>
        <v>0</v>
      </c>
      <c r="BC26" s="450">
        <f t="shared" ca="1" si="15"/>
        <v>0</v>
      </c>
      <c r="BD26" s="450">
        <f t="shared" ca="1" si="15"/>
        <v>0</v>
      </c>
      <c r="BE26" s="450">
        <f t="shared" ca="1" si="15"/>
        <v>0</v>
      </c>
      <c r="BF26" s="450">
        <f t="shared" ca="1" si="15"/>
        <v>0</v>
      </c>
      <c r="BG26" s="450">
        <f t="shared" ca="1" si="15"/>
        <v>0</v>
      </c>
      <c r="BH26" s="450">
        <f t="shared" ca="1" si="15"/>
        <v>0</v>
      </c>
      <c r="BI26" s="450">
        <f t="shared" ca="1" si="15"/>
        <v>0</v>
      </c>
      <c r="BJ26" s="450">
        <f t="shared" ca="1" si="15"/>
        <v>0</v>
      </c>
      <c r="BK26" s="450">
        <f t="shared" ca="1" si="15"/>
        <v>0</v>
      </c>
      <c r="BL26" s="450">
        <f t="shared" ca="1" si="15"/>
        <v>0</v>
      </c>
      <c r="BM26" s="450">
        <f t="shared" ca="1" si="15"/>
        <v>0</v>
      </c>
      <c r="BN26" s="450">
        <f t="shared" ca="1" si="15"/>
        <v>0</v>
      </c>
      <c r="BO26" s="450">
        <f t="shared" ca="1" si="15"/>
        <v>0</v>
      </c>
      <c r="BP26" s="450">
        <f t="shared" ca="1" si="15"/>
        <v>0</v>
      </c>
      <c r="BQ26" s="450">
        <f t="shared" ca="1" si="15"/>
        <v>0</v>
      </c>
      <c r="BR26" s="450">
        <f t="shared" ca="1" si="15"/>
        <v>0</v>
      </c>
      <c r="BS26" s="450">
        <f t="shared" ca="1" si="15"/>
        <v>0</v>
      </c>
      <c r="BT26" s="450">
        <f t="shared" ca="1" si="15"/>
        <v>0</v>
      </c>
      <c r="BU26" s="450">
        <f t="shared" ca="1" si="15"/>
        <v>0</v>
      </c>
      <c r="BV26" s="450">
        <f t="shared" ca="1" si="15"/>
        <v>0</v>
      </c>
      <c r="BW26" s="450">
        <f t="shared" ca="1" si="15"/>
        <v>0</v>
      </c>
      <c r="BX26" s="450">
        <f t="shared" ref="BX26:CO26" ca="1" si="16" xml:space="preserve"> - BX24 * Divid_Tax_Rate</f>
        <v>0</v>
      </c>
      <c r="BY26" s="450">
        <f t="shared" ca="1" si="16"/>
        <v>0</v>
      </c>
      <c r="BZ26" s="450">
        <f t="shared" ca="1" si="16"/>
        <v>0</v>
      </c>
      <c r="CA26" s="450">
        <f t="shared" ca="1" si="16"/>
        <v>0</v>
      </c>
      <c r="CB26" s="450">
        <f t="shared" ca="1" si="16"/>
        <v>0</v>
      </c>
      <c r="CC26" s="450">
        <f t="shared" ca="1" si="16"/>
        <v>0</v>
      </c>
      <c r="CD26" s="450">
        <f t="shared" ca="1" si="16"/>
        <v>0</v>
      </c>
      <c r="CE26" s="450">
        <f t="shared" ca="1" si="16"/>
        <v>0</v>
      </c>
      <c r="CF26" s="450">
        <f t="shared" ca="1" si="16"/>
        <v>0</v>
      </c>
      <c r="CG26" s="450">
        <f t="shared" ca="1" si="16"/>
        <v>0</v>
      </c>
      <c r="CH26" s="450">
        <f t="shared" ca="1" si="16"/>
        <v>0</v>
      </c>
      <c r="CI26" s="450">
        <f t="shared" ca="1" si="16"/>
        <v>0</v>
      </c>
      <c r="CJ26" s="450">
        <f t="shared" ca="1" si="16"/>
        <v>0</v>
      </c>
      <c r="CK26" s="450">
        <f t="shared" ca="1" si="16"/>
        <v>0</v>
      </c>
      <c r="CL26" s="450">
        <f t="shared" ca="1" si="16"/>
        <v>0</v>
      </c>
      <c r="CM26" s="450">
        <f t="shared" ca="1" si="16"/>
        <v>0</v>
      </c>
      <c r="CN26" s="450">
        <f t="shared" ca="1" si="16"/>
        <v>0</v>
      </c>
      <c r="CO26" s="450">
        <f t="shared" ca="1" si="16"/>
        <v>0</v>
      </c>
    </row>
    <row r="27" spans="1:93" ht="15" customHeight="1">
      <c r="A27" s="47"/>
      <c r="B27" s="47"/>
      <c r="C27" s="156" t="s">
        <v>939</v>
      </c>
      <c r="D27" s="153"/>
      <c r="E27" s="411">
        <f>Profits_Tax_Rate</f>
        <v>0.155</v>
      </c>
      <c r="F27" s="11"/>
      <c r="G27" s="11" t="str">
        <f>Monetary_Unit</f>
        <v>тыс. руб.</v>
      </c>
      <c r="H27" s="153"/>
      <c r="I27" s="23">
        <f t="shared" ca="1" si="4"/>
        <v>0</v>
      </c>
      <c r="J27" s="153"/>
      <c r="K27" s="153"/>
      <c r="L27" s="450">
        <f ca="1" xml:space="preserve"> - MAX(SUM($K$23:L23,$K$25:L25) * $E$27 * L54, 0)</f>
        <v>0</v>
      </c>
      <c r="M27" s="450">
        <f ca="1" xml:space="preserve"> - MAX(SUM($K$23:M23,$K$25:M25) * $E$27 * M54, 0)</f>
        <v>0</v>
      </c>
      <c r="N27" s="450">
        <f ca="1" xml:space="preserve"> - MAX(SUM($K$23:N23,$K$25:N25) * $E$27 * N54, 0)</f>
        <v>0</v>
      </c>
      <c r="O27" s="450">
        <f ca="1" xml:space="preserve"> - MAX(SUM($K$23:O23,$K$25:O25) * $E$27 * O54, 0)</f>
        <v>0</v>
      </c>
      <c r="P27" s="450">
        <f ca="1" xml:space="preserve"> - MAX(SUM($K$23:P23,$K$25:P25) * $E$27 * P54, 0)</f>
        <v>0</v>
      </c>
      <c r="Q27" s="450">
        <f ca="1" xml:space="preserve"> - MAX(SUM($K$23:Q23,$K$25:Q25) * $E$27 * Q54, 0)</f>
        <v>0</v>
      </c>
      <c r="R27" s="450">
        <f ca="1" xml:space="preserve"> - MAX(SUM($K$23:R23,$K$25:R25) * $E$27 * R54, 0)</f>
        <v>0</v>
      </c>
      <c r="S27" s="450">
        <f ca="1" xml:space="preserve"> - MAX(SUM($K$23:S23,$K$25:S25) * $E$27 * S54, 0)</f>
        <v>0</v>
      </c>
      <c r="T27" s="450">
        <f ca="1" xml:space="preserve"> - MAX(SUM($K$23:T23,$K$25:T25) * $E$27 * T54, 0)</f>
        <v>0</v>
      </c>
      <c r="U27" s="450">
        <f ca="1" xml:space="preserve"> - MAX(SUM($K$23:U23,$K$25:U25) * $E$27 * U54, 0)</f>
        <v>0</v>
      </c>
      <c r="V27" s="450">
        <f ca="1" xml:space="preserve"> - MAX(SUM($K$23:V23,$K$25:V25) * $E$27 * V54, 0)</f>
        <v>0</v>
      </c>
      <c r="W27" s="450">
        <f ca="1" xml:space="preserve"> - MAX(SUM($K$23:W23,$K$25:W25) * $E$27 * W54, 0)</f>
        <v>0</v>
      </c>
      <c r="X27" s="450">
        <f ca="1" xml:space="preserve"> - MAX(SUM($K$23:X23,$K$25:X25) * $E$27 * X54, 0)</f>
        <v>0</v>
      </c>
      <c r="Y27" s="450">
        <f ca="1" xml:space="preserve"> - MAX(SUM($K$23:Y23,$K$25:Y25) * $E$27 * Y54, 0)</f>
        <v>0</v>
      </c>
      <c r="Z27" s="450">
        <f ca="1" xml:space="preserve"> - MAX(SUM($K$23:Z23,$K$25:Z25) * $E$27 * Z54, 0)</f>
        <v>0</v>
      </c>
      <c r="AA27" s="450">
        <f ca="1" xml:space="preserve"> - MAX(SUM($K$23:AA23,$K$25:AA25) * $E$27 * AA54, 0)</f>
        <v>0</v>
      </c>
      <c r="AB27" s="450">
        <f ca="1" xml:space="preserve"> - MAX(SUM($K$23:AB23,$K$25:AB25) * $E$27 * AB54, 0)</f>
        <v>0</v>
      </c>
      <c r="AC27" s="450">
        <f ca="1" xml:space="preserve"> - MAX(SUM($K$23:AC23,$K$25:AC25) * $E$27 * AC54, 0)</f>
        <v>0</v>
      </c>
      <c r="AD27" s="450">
        <f ca="1" xml:space="preserve"> - MAX(SUM($K$23:AD23,$K$25:AD25) * $E$27 * AD54, 0)</f>
        <v>0</v>
      </c>
      <c r="AE27" s="450">
        <f ca="1" xml:space="preserve"> - MAX(SUM($K$23:AE23,$K$25:AE25) * $E$27 * AE54, 0)</f>
        <v>0</v>
      </c>
      <c r="AF27" s="450">
        <f ca="1" xml:space="preserve"> - MAX(SUM($K$23:AF23,$K$25:AF25) * $E$27 * AF54, 0)</f>
        <v>0</v>
      </c>
      <c r="AG27" s="450">
        <f ca="1" xml:space="preserve"> - MAX(SUM($K$23:AG23,$K$25:AG25) * $E$27 * AG54, 0)</f>
        <v>0</v>
      </c>
      <c r="AH27" s="450">
        <f ca="1" xml:space="preserve"> - MAX(SUM($K$23:AH23,$K$25:AH25) * $E$27 * AH54, 0)</f>
        <v>0</v>
      </c>
      <c r="AI27" s="450">
        <f ca="1" xml:space="preserve"> - MAX(SUM($K$23:AI23,$K$25:AI25) * $E$27 * AI54, 0)</f>
        <v>0</v>
      </c>
      <c r="AJ27" s="450">
        <f ca="1" xml:space="preserve"> - MAX(SUM($K$23:AJ23,$K$25:AJ25) * $E$27 * AJ54, 0)</f>
        <v>0</v>
      </c>
      <c r="AK27" s="450">
        <f ca="1" xml:space="preserve"> - MAX(SUM($K$23:AK23,$K$25:AK25) * $E$27 * AK54, 0)</f>
        <v>0</v>
      </c>
      <c r="AL27" s="450">
        <f ca="1" xml:space="preserve"> - MAX(SUM($K$23:AL23,$K$25:AL25) * $E$27 * AL54, 0)</f>
        <v>0</v>
      </c>
      <c r="AM27" s="450">
        <f ca="1" xml:space="preserve"> - MAX(SUM($K$23:AM23,$K$25:AM25) * $E$27 * AM54, 0)</f>
        <v>0</v>
      </c>
      <c r="AN27" s="450">
        <f ca="1" xml:space="preserve"> - MAX(SUM($K$23:AN23,$K$25:AN25) * $E$27 * AN54, 0)</f>
        <v>0</v>
      </c>
      <c r="AO27" s="450">
        <f ca="1" xml:space="preserve"> - MAX(SUM($K$23:AO23,$K$25:AO25) * $E$27 * AO54, 0)</f>
        <v>0</v>
      </c>
      <c r="AP27" s="450">
        <f ca="1" xml:space="preserve"> - MAX(SUM($K$23:AP23,$K$25:AP25) * $E$27 * AP54, 0)</f>
        <v>0</v>
      </c>
      <c r="AQ27" s="450">
        <f ca="1" xml:space="preserve"> - MAX(SUM($K$23:AQ23,$K$25:AQ25) * $E$27 * AQ54, 0)</f>
        <v>0</v>
      </c>
      <c r="AR27" s="450">
        <f ca="1" xml:space="preserve"> - MAX(SUM($K$23:AR23,$K$25:AR25) * $E$27 * AR54, 0)</f>
        <v>0</v>
      </c>
      <c r="AS27" s="450">
        <f ca="1" xml:space="preserve"> - MAX(SUM($K$23:AS23,$K$25:AS25) * $E$27 * AS54, 0)</f>
        <v>0</v>
      </c>
      <c r="AT27" s="450">
        <f ca="1" xml:space="preserve"> - MAX(SUM($K$23:AT23,$K$25:AT25) * $E$27 * AT54, 0)</f>
        <v>0</v>
      </c>
      <c r="AU27" s="450">
        <f ca="1" xml:space="preserve"> - MAX(SUM($K$23:AU23,$K$25:AU25) * $E$27 * AU54, 0)</f>
        <v>0</v>
      </c>
      <c r="AV27" s="450">
        <f ca="1" xml:space="preserve"> - MAX(SUM($K$23:AV23,$K$25:AV25) * $E$27 * AV54, 0)</f>
        <v>0</v>
      </c>
      <c r="AW27" s="450">
        <f ca="1" xml:space="preserve"> - MAX(SUM($K$23:AW23,$K$25:AW25) * $E$27 * AW54, 0)</f>
        <v>0</v>
      </c>
      <c r="AX27" s="450">
        <f ca="1" xml:space="preserve"> - MAX(SUM($K$23:AX23,$K$25:AX25) * $E$27 * AX54, 0)</f>
        <v>0</v>
      </c>
      <c r="AY27" s="450">
        <f ca="1" xml:space="preserve"> - MAX(SUM($K$23:AY23,$K$25:AY25) * $E$27 * AY54, 0)</f>
        <v>0</v>
      </c>
      <c r="AZ27" s="450">
        <f ca="1" xml:space="preserve"> - MAX(SUM($K$23:AZ23,$K$25:AZ25) * $E$27 * AZ54, 0)</f>
        <v>0</v>
      </c>
      <c r="BA27" s="450">
        <f ca="1" xml:space="preserve"> - MAX(SUM($K$23:BA23,$K$25:BA25) * $E$27 * BA54, 0)</f>
        <v>0</v>
      </c>
      <c r="BB27" s="450">
        <f ca="1" xml:space="preserve"> - MAX(SUM($K$23:BB23,$K$25:BB25) * $E$27 * BB54, 0)</f>
        <v>0</v>
      </c>
      <c r="BC27" s="450">
        <f ca="1" xml:space="preserve"> - MAX(SUM($K$23:BC23,$K$25:BC25) * $E$27 * BC54, 0)</f>
        <v>0</v>
      </c>
      <c r="BD27" s="450">
        <f ca="1" xml:space="preserve"> - MAX(SUM($K$23:BD23,$K$25:BD25) * $E$27 * BD54, 0)</f>
        <v>0</v>
      </c>
      <c r="BE27" s="450">
        <f ca="1" xml:space="preserve"> - MAX(SUM($K$23:BE23,$K$25:BE25) * $E$27 * BE54, 0)</f>
        <v>0</v>
      </c>
      <c r="BF27" s="450">
        <f ca="1" xml:space="preserve"> - MAX(SUM($K$23:BF23,$K$25:BF25) * $E$27 * BF54, 0)</f>
        <v>0</v>
      </c>
      <c r="BG27" s="450">
        <f ca="1" xml:space="preserve"> - MAX(SUM($K$23:BG23,$K$25:BG25) * $E$27 * BG54, 0)</f>
        <v>0</v>
      </c>
      <c r="BH27" s="450">
        <f ca="1" xml:space="preserve"> - MAX(SUM($K$23:BH23,$K$25:BH25) * $E$27 * BH54, 0)</f>
        <v>0</v>
      </c>
      <c r="BI27" s="450">
        <f ca="1" xml:space="preserve"> - MAX(SUM($K$23:BI23,$K$25:BI25) * $E$27 * BI54, 0)</f>
        <v>0</v>
      </c>
      <c r="BJ27" s="450">
        <f ca="1" xml:space="preserve"> - MAX(SUM($K$23:BJ23,$K$25:BJ25) * $E$27 * BJ54, 0)</f>
        <v>0</v>
      </c>
      <c r="BK27" s="450">
        <f ca="1" xml:space="preserve"> - MAX(SUM($K$23:BK23,$K$25:BK25) * $E$27 * BK54, 0)</f>
        <v>0</v>
      </c>
      <c r="BL27" s="450">
        <f ca="1" xml:space="preserve"> - MAX(SUM($K$23:BL23,$K$25:BL25) * $E$27 * BL54, 0)</f>
        <v>0</v>
      </c>
      <c r="BM27" s="450">
        <f ca="1" xml:space="preserve"> - MAX(SUM($K$23:BM23,$K$25:BM25) * $E$27 * BM54, 0)</f>
        <v>0</v>
      </c>
      <c r="BN27" s="450">
        <f ca="1" xml:space="preserve"> - MAX(SUM($K$23:BN23,$K$25:BN25) * $E$27 * BN54, 0)</f>
        <v>0</v>
      </c>
      <c r="BO27" s="450">
        <f ca="1" xml:space="preserve"> - MAX(SUM($K$23:BO23,$K$25:BO25) * $E$27 * BO54, 0)</f>
        <v>0</v>
      </c>
      <c r="BP27" s="450">
        <f ca="1" xml:space="preserve"> - MAX(SUM($K$23:BP23,$K$25:BP25) * $E$27 * BP54, 0)</f>
        <v>0</v>
      </c>
      <c r="BQ27" s="450">
        <f ca="1" xml:space="preserve"> - MAX(SUM($K$23:BQ23,$K$25:BQ25) * $E$27 * BQ54, 0)</f>
        <v>0</v>
      </c>
      <c r="BR27" s="450">
        <f ca="1" xml:space="preserve"> - MAX(SUM($K$23:BR23,$K$25:BR25) * $E$27 * BR54, 0)</f>
        <v>0</v>
      </c>
      <c r="BS27" s="450">
        <f ca="1" xml:space="preserve"> - MAX(SUM($K$23:BS23,$K$25:BS25) * $E$27 * BS54, 0)</f>
        <v>0</v>
      </c>
      <c r="BT27" s="450">
        <f ca="1" xml:space="preserve"> - MAX(SUM($K$23:BT23,$K$25:BT25) * $E$27 * BT54, 0)</f>
        <v>0</v>
      </c>
      <c r="BU27" s="450">
        <f ca="1" xml:space="preserve"> - MAX(SUM($K$23:BU23,$K$25:BU25) * $E$27 * BU54, 0)</f>
        <v>0</v>
      </c>
      <c r="BV27" s="450">
        <f ca="1" xml:space="preserve"> - MAX(SUM($K$23:BV23,$K$25:BV25) * $E$27 * BV54, 0)</f>
        <v>0</v>
      </c>
      <c r="BW27" s="450">
        <f ca="1" xml:space="preserve"> - MAX(SUM($K$23:BW23,$K$25:BW25) * $E$27 * BW54, 0)</f>
        <v>0</v>
      </c>
      <c r="BX27" s="450">
        <f ca="1" xml:space="preserve"> - MAX(SUM($K$23:BX23,$K$25:BX25) * $E$27 * BX54, 0)</f>
        <v>0</v>
      </c>
      <c r="BY27" s="450">
        <f ca="1" xml:space="preserve"> - MAX(SUM($K$23:BY23,$K$25:BY25) * $E$27 * BY54, 0)</f>
        <v>0</v>
      </c>
      <c r="BZ27" s="450">
        <f ca="1" xml:space="preserve"> - MAX(SUM($K$23:BZ23,$K$25:BZ25) * $E$27 * BZ54, 0)</f>
        <v>0</v>
      </c>
      <c r="CA27" s="450">
        <f ca="1" xml:space="preserve"> - MAX(SUM($K$23:CA23,$K$25:CA25) * $E$27 * CA54, 0)</f>
        <v>0</v>
      </c>
      <c r="CB27" s="450">
        <f ca="1" xml:space="preserve"> - MAX(SUM($K$23:CB23,$K$25:CB25) * $E$27 * CB54, 0)</f>
        <v>0</v>
      </c>
      <c r="CC27" s="450">
        <f ca="1" xml:space="preserve"> - MAX(SUM($K$23:CC23,$K$25:CC25) * $E$27 * CC54, 0)</f>
        <v>0</v>
      </c>
      <c r="CD27" s="450">
        <f ca="1" xml:space="preserve"> - MAX(SUM($K$23:CD23,$K$25:CD25) * $E$27 * CD54, 0)</f>
        <v>0</v>
      </c>
      <c r="CE27" s="450">
        <f ca="1" xml:space="preserve"> - MAX(SUM($K$23:CE23,$K$25:CE25) * $E$27 * CE54, 0)</f>
        <v>0</v>
      </c>
      <c r="CF27" s="450">
        <f ca="1" xml:space="preserve"> - MAX(SUM($K$23:CF23,$K$25:CF25) * $E$27 * CF54, 0)</f>
        <v>0</v>
      </c>
      <c r="CG27" s="450">
        <f ca="1" xml:space="preserve"> - MAX(SUM($K$23:CG23,$K$25:CG25) * $E$27 * CG54, 0)</f>
        <v>0</v>
      </c>
      <c r="CH27" s="450">
        <f ca="1" xml:space="preserve"> - MAX(SUM($K$23:CH23,$K$25:CH25) * $E$27 * CH54, 0)</f>
        <v>0</v>
      </c>
      <c r="CI27" s="450">
        <f ca="1" xml:space="preserve"> - MAX(SUM($K$23:CI23,$K$25:CI25) * $E$27 * CI54, 0)</f>
        <v>0</v>
      </c>
      <c r="CJ27" s="450">
        <f ca="1" xml:space="preserve"> - MAX(SUM($K$23:CJ23,$K$25:CJ25) * $E$27 * CJ54, 0)</f>
        <v>0</v>
      </c>
      <c r="CK27" s="450">
        <f ca="1" xml:space="preserve"> - MAX(SUM($K$23:CK23,$K$25:CK25) * $E$27 * CK54, 0)</f>
        <v>0</v>
      </c>
      <c r="CL27" s="450">
        <f ca="1" xml:space="preserve"> - MAX(SUM($K$23:CL23,$K$25:CL25) * $E$27 * CL54, 0)</f>
        <v>0</v>
      </c>
      <c r="CM27" s="450">
        <f ca="1" xml:space="preserve"> - MAX(SUM($K$23:CM23,$K$25:CM25) * $E$27 * CM54, 0)</f>
        <v>0</v>
      </c>
      <c r="CN27" s="450">
        <f ca="1" xml:space="preserve"> - MAX(SUM($K$23:CN23,$K$25:CN25) * $E$27 * CN54, 0)</f>
        <v>0</v>
      </c>
      <c r="CO27" s="450">
        <f ca="1" xml:space="preserve"> - MAX(SUM($K$23:CO23,$K$25:CO25) * $E$27 * CO54, 0)</f>
        <v>0</v>
      </c>
    </row>
    <row r="28" spans="1:93" ht="15" customHeight="1">
      <c r="A28" s="47"/>
      <c r="B28" s="47"/>
      <c r="C28" s="321" t="s">
        <v>942</v>
      </c>
      <c r="D28" s="321"/>
      <c r="E28" s="321"/>
      <c r="F28" s="321"/>
      <c r="G28" s="322"/>
      <c r="H28" s="321"/>
      <c r="I28" s="23">
        <f t="shared" ca="1" si="4"/>
        <v>0</v>
      </c>
      <c r="J28" s="321"/>
      <c r="K28" s="321"/>
      <c r="L28" s="321">
        <f ca="1">SUM(L23:L25)</f>
        <v>0</v>
      </c>
      <c r="M28" s="321">
        <f ca="1">SUM(M23:M25)</f>
        <v>0</v>
      </c>
      <c r="N28" s="321">
        <f ca="1">SUM(N23:N25)</f>
        <v>0</v>
      </c>
      <c r="O28" s="321">
        <f ca="1">SUM(O23:O25)</f>
        <v>0</v>
      </c>
      <c r="P28" s="321">
        <f ca="1">SUM(P23:P25)</f>
        <v>0</v>
      </c>
      <c r="Q28" s="321">
        <f t="shared" ref="Q28:BS28" ca="1" si="17">SUM(Q23:Q25)</f>
        <v>0</v>
      </c>
      <c r="R28" s="321">
        <f t="shared" ca="1" si="17"/>
        <v>0</v>
      </c>
      <c r="S28" s="321">
        <f t="shared" ca="1" si="17"/>
        <v>0</v>
      </c>
      <c r="T28" s="321">
        <f t="shared" ca="1" si="17"/>
        <v>0</v>
      </c>
      <c r="U28" s="321">
        <f t="shared" ca="1" si="17"/>
        <v>0</v>
      </c>
      <c r="V28" s="321">
        <f t="shared" ca="1" si="17"/>
        <v>0</v>
      </c>
      <c r="W28" s="321">
        <f t="shared" ca="1" si="17"/>
        <v>0</v>
      </c>
      <c r="X28" s="321">
        <f t="shared" ca="1" si="17"/>
        <v>0</v>
      </c>
      <c r="Y28" s="321">
        <f t="shared" ca="1" si="17"/>
        <v>0</v>
      </c>
      <c r="Z28" s="321">
        <f t="shared" ca="1" si="17"/>
        <v>0</v>
      </c>
      <c r="AA28" s="321">
        <f t="shared" ca="1" si="17"/>
        <v>0</v>
      </c>
      <c r="AB28" s="321">
        <f t="shared" ca="1" si="17"/>
        <v>0</v>
      </c>
      <c r="AC28" s="321">
        <f t="shared" ca="1" si="17"/>
        <v>0</v>
      </c>
      <c r="AD28" s="321">
        <f t="shared" ca="1" si="17"/>
        <v>0</v>
      </c>
      <c r="AE28" s="321">
        <f t="shared" ca="1" si="17"/>
        <v>0</v>
      </c>
      <c r="AF28" s="321">
        <f t="shared" ca="1" si="17"/>
        <v>0</v>
      </c>
      <c r="AG28" s="321">
        <f t="shared" ca="1" si="17"/>
        <v>0</v>
      </c>
      <c r="AH28" s="321">
        <f t="shared" ca="1" si="17"/>
        <v>0</v>
      </c>
      <c r="AI28" s="321">
        <f t="shared" ca="1" si="17"/>
        <v>0</v>
      </c>
      <c r="AJ28" s="321">
        <f t="shared" ca="1" si="17"/>
        <v>0</v>
      </c>
      <c r="AK28" s="321">
        <f t="shared" ca="1" si="17"/>
        <v>0</v>
      </c>
      <c r="AL28" s="321">
        <f t="shared" ca="1" si="17"/>
        <v>0</v>
      </c>
      <c r="AM28" s="321">
        <f t="shared" ca="1" si="17"/>
        <v>0</v>
      </c>
      <c r="AN28" s="321">
        <f t="shared" ca="1" si="17"/>
        <v>0</v>
      </c>
      <c r="AO28" s="321">
        <f t="shared" ca="1" si="17"/>
        <v>0</v>
      </c>
      <c r="AP28" s="321">
        <f t="shared" ca="1" si="17"/>
        <v>0</v>
      </c>
      <c r="AQ28" s="321">
        <f t="shared" ca="1" si="17"/>
        <v>0</v>
      </c>
      <c r="AR28" s="321">
        <f t="shared" ca="1" si="17"/>
        <v>0</v>
      </c>
      <c r="AS28" s="321">
        <f t="shared" ca="1" si="17"/>
        <v>0</v>
      </c>
      <c r="AT28" s="321">
        <f t="shared" ca="1" si="17"/>
        <v>0</v>
      </c>
      <c r="AU28" s="321">
        <f t="shared" ca="1" si="17"/>
        <v>0</v>
      </c>
      <c r="AV28" s="321">
        <f t="shared" ca="1" si="17"/>
        <v>0</v>
      </c>
      <c r="AW28" s="321">
        <f t="shared" ca="1" si="17"/>
        <v>0</v>
      </c>
      <c r="AX28" s="321">
        <f t="shared" ca="1" si="17"/>
        <v>0</v>
      </c>
      <c r="AY28" s="321">
        <f t="shared" ca="1" si="17"/>
        <v>0</v>
      </c>
      <c r="AZ28" s="321">
        <f t="shared" ca="1" si="17"/>
        <v>0</v>
      </c>
      <c r="BA28" s="321">
        <f t="shared" ca="1" si="17"/>
        <v>0</v>
      </c>
      <c r="BB28" s="321">
        <f t="shared" ca="1" si="17"/>
        <v>0</v>
      </c>
      <c r="BC28" s="321">
        <f t="shared" ca="1" si="17"/>
        <v>0</v>
      </c>
      <c r="BD28" s="321">
        <f t="shared" ca="1" si="17"/>
        <v>0</v>
      </c>
      <c r="BE28" s="321">
        <f t="shared" ca="1" si="17"/>
        <v>0</v>
      </c>
      <c r="BF28" s="321">
        <f t="shared" ca="1" si="17"/>
        <v>0</v>
      </c>
      <c r="BG28" s="321">
        <f t="shared" ca="1" si="17"/>
        <v>0</v>
      </c>
      <c r="BH28" s="321">
        <f t="shared" ca="1" si="17"/>
        <v>0</v>
      </c>
      <c r="BI28" s="321">
        <f t="shared" ca="1" si="17"/>
        <v>0</v>
      </c>
      <c r="BJ28" s="321">
        <f t="shared" ca="1" si="17"/>
        <v>0</v>
      </c>
      <c r="BK28" s="321">
        <f t="shared" ca="1" si="17"/>
        <v>0</v>
      </c>
      <c r="BL28" s="321">
        <f t="shared" ca="1" si="17"/>
        <v>0</v>
      </c>
      <c r="BM28" s="321">
        <f t="shared" ca="1" si="17"/>
        <v>0</v>
      </c>
      <c r="BN28" s="321">
        <f t="shared" ca="1" si="17"/>
        <v>0</v>
      </c>
      <c r="BO28" s="321">
        <f t="shared" ca="1" si="17"/>
        <v>0</v>
      </c>
      <c r="BP28" s="321">
        <f t="shared" ca="1" si="17"/>
        <v>0</v>
      </c>
      <c r="BQ28" s="321">
        <f t="shared" ca="1" si="17"/>
        <v>0</v>
      </c>
      <c r="BR28" s="321">
        <f t="shared" ca="1" si="17"/>
        <v>0</v>
      </c>
      <c r="BS28" s="321">
        <f t="shared" ca="1" si="17"/>
        <v>0</v>
      </c>
      <c r="BT28" s="321">
        <f t="shared" ref="BT28:CO28" ca="1" si="18">SUM(BT23:BT25)</f>
        <v>0</v>
      </c>
      <c r="BU28" s="321">
        <f t="shared" ca="1" si="18"/>
        <v>0</v>
      </c>
      <c r="BV28" s="321">
        <f t="shared" ca="1" si="18"/>
        <v>0</v>
      </c>
      <c r="BW28" s="321">
        <f t="shared" ca="1" si="18"/>
        <v>0</v>
      </c>
      <c r="BX28" s="321">
        <f t="shared" ca="1" si="18"/>
        <v>0</v>
      </c>
      <c r="BY28" s="321">
        <f t="shared" ca="1" si="18"/>
        <v>0</v>
      </c>
      <c r="BZ28" s="321">
        <f t="shared" ca="1" si="18"/>
        <v>0</v>
      </c>
      <c r="CA28" s="321">
        <f t="shared" ca="1" si="18"/>
        <v>0</v>
      </c>
      <c r="CB28" s="321">
        <f t="shared" ca="1" si="18"/>
        <v>0</v>
      </c>
      <c r="CC28" s="321">
        <f t="shared" ca="1" si="18"/>
        <v>0</v>
      </c>
      <c r="CD28" s="321">
        <f t="shared" ca="1" si="18"/>
        <v>0</v>
      </c>
      <c r="CE28" s="321">
        <f t="shared" ca="1" si="18"/>
        <v>0</v>
      </c>
      <c r="CF28" s="321">
        <f t="shared" ca="1" si="18"/>
        <v>0</v>
      </c>
      <c r="CG28" s="321">
        <f t="shared" ca="1" si="18"/>
        <v>0</v>
      </c>
      <c r="CH28" s="321">
        <f t="shared" ca="1" si="18"/>
        <v>0</v>
      </c>
      <c r="CI28" s="321">
        <f t="shared" ca="1" si="18"/>
        <v>0</v>
      </c>
      <c r="CJ28" s="321">
        <f t="shared" ca="1" si="18"/>
        <v>0</v>
      </c>
      <c r="CK28" s="321">
        <f t="shared" ca="1" si="18"/>
        <v>0</v>
      </c>
      <c r="CL28" s="321">
        <f t="shared" ca="1" si="18"/>
        <v>0</v>
      </c>
      <c r="CM28" s="321">
        <f t="shared" ca="1" si="18"/>
        <v>0</v>
      </c>
      <c r="CN28" s="321">
        <f t="shared" ca="1" si="18"/>
        <v>0</v>
      </c>
      <c r="CO28" s="321">
        <f t="shared" ca="1" si="18"/>
        <v>0</v>
      </c>
    </row>
    <row r="29" spans="1:93" ht="15" customHeight="1">
      <c r="A29" s="47"/>
      <c r="B29" s="47"/>
      <c r="C29" s="324" t="s">
        <v>943</v>
      </c>
      <c r="D29" s="324"/>
      <c r="E29" s="324"/>
      <c r="F29" s="324"/>
      <c r="G29" s="325"/>
      <c r="H29" s="324"/>
      <c r="I29" s="23">
        <f t="shared" ca="1" si="4"/>
        <v>0</v>
      </c>
      <c r="J29" s="324"/>
      <c r="K29" s="324"/>
      <c r="L29" s="324">
        <f ca="1">SUM(L23:L27)</f>
        <v>0</v>
      </c>
      <c r="M29" s="324">
        <f ca="1">SUM(M23:M27)</f>
        <v>0</v>
      </c>
      <c r="N29" s="324">
        <f ca="1">SUM(N23:N27)</f>
        <v>0</v>
      </c>
      <c r="O29" s="324">
        <f ca="1">SUM(O23:O27)</f>
        <v>0</v>
      </c>
      <c r="P29" s="324">
        <f ca="1">SUM(P23:P27)</f>
        <v>0</v>
      </c>
      <c r="Q29" s="324">
        <f t="shared" ref="Q29:BS29" ca="1" si="19">SUM(Q23:Q27)</f>
        <v>0</v>
      </c>
      <c r="R29" s="324">
        <f t="shared" ca="1" si="19"/>
        <v>0</v>
      </c>
      <c r="S29" s="324">
        <f t="shared" ca="1" si="19"/>
        <v>0</v>
      </c>
      <c r="T29" s="324">
        <f t="shared" ca="1" si="19"/>
        <v>0</v>
      </c>
      <c r="U29" s="324">
        <f t="shared" ca="1" si="19"/>
        <v>0</v>
      </c>
      <c r="V29" s="324">
        <f t="shared" ca="1" si="19"/>
        <v>0</v>
      </c>
      <c r="W29" s="324">
        <f t="shared" ca="1" si="19"/>
        <v>0</v>
      </c>
      <c r="X29" s="324">
        <f t="shared" ca="1" si="19"/>
        <v>0</v>
      </c>
      <c r="Y29" s="324">
        <f t="shared" ca="1" si="19"/>
        <v>0</v>
      </c>
      <c r="Z29" s="324">
        <f t="shared" ca="1" si="19"/>
        <v>0</v>
      </c>
      <c r="AA29" s="324">
        <f t="shared" ca="1" si="19"/>
        <v>0</v>
      </c>
      <c r="AB29" s="324">
        <f t="shared" ca="1" si="19"/>
        <v>0</v>
      </c>
      <c r="AC29" s="324">
        <f t="shared" ca="1" si="19"/>
        <v>0</v>
      </c>
      <c r="AD29" s="324">
        <f t="shared" ca="1" si="19"/>
        <v>0</v>
      </c>
      <c r="AE29" s="324">
        <f t="shared" ca="1" si="19"/>
        <v>0</v>
      </c>
      <c r="AF29" s="324">
        <f t="shared" ca="1" si="19"/>
        <v>0</v>
      </c>
      <c r="AG29" s="324">
        <f t="shared" ca="1" si="19"/>
        <v>0</v>
      </c>
      <c r="AH29" s="324">
        <f t="shared" ca="1" si="19"/>
        <v>0</v>
      </c>
      <c r="AI29" s="324">
        <f t="shared" ca="1" si="19"/>
        <v>0</v>
      </c>
      <c r="AJ29" s="324">
        <f t="shared" ca="1" si="19"/>
        <v>0</v>
      </c>
      <c r="AK29" s="324">
        <f t="shared" ca="1" si="19"/>
        <v>0</v>
      </c>
      <c r="AL29" s="324">
        <f t="shared" ca="1" si="19"/>
        <v>0</v>
      </c>
      <c r="AM29" s="324">
        <f t="shared" ca="1" si="19"/>
        <v>0</v>
      </c>
      <c r="AN29" s="324">
        <f t="shared" ca="1" si="19"/>
        <v>0</v>
      </c>
      <c r="AO29" s="324">
        <f t="shared" ca="1" si="19"/>
        <v>0</v>
      </c>
      <c r="AP29" s="324">
        <f t="shared" ca="1" si="19"/>
        <v>0</v>
      </c>
      <c r="AQ29" s="324">
        <f t="shared" ca="1" si="19"/>
        <v>0</v>
      </c>
      <c r="AR29" s="324">
        <f t="shared" ca="1" si="19"/>
        <v>0</v>
      </c>
      <c r="AS29" s="324">
        <f t="shared" ca="1" si="19"/>
        <v>0</v>
      </c>
      <c r="AT29" s="324">
        <f t="shared" ca="1" si="19"/>
        <v>0</v>
      </c>
      <c r="AU29" s="324">
        <f t="shared" ca="1" si="19"/>
        <v>0</v>
      </c>
      <c r="AV29" s="324">
        <f t="shared" ca="1" si="19"/>
        <v>0</v>
      </c>
      <c r="AW29" s="324">
        <f t="shared" ca="1" si="19"/>
        <v>0</v>
      </c>
      <c r="AX29" s="324">
        <f t="shared" ca="1" si="19"/>
        <v>0</v>
      </c>
      <c r="AY29" s="324">
        <f t="shared" ca="1" si="19"/>
        <v>0</v>
      </c>
      <c r="AZ29" s="324">
        <f t="shared" ca="1" si="19"/>
        <v>0</v>
      </c>
      <c r="BA29" s="324">
        <f t="shared" ca="1" si="19"/>
        <v>0</v>
      </c>
      <c r="BB29" s="324">
        <f t="shared" ca="1" si="19"/>
        <v>0</v>
      </c>
      <c r="BC29" s="324">
        <f t="shared" ca="1" si="19"/>
        <v>0</v>
      </c>
      <c r="BD29" s="324">
        <f t="shared" ca="1" si="19"/>
        <v>0</v>
      </c>
      <c r="BE29" s="324">
        <f t="shared" ca="1" si="19"/>
        <v>0</v>
      </c>
      <c r="BF29" s="324">
        <f t="shared" ca="1" si="19"/>
        <v>0</v>
      </c>
      <c r="BG29" s="324">
        <f t="shared" ca="1" si="19"/>
        <v>0</v>
      </c>
      <c r="BH29" s="324">
        <f t="shared" ca="1" si="19"/>
        <v>0</v>
      </c>
      <c r="BI29" s="324">
        <f t="shared" ca="1" si="19"/>
        <v>0</v>
      </c>
      <c r="BJ29" s="324">
        <f t="shared" ca="1" si="19"/>
        <v>0</v>
      </c>
      <c r="BK29" s="324">
        <f t="shared" ca="1" si="19"/>
        <v>0</v>
      </c>
      <c r="BL29" s="324">
        <f t="shared" ca="1" si="19"/>
        <v>0</v>
      </c>
      <c r="BM29" s="324">
        <f t="shared" ca="1" si="19"/>
        <v>0</v>
      </c>
      <c r="BN29" s="324">
        <f t="shared" ca="1" si="19"/>
        <v>0</v>
      </c>
      <c r="BO29" s="324">
        <f t="shared" ca="1" si="19"/>
        <v>0</v>
      </c>
      <c r="BP29" s="324">
        <f t="shared" ca="1" si="19"/>
        <v>0</v>
      </c>
      <c r="BQ29" s="324">
        <f t="shared" ca="1" si="19"/>
        <v>0</v>
      </c>
      <c r="BR29" s="324">
        <f t="shared" ca="1" si="19"/>
        <v>0</v>
      </c>
      <c r="BS29" s="324">
        <f t="shared" ca="1" si="19"/>
        <v>0</v>
      </c>
      <c r="BT29" s="324">
        <f t="shared" ref="BT29:CO29" ca="1" si="20">SUM(BT23:BT27)</f>
        <v>0</v>
      </c>
      <c r="BU29" s="324">
        <f t="shared" ca="1" si="20"/>
        <v>0</v>
      </c>
      <c r="BV29" s="324">
        <f t="shared" ca="1" si="20"/>
        <v>0</v>
      </c>
      <c r="BW29" s="324">
        <f t="shared" ca="1" si="20"/>
        <v>0</v>
      </c>
      <c r="BX29" s="324">
        <f t="shared" ca="1" si="20"/>
        <v>0</v>
      </c>
      <c r="BY29" s="324">
        <f t="shared" ca="1" si="20"/>
        <v>0</v>
      </c>
      <c r="BZ29" s="324">
        <f t="shared" ca="1" si="20"/>
        <v>0</v>
      </c>
      <c r="CA29" s="324">
        <f t="shared" ca="1" si="20"/>
        <v>0</v>
      </c>
      <c r="CB29" s="324">
        <f t="shared" ca="1" si="20"/>
        <v>0</v>
      </c>
      <c r="CC29" s="324">
        <f t="shared" ca="1" si="20"/>
        <v>0</v>
      </c>
      <c r="CD29" s="324">
        <f t="shared" ca="1" si="20"/>
        <v>0</v>
      </c>
      <c r="CE29" s="324">
        <f t="shared" ca="1" si="20"/>
        <v>0</v>
      </c>
      <c r="CF29" s="324">
        <f t="shared" ca="1" si="20"/>
        <v>0</v>
      </c>
      <c r="CG29" s="324">
        <f t="shared" ca="1" si="20"/>
        <v>0</v>
      </c>
      <c r="CH29" s="324">
        <f t="shared" ca="1" si="20"/>
        <v>0</v>
      </c>
      <c r="CI29" s="324">
        <f t="shared" ca="1" si="20"/>
        <v>0</v>
      </c>
      <c r="CJ29" s="324">
        <f t="shared" ca="1" si="20"/>
        <v>0</v>
      </c>
      <c r="CK29" s="324">
        <f t="shared" ca="1" si="20"/>
        <v>0</v>
      </c>
      <c r="CL29" s="324">
        <f t="shared" ca="1" si="20"/>
        <v>0</v>
      </c>
      <c r="CM29" s="324">
        <f t="shared" ca="1" si="20"/>
        <v>0</v>
      </c>
      <c r="CN29" s="324">
        <f t="shared" ca="1" si="20"/>
        <v>0</v>
      </c>
      <c r="CO29" s="324">
        <f t="shared" ca="1" si="20"/>
        <v>0</v>
      </c>
    </row>
    <row r="30" spans="1:93" ht="15" customHeight="1">
      <c r="A30" s="47"/>
      <c r="B30" s="47"/>
      <c r="C30" s="153"/>
      <c r="D30" s="153"/>
      <c r="E30" s="11"/>
      <c r="F30" s="11"/>
      <c r="G30" s="11"/>
      <c r="H30" s="153"/>
      <c r="I30" s="154"/>
      <c r="J30" s="153"/>
      <c r="K30" s="153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</row>
    <row r="31" spans="1:93" customFormat="1" ht="15">
      <c r="A31" s="10"/>
      <c r="B31" s="10"/>
      <c r="C31" s="17" t="s">
        <v>425</v>
      </c>
      <c r="D31" s="10"/>
      <c r="E31" s="62"/>
      <c r="F31" s="10"/>
      <c r="G31" s="11"/>
      <c r="H31" s="10"/>
      <c r="I31" s="10"/>
      <c r="J31" s="10"/>
      <c r="K31" s="10"/>
      <c r="L31" s="35">
        <f t="shared" ref="L31:BW31" si="21">IF(K31="",YEAR(Beginning_of_period),K31+1)</f>
        <v>2025</v>
      </c>
      <c r="M31" s="35">
        <f t="shared" si="21"/>
        <v>2026</v>
      </c>
      <c r="N31" s="35">
        <f t="shared" si="21"/>
        <v>2027</v>
      </c>
      <c r="O31" s="35">
        <f t="shared" si="21"/>
        <v>2028</v>
      </c>
      <c r="P31" s="35">
        <f t="shared" si="21"/>
        <v>2029</v>
      </c>
      <c r="Q31" s="35">
        <f t="shared" si="21"/>
        <v>2030</v>
      </c>
      <c r="R31" s="35">
        <f t="shared" si="21"/>
        <v>2031</v>
      </c>
      <c r="S31" s="35">
        <f t="shared" si="21"/>
        <v>2032</v>
      </c>
      <c r="T31" s="35">
        <f t="shared" si="21"/>
        <v>2033</v>
      </c>
      <c r="U31" s="35">
        <f t="shared" si="21"/>
        <v>2034</v>
      </c>
      <c r="V31" s="35">
        <f t="shared" si="21"/>
        <v>2035</v>
      </c>
      <c r="W31" s="35">
        <f t="shared" si="21"/>
        <v>2036</v>
      </c>
      <c r="X31" s="35">
        <f t="shared" si="21"/>
        <v>2037</v>
      </c>
      <c r="Y31" s="35">
        <f t="shared" si="21"/>
        <v>2038</v>
      </c>
      <c r="Z31" s="35">
        <f t="shared" si="21"/>
        <v>2039</v>
      </c>
      <c r="AA31" s="35">
        <f t="shared" si="21"/>
        <v>2040</v>
      </c>
      <c r="AB31" s="35">
        <f t="shared" si="21"/>
        <v>2041</v>
      </c>
      <c r="AC31" s="35">
        <f t="shared" si="21"/>
        <v>2042</v>
      </c>
      <c r="AD31" s="35">
        <f t="shared" si="21"/>
        <v>2043</v>
      </c>
      <c r="AE31" s="35">
        <f t="shared" si="21"/>
        <v>2044</v>
      </c>
      <c r="AF31" s="35">
        <f t="shared" si="21"/>
        <v>2045</v>
      </c>
      <c r="AG31" s="35">
        <f t="shared" si="21"/>
        <v>2046</v>
      </c>
      <c r="AH31" s="35">
        <f t="shared" si="21"/>
        <v>2047</v>
      </c>
      <c r="AI31" s="35">
        <f t="shared" si="21"/>
        <v>2048</v>
      </c>
      <c r="AJ31" s="35">
        <f t="shared" si="21"/>
        <v>2049</v>
      </c>
      <c r="AK31" s="35">
        <f t="shared" si="21"/>
        <v>2050</v>
      </c>
      <c r="AL31" s="35">
        <f t="shared" si="21"/>
        <v>2051</v>
      </c>
      <c r="AM31" s="35">
        <f t="shared" si="21"/>
        <v>2052</v>
      </c>
      <c r="AN31" s="35">
        <f t="shared" si="21"/>
        <v>2053</v>
      </c>
      <c r="AO31" s="35">
        <f t="shared" si="21"/>
        <v>2054</v>
      </c>
      <c r="AP31" s="35">
        <f t="shared" si="21"/>
        <v>2055</v>
      </c>
      <c r="AQ31" s="35">
        <f t="shared" si="21"/>
        <v>2056</v>
      </c>
      <c r="AR31" s="35">
        <f t="shared" si="21"/>
        <v>2057</v>
      </c>
      <c r="AS31" s="35">
        <f t="shared" si="21"/>
        <v>2058</v>
      </c>
      <c r="AT31" s="35">
        <f t="shared" si="21"/>
        <v>2059</v>
      </c>
      <c r="AU31" s="35">
        <f t="shared" si="21"/>
        <v>2060</v>
      </c>
      <c r="AV31" s="35">
        <f t="shared" si="21"/>
        <v>2061</v>
      </c>
      <c r="AW31" s="35">
        <f t="shared" si="21"/>
        <v>2062</v>
      </c>
      <c r="AX31" s="35">
        <f t="shared" si="21"/>
        <v>2063</v>
      </c>
      <c r="AY31" s="35">
        <f t="shared" si="21"/>
        <v>2064</v>
      </c>
      <c r="AZ31" s="35">
        <f t="shared" si="21"/>
        <v>2065</v>
      </c>
      <c r="BA31" s="35">
        <f t="shared" si="21"/>
        <v>2066</v>
      </c>
      <c r="BB31" s="35">
        <f t="shared" si="21"/>
        <v>2067</v>
      </c>
      <c r="BC31" s="35">
        <f t="shared" si="21"/>
        <v>2068</v>
      </c>
      <c r="BD31" s="35">
        <f t="shared" si="21"/>
        <v>2069</v>
      </c>
      <c r="BE31" s="35">
        <f t="shared" si="21"/>
        <v>2070</v>
      </c>
      <c r="BF31" s="35">
        <f t="shared" si="21"/>
        <v>2071</v>
      </c>
      <c r="BG31" s="35">
        <f t="shared" si="21"/>
        <v>2072</v>
      </c>
      <c r="BH31" s="35">
        <f t="shared" si="21"/>
        <v>2073</v>
      </c>
      <c r="BI31" s="35">
        <f t="shared" si="21"/>
        <v>2074</v>
      </c>
      <c r="BJ31" s="35">
        <f t="shared" si="21"/>
        <v>2075</v>
      </c>
      <c r="BK31" s="35">
        <f t="shared" si="21"/>
        <v>2076</v>
      </c>
      <c r="BL31" s="35">
        <f t="shared" si="21"/>
        <v>2077</v>
      </c>
      <c r="BM31" s="35">
        <f t="shared" si="21"/>
        <v>2078</v>
      </c>
      <c r="BN31" s="35">
        <f t="shared" si="21"/>
        <v>2079</v>
      </c>
      <c r="BO31" s="35">
        <f t="shared" si="21"/>
        <v>2080</v>
      </c>
      <c r="BP31" s="35">
        <f t="shared" si="21"/>
        <v>2081</v>
      </c>
      <c r="BQ31" s="35">
        <f t="shared" si="21"/>
        <v>2082</v>
      </c>
      <c r="BR31" s="35">
        <f t="shared" si="21"/>
        <v>2083</v>
      </c>
      <c r="BS31" s="35">
        <f t="shared" si="21"/>
        <v>2084</v>
      </c>
      <c r="BT31" s="35">
        <f t="shared" si="21"/>
        <v>2085</v>
      </c>
      <c r="BU31" s="35">
        <f t="shared" si="21"/>
        <v>2086</v>
      </c>
      <c r="BV31" s="35">
        <f t="shared" si="21"/>
        <v>2087</v>
      </c>
      <c r="BW31" s="35">
        <f t="shared" si="21"/>
        <v>2088</v>
      </c>
      <c r="BX31" s="35">
        <f t="shared" ref="BX31:CO31" si="22">IF(BW31="",YEAR(Beginning_of_period),BW31+1)</f>
        <v>2089</v>
      </c>
      <c r="BY31" s="35">
        <f t="shared" si="22"/>
        <v>2090</v>
      </c>
      <c r="BZ31" s="35">
        <f t="shared" si="22"/>
        <v>2091</v>
      </c>
      <c r="CA31" s="35">
        <f t="shared" si="22"/>
        <v>2092</v>
      </c>
      <c r="CB31" s="35">
        <f t="shared" si="22"/>
        <v>2093</v>
      </c>
      <c r="CC31" s="35">
        <f t="shared" si="22"/>
        <v>2094</v>
      </c>
      <c r="CD31" s="35">
        <f t="shared" si="22"/>
        <v>2095</v>
      </c>
      <c r="CE31" s="35">
        <f t="shared" si="22"/>
        <v>2096</v>
      </c>
      <c r="CF31" s="35">
        <f t="shared" si="22"/>
        <v>2097</v>
      </c>
      <c r="CG31" s="35">
        <f t="shared" si="22"/>
        <v>2098</v>
      </c>
      <c r="CH31" s="35">
        <f t="shared" si="22"/>
        <v>2099</v>
      </c>
      <c r="CI31" s="35">
        <f t="shared" si="22"/>
        <v>2100</v>
      </c>
      <c r="CJ31" s="35">
        <f t="shared" si="22"/>
        <v>2101</v>
      </c>
      <c r="CK31" s="35">
        <f t="shared" si="22"/>
        <v>2102</v>
      </c>
      <c r="CL31" s="35">
        <f t="shared" si="22"/>
        <v>2103</v>
      </c>
      <c r="CM31" s="35">
        <f t="shared" si="22"/>
        <v>2104</v>
      </c>
      <c r="CN31" s="35">
        <f t="shared" si="22"/>
        <v>2105</v>
      </c>
      <c r="CO31" s="35">
        <f t="shared" si="22"/>
        <v>2106</v>
      </c>
    </row>
    <row r="32" spans="1:93" customFormat="1" ht="15">
      <c r="A32" s="10"/>
      <c r="B32" s="10"/>
      <c r="C32" s="17" t="s">
        <v>1074</v>
      </c>
      <c r="D32" s="10"/>
      <c r="E32" s="106"/>
      <c r="F32" s="10"/>
      <c r="G32" s="134" t="str">
        <f>Monetary_Unit</f>
        <v>тыс. руб.</v>
      </c>
      <c r="H32" s="10"/>
      <c r="I32" s="23">
        <f ca="1">SUM(L32:CO32)</f>
        <v>0</v>
      </c>
      <c r="J32" s="10"/>
      <c r="K32" s="10"/>
      <c r="L32" s="52">
        <f t="shared" ref="L32:AQ32" ca="1" si="23">SUMIF(Year,L$31,$L28:$CO28)</f>
        <v>0</v>
      </c>
      <c r="M32" s="52">
        <f t="shared" ca="1" si="23"/>
        <v>0</v>
      </c>
      <c r="N32" s="52">
        <f t="shared" ca="1" si="23"/>
        <v>0</v>
      </c>
      <c r="O32" s="52">
        <f t="shared" ca="1" si="23"/>
        <v>0</v>
      </c>
      <c r="P32" s="52">
        <f t="shared" ca="1" si="23"/>
        <v>0</v>
      </c>
      <c r="Q32" s="52">
        <f t="shared" ca="1" si="23"/>
        <v>0</v>
      </c>
      <c r="R32" s="52">
        <f t="shared" ca="1" si="23"/>
        <v>0</v>
      </c>
      <c r="S32" s="52">
        <f t="shared" ca="1" si="23"/>
        <v>0</v>
      </c>
      <c r="T32" s="52">
        <f t="shared" ca="1" si="23"/>
        <v>0</v>
      </c>
      <c r="U32" s="52">
        <f t="shared" ca="1" si="23"/>
        <v>0</v>
      </c>
      <c r="V32" s="52">
        <f t="shared" ca="1" si="23"/>
        <v>0</v>
      </c>
      <c r="W32" s="52">
        <f t="shared" ca="1" si="23"/>
        <v>0</v>
      </c>
      <c r="X32" s="52">
        <f t="shared" ca="1" si="23"/>
        <v>0</v>
      </c>
      <c r="Y32" s="52">
        <f t="shared" ca="1" si="23"/>
        <v>0</v>
      </c>
      <c r="Z32" s="52">
        <f t="shared" ca="1" si="23"/>
        <v>0</v>
      </c>
      <c r="AA32" s="52">
        <f t="shared" ca="1" si="23"/>
        <v>0</v>
      </c>
      <c r="AB32" s="52">
        <f t="shared" ca="1" si="23"/>
        <v>0</v>
      </c>
      <c r="AC32" s="52">
        <f t="shared" ca="1" si="23"/>
        <v>0</v>
      </c>
      <c r="AD32" s="52">
        <f t="shared" ca="1" si="23"/>
        <v>0</v>
      </c>
      <c r="AE32" s="52">
        <f t="shared" ca="1" si="23"/>
        <v>0</v>
      </c>
      <c r="AF32" s="52">
        <f t="shared" ca="1" si="23"/>
        <v>0</v>
      </c>
      <c r="AG32" s="52">
        <f t="shared" si="23"/>
        <v>0</v>
      </c>
      <c r="AH32" s="52">
        <f t="shared" si="23"/>
        <v>0</v>
      </c>
      <c r="AI32" s="52">
        <f t="shared" si="23"/>
        <v>0</v>
      </c>
      <c r="AJ32" s="52">
        <f t="shared" si="23"/>
        <v>0</v>
      </c>
      <c r="AK32" s="52">
        <f t="shared" si="23"/>
        <v>0</v>
      </c>
      <c r="AL32" s="52">
        <f t="shared" si="23"/>
        <v>0</v>
      </c>
      <c r="AM32" s="52">
        <f t="shared" si="23"/>
        <v>0</v>
      </c>
      <c r="AN32" s="52">
        <f t="shared" si="23"/>
        <v>0</v>
      </c>
      <c r="AO32" s="52">
        <f t="shared" si="23"/>
        <v>0</v>
      </c>
      <c r="AP32" s="52">
        <f t="shared" si="23"/>
        <v>0</v>
      </c>
      <c r="AQ32" s="52">
        <f t="shared" si="23"/>
        <v>0</v>
      </c>
      <c r="AR32" s="52">
        <f t="shared" ref="AR32:BW32" si="24">SUMIF(Year,AR$31,$L28:$CO28)</f>
        <v>0</v>
      </c>
      <c r="AS32" s="52">
        <f t="shared" si="24"/>
        <v>0</v>
      </c>
      <c r="AT32" s="52">
        <f t="shared" si="24"/>
        <v>0</v>
      </c>
      <c r="AU32" s="52">
        <f t="shared" si="24"/>
        <v>0</v>
      </c>
      <c r="AV32" s="52">
        <f t="shared" si="24"/>
        <v>0</v>
      </c>
      <c r="AW32" s="52">
        <f t="shared" si="24"/>
        <v>0</v>
      </c>
      <c r="AX32" s="52">
        <f t="shared" si="24"/>
        <v>0</v>
      </c>
      <c r="AY32" s="52">
        <f t="shared" si="24"/>
        <v>0</v>
      </c>
      <c r="AZ32" s="52">
        <f t="shared" si="24"/>
        <v>0</v>
      </c>
      <c r="BA32" s="52">
        <f t="shared" si="24"/>
        <v>0</v>
      </c>
      <c r="BB32" s="52">
        <f t="shared" si="24"/>
        <v>0</v>
      </c>
      <c r="BC32" s="52">
        <f t="shared" si="24"/>
        <v>0</v>
      </c>
      <c r="BD32" s="52">
        <f t="shared" si="24"/>
        <v>0</v>
      </c>
      <c r="BE32" s="52">
        <f t="shared" si="24"/>
        <v>0</v>
      </c>
      <c r="BF32" s="52">
        <f t="shared" si="24"/>
        <v>0</v>
      </c>
      <c r="BG32" s="52">
        <f t="shared" si="24"/>
        <v>0</v>
      </c>
      <c r="BH32" s="52">
        <f t="shared" si="24"/>
        <v>0</v>
      </c>
      <c r="BI32" s="52">
        <f t="shared" si="24"/>
        <v>0</v>
      </c>
      <c r="BJ32" s="52">
        <f t="shared" si="24"/>
        <v>0</v>
      </c>
      <c r="BK32" s="52">
        <f t="shared" si="24"/>
        <v>0</v>
      </c>
      <c r="BL32" s="52">
        <f t="shared" si="24"/>
        <v>0</v>
      </c>
      <c r="BM32" s="52">
        <f t="shared" si="24"/>
        <v>0</v>
      </c>
      <c r="BN32" s="52">
        <f t="shared" si="24"/>
        <v>0</v>
      </c>
      <c r="BO32" s="52">
        <f t="shared" si="24"/>
        <v>0</v>
      </c>
      <c r="BP32" s="52">
        <f t="shared" si="24"/>
        <v>0</v>
      </c>
      <c r="BQ32" s="52">
        <f t="shared" si="24"/>
        <v>0</v>
      </c>
      <c r="BR32" s="52">
        <f t="shared" si="24"/>
        <v>0</v>
      </c>
      <c r="BS32" s="52">
        <f t="shared" si="24"/>
        <v>0</v>
      </c>
      <c r="BT32" s="52">
        <f t="shared" si="24"/>
        <v>0</v>
      </c>
      <c r="BU32" s="52">
        <f t="shared" si="24"/>
        <v>0</v>
      </c>
      <c r="BV32" s="52">
        <f t="shared" si="24"/>
        <v>0</v>
      </c>
      <c r="BW32" s="52">
        <f t="shared" si="24"/>
        <v>0</v>
      </c>
      <c r="BX32" s="52">
        <f t="shared" ref="BX32:CO32" si="25">SUMIF(Year,BX$31,$L28:$CO28)</f>
        <v>0</v>
      </c>
      <c r="BY32" s="52">
        <f t="shared" si="25"/>
        <v>0</v>
      </c>
      <c r="BZ32" s="52">
        <f t="shared" si="25"/>
        <v>0</v>
      </c>
      <c r="CA32" s="52">
        <f t="shared" si="25"/>
        <v>0</v>
      </c>
      <c r="CB32" s="52">
        <f t="shared" si="25"/>
        <v>0</v>
      </c>
      <c r="CC32" s="52">
        <f t="shared" si="25"/>
        <v>0</v>
      </c>
      <c r="CD32" s="52">
        <f t="shared" si="25"/>
        <v>0</v>
      </c>
      <c r="CE32" s="52">
        <f t="shared" si="25"/>
        <v>0</v>
      </c>
      <c r="CF32" s="52">
        <f t="shared" si="25"/>
        <v>0</v>
      </c>
      <c r="CG32" s="52">
        <f t="shared" si="25"/>
        <v>0</v>
      </c>
      <c r="CH32" s="52">
        <f t="shared" si="25"/>
        <v>0</v>
      </c>
      <c r="CI32" s="52">
        <f t="shared" si="25"/>
        <v>0</v>
      </c>
      <c r="CJ32" s="52">
        <f t="shared" si="25"/>
        <v>0</v>
      </c>
      <c r="CK32" s="52">
        <f t="shared" si="25"/>
        <v>0</v>
      </c>
      <c r="CL32" s="52">
        <f t="shared" si="25"/>
        <v>0</v>
      </c>
      <c r="CM32" s="52">
        <f t="shared" si="25"/>
        <v>0</v>
      </c>
      <c r="CN32" s="52">
        <f t="shared" si="25"/>
        <v>0</v>
      </c>
      <c r="CO32" s="52">
        <f t="shared" si="25"/>
        <v>0</v>
      </c>
    </row>
    <row r="33" spans="1:93" customFormat="1" ht="15">
      <c r="A33" s="10"/>
      <c r="B33" s="10"/>
      <c r="C33" s="17" t="s">
        <v>1075</v>
      </c>
      <c r="D33" s="10"/>
      <c r="E33" s="106"/>
      <c r="F33" s="10"/>
      <c r="G33" s="134" t="str">
        <f>Monetary_Unit</f>
        <v>тыс. руб.</v>
      </c>
      <c r="H33" s="10"/>
      <c r="I33" s="23">
        <f ca="1">SUM(L33:CO33)</f>
        <v>0</v>
      </c>
      <c r="J33" s="10"/>
      <c r="K33" s="10"/>
      <c r="L33" s="52">
        <f t="shared" ref="L33:AQ33" ca="1" si="26">SUMIF(Year,L$31,$L29:$CO29)</f>
        <v>0</v>
      </c>
      <c r="M33" s="52">
        <f t="shared" ca="1" si="26"/>
        <v>0</v>
      </c>
      <c r="N33" s="52">
        <f t="shared" ca="1" si="26"/>
        <v>0</v>
      </c>
      <c r="O33" s="52">
        <f t="shared" ca="1" si="26"/>
        <v>0</v>
      </c>
      <c r="P33" s="52">
        <f t="shared" ca="1" si="26"/>
        <v>0</v>
      </c>
      <c r="Q33" s="52">
        <f t="shared" ca="1" si="26"/>
        <v>0</v>
      </c>
      <c r="R33" s="52">
        <f t="shared" ca="1" si="26"/>
        <v>0</v>
      </c>
      <c r="S33" s="52">
        <f t="shared" ca="1" si="26"/>
        <v>0</v>
      </c>
      <c r="T33" s="52">
        <f t="shared" ca="1" si="26"/>
        <v>0</v>
      </c>
      <c r="U33" s="52">
        <f t="shared" ca="1" si="26"/>
        <v>0</v>
      </c>
      <c r="V33" s="52">
        <f t="shared" ca="1" si="26"/>
        <v>0</v>
      </c>
      <c r="W33" s="52">
        <f t="shared" ca="1" si="26"/>
        <v>0</v>
      </c>
      <c r="X33" s="52">
        <f t="shared" ca="1" si="26"/>
        <v>0</v>
      </c>
      <c r="Y33" s="52">
        <f t="shared" ca="1" si="26"/>
        <v>0</v>
      </c>
      <c r="Z33" s="52">
        <f t="shared" ca="1" si="26"/>
        <v>0</v>
      </c>
      <c r="AA33" s="52">
        <f t="shared" ca="1" si="26"/>
        <v>0</v>
      </c>
      <c r="AB33" s="52">
        <f t="shared" ca="1" si="26"/>
        <v>0</v>
      </c>
      <c r="AC33" s="52">
        <f t="shared" ca="1" si="26"/>
        <v>0</v>
      </c>
      <c r="AD33" s="52">
        <f t="shared" ca="1" si="26"/>
        <v>0</v>
      </c>
      <c r="AE33" s="52">
        <f t="shared" ca="1" si="26"/>
        <v>0</v>
      </c>
      <c r="AF33" s="52">
        <f t="shared" ca="1" si="26"/>
        <v>0</v>
      </c>
      <c r="AG33" s="52">
        <f t="shared" si="26"/>
        <v>0</v>
      </c>
      <c r="AH33" s="52">
        <f t="shared" si="26"/>
        <v>0</v>
      </c>
      <c r="AI33" s="52">
        <f t="shared" si="26"/>
        <v>0</v>
      </c>
      <c r="AJ33" s="52">
        <f t="shared" si="26"/>
        <v>0</v>
      </c>
      <c r="AK33" s="52">
        <f t="shared" si="26"/>
        <v>0</v>
      </c>
      <c r="AL33" s="52">
        <f t="shared" si="26"/>
        <v>0</v>
      </c>
      <c r="AM33" s="52">
        <f t="shared" si="26"/>
        <v>0</v>
      </c>
      <c r="AN33" s="52">
        <f t="shared" si="26"/>
        <v>0</v>
      </c>
      <c r="AO33" s="52">
        <f t="shared" si="26"/>
        <v>0</v>
      </c>
      <c r="AP33" s="52">
        <f t="shared" si="26"/>
        <v>0</v>
      </c>
      <c r="AQ33" s="52">
        <f t="shared" si="26"/>
        <v>0</v>
      </c>
      <c r="AR33" s="52">
        <f t="shared" ref="AR33:BW33" si="27">SUMIF(Year,AR$31,$L29:$CO29)</f>
        <v>0</v>
      </c>
      <c r="AS33" s="52">
        <f t="shared" si="27"/>
        <v>0</v>
      </c>
      <c r="AT33" s="52">
        <f t="shared" si="27"/>
        <v>0</v>
      </c>
      <c r="AU33" s="52">
        <f t="shared" si="27"/>
        <v>0</v>
      </c>
      <c r="AV33" s="52">
        <f t="shared" si="27"/>
        <v>0</v>
      </c>
      <c r="AW33" s="52">
        <f t="shared" si="27"/>
        <v>0</v>
      </c>
      <c r="AX33" s="52">
        <f t="shared" si="27"/>
        <v>0</v>
      </c>
      <c r="AY33" s="52">
        <f t="shared" si="27"/>
        <v>0</v>
      </c>
      <c r="AZ33" s="52">
        <f t="shared" si="27"/>
        <v>0</v>
      </c>
      <c r="BA33" s="52">
        <f t="shared" si="27"/>
        <v>0</v>
      </c>
      <c r="BB33" s="52">
        <f t="shared" si="27"/>
        <v>0</v>
      </c>
      <c r="BC33" s="52">
        <f t="shared" si="27"/>
        <v>0</v>
      </c>
      <c r="BD33" s="52">
        <f t="shared" si="27"/>
        <v>0</v>
      </c>
      <c r="BE33" s="52">
        <f t="shared" si="27"/>
        <v>0</v>
      </c>
      <c r="BF33" s="52">
        <f t="shared" si="27"/>
        <v>0</v>
      </c>
      <c r="BG33" s="52">
        <f t="shared" si="27"/>
        <v>0</v>
      </c>
      <c r="BH33" s="52">
        <f t="shared" si="27"/>
        <v>0</v>
      </c>
      <c r="BI33" s="52">
        <f t="shared" si="27"/>
        <v>0</v>
      </c>
      <c r="BJ33" s="52">
        <f t="shared" si="27"/>
        <v>0</v>
      </c>
      <c r="BK33" s="52">
        <f t="shared" si="27"/>
        <v>0</v>
      </c>
      <c r="BL33" s="52">
        <f t="shared" si="27"/>
        <v>0</v>
      </c>
      <c r="BM33" s="52">
        <f t="shared" si="27"/>
        <v>0</v>
      </c>
      <c r="BN33" s="52">
        <f t="shared" si="27"/>
        <v>0</v>
      </c>
      <c r="BO33" s="52">
        <f t="shared" si="27"/>
        <v>0</v>
      </c>
      <c r="BP33" s="52">
        <f t="shared" si="27"/>
        <v>0</v>
      </c>
      <c r="BQ33" s="52">
        <f t="shared" si="27"/>
        <v>0</v>
      </c>
      <c r="BR33" s="52">
        <f t="shared" si="27"/>
        <v>0</v>
      </c>
      <c r="BS33" s="52">
        <f t="shared" si="27"/>
        <v>0</v>
      </c>
      <c r="BT33" s="52">
        <f t="shared" si="27"/>
        <v>0</v>
      </c>
      <c r="BU33" s="52">
        <f t="shared" si="27"/>
        <v>0</v>
      </c>
      <c r="BV33" s="52">
        <f t="shared" si="27"/>
        <v>0</v>
      </c>
      <c r="BW33" s="52">
        <f t="shared" si="27"/>
        <v>0</v>
      </c>
      <c r="BX33" s="52">
        <f t="shared" ref="BX33:CO33" si="28">SUMIF(Year,BX$31,$L29:$CO29)</f>
        <v>0</v>
      </c>
      <c r="BY33" s="52">
        <f t="shared" si="28"/>
        <v>0</v>
      </c>
      <c r="BZ33" s="52">
        <f t="shared" si="28"/>
        <v>0</v>
      </c>
      <c r="CA33" s="52">
        <f t="shared" si="28"/>
        <v>0</v>
      </c>
      <c r="CB33" s="52">
        <f t="shared" si="28"/>
        <v>0</v>
      </c>
      <c r="CC33" s="52">
        <f t="shared" si="28"/>
        <v>0</v>
      </c>
      <c r="CD33" s="52">
        <f t="shared" si="28"/>
        <v>0</v>
      </c>
      <c r="CE33" s="52">
        <f t="shared" si="28"/>
        <v>0</v>
      </c>
      <c r="CF33" s="52">
        <f t="shared" si="28"/>
        <v>0</v>
      </c>
      <c r="CG33" s="52">
        <f t="shared" si="28"/>
        <v>0</v>
      </c>
      <c r="CH33" s="52">
        <f t="shared" si="28"/>
        <v>0</v>
      </c>
      <c r="CI33" s="52">
        <f t="shared" si="28"/>
        <v>0</v>
      </c>
      <c r="CJ33" s="52">
        <f t="shared" si="28"/>
        <v>0</v>
      </c>
      <c r="CK33" s="52">
        <f t="shared" si="28"/>
        <v>0</v>
      </c>
      <c r="CL33" s="52">
        <f t="shared" si="28"/>
        <v>0</v>
      </c>
      <c r="CM33" s="52">
        <f t="shared" si="28"/>
        <v>0</v>
      </c>
      <c r="CN33" s="52">
        <f t="shared" si="28"/>
        <v>0</v>
      </c>
      <c r="CO33" s="52">
        <f t="shared" si="28"/>
        <v>0</v>
      </c>
    </row>
    <row r="34" spans="1:93" ht="15" customHeight="1">
      <c r="A34" s="47"/>
      <c r="B34" s="47"/>
      <c r="C34" s="153"/>
      <c r="D34" s="153"/>
      <c r="E34" s="11"/>
      <c r="F34" s="11"/>
      <c r="G34" s="11"/>
      <c r="H34" s="153"/>
      <c r="I34" s="154"/>
      <c r="J34" s="153"/>
      <c r="K34" s="153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</row>
    <row r="35" spans="1:93" ht="15" customHeight="1">
      <c r="A35" s="47"/>
      <c r="B35" s="47"/>
      <c r="C35" s="161" t="s">
        <v>940</v>
      </c>
      <c r="D35" s="153"/>
      <c r="E35" s="11"/>
      <c r="F35" s="11"/>
      <c r="G35" s="11" t="s">
        <v>28</v>
      </c>
      <c r="H35" s="153"/>
      <c r="I35" s="327" t="e">
        <f ca="1" xml:space="preserve"> IRR(L32:CO32)</f>
        <v>#NUM!</v>
      </c>
      <c r="J35" s="153"/>
      <c r="K35" s="153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</row>
    <row r="36" spans="1:93" ht="15" customHeight="1">
      <c r="A36" s="47"/>
      <c r="B36" s="47"/>
      <c r="C36" s="161" t="s">
        <v>941</v>
      </c>
      <c r="D36" s="153"/>
      <c r="E36" s="11"/>
      <c r="F36" s="11"/>
      <c r="G36" s="11" t="s">
        <v>28</v>
      </c>
      <c r="H36" s="153"/>
      <c r="I36" s="327" t="e">
        <f ca="1" xml:space="preserve"> IRR(L33:CO33)</f>
        <v>#NUM!</v>
      </c>
      <c r="J36" s="153"/>
      <c r="K36" s="153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</row>
    <row r="37" spans="1:93" ht="15" customHeight="1">
      <c r="A37" s="47"/>
      <c r="B37" s="47"/>
      <c r="C37" s="47"/>
      <c r="D37" s="47"/>
      <c r="E37" s="47"/>
      <c r="F37" s="47"/>
      <c r="G37" s="319"/>
      <c r="H37" s="47"/>
      <c r="I37" s="47"/>
      <c r="J37" s="47"/>
      <c r="K37" s="47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</row>
    <row r="38" spans="1:93" s="141" customFormat="1" ht="15" customHeight="1">
      <c r="A38" s="153"/>
      <c r="B38" s="328"/>
      <c r="C38" s="328"/>
      <c r="D38" s="328"/>
      <c r="E38" s="329"/>
      <c r="F38" s="329"/>
      <c r="G38" s="329"/>
      <c r="H38" s="328"/>
      <c r="I38" s="330"/>
      <c r="J38" s="328"/>
      <c r="K38" s="328"/>
      <c r="L38" s="331"/>
      <c r="M38" s="331"/>
      <c r="N38" s="331"/>
      <c r="O38" s="331"/>
      <c r="P38" s="331"/>
      <c r="Q38" s="331"/>
      <c r="R38" s="331"/>
      <c r="S38" s="331"/>
      <c r="T38" s="331"/>
      <c r="U38" s="331"/>
      <c r="V38" s="331"/>
      <c r="W38" s="331"/>
      <c r="X38" s="331"/>
      <c r="Y38" s="331"/>
      <c r="Z38" s="331"/>
      <c r="AA38" s="331"/>
      <c r="AB38" s="331"/>
      <c r="AC38" s="331"/>
      <c r="AD38" s="331"/>
      <c r="AE38" s="331"/>
      <c r="AF38" s="331"/>
      <c r="AG38" s="331"/>
      <c r="AH38" s="331"/>
      <c r="AI38" s="331"/>
      <c r="AJ38" s="331"/>
      <c r="AK38" s="331"/>
      <c r="AL38" s="331"/>
      <c r="AM38" s="331"/>
      <c r="AN38" s="331"/>
      <c r="AO38" s="331"/>
      <c r="AP38" s="331"/>
      <c r="AQ38" s="331"/>
      <c r="AR38" s="331"/>
      <c r="AS38" s="331"/>
      <c r="AT38" s="331"/>
      <c r="AU38" s="331"/>
      <c r="AV38" s="331"/>
      <c r="AW38" s="331"/>
      <c r="AX38" s="331"/>
      <c r="AY38" s="331"/>
      <c r="AZ38" s="331"/>
      <c r="BA38" s="331"/>
      <c r="BB38" s="331"/>
      <c r="BC38" s="331"/>
      <c r="BD38" s="331"/>
      <c r="BE38" s="331"/>
      <c r="BF38" s="331"/>
      <c r="BG38" s="331"/>
      <c r="BH38" s="331"/>
      <c r="BI38" s="331"/>
      <c r="BJ38" s="331"/>
      <c r="BK38" s="331"/>
      <c r="BL38" s="331"/>
      <c r="BM38" s="331"/>
      <c r="BN38" s="331"/>
      <c r="BO38" s="331"/>
      <c r="BP38" s="331"/>
      <c r="BQ38" s="331"/>
      <c r="BR38" s="331"/>
      <c r="BS38" s="331"/>
      <c r="BT38" s="331"/>
      <c r="BU38" s="331"/>
      <c r="BV38" s="331"/>
      <c r="BW38" s="331"/>
      <c r="BX38" s="331"/>
      <c r="BY38" s="331"/>
      <c r="BZ38" s="331"/>
      <c r="CA38" s="331"/>
      <c r="CB38" s="331"/>
      <c r="CC38" s="331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331"/>
    </row>
    <row r="39" spans="1:93" ht="15" customHeight="1">
      <c r="A39" s="47"/>
      <c r="B39" s="47"/>
      <c r="C39" s="47"/>
      <c r="D39" s="47"/>
      <c r="E39" s="47"/>
      <c r="F39" s="47"/>
      <c r="G39" s="319"/>
      <c r="H39" s="47"/>
      <c r="I39" s="47"/>
      <c r="J39" s="47"/>
      <c r="K39" s="47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</row>
    <row r="40" spans="1:93" s="141" customFormat="1" ht="15" customHeight="1" thickBot="1">
      <c r="A40" s="153"/>
      <c r="B40" s="153"/>
      <c r="C40" s="12" t="s">
        <v>950</v>
      </c>
      <c r="D40" s="12"/>
      <c r="E40" s="12"/>
      <c r="F40" s="12"/>
      <c r="G40" s="12"/>
      <c r="H40" s="12"/>
      <c r="I40" s="12"/>
      <c r="J40" s="153"/>
      <c r="K40" s="153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</row>
    <row r="41" spans="1:93" ht="15" customHeight="1">
      <c r="A41" s="47"/>
      <c r="B41" s="47"/>
      <c r="C41" s="47"/>
      <c r="D41" s="47"/>
      <c r="E41" s="47"/>
      <c r="F41" s="47"/>
      <c r="G41" s="319"/>
      <c r="H41" s="47"/>
      <c r="I41" s="47"/>
      <c r="J41" s="47"/>
      <c r="K41" s="47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</row>
    <row r="42" spans="1:93" ht="15" customHeight="1">
      <c r="A42" s="47"/>
      <c r="B42" s="47"/>
      <c r="C42" s="156" t="s">
        <v>931</v>
      </c>
      <c r="D42" s="47"/>
      <c r="E42" s="417"/>
      <c r="F42" s="47"/>
      <c r="G42" s="11" t="str">
        <f>Monetary_Unit</f>
        <v>тыс. руб.</v>
      </c>
      <c r="H42" s="47"/>
      <c r="I42" s="23">
        <f ca="1">SUM(L42:CO42)</f>
        <v>533689.28402014531</v>
      </c>
      <c r="J42" s="47"/>
      <c r="K42" s="47"/>
      <c r="L42" s="10">
        <f>SUM(Расчеты!L1164:L1166)</f>
        <v>10115.776706480377</v>
      </c>
      <c r="M42" s="10">
        <f ca="1">SUM(Расчеты!M1164:M1166)</f>
        <v>10259.369017900153</v>
      </c>
      <c r="N42" s="10">
        <f ca="1">SUM(Расчеты!N1164:N1166)</f>
        <v>10404.999606013567</v>
      </c>
      <c r="O42" s="10">
        <f ca="1">SUM(Расчеты!O1164:O1166)</f>
        <v>10552.697403928796</v>
      </c>
      <c r="P42" s="10">
        <f ca="1">SUM(Расчеты!P1164:P1166)</f>
        <v>88745.245312382176</v>
      </c>
      <c r="Q42" s="10">
        <f ca="1">SUM(Расчеты!Q1164:Q1166)</f>
        <v>89619.688293733067</v>
      </c>
      <c r="R42" s="10">
        <f ca="1">SUM(Расчеты!R1164:R1166)</f>
        <v>90502.747517283089</v>
      </c>
      <c r="S42" s="10">
        <f ca="1">SUM(Расчеты!S1164:S1166)</f>
        <v>91394.507882369522</v>
      </c>
      <c r="T42" s="10">
        <f ca="1">SUM(Расчеты!T1164:T1166)</f>
        <v>65019.970533948253</v>
      </c>
      <c r="U42" s="10">
        <f ca="1">SUM(Расчеты!U1164:U1166)</f>
        <v>2040.9091648234303</v>
      </c>
      <c r="V42" s="10">
        <f ca="1">SUM(Расчеты!V1164:V1166)</f>
        <v>3303.1237146186231</v>
      </c>
      <c r="W42" s="10">
        <f ca="1">SUM(Расчеты!W1164:W1166)</f>
        <v>4555.1268162881161</v>
      </c>
      <c r="X42" s="10">
        <f ca="1">SUM(Расчеты!X1164:X1166)</f>
        <v>6346.274130728716</v>
      </c>
      <c r="Y42" s="10">
        <f ca="1">SUM(Расчеты!Y1164:Y1166)</f>
        <v>8757.8014964128106</v>
      </c>
      <c r="Z42" s="10">
        <f ca="1">SUM(Расчеты!Z1164:Z1166)</f>
        <v>11316.091617477097</v>
      </c>
      <c r="AA42" s="10">
        <f ca="1">SUM(Расчеты!AA1164:AA1166)</f>
        <v>13802.401746613647</v>
      </c>
      <c r="AB42" s="10">
        <f ca="1">SUM(Расчеты!AB1164:AB1166)</f>
        <v>16952.553059143869</v>
      </c>
      <c r="AC42" s="10">
        <f ca="1">SUM(Расчеты!AC1164:AC1166)</f>
        <v>0</v>
      </c>
      <c r="AD42" s="10">
        <f ca="1">SUM(Расчеты!AD1164:AD1166)</f>
        <v>0</v>
      </c>
      <c r="AE42" s="10">
        <f ca="1">SUM(Расчеты!AE1164:AE1166)</f>
        <v>0</v>
      </c>
      <c r="AF42" s="10">
        <f ca="1">SUM(Расчеты!AF1164:AF1166)</f>
        <v>0</v>
      </c>
      <c r="AG42" s="10">
        <f ca="1">SUM(Расчеты!AG1164:AG1166)</f>
        <v>0</v>
      </c>
      <c r="AH42" s="10">
        <f ca="1">SUM(Расчеты!AH1164:AH1166)</f>
        <v>0</v>
      </c>
      <c r="AI42" s="10">
        <f ca="1">SUM(Расчеты!AI1164:AI1166)</f>
        <v>0</v>
      </c>
      <c r="AJ42" s="10">
        <f ca="1">SUM(Расчеты!AJ1164:AJ1166)</f>
        <v>0</v>
      </c>
      <c r="AK42" s="10">
        <f ca="1">SUM(Расчеты!AK1164:AK1166)</f>
        <v>0</v>
      </c>
      <c r="AL42" s="10">
        <f ca="1">SUM(Расчеты!AL1164:AL1166)</f>
        <v>0</v>
      </c>
      <c r="AM42" s="10">
        <f ca="1">SUM(Расчеты!AM1164:AM1166)</f>
        <v>0</v>
      </c>
      <c r="AN42" s="10">
        <f ca="1">SUM(Расчеты!AN1164:AN1166)</f>
        <v>0</v>
      </c>
      <c r="AO42" s="10">
        <f ca="1">SUM(Расчеты!AO1164:AO1166)</f>
        <v>0</v>
      </c>
      <c r="AP42" s="10">
        <f ca="1">SUM(Расчеты!AP1164:AP1166)</f>
        <v>0</v>
      </c>
      <c r="AQ42" s="10">
        <f ca="1">SUM(Расчеты!AQ1164:AQ1166)</f>
        <v>0</v>
      </c>
      <c r="AR42" s="10">
        <f ca="1">SUM(Расчеты!AR1164:AR1166)</f>
        <v>0</v>
      </c>
      <c r="AS42" s="10">
        <f ca="1">SUM(Расчеты!AS1164:AS1166)</f>
        <v>0</v>
      </c>
      <c r="AT42" s="10">
        <f ca="1">SUM(Расчеты!AT1164:AT1166)</f>
        <v>0</v>
      </c>
      <c r="AU42" s="10">
        <f ca="1">SUM(Расчеты!AU1164:AU1166)</f>
        <v>0</v>
      </c>
      <c r="AV42" s="10">
        <f ca="1">SUM(Расчеты!AV1164:AV1166)</f>
        <v>0</v>
      </c>
      <c r="AW42" s="10">
        <f ca="1">SUM(Расчеты!AW1164:AW1166)</f>
        <v>0</v>
      </c>
      <c r="AX42" s="10">
        <f ca="1">SUM(Расчеты!AX1164:AX1166)</f>
        <v>0</v>
      </c>
      <c r="AY42" s="10">
        <f ca="1">SUM(Расчеты!AY1164:AY1166)</f>
        <v>0</v>
      </c>
      <c r="AZ42" s="10">
        <f ca="1">SUM(Расчеты!AZ1164:AZ1166)</f>
        <v>0</v>
      </c>
      <c r="BA42" s="10">
        <f ca="1">SUM(Расчеты!BA1164:BA1166)</f>
        <v>0</v>
      </c>
      <c r="BB42" s="10">
        <f ca="1">SUM(Расчеты!BB1164:BB1166)</f>
        <v>0</v>
      </c>
      <c r="BC42" s="10">
        <f ca="1">SUM(Расчеты!BC1164:BC1166)</f>
        <v>0</v>
      </c>
      <c r="BD42" s="10">
        <f ca="1">SUM(Расчеты!BD1164:BD1166)</f>
        <v>0</v>
      </c>
      <c r="BE42" s="10">
        <f ca="1">SUM(Расчеты!BE1164:BE1166)</f>
        <v>0</v>
      </c>
      <c r="BF42" s="10">
        <f ca="1">SUM(Расчеты!BF1164:BF1166)</f>
        <v>0</v>
      </c>
      <c r="BG42" s="10">
        <f ca="1">SUM(Расчеты!BG1164:BG1166)</f>
        <v>0</v>
      </c>
      <c r="BH42" s="10">
        <f ca="1">SUM(Расчеты!BH1164:BH1166)</f>
        <v>0</v>
      </c>
      <c r="BI42" s="10">
        <f ca="1">SUM(Расчеты!BI1164:BI1166)</f>
        <v>0</v>
      </c>
      <c r="BJ42" s="10">
        <f ca="1">SUM(Расчеты!BJ1164:BJ1166)</f>
        <v>0</v>
      </c>
      <c r="BK42" s="10">
        <f ca="1">SUM(Расчеты!BK1164:BK1166)</f>
        <v>0</v>
      </c>
      <c r="BL42" s="10">
        <f ca="1">SUM(Расчеты!BL1164:BL1166)</f>
        <v>0</v>
      </c>
      <c r="BM42" s="10">
        <f ca="1">SUM(Расчеты!BM1164:BM1166)</f>
        <v>0</v>
      </c>
      <c r="BN42" s="10">
        <f ca="1">SUM(Расчеты!BN1164:BN1166)</f>
        <v>0</v>
      </c>
      <c r="BO42" s="10">
        <f ca="1">SUM(Расчеты!BO1164:BO1166)</f>
        <v>0</v>
      </c>
      <c r="BP42" s="10">
        <f ca="1">SUM(Расчеты!BP1164:BP1166)</f>
        <v>0</v>
      </c>
      <c r="BQ42" s="10">
        <f ca="1">SUM(Расчеты!BQ1164:BQ1166)</f>
        <v>0</v>
      </c>
      <c r="BR42" s="10">
        <f ca="1">SUM(Расчеты!BR1164:BR1166)</f>
        <v>0</v>
      </c>
      <c r="BS42" s="10">
        <f ca="1">SUM(Расчеты!BS1164:BS1166)</f>
        <v>0</v>
      </c>
      <c r="BT42" s="10">
        <f ca="1">SUM(Расчеты!BT1164:BT1166)</f>
        <v>0</v>
      </c>
      <c r="BU42" s="10">
        <f ca="1">SUM(Расчеты!BU1164:BU1166)</f>
        <v>0</v>
      </c>
      <c r="BV42" s="10">
        <f ca="1">SUM(Расчеты!BV1164:BV1166)</f>
        <v>0</v>
      </c>
      <c r="BW42" s="10">
        <f ca="1">SUM(Расчеты!BW1164:BW1166)</f>
        <v>0</v>
      </c>
      <c r="BX42" s="10">
        <f ca="1">SUM(Расчеты!BX1164:BX1166)</f>
        <v>0</v>
      </c>
      <c r="BY42" s="10">
        <f ca="1">SUM(Расчеты!BY1164:BY1166)</f>
        <v>0</v>
      </c>
      <c r="BZ42" s="10">
        <f ca="1">SUM(Расчеты!BZ1164:BZ1166)</f>
        <v>0</v>
      </c>
      <c r="CA42" s="10">
        <f ca="1">SUM(Расчеты!CA1164:CA1166)</f>
        <v>0</v>
      </c>
      <c r="CB42" s="10">
        <f ca="1">SUM(Расчеты!CB1164:CB1166)</f>
        <v>0</v>
      </c>
      <c r="CC42" s="10">
        <f ca="1">SUM(Расчеты!CC1164:CC1166)</f>
        <v>0</v>
      </c>
      <c r="CD42" s="10">
        <f ca="1">SUM(Расчеты!CD1164:CD1166)</f>
        <v>0</v>
      </c>
      <c r="CE42" s="10">
        <f ca="1">SUM(Расчеты!CE1164:CE1166)</f>
        <v>0</v>
      </c>
      <c r="CF42" s="10">
        <f ca="1">SUM(Расчеты!CF1164:CF1166)</f>
        <v>0</v>
      </c>
      <c r="CG42" s="10">
        <f ca="1">SUM(Расчеты!CG1164:CG1166)</f>
        <v>0</v>
      </c>
      <c r="CH42" s="10">
        <f ca="1">SUM(Расчеты!CH1164:CH1166)</f>
        <v>0</v>
      </c>
      <c r="CI42" s="10">
        <f ca="1">SUM(Расчеты!CI1164:CI1166)</f>
        <v>0</v>
      </c>
      <c r="CJ42" s="10">
        <f ca="1">SUM(Расчеты!CJ1164:CJ1166)</f>
        <v>0</v>
      </c>
      <c r="CK42" s="10">
        <f ca="1">SUM(Расчеты!CK1164:CK1166)</f>
        <v>0</v>
      </c>
      <c r="CL42" s="10">
        <f ca="1">SUM(Расчеты!CL1164:CL1166)</f>
        <v>0</v>
      </c>
      <c r="CM42" s="10">
        <f ca="1">SUM(Расчеты!CM1164:CM1166)</f>
        <v>0</v>
      </c>
      <c r="CN42" s="10">
        <f ca="1">SUM(Расчеты!CN1164:CN1166)</f>
        <v>0</v>
      </c>
      <c r="CO42" s="10">
        <f ca="1">SUM(Расчеты!CO1164:CO1166)</f>
        <v>0</v>
      </c>
    </row>
    <row r="43" spans="1:93" ht="15" customHeight="1">
      <c r="A43" s="47"/>
      <c r="B43" s="47"/>
      <c r="C43" s="156" t="s">
        <v>951</v>
      </c>
      <c r="D43" s="47"/>
      <c r="E43" s="47"/>
      <c r="F43" s="47"/>
      <c r="G43" s="11" t="str">
        <f>Monetary_Unit</f>
        <v>тыс. руб.</v>
      </c>
      <c r="H43" s="47"/>
      <c r="I43" s="23">
        <f ca="1">SUM(L43:CO43)</f>
        <v>0</v>
      </c>
      <c r="J43" s="47"/>
      <c r="K43" s="47"/>
      <c r="L43" s="450">
        <f>MIN(SUM($L42:L42)*$I$13-SUM($K43:K43),L42-SUM(Расчеты!L1165:L1166))</f>
        <v>0</v>
      </c>
      <c r="M43" s="450">
        <f ca="1">MIN(SUM($L42:M42)*$I$13-SUM($K43:L43),M42-SUM(Расчеты!M1165:M1166))</f>
        <v>0</v>
      </c>
      <c r="N43" s="450">
        <f ca="1">MIN(SUM($L42:N42)*$I$13-SUM($K43:M43),N42-SUM(Расчеты!N1165:N1166))</f>
        <v>0</v>
      </c>
      <c r="O43" s="450">
        <f ca="1">MIN(SUM($L42:O42)*$I$13-SUM($K43:N43),O42-SUM(Расчеты!O1165:O1166))</f>
        <v>0</v>
      </c>
      <c r="P43" s="450">
        <f ca="1">MIN(SUM($L42:P42)*$I$13-SUM($K43:O43),P42-SUM(Расчеты!P1165:P1166))</f>
        <v>0</v>
      </c>
      <c r="Q43" s="450">
        <f ca="1">MIN(SUM($L42:Q42)*$I$13-SUM($K43:P43),Q42-SUM(Расчеты!Q1165:Q1166))</f>
        <v>0</v>
      </c>
      <c r="R43" s="450">
        <f ca="1">MIN(SUM($L42:R42)*$I$13-SUM($K43:Q43),R42-SUM(Расчеты!R1165:R1166))</f>
        <v>0</v>
      </c>
      <c r="S43" s="450">
        <f ca="1">MIN(SUM($L42:S42)*$I$13-SUM($K43:R43),S42-SUM(Расчеты!S1165:S1166))</f>
        <v>0</v>
      </c>
      <c r="T43" s="450">
        <f ca="1">MIN(SUM($L42:T42)*$I$13-SUM($K43:S43),T42-SUM(Расчеты!T1165:T1166))</f>
        <v>0</v>
      </c>
      <c r="U43" s="450">
        <f ca="1">MIN(SUM($L42:U42)*$I$13-SUM($K43:T43),U42-SUM(Расчеты!U1165:U1166))</f>
        <v>0</v>
      </c>
      <c r="V43" s="450">
        <f ca="1">MIN(SUM($L42:V42)*$I$13-SUM($K43:U43),V42-SUM(Расчеты!V1165:V1166))</f>
        <v>0</v>
      </c>
      <c r="W43" s="450">
        <f ca="1">MIN(SUM($L42:W42)*$I$13-SUM($K43:V43),W42-SUM(Расчеты!W1165:W1166))</f>
        <v>0</v>
      </c>
      <c r="X43" s="450">
        <f ca="1">MIN(SUM($L42:X42)*$I$13-SUM($K43:W43),X42-SUM(Расчеты!X1165:X1166))</f>
        <v>0</v>
      </c>
      <c r="Y43" s="450">
        <f ca="1">MIN(SUM($L42:Y42)*$I$13-SUM($K43:X43),Y42-SUM(Расчеты!Y1165:Y1166))</f>
        <v>0</v>
      </c>
      <c r="Z43" s="450">
        <f ca="1">MIN(SUM($L42:Z42)*$I$13-SUM($K43:Y43),Z42-SUM(Расчеты!Z1165:Z1166))</f>
        <v>0</v>
      </c>
      <c r="AA43" s="450">
        <f ca="1">MIN(SUM($L42:AA42)*$I$13-SUM($K43:Z43),AA42-SUM(Расчеты!AA1165:AA1166))</f>
        <v>0</v>
      </c>
      <c r="AB43" s="450">
        <f ca="1">MIN(SUM($L42:AB42)*$I$13-SUM($K43:AA43),AB42-SUM(Расчеты!AB1165:AB1166))</f>
        <v>0</v>
      </c>
      <c r="AC43" s="450">
        <f ca="1">MIN(SUM($L42:AC42)*$I$13-SUM($K43:AB43),AC42-SUM(Расчеты!AC1165:AC1166))</f>
        <v>0</v>
      </c>
      <c r="AD43" s="450">
        <f ca="1">MIN(SUM($L42:AD42)*$I$13-SUM($K43:AC43),AD42-SUM(Расчеты!AD1165:AD1166))</f>
        <v>0</v>
      </c>
      <c r="AE43" s="450">
        <f ca="1">MIN(SUM($L42:AE42)*$I$13-SUM($K43:AD43),AE42-SUM(Расчеты!AE1165:AE1166))</f>
        <v>0</v>
      </c>
      <c r="AF43" s="450">
        <f ca="1">MIN(SUM($L42:AF42)*$I$13-SUM($K43:AE43),AF42-SUM(Расчеты!AF1165:AF1166))</f>
        <v>0</v>
      </c>
      <c r="AG43" s="450">
        <f ca="1">MIN(SUM($L42:AG42)*$I$13-SUM($K43:AF43),AG42-SUM(Расчеты!AG1165:AG1166))</f>
        <v>0</v>
      </c>
      <c r="AH43" s="450">
        <f ca="1">MIN(SUM($L42:AH42)*$I$13-SUM($K43:AG43),AH42-SUM(Расчеты!AH1165:AH1166))</f>
        <v>0</v>
      </c>
      <c r="AI43" s="450">
        <f ca="1">MIN(SUM($L42:AI42)*$I$13-SUM($K43:AH43),AI42-SUM(Расчеты!AI1165:AI1166))</f>
        <v>0</v>
      </c>
      <c r="AJ43" s="450">
        <f ca="1">MIN(SUM($L42:AJ42)*$I$13-SUM($K43:AI43),AJ42-SUM(Расчеты!AJ1165:AJ1166))</f>
        <v>0</v>
      </c>
      <c r="AK43" s="450">
        <f ca="1">MIN(SUM($L42:AK42)*$I$13-SUM($K43:AJ43),AK42-SUM(Расчеты!AK1165:AK1166))</f>
        <v>0</v>
      </c>
      <c r="AL43" s="450">
        <f ca="1">MIN(SUM($L42:AL42)*$I$13-SUM($K43:AK43),AL42-SUM(Расчеты!AL1165:AL1166))</f>
        <v>0</v>
      </c>
      <c r="AM43" s="450">
        <f ca="1">MIN(SUM($L42:AM42)*$I$13-SUM($K43:AL43),AM42-SUM(Расчеты!AM1165:AM1166))</f>
        <v>0</v>
      </c>
      <c r="AN43" s="450">
        <f ca="1">MIN(SUM($L42:AN42)*$I$13-SUM($K43:AM43),AN42-SUM(Расчеты!AN1165:AN1166))</f>
        <v>0</v>
      </c>
      <c r="AO43" s="450">
        <f ca="1">MIN(SUM($L42:AO42)*$I$13-SUM($K43:AN43),AO42-SUM(Расчеты!AO1165:AO1166))</f>
        <v>0</v>
      </c>
      <c r="AP43" s="450">
        <f ca="1">MIN(SUM($L42:AP42)*$I$13-SUM($K43:AO43),AP42-SUM(Расчеты!AP1165:AP1166))</f>
        <v>0</v>
      </c>
      <c r="AQ43" s="450">
        <f ca="1">MIN(SUM($L42:AQ42)*$I$13-SUM($K43:AP43),AQ42-SUM(Расчеты!AQ1165:AQ1166))</f>
        <v>0</v>
      </c>
      <c r="AR43" s="450">
        <f ca="1">MIN(SUM($L42:AR42)*$I$13-SUM($K43:AQ43),AR42-SUM(Расчеты!AR1165:AR1166))</f>
        <v>0</v>
      </c>
      <c r="AS43" s="450">
        <f ca="1">MIN(SUM($L42:AS42)*$I$13-SUM($K43:AR43),AS42-SUM(Расчеты!AS1165:AS1166))</f>
        <v>0</v>
      </c>
      <c r="AT43" s="450">
        <f ca="1">MIN(SUM($L42:AT42)*$I$13-SUM($K43:AS43),AT42-SUM(Расчеты!AT1165:AT1166))</f>
        <v>0</v>
      </c>
      <c r="AU43" s="450">
        <f ca="1">MIN(SUM($L42:AU42)*$I$13-SUM($K43:AT43),AU42-SUM(Расчеты!AU1165:AU1166))</f>
        <v>0</v>
      </c>
      <c r="AV43" s="450">
        <f ca="1">MIN(SUM($L42:AV42)*$I$13-SUM($K43:AU43),AV42-SUM(Расчеты!AV1165:AV1166))</f>
        <v>0</v>
      </c>
      <c r="AW43" s="450">
        <f ca="1">MIN(SUM($L42:AW42)*$I$13-SUM($K43:AV43),AW42-SUM(Расчеты!AW1165:AW1166))</f>
        <v>0</v>
      </c>
      <c r="AX43" s="450">
        <f ca="1">MIN(SUM($L42:AX42)*$I$13-SUM($K43:AW43),AX42-SUM(Расчеты!AX1165:AX1166))</f>
        <v>0</v>
      </c>
      <c r="AY43" s="450">
        <f ca="1">MIN(SUM($L42:AY42)*$I$13-SUM($K43:AX43),AY42-SUM(Расчеты!AY1165:AY1166))</f>
        <v>0</v>
      </c>
      <c r="AZ43" s="450">
        <f ca="1">MIN(SUM($L42:AZ42)*$I$13-SUM($K43:AY43),AZ42-SUM(Расчеты!AZ1165:AZ1166))</f>
        <v>0</v>
      </c>
      <c r="BA43" s="450">
        <f ca="1">MIN(SUM($L42:BA42)*$I$13-SUM($K43:AZ43),BA42-SUM(Расчеты!BA1165:BA1166))</f>
        <v>0</v>
      </c>
      <c r="BB43" s="450">
        <f ca="1">MIN(SUM($L42:BB42)*$I$13-SUM($K43:BA43),BB42-SUM(Расчеты!BB1165:BB1166))</f>
        <v>0</v>
      </c>
      <c r="BC43" s="450">
        <f ca="1">MIN(SUM($L42:BC42)*$I$13-SUM($K43:BB43),BC42-SUM(Расчеты!BC1165:BC1166))</f>
        <v>0</v>
      </c>
      <c r="BD43" s="450">
        <f ca="1">MIN(SUM($L42:BD42)*$I$13-SUM($K43:BC43),BD42-SUM(Расчеты!BD1165:BD1166))</f>
        <v>0</v>
      </c>
      <c r="BE43" s="450">
        <f ca="1">MIN(SUM($L42:BE42)*$I$13-SUM($K43:BD43),BE42-SUM(Расчеты!BE1165:BE1166))</f>
        <v>0</v>
      </c>
      <c r="BF43" s="450">
        <f ca="1">MIN(SUM($L42:BF42)*$I$13-SUM($K43:BE43),BF42-SUM(Расчеты!BF1165:BF1166))</f>
        <v>0</v>
      </c>
      <c r="BG43" s="450">
        <f ca="1">MIN(SUM($L42:BG42)*$I$13-SUM($K43:BF43),BG42-SUM(Расчеты!BG1165:BG1166))</f>
        <v>0</v>
      </c>
      <c r="BH43" s="450">
        <f ca="1">MIN(SUM($L42:BH42)*$I$13-SUM($K43:BG43),BH42-SUM(Расчеты!BH1165:BH1166))</f>
        <v>0</v>
      </c>
      <c r="BI43" s="450">
        <f ca="1">MIN(SUM($L42:BI42)*$I$13-SUM($K43:BH43),BI42-SUM(Расчеты!BI1165:BI1166))</f>
        <v>0</v>
      </c>
      <c r="BJ43" s="450">
        <f ca="1">MIN(SUM($L42:BJ42)*$I$13-SUM($K43:BI43),BJ42-SUM(Расчеты!BJ1165:BJ1166))</f>
        <v>0</v>
      </c>
      <c r="BK43" s="450">
        <f ca="1">MIN(SUM($L42:BK42)*$I$13-SUM($K43:BJ43),BK42-SUM(Расчеты!BK1165:BK1166))</f>
        <v>0</v>
      </c>
      <c r="BL43" s="450">
        <f ca="1">MIN(SUM($L42:BL42)*$I$13-SUM($K43:BK43),BL42-SUM(Расчеты!BL1165:BL1166))</f>
        <v>0</v>
      </c>
      <c r="BM43" s="450">
        <f ca="1">MIN(SUM($L42:BM42)*$I$13-SUM($K43:BL43),BM42-SUM(Расчеты!BM1165:BM1166))</f>
        <v>0</v>
      </c>
      <c r="BN43" s="450">
        <f ca="1">MIN(SUM($L42:BN42)*$I$13-SUM($K43:BM43),BN42-SUM(Расчеты!BN1165:BN1166))</f>
        <v>0</v>
      </c>
      <c r="BO43" s="450">
        <f ca="1">MIN(SUM($L42:BO42)*$I$13-SUM($K43:BN43),BO42-SUM(Расчеты!BO1165:BO1166))</f>
        <v>0</v>
      </c>
      <c r="BP43" s="450">
        <f ca="1">MIN(SUM($L42:BP42)*$I$13-SUM($K43:BO43),BP42-SUM(Расчеты!BP1165:BP1166))</f>
        <v>0</v>
      </c>
      <c r="BQ43" s="450">
        <f ca="1">MIN(SUM($L42:BQ42)*$I$13-SUM($K43:BP43),BQ42-SUM(Расчеты!BQ1165:BQ1166))</f>
        <v>0</v>
      </c>
      <c r="BR43" s="450">
        <f ca="1">MIN(SUM($L42:BR42)*$I$13-SUM($K43:BQ43),BR42-SUM(Расчеты!BR1165:BR1166))</f>
        <v>0</v>
      </c>
      <c r="BS43" s="450">
        <f ca="1">MIN(SUM($L42:BS42)*$I$13-SUM($K43:BR43),BS42-SUM(Расчеты!BS1165:BS1166))</f>
        <v>0</v>
      </c>
      <c r="BT43" s="450">
        <f ca="1">MIN(SUM($L42:BT42)*$I$13-SUM($K43:BS43),BT42-SUM(Расчеты!BT1165:BT1166))</f>
        <v>0</v>
      </c>
      <c r="BU43" s="450">
        <f ca="1">MIN(SUM($L42:BU42)*$I$13-SUM($K43:BT43),BU42-SUM(Расчеты!BU1165:BU1166))</f>
        <v>0</v>
      </c>
      <c r="BV43" s="450">
        <f ca="1">MIN(SUM($L42:BV42)*$I$13-SUM($K43:BU43),BV42-SUM(Расчеты!BV1165:BV1166))</f>
        <v>0</v>
      </c>
      <c r="BW43" s="450">
        <f ca="1">MIN(SUM($L42:BW42)*$I$13-SUM($K43:BV43),BW42-SUM(Расчеты!BW1165:BW1166))</f>
        <v>0</v>
      </c>
      <c r="BX43" s="450">
        <f ca="1">MIN(SUM($L42:BX42)*$I$13-SUM($K43:BW43),BX42-SUM(Расчеты!BX1165:BX1166))</f>
        <v>0</v>
      </c>
      <c r="BY43" s="450">
        <f ca="1">MIN(SUM($L42:BY42)*$I$13-SUM($K43:BX43),BY42-SUM(Расчеты!BY1165:BY1166))</f>
        <v>0</v>
      </c>
      <c r="BZ43" s="450">
        <f ca="1">MIN(SUM($L42:BZ42)*$I$13-SUM($K43:BY43),BZ42-SUM(Расчеты!BZ1165:BZ1166))</f>
        <v>0</v>
      </c>
      <c r="CA43" s="450">
        <f ca="1">MIN(SUM($L42:CA42)*$I$13-SUM($K43:BZ43),CA42-SUM(Расчеты!CA1165:CA1166))</f>
        <v>0</v>
      </c>
      <c r="CB43" s="450">
        <f ca="1">MIN(SUM($L42:CB42)*$I$13-SUM($K43:CA43),CB42-SUM(Расчеты!CB1165:CB1166))</f>
        <v>0</v>
      </c>
      <c r="CC43" s="450">
        <f ca="1">MIN(SUM($L42:CC42)*$I$13-SUM($K43:CB43),CC42-SUM(Расчеты!CC1165:CC1166))</f>
        <v>0</v>
      </c>
      <c r="CD43" s="450">
        <f ca="1">MIN(SUM($L42:CD42)*$I$13-SUM($K43:CC43),CD42-SUM(Расчеты!CD1165:CD1166))</f>
        <v>0</v>
      </c>
      <c r="CE43" s="450">
        <f ca="1">MIN(SUM($L42:CE42)*$I$13-SUM($K43:CD43),CE42-SUM(Расчеты!CE1165:CE1166))</f>
        <v>0</v>
      </c>
      <c r="CF43" s="450">
        <f ca="1">MIN(SUM($L42:CF42)*$I$13-SUM($K43:CE43),CF42-SUM(Расчеты!CF1165:CF1166))</f>
        <v>0</v>
      </c>
      <c r="CG43" s="450">
        <f ca="1">MIN(SUM($L42:CG42)*$I$13-SUM($K43:CF43),CG42-SUM(Расчеты!CG1165:CG1166))</f>
        <v>0</v>
      </c>
      <c r="CH43" s="450">
        <f ca="1">MIN(SUM($L42:CH42)*$I$13-SUM($K43:CG43),CH42-SUM(Расчеты!CH1165:CH1166))</f>
        <v>0</v>
      </c>
      <c r="CI43" s="450">
        <f ca="1">MIN(SUM($L42:CI42)*$I$13-SUM($K43:CH43),CI42-SUM(Расчеты!CI1165:CI1166))</f>
        <v>0</v>
      </c>
      <c r="CJ43" s="450">
        <f ca="1">MIN(SUM($L42:CJ42)*$I$13-SUM($K43:CI43),CJ42-SUM(Расчеты!CJ1165:CJ1166))</f>
        <v>0</v>
      </c>
      <c r="CK43" s="450">
        <f ca="1">MIN(SUM($L42:CK42)*$I$13-SUM($K43:CJ43),CK42-SUM(Расчеты!CK1165:CK1166))</f>
        <v>0</v>
      </c>
      <c r="CL43" s="450">
        <f ca="1">MIN(SUM($L42:CL42)*$I$13-SUM($K43:CK43),CL42-SUM(Расчеты!CL1165:CL1166))</f>
        <v>0</v>
      </c>
      <c r="CM43" s="450">
        <f ca="1">MIN(SUM($L42:CM42)*$I$13-SUM($K43:CL43),CM42-SUM(Расчеты!CM1165:CM1166))</f>
        <v>0</v>
      </c>
      <c r="CN43" s="450">
        <f ca="1">MIN(SUM($L42:CN42)*$I$13-SUM($K43:CM43),CN42-SUM(Расчеты!CN1165:CN1166))</f>
        <v>0</v>
      </c>
      <c r="CO43" s="450">
        <f ca="1">MIN(SUM($L42:CO42)*$I$13-SUM($K43:CN43),CO42-SUM(Расчеты!CO1165:CO1166))</f>
        <v>0</v>
      </c>
    </row>
    <row r="44" spans="1:93" ht="15" customHeight="1">
      <c r="A44" s="47"/>
      <c r="B44" s="47"/>
      <c r="C44" s="156"/>
      <c r="D44" s="47"/>
      <c r="E44" s="417"/>
      <c r="F44" s="47"/>
      <c r="G44" s="319"/>
      <c r="H44" s="47"/>
      <c r="I44" s="47"/>
      <c r="J44" s="47"/>
      <c r="K44" s="47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</row>
    <row r="45" spans="1:93" ht="15" customHeight="1">
      <c r="A45" s="47"/>
      <c r="B45" s="47"/>
      <c r="C45" s="156" t="s">
        <v>932</v>
      </c>
      <c r="D45" s="47"/>
      <c r="E45" s="47"/>
      <c r="F45" s="47"/>
      <c r="G45" s="11" t="str">
        <f>Monetary_Unit</f>
        <v>тыс. руб.</v>
      </c>
      <c r="H45" s="47"/>
      <c r="I45" s="23">
        <f ca="1">SUM(L45:CO45)</f>
        <v>969315.88586949522</v>
      </c>
      <c r="J45" s="47"/>
      <c r="K45" s="47"/>
      <c r="L45" s="10">
        <f ca="1" xml:space="preserve"> Отчетность!L31 * L$54</f>
        <v>0</v>
      </c>
      <c r="M45" s="10">
        <f ca="1" xml:space="preserve"> Отчетность!M31 * M$54</f>
        <v>0</v>
      </c>
      <c r="N45" s="10">
        <f ca="1" xml:space="preserve"> Отчетность!N31 * N$54</f>
        <v>0</v>
      </c>
      <c r="O45" s="10">
        <f ca="1" xml:space="preserve"> Отчетность!O31 * O$54</f>
        <v>0</v>
      </c>
      <c r="P45" s="10">
        <f ca="1" xml:space="preserve"> Отчетность!P31 * P$54</f>
        <v>0</v>
      </c>
      <c r="Q45" s="10">
        <f ca="1" xml:space="preserve"> Отчетность!Q31 * Q$54</f>
        <v>0</v>
      </c>
      <c r="R45" s="10">
        <f ca="1" xml:space="preserve"> Отчетность!R31 * R$54</f>
        <v>0</v>
      </c>
      <c r="S45" s="10">
        <f ca="1" xml:space="preserve"> Отчетность!S31 * S$54</f>
        <v>0</v>
      </c>
      <c r="T45" s="10">
        <f ca="1" xml:space="preserve"> Отчетность!T31 * T$54</f>
        <v>0</v>
      </c>
      <c r="U45" s="10">
        <f ca="1" xml:space="preserve"> Отчетность!U31 * U$54</f>
        <v>0</v>
      </c>
      <c r="V45" s="10">
        <f ca="1" xml:space="preserve"> Отчетность!V31 * V$54</f>
        <v>0</v>
      </c>
      <c r="W45" s="10">
        <f ca="1" xml:space="preserve"> Отчетность!W31 * W$54</f>
        <v>0</v>
      </c>
      <c r="X45" s="10">
        <f ca="1" xml:space="preserve"> Отчетность!X31 * X$54</f>
        <v>0</v>
      </c>
      <c r="Y45" s="10">
        <f ca="1" xml:space="preserve"> Отчетность!Y31 * Y$54</f>
        <v>0</v>
      </c>
      <c r="Z45" s="10">
        <f ca="1" xml:space="preserve"> Отчетность!Z31 * Z$54</f>
        <v>0</v>
      </c>
      <c r="AA45" s="10">
        <f ca="1" xml:space="preserve"> Отчетность!AA31 * AA$54</f>
        <v>0</v>
      </c>
      <c r="AB45" s="10">
        <f ca="1" xml:space="preserve"> Отчетность!AB31 * AB$54</f>
        <v>0</v>
      </c>
      <c r="AC45" s="10">
        <f ca="1" xml:space="preserve"> Отчетность!AC31 * AC$54</f>
        <v>0</v>
      </c>
      <c r="AD45" s="10">
        <f ca="1" xml:space="preserve"> Отчетность!AD31 * AD$54</f>
        <v>0</v>
      </c>
      <c r="AE45" s="10">
        <f ca="1" xml:space="preserve"> Отчетность!AE31 * AE$54</f>
        <v>0</v>
      </c>
      <c r="AF45" s="10">
        <f ca="1" xml:space="preserve"> Отчетность!AF31 * AF$54</f>
        <v>0</v>
      </c>
      <c r="AG45" s="10">
        <f ca="1" xml:space="preserve"> Отчетность!AG31 * AG$54</f>
        <v>0</v>
      </c>
      <c r="AH45" s="10">
        <f ca="1" xml:space="preserve"> Отчетность!AH31 * AH$54</f>
        <v>0</v>
      </c>
      <c r="AI45" s="10">
        <f ca="1" xml:space="preserve"> Отчетность!AI31 * AI$54</f>
        <v>0</v>
      </c>
      <c r="AJ45" s="10">
        <f ca="1" xml:space="preserve"> Отчетность!AJ31 * AJ$54</f>
        <v>0</v>
      </c>
      <c r="AK45" s="10">
        <f ca="1" xml:space="preserve"> Отчетность!AK31 * AK$54</f>
        <v>0</v>
      </c>
      <c r="AL45" s="10">
        <f ca="1" xml:space="preserve"> Отчетность!AL31 * AL$54</f>
        <v>0</v>
      </c>
      <c r="AM45" s="10">
        <f ca="1" xml:space="preserve"> Отчетность!AM31 * AM$54</f>
        <v>0</v>
      </c>
      <c r="AN45" s="10">
        <f ca="1" xml:space="preserve"> Отчетность!AN31 * AN$54</f>
        <v>969315.88586949522</v>
      </c>
      <c r="AO45" s="10">
        <f ca="1" xml:space="preserve"> Отчетность!AO31 * AO$54</f>
        <v>0</v>
      </c>
      <c r="AP45" s="10">
        <f ca="1" xml:space="preserve"> Отчетность!AP31 * AP$54</f>
        <v>0</v>
      </c>
      <c r="AQ45" s="10">
        <f ca="1" xml:space="preserve"> Отчетность!AQ31 * AQ$54</f>
        <v>0</v>
      </c>
      <c r="AR45" s="10">
        <f ca="1" xml:space="preserve"> Отчетность!AR31 * AR$54</f>
        <v>0</v>
      </c>
      <c r="AS45" s="10">
        <f ca="1" xml:space="preserve"> Отчетность!AS31 * AS$54</f>
        <v>0</v>
      </c>
      <c r="AT45" s="10">
        <f ca="1" xml:space="preserve"> Отчетность!AT31 * AT$54</f>
        <v>0</v>
      </c>
      <c r="AU45" s="10">
        <f ca="1" xml:space="preserve"> Отчетность!AU31 * AU$54</f>
        <v>0</v>
      </c>
      <c r="AV45" s="10">
        <f ca="1" xml:space="preserve"> Отчетность!AV31 * AV$54</f>
        <v>0</v>
      </c>
      <c r="AW45" s="10">
        <f ca="1" xml:space="preserve"> Отчетность!AW31 * AW$54</f>
        <v>0</v>
      </c>
      <c r="AX45" s="10">
        <f ca="1" xml:space="preserve"> Отчетность!AX31 * AX$54</f>
        <v>0</v>
      </c>
      <c r="AY45" s="10">
        <f ca="1" xml:space="preserve"> Отчетность!AY31 * AY$54</f>
        <v>0</v>
      </c>
      <c r="AZ45" s="10">
        <f ca="1" xml:space="preserve"> Отчетность!AZ31 * AZ$54</f>
        <v>0</v>
      </c>
      <c r="BA45" s="10">
        <f ca="1" xml:space="preserve"> Отчетность!BA31 * BA$54</f>
        <v>0</v>
      </c>
      <c r="BB45" s="10">
        <f ca="1" xml:space="preserve"> Отчетность!BB31 * BB$54</f>
        <v>0</v>
      </c>
      <c r="BC45" s="10">
        <f ca="1" xml:space="preserve"> Отчетность!BC31 * BC$54</f>
        <v>0</v>
      </c>
      <c r="BD45" s="10">
        <f ca="1" xml:space="preserve"> Отчетность!BD31 * BD$54</f>
        <v>0</v>
      </c>
      <c r="BE45" s="10">
        <f ca="1" xml:space="preserve"> Отчетность!BE31 * BE$54</f>
        <v>0</v>
      </c>
      <c r="BF45" s="10">
        <f ca="1" xml:space="preserve"> Отчетность!BF31 * BF$54</f>
        <v>0</v>
      </c>
      <c r="BG45" s="10">
        <f ca="1" xml:space="preserve"> Отчетность!BG31 * BG$54</f>
        <v>0</v>
      </c>
      <c r="BH45" s="10">
        <f ca="1" xml:space="preserve"> Отчетность!BH31 * BH$54</f>
        <v>0</v>
      </c>
      <c r="BI45" s="10">
        <f ca="1" xml:space="preserve"> Отчетность!BI31 * BI$54</f>
        <v>0</v>
      </c>
      <c r="BJ45" s="10">
        <f ca="1" xml:space="preserve"> Отчетность!BJ31 * BJ$54</f>
        <v>0</v>
      </c>
      <c r="BK45" s="10">
        <f ca="1" xml:space="preserve"> Отчетность!BK31 * BK$54</f>
        <v>0</v>
      </c>
      <c r="BL45" s="10">
        <f ca="1" xml:space="preserve"> Отчетность!BL31 * BL$54</f>
        <v>0</v>
      </c>
      <c r="BM45" s="10">
        <f ca="1" xml:space="preserve"> Отчетность!BM31 * BM$54</f>
        <v>0</v>
      </c>
      <c r="BN45" s="10">
        <f ca="1" xml:space="preserve"> Отчетность!BN31 * BN$54</f>
        <v>0</v>
      </c>
      <c r="BO45" s="10">
        <f ca="1" xml:space="preserve"> Отчетность!BO31 * BO$54</f>
        <v>0</v>
      </c>
      <c r="BP45" s="10">
        <f ca="1" xml:space="preserve"> Отчетность!BP31 * BP$54</f>
        <v>0</v>
      </c>
      <c r="BQ45" s="10">
        <f ca="1" xml:space="preserve"> Отчетность!BQ31 * BQ$54</f>
        <v>0</v>
      </c>
      <c r="BR45" s="10">
        <f ca="1" xml:space="preserve"> Отчетность!BR31 * BR$54</f>
        <v>0</v>
      </c>
      <c r="BS45" s="10">
        <f ca="1" xml:space="preserve"> Отчетность!BS31 * BS$54</f>
        <v>0</v>
      </c>
      <c r="BT45" s="10">
        <f ca="1" xml:space="preserve"> Отчетность!BT31 * BT$54</f>
        <v>0</v>
      </c>
      <c r="BU45" s="10">
        <f ca="1" xml:space="preserve"> Отчетность!BU31 * BU$54</f>
        <v>0</v>
      </c>
      <c r="BV45" s="10">
        <f ca="1" xml:space="preserve"> Отчетность!BV31 * BV$54</f>
        <v>0</v>
      </c>
      <c r="BW45" s="10">
        <f ca="1" xml:space="preserve"> Отчетность!BW31 * BW$54</f>
        <v>0</v>
      </c>
      <c r="BX45" s="10">
        <f ca="1" xml:space="preserve"> Отчетность!BX31 * BX$54</f>
        <v>0</v>
      </c>
      <c r="BY45" s="10">
        <f ca="1" xml:space="preserve"> Отчетность!BY31 * BY$54</f>
        <v>0</v>
      </c>
      <c r="BZ45" s="10">
        <f ca="1" xml:space="preserve"> Отчетность!BZ31 * BZ$54</f>
        <v>0</v>
      </c>
      <c r="CA45" s="10">
        <f ca="1" xml:space="preserve"> Отчетность!CA31 * CA$54</f>
        <v>0</v>
      </c>
      <c r="CB45" s="10">
        <f ca="1" xml:space="preserve"> Отчетность!CB31 * CB$54</f>
        <v>0</v>
      </c>
      <c r="CC45" s="10">
        <f ca="1" xml:space="preserve"> Отчетность!CC31 * CC$54</f>
        <v>0</v>
      </c>
      <c r="CD45" s="10">
        <f ca="1" xml:space="preserve"> Отчетность!CD31 * CD$54</f>
        <v>0</v>
      </c>
      <c r="CE45" s="10">
        <f ca="1" xml:space="preserve"> Отчетность!CE31 * CE$54</f>
        <v>0</v>
      </c>
      <c r="CF45" s="10">
        <f ca="1" xml:space="preserve"> Отчетность!CF31 * CF$54</f>
        <v>0</v>
      </c>
      <c r="CG45" s="10">
        <f ca="1" xml:space="preserve"> Отчетность!CG31 * CG$54</f>
        <v>0</v>
      </c>
      <c r="CH45" s="10">
        <f ca="1" xml:space="preserve"> Отчетность!CH31 * CH$54</f>
        <v>0</v>
      </c>
      <c r="CI45" s="10">
        <f ca="1" xml:space="preserve"> Отчетность!CI31 * CI$54</f>
        <v>0</v>
      </c>
      <c r="CJ45" s="10">
        <f ca="1" xml:space="preserve"> Отчетность!CJ31 * CJ$54</f>
        <v>0</v>
      </c>
      <c r="CK45" s="10">
        <f ca="1" xml:space="preserve"> Отчетность!CK31 * CK$54</f>
        <v>0</v>
      </c>
      <c r="CL45" s="10">
        <f ca="1" xml:space="preserve"> Отчетность!CL31 * CL$54</f>
        <v>0</v>
      </c>
      <c r="CM45" s="10">
        <f ca="1" xml:space="preserve"> Отчетность!CM31 * CM$54</f>
        <v>0</v>
      </c>
      <c r="CN45" s="10">
        <f ca="1" xml:space="preserve"> Отчетность!CN31 * CN$54</f>
        <v>0</v>
      </c>
      <c r="CO45" s="10">
        <f ca="1" xml:space="preserve"> Отчетность!CO31 * CO$54</f>
        <v>0</v>
      </c>
    </row>
    <row r="46" spans="1:93" ht="15" customHeight="1">
      <c r="A46" s="47"/>
      <c r="B46" s="47"/>
      <c r="C46" s="156" t="s">
        <v>216</v>
      </c>
      <c r="D46" s="47"/>
      <c r="E46" s="47"/>
      <c r="F46" s="47"/>
      <c r="G46" s="11" t="str">
        <f>Monetary_Unit</f>
        <v>тыс. руб.</v>
      </c>
      <c r="H46" s="47"/>
      <c r="I46" s="23">
        <f ca="1">SUM(L46:CO46)</f>
        <v>0</v>
      </c>
      <c r="J46" s="47"/>
      <c r="K46" s="47"/>
      <c r="L46" s="450">
        <f t="shared" ref="L46:AQ46" ca="1" si="29" xml:space="preserve"> Cash_EoP * L$54</f>
        <v>0</v>
      </c>
      <c r="M46" s="450">
        <f t="shared" ca="1" si="29"/>
        <v>0</v>
      </c>
      <c r="N46" s="450">
        <f t="shared" ca="1" si="29"/>
        <v>0</v>
      </c>
      <c r="O46" s="450">
        <f t="shared" ca="1" si="29"/>
        <v>0</v>
      </c>
      <c r="P46" s="450">
        <f t="shared" ca="1" si="29"/>
        <v>0</v>
      </c>
      <c r="Q46" s="450">
        <f t="shared" ca="1" si="29"/>
        <v>0</v>
      </c>
      <c r="R46" s="450">
        <f t="shared" ca="1" si="29"/>
        <v>0</v>
      </c>
      <c r="S46" s="450">
        <f t="shared" ca="1" si="29"/>
        <v>0</v>
      </c>
      <c r="T46" s="450">
        <f t="shared" ca="1" si="29"/>
        <v>0</v>
      </c>
      <c r="U46" s="450">
        <f t="shared" ca="1" si="29"/>
        <v>0</v>
      </c>
      <c r="V46" s="450">
        <f t="shared" ca="1" si="29"/>
        <v>0</v>
      </c>
      <c r="W46" s="450">
        <f t="shared" ca="1" si="29"/>
        <v>0</v>
      </c>
      <c r="X46" s="450">
        <f t="shared" ca="1" si="29"/>
        <v>0</v>
      </c>
      <c r="Y46" s="450">
        <f t="shared" ca="1" si="29"/>
        <v>0</v>
      </c>
      <c r="Z46" s="450">
        <f t="shared" ca="1" si="29"/>
        <v>0</v>
      </c>
      <c r="AA46" s="450">
        <f t="shared" ca="1" si="29"/>
        <v>0</v>
      </c>
      <c r="AB46" s="450">
        <f t="shared" ca="1" si="29"/>
        <v>0</v>
      </c>
      <c r="AC46" s="450">
        <f t="shared" ca="1" si="29"/>
        <v>0</v>
      </c>
      <c r="AD46" s="450">
        <f t="shared" ca="1" si="29"/>
        <v>0</v>
      </c>
      <c r="AE46" s="450">
        <f t="shared" ca="1" si="29"/>
        <v>0</v>
      </c>
      <c r="AF46" s="450">
        <f t="shared" ca="1" si="29"/>
        <v>0</v>
      </c>
      <c r="AG46" s="450">
        <f t="shared" ca="1" si="29"/>
        <v>0</v>
      </c>
      <c r="AH46" s="450">
        <f t="shared" ca="1" si="29"/>
        <v>0</v>
      </c>
      <c r="AI46" s="450">
        <f t="shared" ca="1" si="29"/>
        <v>0</v>
      </c>
      <c r="AJ46" s="450">
        <f t="shared" ca="1" si="29"/>
        <v>0</v>
      </c>
      <c r="AK46" s="450">
        <f t="shared" ca="1" si="29"/>
        <v>0</v>
      </c>
      <c r="AL46" s="450">
        <f t="shared" ca="1" si="29"/>
        <v>0</v>
      </c>
      <c r="AM46" s="450">
        <f t="shared" ca="1" si="29"/>
        <v>0</v>
      </c>
      <c r="AN46" s="450">
        <f t="shared" ca="1" si="29"/>
        <v>0</v>
      </c>
      <c r="AO46" s="450">
        <f t="shared" ca="1" si="29"/>
        <v>0</v>
      </c>
      <c r="AP46" s="450">
        <f t="shared" ca="1" si="29"/>
        <v>0</v>
      </c>
      <c r="AQ46" s="450">
        <f t="shared" ca="1" si="29"/>
        <v>0</v>
      </c>
      <c r="AR46" s="450">
        <f t="shared" ref="AR46:BW46" ca="1" si="30" xml:space="preserve"> Cash_EoP * AR$54</f>
        <v>0</v>
      </c>
      <c r="AS46" s="450">
        <f t="shared" ca="1" si="30"/>
        <v>0</v>
      </c>
      <c r="AT46" s="450">
        <f t="shared" ca="1" si="30"/>
        <v>0</v>
      </c>
      <c r="AU46" s="450">
        <f t="shared" ca="1" si="30"/>
        <v>0</v>
      </c>
      <c r="AV46" s="450">
        <f t="shared" ca="1" si="30"/>
        <v>0</v>
      </c>
      <c r="AW46" s="450">
        <f t="shared" ca="1" si="30"/>
        <v>0</v>
      </c>
      <c r="AX46" s="450">
        <f t="shared" ca="1" si="30"/>
        <v>0</v>
      </c>
      <c r="AY46" s="450">
        <f t="shared" ca="1" si="30"/>
        <v>0</v>
      </c>
      <c r="AZ46" s="450">
        <f t="shared" ca="1" si="30"/>
        <v>0</v>
      </c>
      <c r="BA46" s="450">
        <f t="shared" ca="1" si="30"/>
        <v>0</v>
      </c>
      <c r="BB46" s="450">
        <f t="shared" ca="1" si="30"/>
        <v>0</v>
      </c>
      <c r="BC46" s="450">
        <f t="shared" ca="1" si="30"/>
        <v>0</v>
      </c>
      <c r="BD46" s="450">
        <f t="shared" ca="1" si="30"/>
        <v>0</v>
      </c>
      <c r="BE46" s="450">
        <f t="shared" ca="1" si="30"/>
        <v>0</v>
      </c>
      <c r="BF46" s="450">
        <f t="shared" ca="1" si="30"/>
        <v>0</v>
      </c>
      <c r="BG46" s="450">
        <f t="shared" ca="1" si="30"/>
        <v>0</v>
      </c>
      <c r="BH46" s="450">
        <f t="shared" ca="1" si="30"/>
        <v>0</v>
      </c>
      <c r="BI46" s="450">
        <f t="shared" ca="1" si="30"/>
        <v>0</v>
      </c>
      <c r="BJ46" s="450">
        <f t="shared" ca="1" si="30"/>
        <v>0</v>
      </c>
      <c r="BK46" s="450">
        <f t="shared" ca="1" si="30"/>
        <v>0</v>
      </c>
      <c r="BL46" s="450">
        <f t="shared" ca="1" si="30"/>
        <v>0</v>
      </c>
      <c r="BM46" s="450">
        <f t="shared" ca="1" si="30"/>
        <v>0</v>
      </c>
      <c r="BN46" s="450">
        <f t="shared" ca="1" si="30"/>
        <v>0</v>
      </c>
      <c r="BO46" s="450">
        <f t="shared" ca="1" si="30"/>
        <v>0</v>
      </c>
      <c r="BP46" s="450">
        <f t="shared" ca="1" si="30"/>
        <v>0</v>
      </c>
      <c r="BQ46" s="450">
        <f t="shared" ca="1" si="30"/>
        <v>0</v>
      </c>
      <c r="BR46" s="450">
        <f t="shared" ca="1" si="30"/>
        <v>0</v>
      </c>
      <c r="BS46" s="450">
        <f t="shared" ca="1" si="30"/>
        <v>0</v>
      </c>
      <c r="BT46" s="450">
        <f t="shared" ca="1" si="30"/>
        <v>0</v>
      </c>
      <c r="BU46" s="450">
        <f t="shared" ca="1" si="30"/>
        <v>0</v>
      </c>
      <c r="BV46" s="450">
        <f t="shared" ca="1" si="30"/>
        <v>0</v>
      </c>
      <c r="BW46" s="450">
        <f t="shared" ca="1" si="30"/>
        <v>0</v>
      </c>
      <c r="BX46" s="450">
        <f t="shared" ref="BX46:CO46" ca="1" si="31" xml:space="preserve"> Cash_EoP * BX$54</f>
        <v>0</v>
      </c>
      <c r="BY46" s="450">
        <f t="shared" ca="1" si="31"/>
        <v>0</v>
      </c>
      <c r="BZ46" s="450">
        <f t="shared" ca="1" si="31"/>
        <v>0</v>
      </c>
      <c r="CA46" s="450">
        <f t="shared" ca="1" si="31"/>
        <v>0</v>
      </c>
      <c r="CB46" s="450">
        <f t="shared" ca="1" si="31"/>
        <v>0</v>
      </c>
      <c r="CC46" s="450">
        <f t="shared" ca="1" si="31"/>
        <v>0</v>
      </c>
      <c r="CD46" s="450">
        <f t="shared" ca="1" si="31"/>
        <v>0</v>
      </c>
      <c r="CE46" s="450">
        <f t="shared" ca="1" si="31"/>
        <v>0</v>
      </c>
      <c r="CF46" s="450">
        <f t="shared" ca="1" si="31"/>
        <v>0</v>
      </c>
      <c r="CG46" s="450">
        <f t="shared" ca="1" si="31"/>
        <v>0</v>
      </c>
      <c r="CH46" s="450">
        <f t="shared" ca="1" si="31"/>
        <v>0</v>
      </c>
      <c r="CI46" s="450">
        <f t="shared" ca="1" si="31"/>
        <v>0</v>
      </c>
      <c r="CJ46" s="450">
        <f t="shared" ca="1" si="31"/>
        <v>0</v>
      </c>
      <c r="CK46" s="450">
        <f t="shared" ca="1" si="31"/>
        <v>0</v>
      </c>
      <c r="CL46" s="450">
        <f t="shared" ca="1" si="31"/>
        <v>0</v>
      </c>
      <c r="CM46" s="450">
        <f t="shared" ca="1" si="31"/>
        <v>0</v>
      </c>
      <c r="CN46" s="450">
        <f t="shared" ca="1" si="31"/>
        <v>0</v>
      </c>
      <c r="CO46" s="450">
        <f t="shared" ca="1" si="31"/>
        <v>0</v>
      </c>
    </row>
    <row r="47" spans="1:93" ht="15" customHeight="1">
      <c r="A47" s="47"/>
      <c r="B47" s="47"/>
      <c r="C47" s="156"/>
      <c r="D47" s="47"/>
      <c r="E47" s="47"/>
      <c r="F47" s="47"/>
      <c r="G47" s="319"/>
      <c r="H47" s="47"/>
      <c r="I47" s="47"/>
      <c r="J47" s="47"/>
      <c r="K47" s="47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</row>
    <row r="48" spans="1:93" ht="15" customHeight="1">
      <c r="A48" s="47"/>
      <c r="B48" s="47"/>
      <c r="C48" s="156" t="s">
        <v>166</v>
      </c>
      <c r="D48" s="47"/>
      <c r="E48" s="47"/>
      <c r="F48" s="47"/>
      <c r="G48" s="11" t="str">
        <f>Monetary_Unit</f>
        <v>тыс. руб.</v>
      </c>
      <c r="H48" s="47"/>
      <c r="I48" s="23">
        <f ca="1">SUM(L48:CO48)</f>
        <v>8270600.6277033035</v>
      </c>
      <c r="J48" s="47"/>
      <c r="K48" s="47"/>
      <c r="L48" s="450">
        <f t="shared" ref="L48:AQ48" ca="1" si="32" xml:space="preserve"> - Dividends</f>
        <v>0</v>
      </c>
      <c r="M48" s="450">
        <f t="shared" ca="1" si="32"/>
        <v>0</v>
      </c>
      <c r="N48" s="450">
        <f t="shared" ca="1" si="32"/>
        <v>0</v>
      </c>
      <c r="O48" s="450">
        <f t="shared" ca="1" si="32"/>
        <v>0</v>
      </c>
      <c r="P48" s="450">
        <f t="shared" ca="1" si="32"/>
        <v>0</v>
      </c>
      <c r="Q48" s="450">
        <f t="shared" ca="1" si="32"/>
        <v>0</v>
      </c>
      <c r="R48" s="450">
        <f t="shared" ca="1" si="32"/>
        <v>0</v>
      </c>
      <c r="S48" s="450">
        <f t="shared" ca="1" si="32"/>
        <v>0</v>
      </c>
      <c r="T48" s="450">
        <f t="shared" ca="1" si="32"/>
        <v>0</v>
      </c>
      <c r="U48" s="450">
        <f t="shared" ca="1" si="32"/>
        <v>0</v>
      </c>
      <c r="V48" s="450">
        <f t="shared" ca="1" si="32"/>
        <v>0</v>
      </c>
      <c r="W48" s="450">
        <f t="shared" ca="1" si="32"/>
        <v>0</v>
      </c>
      <c r="X48" s="450">
        <f t="shared" ca="1" si="32"/>
        <v>0</v>
      </c>
      <c r="Y48" s="450">
        <f t="shared" ca="1" si="32"/>
        <v>0</v>
      </c>
      <c r="Z48" s="450">
        <f t="shared" ca="1" si="32"/>
        <v>0</v>
      </c>
      <c r="AA48" s="450">
        <f t="shared" ca="1" si="32"/>
        <v>0</v>
      </c>
      <c r="AB48" s="450">
        <f t="shared" ca="1" si="32"/>
        <v>0</v>
      </c>
      <c r="AC48" s="450">
        <f t="shared" ca="1" si="32"/>
        <v>0</v>
      </c>
      <c r="AD48" s="450">
        <f t="shared" ca="1" si="32"/>
        <v>0</v>
      </c>
      <c r="AE48" s="450">
        <f t="shared" ca="1" si="32"/>
        <v>0</v>
      </c>
      <c r="AF48" s="450">
        <f t="shared" ca="1" si="32"/>
        <v>0</v>
      </c>
      <c r="AG48" s="450">
        <f t="shared" ca="1" si="32"/>
        <v>0</v>
      </c>
      <c r="AH48" s="450">
        <f t="shared" ca="1" si="32"/>
        <v>0</v>
      </c>
      <c r="AI48" s="450">
        <f t="shared" ca="1" si="32"/>
        <v>0</v>
      </c>
      <c r="AJ48" s="450">
        <f t="shared" ca="1" si="32"/>
        <v>0</v>
      </c>
      <c r="AK48" s="450">
        <f t="shared" ca="1" si="32"/>
        <v>0</v>
      </c>
      <c r="AL48" s="450">
        <f t="shared" ca="1" si="32"/>
        <v>0</v>
      </c>
      <c r="AM48" s="450">
        <f t="shared" ca="1" si="32"/>
        <v>0</v>
      </c>
      <c r="AN48" s="450">
        <f t="shared" ca="1" si="32"/>
        <v>0</v>
      </c>
      <c r="AO48" s="450">
        <f t="shared" ca="1" si="32"/>
        <v>0</v>
      </c>
      <c r="AP48" s="450">
        <f t="shared" ca="1" si="32"/>
        <v>0</v>
      </c>
      <c r="AQ48" s="450">
        <f t="shared" ca="1" si="32"/>
        <v>0</v>
      </c>
      <c r="AR48" s="450">
        <f t="shared" ref="AR48:BW48" ca="1" si="33" xml:space="preserve"> - Dividends</f>
        <v>0</v>
      </c>
      <c r="AS48" s="450">
        <f t="shared" ca="1" si="33"/>
        <v>0</v>
      </c>
      <c r="AT48" s="450">
        <f t="shared" ca="1" si="33"/>
        <v>0</v>
      </c>
      <c r="AU48" s="450">
        <f t="shared" ca="1" si="33"/>
        <v>0</v>
      </c>
      <c r="AV48" s="450">
        <f t="shared" ca="1" si="33"/>
        <v>0</v>
      </c>
      <c r="AW48" s="450">
        <f t="shared" ca="1" si="33"/>
        <v>115616.33267494224</v>
      </c>
      <c r="AX48" s="450">
        <f t="shared" ca="1" si="33"/>
        <v>273026.89898316731</v>
      </c>
      <c r="AY48" s="450">
        <f t="shared" ca="1" si="33"/>
        <v>160610.09420331367</v>
      </c>
      <c r="AZ48" s="450">
        <f t="shared" ca="1" si="33"/>
        <v>90746.681474151221</v>
      </c>
      <c r="BA48" s="450">
        <f t="shared" ca="1" si="33"/>
        <v>140327.30961439823</v>
      </c>
      <c r="BB48" s="450">
        <f t="shared" ca="1" si="33"/>
        <v>273441.40717452572</v>
      </c>
      <c r="BC48" s="450">
        <f t="shared" ca="1" si="33"/>
        <v>167027.39986984793</v>
      </c>
      <c r="BD48" s="450">
        <f t="shared" ca="1" si="33"/>
        <v>95677.102949824461</v>
      </c>
      <c r="BE48" s="450">
        <f t="shared" ca="1" si="33"/>
        <v>144587.40117527739</v>
      </c>
      <c r="BF48" s="450">
        <f t="shared" ca="1" si="33"/>
        <v>283339.07755339477</v>
      </c>
      <c r="BG48" s="450">
        <f t="shared" ca="1" si="33"/>
        <v>172668.51570028992</v>
      </c>
      <c r="BH48" s="450">
        <f t="shared" ca="1" si="33"/>
        <v>97093.665388560941</v>
      </c>
      <c r="BI48" s="450">
        <f t="shared" ca="1" si="33"/>
        <v>150722.02899878885</v>
      </c>
      <c r="BJ48" s="450">
        <f t="shared" ca="1" si="33"/>
        <v>294700.16257395281</v>
      </c>
      <c r="BK48" s="450">
        <f t="shared" ca="1" si="33"/>
        <v>179602.77227321349</v>
      </c>
      <c r="BL48" s="450">
        <f t="shared" ca="1" si="33"/>
        <v>101010.04112024038</v>
      </c>
      <c r="BM48" s="450">
        <f t="shared" ca="1" si="33"/>
        <v>156784.45144098948</v>
      </c>
      <c r="BN48" s="450">
        <f t="shared" ca="1" si="33"/>
        <v>306522.65430726274</v>
      </c>
      <c r="BO48" s="450">
        <f t="shared" ca="1" si="33"/>
        <v>177777.08616391147</v>
      </c>
      <c r="BP48" s="450">
        <f t="shared" ca="1" si="33"/>
        <v>97479.370084233102</v>
      </c>
      <c r="BQ48" s="450">
        <f t="shared" ca="1" si="33"/>
        <v>147496.84938078091</v>
      </c>
      <c r="BR48" s="450">
        <f t="shared" ca="1" si="33"/>
        <v>278245.88708535011</v>
      </c>
      <c r="BS48" s="450">
        <f t="shared" ca="1" si="33"/>
        <v>176430.29235447777</v>
      </c>
      <c r="BT48" s="450">
        <f t="shared" ca="1" si="33"/>
        <v>94568.477972540364</v>
      </c>
      <c r="BU48" s="450">
        <f t="shared" ca="1" si="33"/>
        <v>144907.78111575436</v>
      </c>
      <c r="BV48" s="450">
        <f t="shared" ca="1" si="33"/>
        <v>290142.81625441811</v>
      </c>
      <c r="BW48" s="450">
        <f t="shared" ca="1" si="33"/>
        <v>184249.96053286913</v>
      </c>
      <c r="BX48" s="450">
        <f t="shared" ref="BX48:CO48" ca="1" si="34" xml:space="preserve"> - Dividends</f>
        <v>97648.295518110244</v>
      </c>
      <c r="BY48" s="450">
        <f t="shared" ca="1" si="34"/>
        <v>151770.83585332031</v>
      </c>
      <c r="BZ48" s="450">
        <f t="shared" ca="1" si="34"/>
        <v>302440.46734145656</v>
      </c>
      <c r="CA48" s="450">
        <f t="shared" ca="1" si="34"/>
        <v>192307.85374290359</v>
      </c>
      <c r="CB48" s="450">
        <f t="shared" ca="1" si="34"/>
        <v>102248.94821865222</v>
      </c>
      <c r="CC48" s="450">
        <f t="shared" ca="1" si="34"/>
        <v>158541.06086534384</v>
      </c>
      <c r="CD48" s="450">
        <f t="shared" ca="1" si="34"/>
        <v>315242.0910079485</v>
      </c>
      <c r="CE48" s="450">
        <f t="shared" ca="1" si="34"/>
        <v>200699.82662151247</v>
      </c>
      <c r="CF48" s="450">
        <f t="shared" ca="1" si="34"/>
        <v>107016.58280527144</v>
      </c>
      <c r="CG48" s="450">
        <f t="shared" ca="1" si="34"/>
        <v>165564.89886920995</v>
      </c>
      <c r="CH48" s="450">
        <f t="shared" ca="1" si="34"/>
        <v>328538.39464533399</v>
      </c>
      <c r="CI48" s="450">
        <f t="shared" ca="1" si="34"/>
        <v>209410.09343949921</v>
      </c>
      <c r="CJ48" s="450">
        <f t="shared" ca="1" si="34"/>
        <v>113577.58786442541</v>
      </c>
      <c r="CK48" s="450">
        <f t="shared" ca="1" si="34"/>
        <v>172449.24687161582</v>
      </c>
      <c r="CL48" s="450">
        <f t="shared" ca="1" si="34"/>
        <v>342372.8721207974</v>
      </c>
      <c r="CM48" s="450">
        <f t="shared" ca="1" si="34"/>
        <v>218474.8026703553</v>
      </c>
      <c r="CN48" s="450">
        <f t="shared" ca="1" si="34"/>
        <v>117079.85311511872</v>
      </c>
      <c r="CO48" s="450">
        <f t="shared" ca="1" si="34"/>
        <v>180414.39771195172</v>
      </c>
    </row>
    <row r="49" spans="1:93" ht="15" customHeight="1">
      <c r="A49" s="47"/>
      <c r="B49" s="47"/>
      <c r="C49" s="47"/>
      <c r="D49" s="47"/>
      <c r="E49" s="47"/>
      <c r="F49" s="47"/>
      <c r="G49" s="319"/>
      <c r="H49" s="47"/>
      <c r="I49" s="47"/>
      <c r="J49" s="47"/>
      <c r="K49" s="47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</row>
    <row r="50" spans="1:93" s="141" customFormat="1" ht="15" customHeight="1" thickBot="1">
      <c r="A50" s="153"/>
      <c r="B50" s="153"/>
      <c r="C50" s="12" t="s">
        <v>952</v>
      </c>
      <c r="D50" s="12"/>
      <c r="E50" s="12"/>
      <c r="F50" s="12"/>
      <c r="G50" s="12"/>
      <c r="H50" s="12"/>
      <c r="I50" s="12"/>
      <c r="J50" s="153"/>
      <c r="K50" s="153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</row>
    <row r="51" spans="1:93" ht="15" customHeight="1">
      <c r="A51" s="47"/>
      <c r="B51" s="47"/>
      <c r="C51" s="47"/>
      <c r="D51" s="47"/>
      <c r="E51" s="47"/>
      <c r="F51" s="47"/>
      <c r="G51" s="319"/>
      <c r="H51" s="47"/>
      <c r="I51" s="47"/>
      <c r="J51" s="47"/>
      <c r="K51" s="47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</row>
    <row r="52" spans="1:93" ht="15" customHeight="1">
      <c r="A52" s="47"/>
      <c r="B52" s="47"/>
      <c r="C52" s="156" t="s">
        <v>918</v>
      </c>
      <c r="D52" s="47"/>
      <c r="E52" s="47"/>
      <c r="F52" s="47"/>
      <c r="G52" s="319" t="s">
        <v>925</v>
      </c>
      <c r="H52" s="47"/>
      <c r="I52" s="47"/>
      <c r="J52" s="47"/>
      <c r="K52" s="47"/>
      <c r="L52" s="10">
        <f t="shared" ref="L52:AE52" si="35">IF(L42=0,0,1)</f>
        <v>1</v>
      </c>
      <c r="M52" s="10">
        <f t="shared" ca="1" si="35"/>
        <v>1</v>
      </c>
      <c r="N52" s="10">
        <f t="shared" ca="1" si="35"/>
        <v>1</v>
      </c>
      <c r="O52" s="10">
        <f t="shared" ca="1" si="35"/>
        <v>1</v>
      </c>
      <c r="P52" s="10">
        <f t="shared" ca="1" si="35"/>
        <v>1</v>
      </c>
      <c r="Q52" s="10">
        <f t="shared" ca="1" si="35"/>
        <v>1</v>
      </c>
      <c r="R52" s="10">
        <f t="shared" ca="1" si="35"/>
        <v>1</v>
      </c>
      <c r="S52" s="10">
        <f t="shared" ca="1" si="35"/>
        <v>1</v>
      </c>
      <c r="T52" s="10">
        <f t="shared" ca="1" si="35"/>
        <v>1</v>
      </c>
      <c r="U52" s="10">
        <f t="shared" ca="1" si="35"/>
        <v>1</v>
      </c>
      <c r="V52" s="10">
        <f t="shared" ca="1" si="35"/>
        <v>1</v>
      </c>
      <c r="W52" s="10">
        <f t="shared" ca="1" si="35"/>
        <v>1</v>
      </c>
      <c r="X52" s="10">
        <f t="shared" ca="1" si="35"/>
        <v>1</v>
      </c>
      <c r="Y52" s="10">
        <f t="shared" ca="1" si="35"/>
        <v>1</v>
      </c>
      <c r="Z52" s="10">
        <f t="shared" ca="1" si="35"/>
        <v>1</v>
      </c>
      <c r="AA52" s="10">
        <f t="shared" ca="1" si="35"/>
        <v>1</v>
      </c>
      <c r="AB52" s="10">
        <f t="shared" ca="1" si="35"/>
        <v>1</v>
      </c>
      <c r="AC52" s="10">
        <f t="shared" ca="1" si="35"/>
        <v>0</v>
      </c>
      <c r="AD52" s="10">
        <f t="shared" ca="1" si="35"/>
        <v>0</v>
      </c>
      <c r="AE52" s="10">
        <f t="shared" ca="1" si="35"/>
        <v>0</v>
      </c>
      <c r="AF52" s="10">
        <f ca="1">IF(AF42=0,0,1)</f>
        <v>0</v>
      </c>
      <c r="AG52" s="10">
        <f t="shared" ref="AG52:CO52" ca="1" si="36">IF(AG42=0,0,1)</f>
        <v>0</v>
      </c>
      <c r="AH52" s="10">
        <f t="shared" ca="1" si="36"/>
        <v>0</v>
      </c>
      <c r="AI52" s="10">
        <f t="shared" ca="1" si="36"/>
        <v>0</v>
      </c>
      <c r="AJ52" s="10">
        <f t="shared" ca="1" si="36"/>
        <v>0</v>
      </c>
      <c r="AK52" s="10">
        <f t="shared" ca="1" si="36"/>
        <v>0</v>
      </c>
      <c r="AL52" s="10">
        <f t="shared" ca="1" si="36"/>
        <v>0</v>
      </c>
      <c r="AM52" s="10">
        <f t="shared" ca="1" si="36"/>
        <v>0</v>
      </c>
      <c r="AN52" s="10">
        <f t="shared" ca="1" si="36"/>
        <v>0</v>
      </c>
      <c r="AO52" s="10">
        <f t="shared" ca="1" si="36"/>
        <v>0</v>
      </c>
      <c r="AP52" s="10">
        <f t="shared" ca="1" si="36"/>
        <v>0</v>
      </c>
      <c r="AQ52" s="10">
        <f t="shared" ca="1" si="36"/>
        <v>0</v>
      </c>
      <c r="AR52" s="10">
        <f t="shared" ca="1" si="36"/>
        <v>0</v>
      </c>
      <c r="AS52" s="10">
        <f t="shared" ca="1" si="36"/>
        <v>0</v>
      </c>
      <c r="AT52" s="10">
        <f t="shared" ca="1" si="36"/>
        <v>0</v>
      </c>
      <c r="AU52" s="10">
        <f t="shared" ca="1" si="36"/>
        <v>0</v>
      </c>
      <c r="AV52" s="10">
        <f t="shared" ca="1" si="36"/>
        <v>0</v>
      </c>
      <c r="AW52" s="10">
        <f t="shared" ca="1" si="36"/>
        <v>0</v>
      </c>
      <c r="AX52" s="10">
        <f t="shared" ca="1" si="36"/>
        <v>0</v>
      </c>
      <c r="AY52" s="10">
        <f t="shared" ca="1" si="36"/>
        <v>0</v>
      </c>
      <c r="AZ52" s="10">
        <f t="shared" ca="1" si="36"/>
        <v>0</v>
      </c>
      <c r="BA52" s="10">
        <f t="shared" ca="1" si="36"/>
        <v>0</v>
      </c>
      <c r="BB52" s="10">
        <f t="shared" ca="1" si="36"/>
        <v>0</v>
      </c>
      <c r="BC52" s="10">
        <f t="shared" ca="1" si="36"/>
        <v>0</v>
      </c>
      <c r="BD52" s="10">
        <f t="shared" ca="1" si="36"/>
        <v>0</v>
      </c>
      <c r="BE52" s="10">
        <f t="shared" ca="1" si="36"/>
        <v>0</v>
      </c>
      <c r="BF52" s="10">
        <f t="shared" ca="1" si="36"/>
        <v>0</v>
      </c>
      <c r="BG52" s="10">
        <f t="shared" ca="1" si="36"/>
        <v>0</v>
      </c>
      <c r="BH52" s="10">
        <f t="shared" ca="1" si="36"/>
        <v>0</v>
      </c>
      <c r="BI52" s="10">
        <f t="shared" ca="1" si="36"/>
        <v>0</v>
      </c>
      <c r="BJ52" s="10">
        <f t="shared" ca="1" si="36"/>
        <v>0</v>
      </c>
      <c r="BK52" s="10">
        <f t="shared" ca="1" si="36"/>
        <v>0</v>
      </c>
      <c r="BL52" s="10">
        <f t="shared" ca="1" si="36"/>
        <v>0</v>
      </c>
      <c r="BM52" s="10">
        <f t="shared" ca="1" si="36"/>
        <v>0</v>
      </c>
      <c r="BN52" s="10">
        <f t="shared" ca="1" si="36"/>
        <v>0</v>
      </c>
      <c r="BO52" s="10">
        <f t="shared" ca="1" si="36"/>
        <v>0</v>
      </c>
      <c r="BP52" s="10">
        <f t="shared" ca="1" si="36"/>
        <v>0</v>
      </c>
      <c r="BQ52" s="10">
        <f t="shared" ca="1" si="36"/>
        <v>0</v>
      </c>
      <c r="BR52" s="10">
        <f t="shared" ca="1" si="36"/>
        <v>0</v>
      </c>
      <c r="BS52" s="10">
        <f t="shared" ca="1" si="36"/>
        <v>0</v>
      </c>
      <c r="BT52" s="10">
        <f t="shared" ca="1" si="36"/>
        <v>0</v>
      </c>
      <c r="BU52" s="10">
        <f t="shared" ca="1" si="36"/>
        <v>0</v>
      </c>
      <c r="BV52" s="10">
        <f t="shared" ca="1" si="36"/>
        <v>0</v>
      </c>
      <c r="BW52" s="10">
        <f t="shared" ca="1" si="36"/>
        <v>0</v>
      </c>
      <c r="BX52" s="10">
        <f t="shared" ca="1" si="36"/>
        <v>0</v>
      </c>
      <c r="BY52" s="10">
        <f t="shared" ca="1" si="36"/>
        <v>0</v>
      </c>
      <c r="BZ52" s="10">
        <f t="shared" ca="1" si="36"/>
        <v>0</v>
      </c>
      <c r="CA52" s="10">
        <f t="shared" ca="1" si="36"/>
        <v>0</v>
      </c>
      <c r="CB52" s="10">
        <f t="shared" ca="1" si="36"/>
        <v>0</v>
      </c>
      <c r="CC52" s="10">
        <f t="shared" ca="1" si="36"/>
        <v>0</v>
      </c>
      <c r="CD52" s="10">
        <f t="shared" ca="1" si="36"/>
        <v>0</v>
      </c>
      <c r="CE52" s="10">
        <f t="shared" ca="1" si="36"/>
        <v>0</v>
      </c>
      <c r="CF52" s="10">
        <f t="shared" ca="1" si="36"/>
        <v>0</v>
      </c>
      <c r="CG52" s="10">
        <f t="shared" ca="1" si="36"/>
        <v>0</v>
      </c>
      <c r="CH52" s="10">
        <f t="shared" ca="1" si="36"/>
        <v>0</v>
      </c>
      <c r="CI52" s="10">
        <f t="shared" ca="1" si="36"/>
        <v>0</v>
      </c>
      <c r="CJ52" s="10">
        <f t="shared" ca="1" si="36"/>
        <v>0</v>
      </c>
      <c r="CK52" s="10">
        <f t="shared" ca="1" si="36"/>
        <v>0</v>
      </c>
      <c r="CL52" s="10">
        <f t="shared" ca="1" si="36"/>
        <v>0</v>
      </c>
      <c r="CM52" s="10">
        <f t="shared" ca="1" si="36"/>
        <v>0</v>
      </c>
      <c r="CN52" s="10">
        <f t="shared" ca="1" si="36"/>
        <v>0</v>
      </c>
      <c r="CO52" s="10">
        <f t="shared" ca="1" si="36"/>
        <v>0</v>
      </c>
    </row>
    <row r="53" spans="1:93" ht="15" customHeight="1">
      <c r="A53" s="47"/>
      <c r="B53" s="47"/>
      <c r="C53" s="156" t="s">
        <v>919</v>
      </c>
      <c r="D53" s="47"/>
      <c r="E53" s="47"/>
      <c r="F53" s="47"/>
      <c r="G53" s="319" t="s">
        <v>925</v>
      </c>
      <c r="H53" s="47"/>
      <c r="I53" s="47"/>
      <c r="J53" s="47"/>
      <c r="K53" s="47"/>
      <c r="L53" s="10">
        <f t="shared" ref="L53:BW53" si="37" xml:space="preserve"> (L$8 &lt;= $I$16) * Flag_Forecast</f>
        <v>1</v>
      </c>
      <c r="M53" s="10">
        <f t="shared" si="37"/>
        <v>1</v>
      </c>
      <c r="N53" s="10">
        <f t="shared" si="37"/>
        <v>1</v>
      </c>
      <c r="O53" s="10">
        <f t="shared" si="37"/>
        <v>1</v>
      </c>
      <c r="P53" s="10">
        <f t="shared" si="37"/>
        <v>1</v>
      </c>
      <c r="Q53" s="10">
        <f t="shared" si="37"/>
        <v>1</v>
      </c>
      <c r="R53" s="10">
        <f t="shared" si="37"/>
        <v>1</v>
      </c>
      <c r="S53" s="10">
        <f t="shared" si="37"/>
        <v>1</v>
      </c>
      <c r="T53" s="10">
        <f t="shared" si="37"/>
        <v>1</v>
      </c>
      <c r="U53" s="10">
        <f t="shared" si="37"/>
        <v>1</v>
      </c>
      <c r="V53" s="10">
        <f t="shared" si="37"/>
        <v>1</v>
      </c>
      <c r="W53" s="10">
        <f t="shared" si="37"/>
        <v>1</v>
      </c>
      <c r="X53" s="10">
        <f t="shared" si="37"/>
        <v>1</v>
      </c>
      <c r="Y53" s="10">
        <f t="shared" si="37"/>
        <v>1</v>
      </c>
      <c r="Z53" s="10">
        <f t="shared" si="37"/>
        <v>1</v>
      </c>
      <c r="AA53" s="10">
        <f t="shared" si="37"/>
        <v>1</v>
      </c>
      <c r="AB53" s="10">
        <f t="shared" si="37"/>
        <v>1</v>
      </c>
      <c r="AC53" s="10">
        <f t="shared" si="37"/>
        <v>1</v>
      </c>
      <c r="AD53" s="10">
        <f t="shared" si="37"/>
        <v>1</v>
      </c>
      <c r="AE53" s="10">
        <f t="shared" si="37"/>
        <v>1</v>
      </c>
      <c r="AF53" s="10">
        <f t="shared" si="37"/>
        <v>1</v>
      </c>
      <c r="AG53" s="10">
        <f t="shared" si="37"/>
        <v>1</v>
      </c>
      <c r="AH53" s="10">
        <f t="shared" si="37"/>
        <v>1</v>
      </c>
      <c r="AI53" s="10">
        <f t="shared" si="37"/>
        <v>1</v>
      </c>
      <c r="AJ53" s="10">
        <f t="shared" si="37"/>
        <v>1</v>
      </c>
      <c r="AK53" s="10">
        <f t="shared" si="37"/>
        <v>1</v>
      </c>
      <c r="AL53" s="10">
        <f t="shared" si="37"/>
        <v>1</v>
      </c>
      <c r="AM53" s="10">
        <f t="shared" si="37"/>
        <v>1</v>
      </c>
      <c r="AN53" s="10">
        <f t="shared" si="37"/>
        <v>1</v>
      </c>
      <c r="AO53" s="10">
        <f t="shared" si="37"/>
        <v>0</v>
      </c>
      <c r="AP53" s="10">
        <f t="shared" si="37"/>
        <v>0</v>
      </c>
      <c r="AQ53" s="10">
        <f t="shared" si="37"/>
        <v>0</v>
      </c>
      <c r="AR53" s="10">
        <f t="shared" si="37"/>
        <v>0</v>
      </c>
      <c r="AS53" s="10">
        <f t="shared" si="37"/>
        <v>0</v>
      </c>
      <c r="AT53" s="10">
        <f t="shared" si="37"/>
        <v>0</v>
      </c>
      <c r="AU53" s="10">
        <f t="shared" si="37"/>
        <v>0</v>
      </c>
      <c r="AV53" s="10">
        <f t="shared" si="37"/>
        <v>0</v>
      </c>
      <c r="AW53" s="10">
        <f t="shared" si="37"/>
        <v>0</v>
      </c>
      <c r="AX53" s="10">
        <f t="shared" si="37"/>
        <v>0</v>
      </c>
      <c r="AY53" s="10">
        <f t="shared" si="37"/>
        <v>0</v>
      </c>
      <c r="AZ53" s="10">
        <f t="shared" si="37"/>
        <v>0</v>
      </c>
      <c r="BA53" s="10">
        <f t="shared" si="37"/>
        <v>0</v>
      </c>
      <c r="BB53" s="10">
        <f t="shared" si="37"/>
        <v>0</v>
      </c>
      <c r="BC53" s="10">
        <f t="shared" si="37"/>
        <v>0</v>
      </c>
      <c r="BD53" s="10">
        <f t="shared" si="37"/>
        <v>0</v>
      </c>
      <c r="BE53" s="10">
        <f t="shared" si="37"/>
        <v>0</v>
      </c>
      <c r="BF53" s="10">
        <f t="shared" si="37"/>
        <v>0</v>
      </c>
      <c r="BG53" s="10">
        <f t="shared" si="37"/>
        <v>0</v>
      </c>
      <c r="BH53" s="10">
        <f t="shared" si="37"/>
        <v>0</v>
      </c>
      <c r="BI53" s="10">
        <f t="shared" si="37"/>
        <v>0</v>
      </c>
      <c r="BJ53" s="10">
        <f t="shared" si="37"/>
        <v>0</v>
      </c>
      <c r="BK53" s="10">
        <f t="shared" si="37"/>
        <v>0</v>
      </c>
      <c r="BL53" s="10">
        <f t="shared" si="37"/>
        <v>0</v>
      </c>
      <c r="BM53" s="10">
        <f t="shared" si="37"/>
        <v>0</v>
      </c>
      <c r="BN53" s="10">
        <f t="shared" si="37"/>
        <v>0</v>
      </c>
      <c r="BO53" s="10">
        <f t="shared" si="37"/>
        <v>0</v>
      </c>
      <c r="BP53" s="10">
        <f t="shared" si="37"/>
        <v>0</v>
      </c>
      <c r="BQ53" s="10">
        <f t="shared" si="37"/>
        <v>0</v>
      </c>
      <c r="BR53" s="10">
        <f t="shared" si="37"/>
        <v>0</v>
      </c>
      <c r="BS53" s="10">
        <f t="shared" si="37"/>
        <v>0</v>
      </c>
      <c r="BT53" s="10">
        <f t="shared" si="37"/>
        <v>0</v>
      </c>
      <c r="BU53" s="10">
        <f t="shared" si="37"/>
        <v>0</v>
      </c>
      <c r="BV53" s="10">
        <f t="shared" si="37"/>
        <v>0</v>
      </c>
      <c r="BW53" s="10">
        <f t="shared" si="37"/>
        <v>0</v>
      </c>
      <c r="BX53" s="10">
        <f t="shared" ref="BX53:CO53" si="38" xml:space="preserve"> (BX$8 &lt;= $I$16) * Flag_Forecast</f>
        <v>0</v>
      </c>
      <c r="BY53" s="10">
        <f t="shared" si="38"/>
        <v>0</v>
      </c>
      <c r="BZ53" s="10">
        <f t="shared" si="38"/>
        <v>0</v>
      </c>
      <c r="CA53" s="10">
        <f t="shared" si="38"/>
        <v>0</v>
      </c>
      <c r="CB53" s="10">
        <f t="shared" si="38"/>
        <v>0</v>
      </c>
      <c r="CC53" s="10">
        <f t="shared" si="38"/>
        <v>0</v>
      </c>
      <c r="CD53" s="10">
        <f t="shared" si="38"/>
        <v>0</v>
      </c>
      <c r="CE53" s="10">
        <f t="shared" si="38"/>
        <v>0</v>
      </c>
      <c r="CF53" s="10">
        <f t="shared" si="38"/>
        <v>0</v>
      </c>
      <c r="CG53" s="10">
        <f t="shared" si="38"/>
        <v>0</v>
      </c>
      <c r="CH53" s="10">
        <f t="shared" si="38"/>
        <v>0</v>
      </c>
      <c r="CI53" s="10">
        <f t="shared" si="38"/>
        <v>0</v>
      </c>
      <c r="CJ53" s="10">
        <f t="shared" si="38"/>
        <v>0</v>
      </c>
      <c r="CK53" s="10">
        <f t="shared" si="38"/>
        <v>0</v>
      </c>
      <c r="CL53" s="10">
        <f t="shared" si="38"/>
        <v>0</v>
      </c>
      <c r="CM53" s="10">
        <f t="shared" si="38"/>
        <v>0</v>
      </c>
      <c r="CN53" s="10">
        <f t="shared" si="38"/>
        <v>0</v>
      </c>
      <c r="CO53" s="10">
        <f t="shared" si="38"/>
        <v>0</v>
      </c>
    </row>
    <row r="54" spans="1:93" ht="15" customHeight="1">
      <c r="A54" s="47"/>
      <c r="B54" s="47"/>
      <c r="C54" s="156" t="s">
        <v>953</v>
      </c>
      <c r="D54" s="47"/>
      <c r="E54" s="47"/>
      <c r="F54" s="47"/>
      <c r="G54" s="319" t="s">
        <v>925</v>
      </c>
      <c r="H54" s="47"/>
      <c r="I54" s="47"/>
      <c r="J54" s="47"/>
      <c r="K54" s="47"/>
      <c r="L54" s="10">
        <f t="shared" ref="L54:AE54" si="39" xml:space="preserve"> ($I$16 &lt;= L8) * ($I$16 &gt; L7)</f>
        <v>0</v>
      </c>
      <c r="M54" s="10">
        <f t="shared" si="39"/>
        <v>0</v>
      </c>
      <c r="N54" s="10">
        <f t="shared" si="39"/>
        <v>0</v>
      </c>
      <c r="O54" s="10">
        <f t="shared" si="39"/>
        <v>0</v>
      </c>
      <c r="P54" s="10">
        <f t="shared" si="39"/>
        <v>0</v>
      </c>
      <c r="Q54" s="10">
        <f t="shared" si="39"/>
        <v>0</v>
      </c>
      <c r="R54" s="10">
        <f t="shared" si="39"/>
        <v>0</v>
      </c>
      <c r="S54" s="10">
        <f t="shared" si="39"/>
        <v>0</v>
      </c>
      <c r="T54" s="10">
        <f t="shared" si="39"/>
        <v>0</v>
      </c>
      <c r="U54" s="10">
        <f t="shared" si="39"/>
        <v>0</v>
      </c>
      <c r="V54" s="10">
        <f t="shared" si="39"/>
        <v>0</v>
      </c>
      <c r="W54" s="10">
        <f t="shared" si="39"/>
        <v>0</v>
      </c>
      <c r="X54" s="10">
        <f t="shared" si="39"/>
        <v>0</v>
      </c>
      <c r="Y54" s="10">
        <f t="shared" si="39"/>
        <v>0</v>
      </c>
      <c r="Z54" s="10">
        <f t="shared" si="39"/>
        <v>0</v>
      </c>
      <c r="AA54" s="10">
        <f t="shared" si="39"/>
        <v>0</v>
      </c>
      <c r="AB54" s="10">
        <f t="shared" si="39"/>
        <v>0</v>
      </c>
      <c r="AC54" s="10">
        <f t="shared" si="39"/>
        <v>0</v>
      </c>
      <c r="AD54" s="10">
        <f t="shared" si="39"/>
        <v>0</v>
      </c>
      <c r="AE54" s="10">
        <f t="shared" si="39"/>
        <v>0</v>
      </c>
      <c r="AF54" s="10">
        <f xml:space="preserve"> ($I$16 &lt;= AF8) * ($I$16 &gt; AF7)</f>
        <v>0</v>
      </c>
      <c r="AG54" s="10">
        <f t="shared" ref="AG54:CO54" si="40" xml:space="preserve"> ($I$16 &lt;= AG8) * ($I$16 &gt; AG7)</f>
        <v>0</v>
      </c>
      <c r="AH54" s="10">
        <f t="shared" si="40"/>
        <v>0</v>
      </c>
      <c r="AI54" s="10">
        <f t="shared" si="40"/>
        <v>0</v>
      </c>
      <c r="AJ54" s="10">
        <f t="shared" si="40"/>
        <v>0</v>
      </c>
      <c r="AK54" s="10">
        <f t="shared" si="40"/>
        <v>0</v>
      </c>
      <c r="AL54" s="10">
        <f t="shared" si="40"/>
        <v>0</v>
      </c>
      <c r="AM54" s="10">
        <f t="shared" si="40"/>
        <v>0</v>
      </c>
      <c r="AN54" s="10">
        <f t="shared" si="40"/>
        <v>1</v>
      </c>
      <c r="AO54" s="10">
        <f t="shared" si="40"/>
        <v>0</v>
      </c>
      <c r="AP54" s="10">
        <f t="shared" si="40"/>
        <v>0</v>
      </c>
      <c r="AQ54" s="10">
        <f t="shared" si="40"/>
        <v>0</v>
      </c>
      <c r="AR54" s="10">
        <f t="shared" si="40"/>
        <v>0</v>
      </c>
      <c r="AS54" s="10">
        <f t="shared" si="40"/>
        <v>0</v>
      </c>
      <c r="AT54" s="10">
        <f t="shared" si="40"/>
        <v>0</v>
      </c>
      <c r="AU54" s="10">
        <f t="shared" si="40"/>
        <v>0</v>
      </c>
      <c r="AV54" s="10">
        <f t="shared" si="40"/>
        <v>0</v>
      </c>
      <c r="AW54" s="10">
        <f t="shared" si="40"/>
        <v>0</v>
      </c>
      <c r="AX54" s="10">
        <f t="shared" si="40"/>
        <v>0</v>
      </c>
      <c r="AY54" s="10">
        <f t="shared" si="40"/>
        <v>0</v>
      </c>
      <c r="AZ54" s="10">
        <f t="shared" si="40"/>
        <v>0</v>
      </c>
      <c r="BA54" s="10">
        <f t="shared" si="40"/>
        <v>0</v>
      </c>
      <c r="BB54" s="10">
        <f t="shared" si="40"/>
        <v>0</v>
      </c>
      <c r="BC54" s="10">
        <f t="shared" si="40"/>
        <v>0</v>
      </c>
      <c r="BD54" s="10">
        <f t="shared" si="40"/>
        <v>0</v>
      </c>
      <c r="BE54" s="10">
        <f t="shared" si="40"/>
        <v>0</v>
      </c>
      <c r="BF54" s="10">
        <f t="shared" si="40"/>
        <v>0</v>
      </c>
      <c r="BG54" s="10">
        <f t="shared" si="40"/>
        <v>0</v>
      </c>
      <c r="BH54" s="10">
        <f t="shared" si="40"/>
        <v>0</v>
      </c>
      <c r="BI54" s="10">
        <f t="shared" si="40"/>
        <v>0</v>
      </c>
      <c r="BJ54" s="10">
        <f t="shared" si="40"/>
        <v>0</v>
      </c>
      <c r="BK54" s="10">
        <f t="shared" si="40"/>
        <v>0</v>
      </c>
      <c r="BL54" s="10">
        <f t="shared" si="40"/>
        <v>0</v>
      </c>
      <c r="BM54" s="10">
        <f t="shared" si="40"/>
        <v>0</v>
      </c>
      <c r="BN54" s="10">
        <f t="shared" si="40"/>
        <v>0</v>
      </c>
      <c r="BO54" s="10">
        <f t="shared" si="40"/>
        <v>0</v>
      </c>
      <c r="BP54" s="10">
        <f t="shared" si="40"/>
        <v>0</v>
      </c>
      <c r="BQ54" s="10">
        <f t="shared" si="40"/>
        <v>0</v>
      </c>
      <c r="BR54" s="10">
        <f t="shared" si="40"/>
        <v>0</v>
      </c>
      <c r="BS54" s="10">
        <f t="shared" si="40"/>
        <v>0</v>
      </c>
      <c r="BT54" s="10">
        <f t="shared" si="40"/>
        <v>0</v>
      </c>
      <c r="BU54" s="10">
        <f t="shared" si="40"/>
        <v>0</v>
      </c>
      <c r="BV54" s="10">
        <f t="shared" si="40"/>
        <v>0</v>
      </c>
      <c r="BW54" s="10">
        <f t="shared" si="40"/>
        <v>0</v>
      </c>
      <c r="BX54" s="10">
        <f t="shared" si="40"/>
        <v>0</v>
      </c>
      <c r="BY54" s="10">
        <f t="shared" si="40"/>
        <v>0</v>
      </c>
      <c r="BZ54" s="10">
        <f t="shared" si="40"/>
        <v>0</v>
      </c>
      <c r="CA54" s="10">
        <f t="shared" si="40"/>
        <v>0</v>
      </c>
      <c r="CB54" s="10">
        <f t="shared" si="40"/>
        <v>0</v>
      </c>
      <c r="CC54" s="10">
        <f t="shared" si="40"/>
        <v>0</v>
      </c>
      <c r="CD54" s="10">
        <f t="shared" si="40"/>
        <v>0</v>
      </c>
      <c r="CE54" s="10">
        <f t="shared" si="40"/>
        <v>0</v>
      </c>
      <c r="CF54" s="10">
        <f t="shared" si="40"/>
        <v>0</v>
      </c>
      <c r="CG54" s="10">
        <f t="shared" si="40"/>
        <v>0</v>
      </c>
      <c r="CH54" s="10">
        <f t="shared" si="40"/>
        <v>0</v>
      </c>
      <c r="CI54" s="10">
        <f t="shared" si="40"/>
        <v>0</v>
      </c>
      <c r="CJ54" s="10">
        <f t="shared" si="40"/>
        <v>0</v>
      </c>
      <c r="CK54" s="10">
        <f t="shared" si="40"/>
        <v>0</v>
      </c>
      <c r="CL54" s="10">
        <f t="shared" si="40"/>
        <v>0</v>
      </c>
      <c r="CM54" s="10">
        <f t="shared" si="40"/>
        <v>0</v>
      </c>
      <c r="CN54" s="10">
        <f t="shared" si="40"/>
        <v>0</v>
      </c>
      <c r="CO54" s="10">
        <f t="shared" si="40"/>
        <v>0</v>
      </c>
    </row>
    <row r="55" spans="1:93" ht="15" customHeight="1">
      <c r="A55" s="47"/>
      <c r="B55" s="47"/>
      <c r="C55" s="47"/>
      <c r="D55" s="47"/>
      <c r="E55" s="47"/>
      <c r="F55" s="47"/>
      <c r="G55" s="319"/>
      <c r="H55" s="47"/>
      <c r="I55" s="47"/>
      <c r="J55" s="47"/>
      <c r="K55" s="47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</row>
    <row r="56" spans="1:93" s="141" customFormat="1" ht="15" customHeight="1" thickBot="1">
      <c r="A56" s="153"/>
      <c r="B56" s="153"/>
      <c r="C56" s="12" t="s">
        <v>944</v>
      </c>
      <c r="D56" s="12"/>
      <c r="E56" s="12"/>
      <c r="F56" s="12"/>
      <c r="G56" s="12"/>
      <c r="H56" s="12"/>
      <c r="I56" s="12"/>
      <c r="J56" s="153"/>
      <c r="K56" s="153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</row>
    <row r="57" spans="1:93" ht="15" customHeight="1">
      <c r="A57" s="47"/>
      <c r="B57" s="47"/>
      <c r="C57" s="47"/>
      <c r="D57" s="47"/>
      <c r="E57" s="47"/>
      <c r="F57" s="47"/>
      <c r="G57" s="319"/>
      <c r="H57" s="47"/>
      <c r="I57" s="47"/>
      <c r="J57" s="47"/>
      <c r="K57" s="47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</row>
    <row r="58" spans="1:93" ht="15" customHeight="1">
      <c r="A58" s="47"/>
      <c r="B58" s="47"/>
      <c r="C58" s="10" t="s">
        <v>924</v>
      </c>
      <c r="D58" s="153"/>
      <c r="E58" s="11"/>
      <c r="F58" s="11"/>
      <c r="G58" s="11" t="s">
        <v>28</v>
      </c>
      <c r="H58" s="153"/>
      <c r="I58" s="307">
        <f ca="1" xml:space="preserve"> I18</f>
        <v>0.23641391339318618</v>
      </c>
      <c r="J58" s="153"/>
      <c r="K58" s="153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</row>
    <row r="59" spans="1:93" ht="15" customHeight="1">
      <c r="A59" s="47"/>
      <c r="B59" s="47"/>
      <c r="C59" s="10" t="s">
        <v>1098</v>
      </c>
      <c r="D59" s="153"/>
      <c r="E59" s="11"/>
      <c r="F59" s="11"/>
      <c r="G59" s="11" t="s">
        <v>378</v>
      </c>
      <c r="H59" s="153"/>
      <c r="I59" s="184">
        <f>Предпосылки!E592</f>
        <v>1</v>
      </c>
      <c r="J59" s="153"/>
      <c r="K59" s="153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</row>
    <row r="60" spans="1:93" ht="15" customHeight="1">
      <c r="A60" s="47"/>
      <c r="B60" s="47"/>
      <c r="C60" s="10" t="s">
        <v>945</v>
      </c>
      <c r="D60" s="153"/>
      <c r="E60" s="11"/>
      <c r="F60" s="11"/>
      <c r="G60" s="11"/>
      <c r="H60" s="153"/>
      <c r="I60" s="154"/>
      <c r="J60" s="153"/>
      <c r="K60" s="153"/>
      <c r="L60" s="151">
        <f>IF(SUM($K$54:K54)&gt;0,K60 + 1/Periods_in_Year,0) * Flag_Financial_Model</f>
        <v>0</v>
      </c>
      <c r="M60" s="151">
        <f>IF(SUM($K$54:L54)&gt;0,L60 + 1/Periods_in_Year,0) * Flag_Financial_Model</f>
        <v>0</v>
      </c>
      <c r="N60" s="151">
        <f>IF(SUM($K$54:M54)&gt;0,M60 + 1/Periods_in_Year,0) * Flag_Financial_Model</f>
        <v>0</v>
      </c>
      <c r="O60" s="151">
        <f>IF(SUM($K$54:N54)&gt;0,N60 + 1/Periods_in_Year,0) * Flag_Financial_Model</f>
        <v>0</v>
      </c>
      <c r="P60" s="151">
        <f>IF(SUM($K$54:O54)&gt;0,O60 + 1/Periods_in_Year,0) * Flag_Financial_Model</f>
        <v>0</v>
      </c>
      <c r="Q60" s="151">
        <f>IF(SUM($K$54:P54)&gt;0,P60 + 1/Periods_in_Year,0) * Flag_Financial_Model</f>
        <v>0</v>
      </c>
      <c r="R60" s="151">
        <f>IF(SUM($K$54:Q54)&gt;0,Q60 + 1/Periods_in_Year,0) * Flag_Financial_Model</f>
        <v>0</v>
      </c>
      <c r="S60" s="151">
        <f>IF(SUM($K$54:R54)&gt;0,R60 + 1/Periods_in_Year,0) * Flag_Financial_Model</f>
        <v>0</v>
      </c>
      <c r="T60" s="151">
        <f>IF(SUM($K$54:S54)&gt;0,S60 + 1/Periods_in_Year,0) * Flag_Financial_Model</f>
        <v>0</v>
      </c>
      <c r="U60" s="151">
        <f>IF(SUM($K$54:T54)&gt;0,T60 + 1/Periods_in_Year,0) * Flag_Financial_Model</f>
        <v>0</v>
      </c>
      <c r="V60" s="151">
        <f>IF(SUM($K$54:U54)&gt;0,U60 + 1/Periods_in_Year,0) * Flag_Financial_Model</f>
        <v>0</v>
      </c>
      <c r="W60" s="151">
        <f>IF(SUM($K$54:V54)&gt;0,V60 + 1/Periods_in_Year,0) * Flag_Financial_Model</f>
        <v>0</v>
      </c>
      <c r="X60" s="151">
        <f>IF(SUM($K$54:W54)&gt;0,W60 + 1/Periods_in_Year,0) * Flag_Financial_Model</f>
        <v>0</v>
      </c>
      <c r="Y60" s="151">
        <f>IF(SUM($K$54:X54)&gt;0,X60 + 1/Periods_in_Year,0) * Flag_Financial_Model</f>
        <v>0</v>
      </c>
      <c r="Z60" s="151">
        <f>IF(SUM($K$54:Y54)&gt;0,Y60 + 1/Periods_in_Year,0) * Flag_Financial_Model</f>
        <v>0</v>
      </c>
      <c r="AA60" s="151">
        <f>IF(SUM($K$54:Z54)&gt;0,Z60 + 1/Periods_in_Year,0) * Flag_Financial_Model</f>
        <v>0</v>
      </c>
      <c r="AB60" s="151">
        <f>IF(SUM($K$54:AA54)&gt;0,AA60 + 1/Periods_in_Year,0) * Flag_Financial_Model</f>
        <v>0</v>
      </c>
      <c r="AC60" s="151">
        <f>IF(SUM($K$54:AB54)&gt;0,AB60 + 1/Periods_in_Year,0) * Flag_Financial_Model</f>
        <v>0</v>
      </c>
      <c r="AD60" s="151">
        <f>IF(SUM($K$54:AC54)&gt;0,AC60 + 1/Periods_in_Year,0) * Flag_Financial_Model</f>
        <v>0</v>
      </c>
      <c r="AE60" s="151">
        <f>IF(SUM($K$54:AD54)&gt;0,AD60 + 1/Periods_in_Year,0) * Flag_Financial_Model</f>
        <v>0</v>
      </c>
      <c r="AF60" s="151">
        <f>IF(SUM($K$54:AE54)&gt;0,AE60 + 1/Periods_in_Year,0) * Flag_Financial_Model</f>
        <v>0</v>
      </c>
      <c r="AG60" s="151">
        <f>IF(SUM($K$54:AF54)&gt;0,AF60 + 1/Periods_in_Year,0) * Flag_Financial_Model</f>
        <v>0</v>
      </c>
      <c r="AH60" s="151">
        <f>IF(SUM($K$54:AG54)&gt;0,AG60 + 1/Periods_in_Year,0) * Flag_Financial_Model</f>
        <v>0</v>
      </c>
      <c r="AI60" s="151">
        <f>IF(SUM($K$54:AH54)&gt;0,AH60 + 1/Periods_in_Year,0) * Flag_Financial_Model</f>
        <v>0</v>
      </c>
      <c r="AJ60" s="151">
        <f>IF(SUM($K$54:AI54)&gt;0,AI60 + 1/Periods_in_Year,0) * Flag_Financial_Model</f>
        <v>0</v>
      </c>
      <c r="AK60" s="151">
        <f>IF(SUM($K$54:AJ54)&gt;0,AJ60 + 1/Periods_in_Year,0) * Flag_Financial_Model</f>
        <v>0</v>
      </c>
      <c r="AL60" s="151">
        <f>IF(SUM($K$54:AK54)&gt;0,AK60 + 1/Periods_in_Year,0) * Flag_Financial_Model</f>
        <v>0</v>
      </c>
      <c r="AM60" s="151">
        <f>IF(SUM($K$54:AL54)&gt;0,AL60 + 1/Periods_in_Year,0) * Flag_Financial_Model</f>
        <v>0</v>
      </c>
      <c r="AN60" s="151">
        <f>IF(SUM($K$54:AM54)&gt;0,AM60 + 1/Periods_in_Year,0) * Flag_Financial_Model</f>
        <v>0</v>
      </c>
      <c r="AO60" s="151">
        <f>IF(SUM($K$54:AN54)&gt;0,AN60 + 1/Periods_in_Year,0) * Flag_Financial_Model</f>
        <v>0.25</v>
      </c>
      <c r="AP60" s="151">
        <f>IF(SUM($K$54:AO54)&gt;0,AO60 + 1/Periods_in_Year,0) * Flag_Financial_Model</f>
        <v>0.5</v>
      </c>
      <c r="AQ60" s="151">
        <f>IF(SUM($K$54:AP54)&gt;0,AP60 + 1/Periods_in_Year,0) * Flag_Financial_Model</f>
        <v>0.75</v>
      </c>
      <c r="AR60" s="151">
        <f>IF(SUM($K$54:AQ54)&gt;0,AQ60 + 1/Periods_in_Year,0) * Flag_Financial_Model</f>
        <v>1</v>
      </c>
      <c r="AS60" s="151">
        <f>IF(SUM($K$54:AR54)&gt;0,AR60 + 1/Periods_in_Year,0) * Flag_Financial_Model</f>
        <v>1.25</v>
      </c>
      <c r="AT60" s="151">
        <f>IF(SUM($K$54:AS54)&gt;0,AS60 + 1/Periods_in_Year,0) * Flag_Financial_Model</f>
        <v>1.5</v>
      </c>
      <c r="AU60" s="151">
        <f>IF(SUM($K$54:AT54)&gt;0,AT60 + 1/Periods_in_Year,0) * Flag_Financial_Model</f>
        <v>1.75</v>
      </c>
      <c r="AV60" s="151">
        <f>IF(SUM($K$54:AU54)&gt;0,AU60 + 1/Periods_in_Year,0) * Flag_Financial_Model</f>
        <v>2</v>
      </c>
      <c r="AW60" s="151">
        <f>IF(SUM($K$54:AV54)&gt;0,AV60 + 1/Periods_in_Year,0) * Flag_Financial_Model</f>
        <v>2.25</v>
      </c>
      <c r="AX60" s="151">
        <f>IF(SUM($K$54:AW54)&gt;0,AW60 + 1/Periods_in_Year,0) * Flag_Financial_Model</f>
        <v>2.5</v>
      </c>
      <c r="AY60" s="151">
        <f>IF(SUM($K$54:AX54)&gt;0,AX60 + 1/Periods_in_Year,0) * Flag_Financial_Model</f>
        <v>2.75</v>
      </c>
      <c r="AZ60" s="151">
        <f>IF(SUM($K$54:AY54)&gt;0,AY60 + 1/Periods_in_Year,0) * Flag_Financial_Model</f>
        <v>3</v>
      </c>
      <c r="BA60" s="151">
        <f>IF(SUM($K$54:AZ54)&gt;0,AZ60 + 1/Periods_in_Year,0) * Flag_Financial_Model</f>
        <v>3.25</v>
      </c>
      <c r="BB60" s="151">
        <f>IF(SUM($K$54:BA54)&gt;0,BA60 + 1/Periods_in_Year,0) * Flag_Financial_Model</f>
        <v>3.5</v>
      </c>
      <c r="BC60" s="151">
        <f>IF(SUM($K$54:BB54)&gt;0,BB60 + 1/Periods_in_Year,0) * Flag_Financial_Model</f>
        <v>3.75</v>
      </c>
      <c r="BD60" s="151">
        <f>IF(SUM($K$54:BC54)&gt;0,BC60 + 1/Periods_in_Year,0) * Flag_Financial_Model</f>
        <v>4</v>
      </c>
      <c r="BE60" s="151">
        <f>IF(SUM($K$54:BD54)&gt;0,BD60 + 1/Periods_in_Year,0) * Flag_Financial_Model</f>
        <v>4.25</v>
      </c>
      <c r="BF60" s="151">
        <f>IF(SUM($K$54:BE54)&gt;0,BE60 + 1/Periods_in_Year,0) * Flag_Financial_Model</f>
        <v>4.5</v>
      </c>
      <c r="BG60" s="151">
        <f>IF(SUM($K$54:BF54)&gt;0,BF60 + 1/Periods_in_Year,0) * Flag_Financial_Model</f>
        <v>4.75</v>
      </c>
      <c r="BH60" s="151">
        <f>IF(SUM($K$54:BG54)&gt;0,BG60 + 1/Periods_in_Year,0) * Flag_Financial_Model</f>
        <v>5</v>
      </c>
      <c r="BI60" s="151">
        <f>IF(SUM($K$54:BH54)&gt;0,BH60 + 1/Periods_in_Year,0) * Flag_Financial_Model</f>
        <v>5.25</v>
      </c>
      <c r="BJ60" s="151">
        <f>IF(SUM($K$54:BI54)&gt;0,BI60 + 1/Periods_in_Year,0) * Flag_Financial_Model</f>
        <v>5.5</v>
      </c>
      <c r="BK60" s="151">
        <f>IF(SUM($K$54:BJ54)&gt;0,BJ60 + 1/Periods_in_Year,0) * Flag_Financial_Model</f>
        <v>5.75</v>
      </c>
      <c r="BL60" s="151">
        <f>IF(SUM($K$54:BK54)&gt;0,BK60 + 1/Periods_in_Year,0) * Flag_Financial_Model</f>
        <v>6</v>
      </c>
      <c r="BM60" s="151">
        <f>IF(SUM($K$54:BL54)&gt;0,BL60 + 1/Periods_in_Year,0) * Flag_Financial_Model</f>
        <v>6.25</v>
      </c>
      <c r="BN60" s="151">
        <f>IF(SUM($K$54:BM54)&gt;0,BM60 + 1/Periods_in_Year,0) * Flag_Financial_Model</f>
        <v>6.5</v>
      </c>
      <c r="BO60" s="151">
        <f>IF(SUM($K$54:BN54)&gt;0,BN60 + 1/Periods_in_Year,0) * Flag_Financial_Model</f>
        <v>6.75</v>
      </c>
      <c r="BP60" s="151">
        <f>IF(SUM($K$54:BO54)&gt;0,BO60 + 1/Periods_in_Year,0) * Flag_Financial_Model</f>
        <v>7</v>
      </c>
      <c r="BQ60" s="151">
        <f>IF(SUM($K$54:BP54)&gt;0,BP60 + 1/Periods_in_Year,0) * Flag_Financial_Model</f>
        <v>7.25</v>
      </c>
      <c r="BR60" s="151">
        <f>IF(SUM($K$54:BQ54)&gt;0,BQ60 + 1/Periods_in_Year,0) * Flag_Financial_Model</f>
        <v>7.5</v>
      </c>
      <c r="BS60" s="151">
        <f>IF(SUM($K$54:BR54)&gt;0,BR60 + 1/Periods_in_Year,0) * Flag_Financial_Model</f>
        <v>7.75</v>
      </c>
      <c r="BT60" s="151">
        <f>IF(SUM($K$54:BS54)&gt;0,BS60 + 1/Periods_in_Year,0) * Flag_Financial_Model</f>
        <v>8</v>
      </c>
      <c r="BU60" s="151">
        <f>IF(SUM($K$54:BT54)&gt;0,BT60 + 1/Periods_in_Year,0) * Flag_Financial_Model</f>
        <v>8.25</v>
      </c>
      <c r="BV60" s="151">
        <f>IF(SUM($K$54:BU54)&gt;0,BU60 + 1/Periods_in_Year,0) * Flag_Financial_Model</f>
        <v>8.5</v>
      </c>
      <c r="BW60" s="151">
        <f>IF(SUM($K$54:BV54)&gt;0,BV60 + 1/Periods_in_Year,0) * Flag_Financial_Model</f>
        <v>8.75</v>
      </c>
      <c r="BX60" s="151">
        <f>IF(SUM($K$54:BW54)&gt;0,BW60 + 1/Periods_in_Year,0) * Flag_Financial_Model</f>
        <v>9</v>
      </c>
      <c r="BY60" s="151">
        <f>IF(SUM($K$54:BX54)&gt;0,BX60 + 1/Periods_in_Year,0) * Flag_Financial_Model</f>
        <v>9.25</v>
      </c>
      <c r="BZ60" s="151">
        <f>IF(SUM($K$54:BY54)&gt;0,BY60 + 1/Periods_in_Year,0) * Flag_Financial_Model</f>
        <v>9.5</v>
      </c>
      <c r="CA60" s="151">
        <f>IF(SUM($K$54:BZ54)&gt;0,BZ60 + 1/Periods_in_Year,0) * Flag_Financial_Model</f>
        <v>9.75</v>
      </c>
      <c r="CB60" s="151">
        <f>IF(SUM($K$54:CA54)&gt;0,CA60 + 1/Periods_in_Year,0) * Flag_Financial_Model</f>
        <v>10</v>
      </c>
      <c r="CC60" s="151">
        <f>IF(SUM($K$54:CB54)&gt;0,CB60 + 1/Periods_in_Year,0) * Flag_Financial_Model</f>
        <v>10.25</v>
      </c>
      <c r="CD60" s="151">
        <f>IF(SUM($K$54:CC54)&gt;0,CC60 + 1/Periods_in_Year,0) * Flag_Financial_Model</f>
        <v>10.5</v>
      </c>
      <c r="CE60" s="151">
        <f>IF(SUM($K$54:CD54)&gt;0,CD60 + 1/Periods_in_Year,0) * Flag_Financial_Model</f>
        <v>10.75</v>
      </c>
      <c r="CF60" s="151">
        <f>IF(SUM($K$54:CE54)&gt;0,CE60 + 1/Periods_in_Year,0) * Flag_Financial_Model</f>
        <v>11</v>
      </c>
      <c r="CG60" s="151">
        <f>IF(SUM($K$54:CF54)&gt;0,CF60 + 1/Periods_in_Year,0) * Flag_Financial_Model</f>
        <v>11.25</v>
      </c>
      <c r="CH60" s="151">
        <f>IF(SUM($K$54:CG54)&gt;0,CG60 + 1/Periods_in_Year,0) * Flag_Financial_Model</f>
        <v>11.5</v>
      </c>
      <c r="CI60" s="151">
        <f>IF(SUM($K$54:CH54)&gt;0,CH60 + 1/Periods_in_Year,0) * Flag_Financial_Model</f>
        <v>11.75</v>
      </c>
      <c r="CJ60" s="151">
        <f>IF(SUM($K$54:CI54)&gt;0,CI60 + 1/Periods_in_Year,0) * Flag_Financial_Model</f>
        <v>12</v>
      </c>
      <c r="CK60" s="151">
        <f>IF(SUM($K$54:CJ54)&gt;0,CJ60 + 1/Periods_in_Year,0) * Flag_Financial_Model</f>
        <v>12.25</v>
      </c>
      <c r="CL60" s="151">
        <f>IF(SUM($K$54:CK54)&gt;0,CK60 + 1/Periods_in_Year,0) * Flag_Financial_Model</f>
        <v>12.5</v>
      </c>
      <c r="CM60" s="151">
        <f>IF(SUM($K$54:CL54)&gt;0,CL60 + 1/Periods_in_Year,0) * Flag_Financial_Model</f>
        <v>12.75</v>
      </c>
      <c r="CN60" s="151">
        <f>IF(SUM($K$54:CM54)&gt;0,CM60 + 1/Periods_in_Year,0) * Flag_Financial_Model</f>
        <v>13</v>
      </c>
      <c r="CO60" s="151">
        <f>IF(SUM($K$54:CN54)&gt;0,CN60 + 1/Periods_in_Year,0) * Flag_Financial_Model</f>
        <v>13.25</v>
      </c>
    </row>
    <row r="61" spans="1:93" ht="15" customHeight="1">
      <c r="A61" s="47"/>
      <c r="B61" s="47"/>
      <c r="C61" s="153"/>
      <c r="D61" s="153"/>
      <c r="E61" s="11"/>
      <c r="F61" s="11"/>
      <c r="G61" s="11"/>
      <c r="H61" s="153"/>
      <c r="I61" s="154"/>
      <c r="J61" s="153"/>
      <c r="K61" s="153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</row>
    <row r="62" spans="1:93" ht="15" customHeight="1">
      <c r="A62" s="47"/>
      <c r="B62" s="47"/>
      <c r="C62" s="153" t="s">
        <v>82</v>
      </c>
      <c r="D62" s="153"/>
      <c r="E62" s="11"/>
      <c r="F62" s="11"/>
      <c r="G62" s="11" t="str">
        <f t="shared" ref="G62:G68" si="41">Monetary_Unit</f>
        <v>тыс. руб.</v>
      </c>
      <c r="H62" s="153"/>
      <c r="I62" s="23">
        <f t="shared" ref="I62:I68" ca="1" si="42">SUM(L62:CO62)</f>
        <v>9495828.0671741236</v>
      </c>
      <c r="J62" s="153"/>
      <c r="K62" s="153"/>
      <c r="L62" s="450">
        <f t="shared" ref="L62:AQ62" ca="1" si="43" xml:space="preserve"> EBIT * (L$60 &lt;&gt; 0)</f>
        <v>0</v>
      </c>
      <c r="M62" s="450">
        <f t="shared" ca="1" si="43"/>
        <v>0</v>
      </c>
      <c r="N62" s="450">
        <f t="shared" ca="1" si="43"/>
        <v>0</v>
      </c>
      <c r="O62" s="450">
        <f t="shared" ca="1" si="43"/>
        <v>0</v>
      </c>
      <c r="P62" s="450">
        <f t="shared" ca="1" si="43"/>
        <v>0</v>
      </c>
      <c r="Q62" s="450">
        <f t="shared" ca="1" si="43"/>
        <v>0</v>
      </c>
      <c r="R62" s="450">
        <f t="shared" ca="1" si="43"/>
        <v>0</v>
      </c>
      <c r="S62" s="450">
        <f t="shared" ca="1" si="43"/>
        <v>0</v>
      </c>
      <c r="T62" s="450">
        <f t="shared" ca="1" si="43"/>
        <v>0</v>
      </c>
      <c r="U62" s="450">
        <f t="shared" ca="1" si="43"/>
        <v>0</v>
      </c>
      <c r="V62" s="450">
        <f t="shared" ca="1" si="43"/>
        <v>0</v>
      </c>
      <c r="W62" s="450">
        <f t="shared" ca="1" si="43"/>
        <v>0</v>
      </c>
      <c r="X62" s="450">
        <f t="shared" ca="1" si="43"/>
        <v>0</v>
      </c>
      <c r="Y62" s="450">
        <f t="shared" ca="1" si="43"/>
        <v>0</v>
      </c>
      <c r="Z62" s="450">
        <f t="shared" ca="1" si="43"/>
        <v>0</v>
      </c>
      <c r="AA62" s="450">
        <f t="shared" ca="1" si="43"/>
        <v>0</v>
      </c>
      <c r="AB62" s="450">
        <f t="shared" ca="1" si="43"/>
        <v>0</v>
      </c>
      <c r="AC62" s="450">
        <f t="shared" ca="1" si="43"/>
        <v>0</v>
      </c>
      <c r="AD62" s="450">
        <f t="shared" ca="1" si="43"/>
        <v>0</v>
      </c>
      <c r="AE62" s="450">
        <f t="shared" ca="1" si="43"/>
        <v>0</v>
      </c>
      <c r="AF62" s="450">
        <f t="shared" ca="1" si="43"/>
        <v>0</v>
      </c>
      <c r="AG62" s="450">
        <f t="shared" ca="1" si="43"/>
        <v>0</v>
      </c>
      <c r="AH62" s="450">
        <f t="shared" ca="1" si="43"/>
        <v>0</v>
      </c>
      <c r="AI62" s="450">
        <f t="shared" ca="1" si="43"/>
        <v>0</v>
      </c>
      <c r="AJ62" s="450">
        <f t="shared" ca="1" si="43"/>
        <v>0</v>
      </c>
      <c r="AK62" s="450">
        <f t="shared" ca="1" si="43"/>
        <v>0</v>
      </c>
      <c r="AL62" s="450">
        <f t="shared" ca="1" si="43"/>
        <v>0</v>
      </c>
      <c r="AM62" s="450">
        <f t="shared" ca="1" si="43"/>
        <v>0</v>
      </c>
      <c r="AN62" s="450">
        <f t="shared" ca="1" si="43"/>
        <v>0</v>
      </c>
      <c r="AO62" s="450">
        <f t="shared" ca="1" si="43"/>
        <v>156718.2986482555</v>
      </c>
      <c r="AP62" s="450">
        <f t="shared" ca="1" si="43"/>
        <v>353993.69382407272</v>
      </c>
      <c r="AQ62" s="450">
        <f t="shared" ca="1" si="43"/>
        <v>83821.841600480548</v>
      </c>
      <c r="AR62" s="450">
        <f t="shared" ref="AR62:BW62" ca="1" si="44" xml:space="preserve"> EBIT * (AR$60 &lt;&gt; 0)</f>
        <v>65892.824268491982</v>
      </c>
      <c r="AS62" s="450">
        <f t="shared" ca="1" si="44"/>
        <v>164946.8298960549</v>
      </c>
      <c r="AT62" s="450">
        <f t="shared" ca="1" si="44"/>
        <v>370114.16883519979</v>
      </c>
      <c r="AU62" s="450">
        <f t="shared" ca="1" si="44"/>
        <v>89135.43534993002</v>
      </c>
      <c r="AV62" s="450">
        <f t="shared" ca="1" si="44"/>
        <v>70494.595984638421</v>
      </c>
      <c r="AW62" s="450">
        <f t="shared" ca="1" si="44"/>
        <v>118866.01577620278</v>
      </c>
      <c r="AX62" s="450">
        <f t="shared" ca="1" si="44"/>
        <v>277929.85747417703</v>
      </c>
      <c r="AY62" s="450">
        <f t="shared" ca="1" si="44"/>
        <v>59731.54833241686</v>
      </c>
      <c r="AZ62" s="450">
        <f t="shared" ca="1" si="44"/>
        <v>45251.371598322949</v>
      </c>
      <c r="BA62" s="450">
        <f t="shared" ca="1" si="44"/>
        <v>125587.73015061772</v>
      </c>
      <c r="BB62" s="450">
        <f t="shared" ca="1" si="44"/>
        <v>291015.1405144711</v>
      </c>
      <c r="BC62" s="450">
        <f t="shared" ca="1" si="44"/>
        <v>64088.899007040542</v>
      </c>
      <c r="BD62" s="450">
        <f t="shared" ca="1" si="44"/>
        <v>50100.090805378488</v>
      </c>
      <c r="BE62" s="450">
        <f t="shared" ca="1" si="44"/>
        <v>156264.2684376376</v>
      </c>
      <c r="BF62" s="450">
        <f t="shared" ca="1" si="44"/>
        <v>328309.87634766841</v>
      </c>
      <c r="BG62" s="450">
        <f t="shared" ca="1" si="44"/>
        <v>92306.593248291087</v>
      </c>
      <c r="BH62" s="450">
        <f t="shared" ca="1" si="44"/>
        <v>76633.487591531462</v>
      </c>
      <c r="BI62" s="450">
        <f t="shared" ca="1" si="44"/>
        <v>163527.3635975323</v>
      </c>
      <c r="BJ62" s="450">
        <f t="shared" ca="1" si="44"/>
        <v>342455.72124291479</v>
      </c>
      <c r="BK62" s="450">
        <f t="shared" ca="1" si="44"/>
        <v>97012.298428478127</v>
      </c>
      <c r="BL62" s="450">
        <f t="shared" ca="1" si="44"/>
        <v>80717.732071393213</v>
      </c>
      <c r="BM62" s="450">
        <f t="shared" ca="1" si="44"/>
        <v>171088.37811559418</v>
      </c>
      <c r="BN62" s="450">
        <f t="shared" ca="1" si="44"/>
        <v>357174.88506475213</v>
      </c>
      <c r="BO62" s="450">
        <f t="shared" ca="1" si="44"/>
        <v>101913.72533773817</v>
      </c>
      <c r="BP62" s="450">
        <f t="shared" ca="1" si="44"/>
        <v>84965.346330449349</v>
      </c>
      <c r="BQ62" s="450">
        <f t="shared" ca="1" si="44"/>
        <v>178951.8332143786</v>
      </c>
      <c r="BR62" s="450">
        <f t="shared" ca="1" si="44"/>
        <v>362388.72817872214</v>
      </c>
      <c r="BS62" s="450">
        <f t="shared" ca="1" si="44"/>
        <v>97045.709161490493</v>
      </c>
      <c r="BT62" s="450">
        <f t="shared" ca="1" si="44"/>
        <v>80937.49507972115</v>
      </c>
      <c r="BU62" s="450">
        <f t="shared" ca="1" si="44"/>
        <v>177560.51033557398</v>
      </c>
      <c r="BV62" s="450">
        <f t="shared" ca="1" si="44"/>
        <v>378856.83464166883</v>
      </c>
      <c r="BW62" s="450">
        <f t="shared" ca="1" si="44"/>
        <v>102894.60948775074</v>
      </c>
      <c r="BX62" s="450">
        <f t="shared" ref="BX62:CO62" ca="1" si="45" xml:space="preserve"> EBIT * (BX$60 &lt;&gt; 0)</f>
        <v>84857.184524194527</v>
      </c>
      <c r="BY62" s="450">
        <f t="shared" ca="1" si="45"/>
        <v>186540.89652204956</v>
      </c>
      <c r="BZ62" s="450">
        <f t="shared" ca="1" si="45"/>
        <v>395894.73005261237</v>
      </c>
      <c r="CA62" s="450">
        <f t="shared" ca="1" si="45"/>
        <v>108889.22797630748</v>
      </c>
      <c r="CB62" s="450">
        <f t="shared" ca="1" si="45"/>
        <v>90138.339798687564</v>
      </c>
      <c r="CC62" s="450">
        <f t="shared" ca="1" si="45"/>
        <v>195894.97173031143</v>
      </c>
      <c r="CD62" s="450">
        <f t="shared" ca="1" si="45"/>
        <v>413628.41824108304</v>
      </c>
      <c r="CE62" s="450">
        <f t="shared" ca="1" si="45"/>
        <v>115137.55259777128</v>
      </c>
      <c r="CF62" s="450">
        <f t="shared" ca="1" si="45"/>
        <v>95610.614607816678</v>
      </c>
      <c r="CG62" s="450">
        <f t="shared" ca="1" si="45"/>
        <v>205602.85964082295</v>
      </c>
      <c r="CH62" s="450">
        <f t="shared" ca="1" si="45"/>
        <v>432050.88002127415</v>
      </c>
      <c r="CI62" s="450">
        <f t="shared" ca="1" si="45"/>
        <v>121615.23626827565</v>
      </c>
      <c r="CJ62" s="450">
        <f t="shared" ca="1" si="45"/>
        <v>102693.08013457917</v>
      </c>
      <c r="CK62" s="450">
        <f t="shared" ca="1" si="45"/>
        <v>215706.79644200634</v>
      </c>
      <c r="CL62" s="450">
        <f t="shared" ca="1" si="45"/>
        <v>451217.71823254175</v>
      </c>
      <c r="CM62" s="450">
        <f t="shared" ca="1" si="45"/>
        <v>128359.16495669194</v>
      </c>
      <c r="CN62" s="450">
        <f t="shared" ca="1" si="45"/>
        <v>107159.40774677981</v>
      </c>
      <c r="CO62" s="450">
        <f t="shared" ca="1" si="45"/>
        <v>226137.24970127826</v>
      </c>
    </row>
    <row r="63" spans="1:93" ht="15" customHeight="1">
      <c r="A63" s="47"/>
      <c r="B63" s="47"/>
      <c r="C63" s="153" t="s">
        <v>1118</v>
      </c>
      <c r="D63" s="153"/>
      <c r="E63" s="11"/>
      <c r="F63" s="11"/>
      <c r="G63" s="11" t="str">
        <f t="shared" si="41"/>
        <v>тыс. руб.</v>
      </c>
      <c r="H63" s="153"/>
      <c r="I63" s="23">
        <f t="shared" ca="1" si="42"/>
        <v>-1077997.3694506583</v>
      </c>
      <c r="J63" s="153"/>
      <c r="K63" s="153"/>
      <c r="L63" s="450">
        <f t="shared" ref="L63:AQ63" ca="1" si="46" xml:space="preserve"> - L62 *  IFERROR(-Profits_Tax/PBT,0) * (L$60 &lt;&gt; 0)</f>
        <v>0</v>
      </c>
      <c r="M63" s="450">
        <f t="shared" ca="1" si="46"/>
        <v>0</v>
      </c>
      <c r="N63" s="450">
        <f t="shared" ca="1" si="46"/>
        <v>0</v>
      </c>
      <c r="O63" s="450">
        <f t="shared" ca="1" si="46"/>
        <v>0</v>
      </c>
      <c r="P63" s="450">
        <f t="shared" ca="1" si="46"/>
        <v>0</v>
      </c>
      <c r="Q63" s="450">
        <f t="shared" ca="1" si="46"/>
        <v>0</v>
      </c>
      <c r="R63" s="450">
        <f t="shared" ca="1" si="46"/>
        <v>0</v>
      </c>
      <c r="S63" s="450">
        <f t="shared" ca="1" si="46"/>
        <v>0</v>
      </c>
      <c r="T63" s="450">
        <f t="shared" ca="1" si="46"/>
        <v>0</v>
      </c>
      <c r="U63" s="450">
        <f t="shared" ca="1" si="46"/>
        <v>0</v>
      </c>
      <c r="V63" s="450">
        <f t="shared" ca="1" si="46"/>
        <v>0</v>
      </c>
      <c r="W63" s="450">
        <f t="shared" ca="1" si="46"/>
        <v>0</v>
      </c>
      <c r="X63" s="450">
        <f t="shared" ca="1" si="46"/>
        <v>0</v>
      </c>
      <c r="Y63" s="450">
        <f t="shared" ca="1" si="46"/>
        <v>0</v>
      </c>
      <c r="Z63" s="450">
        <f t="shared" ca="1" si="46"/>
        <v>0</v>
      </c>
      <c r="AA63" s="450">
        <f t="shared" ca="1" si="46"/>
        <v>0</v>
      </c>
      <c r="AB63" s="450">
        <f t="shared" ca="1" si="46"/>
        <v>0</v>
      </c>
      <c r="AC63" s="450">
        <f t="shared" ca="1" si="46"/>
        <v>0</v>
      </c>
      <c r="AD63" s="450">
        <f t="shared" ca="1" si="46"/>
        <v>0</v>
      </c>
      <c r="AE63" s="450">
        <f t="shared" ca="1" si="46"/>
        <v>0</v>
      </c>
      <c r="AF63" s="450">
        <f t="shared" ca="1" si="46"/>
        <v>0</v>
      </c>
      <c r="AG63" s="450">
        <f t="shared" ca="1" si="46"/>
        <v>0</v>
      </c>
      <c r="AH63" s="450">
        <f t="shared" ca="1" si="46"/>
        <v>0</v>
      </c>
      <c r="AI63" s="450">
        <f t="shared" ca="1" si="46"/>
        <v>0</v>
      </c>
      <c r="AJ63" s="450">
        <f t="shared" ca="1" si="46"/>
        <v>0</v>
      </c>
      <c r="AK63" s="450">
        <f t="shared" ca="1" si="46"/>
        <v>0</v>
      </c>
      <c r="AL63" s="450">
        <f t="shared" ca="1" si="46"/>
        <v>0</v>
      </c>
      <c r="AM63" s="450">
        <f t="shared" ca="1" si="46"/>
        <v>0</v>
      </c>
      <c r="AN63" s="450">
        <f t="shared" ca="1" si="46"/>
        <v>0</v>
      </c>
      <c r="AO63" s="450">
        <f t="shared" ca="1" si="46"/>
        <v>-1736.7680606837232</v>
      </c>
      <c r="AP63" s="450">
        <f t="shared" ca="1" si="46"/>
        <v>-3686.504757214715</v>
      </c>
      <c r="AQ63" s="450">
        <f t="shared" ca="1" si="46"/>
        <v>-1327.2060050919515</v>
      </c>
      <c r="AR63" s="450">
        <f t="shared" ref="AR63:BW63" ca="1" si="47" xml:space="preserve"> - AR62 *  IFERROR(-Profits_Tax/PBT,0) * (AR$60 &lt;&gt; 0)</f>
        <v>-1737.8621912598803</v>
      </c>
      <c r="AS63" s="450">
        <f t="shared" ca="1" si="47"/>
        <v>-3607.5767391992163</v>
      </c>
      <c r="AT63" s="450">
        <f t="shared" ca="1" si="47"/>
        <v>-7684.5520623916009</v>
      </c>
      <c r="AU63" s="450">
        <f t="shared" ca="1" si="47"/>
        <v>-7369.4502077619809</v>
      </c>
      <c r="AV63" s="450">
        <f t="shared" ca="1" si="47"/>
        <v>-5965.8476571062874</v>
      </c>
      <c r="AW63" s="450">
        <f t="shared" ca="1" si="47"/>
        <v>-9270.1972537184811</v>
      </c>
      <c r="AX63" s="450">
        <f t="shared" ca="1" si="47"/>
        <v>-20387.297472093291</v>
      </c>
      <c r="AY63" s="450">
        <f t="shared" ca="1" si="47"/>
        <v>-5113.4158321700788</v>
      </c>
      <c r="AZ63" s="450">
        <f t="shared" ca="1" si="47"/>
        <v>-4099.8034607835061</v>
      </c>
      <c r="BA63" s="450">
        <f t="shared" ca="1" si="47"/>
        <v>-9723.348559444139</v>
      </c>
      <c r="BB63" s="450">
        <f t="shared" ca="1" si="47"/>
        <v>-21303.267284913883</v>
      </c>
      <c r="BC63" s="450">
        <f t="shared" ca="1" si="47"/>
        <v>-5418.430379393737</v>
      </c>
      <c r="BD63" s="450">
        <f t="shared" ca="1" si="47"/>
        <v>-4439.213805277408</v>
      </c>
      <c r="BE63" s="450">
        <f t="shared" ca="1" si="47"/>
        <v>-11252.770442178638</v>
      </c>
      <c r="BF63" s="450">
        <f t="shared" ca="1" si="47"/>
        <v>-23295.962995880793</v>
      </c>
      <c r="BG63" s="450">
        <f t="shared" ca="1" si="47"/>
        <v>-6775.7331789243817</v>
      </c>
      <c r="BH63" s="450">
        <f t="shared" ca="1" si="47"/>
        <v>-5678.6157829512076</v>
      </c>
      <c r="BI63" s="450">
        <f t="shared" ca="1" si="47"/>
        <v>-11761.187103371267</v>
      </c>
      <c r="BJ63" s="450">
        <f t="shared" ca="1" si="47"/>
        <v>-24286.172138548041</v>
      </c>
      <c r="BK63" s="450">
        <f t="shared" ca="1" si="47"/>
        <v>-7105.132541537474</v>
      </c>
      <c r="BL63" s="450">
        <f t="shared" ca="1" si="47"/>
        <v>-5964.5128965415306</v>
      </c>
      <c r="BM63" s="450">
        <f t="shared" ca="1" si="47"/>
        <v>-12290.458119635599</v>
      </c>
      <c r="BN63" s="450">
        <f t="shared" ca="1" si="47"/>
        <v>-25316.513606076656</v>
      </c>
      <c r="BO63" s="450">
        <f t="shared" ca="1" si="47"/>
        <v>-16492.514655768286</v>
      </c>
      <c r="BP63" s="450">
        <f t="shared" ca="1" si="47"/>
        <v>-13865.515909638518</v>
      </c>
      <c r="BQ63" s="450">
        <f t="shared" ca="1" si="47"/>
        <v>-28433.421376647551</v>
      </c>
      <c r="BR63" s="450">
        <f t="shared" ca="1" si="47"/>
        <v>-56866.140096120798</v>
      </c>
      <c r="BS63" s="450">
        <f t="shared" ca="1" si="47"/>
        <v>-15737.972148449895</v>
      </c>
      <c r="BT63" s="450">
        <f t="shared" ca="1" si="47"/>
        <v>-13241.198965775646</v>
      </c>
      <c r="BU63" s="450">
        <f t="shared" ca="1" si="47"/>
        <v>-28217.766330432834</v>
      </c>
      <c r="BV63" s="450">
        <f t="shared" ca="1" si="47"/>
        <v>-59418.696597877541</v>
      </c>
      <c r="BW63" s="450">
        <f t="shared" ca="1" si="47"/>
        <v>-16644.551699020234</v>
      </c>
      <c r="BX63" s="450">
        <f t="shared" ref="BX63:CO63" ca="1" si="48" xml:space="preserve"> - BX62 *  IFERROR(-Profits_Tax/PBT,0) * (BX$60 &lt;&gt; 0)</f>
        <v>-13848.750829669018</v>
      </c>
      <c r="BY63" s="450">
        <f t="shared" ca="1" si="48"/>
        <v>-29609.726189336554</v>
      </c>
      <c r="BZ63" s="450">
        <f t="shared" ca="1" si="48"/>
        <v>-62059.570386573774</v>
      </c>
      <c r="CA63" s="450">
        <f t="shared" ca="1" si="48"/>
        <v>-17573.717564746523</v>
      </c>
      <c r="CB63" s="450">
        <f t="shared" ca="1" si="48"/>
        <v>-14667.329897215441</v>
      </c>
      <c r="CC63" s="450">
        <f t="shared" ca="1" si="48"/>
        <v>-31059.607846617138</v>
      </c>
      <c r="CD63" s="450">
        <f t="shared" ca="1" si="48"/>
        <v>-64808.292055786733</v>
      </c>
      <c r="CE63" s="450">
        <f t="shared" ca="1" si="48"/>
        <v>-18542.207881073417</v>
      </c>
      <c r="CF63" s="450">
        <f t="shared" ca="1" si="48"/>
        <v>-15515.532492630453</v>
      </c>
      <c r="CG63" s="450">
        <f t="shared" ca="1" si="48"/>
        <v>-32564.330472746427</v>
      </c>
      <c r="CH63" s="450">
        <f t="shared" ca="1" si="48"/>
        <v>-67663.773631716351</v>
      </c>
      <c r="CI63" s="450">
        <f t="shared" ca="1" si="48"/>
        <v>-19546.248850001593</v>
      </c>
      <c r="CJ63" s="450">
        <f t="shared" ca="1" si="48"/>
        <v>-16613.31464927864</v>
      </c>
      <c r="CK63" s="450">
        <f t="shared" ca="1" si="48"/>
        <v>-34130.440676929851</v>
      </c>
      <c r="CL63" s="450">
        <f t="shared" ca="1" si="48"/>
        <v>-70634.633554462838</v>
      </c>
      <c r="CM63" s="450">
        <f t="shared" ca="1" si="48"/>
        <v>-20591.557796706118</v>
      </c>
      <c r="CN63" s="450">
        <f t="shared" ca="1" si="48"/>
        <v>-17305.595429169738</v>
      </c>
      <c r="CO63" s="450">
        <f t="shared" ca="1" si="48"/>
        <v>-35747.160932116996</v>
      </c>
    </row>
    <row r="64" spans="1:93" ht="15" customHeight="1">
      <c r="A64" s="47"/>
      <c r="B64" s="47"/>
      <c r="C64" s="153" t="s">
        <v>920</v>
      </c>
      <c r="D64" s="153"/>
      <c r="E64" s="11"/>
      <c r="F64" s="11"/>
      <c r="G64" s="11" t="str">
        <f t="shared" si="41"/>
        <v>тыс. руб.</v>
      </c>
      <c r="H64" s="153"/>
      <c r="I64" s="23">
        <f t="shared" ca="1" si="42"/>
        <v>1607872.094393759</v>
      </c>
      <c r="J64" s="153"/>
      <c r="K64" s="153"/>
      <c r="L64" s="450">
        <f t="shared" ref="L64:AQ64" ca="1" si="49" xml:space="preserve"> - Depreciation_PL * (L$60 &lt;&gt; 0)</f>
        <v>0</v>
      </c>
      <c r="M64" s="450">
        <f t="shared" ca="1" si="49"/>
        <v>0</v>
      </c>
      <c r="N64" s="450">
        <f t="shared" ca="1" si="49"/>
        <v>0</v>
      </c>
      <c r="O64" s="450">
        <f t="shared" ca="1" si="49"/>
        <v>0</v>
      </c>
      <c r="P64" s="450">
        <f t="shared" ca="1" si="49"/>
        <v>0</v>
      </c>
      <c r="Q64" s="450">
        <f t="shared" ca="1" si="49"/>
        <v>0</v>
      </c>
      <c r="R64" s="450">
        <f t="shared" ca="1" si="49"/>
        <v>0</v>
      </c>
      <c r="S64" s="450">
        <f t="shared" ca="1" si="49"/>
        <v>0</v>
      </c>
      <c r="T64" s="450">
        <f t="shared" ca="1" si="49"/>
        <v>0</v>
      </c>
      <c r="U64" s="450">
        <f t="shared" ca="1" si="49"/>
        <v>0</v>
      </c>
      <c r="V64" s="450">
        <f t="shared" ca="1" si="49"/>
        <v>0</v>
      </c>
      <c r="W64" s="450">
        <f t="shared" ca="1" si="49"/>
        <v>0</v>
      </c>
      <c r="X64" s="450">
        <f t="shared" ca="1" si="49"/>
        <v>0</v>
      </c>
      <c r="Y64" s="450">
        <f t="shared" ca="1" si="49"/>
        <v>0</v>
      </c>
      <c r="Z64" s="450">
        <f t="shared" ca="1" si="49"/>
        <v>0</v>
      </c>
      <c r="AA64" s="450">
        <f t="shared" ca="1" si="49"/>
        <v>0</v>
      </c>
      <c r="AB64" s="450">
        <f t="shared" ca="1" si="49"/>
        <v>0</v>
      </c>
      <c r="AC64" s="450">
        <f t="shared" ca="1" si="49"/>
        <v>0</v>
      </c>
      <c r="AD64" s="450">
        <f t="shared" ca="1" si="49"/>
        <v>0</v>
      </c>
      <c r="AE64" s="450">
        <f t="shared" ca="1" si="49"/>
        <v>0</v>
      </c>
      <c r="AF64" s="450">
        <f t="shared" ca="1" si="49"/>
        <v>0</v>
      </c>
      <c r="AG64" s="450">
        <f t="shared" ca="1" si="49"/>
        <v>0</v>
      </c>
      <c r="AH64" s="450">
        <f t="shared" ca="1" si="49"/>
        <v>0</v>
      </c>
      <c r="AI64" s="450">
        <f t="shared" ca="1" si="49"/>
        <v>0</v>
      </c>
      <c r="AJ64" s="450">
        <f t="shared" ca="1" si="49"/>
        <v>0</v>
      </c>
      <c r="AK64" s="450">
        <f t="shared" ca="1" si="49"/>
        <v>0</v>
      </c>
      <c r="AL64" s="450">
        <f t="shared" ca="1" si="49"/>
        <v>0</v>
      </c>
      <c r="AM64" s="450">
        <f t="shared" ca="1" si="49"/>
        <v>0</v>
      </c>
      <c r="AN64" s="450">
        <f t="shared" ca="1" si="49"/>
        <v>0</v>
      </c>
      <c r="AO64" s="450">
        <f t="shared" ca="1" si="49"/>
        <v>46867.723224708025</v>
      </c>
      <c r="AP64" s="450">
        <f t="shared" ca="1" si="49"/>
        <v>46867.723224708025</v>
      </c>
      <c r="AQ64" s="450">
        <f t="shared" ca="1" si="49"/>
        <v>46867.723224708025</v>
      </c>
      <c r="AR64" s="450">
        <f t="shared" ref="AR64:BW64" ca="1" si="50" xml:space="preserve"> - Depreciation_PL * (AR$60 &lt;&gt; 0)</f>
        <v>46867.723224708025</v>
      </c>
      <c r="AS64" s="450">
        <f t="shared" ca="1" si="50"/>
        <v>46867.723224708025</v>
      </c>
      <c r="AT64" s="450">
        <f t="shared" ca="1" si="50"/>
        <v>46867.723224708025</v>
      </c>
      <c r="AU64" s="450">
        <f t="shared" ca="1" si="50"/>
        <v>46867.723224708025</v>
      </c>
      <c r="AV64" s="450">
        <f t="shared" ca="1" si="50"/>
        <v>46867.723224708025</v>
      </c>
      <c r="AW64" s="450">
        <f t="shared" ca="1" si="50"/>
        <v>46867.723224708025</v>
      </c>
      <c r="AX64" s="450">
        <f t="shared" ca="1" si="50"/>
        <v>46867.723224708025</v>
      </c>
      <c r="AY64" s="450">
        <f t="shared" ca="1" si="50"/>
        <v>46867.723224708025</v>
      </c>
      <c r="AZ64" s="450">
        <f t="shared" ca="1" si="50"/>
        <v>46867.723224708025</v>
      </c>
      <c r="BA64" s="450">
        <f t="shared" ca="1" si="50"/>
        <v>46867.723224708025</v>
      </c>
      <c r="BB64" s="450">
        <f t="shared" ca="1" si="50"/>
        <v>46867.723224708025</v>
      </c>
      <c r="BC64" s="450">
        <f t="shared" ca="1" si="50"/>
        <v>46867.723224708025</v>
      </c>
      <c r="BD64" s="450">
        <f t="shared" ca="1" si="50"/>
        <v>46867.723224708003</v>
      </c>
      <c r="BE64" s="450">
        <f t="shared" ca="1" si="50"/>
        <v>23188.87899455224</v>
      </c>
      <c r="BF64" s="450">
        <f t="shared" ca="1" si="50"/>
        <v>23188.87899455224</v>
      </c>
      <c r="BG64" s="450">
        <f t="shared" ca="1" si="50"/>
        <v>23188.87899455224</v>
      </c>
      <c r="BH64" s="450">
        <f t="shared" ca="1" si="50"/>
        <v>23188.87899455224</v>
      </c>
      <c r="BI64" s="450">
        <f t="shared" ca="1" si="50"/>
        <v>23188.87899455224</v>
      </c>
      <c r="BJ64" s="450">
        <f t="shared" ca="1" si="50"/>
        <v>23188.87899455224</v>
      </c>
      <c r="BK64" s="450">
        <f t="shared" ca="1" si="50"/>
        <v>23188.87899455224</v>
      </c>
      <c r="BL64" s="450">
        <f t="shared" ca="1" si="50"/>
        <v>23188.87899455224</v>
      </c>
      <c r="BM64" s="450">
        <f t="shared" ca="1" si="50"/>
        <v>23188.87899455224</v>
      </c>
      <c r="BN64" s="450">
        <f t="shared" ca="1" si="50"/>
        <v>23188.87899455224</v>
      </c>
      <c r="BO64" s="450">
        <f t="shared" ca="1" si="50"/>
        <v>23188.87899455224</v>
      </c>
      <c r="BP64" s="450">
        <f t="shared" ca="1" si="50"/>
        <v>23188.87899455224</v>
      </c>
      <c r="BQ64" s="450">
        <f t="shared" ca="1" si="50"/>
        <v>23188.87899455224</v>
      </c>
      <c r="BR64" s="450">
        <f t="shared" ca="1" si="50"/>
        <v>23188.87899455224</v>
      </c>
      <c r="BS64" s="450">
        <f t="shared" ca="1" si="50"/>
        <v>23188.87899455224</v>
      </c>
      <c r="BT64" s="450">
        <f t="shared" ca="1" si="50"/>
        <v>23188.87899455224</v>
      </c>
      <c r="BU64" s="450">
        <f t="shared" ca="1" si="50"/>
        <v>23188.87899455224</v>
      </c>
      <c r="BV64" s="450">
        <f t="shared" ca="1" si="50"/>
        <v>23188.87899455224</v>
      </c>
      <c r="BW64" s="450">
        <f t="shared" ca="1" si="50"/>
        <v>23188.87899455224</v>
      </c>
      <c r="BX64" s="450">
        <f t="shared" ref="BX64:CO64" ca="1" si="51" xml:space="preserve"> - Depreciation_PL * (BX$60 &lt;&gt; 0)</f>
        <v>23188.87899455224</v>
      </c>
      <c r="BY64" s="450">
        <f t="shared" ca="1" si="51"/>
        <v>23188.87899455224</v>
      </c>
      <c r="BZ64" s="450">
        <f t="shared" ca="1" si="51"/>
        <v>23188.87899455224</v>
      </c>
      <c r="CA64" s="450">
        <f t="shared" ca="1" si="51"/>
        <v>23188.87899455224</v>
      </c>
      <c r="CB64" s="450">
        <f t="shared" ca="1" si="51"/>
        <v>23188.87899455224</v>
      </c>
      <c r="CC64" s="450">
        <f t="shared" ca="1" si="51"/>
        <v>23188.87899455224</v>
      </c>
      <c r="CD64" s="450">
        <f t="shared" ca="1" si="51"/>
        <v>23188.87899455224</v>
      </c>
      <c r="CE64" s="450">
        <f t="shared" ca="1" si="51"/>
        <v>23188.87899455224</v>
      </c>
      <c r="CF64" s="450">
        <f t="shared" ca="1" si="51"/>
        <v>23188.87899455224</v>
      </c>
      <c r="CG64" s="450">
        <f t="shared" ca="1" si="51"/>
        <v>23188.87899455224</v>
      </c>
      <c r="CH64" s="450">
        <f t="shared" ca="1" si="51"/>
        <v>23188.87899455224</v>
      </c>
      <c r="CI64" s="450">
        <f t="shared" ca="1" si="51"/>
        <v>23188.87899455224</v>
      </c>
      <c r="CJ64" s="450">
        <f t="shared" ca="1" si="51"/>
        <v>23188.87899455224</v>
      </c>
      <c r="CK64" s="450">
        <f t="shared" ca="1" si="51"/>
        <v>23188.87899455224</v>
      </c>
      <c r="CL64" s="450">
        <f t="shared" ca="1" si="51"/>
        <v>23188.87899455224</v>
      </c>
      <c r="CM64" s="450">
        <f t="shared" ca="1" si="51"/>
        <v>23188.87899455224</v>
      </c>
      <c r="CN64" s="450">
        <f t="shared" ca="1" si="51"/>
        <v>23188.87899455224</v>
      </c>
      <c r="CO64" s="450">
        <f t="shared" ca="1" si="51"/>
        <v>23188.87899455224</v>
      </c>
    </row>
    <row r="65" spans="1:93" ht="15" customHeight="1">
      <c r="A65" s="47"/>
      <c r="B65" s="47"/>
      <c r="C65" s="153" t="s">
        <v>921</v>
      </c>
      <c r="D65" s="153"/>
      <c r="E65" s="11"/>
      <c r="F65" s="11"/>
      <c r="G65" s="11" t="str">
        <f t="shared" si="41"/>
        <v>тыс. руб.</v>
      </c>
      <c r="H65" s="153"/>
      <c r="I65" s="23">
        <f t="shared" ca="1" si="42"/>
        <v>0</v>
      </c>
      <c r="J65" s="153"/>
      <c r="K65" s="153"/>
      <c r="L65" s="450">
        <f t="shared" ref="L65:AQ65" ca="1" si="52" xml:space="preserve"> -CAPEX * (L$60 &lt;&gt; 0)</f>
        <v>0</v>
      </c>
      <c r="M65" s="450">
        <f t="shared" ca="1" si="52"/>
        <v>0</v>
      </c>
      <c r="N65" s="450">
        <f t="shared" ca="1" si="52"/>
        <v>0</v>
      </c>
      <c r="O65" s="450">
        <f t="shared" ca="1" si="52"/>
        <v>0</v>
      </c>
      <c r="P65" s="450">
        <f t="shared" ca="1" si="52"/>
        <v>0</v>
      </c>
      <c r="Q65" s="450">
        <f t="shared" ca="1" si="52"/>
        <v>0</v>
      </c>
      <c r="R65" s="450">
        <f t="shared" ca="1" si="52"/>
        <v>0</v>
      </c>
      <c r="S65" s="450">
        <f t="shared" ca="1" si="52"/>
        <v>0</v>
      </c>
      <c r="T65" s="450">
        <f t="shared" ca="1" si="52"/>
        <v>0</v>
      </c>
      <c r="U65" s="450">
        <f t="shared" ca="1" si="52"/>
        <v>0</v>
      </c>
      <c r="V65" s="450">
        <f t="shared" ca="1" si="52"/>
        <v>0</v>
      </c>
      <c r="W65" s="450">
        <f t="shared" ca="1" si="52"/>
        <v>0</v>
      </c>
      <c r="X65" s="450">
        <f t="shared" ca="1" si="52"/>
        <v>0</v>
      </c>
      <c r="Y65" s="450">
        <f t="shared" ca="1" si="52"/>
        <v>0</v>
      </c>
      <c r="Z65" s="450">
        <f t="shared" ca="1" si="52"/>
        <v>0</v>
      </c>
      <c r="AA65" s="450">
        <f t="shared" ca="1" si="52"/>
        <v>0</v>
      </c>
      <c r="AB65" s="450">
        <f t="shared" ca="1" si="52"/>
        <v>0</v>
      </c>
      <c r="AC65" s="450">
        <f t="shared" ca="1" si="52"/>
        <v>0</v>
      </c>
      <c r="AD65" s="450">
        <f t="shared" ca="1" si="52"/>
        <v>0</v>
      </c>
      <c r="AE65" s="450">
        <f t="shared" ca="1" si="52"/>
        <v>0</v>
      </c>
      <c r="AF65" s="450">
        <f t="shared" ca="1" si="52"/>
        <v>0</v>
      </c>
      <c r="AG65" s="450">
        <f t="shared" ca="1" si="52"/>
        <v>0</v>
      </c>
      <c r="AH65" s="450">
        <f t="shared" ca="1" si="52"/>
        <v>0</v>
      </c>
      <c r="AI65" s="450">
        <f t="shared" ca="1" si="52"/>
        <v>0</v>
      </c>
      <c r="AJ65" s="450">
        <f t="shared" ca="1" si="52"/>
        <v>0</v>
      </c>
      <c r="AK65" s="450">
        <f t="shared" ca="1" si="52"/>
        <v>0</v>
      </c>
      <c r="AL65" s="450">
        <f t="shared" ca="1" si="52"/>
        <v>0</v>
      </c>
      <c r="AM65" s="450">
        <f t="shared" ca="1" si="52"/>
        <v>0</v>
      </c>
      <c r="AN65" s="450">
        <f t="shared" ca="1" si="52"/>
        <v>0</v>
      </c>
      <c r="AO65" s="450">
        <f t="shared" ca="1" si="52"/>
        <v>0</v>
      </c>
      <c r="AP65" s="450">
        <f t="shared" ca="1" si="52"/>
        <v>0</v>
      </c>
      <c r="AQ65" s="450">
        <f t="shared" ca="1" si="52"/>
        <v>0</v>
      </c>
      <c r="AR65" s="450">
        <f t="shared" ref="AR65:BW65" ca="1" si="53" xml:space="preserve"> -CAPEX * (AR$60 &lt;&gt; 0)</f>
        <v>0</v>
      </c>
      <c r="AS65" s="450">
        <f t="shared" ca="1" si="53"/>
        <v>0</v>
      </c>
      <c r="AT65" s="450">
        <f t="shared" ca="1" si="53"/>
        <v>0</v>
      </c>
      <c r="AU65" s="450">
        <f t="shared" ca="1" si="53"/>
        <v>0</v>
      </c>
      <c r="AV65" s="450">
        <f t="shared" ca="1" si="53"/>
        <v>0</v>
      </c>
      <c r="AW65" s="450">
        <f t="shared" ca="1" si="53"/>
        <v>0</v>
      </c>
      <c r="AX65" s="450">
        <f t="shared" ca="1" si="53"/>
        <v>0</v>
      </c>
      <c r="AY65" s="450">
        <f t="shared" ca="1" si="53"/>
        <v>0</v>
      </c>
      <c r="AZ65" s="450">
        <f t="shared" ca="1" si="53"/>
        <v>0</v>
      </c>
      <c r="BA65" s="450">
        <f t="shared" ca="1" si="53"/>
        <v>0</v>
      </c>
      <c r="BB65" s="450">
        <f t="shared" ca="1" si="53"/>
        <v>0</v>
      </c>
      <c r="BC65" s="450">
        <f t="shared" ca="1" si="53"/>
        <v>0</v>
      </c>
      <c r="BD65" s="450">
        <f t="shared" ca="1" si="53"/>
        <v>0</v>
      </c>
      <c r="BE65" s="450">
        <f t="shared" ca="1" si="53"/>
        <v>0</v>
      </c>
      <c r="BF65" s="450">
        <f t="shared" ca="1" si="53"/>
        <v>0</v>
      </c>
      <c r="BG65" s="450">
        <f t="shared" ca="1" si="53"/>
        <v>0</v>
      </c>
      <c r="BH65" s="450">
        <f t="shared" ca="1" si="53"/>
        <v>0</v>
      </c>
      <c r="BI65" s="450">
        <f t="shared" ca="1" si="53"/>
        <v>0</v>
      </c>
      <c r="BJ65" s="450">
        <f t="shared" ca="1" si="53"/>
        <v>0</v>
      </c>
      <c r="BK65" s="450">
        <f t="shared" ca="1" si="53"/>
        <v>0</v>
      </c>
      <c r="BL65" s="450">
        <f t="shared" ca="1" si="53"/>
        <v>0</v>
      </c>
      <c r="BM65" s="450">
        <f t="shared" ca="1" si="53"/>
        <v>0</v>
      </c>
      <c r="BN65" s="450">
        <f t="shared" ca="1" si="53"/>
        <v>0</v>
      </c>
      <c r="BO65" s="450">
        <f t="shared" ca="1" si="53"/>
        <v>0</v>
      </c>
      <c r="BP65" s="450">
        <f t="shared" ca="1" si="53"/>
        <v>0</v>
      </c>
      <c r="BQ65" s="450">
        <f t="shared" ca="1" si="53"/>
        <v>0</v>
      </c>
      <c r="BR65" s="450">
        <f t="shared" ca="1" si="53"/>
        <v>0</v>
      </c>
      <c r="BS65" s="450">
        <f t="shared" ca="1" si="53"/>
        <v>0</v>
      </c>
      <c r="BT65" s="450">
        <f t="shared" ca="1" si="53"/>
        <v>0</v>
      </c>
      <c r="BU65" s="450">
        <f t="shared" ca="1" si="53"/>
        <v>0</v>
      </c>
      <c r="BV65" s="450">
        <f t="shared" ca="1" si="53"/>
        <v>0</v>
      </c>
      <c r="BW65" s="450">
        <f t="shared" ca="1" si="53"/>
        <v>0</v>
      </c>
      <c r="BX65" s="450">
        <f t="shared" ref="BX65:CO65" ca="1" si="54" xml:space="preserve"> -CAPEX * (BX$60 &lt;&gt; 0)</f>
        <v>0</v>
      </c>
      <c r="BY65" s="450">
        <f t="shared" ca="1" si="54"/>
        <v>0</v>
      </c>
      <c r="BZ65" s="450">
        <f t="shared" ca="1" si="54"/>
        <v>0</v>
      </c>
      <c r="CA65" s="450">
        <f t="shared" ca="1" si="54"/>
        <v>0</v>
      </c>
      <c r="CB65" s="450">
        <f t="shared" ca="1" si="54"/>
        <v>0</v>
      </c>
      <c r="CC65" s="450">
        <f t="shared" ca="1" si="54"/>
        <v>0</v>
      </c>
      <c r="CD65" s="450">
        <f t="shared" ca="1" si="54"/>
        <v>0</v>
      </c>
      <c r="CE65" s="450">
        <f t="shared" ca="1" si="54"/>
        <v>0</v>
      </c>
      <c r="CF65" s="450">
        <f t="shared" ca="1" si="54"/>
        <v>0</v>
      </c>
      <c r="CG65" s="450">
        <f t="shared" ca="1" si="54"/>
        <v>0</v>
      </c>
      <c r="CH65" s="450">
        <f t="shared" ca="1" si="54"/>
        <v>0</v>
      </c>
      <c r="CI65" s="450">
        <f t="shared" ca="1" si="54"/>
        <v>0</v>
      </c>
      <c r="CJ65" s="450">
        <f t="shared" ca="1" si="54"/>
        <v>0</v>
      </c>
      <c r="CK65" s="450">
        <f t="shared" ca="1" si="54"/>
        <v>0</v>
      </c>
      <c r="CL65" s="450">
        <f t="shared" ca="1" si="54"/>
        <v>0</v>
      </c>
      <c r="CM65" s="450">
        <f t="shared" ca="1" si="54"/>
        <v>0</v>
      </c>
      <c r="CN65" s="450">
        <f t="shared" ca="1" si="54"/>
        <v>0</v>
      </c>
      <c r="CO65" s="450">
        <f t="shared" ca="1" si="54"/>
        <v>0</v>
      </c>
    </row>
    <row r="66" spans="1:93" ht="15" customHeight="1">
      <c r="A66" s="47"/>
      <c r="B66" s="47"/>
      <c r="C66" s="153" t="s">
        <v>922</v>
      </c>
      <c r="D66" s="153"/>
      <c r="E66" s="11"/>
      <c r="F66" s="11"/>
      <c r="G66" s="11" t="str">
        <f t="shared" si="41"/>
        <v>тыс. руб.</v>
      </c>
      <c r="H66" s="153"/>
      <c r="I66" s="23">
        <f t="shared" ca="1" si="42"/>
        <v>-16.369095707123051</v>
      </c>
      <c r="J66" s="153"/>
      <c r="K66" s="153"/>
      <c r="L66" s="450">
        <f t="shared" ref="L66:AQ66" ca="1" si="55" xml:space="preserve"> (WC_Cash_Flow + VAT_Cash_Flow)  * (L$60 &lt;&gt; 0)</f>
        <v>0</v>
      </c>
      <c r="M66" s="450">
        <f t="shared" ca="1" si="55"/>
        <v>0</v>
      </c>
      <c r="N66" s="450">
        <f t="shared" ca="1" si="55"/>
        <v>0</v>
      </c>
      <c r="O66" s="450">
        <f t="shared" ca="1" si="55"/>
        <v>0</v>
      </c>
      <c r="P66" s="450">
        <f t="shared" ca="1" si="55"/>
        <v>0</v>
      </c>
      <c r="Q66" s="450">
        <f t="shared" ca="1" si="55"/>
        <v>0</v>
      </c>
      <c r="R66" s="450">
        <f t="shared" ca="1" si="55"/>
        <v>0</v>
      </c>
      <c r="S66" s="450">
        <f t="shared" ca="1" si="55"/>
        <v>0</v>
      </c>
      <c r="T66" s="450">
        <f t="shared" ca="1" si="55"/>
        <v>0</v>
      </c>
      <c r="U66" s="450">
        <f t="shared" ca="1" si="55"/>
        <v>0</v>
      </c>
      <c r="V66" s="450">
        <f t="shared" ca="1" si="55"/>
        <v>0</v>
      </c>
      <c r="W66" s="450">
        <f t="shared" ca="1" si="55"/>
        <v>0</v>
      </c>
      <c r="X66" s="450">
        <f t="shared" ca="1" si="55"/>
        <v>0</v>
      </c>
      <c r="Y66" s="450">
        <f t="shared" ca="1" si="55"/>
        <v>0</v>
      </c>
      <c r="Z66" s="450">
        <f t="shared" ca="1" si="55"/>
        <v>0</v>
      </c>
      <c r="AA66" s="450">
        <f t="shared" ca="1" si="55"/>
        <v>0</v>
      </c>
      <c r="AB66" s="450">
        <f t="shared" ca="1" si="55"/>
        <v>0</v>
      </c>
      <c r="AC66" s="450">
        <f t="shared" ca="1" si="55"/>
        <v>0</v>
      </c>
      <c r="AD66" s="450">
        <f t="shared" ca="1" si="55"/>
        <v>0</v>
      </c>
      <c r="AE66" s="450">
        <f t="shared" ca="1" si="55"/>
        <v>0</v>
      </c>
      <c r="AF66" s="450">
        <f t="shared" ca="1" si="55"/>
        <v>0</v>
      </c>
      <c r="AG66" s="450">
        <f t="shared" ca="1" si="55"/>
        <v>0</v>
      </c>
      <c r="AH66" s="450">
        <f t="shared" ca="1" si="55"/>
        <v>0</v>
      </c>
      <c r="AI66" s="450">
        <f t="shared" ca="1" si="55"/>
        <v>0</v>
      </c>
      <c r="AJ66" s="450">
        <f t="shared" ca="1" si="55"/>
        <v>0</v>
      </c>
      <c r="AK66" s="450">
        <f t="shared" ca="1" si="55"/>
        <v>0</v>
      </c>
      <c r="AL66" s="450">
        <f t="shared" ca="1" si="55"/>
        <v>0</v>
      </c>
      <c r="AM66" s="450">
        <f t="shared" ca="1" si="55"/>
        <v>0</v>
      </c>
      <c r="AN66" s="450">
        <f t="shared" ca="1" si="55"/>
        <v>0</v>
      </c>
      <c r="AO66" s="450">
        <f t="shared" ca="1" si="55"/>
        <v>-55152.094579401484</v>
      </c>
      <c r="AP66" s="450">
        <f t="shared" ca="1" si="55"/>
        <v>-117605.05721182656</v>
      </c>
      <c r="AQ66" s="450">
        <f t="shared" ca="1" si="55"/>
        <v>135372.75068202353</v>
      </c>
      <c r="AR66" s="450">
        <f t="shared" ref="AR66:BW66" ca="1" si="56" xml:space="preserve"> (WC_Cash_Flow + VAT_Cash_Flow)  * (AR$60 &lt;&gt; 0)</f>
        <v>32257.811188882581</v>
      </c>
      <c r="AS66" s="450">
        <f t="shared" ca="1" si="56"/>
        <v>-55469.193434513276</v>
      </c>
      <c r="AT66" s="450">
        <f t="shared" ca="1" si="56"/>
        <v>-122199.63972175185</v>
      </c>
      <c r="AU66" s="450">
        <f t="shared" ca="1" si="56"/>
        <v>140787.65745662825</v>
      </c>
      <c r="AV66" s="450">
        <f t="shared" ca="1" si="56"/>
        <v>33548.149369270192</v>
      </c>
      <c r="AW66" s="450">
        <f t="shared" ca="1" si="56"/>
        <v>25754.495972574034</v>
      </c>
      <c r="AX66" s="450">
        <f t="shared" ca="1" si="56"/>
        <v>-31383.384243624401</v>
      </c>
      <c r="AY66" s="450">
        <f t="shared" ca="1" si="56"/>
        <v>59124.238478358879</v>
      </c>
      <c r="AZ66" s="450">
        <f t="shared" ca="1" si="56"/>
        <v>2727.3901119037509</v>
      </c>
      <c r="BA66" s="450">
        <f t="shared" ca="1" si="56"/>
        <v>-22404.795201483375</v>
      </c>
      <c r="BB66" s="450">
        <f t="shared" ca="1" si="56"/>
        <v>-43138.189279739541</v>
      </c>
      <c r="BC66" s="450">
        <f t="shared" ca="1" si="56"/>
        <v>61489.208017493118</v>
      </c>
      <c r="BD66" s="450">
        <f t="shared" ca="1" si="56"/>
        <v>3148.5027250153871</v>
      </c>
      <c r="BE66" s="450">
        <f t="shared" ca="1" si="56"/>
        <v>-23612.975814733793</v>
      </c>
      <c r="BF66" s="450">
        <f t="shared" ca="1" si="56"/>
        <v>-44863.714792945029</v>
      </c>
      <c r="BG66" s="450">
        <f t="shared" ca="1" si="56"/>
        <v>63948.776636370982</v>
      </c>
      <c r="BH66" s="450">
        <f t="shared" ca="1" si="56"/>
        <v>2949.9145854284507</v>
      </c>
      <c r="BI66" s="450">
        <f t="shared" ca="1" si="56"/>
        <v>-24233.02648992445</v>
      </c>
      <c r="BJ66" s="450">
        <f t="shared" ca="1" si="56"/>
        <v>-46658.265524966155</v>
      </c>
      <c r="BK66" s="450">
        <f t="shared" ca="1" si="56"/>
        <v>66506.72739172056</v>
      </c>
      <c r="BL66" s="450">
        <f t="shared" ca="1" si="56"/>
        <v>3067.9429508364556</v>
      </c>
      <c r="BM66" s="450">
        <f t="shared" ca="1" si="56"/>
        <v>-25202.347549521379</v>
      </c>
      <c r="BN66" s="450">
        <f t="shared" ca="1" si="56"/>
        <v>-48524.596145964955</v>
      </c>
      <c r="BO66" s="450">
        <f t="shared" ca="1" si="56"/>
        <v>69166.996487389348</v>
      </c>
      <c r="BP66" s="450">
        <f t="shared" ca="1" si="56"/>
        <v>3190.6606688700267</v>
      </c>
      <c r="BQ66" s="450">
        <f t="shared" ca="1" si="56"/>
        <v>-26210.441451502396</v>
      </c>
      <c r="BR66" s="450">
        <f t="shared" ca="1" si="56"/>
        <v>-50465.579991803446</v>
      </c>
      <c r="BS66" s="450">
        <f t="shared" ca="1" si="56"/>
        <v>71933.676346884909</v>
      </c>
      <c r="BT66" s="450">
        <f t="shared" ca="1" si="56"/>
        <v>3683.3028640426201</v>
      </c>
      <c r="BU66" s="450">
        <f t="shared" ca="1" si="56"/>
        <v>-27623.841883939029</v>
      </c>
      <c r="BV66" s="450">
        <f t="shared" ca="1" si="56"/>
        <v>-52484.200783925444</v>
      </c>
      <c r="BW66" s="450">
        <f t="shared" ca="1" si="56"/>
        <v>74811.023749586369</v>
      </c>
      <c r="BX66" s="450">
        <f t="shared" ref="BX66:CO66" ca="1" si="57" xml:space="preserve"> (WC_Cash_Flow + VAT_Cash_Flow)  * (BX$60 &lt;&gt; 0)</f>
        <v>3450.9828290324949</v>
      </c>
      <c r="BY66" s="450">
        <f t="shared" ca="1" si="57"/>
        <v>-28349.213473944954</v>
      </c>
      <c r="BZ66" s="450">
        <f t="shared" ca="1" si="57"/>
        <v>-54583.571319134295</v>
      </c>
      <c r="CA66" s="450">
        <f t="shared" ca="1" si="57"/>
        <v>77803.464336790392</v>
      </c>
      <c r="CB66" s="450">
        <f t="shared" ca="1" si="57"/>
        <v>3589.0593226278652</v>
      </c>
      <c r="CC66" s="450">
        <f t="shared" ca="1" si="57"/>
        <v>-29483.182012902689</v>
      </c>
      <c r="CD66" s="450">
        <f t="shared" ca="1" si="57"/>
        <v>-56766.914171900054</v>
      </c>
      <c r="CE66" s="450">
        <f t="shared" ca="1" si="57"/>
        <v>80915.602910262343</v>
      </c>
      <c r="CF66" s="450">
        <f t="shared" ca="1" si="57"/>
        <v>3732.6216955329583</v>
      </c>
      <c r="CG66" s="450">
        <f t="shared" ca="1" si="57"/>
        <v>-30662.509293418814</v>
      </c>
      <c r="CH66" s="450">
        <f t="shared" ca="1" si="57"/>
        <v>-59037.590738776009</v>
      </c>
      <c r="CI66" s="450">
        <f t="shared" ca="1" si="57"/>
        <v>84152.227026672932</v>
      </c>
      <c r="CJ66" s="450">
        <f t="shared" ca="1" si="57"/>
        <v>4308.9433845726307</v>
      </c>
      <c r="CK66" s="450">
        <f t="shared" ca="1" si="57"/>
        <v>-32315.987888012896</v>
      </c>
      <c r="CL66" s="450">
        <f t="shared" ca="1" si="57"/>
        <v>-61399.091551833772</v>
      </c>
      <c r="CM66" s="450">
        <f t="shared" ca="1" si="57"/>
        <v>87518.316515817249</v>
      </c>
      <c r="CN66" s="450">
        <f t="shared" ca="1" si="57"/>
        <v>4037.1618029563979</v>
      </c>
      <c r="CO66" s="450">
        <f t="shared" ca="1" si="57"/>
        <v>-33164.570051761781</v>
      </c>
    </row>
    <row r="67" spans="1:93" ht="15" customHeight="1">
      <c r="A67" s="47"/>
      <c r="B67" s="47"/>
      <c r="C67" s="321" t="s">
        <v>923</v>
      </c>
      <c r="D67" s="321"/>
      <c r="E67" s="321"/>
      <c r="F67" s="321"/>
      <c r="G67" s="322" t="str">
        <f t="shared" si="41"/>
        <v>тыс. руб.</v>
      </c>
      <c r="H67" s="321"/>
      <c r="I67" s="23">
        <f t="shared" ca="1" si="42"/>
        <v>10025686.42302152</v>
      </c>
      <c r="J67" s="321"/>
      <c r="K67" s="321"/>
      <c r="L67" s="321">
        <f ca="1">SUM(L62:L66)</f>
        <v>0</v>
      </c>
      <c r="M67" s="321">
        <f ca="1">SUM(M62:M66)</f>
        <v>0</v>
      </c>
      <c r="N67" s="321">
        <f ca="1">SUM(N62:N66)</f>
        <v>0</v>
      </c>
      <c r="O67" s="321">
        <f ca="1">SUM(O62:O66)</f>
        <v>0</v>
      </c>
      <c r="P67" s="321">
        <f ca="1">SUM(P62:P66)</f>
        <v>0</v>
      </c>
      <c r="Q67" s="321">
        <f t="shared" ref="Q67:BS67" ca="1" si="58">SUM(Q62:Q66)</f>
        <v>0</v>
      </c>
      <c r="R67" s="321">
        <f t="shared" ca="1" si="58"/>
        <v>0</v>
      </c>
      <c r="S67" s="321">
        <f t="shared" ca="1" si="58"/>
        <v>0</v>
      </c>
      <c r="T67" s="321">
        <f t="shared" ca="1" si="58"/>
        <v>0</v>
      </c>
      <c r="U67" s="321">
        <f t="shared" ca="1" si="58"/>
        <v>0</v>
      </c>
      <c r="V67" s="321">
        <f t="shared" ca="1" si="58"/>
        <v>0</v>
      </c>
      <c r="W67" s="321">
        <f t="shared" ca="1" si="58"/>
        <v>0</v>
      </c>
      <c r="X67" s="321">
        <f t="shared" ca="1" si="58"/>
        <v>0</v>
      </c>
      <c r="Y67" s="321">
        <f t="shared" ca="1" si="58"/>
        <v>0</v>
      </c>
      <c r="Z67" s="321">
        <f t="shared" ca="1" si="58"/>
        <v>0</v>
      </c>
      <c r="AA67" s="321">
        <f t="shared" ca="1" si="58"/>
        <v>0</v>
      </c>
      <c r="AB67" s="321">
        <f t="shared" ca="1" si="58"/>
        <v>0</v>
      </c>
      <c r="AC67" s="321">
        <f t="shared" ca="1" si="58"/>
        <v>0</v>
      </c>
      <c r="AD67" s="321">
        <f t="shared" ca="1" si="58"/>
        <v>0</v>
      </c>
      <c r="AE67" s="321">
        <f t="shared" ca="1" si="58"/>
        <v>0</v>
      </c>
      <c r="AF67" s="321">
        <f t="shared" ca="1" si="58"/>
        <v>0</v>
      </c>
      <c r="AG67" s="321">
        <f t="shared" ca="1" si="58"/>
        <v>0</v>
      </c>
      <c r="AH67" s="321">
        <f t="shared" ca="1" si="58"/>
        <v>0</v>
      </c>
      <c r="AI67" s="321">
        <f t="shared" ca="1" si="58"/>
        <v>0</v>
      </c>
      <c r="AJ67" s="321">
        <f t="shared" ca="1" si="58"/>
        <v>0</v>
      </c>
      <c r="AK67" s="321">
        <f t="shared" ca="1" si="58"/>
        <v>0</v>
      </c>
      <c r="AL67" s="321">
        <f t="shared" ca="1" si="58"/>
        <v>0</v>
      </c>
      <c r="AM67" s="321">
        <f t="shared" ca="1" si="58"/>
        <v>0</v>
      </c>
      <c r="AN67" s="321">
        <f t="shared" ca="1" si="58"/>
        <v>0</v>
      </c>
      <c r="AO67" s="321">
        <f t="shared" ca="1" si="58"/>
        <v>146697.15923287833</v>
      </c>
      <c r="AP67" s="321">
        <f t="shared" ca="1" si="58"/>
        <v>279569.85507973947</v>
      </c>
      <c r="AQ67" s="321">
        <f t="shared" ca="1" si="58"/>
        <v>264735.10950212018</v>
      </c>
      <c r="AR67" s="321">
        <f t="shared" ca="1" si="58"/>
        <v>143280.4964908227</v>
      </c>
      <c r="AS67" s="321">
        <f t="shared" ca="1" si="58"/>
        <v>152737.78294705041</v>
      </c>
      <c r="AT67" s="321">
        <f t="shared" ca="1" si="58"/>
        <v>287097.70027576439</v>
      </c>
      <c r="AU67" s="321">
        <f t="shared" ca="1" si="58"/>
        <v>269421.36582350428</v>
      </c>
      <c r="AV67" s="321">
        <f t="shared" ca="1" si="58"/>
        <v>144944.62092151036</v>
      </c>
      <c r="AW67" s="321">
        <f t="shared" ca="1" si="58"/>
        <v>182218.03771976638</v>
      </c>
      <c r="AX67" s="321">
        <f t="shared" ca="1" si="58"/>
        <v>273026.89898316737</v>
      </c>
      <c r="AY67" s="321">
        <f t="shared" ca="1" si="58"/>
        <v>160610.0942033137</v>
      </c>
      <c r="AZ67" s="321">
        <f t="shared" ca="1" si="58"/>
        <v>90746.681474151206</v>
      </c>
      <c r="BA67" s="321">
        <f t="shared" ca="1" si="58"/>
        <v>140327.3096143982</v>
      </c>
      <c r="BB67" s="321">
        <f t="shared" ca="1" si="58"/>
        <v>273441.40717452578</v>
      </c>
      <c r="BC67" s="321">
        <f t="shared" ca="1" si="58"/>
        <v>167027.39986984793</v>
      </c>
      <c r="BD67" s="321">
        <f t="shared" ca="1" si="58"/>
        <v>95677.102949824475</v>
      </c>
      <c r="BE67" s="321">
        <f t="shared" ca="1" si="58"/>
        <v>144587.40117527739</v>
      </c>
      <c r="BF67" s="321">
        <f t="shared" ca="1" si="58"/>
        <v>283339.07755339483</v>
      </c>
      <c r="BG67" s="321">
        <f t="shared" ca="1" si="58"/>
        <v>172668.51570028992</v>
      </c>
      <c r="BH67" s="321">
        <f t="shared" ca="1" si="58"/>
        <v>97093.665388560941</v>
      </c>
      <c r="BI67" s="321">
        <f t="shared" ca="1" si="58"/>
        <v>150722.0289987888</v>
      </c>
      <c r="BJ67" s="321">
        <f t="shared" ca="1" si="58"/>
        <v>294700.16257395281</v>
      </c>
      <c r="BK67" s="321">
        <f t="shared" ca="1" si="58"/>
        <v>179602.77227321346</v>
      </c>
      <c r="BL67" s="321">
        <f t="shared" ca="1" si="58"/>
        <v>101010.04112024038</v>
      </c>
      <c r="BM67" s="321">
        <f t="shared" ca="1" si="58"/>
        <v>156784.45144098945</v>
      </c>
      <c r="BN67" s="321">
        <f t="shared" ca="1" si="58"/>
        <v>306522.65430726274</v>
      </c>
      <c r="BO67" s="321">
        <f t="shared" ca="1" si="58"/>
        <v>177777.08616391147</v>
      </c>
      <c r="BP67" s="321">
        <f t="shared" ca="1" si="58"/>
        <v>97479.370084233102</v>
      </c>
      <c r="BQ67" s="321">
        <f t="shared" ca="1" si="58"/>
        <v>147496.84938078088</v>
      </c>
      <c r="BR67" s="321">
        <f t="shared" ca="1" si="58"/>
        <v>278245.88708535011</v>
      </c>
      <c r="BS67" s="321">
        <f t="shared" ca="1" si="58"/>
        <v>176430.29235447774</v>
      </c>
      <c r="BT67" s="321">
        <f t="shared" ref="BT67:CO67" ca="1" si="59">SUM(BT62:BT66)</f>
        <v>94568.477972540364</v>
      </c>
      <c r="BU67" s="321">
        <f t="shared" ca="1" si="59"/>
        <v>144907.78111575436</v>
      </c>
      <c r="BV67" s="321">
        <f t="shared" ca="1" si="59"/>
        <v>290142.81625441811</v>
      </c>
      <c r="BW67" s="321">
        <f t="shared" ca="1" si="59"/>
        <v>184249.96053286913</v>
      </c>
      <c r="BX67" s="321">
        <f t="shared" ca="1" si="59"/>
        <v>97648.295518110244</v>
      </c>
      <c r="BY67" s="321">
        <f t="shared" ca="1" si="59"/>
        <v>151770.83585332028</v>
      </c>
      <c r="BZ67" s="321">
        <f t="shared" ca="1" si="59"/>
        <v>302440.46734145656</v>
      </c>
      <c r="CA67" s="321">
        <f t="shared" ca="1" si="59"/>
        <v>192307.85374290359</v>
      </c>
      <c r="CB67" s="321">
        <f t="shared" ca="1" si="59"/>
        <v>102248.94821865222</v>
      </c>
      <c r="CC67" s="321">
        <f t="shared" ca="1" si="59"/>
        <v>158541.06086534384</v>
      </c>
      <c r="CD67" s="321">
        <f t="shared" ca="1" si="59"/>
        <v>315242.0910079485</v>
      </c>
      <c r="CE67" s="321">
        <f t="shared" ca="1" si="59"/>
        <v>200699.82662151247</v>
      </c>
      <c r="CF67" s="321">
        <f t="shared" ca="1" si="59"/>
        <v>107016.58280527144</v>
      </c>
      <c r="CG67" s="321">
        <f t="shared" ca="1" si="59"/>
        <v>165564.89886920995</v>
      </c>
      <c r="CH67" s="321">
        <f t="shared" ca="1" si="59"/>
        <v>328538.39464533405</v>
      </c>
      <c r="CI67" s="321">
        <f t="shared" ca="1" si="59"/>
        <v>209410.09343949924</v>
      </c>
      <c r="CJ67" s="321">
        <f t="shared" ca="1" si="59"/>
        <v>113577.58786442541</v>
      </c>
      <c r="CK67" s="321">
        <f t="shared" ca="1" si="59"/>
        <v>172449.24687161582</v>
      </c>
      <c r="CL67" s="321">
        <f t="shared" ca="1" si="59"/>
        <v>342372.87212079734</v>
      </c>
      <c r="CM67" s="321">
        <f t="shared" ca="1" si="59"/>
        <v>218474.8026703553</v>
      </c>
      <c r="CN67" s="321">
        <f t="shared" ca="1" si="59"/>
        <v>117079.85311511871</v>
      </c>
      <c r="CO67" s="321">
        <f t="shared" ca="1" si="59"/>
        <v>180414.39771195172</v>
      </c>
    </row>
    <row r="68" spans="1:93" ht="15" customHeight="1">
      <c r="A68" s="47"/>
      <c r="B68" s="47"/>
      <c r="C68" s="324" t="s">
        <v>933</v>
      </c>
      <c r="D68" s="324"/>
      <c r="E68" s="324"/>
      <c r="F68" s="324"/>
      <c r="G68" s="325" t="str">
        <f t="shared" si="41"/>
        <v>тыс. руб.</v>
      </c>
      <c r="H68" s="324"/>
      <c r="I68" s="23">
        <f t="shared" ca="1" si="42"/>
        <v>858341.92561822303</v>
      </c>
      <c r="J68" s="324"/>
      <c r="K68" s="324"/>
      <c r="L68" s="324">
        <f t="shared" ref="L68:AQ68" ca="1" si="60" xml:space="preserve"> SUM(I67:L67) * MAX($I59,0) * Flag_Last_Operations</f>
        <v>0</v>
      </c>
      <c r="M68" s="324">
        <f t="shared" ca="1" si="60"/>
        <v>0</v>
      </c>
      <c r="N68" s="324">
        <f t="shared" ca="1" si="60"/>
        <v>0</v>
      </c>
      <c r="O68" s="324">
        <f t="shared" ca="1" si="60"/>
        <v>0</v>
      </c>
      <c r="P68" s="324">
        <f t="shared" ca="1" si="60"/>
        <v>0</v>
      </c>
      <c r="Q68" s="324">
        <f t="shared" ca="1" si="60"/>
        <v>0</v>
      </c>
      <c r="R68" s="324">
        <f t="shared" ca="1" si="60"/>
        <v>0</v>
      </c>
      <c r="S68" s="324">
        <f t="shared" ca="1" si="60"/>
        <v>0</v>
      </c>
      <c r="T68" s="324">
        <f t="shared" ca="1" si="60"/>
        <v>0</v>
      </c>
      <c r="U68" s="324">
        <f t="shared" ca="1" si="60"/>
        <v>0</v>
      </c>
      <c r="V68" s="324">
        <f t="shared" ca="1" si="60"/>
        <v>0</v>
      </c>
      <c r="W68" s="324">
        <f t="shared" ca="1" si="60"/>
        <v>0</v>
      </c>
      <c r="X68" s="324">
        <f t="shared" ca="1" si="60"/>
        <v>0</v>
      </c>
      <c r="Y68" s="324">
        <f t="shared" ca="1" si="60"/>
        <v>0</v>
      </c>
      <c r="Z68" s="324">
        <f t="shared" ca="1" si="60"/>
        <v>0</v>
      </c>
      <c r="AA68" s="324">
        <f t="shared" ca="1" si="60"/>
        <v>0</v>
      </c>
      <c r="AB68" s="324">
        <f t="shared" ca="1" si="60"/>
        <v>0</v>
      </c>
      <c r="AC68" s="324">
        <f t="shared" ca="1" si="60"/>
        <v>0</v>
      </c>
      <c r="AD68" s="324">
        <f t="shared" ca="1" si="60"/>
        <v>0</v>
      </c>
      <c r="AE68" s="324">
        <f t="shared" ca="1" si="60"/>
        <v>0</v>
      </c>
      <c r="AF68" s="324">
        <f t="shared" ca="1" si="60"/>
        <v>0</v>
      </c>
      <c r="AG68" s="324">
        <f t="shared" ca="1" si="60"/>
        <v>0</v>
      </c>
      <c r="AH68" s="324">
        <f t="shared" ca="1" si="60"/>
        <v>0</v>
      </c>
      <c r="AI68" s="324">
        <f t="shared" ca="1" si="60"/>
        <v>0</v>
      </c>
      <c r="AJ68" s="324">
        <f t="shared" ca="1" si="60"/>
        <v>0</v>
      </c>
      <c r="AK68" s="324">
        <f t="shared" ca="1" si="60"/>
        <v>0</v>
      </c>
      <c r="AL68" s="324">
        <f t="shared" ca="1" si="60"/>
        <v>0</v>
      </c>
      <c r="AM68" s="324">
        <f t="shared" ca="1" si="60"/>
        <v>0</v>
      </c>
      <c r="AN68" s="324">
        <f t="shared" ca="1" si="60"/>
        <v>0</v>
      </c>
      <c r="AO68" s="324">
        <f t="shared" ca="1" si="60"/>
        <v>0</v>
      </c>
      <c r="AP68" s="324">
        <f t="shared" ca="1" si="60"/>
        <v>0</v>
      </c>
      <c r="AQ68" s="324">
        <f t="shared" ca="1" si="60"/>
        <v>0</v>
      </c>
      <c r="AR68" s="324">
        <f t="shared" ref="AR68:BW68" ca="1" si="61" xml:space="preserve"> SUM(AO67:AR67) * MAX($I59,0) * Flag_Last_Operations</f>
        <v>0</v>
      </c>
      <c r="AS68" s="324">
        <f t="shared" ca="1" si="61"/>
        <v>0</v>
      </c>
      <c r="AT68" s="324">
        <f t="shared" ca="1" si="61"/>
        <v>0</v>
      </c>
      <c r="AU68" s="324">
        <f t="shared" ca="1" si="61"/>
        <v>0</v>
      </c>
      <c r="AV68" s="324">
        <f t="shared" ca="1" si="61"/>
        <v>0</v>
      </c>
      <c r="AW68" s="324">
        <f t="shared" ca="1" si="61"/>
        <v>0</v>
      </c>
      <c r="AX68" s="324">
        <f t="shared" ca="1" si="61"/>
        <v>0</v>
      </c>
      <c r="AY68" s="324">
        <f t="shared" ca="1" si="61"/>
        <v>0</v>
      </c>
      <c r="AZ68" s="324">
        <f t="shared" ca="1" si="61"/>
        <v>0</v>
      </c>
      <c r="BA68" s="324">
        <f t="shared" ca="1" si="61"/>
        <v>0</v>
      </c>
      <c r="BB68" s="324">
        <f t="shared" ca="1" si="61"/>
        <v>0</v>
      </c>
      <c r="BC68" s="324">
        <f t="shared" ca="1" si="61"/>
        <v>0</v>
      </c>
      <c r="BD68" s="324">
        <f t="shared" ca="1" si="61"/>
        <v>0</v>
      </c>
      <c r="BE68" s="324">
        <f t="shared" ca="1" si="61"/>
        <v>0</v>
      </c>
      <c r="BF68" s="324">
        <f t="shared" ca="1" si="61"/>
        <v>0</v>
      </c>
      <c r="BG68" s="324">
        <f t="shared" ca="1" si="61"/>
        <v>0</v>
      </c>
      <c r="BH68" s="324">
        <f t="shared" ca="1" si="61"/>
        <v>0</v>
      </c>
      <c r="BI68" s="324">
        <f t="shared" ca="1" si="61"/>
        <v>0</v>
      </c>
      <c r="BJ68" s="324">
        <f t="shared" ca="1" si="61"/>
        <v>0</v>
      </c>
      <c r="BK68" s="324">
        <f t="shared" ca="1" si="61"/>
        <v>0</v>
      </c>
      <c r="BL68" s="324">
        <f t="shared" ca="1" si="61"/>
        <v>0</v>
      </c>
      <c r="BM68" s="324">
        <f t="shared" ca="1" si="61"/>
        <v>0</v>
      </c>
      <c r="BN68" s="324">
        <f t="shared" ca="1" si="61"/>
        <v>0</v>
      </c>
      <c r="BO68" s="324">
        <f t="shared" ca="1" si="61"/>
        <v>0</v>
      </c>
      <c r="BP68" s="324">
        <f t="shared" ca="1" si="61"/>
        <v>0</v>
      </c>
      <c r="BQ68" s="324">
        <f t="shared" ca="1" si="61"/>
        <v>0</v>
      </c>
      <c r="BR68" s="324">
        <f t="shared" ca="1" si="61"/>
        <v>0</v>
      </c>
      <c r="BS68" s="324">
        <f t="shared" ca="1" si="61"/>
        <v>0</v>
      </c>
      <c r="BT68" s="324">
        <f t="shared" ca="1" si="61"/>
        <v>0</v>
      </c>
      <c r="BU68" s="324">
        <f t="shared" ca="1" si="61"/>
        <v>0</v>
      </c>
      <c r="BV68" s="324">
        <f t="shared" ca="1" si="61"/>
        <v>0</v>
      </c>
      <c r="BW68" s="324">
        <f t="shared" ca="1" si="61"/>
        <v>0</v>
      </c>
      <c r="BX68" s="324">
        <f t="shared" ref="BX68:CO68" ca="1" si="62" xml:space="preserve"> SUM(BU67:BX67) * MAX($I59,0) * Flag_Last_Operations</f>
        <v>0</v>
      </c>
      <c r="BY68" s="324">
        <f t="shared" ca="1" si="62"/>
        <v>0</v>
      </c>
      <c r="BZ68" s="324">
        <f t="shared" ca="1" si="62"/>
        <v>0</v>
      </c>
      <c r="CA68" s="324">
        <f t="shared" ca="1" si="62"/>
        <v>0</v>
      </c>
      <c r="CB68" s="324">
        <f t="shared" ca="1" si="62"/>
        <v>0</v>
      </c>
      <c r="CC68" s="324">
        <f t="shared" ca="1" si="62"/>
        <v>0</v>
      </c>
      <c r="CD68" s="324">
        <f t="shared" ca="1" si="62"/>
        <v>0</v>
      </c>
      <c r="CE68" s="324">
        <f t="shared" ca="1" si="62"/>
        <v>0</v>
      </c>
      <c r="CF68" s="324">
        <f t="shared" ca="1" si="62"/>
        <v>0</v>
      </c>
      <c r="CG68" s="324">
        <f t="shared" ca="1" si="62"/>
        <v>0</v>
      </c>
      <c r="CH68" s="324">
        <f t="shared" ca="1" si="62"/>
        <v>0</v>
      </c>
      <c r="CI68" s="324">
        <f t="shared" ca="1" si="62"/>
        <v>0</v>
      </c>
      <c r="CJ68" s="324">
        <f t="shared" ca="1" si="62"/>
        <v>0</v>
      </c>
      <c r="CK68" s="324">
        <f t="shared" ca="1" si="62"/>
        <v>0</v>
      </c>
      <c r="CL68" s="324">
        <f t="shared" ca="1" si="62"/>
        <v>0</v>
      </c>
      <c r="CM68" s="324">
        <f t="shared" ca="1" si="62"/>
        <v>0</v>
      </c>
      <c r="CN68" s="324">
        <f t="shared" ca="1" si="62"/>
        <v>0</v>
      </c>
      <c r="CO68" s="324">
        <f t="shared" ca="1" si="62"/>
        <v>858341.92561822303</v>
      </c>
    </row>
    <row r="69" spans="1:93" ht="15" customHeight="1">
      <c r="A69" s="47"/>
      <c r="B69" s="47"/>
      <c r="C69" s="217" t="s">
        <v>926</v>
      </c>
      <c r="D69" s="217"/>
      <c r="E69" s="333"/>
      <c r="F69" s="333"/>
      <c r="G69" s="333" t="s">
        <v>927</v>
      </c>
      <c r="H69" s="217"/>
      <c r="I69" s="334"/>
      <c r="J69" s="217"/>
      <c r="K69" s="217"/>
      <c r="L69" s="335">
        <f t="shared" ref="L69:AQ69" ca="1" si="63" xml:space="preserve"> (1 + $I$58) ^ L60  * (L60 &lt;&gt; 0)</f>
        <v>0</v>
      </c>
      <c r="M69" s="335">
        <f t="shared" ca="1" si="63"/>
        <v>0</v>
      </c>
      <c r="N69" s="335">
        <f t="shared" ca="1" si="63"/>
        <v>0</v>
      </c>
      <c r="O69" s="335">
        <f t="shared" ca="1" si="63"/>
        <v>0</v>
      </c>
      <c r="P69" s="335">
        <f t="shared" ca="1" si="63"/>
        <v>0</v>
      </c>
      <c r="Q69" s="335">
        <f t="shared" ca="1" si="63"/>
        <v>0</v>
      </c>
      <c r="R69" s="335">
        <f t="shared" ca="1" si="63"/>
        <v>0</v>
      </c>
      <c r="S69" s="335">
        <f t="shared" ca="1" si="63"/>
        <v>0</v>
      </c>
      <c r="T69" s="335">
        <f t="shared" ca="1" si="63"/>
        <v>0</v>
      </c>
      <c r="U69" s="335">
        <f t="shared" ca="1" si="63"/>
        <v>0</v>
      </c>
      <c r="V69" s="335">
        <f t="shared" ca="1" si="63"/>
        <v>0</v>
      </c>
      <c r="W69" s="335">
        <f t="shared" ca="1" si="63"/>
        <v>0</v>
      </c>
      <c r="X69" s="335">
        <f t="shared" ca="1" si="63"/>
        <v>0</v>
      </c>
      <c r="Y69" s="335">
        <f t="shared" ca="1" si="63"/>
        <v>0</v>
      </c>
      <c r="Z69" s="335">
        <f t="shared" ca="1" si="63"/>
        <v>0</v>
      </c>
      <c r="AA69" s="335">
        <f t="shared" ca="1" si="63"/>
        <v>0</v>
      </c>
      <c r="AB69" s="335">
        <f t="shared" ca="1" si="63"/>
        <v>0</v>
      </c>
      <c r="AC69" s="335">
        <f t="shared" ca="1" si="63"/>
        <v>0</v>
      </c>
      <c r="AD69" s="335">
        <f t="shared" ca="1" si="63"/>
        <v>0</v>
      </c>
      <c r="AE69" s="335">
        <f t="shared" ca="1" si="63"/>
        <v>0</v>
      </c>
      <c r="AF69" s="335">
        <f t="shared" ca="1" si="63"/>
        <v>0</v>
      </c>
      <c r="AG69" s="335">
        <f t="shared" ca="1" si="63"/>
        <v>0</v>
      </c>
      <c r="AH69" s="335">
        <f t="shared" ca="1" si="63"/>
        <v>0</v>
      </c>
      <c r="AI69" s="335">
        <f t="shared" ca="1" si="63"/>
        <v>0</v>
      </c>
      <c r="AJ69" s="335">
        <f t="shared" ca="1" si="63"/>
        <v>0</v>
      </c>
      <c r="AK69" s="335">
        <f t="shared" ca="1" si="63"/>
        <v>0</v>
      </c>
      <c r="AL69" s="335">
        <f t="shared" ca="1" si="63"/>
        <v>0</v>
      </c>
      <c r="AM69" s="335">
        <f t="shared" ca="1" si="63"/>
        <v>0</v>
      </c>
      <c r="AN69" s="335">
        <f t="shared" ca="1" si="63"/>
        <v>0</v>
      </c>
      <c r="AO69" s="335">
        <f t="shared" ca="1" si="63"/>
        <v>1.0544863708375876</v>
      </c>
      <c r="AP69" s="335">
        <f t="shared" ca="1" si="63"/>
        <v>1.1119415062822262</v>
      </c>
      <c r="AQ69" s="335">
        <f t="shared" ca="1" si="63"/>
        <v>1.1725271635432253</v>
      </c>
      <c r="AR69" s="335">
        <f t="shared" ref="AR69:BS69" ca="1" si="64" xml:space="preserve"> (1 + $I$58) ^ AR60  * (AR60 &lt;&gt; 0)</f>
        <v>1.2364139133931862</v>
      </c>
      <c r="AS69" s="335">
        <f t="shared" ca="1" si="64"/>
        <v>1.3037816203870802</v>
      </c>
      <c r="AT69" s="335">
        <f t="shared" ca="1" si="64"/>
        <v>1.3748199492467215</v>
      </c>
      <c r="AU69" s="335">
        <f t="shared" ca="1" si="64"/>
        <v>1.4497288988362915</v>
      </c>
      <c r="AV69" s="335">
        <f t="shared" ca="1" si="64"/>
        <v>1.5287193652322533</v>
      </c>
      <c r="AW69" s="335">
        <f t="shared" ca="1" si="64"/>
        <v>1.6120137354728994</v>
      </c>
      <c r="AX69" s="335">
        <f t="shared" ca="1" si="64"/>
        <v>1.6998465136591605</v>
      </c>
      <c r="AY69" s="335">
        <f t="shared" ca="1" si="64"/>
        <v>1.7924649811693738</v>
      </c>
      <c r="AZ69" s="335">
        <f t="shared" ca="1" si="64"/>
        <v>1.8901298928467578</v>
      </c>
      <c r="BA69" s="335">
        <f t="shared" ca="1" si="64"/>
        <v>1.9931162111196159</v>
      </c>
      <c r="BB69" s="335">
        <f t="shared" ca="1" si="64"/>
        <v>2.1017138801210864</v>
      </c>
      <c r="BC69" s="335">
        <f t="shared" ca="1" si="64"/>
        <v>2.2162286419878692</v>
      </c>
      <c r="BD69" s="335">
        <f t="shared" ca="1" si="64"/>
        <v>2.3369828976361036</v>
      </c>
      <c r="BE69" s="335">
        <f t="shared" ca="1" si="64"/>
        <v>2.4643166144378039</v>
      </c>
      <c r="BF69" s="335">
        <f t="shared" ca="1" si="64"/>
        <v>2.5985882833532905</v>
      </c>
      <c r="BG69" s="335">
        <f t="shared" ca="1" si="64"/>
        <v>2.7401759282142879</v>
      </c>
      <c r="BH69" s="335">
        <f t="shared" ca="1" si="64"/>
        <v>2.8894781699992027</v>
      </c>
      <c r="BI69" s="335">
        <f t="shared" ca="1" si="64"/>
        <v>3.0469153490968925</v>
      </c>
      <c r="BJ69" s="335">
        <f t="shared" ca="1" si="64"/>
        <v>3.2129307087185235</v>
      </c>
      <c r="BK69" s="335">
        <f t="shared" ca="1" si="64"/>
        <v>3.3879916427892343</v>
      </c>
      <c r="BL69" s="335">
        <f t="shared" ca="1" si="64"/>
        <v>3.5725910118328961</v>
      </c>
      <c r="BM69" s="335">
        <f t="shared" ca="1" si="64"/>
        <v>3.7672485305546553</v>
      </c>
      <c r="BN69" s="335">
        <f t="shared" ca="1" si="64"/>
        <v>3.9725122310278134</v>
      </c>
      <c r="BO69" s="335">
        <f t="shared" ca="1" si="64"/>
        <v>4.1889600056044465</v>
      </c>
      <c r="BP69" s="335">
        <f t="shared" ca="1" si="64"/>
        <v>4.4172012338936337</v>
      </c>
      <c r="BQ69" s="335">
        <f t="shared" ca="1" si="64"/>
        <v>4.6578784983878112</v>
      </c>
      <c r="BR69" s="335">
        <f t="shared" ca="1" si="64"/>
        <v>4.9116693935673945</v>
      </c>
      <c r="BS69" s="335">
        <f t="shared" ca="1" si="64"/>
        <v>5.1792884335769367</v>
      </c>
      <c r="BT69" s="335">
        <f t="shared" ref="BT69:CO69" ca="1" si="65" xml:space="preserve"> (1 + $I$58) ^ BT60  * (BT60 &lt;&gt; 0)</f>
        <v>5.4614890638436391</v>
      </c>
      <c r="BU69" s="335">
        <f t="shared" ca="1" si="65"/>
        <v>5.7590657823016516</v>
      </c>
      <c r="BV69" s="335">
        <f t="shared" ca="1" si="65"/>
        <v>6.0728563761942009</v>
      </c>
      <c r="BW69" s="335">
        <f t="shared" ca="1" si="65"/>
        <v>6.4037442807509262</v>
      </c>
      <c r="BX69" s="335">
        <f t="shared" ca="1" si="65"/>
        <v>6.7526610663810027</v>
      </c>
      <c r="BY69" s="335">
        <f t="shared" ca="1" si="65"/>
        <v>7.1205890613843765</v>
      </c>
      <c r="BZ69" s="335">
        <f t="shared" ca="1" si="65"/>
        <v>7.5085641175650339</v>
      </c>
      <c r="CA69" s="335">
        <f t="shared" ca="1" si="65"/>
        <v>7.9176785265324856</v>
      </c>
      <c r="CB69" s="335">
        <f t="shared" ca="1" si="65"/>
        <v>8.3490840949019418</v>
      </c>
      <c r="CC69" s="335">
        <f t="shared" ca="1" si="65"/>
        <v>8.8039953870509695</v>
      </c>
      <c r="CD69" s="335">
        <f t="shared" ca="1" si="65"/>
        <v>9.283693144562239</v>
      </c>
      <c r="CE69" s="335">
        <f t="shared" ca="1" si="65"/>
        <v>9.7895278919792279</v>
      </c>
      <c r="CF69" s="335">
        <f t="shared" ca="1" si="65"/>
        <v>10.322923739026518</v>
      </c>
      <c r="CG69" s="335">
        <f t="shared" ca="1" si="65"/>
        <v>10.885382389999249</v>
      </c>
      <c r="CH69" s="335">
        <f t="shared" ca="1" si="65"/>
        <v>11.478487371609694</v>
      </c>
      <c r="CI69" s="335">
        <f t="shared" ca="1" si="65"/>
        <v>12.103908491193785</v>
      </c>
      <c r="CJ69" s="335">
        <f t="shared" ca="1" si="65"/>
        <v>12.763406537829198</v>
      </c>
      <c r="CK69" s="335">
        <f t="shared" ca="1" si="65"/>
        <v>13.458838239600247</v>
      </c>
      <c r="CL69" s="335">
        <f t="shared" ca="1" si="65"/>
        <v>14.19216149096621</v>
      </c>
      <c r="CM69" s="335">
        <f t="shared" ca="1" si="65"/>
        <v>14.965440864949926</v>
      </c>
      <c r="CN69" s="335">
        <f t="shared" ca="1" si="65"/>
        <v>15.780853425665576</v>
      </c>
      <c r="CO69" s="335">
        <f t="shared" ca="1" si="65"/>
        <v>16.640694857550002</v>
      </c>
    </row>
    <row r="70" spans="1:93" ht="15" customHeight="1">
      <c r="A70" s="47"/>
      <c r="B70" s="47"/>
      <c r="C70" s="321" t="s">
        <v>928</v>
      </c>
      <c r="D70" s="321"/>
      <c r="E70" s="321"/>
      <c r="F70" s="321"/>
      <c r="G70" s="322" t="str">
        <f>Monetary_Unit</f>
        <v>тыс. руб.</v>
      </c>
      <c r="H70" s="321"/>
      <c r="I70" s="23">
        <f ca="1">SUM(L70:CO70)</f>
        <v>3365250.6836897908</v>
      </c>
      <c r="J70" s="321"/>
      <c r="K70" s="321"/>
      <c r="L70" s="321">
        <f ca="1" xml:space="preserve"> IFERROR( SUM(L67,L68) / L69,0)</f>
        <v>0</v>
      </c>
      <c r="M70" s="321">
        <f ca="1" xml:space="preserve"> IFERROR( SUM(M67,M68) / M69,0)</f>
        <v>0</v>
      </c>
      <c r="N70" s="321">
        <f ca="1" xml:space="preserve"> IFERROR( SUM(N67,N68) / N69,0)</f>
        <v>0</v>
      </c>
      <c r="O70" s="321">
        <f ca="1" xml:space="preserve"> IFERROR( SUM(O67,O68) / O69,0)</f>
        <v>0</v>
      </c>
      <c r="P70" s="321">
        <f ca="1" xml:space="preserve"> IFERROR( SUM(P67,P68) / P69,0)</f>
        <v>0</v>
      </c>
      <c r="Q70" s="321">
        <f t="shared" ref="Q70:BS70" ca="1" si="66" xml:space="preserve"> IFERROR( SUM(Q67,Q68) / Q69,0)</f>
        <v>0</v>
      </c>
      <c r="R70" s="321">
        <f t="shared" ca="1" si="66"/>
        <v>0</v>
      </c>
      <c r="S70" s="321">
        <f t="shared" ca="1" si="66"/>
        <v>0</v>
      </c>
      <c r="T70" s="321">
        <f t="shared" ca="1" si="66"/>
        <v>0</v>
      </c>
      <c r="U70" s="321">
        <f t="shared" ca="1" si="66"/>
        <v>0</v>
      </c>
      <c r="V70" s="321">
        <f t="shared" ca="1" si="66"/>
        <v>0</v>
      </c>
      <c r="W70" s="321">
        <f t="shared" ca="1" si="66"/>
        <v>0</v>
      </c>
      <c r="X70" s="321">
        <f t="shared" ca="1" si="66"/>
        <v>0</v>
      </c>
      <c r="Y70" s="321">
        <f t="shared" ca="1" si="66"/>
        <v>0</v>
      </c>
      <c r="Z70" s="321">
        <f t="shared" ca="1" si="66"/>
        <v>0</v>
      </c>
      <c r="AA70" s="321">
        <f t="shared" ca="1" si="66"/>
        <v>0</v>
      </c>
      <c r="AB70" s="321">
        <f t="shared" ca="1" si="66"/>
        <v>0</v>
      </c>
      <c r="AC70" s="321">
        <f t="shared" ca="1" si="66"/>
        <v>0</v>
      </c>
      <c r="AD70" s="321">
        <f t="shared" ca="1" si="66"/>
        <v>0</v>
      </c>
      <c r="AE70" s="321">
        <f t="shared" ca="1" si="66"/>
        <v>0</v>
      </c>
      <c r="AF70" s="321">
        <f t="shared" ca="1" si="66"/>
        <v>0</v>
      </c>
      <c r="AG70" s="321">
        <f t="shared" ca="1" si="66"/>
        <v>0</v>
      </c>
      <c r="AH70" s="321">
        <f t="shared" ca="1" si="66"/>
        <v>0</v>
      </c>
      <c r="AI70" s="321">
        <f t="shared" ca="1" si="66"/>
        <v>0</v>
      </c>
      <c r="AJ70" s="321">
        <f t="shared" ca="1" si="66"/>
        <v>0</v>
      </c>
      <c r="AK70" s="321">
        <f t="shared" ca="1" si="66"/>
        <v>0</v>
      </c>
      <c r="AL70" s="321">
        <f t="shared" ca="1" si="66"/>
        <v>0</v>
      </c>
      <c r="AM70" s="321">
        <f t="shared" ca="1" si="66"/>
        <v>0</v>
      </c>
      <c r="AN70" s="321">
        <f t="shared" ca="1" si="66"/>
        <v>0</v>
      </c>
      <c r="AO70" s="321">
        <f t="shared" ca="1" si="66"/>
        <v>139117.16954326828</v>
      </c>
      <c r="AP70" s="321">
        <f t="shared" ca="1" si="66"/>
        <v>251424.96570209041</v>
      </c>
      <c r="AQ70" s="321">
        <f t="shared" ca="1" si="66"/>
        <v>225781.64304707872</v>
      </c>
      <c r="AR70" s="321">
        <f t="shared" ca="1" si="66"/>
        <v>115883.92441945834</v>
      </c>
      <c r="AS70" s="321">
        <f t="shared" ca="1" si="66"/>
        <v>117149.82061313614</v>
      </c>
      <c r="AT70" s="321">
        <f t="shared" ca="1" si="66"/>
        <v>208825.67236027401</v>
      </c>
      <c r="AU70" s="321">
        <f t="shared" ca="1" si="66"/>
        <v>185842.58480311104</v>
      </c>
      <c r="AV70" s="321">
        <f t="shared" ca="1" si="66"/>
        <v>94814.40754790818</v>
      </c>
      <c r="AW70" s="321">
        <f t="shared" ca="1" si="66"/>
        <v>113037.52177168081</v>
      </c>
      <c r="AX70" s="321">
        <f t="shared" ca="1" si="66"/>
        <v>160618.55984599356</v>
      </c>
      <c r="AY70" s="321">
        <f t="shared" ca="1" si="66"/>
        <v>89602.91882440816</v>
      </c>
      <c r="AZ70" s="321">
        <f t="shared" ca="1" si="66"/>
        <v>48010.817572688633</v>
      </c>
      <c r="BA70" s="321">
        <f t="shared" ca="1" si="66"/>
        <v>70405.98477475156</v>
      </c>
      <c r="BB70" s="321">
        <f t="shared" ca="1" si="66"/>
        <v>130104.01166440979</v>
      </c>
      <c r="BC70" s="321">
        <f t="shared" ca="1" si="66"/>
        <v>75365.599336371262</v>
      </c>
      <c r="BD70" s="321">
        <f t="shared" ca="1" si="66"/>
        <v>40940.437795502665</v>
      </c>
      <c r="BE70" s="321">
        <f t="shared" ca="1" si="66"/>
        <v>58672.412598355506</v>
      </c>
      <c r="BF70" s="321">
        <f t="shared" ca="1" si="66"/>
        <v>109035.7712179654</v>
      </c>
      <c r="BG70" s="321">
        <f t="shared" ca="1" si="66"/>
        <v>63013.660518072713</v>
      </c>
      <c r="BH70" s="321">
        <f t="shared" ca="1" si="66"/>
        <v>33602.491410616101</v>
      </c>
      <c r="BI70" s="321">
        <f t="shared" ca="1" si="66"/>
        <v>49467.087769098311</v>
      </c>
      <c r="BJ70" s="321">
        <f t="shared" ca="1" si="66"/>
        <v>91723.161590214906</v>
      </c>
      <c r="BK70" s="321">
        <f t="shared" ca="1" si="66"/>
        <v>53011.57476449728</v>
      </c>
      <c r="BL70" s="321">
        <f t="shared" ca="1" si="66"/>
        <v>28273.608925757722</v>
      </c>
      <c r="BM70" s="321">
        <f t="shared" ca="1" si="66"/>
        <v>41617.761655322996</v>
      </c>
      <c r="BN70" s="321">
        <f t="shared" ca="1" si="66"/>
        <v>77160.90888610197</v>
      </c>
      <c r="BO70" s="321">
        <f t="shared" ca="1" si="66"/>
        <v>42439.432681635044</v>
      </c>
      <c r="BP70" s="321">
        <f t="shared" ca="1" si="66"/>
        <v>22068.129777802285</v>
      </c>
      <c r="BQ70" s="321">
        <f t="shared" ca="1" si="66"/>
        <v>31666.100657591782</v>
      </c>
      <c r="BR70" s="321">
        <f t="shared" ca="1" si="66"/>
        <v>56649.962525929979</v>
      </c>
      <c r="BS70" s="321">
        <f t="shared" ca="1" si="66"/>
        <v>34064.581383553283</v>
      </c>
      <c r="BT70" s="321">
        <f t="shared" ref="BT70:CO70" ca="1" si="67" xml:space="preserve"> IFERROR( SUM(BT67,BT68) / BT69,0)</f>
        <v>17315.511734447344</v>
      </c>
      <c r="BU70" s="321">
        <f t="shared" ca="1" si="67"/>
        <v>25161.681875743558</v>
      </c>
      <c r="BV70" s="321">
        <f t="shared" ca="1" si="67"/>
        <v>47776.992947138948</v>
      </c>
      <c r="BW70" s="321">
        <f t="shared" ca="1" si="67"/>
        <v>28772.223320457655</v>
      </c>
      <c r="BX70" s="321">
        <f t="shared" ca="1" si="67"/>
        <v>14460.71327409944</v>
      </c>
      <c r="BY70" s="321">
        <f t="shared" ca="1" si="67"/>
        <v>21314.365222448771</v>
      </c>
      <c r="BZ70" s="321">
        <f t="shared" ca="1" si="67"/>
        <v>40279.401308426932</v>
      </c>
      <c r="CA70" s="321">
        <f t="shared" ca="1" si="67"/>
        <v>24288.413971149701</v>
      </c>
      <c r="CB70" s="321">
        <f t="shared" ca="1" si="67"/>
        <v>12246.726354222104</v>
      </c>
      <c r="CC70" s="321">
        <f t="shared" ca="1" si="67"/>
        <v>18007.85369544015</v>
      </c>
      <c r="CD70" s="321">
        <f t="shared" ca="1" si="67"/>
        <v>33956.53928874158</v>
      </c>
      <c r="CE70" s="321">
        <f t="shared" ca="1" si="67"/>
        <v>20501.481668584875</v>
      </c>
      <c r="CF70" s="321">
        <f t="shared" ca="1" si="67"/>
        <v>10366.886892779023</v>
      </c>
      <c r="CG70" s="321">
        <f t="shared" ca="1" si="67"/>
        <v>15209.837646247481</v>
      </c>
      <c r="CH70" s="321">
        <f t="shared" ca="1" si="67"/>
        <v>28622.098366194503</v>
      </c>
      <c r="CI70" s="321">
        <f t="shared" ca="1" si="67"/>
        <v>17301.030786200659</v>
      </c>
      <c r="CJ70" s="321">
        <f t="shared" ca="1" si="67"/>
        <v>8898.6891961636684</v>
      </c>
      <c r="CK70" s="321">
        <f t="shared" ca="1" si="67"/>
        <v>12813.085632028362</v>
      </c>
      <c r="CL70" s="321">
        <f t="shared" ca="1" si="67"/>
        <v>24124.082320986076</v>
      </c>
      <c r="CM70" s="321">
        <f t="shared" ca="1" si="67"/>
        <v>14598.621226190406</v>
      </c>
      <c r="CN70" s="321">
        <f t="shared" ca="1" si="67"/>
        <v>7419.1078237063548</v>
      </c>
      <c r="CO70" s="321">
        <f t="shared" ca="1" si="67"/>
        <v>62422.653153746374</v>
      </c>
    </row>
    <row r="71" spans="1:93" ht="15" customHeight="1">
      <c r="A71" s="47"/>
      <c r="B71" s="47"/>
      <c r="C71" s="153"/>
      <c r="D71" s="153"/>
      <c r="E71" s="11"/>
      <c r="F71" s="11"/>
      <c r="G71" s="11"/>
      <c r="H71" s="153"/>
      <c r="I71" s="154"/>
      <c r="J71" s="153"/>
      <c r="K71" s="153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</row>
    <row r="72" spans="1:93" ht="15" customHeight="1">
      <c r="A72" s="47"/>
      <c r="B72" s="47"/>
      <c r="C72" s="161" t="s">
        <v>929</v>
      </c>
      <c r="D72" s="153"/>
      <c r="E72" s="11"/>
      <c r="F72" s="11"/>
      <c r="G72" s="11" t="str">
        <f>Monetary_Unit</f>
        <v>тыс. руб.</v>
      </c>
      <c r="H72" s="153"/>
      <c r="I72" s="323">
        <f ca="1" xml:space="preserve"> I70</f>
        <v>3365250.6836897908</v>
      </c>
      <c r="J72" s="153"/>
      <c r="K72" s="153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409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</row>
    <row r="73" spans="1:93" ht="15" customHeight="1">
      <c r="A73" s="47"/>
      <c r="B73" s="47"/>
      <c r="C73" s="161" t="s">
        <v>930</v>
      </c>
      <c r="D73" s="153"/>
      <c r="E73" s="11"/>
      <c r="F73" s="11"/>
      <c r="G73" s="11" t="str">
        <f>Monetary_Unit</f>
        <v>тыс. руб.</v>
      </c>
      <c r="H73" s="153"/>
      <c r="I73" s="323">
        <f ca="1" xml:space="preserve"> I46 - I45</f>
        <v>-969315.88586949522</v>
      </c>
      <c r="J73" s="153"/>
      <c r="K73" s="153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</row>
    <row r="74" spans="1:93" ht="15" customHeight="1">
      <c r="A74" s="47"/>
      <c r="B74" s="47"/>
      <c r="C74" s="161" t="s">
        <v>935</v>
      </c>
      <c r="D74" s="153"/>
      <c r="E74" s="11"/>
      <c r="F74" s="11"/>
      <c r="G74" s="11" t="str">
        <f>Monetary_Unit</f>
        <v>тыс. руб.</v>
      </c>
      <c r="H74" s="153"/>
      <c r="I74" s="412">
        <f ca="1" xml:space="preserve"> I72 + I73</f>
        <v>2395934.7978202957</v>
      </c>
      <c r="J74" s="153"/>
      <c r="K74" s="153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</row>
    <row r="75" spans="1:93" ht="15" customHeight="1">
      <c r="A75" s="47"/>
      <c r="B75" s="47"/>
      <c r="C75" s="47"/>
      <c r="D75" s="47"/>
      <c r="E75" s="47"/>
      <c r="F75" s="47"/>
      <c r="G75" s="319"/>
      <c r="H75" s="47"/>
      <c r="I75" s="47"/>
      <c r="J75" s="47"/>
      <c r="K75" s="47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</row>
    <row r="76" spans="1:93" ht="15" hidden="1" customHeight="1">
      <c r="A76" s="47"/>
      <c r="B76" s="47"/>
      <c r="C76" s="47"/>
      <c r="D76" s="47"/>
      <c r="E76" s="47"/>
      <c r="F76" s="47"/>
      <c r="G76" s="319"/>
      <c r="H76" s="47"/>
      <c r="I76" s="47"/>
      <c r="J76" s="47"/>
      <c r="K76" s="47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</row>
    <row r="77" spans="1:93" ht="15" hidden="1" customHeight="1">
      <c r="A77" s="47"/>
      <c r="B77" s="47"/>
      <c r="C77" s="47"/>
      <c r="D77" s="47"/>
      <c r="E77" s="47"/>
      <c r="F77" s="47"/>
      <c r="G77" s="319"/>
      <c r="H77" s="47"/>
      <c r="I77" s="47"/>
      <c r="J77" s="47"/>
      <c r="K77" s="47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</row>
    <row r="78" spans="1:93" ht="15" hidden="1" customHeight="1">
      <c r="A78" s="47"/>
      <c r="B78" s="47"/>
      <c r="C78" s="47"/>
      <c r="D78" s="47"/>
      <c r="E78" s="47"/>
      <c r="F78" s="47"/>
      <c r="G78" s="319"/>
      <c r="H78" s="47"/>
      <c r="I78" s="47"/>
      <c r="J78" s="47"/>
      <c r="K78" s="47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</row>
    <row r="79" spans="1:93" ht="15" hidden="1" customHeight="1">
      <c r="A79" s="47"/>
      <c r="B79" s="47"/>
      <c r="C79" s="47"/>
      <c r="D79" s="47"/>
      <c r="E79" s="47"/>
      <c r="F79" s="47"/>
      <c r="G79" s="319"/>
      <c r="H79" s="47"/>
      <c r="I79" s="47"/>
      <c r="J79" s="47"/>
      <c r="K79" s="47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</row>
    <row r="80" spans="1:93" ht="15" hidden="1" customHeight="1">
      <c r="A80" s="47"/>
      <c r="B80" s="47"/>
      <c r="C80" s="47"/>
      <c r="D80" s="47"/>
      <c r="E80" s="47"/>
      <c r="F80" s="47"/>
      <c r="G80" s="319"/>
      <c r="H80" s="47"/>
      <c r="I80" s="47"/>
      <c r="J80" s="47"/>
      <c r="K80" s="47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</row>
    <row r="81" spans="1:93" ht="15" hidden="1" customHeight="1">
      <c r="A81" s="47"/>
      <c r="B81" s="47"/>
      <c r="C81" s="47"/>
      <c r="D81" s="47"/>
      <c r="E81" s="47"/>
      <c r="F81" s="47"/>
      <c r="G81" s="319"/>
      <c r="H81" s="47"/>
      <c r="I81" s="47"/>
      <c r="J81" s="47"/>
      <c r="K81" s="47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</row>
    <row r="82" spans="1:93" ht="15" hidden="1" customHeight="1">
      <c r="A82" s="47"/>
      <c r="B82" s="47"/>
      <c r="C82" s="47"/>
      <c r="D82" s="47"/>
      <c r="E82" s="47"/>
      <c r="F82" s="47"/>
      <c r="G82" s="319"/>
      <c r="H82" s="47"/>
      <c r="I82" s="47"/>
      <c r="J82" s="47"/>
      <c r="K82" s="47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</row>
    <row r="83" spans="1:93" ht="15" hidden="1" customHeight="1">
      <c r="A83" s="47"/>
      <c r="B83" s="47"/>
      <c r="C83" s="47"/>
      <c r="D83" s="47"/>
      <c r="E83" s="47"/>
      <c r="F83" s="47"/>
      <c r="G83" s="319"/>
      <c r="H83" s="47"/>
      <c r="I83" s="47"/>
      <c r="J83" s="47"/>
      <c r="K83" s="47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</row>
    <row r="84" spans="1:93" ht="15" hidden="1" customHeight="1">
      <c r="A84" s="47"/>
      <c r="B84" s="47"/>
      <c r="C84" s="47"/>
      <c r="D84" s="47"/>
      <c r="E84" s="47"/>
      <c r="F84" s="47"/>
      <c r="G84" s="319"/>
      <c r="H84" s="47"/>
      <c r="I84" s="47"/>
      <c r="J84" s="47"/>
      <c r="K84" s="47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</row>
    <row r="85" spans="1:93" ht="14.65" hidden="1" customHeight="1"/>
    <row r="86" spans="1:93" ht="14.65" hidden="1" customHeight="1"/>
    <row r="87" spans="1:93" ht="14.65" hidden="1" customHeight="1"/>
    <row r="88" spans="1:93" ht="14.65" hidden="1" customHeight="1"/>
    <row r="89" spans="1:93" ht="14.65" hidden="1" customHeight="1"/>
    <row r="90" spans="1:93" ht="14.65" hidden="1" customHeight="1"/>
    <row r="91" spans="1:93" ht="14.65" hidden="1" customHeight="1"/>
    <row r="92" spans="1:93" ht="14.65" hidden="1" customHeight="1"/>
    <row r="93" spans="1:93" ht="14.65" hidden="1" customHeight="1"/>
    <row r="94" spans="1:93" ht="14.65" hidden="1" customHeight="1"/>
    <row r="95" spans="1:93" ht="14.65" hidden="1" customHeight="1"/>
    <row r="96" spans="1:93" ht="14.65" hidden="1" customHeight="1"/>
    <row r="97" ht="14.65" hidden="1" customHeight="1"/>
    <row r="98" ht="14.65" hidden="1" customHeight="1"/>
    <row r="99" ht="14.65" hidden="1" customHeight="1"/>
    <row r="100" ht="14.65" hidden="1" customHeight="1"/>
    <row r="101" ht="14.65" hidden="1" customHeight="1"/>
    <row r="102" ht="14.65" hidden="1" customHeight="1"/>
    <row r="103" ht="14.65" hidden="1" customHeight="1"/>
    <row r="104" ht="14.65" hidden="1" customHeight="1"/>
    <row r="105" ht="14.65" hidden="1" customHeight="1"/>
    <row r="106" ht="14.65" hidden="1" customHeight="1"/>
    <row r="107" ht="14.65" hidden="1" customHeight="1"/>
    <row r="108" ht="14.65" hidden="1" customHeight="1"/>
    <row r="109" ht="14.65" hidden="1" customHeight="1"/>
    <row r="110" ht="14.65" hidden="1" customHeight="1"/>
    <row r="111" ht="14.65" hidden="1" customHeight="1"/>
    <row r="112" ht="14.65" hidden="1" customHeight="1"/>
    <row r="113" ht="14.65" hidden="1" customHeight="1"/>
    <row r="114" ht="14.65" hidden="1" customHeight="1"/>
    <row r="115" ht="14.65" hidden="1" customHeight="1"/>
    <row r="116" ht="14.65" hidden="1" customHeight="1"/>
    <row r="117" ht="14.65" hidden="1" customHeight="1"/>
    <row r="118" ht="14.65" hidden="1" customHeight="1"/>
    <row r="119" ht="14.65" hidden="1" customHeight="1"/>
    <row r="120" ht="14.65" hidden="1" customHeight="1"/>
    <row r="121" ht="14.65" hidden="1" customHeight="1"/>
    <row r="122" ht="14.65" hidden="1" customHeight="1"/>
    <row r="123" ht="14.65" hidden="1" customHeight="1"/>
    <row r="124" ht="14.65" hidden="1" customHeight="1"/>
    <row r="125" ht="14.65" hidden="1" customHeight="1"/>
    <row r="126" ht="14.65" hidden="1" customHeight="1"/>
    <row r="127" ht="14.65" hidden="1" customHeight="1"/>
    <row r="128" ht="14.65" hidden="1" customHeight="1"/>
    <row r="129" ht="14.65" hidden="1" customHeight="1"/>
    <row r="130" ht="14.65" hidden="1" customHeight="1"/>
    <row r="131" ht="14.65" hidden="1" customHeight="1"/>
    <row r="132" ht="14.65" hidden="1" customHeight="1"/>
    <row r="133" ht="14.65" hidden="1" customHeight="1"/>
    <row r="134" ht="14.65" hidden="1" customHeight="1"/>
    <row r="135" ht="14.65" hidden="1" customHeight="1"/>
    <row r="136" ht="14.65" hidden="1" customHeight="1"/>
    <row r="137" ht="14.65" hidden="1" customHeight="1"/>
    <row r="138" ht="14.65" hidden="1" customHeight="1"/>
    <row r="139" ht="14.65" hidden="1" customHeight="1"/>
    <row r="140" ht="14.65" hidden="1" customHeight="1"/>
    <row r="141" ht="14.65" hidden="1" customHeight="1"/>
    <row r="142" ht="14.65" hidden="1" customHeight="1"/>
    <row r="143" ht="14.65" hidden="1" customHeight="1"/>
    <row r="144" ht="14.65" hidden="1" customHeight="1"/>
    <row r="145" ht="14.65" hidden="1" customHeight="1"/>
    <row r="146" ht="14.65" hidden="1" customHeight="1"/>
    <row r="147" ht="14.65" hidden="1" customHeight="1"/>
    <row r="148" ht="14.65" hidden="1" customHeight="1"/>
    <row r="149" ht="14.65" hidden="1" customHeight="1"/>
    <row r="150" ht="14.65" hidden="1" customHeight="1"/>
    <row r="151" ht="14.65" hidden="1" customHeight="1"/>
    <row r="152" ht="14.65" hidden="1" customHeight="1"/>
    <row r="153" ht="14.65" hidden="1" customHeight="1"/>
    <row r="154" ht="14.65" hidden="1" customHeight="1"/>
    <row r="155" ht="14.65" hidden="1" customHeight="1"/>
    <row r="156" ht="14.65" hidden="1" customHeight="1"/>
    <row r="157" ht="14.65" hidden="1" customHeight="1"/>
    <row r="158" ht="14.65" hidden="1" customHeight="1"/>
    <row r="159" ht="14.65" hidden="1" customHeight="1"/>
    <row r="160" ht="14.65" hidden="1" customHeight="1"/>
    <row r="161" ht="14.65" hidden="1" customHeight="1"/>
    <row r="162" ht="14.65" hidden="1" customHeight="1"/>
    <row r="163" ht="14.65" hidden="1" customHeight="1"/>
    <row r="164" ht="14.65" hidden="1" customHeight="1"/>
    <row r="165" ht="14.65" hidden="1" customHeight="1"/>
    <row r="166" ht="14.65" hidden="1" customHeight="1"/>
    <row r="167" ht="14.65" hidden="1" customHeight="1"/>
    <row r="168" ht="14.65" hidden="1" customHeight="1"/>
  </sheetData>
  <conditionalFormatting sqref="L9:CO9">
    <cfRule type="cellIs" dxfId="4" priority="127" operator="equal">
      <formula>2</formula>
    </cfRule>
    <cfRule type="cellIs" dxfId="3" priority="128" operator="equal">
      <formula>1</formula>
    </cfRule>
  </conditionalFormatting>
  <conditionalFormatting sqref="E4">
    <cfRule type="cellIs" dxfId="2" priority="125" operator="equal">
      <formula>FALSE</formula>
    </cfRule>
    <cfRule type="cellIs" dxfId="1" priority="126" operator="equal">
      <formula>TRUE</formula>
    </cfRule>
  </conditionalFormatting>
  <conditionalFormatting sqref="L52:CO54">
    <cfRule type="cellIs" dxfId="0" priority="124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8" scale="26" orientation="landscape" r:id="rId1"/>
  <colBreaks count="1" manualBreakCount="1">
    <brk id="62" max="69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163</vt:i4>
      </vt:variant>
    </vt:vector>
  </HeadingPairs>
  <TitlesOfParts>
    <vt:vector size="183" baseType="lpstr">
      <vt:lpstr>1</vt:lpstr>
      <vt:lpstr>Титул</vt:lpstr>
      <vt:lpstr>Описание</vt:lpstr>
      <vt:lpstr>Контр_панель</vt:lpstr>
      <vt:lpstr>Анализ рынка</vt:lpstr>
      <vt:lpstr>Загрузка</vt:lpstr>
      <vt:lpstr>численность гостей</vt:lpstr>
      <vt:lpstr>ADR квартал</vt:lpstr>
      <vt:lpstr>Понижающий коэффициент</vt:lpstr>
      <vt:lpstr>Штатное расписание</vt:lpstr>
      <vt:lpstr>Предпосылки</vt:lpstr>
      <vt:lpstr>Расчеты</vt:lpstr>
      <vt:lpstr>Отчетность</vt:lpstr>
      <vt:lpstr>Отчетность годовая</vt:lpstr>
      <vt:lpstr>Проверки</vt:lpstr>
      <vt:lpstr>Свод</vt:lpstr>
      <vt:lpstr>Чувствительность</vt:lpstr>
      <vt:lpstr>Бюдж эффективность</vt:lpstr>
      <vt:lpstr>Финансирование</vt:lpstr>
      <vt:lpstr>Инвестор</vt:lpstr>
      <vt:lpstr>Accounts_Payable_EoP</vt:lpstr>
      <vt:lpstr>Accounts_Receivable_EoP</vt:lpstr>
      <vt:lpstr>Accuracy</vt:lpstr>
      <vt:lpstr>All_Outputs1</vt:lpstr>
      <vt:lpstr>All_Outputs2</vt:lpstr>
      <vt:lpstr>All_Outputs3</vt:lpstr>
      <vt:lpstr>All_Outputs4</vt:lpstr>
      <vt:lpstr>Bank_Fees</vt:lpstr>
      <vt:lpstr>Beginning_of_period</vt:lpstr>
      <vt:lpstr>CAPEX</vt:lpstr>
      <vt:lpstr>CAPEX_Accumulated_Forecast</vt:lpstr>
      <vt:lpstr>CAPEX_Accumulated_From_Date</vt:lpstr>
      <vt:lpstr>CAPEX_E_For_VAT</vt:lpstr>
      <vt:lpstr>CAPEX_For_VAT</vt:lpstr>
      <vt:lpstr>Capex_sens</vt:lpstr>
      <vt:lpstr>Cash_BoP</vt:lpstr>
      <vt:lpstr>Cash_EoP</vt:lpstr>
      <vt:lpstr>CBR_Rate_Forecast</vt:lpstr>
      <vt:lpstr>CFADS</vt:lpstr>
      <vt:lpstr>Check_Balance_1</vt:lpstr>
      <vt:lpstr>Check_Balance_2</vt:lpstr>
      <vt:lpstr>CIP_EoP</vt:lpstr>
      <vt:lpstr>COGS</vt:lpstr>
      <vt:lpstr>COGS_Capitalised</vt:lpstr>
      <vt:lpstr>COGS_for_VAT</vt:lpstr>
      <vt:lpstr>COGS_PL</vt:lpstr>
      <vt:lpstr>Count_Operations_Periods</vt:lpstr>
      <vt:lpstr>CPI_Accumulated_Forecast</vt:lpstr>
      <vt:lpstr>CPI_Accumulated_From_Date</vt:lpstr>
      <vt:lpstr>Date_Construction_End</vt:lpstr>
      <vt:lpstr>Date_Construction_Start</vt:lpstr>
      <vt:lpstr>Date_Forecast_Start</vt:lpstr>
      <vt:lpstr>Date_Model_Start</vt:lpstr>
      <vt:lpstr>Date_Operations_End</vt:lpstr>
      <vt:lpstr>Date_Operations_Start</vt:lpstr>
      <vt:lpstr>Days_In_Period</vt:lpstr>
      <vt:lpstr>Days_in_year</vt:lpstr>
      <vt:lpstr>Debt_BoP</vt:lpstr>
      <vt:lpstr>Debt_Drawdown</vt:lpstr>
      <vt:lpstr>Debt_EoP</vt:lpstr>
      <vt:lpstr>Debt_Interest_Accrued</vt:lpstr>
      <vt:lpstr>Debt_Interest_Capitalised</vt:lpstr>
      <vt:lpstr>Debt_Interest_Paid</vt:lpstr>
      <vt:lpstr>Debt_Interest_PL</vt:lpstr>
      <vt:lpstr>Debt_rate_sens</vt:lpstr>
      <vt:lpstr>Debt_Repaiment</vt:lpstr>
      <vt:lpstr>Deferred_Income_Expense</vt:lpstr>
      <vt:lpstr>Depreciation_PL</vt:lpstr>
      <vt:lpstr>Depreciation_Premium_Tax</vt:lpstr>
      <vt:lpstr>Depreciation_Tax</vt:lpstr>
      <vt:lpstr>Divid_Tax_Rate</vt:lpstr>
      <vt:lpstr>Dividends</vt:lpstr>
      <vt:lpstr>EBIT</vt:lpstr>
      <vt:lpstr>EBITDA</vt:lpstr>
      <vt:lpstr>End_of_period</vt:lpstr>
      <vt:lpstr>Equity_Drawdown</vt:lpstr>
      <vt:lpstr>Equity_EoP</vt:lpstr>
      <vt:lpstr>Equity_S_Drawdown_1</vt:lpstr>
      <vt:lpstr>Equity_S_Drawdown_2</vt:lpstr>
      <vt:lpstr>FA_BoP</vt:lpstr>
      <vt:lpstr>FA_EoP</vt:lpstr>
      <vt:lpstr>FCF</vt:lpstr>
      <vt:lpstr>FCFE</vt:lpstr>
      <vt:lpstr>Flag_Construction</vt:lpstr>
      <vt:lpstr>Flag_Financial_Model</vt:lpstr>
      <vt:lpstr>Flag_First_Construction</vt:lpstr>
      <vt:lpstr>Flag_First_Operations</vt:lpstr>
      <vt:lpstr>Flag_Forecast</vt:lpstr>
      <vt:lpstr>Flag_Historical</vt:lpstr>
      <vt:lpstr>Flag_Invest</vt:lpstr>
      <vt:lpstr>Flag_Last_Construction</vt:lpstr>
      <vt:lpstr>Flag_Last_Operations</vt:lpstr>
      <vt:lpstr>Flag_Operations</vt:lpstr>
      <vt:lpstr>Funding_Requirement_Check</vt:lpstr>
      <vt:lpstr>Funding_Requirement_Check_Arr</vt:lpstr>
      <vt:lpstr>Funding_Requirement_Copy</vt:lpstr>
      <vt:lpstr>Funding_Requirement_Paste</vt:lpstr>
      <vt:lpstr>Hundreed</vt:lpstr>
      <vt:lpstr>ICF</vt:lpstr>
      <vt:lpstr>Inventories_EoP</vt:lpstr>
      <vt:lpstr>Investor_TRRF</vt:lpstr>
      <vt:lpstr>IRR</vt:lpstr>
      <vt:lpstr>IRR_Equity</vt:lpstr>
      <vt:lpstr>Key_rate</vt:lpstr>
      <vt:lpstr>Land_Tax</vt:lpstr>
      <vt:lpstr>Land_Tax_Rate</vt:lpstr>
      <vt:lpstr>Million</vt:lpstr>
      <vt:lpstr>Monetary_Unit</vt:lpstr>
      <vt:lpstr>Months_in_Period</vt:lpstr>
      <vt:lpstr>Months_in_Year</vt:lpstr>
      <vt:lpstr>MonthsCumulated</vt:lpstr>
      <vt:lpstr>Name_Model</vt:lpstr>
      <vt:lpstr>Net_Profit</vt:lpstr>
      <vt:lpstr>NPV</vt:lpstr>
      <vt:lpstr>NPV_Equity</vt:lpstr>
      <vt:lpstr>OCF</vt:lpstr>
      <vt:lpstr>Opex_sens</vt:lpstr>
      <vt:lpstr>Overall_Check</vt:lpstr>
      <vt:lpstr>PBP</vt:lpstr>
      <vt:lpstr>PBP_Equity</vt:lpstr>
      <vt:lpstr>PBT</vt:lpstr>
      <vt:lpstr>Period_length</vt:lpstr>
      <vt:lpstr>Periods_in_Year</vt:lpstr>
      <vt:lpstr>Profits_Tax</vt:lpstr>
      <vt:lpstr>Profits_Tax_Rate</vt:lpstr>
      <vt:lpstr>Property_Tax</vt:lpstr>
      <vt:lpstr>Property_Tax_Rate</vt:lpstr>
      <vt:lpstr>Quarter</vt:lpstr>
      <vt:lpstr>Required_Rate_of_Return</vt:lpstr>
      <vt:lpstr>Revenue</vt:lpstr>
      <vt:lpstr>Revenue_for_VAT</vt:lpstr>
      <vt:lpstr>Revenue_for_VAT_Zero</vt:lpstr>
      <vt:lpstr>Revenue_sens</vt:lpstr>
      <vt:lpstr>SC_Analysis_Current_Outputs</vt:lpstr>
      <vt:lpstr>SC_Analysis_Output_Table</vt:lpstr>
      <vt:lpstr>SC_Analysis_Output_Table2</vt:lpstr>
      <vt:lpstr>SC_Global</vt:lpstr>
      <vt:lpstr>Scenario_Macro_CAPEX</vt:lpstr>
      <vt:lpstr>Scenario_Macro_CPI</vt:lpstr>
      <vt:lpstr>SGA</vt:lpstr>
      <vt:lpstr>SGA_Capitalised</vt:lpstr>
      <vt:lpstr>SGA_for_VAT</vt:lpstr>
      <vt:lpstr>SGA_PL</vt:lpstr>
      <vt:lpstr>Subord_Drawdown</vt:lpstr>
      <vt:lpstr>Subord_EoP</vt:lpstr>
      <vt:lpstr>Subord_Interest_Accrued</vt:lpstr>
      <vt:lpstr>Subord_Interest_Accrued_Operations</vt:lpstr>
      <vt:lpstr>Subord_Interest_Calc</vt:lpstr>
      <vt:lpstr>Subord_Interest_Check</vt:lpstr>
      <vt:lpstr>Subord_Interest_Check_Arr</vt:lpstr>
      <vt:lpstr>Subord_Interest_Paid</vt:lpstr>
      <vt:lpstr>Subord_Repayment</vt:lpstr>
      <vt:lpstr>Thousand</vt:lpstr>
      <vt:lpstr>VAT_Cash_Flow</vt:lpstr>
      <vt:lpstr>VAT_EoP</vt:lpstr>
      <vt:lpstr>VAT_from_Investor</vt:lpstr>
      <vt:lpstr>VAT_Paid</vt:lpstr>
      <vt:lpstr>VAT_Paid_e</vt:lpstr>
      <vt:lpstr>VAT_Payable</vt:lpstr>
      <vt:lpstr>VAT_Periods_Payable</vt:lpstr>
      <vt:lpstr>VAT_Periods_Receivable</vt:lpstr>
      <vt:lpstr>VAT_Rate</vt:lpstr>
      <vt:lpstr>VAT_Rate_Periods</vt:lpstr>
      <vt:lpstr>VAT_Rate_Zero</vt:lpstr>
      <vt:lpstr>VAT_Rate_Zero_Periods</vt:lpstr>
      <vt:lpstr>Version_Model</vt:lpstr>
      <vt:lpstr>Very_Small_Number</vt:lpstr>
      <vt:lpstr>WACC</vt:lpstr>
      <vt:lpstr>WC_Cash_Flow</vt:lpstr>
      <vt:lpstr>xFactorValue1</vt:lpstr>
      <vt:lpstr>xFactorValue2</vt:lpstr>
      <vt:lpstr>xFactorValue3</vt:lpstr>
      <vt:lpstr>xFactorValue4</vt:lpstr>
      <vt:lpstr>Year</vt:lpstr>
      <vt:lpstr>'1'!Year_Unic</vt:lpstr>
      <vt:lpstr>Year_Unic</vt:lpstr>
      <vt:lpstr>Years_Cumulated_Beginning</vt:lpstr>
      <vt:lpstr>yFactorValue1</vt:lpstr>
      <vt:lpstr>yFactorValue2</vt:lpstr>
      <vt:lpstr>yFactorValue3</vt:lpstr>
      <vt:lpstr>yFactorValue4</vt:lpstr>
      <vt:lpstr>Отчетность!Заголовки_для_печати</vt:lpstr>
      <vt:lpstr>'1'!Область_печати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Комаровский А.</cp:lastModifiedBy>
  <cp:lastPrinted>2024-09-12T13:52:26Z</cp:lastPrinted>
  <dcterms:created xsi:type="dcterms:W3CDTF">2019-12-15T14:21:23Z</dcterms:created>
  <dcterms:modified xsi:type="dcterms:W3CDTF">2025-01-27T09:17:47Z</dcterms:modified>
</cp:coreProperties>
</file>